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drawings/drawing7.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25"/>
  <workbookPr defaultThemeVersion="166925"/>
  <mc:AlternateContent xmlns:mc="http://schemas.openxmlformats.org/markup-compatibility/2006">
    <mc:Choice Requires="x15">
      <x15ac:absPath xmlns:x15ac="http://schemas.microsoft.com/office/spreadsheetml/2010/11/ac" url="/Users/shraddhadeshmukh/Desktop/Shraddha/Website/SIRI_AB/Website/"/>
    </mc:Choice>
  </mc:AlternateContent>
  <xr:revisionPtr revIDLastSave="0" documentId="8_{ED222DD6-B1C3-5643-8E5D-A877AA320EEF}" xr6:coauthVersionLast="47" xr6:coauthVersionMax="47" xr10:uidLastSave="{00000000-0000-0000-0000-000000000000}"/>
  <bookViews>
    <workbookView xWindow="0" yWindow="0" windowWidth="28800" windowHeight="18000" activeTab="10" xr2:uid="{3DB181DE-9BBC-48F3-A6D7-B3F2DB89B8CB}"/>
  </bookViews>
  <sheets>
    <sheet name="Financial One Pager" sheetId="1" r:id="rId1"/>
    <sheet name="Sheet1" sheetId="22" state="hidden" r:id="rId2"/>
    <sheet name="KPIs" sheetId="2" r:id="rId3"/>
    <sheet name="Revenue split" sheetId="3" r:id="rId4"/>
    <sheet name="Modeling -&gt;" sheetId="7" state="hidden" r:id="rId5"/>
    <sheet name="Capex" sheetId="9" r:id="rId6"/>
    <sheet name="Misc." sheetId="11" r:id="rId7"/>
    <sheet name="Base Case Model --&gt;" sheetId="20" r:id="rId8"/>
    <sheet name="Base Case Assumptions" sheetId="6" r:id="rId9"/>
    <sheet name="Base Case Forecast " sheetId="5" r:id="rId10"/>
    <sheet name="Base Case Debt schedule" sheetId="8" r:id="rId11"/>
    <sheet name="Bear Case Model --&gt;" sheetId="21" r:id="rId12"/>
    <sheet name="Bear Case Assumptions" sheetId="16" r:id="rId13"/>
    <sheet name="Bear Case Forecast" sheetId="14" r:id="rId14"/>
    <sheet name="Bear Case Debt schedule " sheetId="18" r:id="rId15"/>
    <sheet name="Sheet18" sheetId="19" state="hidden" r:id="rId16"/>
    <sheet name="Sheet3" sheetId="4" state="hidden"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s>
  <definedNames>
    <definedName name="__" hidden="1">{"fdsup://Directions/FactSet Auditing Viewer?action=AUDIT_VALUE&amp;DB=129&amp;ID1=74758210&amp;VALUEID=02401&amp;SDATE=2007&amp;PERIODTYPE=ANN_STD&amp;window=popup_no_bar&amp;width=385&amp;height=120&amp;START_MAXIMIZED=FALSE&amp;creator=factset&amp;display_string=Audit"}</definedName>
    <definedName name="___old2" hidden="1">{#N/A,#N/A,FALSE,"Chart 2 by Prop Type"}</definedName>
    <definedName name="__FDS_HYPERLINK_TOGGLE_STATE__" hidden="1">"ON"</definedName>
    <definedName name="__FDS_UNIQUE_RANGE_ID_GENERATOR_COUNTER" localSheetId="0">27</definedName>
    <definedName name="__FDS_UNIQUE_RANGE_ID_GENERATOR_COUNTER" hidden="1">18</definedName>
    <definedName name="__FDS_USED_FOR_REUSING_RANGE_IDS_RECYCLE">{15,8,14,7,13,6,12,5,11,4,10,3,9,2,1,16}</definedName>
    <definedName name="__for1991">[1]Lookups!#REF!</definedName>
    <definedName name="__for1992">[1]Lookups!#REF!</definedName>
    <definedName name="__for1993">[1]Lookups!#REF!</definedName>
    <definedName name="__for1994">[1]Lookups!#REF!</definedName>
    <definedName name="__for1995">[1]Lookups!#REF!</definedName>
    <definedName name="__old2" hidden="1">{#N/A,#N/A,FALSE,"Chart 2 by Prop Type"}</definedName>
    <definedName name="__QTR1">"4Q, 1999"</definedName>
    <definedName name="__Top40">[2]Lookups!$B$3:$C$132</definedName>
    <definedName name="_1">#REF!</definedName>
    <definedName name="_1__FDSAUDITLINK__" localSheetId="0" hidden="1">{"fdsup://IBCentral/FAT Viewer?action=UPDATE&amp;creator=factset&amp;DOC_NAME=fat:reuters_qtrly_source_window.fat&amp;display_string=Audit&amp;DYN_ARGS=TRUE&amp;VAR:ID1=70756910&amp;VAR:RCODE=LTCL&amp;VAR:SDATE=20041299&amp;VAR:FREQ=Quarterly&amp;VAR:RELITEM=&amp;VAR:CURRENCY=&amp;VAR:CURRSOURCE=EXSH","ARE&amp;VAR:NATFREQ=QUARTERLY&amp;VAR:RFIELD=FINALIZED&amp;VAR:DB_TYPE=&amp;VAR:UNITS=M&amp;window=popup&amp;width=450&amp;height=300&amp;START_MAXIMIZED=FALSE"}</definedName>
    <definedName name="_1__FDSAUDITLINK__" hidden="1">{"fdsup://directions/FAT Viewer?action=UPDATE&amp;creator=factset&amp;DYN_ARGS=TRUE&amp;DOC_NAME=FAT:FQL_AUDITING_CLIENT_TEMPLATE.FAT&amp;display_string=Audit&amp;VAR:KEY=XOLKVUFATM&amp;VAR:QUERY=RkZfRUJJVERBX09QRVIoQU5OLDBDWSk=&amp;WINDOW=FIRST_POPUP&amp;HEIGHT=450&amp;WIDTH=450&amp;START_MAXIMI","ZED=FALSE&amp;VAR:CALENDAR=US&amp;VAR:SYMBOL=TLEO&amp;VAR:INDEX=0"}</definedName>
    <definedName name="_1_0EBITDA_Sh">[3]NOPAT_VDF!#REF!</definedName>
    <definedName name="_10__FDSAUDITLINK__" localSheetId="0" hidden="1">{"fdsup://IBCentral/FAT Viewer?action=UPDATE&amp;creator=factset&amp;DOC_NAME=fat:reuters_qtrly_source_window.fat&amp;display_string=Audit&amp;DYN_ARGS=TRUE&amp;VAR:ID1=70756910&amp;VAR:RCODE=LTCL&amp;VAR:SDATE=20091299&amp;VAR:FREQ=Quarterly&amp;VAR:RELITEM=&amp;VAR:CURRENCY=&amp;VAR:CURRSOURCE=EXSH","ARE&amp;VAR:NATFREQ=QUARTERLY&amp;VAR:RFIELD=FINALIZED&amp;VAR:DB_TYPE=&amp;VAR:UNITS=M&amp;window=popup&amp;width=450&amp;height=300&amp;START_MAXIMIZED=FALSE"}</definedName>
    <definedName name="_10__FDSAUDITLINK__" hidden="1">{"fdsup://Directions/FactSet Auditing Viewer?action=AUDIT_VALUE&amp;DB=129&amp;ID1=79466L30&amp;VALUEID=18208&amp;SDATE=2010&amp;PERIODTYPE=ANN_STD&amp;SCFT=3&amp;window=popup_no_bar&amp;width=385&amp;height=120&amp;START_MAXIMIZED=FALSE&amp;creator=factset&amp;display_string=Audit"}</definedName>
    <definedName name="_10_._0Restructuring_char">'[3]Invested capital_VDF'!#REF!</definedName>
    <definedName name="_10_0NOPAT_Sh">[3]NOPAT_VDF!#REF!</definedName>
    <definedName name="_100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22"}</definedName>
    <definedName name="_101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21"}</definedName>
    <definedName name="_102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20"}</definedName>
    <definedName name="_103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19"}</definedName>
    <definedName name="_104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18"}</definedName>
    <definedName name="_105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17"}</definedName>
    <definedName name="_106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16"}</definedName>
    <definedName name="_107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15"}</definedName>
    <definedName name="_108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14"}</definedName>
    <definedName name="_109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13"}</definedName>
    <definedName name="_10NOPAT_Sh">[3]NOPAT_VDF!#REF!</definedName>
    <definedName name="_11__FDSAUDITLINK__" localSheetId="0" hidden="1">{"fdsup://IBCentral/FAT Viewer?action=UPDATE&amp;creator=factset&amp;DOC_NAME=fat:reuters_qtrly_source_window.fat&amp;display_string=Audit&amp;DYN_ARGS=TRUE&amp;VAR:ID1=70756910&amp;VAR:RCODE=ATOT&amp;VAR:SDATE=20081299&amp;VAR:FREQ=Quarterly&amp;VAR:RELITEM=&amp;VAR:CURRENCY=&amp;VAR:CURRSOURCE=EXSH","ARE&amp;VAR:NATFREQ=QUARTERLY&amp;VAR:RFIELD=FINALIZED&amp;VAR:DB_TYPE=&amp;VAR:UNITS=M&amp;window=popup&amp;width=450&amp;height=300&amp;START_MAXIMIZED=FALSE"}</definedName>
    <definedName name="_11__FDSAUDITLINK__" hidden="1">{"fdsup://directions/FAT Viewer?action=UPDATE&amp;creator=factset&amp;DYN_ARGS=TRUE&amp;DOC_NAME=FAT:FQL_AUDITING_CLIENT_TEMPLATE.FAT&amp;display_string=Audit&amp;VAR:KEY=LIVQLAPEFM&amp;VAR:QUERY=RkZfRUJJVERBX09QRVJfTUdOKFFUUiwwKQ==&amp;WINDOW=FIRST_POPUP&amp;HEIGHT=450&amp;WIDTH=450&amp;START_MA","XIMIZED=FALSE&amp;VAR:CALENDAR=US&amp;VAR:SYMBOL=GWAY&amp;VAR:INDEX=0"}</definedName>
    <definedName name="_11_._0SGA_gro">[3]NOPAT_VDF!#REF!</definedName>
    <definedName name="_11_0Purch">[4]MERGER!#REF!</definedName>
    <definedName name="_110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12"}</definedName>
    <definedName name="_111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11"}</definedName>
    <definedName name="_112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10"}</definedName>
    <definedName name="_113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9"}</definedName>
    <definedName name="_114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8"}</definedName>
    <definedName name="_115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7"}</definedName>
    <definedName name="_116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6"}</definedName>
    <definedName name="_117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5"}</definedName>
    <definedName name="_118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4"}</definedName>
    <definedName name="_119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3"}</definedName>
    <definedName name="_11EBITDA_Sh">[3]NOPAT_VDF!#REF!</definedName>
    <definedName name="_12__FDSAUDITLINK__" localSheetId="0" hidden="1">{"fdsup://IBCentral/FAT Viewer?action=UPDATE&amp;creator=factset&amp;DOC_NAME=fat:reuters_qtrly_source_window.fat&amp;display_string=Audit&amp;DYN_ARGS=TRUE&amp;VAR:ID1=70756910&amp;VAR:RCODE=LTCL&amp;VAR:SDATE=20101299&amp;VAR:FREQ=Quarterly&amp;VAR:RELITEM=&amp;VAR:CURRENCY=&amp;VAR:CURRSOURCE=EXSH","ARE&amp;VAR:NATFREQ=QUARTERLY&amp;VAR:RFIELD=FINALIZED&amp;VAR:DB_TYPE=&amp;VAR:UNITS=M&amp;window=popup&amp;width=450&amp;height=300&amp;START_MAXIMIZED=FALSE"}</definedName>
    <definedName name="_12__FDSAUDITLINK__" hidden="1">{"fdsup://directions/FAT Viewer?action=UPDATE&amp;creator=factset&amp;DYN_ARGS=TRUE&amp;DOC_NAME=FAT:FQL_AUDITING_CLIENT_TEMPLATE.FAT&amp;display_string=Audit&amp;VAR:KEY=TKLQTSBMFG&amp;VAR:QUERY=RkZfRUJJVERBX09QRVJfTUdOKFFUUiwwKQ==&amp;WINDOW=FIRST_POPUP&amp;HEIGHT=450&amp;WIDTH=450&amp;START_MA","XIMIZED=FALSE&amp;VAR:CALENDAR=US&amp;VAR:SYMBOL=MDAS&amp;VAR:INDEX=0"}</definedName>
    <definedName name="_12_._0SGA_gro">[3]NOPAT_VDF!#REF!</definedName>
    <definedName name="_12_0Purch">[4]MERGER!#REF!</definedName>
    <definedName name="_120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2"}</definedName>
    <definedName name="_121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1"}</definedName>
    <definedName name="_122__FDSAUDITLINK__" hidden="1">{"fdsup://directions/FAT Viewer?action=UPDATE&amp;creator=factset&amp;DYN_ARGS=TRUE&amp;DOC_NAME=FAT:FQL_AUDITING_CLIENT_TEMPLATE.FAT&amp;display_string=Audit&amp;VAR:KEY=XWDGTAVEDY&amp;VAR:QUERY=RkZfRU5UUlBSX1ZBTF9EQUlMWSgwLC01QVksQU0sLCwnRElMJyk=&amp;WINDOW=FIRST_POPUP&amp;HEIGHT=450&amp;WI","DTH=450&amp;START_MAXIMIZED=FALSE&amp;VAR:CALENDAR=US&amp;VAR:SYMBOL=CYH&amp;VAR:INDEX=24"}</definedName>
    <definedName name="_123__FDSAUDITLINK__" hidden="1">{"fdsup://directions/FAT Viewer?action=UPDATE&amp;creator=factset&amp;DYN_ARGS=TRUE&amp;DOC_NAME=FAT:FQL_AUDITING_CLIENT_TEMPLATE.FAT&amp;display_string=Audit&amp;VAR:KEY=XWDGTAVEDY&amp;VAR:QUERY=RkZfRU5UUlBSX1ZBTF9EQUlMWSgwLC01QVksQU0sLCwnRElMJyk=&amp;WINDOW=FIRST_POPUP&amp;HEIGHT=450&amp;WI","DTH=450&amp;START_MAXIMIZED=FALSE&amp;VAR:CALENDAR=US&amp;VAR:SYMBOL=CYH&amp;VAR:INDEX=23"}</definedName>
    <definedName name="_124__FDSAUDITLINK__" hidden="1">{"fdsup://directions/FAT Viewer?action=UPDATE&amp;creator=factset&amp;DYN_ARGS=TRUE&amp;DOC_NAME=FAT:FQL_AUDITING_CLIENT_TEMPLATE.FAT&amp;display_string=Audit&amp;VAR:KEY=XWDGTAVEDY&amp;VAR:QUERY=RkZfRU5UUlBSX1ZBTF9EQUlMWSgwLC01QVksQU0sLCwnRElMJyk=&amp;WINDOW=FIRST_POPUP&amp;HEIGHT=450&amp;WI","DTH=450&amp;START_MAXIMIZED=FALSE&amp;VAR:CALENDAR=US&amp;VAR:SYMBOL=CYH&amp;VAR:INDEX=22"}</definedName>
    <definedName name="_125__FDSAUDITLINK__" hidden="1">{"fdsup://directions/FAT Viewer?action=UPDATE&amp;creator=factset&amp;DYN_ARGS=TRUE&amp;DOC_NAME=FAT:FQL_AUDITING_CLIENT_TEMPLATE.FAT&amp;display_string=Audit&amp;VAR:KEY=XWDGTAVEDY&amp;VAR:QUERY=RkZfRU5UUlBSX1ZBTF9EQUlMWSgwLC01QVksQU0sLCwnRElMJyk=&amp;WINDOW=FIRST_POPUP&amp;HEIGHT=450&amp;WI","DTH=450&amp;START_MAXIMIZED=FALSE&amp;VAR:CALENDAR=US&amp;VAR:SYMBOL=CYH&amp;VAR:INDEX=21"}</definedName>
    <definedName name="_126__FDSAUDITLINK__" hidden="1">{"fdsup://directions/FAT Viewer?action=UPDATE&amp;creator=factset&amp;DYN_ARGS=TRUE&amp;DOC_NAME=FAT:FQL_AUDITING_CLIENT_TEMPLATE.FAT&amp;display_string=Audit&amp;VAR:KEY=XWDGTAVEDY&amp;VAR:QUERY=RkZfRU5UUlBSX1ZBTF9EQUlMWSgwLC01QVksQU0sLCwnRElMJyk=&amp;WINDOW=FIRST_POPUP&amp;HEIGHT=450&amp;WI","DTH=450&amp;START_MAXIMIZED=FALSE&amp;VAR:CALENDAR=US&amp;VAR:SYMBOL=CYH&amp;VAR:INDEX=20"}</definedName>
    <definedName name="_127__FDSAUDITLINK__" hidden="1">{"fdsup://directions/FAT Viewer?action=UPDATE&amp;creator=factset&amp;DYN_ARGS=TRUE&amp;DOC_NAME=FAT:FQL_AUDITING_CLIENT_TEMPLATE.FAT&amp;display_string=Audit&amp;VAR:KEY=XWDGTAVEDY&amp;VAR:QUERY=RkZfRU5UUlBSX1ZBTF9EQUlMWSgwLC01QVksQU0sLCwnRElMJyk=&amp;WINDOW=FIRST_POPUP&amp;HEIGHT=450&amp;WI","DTH=450&amp;START_MAXIMIZED=FALSE&amp;VAR:CALENDAR=US&amp;VAR:SYMBOL=CYH&amp;VAR:INDEX=19"}</definedName>
    <definedName name="_129__FDSAUDITLINK__" hidden="1">{"fdsup://Directions/FactSet Auditing Viewer?action=AUDIT_VALUE&amp;DB=129&amp;ID1=91390310&amp;VALUEID=02001&amp;SDATE=201102&amp;PERIODTYPE=QTR_STD&amp;SCFT=3&amp;window=popup_no_bar&amp;width=385&amp;height=120&amp;START_MAXIMIZED=FALSE&amp;creator=factset&amp;display_string=Audit"}</definedName>
    <definedName name="_12NOPAT_Sh">[3]NOPAT_VDF!#REF!</definedName>
    <definedName name="_13__FDSAUDITLINK__" localSheetId="0" hidden="1">{"fdsup://IBCentral/FAT Viewer?action=UPDATE&amp;creator=factset&amp;DOC_NAME=fat:reuters_qtrly_source_window.fat&amp;display_string=Audit&amp;DYN_ARGS=TRUE&amp;VAR:ID1=70756910&amp;VAR:RCODE=ATOT&amp;VAR:SDATE=20091299&amp;VAR:FREQ=Quarterly&amp;VAR:RELITEM=&amp;VAR:CURRENCY=&amp;VAR:CURRSOURCE=EXSH","ARE&amp;VAR:NATFREQ=QUARTERLY&amp;VAR:RFIELD=FINALIZED&amp;VAR:DB_TYPE=&amp;VAR:UNITS=M&amp;window=popup&amp;width=450&amp;height=300&amp;START_MAXIMIZED=FALSE"}</definedName>
    <definedName name="_13__FDSAUDITLINK__" hidden="1">{"fdsup://directions/FAT Viewer?action=UPDATE&amp;creator=factset&amp;DYN_ARGS=TRUE&amp;DOC_NAME=FAT:FQL_AUDITING_CLIENT_TEMPLATE.FAT&amp;display_string=Audit&amp;VAR:KEY=XIPOJKHCHW&amp;VAR:QUERY=RkZfRUJJVERBX09QRVJfTUdOKFFUUiwwKQ==&amp;WINDOW=FIRST_POPUP&amp;HEIGHT=450&amp;WIDTH=450&amp;START_MA","XIMIZED=FALSE&amp;VAR:CALENDAR=US&amp;VAR:SYMBOL=CPSI&amp;VAR:INDEX=0"}</definedName>
    <definedName name="_13_._0Shares_repurchase_liabil">'[3]Invested capital_VDF'!#REF!</definedName>
    <definedName name="_13_0Purch">[4]MERGER!#REF!</definedName>
    <definedName name="_130__FDSAUDITLINK__" hidden="1">{"fdsup://Directions/FactSet Auditing Viewer?action=AUDIT_VALUE&amp;DB=129&amp;ID1=20366810&amp;VALUEID=02001&amp;SDATE=201102&amp;PERIODTYPE=QTR_STD&amp;SCFT=3&amp;window=popup_no_bar&amp;width=385&amp;height=120&amp;START_MAXIMIZED=FALSE&amp;creator=factset&amp;display_string=Audit"}</definedName>
    <definedName name="_131__FDSAUDITLINK__" hidden="1">{"fdsup://directions/FAT Viewer?action=UPDATE&amp;creator=factset&amp;DYN_ARGS=TRUE&amp;DOC_NAME=FAT:FQL_AUDITING_CLIENT_TEMPLATE.FAT&amp;display_string=Audit&amp;VAR:KEY=PQDILOBAPO&amp;VAR:QUERY=RkZfREVCVChRVFIsMCk=&amp;WINDOW=FIRST_POPUP&amp;HEIGHT=450&amp;WIDTH=450&amp;START_MAXIMIZED=FALSE&amp;VA","R:CALENDAR=US&amp;VAR:SYMBOL=VHS&amp;VAR:INDEX=0"}</definedName>
    <definedName name="_132__FDSAUDITLINK__" hidden="1">{"fdsup://Directions/FactSet Auditing Viewer?action=AUDIT_VALUE&amp;DB=129&amp;ID1=92203620&amp;VALUEID=02001&amp;SDATE=201203&amp;PERIODTYPE=QTR_STD&amp;SCFT=3&amp;window=popup_no_bar&amp;width=385&amp;height=120&amp;START_MAXIMIZED=FALSE&amp;creator=factset&amp;display_string=Audit"}</definedName>
    <definedName name="_133__FDSAUDITLINK__" hidden="1">{"fdsup://directions/FAT Viewer?action=UPDATE&amp;creator=factset&amp;DYN_ARGS=TRUE&amp;DOC_NAME=FAT:FQL_AUDITING_CLIENT_TEMPLATE.FAT&amp;display_string=Audit&amp;VAR:KEY=DITWRWDCNA&amp;VAR:QUERY=SlVMSUFOKElDX0FDVFVBTChTQUxFUygpLFFUUiwwKS5kYXRlcyk=&amp;WINDOW=FIRST_POPUP&amp;HEIGHT=450&amp;WI","DTH=450&amp;START_MAXIMIZED=FALSE&amp;VAR:CALENDAR=US&amp;VAR:SYMBOL=CYH&amp;VAR:INDEX=0"}</definedName>
    <definedName name="_134__FDSAUDITLINK__" hidden="1">{"fdsup://directions/FAT Viewer?action=UPDATE&amp;creator=factset&amp;DYN_ARGS=TRUE&amp;DOC_NAME=FAT:FQL_AUDITING_CLIENT_TEMPLATE.FAT&amp;display_string=Audit&amp;VAR:KEY=VYVSZKVWFQ&amp;VAR:QUERY=SlVMSUFOKElDX0VTVElNQVRFKFNBTEVTKCksTUVBTixRVFJfUk9MTCwrMSwwKS5kYXRlcyk=&amp;WINDOW=FIRST","_POPUP&amp;HEIGHT=450&amp;WIDTH=450&amp;START_MAXIMIZED=FALSE&amp;VAR:CALENDAR=US&amp;VAR:SYMBOL=CYH&amp;VAR:INDEX=0"}</definedName>
    <definedName name="_135__FDSAUDITLINK__" hidden="1">{"fdsup://directions/FAT Viewer?action=UPDATE&amp;creator=factset&amp;DYN_ARGS=TRUE&amp;DOC_NAME=FAT:FQL_AUDITING_CLIENT_TEMPLATE.FAT&amp;display_string=Audit&amp;VAR:KEY=XWDGTAVEDY&amp;VAR:QUERY=RkZfRU5UUlBSX1ZBTF9EQUlMWSgwLC01QVksQU0sLCwnRElMJyk=&amp;WINDOW=FIRST_POPUP&amp;HEIGHT=450&amp;WI","DTH=450&amp;START_MAXIMIZED=FALSE&amp;VAR:CALENDAR=US&amp;VAR:SYMBOL=CYH&amp;VAR:INDEX=11"}</definedName>
    <definedName name="_136__FDSAUDITLINK__" hidden="1">{"fdsup://directions/FAT Viewer?action=UPDATE&amp;creator=factset&amp;DYN_ARGS=TRUE&amp;DOC_NAME=FAT:FQL_AUDITING_CLIENT_TEMPLATE.FAT&amp;display_string=Audit&amp;VAR:KEY=XWDGTAVEDY&amp;VAR:QUERY=RkZfRU5UUlBSX1ZBTF9EQUlMWSgwLC01QVksQU0sLCwnRElMJyk=&amp;WINDOW=FIRST_POPUP&amp;HEIGHT=450&amp;WI","DTH=450&amp;START_MAXIMIZED=FALSE&amp;VAR:CALENDAR=US&amp;VAR:SYMBOL=CYH&amp;VAR:INDEX=10"}</definedName>
    <definedName name="_137__FDSAUDITLINK__" hidden="1">{"fdsup://directions/FAT Viewer?action=UPDATE&amp;creator=factset&amp;DYN_ARGS=TRUE&amp;DOC_NAME=FAT:FQL_AUDITING_CLIENT_TEMPLATE.FAT&amp;display_string=Audit&amp;VAR:KEY=XWDGTAVEDY&amp;VAR:QUERY=RkZfRU5UUlBSX1ZBTF9EQUlMWSgwLC01QVksQU0sLCwnRElMJyk=&amp;WINDOW=FIRST_POPUP&amp;HEIGHT=450&amp;WI","DTH=450&amp;START_MAXIMIZED=FALSE&amp;VAR:CALENDAR=US&amp;VAR:SYMBOL=CYH&amp;VAR:INDEX=9"}</definedName>
    <definedName name="_138__FDSAUDITLINK__" hidden="1">{"fdsup://directions/FAT Viewer?action=UPDATE&amp;creator=factset&amp;DYN_ARGS=TRUE&amp;DOC_NAME=FAT:FQL_AUDITING_CLIENT_TEMPLATE.FAT&amp;display_string=Audit&amp;VAR:KEY=XWDGTAVEDY&amp;VAR:QUERY=RkZfRU5UUlBSX1ZBTF9EQUlMWSgwLC01QVksQU0sLCwnRElMJyk=&amp;WINDOW=FIRST_POPUP&amp;HEIGHT=450&amp;WI","DTH=450&amp;START_MAXIMIZED=FALSE&amp;VAR:CALENDAR=US&amp;VAR:SYMBOL=CYH&amp;VAR:INDEX=8"}</definedName>
    <definedName name="_139__FDSAUDITLINK__" hidden="1">{"fdsup://directions/FAT Viewer?action=UPDATE&amp;creator=factset&amp;DYN_ARGS=TRUE&amp;DOC_NAME=FAT:FQL_AUDITING_CLIENT_TEMPLATE.FAT&amp;display_string=Audit&amp;VAR:KEY=XWDGTAVEDY&amp;VAR:QUERY=RkZfRU5UUlBSX1ZBTF9EQUlMWSgwLC01QVksQU0sLCwnRElMJyk=&amp;WINDOW=FIRST_POPUP&amp;HEIGHT=450&amp;WI","DTH=450&amp;START_MAXIMIZED=FALSE&amp;VAR:CALENDAR=US&amp;VAR:SYMBOL=CYH&amp;VAR:INDEX=7"}</definedName>
    <definedName name="_14__FDSAUDITLINK__" localSheetId="0" hidden="1">{"fdsup://IBCentral/FAT Viewer?action=UPDATE&amp;creator=factset&amp;DOC_NAME=fat:reuters_qtrly_source_window.fat&amp;display_string=Audit&amp;DYN_ARGS=TRUE&amp;VAR:ID1=70756910&amp;VAR:RCODE=ATOT&amp;VAR:SDATE=20101299&amp;VAR:FREQ=Quarterly&amp;VAR:RELITEM=&amp;VAR:CURRENCY=&amp;VAR:CURRSOURCE=EXSH","ARE&amp;VAR:NATFREQ=QUARTERLY&amp;VAR:RFIELD=FINALIZED&amp;VAR:DB_TYPE=&amp;VAR:UNITS=M&amp;window=popup&amp;width=450&amp;height=300&amp;START_MAXIMIZED=FALSE"}</definedName>
    <definedName name="_14__FDSAUDITLINK__" hidden="1">{"fdsup://directions/FAT Viewer?action=UPDATE&amp;creator=factset&amp;DYN_ARGS=TRUE&amp;DOC_NAME=FAT:FQL_AUDITING_CLIENT_TEMPLATE.FAT&amp;display_string=Audit&amp;VAR:KEY=JQVGDABUFI&amp;VAR:QUERY=RkZfRUJJVERBX09QRVJfTUdOKFFUUiwwKQ==&amp;WINDOW=FIRST_POPUP&amp;HEIGHT=450&amp;WIDTH=450&amp;START_MA","XIMIZED=FALSE&amp;VAR:CALENDAR=US&amp;VAR:SYMBOL=MDRX&amp;VAR:INDEX=0"}</definedName>
    <definedName name="_14_._0Shares_repurchase_liabil">'[3]Invested capital_VDF'!#REF!</definedName>
    <definedName name="_14_0Purch">[4]MERGER!#REF!</definedName>
    <definedName name="_140__FDSAUDITLINK__" hidden="1">{"fdsup://directions/FAT Viewer?action=UPDATE&amp;creator=factset&amp;DYN_ARGS=TRUE&amp;DOC_NAME=FAT:FQL_AUDITING_CLIENT_TEMPLATE.FAT&amp;display_string=Audit&amp;VAR:KEY=XWDGTAVEDY&amp;VAR:QUERY=RkZfRU5UUlBSX1ZBTF9EQUlMWSgwLC01QVksQU0sLCwnRElMJyk=&amp;WINDOW=FIRST_POPUP&amp;HEIGHT=450&amp;WI","DTH=450&amp;START_MAXIMIZED=FALSE&amp;VAR:CALENDAR=US&amp;VAR:SYMBOL=CYH&amp;VAR:INDEX=6"}</definedName>
    <definedName name="_141__FDSAUDITLINK__" hidden="1">{"fdsup://directions/FAT Viewer?action=UPDATE&amp;creator=factset&amp;DYN_ARGS=TRUE&amp;DOC_NAME=FAT:FQL_AUDITING_CLIENT_TEMPLATE.FAT&amp;display_string=Audit&amp;VAR:KEY=XWDGTAVEDY&amp;VAR:QUERY=RkZfRU5UUlBSX1ZBTF9EQUlMWSgwLC01QVksQU0sLCwnRElMJyk=&amp;WINDOW=FIRST_POPUP&amp;HEIGHT=450&amp;WI","DTH=450&amp;START_MAXIMIZED=FALSE&amp;VAR:CALENDAR=US&amp;VAR:SYMBOL=CYH&amp;VAR:INDEX=5"}</definedName>
    <definedName name="_142__FDSAUDITLINK__" hidden="1">{"fdsup://directions/FAT Viewer?action=UPDATE&amp;creator=factset&amp;DYN_ARGS=TRUE&amp;DOC_NAME=FAT:FQL_AUDITING_CLIENT_TEMPLATE.FAT&amp;display_string=Audit&amp;VAR:KEY=XWDGTAVEDY&amp;VAR:QUERY=RkZfRU5UUlBSX1ZBTF9EQUlMWSgwLC01QVksQU0sLCwnRElMJyk=&amp;WINDOW=FIRST_POPUP&amp;HEIGHT=450&amp;WI","DTH=450&amp;START_MAXIMIZED=FALSE&amp;VAR:CALENDAR=US&amp;VAR:SYMBOL=CYH&amp;VAR:INDEX=4"}</definedName>
    <definedName name="_143__FDSAUDITLINK__" hidden="1">{"fdsup://directions/FAT Viewer?action=UPDATE&amp;creator=factset&amp;DYN_ARGS=TRUE&amp;DOC_NAME=FAT:FQL_AUDITING_CLIENT_TEMPLATE.FAT&amp;display_string=Audit&amp;VAR:KEY=XWDGTAVEDY&amp;VAR:QUERY=RkZfRU5UUlBSX1ZBTF9EQUlMWSgwLC01QVksQU0sLCwnRElMJyk=&amp;WINDOW=FIRST_POPUP&amp;HEIGHT=450&amp;WI","DTH=450&amp;START_MAXIMIZED=FALSE&amp;VAR:CALENDAR=US&amp;VAR:SYMBOL=CYH&amp;VAR:INDEX=3"}</definedName>
    <definedName name="_144__FDSAUDITLINK__" hidden="1">{"fdsup://directions/FAT Viewer?action=UPDATE&amp;creator=factset&amp;DYN_ARGS=TRUE&amp;DOC_NAME=FAT:FQL_AUDITING_CLIENT_TEMPLATE.FAT&amp;display_string=Audit&amp;VAR:KEY=XWDGTAVEDY&amp;VAR:QUERY=RkZfRU5UUlBSX1ZBTF9EQUlMWSgwLC01QVksQU0sLCwnRElMJyk=&amp;WINDOW=FIRST_POPUP&amp;HEIGHT=450&amp;WI","DTH=450&amp;START_MAXIMIZED=FALSE&amp;VAR:CALENDAR=US&amp;VAR:SYMBOL=CYH&amp;VAR:INDEX=2"}</definedName>
    <definedName name="_145__FDSAUDITLINK__" hidden="1">{"fdsup://directions/FAT Viewer?action=UPDATE&amp;creator=factset&amp;DYN_ARGS=TRUE&amp;DOC_NAME=FAT:FQL_AUDITING_CLIENT_TEMPLATE.FAT&amp;display_string=Audit&amp;VAR:KEY=XWDGTAVEDY&amp;VAR:QUERY=RkZfRU5UUlBSX1ZBTF9EQUlMWSgwLC01QVksQU0sLCwnRElMJyk=&amp;WINDOW=FIRST_POPUP&amp;HEIGHT=450&amp;WI","DTH=450&amp;START_MAXIMIZED=FALSE&amp;VAR:CALENDAR=US&amp;VAR:SYMBOL=CYH&amp;VAR:INDEX=1"}</definedName>
    <definedName name="_15__FDSAUDITLINK__" localSheetId="0" hidden="1">{"fdsup://IBCentral/FAT Viewer?action=UPDATE&amp;creator=factset&amp;DOC_NAME=fat:reuters_qtrly_source_window.fat&amp;display_string=Audit&amp;DYN_ARGS=TRUE&amp;VAR:ID1=92929710&amp;VAR:RCODE=LTCL&amp;VAR:SDATE=20070699&amp;VAR:FREQ=Quarterly&amp;VAR:RELITEM=&amp;VAR:CURRENCY=&amp;VAR:CURRSOURCE=EXSH","ARE&amp;VAR:NATFREQ=QUARTERLY&amp;VAR:RFIELD=FINALIZED&amp;VAR:DB_TYPE=&amp;VAR:UNITS=M&amp;window=popup&amp;width=450&amp;height=300&amp;START_MAXIMIZED=FALSE"}</definedName>
    <definedName name="_15__FDSAUDITLINK__" hidden="1">{"fdsup://directions/FAT Viewer?action=UPDATE&amp;creator=factset&amp;DYN_ARGS=TRUE&amp;DOC_NAME=FAT:FQL_AUDITING_CLIENT_TEMPLATE.FAT&amp;display_string=Audit&amp;VAR:KEY=PWDCPOFYDK&amp;VAR:QUERY=RkZfRUJJVERBX09QRVJfTUdOKFFUUiwwKQ==&amp;WINDOW=FIRST_POPUP&amp;HEIGHT=450&amp;WIDTH=450&amp;START_MA","XIMIZED=FALSE&amp;VAR:CALENDAR=US&amp;VAR:SYMBOL=ATHN&amp;VAR:INDEX=0"}</definedName>
    <definedName name="_15_0.CHA">'[5]Chart 2'!#REF!,'[5]Chart 2'!$A$1:$P$10</definedName>
    <definedName name="_15_0Purch">[4]MERGER!#REF!</definedName>
    <definedName name="_16__FDSAUDITLINK__" localSheetId="0" hidden="1">{"fdsup://IBCentral/FAT Viewer?action=UPDATE&amp;creator=factset&amp;DOC_NAME=fat:reuters_qtrly_source_window.fat&amp;display_string=Audit&amp;DYN_ARGS=TRUE&amp;VAR:ID1=92929710&amp;VAR:RCODE=LTCL&amp;VAR:SDATE=20060699&amp;VAR:FREQ=Quarterly&amp;VAR:RELITEM=&amp;VAR:CURRENCY=&amp;VAR:CURRSOURCE=EXSH","ARE&amp;VAR:NATFREQ=QUARTERLY&amp;VAR:RFIELD=FINALIZED&amp;VAR:DB_TYPE=&amp;VAR:UNITS=M&amp;window=popup&amp;width=450&amp;height=300&amp;START_MAXIMIZED=FALSE"}</definedName>
    <definedName name="_16__FDSAUDITLINK__" hidden="1">{"fdsup://directions/FAT Viewer?action=UPDATE&amp;creator=factset&amp;DYN_ARGS=TRUE&amp;DOC_NAME=FAT:FQL_AUDITING_CLIENT_TEMPLATE.FAT&amp;display_string=Audit&amp;VAR:KEY=FCZENSJYJK&amp;VAR:QUERY=RkZfRUJJVERBX09QRVJfTUdOKFFUUiwwKQ==&amp;WINDOW=FIRST_POPUP&amp;HEIGHT=450&amp;WIDTH=450&amp;START_MA","XIMIZED=FALSE&amp;VAR:CALENDAR=US&amp;VAR:SYMBOL=QSII&amp;VAR:INDEX=0"}</definedName>
    <definedName name="_16_0.CHA">'[5]Chart 2'!#REF!,'[5]Chart 2'!$A$1:$P$10</definedName>
    <definedName name="_16_0Purch">[4]MERGER!#REF!</definedName>
    <definedName name="_17__FDSAUDITLINK__" localSheetId="0" hidden="1">{"fdsup://IBCentral/FAT Viewer?action=UPDATE&amp;creator=factset&amp;DOC_NAME=fat:reuters_qtrly_source_window.fat&amp;display_string=Audit&amp;DYN_ARGS=TRUE&amp;VAR:ID1=92929710&amp;VAR:RCODE=LTCL&amp;VAR:SDATE=20050699&amp;VAR:FREQ=Quarterly&amp;VAR:RELITEM=&amp;VAR:CURRENCY=&amp;VAR:CURRSOURCE=EXSH","ARE&amp;VAR:NATFREQ=QUARTERLY&amp;VAR:RFIELD=FINALIZED&amp;VAR:DB_TYPE=&amp;VAR:UNITS=M&amp;window=popup&amp;width=450&amp;height=300&amp;START_MAXIMIZED=FALSE"}</definedName>
    <definedName name="_17__FDSAUDITLINK__" hidden="1">{"fdsup://directions/FAT Viewer?action=UPDATE&amp;creator=factset&amp;DYN_ARGS=TRUE&amp;DOC_NAME=FAT:FQL_AUDITING_CLIENT_TEMPLATE.FAT&amp;display_string=Audit&amp;VAR:KEY=LWNSHKLQTE&amp;VAR:QUERY=RkZfRUJJVERBX09QRVJfTUdOKFFUUiwwKQ==&amp;WINDOW=FIRST_POPUP&amp;HEIGHT=450&amp;WIDTH=450&amp;START_MA","XIMIZED=FALSE&amp;VAR:CALENDAR=US&amp;VAR:SYMBOL=CERN&amp;VAR:INDEX=0"}</definedName>
    <definedName name="_17_0_for1">[6]Lookups!#REF!</definedName>
    <definedName name="_17_0Purch">[4]MERGER!#REF!</definedName>
    <definedName name="_18__FDSAUDITLINK__" localSheetId="0" hidden="1">{"fdsup://IBCentral/FAT Viewer?action=UPDATE&amp;creator=factset&amp;DOC_NAME=fat:reuters_qtrly_source_window.fat&amp;display_string=Audit&amp;DYN_ARGS=TRUE&amp;VAR:ID1=92929710&amp;VAR:RCODE=LTCL&amp;VAR:SDATE=20040699&amp;VAR:FREQ=Quarterly&amp;VAR:RELITEM=&amp;VAR:CURRENCY=&amp;VAR:CURRSOURCE=EXSH","ARE&amp;VAR:NATFREQ=QUARTERLY&amp;VAR:RFIELD=FINALIZED&amp;VAR:DB_TYPE=&amp;VAR:UNITS=M&amp;window=popup&amp;width=450&amp;height=300&amp;START_MAXIMIZED=FALSE"}</definedName>
    <definedName name="_18__FDSAUDITLINK__" hidden="1">{"fdsup://directions/FAT Viewer?action=UPDATE&amp;creator=factset&amp;DYN_ARGS=TRUE&amp;DOC_NAME=FAT:FQL_AUDITING_CLIENT_TEMPLATE.FAT&amp;display_string=Audit&amp;VAR:KEY=EPKPEBABGZ&amp;VAR:QUERY=RkVfVkFMVUFUSU9OKEVWX0VCSVREQSxNRUFOLEFOTlVBTCwyMDEzLE5PVywsLCcnKQ==&amp;WINDOW=FIRST_POP","UP&amp;HEIGHT=450&amp;WIDTH=450&amp;START_MAXIMIZED=FALSE&amp;VAR:CALENDAR=US&amp;VAR:SYMBOL=ICLR&amp;VAR:INDEX=0"}</definedName>
    <definedName name="_18_0_for1">[7]Lookups!#REF!</definedName>
    <definedName name="_18_0Purch">[4]MERGER!#REF!</definedName>
    <definedName name="_18Purch">[4]MERGER!#REF!</definedName>
    <definedName name="_19__FDSAUDITLINK__" localSheetId="0" hidden="1">{"fdsup://IBCentral/FAT Viewer?action=UPDATE&amp;creator=factset&amp;DOC_NAME=fat:reuters_qtrly_source_window.fat&amp;display_string=Audit&amp;DYN_ARGS=TRUE&amp;VAR:ID1=92929710&amp;VAR:RCODE=LTCL&amp;VAR:SDATE=20030699&amp;VAR:FREQ=Quarterly&amp;VAR:RELITEM=&amp;VAR:CURRENCY=&amp;VAR:CURRSOURCE=EXSH","ARE&amp;VAR:NATFREQ=QUARTERLY&amp;VAR:RFIELD=FINALIZED&amp;VAR:DB_TYPE=&amp;VAR:UNITS=M&amp;window=popup&amp;width=450&amp;height=300&amp;START_MAXIMIZED=FALSE"}</definedName>
    <definedName name="_19__FDSAUDITLINK__" hidden="1">{"fdsup://directions/FAT Viewer?action=UPDATE&amp;creator=factset&amp;DYN_ARGS=TRUE&amp;DOC_NAME=FAT:FQL_AUDITING_CLIENT_TEMPLATE.FAT&amp;display_string=Audit&amp;VAR:KEY=CPCRGJOXSD&amp;VAR:QUERY=RkVfVkFMVUFUSU9OKEVWX0VCSVREQSxNRUFOLEFOTlVBTCwyMDE0LE5PVywsLCcnKQ==&amp;WINDOW=FIRST_POP","UP&amp;HEIGHT=450&amp;WIDTH=450&amp;START_MAXIMIZED=FALSE&amp;VAR:CALENDAR=US&amp;VAR:SYMBOL=WX&amp;VAR:INDEX=0"}</definedName>
    <definedName name="_19_._0Gross_inc_gro">[3]NOPAT_VDF!#REF!</definedName>
    <definedName name="_19_0_GT10Mfo">[6]Lookups!#REF!</definedName>
    <definedName name="_19_0Purch">[4]MERGER!#REF!</definedName>
    <definedName name="_1994">#REF!</definedName>
    <definedName name="_1995">#REF!</definedName>
    <definedName name="_1996">#REF!</definedName>
    <definedName name="_1997">#REF!</definedName>
    <definedName name="_1998">#REF!</definedName>
    <definedName name="_1999">#REF!</definedName>
    <definedName name="_1Q94">#REF!</definedName>
    <definedName name="_1Q95">#REF!</definedName>
    <definedName name="_2">#REF!</definedName>
    <definedName name="_2__FDSAUDITLINK__" localSheetId="0" hidden="1">{"fdsup://IBCentral/FAT Viewer?action=UPDATE&amp;creator=factset&amp;DOC_NAME=fat:reuters_qtrly_source_window.fat&amp;display_string=Audit&amp;DYN_ARGS=TRUE&amp;VAR:ID1=70756910&amp;VAR:RCODE=ATOT&amp;VAR:SDATE=20041299&amp;VAR:FREQ=Quarterly&amp;VAR:RELITEM=&amp;VAR:CURRENCY=&amp;VAR:CURRSOURCE=EXSH","ARE&amp;VAR:NATFREQ=QUARTERLY&amp;VAR:RFIELD=FINALIZED&amp;VAR:DB_TYPE=&amp;VAR:UNITS=M&amp;window=popup&amp;width=450&amp;height=300&amp;START_MAXIMIZED=FALSE"}</definedName>
    <definedName name="_2__FDSAUDITLINK__" hidden="1">{"fdsup://Directions/FactSet Auditing Viewer?action=AUDIT_VALUE&amp;DB=129&amp;ID1=04685W10&amp;VALUEID=01001&amp;SDATE=2011&amp;PERIODTYPE=ANN_STD&amp;SCFT=3&amp;window=popup_no_bar&amp;width=385&amp;height=120&amp;START_MAXIMIZED=FALSE&amp;creator=factset&amp;display_string=Audit"}</definedName>
    <definedName name="_2_0EBITDA_Sh">[3]NOPAT_VDF!#REF!</definedName>
    <definedName name="_20__FDSAUDITLINK__" localSheetId="0" hidden="1">{"fdsup://IBCentral/FAT Viewer?action=UPDATE&amp;creator=factset&amp;DOC_NAME=fat:reuters_qtrly_source_window.fat&amp;display_string=Audit&amp;DYN_ARGS=TRUE&amp;VAR:ID1=92929710&amp;VAR:RCODE=ATOT&amp;VAR:SDATE=20090699&amp;VAR:FREQ=Quarterly&amp;VAR:RELITEM=&amp;VAR:CURRENCY=&amp;VAR:CURRSOURCE=EXSH","ARE&amp;VAR:NATFREQ=QUARTERLY&amp;VAR:RFIELD=FINALIZED&amp;VAR:DB_TYPE=&amp;VAR:UNITS=M&amp;window=popup&amp;width=450&amp;height=300&amp;START_MAXIMIZED=FALSE"}</definedName>
    <definedName name="_20__FDSAUDITLINK__" hidden="1">{"fdsup://directions/FAT Viewer?action=UPDATE&amp;creator=factset&amp;DYN_ARGS=TRUE&amp;DOC_NAME=FAT:FQL_AUDITING_CLIENT_TEMPLATE.FAT&amp;display_string=Audit&amp;VAR:KEY=YZAZOHSNGH&amp;VAR:QUERY=RkVfVkFMVUFUSU9OKEVWX0VCSVREQSxNRUFOLEFOTlVBTCwyMDEzLE5PVywsLCcnKQ==&amp;WINDOW=FIRST_POP","UP&amp;HEIGHT=450&amp;WIDTH=450&amp;START_MAXIMIZED=FALSE&amp;VAR:CALENDAR=US&amp;VAR:SYMBOL=WX&amp;VAR:INDEX=0"}</definedName>
    <definedName name="_20_._0Gross_inc_gro">[3]NOPAT_VDF!#REF!</definedName>
    <definedName name="_20_0_GT10Mfo">[7]Lookups!#REF!</definedName>
    <definedName name="_20_0Purch">[4]MERGER!#REF!</definedName>
    <definedName name="_2000ADJ_FV_EBITDA">[8]Summary!#REF!</definedName>
    <definedName name="_2000ADJ_FV_SALES">[8]Summary!#REF!</definedName>
    <definedName name="_2000CFPS_ADJ">#REF!</definedName>
    <definedName name="_2000EBITDA_ADJ">[8]Summary!#REF!</definedName>
    <definedName name="_2000SALES_ADJ">[8]Summary!#REF!</definedName>
    <definedName name="_2000TAX_RATE">#REF!</definedName>
    <definedName name="_2001ADJ_FV_EBITDA">[8]Summary!#REF!</definedName>
    <definedName name="_2001ADJ_FV_EBITDA_eu">'[8](e)Summary'!#REF!</definedName>
    <definedName name="_2001ADJ_FV_SALES">[8]Summary!#REF!</definedName>
    <definedName name="_2001ADJ_FV_SALES_eu">'[8](e)Summary'!#REF!</definedName>
    <definedName name="_2001Avg_Market_Cap_eu">'[8](e)Summary'!$N$5</definedName>
    <definedName name="_2001FV_eu">'[8](e)Summary'!$N$7</definedName>
    <definedName name="_2001NET_DEBT_eu">'[8](e)Summary'!$N$6</definedName>
    <definedName name="_2001SALES_ADJ">[8]Summary!#REF!</definedName>
    <definedName name="_2002ADJ_FV_EBITDA">[8]Summary!#REF!</definedName>
    <definedName name="_2002ADJ_FV_EBITDA_eu">'[8](e)Summary'!#REF!</definedName>
    <definedName name="_2002ADJ_FV_SALES">[8]Summary!#REF!</definedName>
    <definedName name="_2002ADJ_FV_SALES_eu">'[8](e)Summary'!#REF!</definedName>
    <definedName name="_2002SALES_ADJ">[8]Summary!#REF!</definedName>
    <definedName name="_2002SHARES_eu">'[8](e)Summary'!$O$4</definedName>
    <definedName name="_21__FDSAUDITLINK__" localSheetId="0" hidden="1">{"fdsup://IBCentral/FAT Viewer?action=UPDATE&amp;creator=factset&amp;DOC_NAME=fat:reuters_qtrly_source_window.fat&amp;display_string=Audit&amp;DYN_ARGS=TRUE&amp;VAR:ID1=92929710&amp;VAR:RCODE=ATOT&amp;VAR:SDATE=20080699&amp;VAR:FREQ=Quarterly&amp;VAR:RELITEM=&amp;VAR:CURRENCY=&amp;VAR:CURRSOURCE=EXSH","ARE&amp;VAR:NATFREQ=QUARTERLY&amp;VAR:RFIELD=FINALIZED&amp;VAR:DB_TYPE=&amp;VAR:UNITS=M&amp;window=popup&amp;width=450&amp;height=300&amp;START_MAXIMIZED=FALSE"}</definedName>
    <definedName name="_21__FDSAUDITLINK__" hidden="1">{"fdsup://directions/FAT Viewer?action=UPDATE&amp;creator=factset&amp;DYN_ARGS=TRUE&amp;DOC_NAME=FAT:FQL_AUDITING_CLIENT_TEMPLATE.FAT&amp;display_string=Audit&amp;VAR:KEY=ZCLCRSDAPS&amp;VAR:QUERY=RkZfUk9FKEFOTiwwKQ==&amp;WINDOW=FIRST_POPUP&amp;HEIGHT=450&amp;WIDTH=450&amp;START_MAXIMIZED=FALSE&amp;VA","R:CALENDAR=US&amp;VAR:SYMBOL=PRXL&amp;VAR:INDEX=0"}</definedName>
    <definedName name="_21_._0Gross_inc_gro">[3]NOPAT_VDF!#REF!</definedName>
    <definedName name="_21_3_0Income_before_ta">[3]NOPAT_VDF!#REF!</definedName>
    <definedName name="_21Purch">[4]MERGER!#REF!</definedName>
    <definedName name="_22__FDSAUDITLINK__" localSheetId="0" hidden="1">{"fdsup://IBCentral/FAT Viewer?action=UPDATE&amp;creator=factset&amp;DOC_NAME=fat:reuters_qtrly_source_window.fat&amp;display_string=Audit&amp;DYN_ARGS=TRUE&amp;VAR:ID1=92929710&amp;VAR:RCODE=ATOT&amp;VAR:SDATE=20070699&amp;VAR:FREQ=Quarterly&amp;VAR:RELITEM=&amp;VAR:CURRENCY=&amp;VAR:CURRSOURCE=EXSH","ARE&amp;VAR:NATFREQ=QUARTERLY&amp;VAR:RFIELD=FINALIZED&amp;VAR:DB_TYPE=&amp;VAR:UNITS=M&amp;window=popup&amp;width=450&amp;height=300&amp;START_MAXIMIZED=FALSE"}</definedName>
    <definedName name="_22__FDSAUDITLINK__" hidden="1">{"fdsup://directions/FAT Viewer?action=UPDATE&amp;creator=factset&amp;DYN_ARGS=TRUE&amp;DOC_NAME=FAT:FQL_AUDITING_CLIENT_TEMPLATE.FAT&amp;display_string=Audit&amp;VAR:KEY=BYLCVWFIZG&amp;VAR:QUERY=RkZfUEJLKEFOTiwwKQ==&amp;WINDOW=FIRST_POPUP&amp;HEIGHT=450&amp;WIDTH=450&amp;START_MAXIMIZED=FALSE&amp;VA","R:CALENDAR=US&amp;VAR:SYMBOL=PRXL&amp;VAR:INDEX=0"}</definedName>
    <definedName name="_22_._0Gross_inc_gro">[3]NOPAT_VDF!#REF!</definedName>
    <definedName name="_22_3_0Income_before_ta">[3]NOPAT_VDF!#REF!</definedName>
    <definedName name="_23__FDSAUDITLINK__" localSheetId="0" hidden="1">{"fdsup://IBCentral/FAT Viewer?action=UPDATE&amp;creator=factset&amp;DOC_NAME=fat:reuters_qtrly_source_window.fat&amp;display_string=Audit&amp;DYN_ARGS=TRUE&amp;VAR:ID1=92929710&amp;VAR:RCODE=ATOT&amp;VAR:SDATE=20060699&amp;VAR:FREQ=Quarterly&amp;VAR:RELITEM=&amp;VAR:CURRENCY=&amp;VAR:CURRSOURCE=EXSH","ARE&amp;VAR:NATFREQ=QUARTERLY&amp;VAR:RFIELD=FINALIZED&amp;VAR:DB_TYPE=&amp;VAR:UNITS=M&amp;window=popup&amp;width=450&amp;height=300&amp;START_MAXIMIZED=FALSE"}</definedName>
    <definedName name="_23__FDSAUDITLINK__" hidden="1">{"fdsup://directions/FAT Viewer?action=UPDATE&amp;creator=factset&amp;DYN_ARGS=TRUE&amp;DOC_NAME=FAT:FQL_AUDITING_CLIENT_TEMPLATE.FAT&amp;display_string=Audit&amp;VAR:KEY=ZIRGRQDQTW&amp;VAR:QUERY=RkZfUk9FKEFOTiwwKQ==&amp;WINDOW=FIRST_POPUP&amp;HEIGHT=450&amp;WIDTH=450&amp;START_MAXIMIZED=FALSE&amp;VA","R:CALENDAR=US&amp;VAR:SYMBOL=CVD&amp;VAR:INDEX=0"}</definedName>
    <definedName name="_23_._0Gross_inc_gro">[3]NOPAT_VDF!#REF!</definedName>
    <definedName name="_23_._0Restructuring_char">'[3]Invested capital_VDF'!#REF!</definedName>
    <definedName name="_23_3_0Increase_in_other_liabilit">[3]NOPAT_VDF!#REF!</definedName>
    <definedName name="_237_0_for1">[9]Lookups!#REF!</definedName>
    <definedName name="_238_0_for1">[7]Lookups!#REF!</definedName>
    <definedName name="_239_0_for1">[7]Lookups!#REF!</definedName>
    <definedName name="_24__FDSAUDITLINK__" localSheetId="0" hidden="1">{"fdsup://IBCentral/FAT Viewer?action=UPDATE&amp;creator=factset&amp;DOC_NAME=fat:reuters_qtrly_source_window.fat&amp;display_string=Audit&amp;DYN_ARGS=TRUE&amp;VAR:ID1=92929710&amp;VAR:RCODE=ATOT&amp;VAR:SDATE=20050699&amp;VAR:FREQ=Quarterly&amp;VAR:RELITEM=&amp;VAR:CURRENCY=&amp;VAR:CURRSOURCE=EXSH","ARE&amp;VAR:NATFREQ=QUARTERLY&amp;VAR:RFIELD=FINALIZED&amp;VAR:DB_TYPE=&amp;VAR:UNITS=M&amp;window=popup&amp;width=450&amp;height=300&amp;START_MAXIMIZED=FALSE"}</definedName>
    <definedName name="_24__FDSAUDITLINK__" hidden="1">{"fdsup://directions/FAT Viewer?action=UPDATE&amp;creator=factset&amp;DYN_ARGS=TRUE&amp;DOC_NAME=FAT:FQL_AUDITING_CLIENT_TEMPLATE.FAT&amp;display_string=Audit&amp;VAR:KEY=NEPKPEBABG&amp;VAR:QUERY=RkZfUEJLKEFOTiwwKQ==&amp;WINDOW=FIRST_POPUP&amp;HEIGHT=450&amp;WIDTH=450&amp;START_MAXIMIZED=FALSE&amp;VA","R:CALENDAR=US&amp;VAR:SYMBOL=CVD&amp;VAR:INDEX=0"}</definedName>
    <definedName name="_24_._0Gross_inc_gro">[3]NOPAT_VDF!#REF!</definedName>
    <definedName name="_24_._0Restructuring_char">'[3]Invested capital_VDF'!#REF!</definedName>
    <definedName name="_24_3_0Increase_in_other_liabilit">[3]NOPAT_VDF!#REF!</definedName>
    <definedName name="_240_0_for1">[7]Lookups!#REF!</definedName>
    <definedName name="_241_0_for1">[7]Lookups!#REF!</definedName>
    <definedName name="_242_0_for1">[7]Lookups!#REF!</definedName>
    <definedName name="_243_0_for1">[7]Lookups!#REF!</definedName>
    <definedName name="_25__FDSAUDITLINK__" localSheetId="0" hidden="1">{"fdsup://IBCentral/FAT Viewer?action=UPDATE&amp;creator=factset&amp;DOC_NAME=fat:reuters_qtrly_source_window.fat&amp;display_string=Audit&amp;DYN_ARGS=TRUE&amp;VAR:ID1=92929710&amp;VAR:RCODE=ATOT&amp;VAR:SDATE=20040699&amp;VAR:FREQ=Quarterly&amp;VAR:RELITEM=&amp;VAR:CURRENCY=&amp;VAR:CURRSOURCE=EXSH","ARE&amp;VAR:NATFREQ=QUARTERLY&amp;VAR:RFIELD=FINALIZED&amp;VAR:DB_TYPE=&amp;VAR:UNITS=M&amp;window=popup&amp;width=450&amp;height=300&amp;START_MAXIMIZED=FALSE"}</definedName>
    <definedName name="_25__FDSAUDITLINK__" hidden="1">{"fdsup://directions/FAT Viewer?action=UPDATE&amp;creator=factset&amp;DYN_ARGS=TRUE&amp;DOC_NAME=FAT:FQL_AUDITING_CLIENT_TEMPLATE.FAT&amp;display_string=Audit&amp;VAR:KEY=DCPCRGJOXS&amp;VAR:QUERY=RkZfUk9FKEFOTiwwKQ==&amp;WINDOW=FIRST_POPUP&amp;HEIGHT=450&amp;WIDTH=450&amp;START_MAXIMIZED=FALSE&amp;VA","R:CALENDAR=US&amp;VAR:SYMBOL=CRL&amp;VAR:INDEX=0"}</definedName>
    <definedName name="_25_._0Gross_inc_gro">[3]NOPAT_VDF!#REF!</definedName>
    <definedName name="_25_._0Restructuring_char">'[3]Invested capital_VDF'!#REF!</definedName>
    <definedName name="_25_3_0Other_Segment_Reven">[3]NOPAT_VDF!#REF!</definedName>
    <definedName name="_26__FDSAUDITLINK__" localSheetId="0" hidden="1">{"fdsup://IBCentral/FAT Viewer?action=UPDATE&amp;creator=factset&amp;DOC_NAME=fat:reuters_qtrly_source_window.fat&amp;display_string=Audit&amp;DYN_ARGS=TRUE&amp;VAR:ID1=92929710&amp;VAR:RCODE=ATOT&amp;VAR:SDATE=20030699&amp;VAR:FREQ=Quarterly&amp;VAR:RELITEM=&amp;VAR:CURRENCY=&amp;VAR:CURRSOURCE=EXSH","ARE&amp;VAR:NATFREQ=QUARTERLY&amp;VAR:RFIELD=FINALIZED&amp;VAR:DB_TYPE=&amp;VAR:UNITS=M&amp;window=popup&amp;width=450&amp;height=300&amp;START_MAXIMIZED=FALSE"}</definedName>
    <definedName name="_26__FDSAUDITLINK__" hidden="1">{"fdsup://directions/FAT Viewer?action=UPDATE&amp;creator=factset&amp;DYN_ARGS=TRUE&amp;DOC_NAME=FAT:FQL_AUDITING_CLIENT_TEMPLATE.FAT&amp;display_string=Audit&amp;VAR:KEY=ZYZAZOHSNG&amp;VAR:QUERY=RkZfUEJLKEFOTiwwKQ==&amp;WINDOW=FIRST_POPUP&amp;HEIGHT=450&amp;WIDTH=450&amp;START_MAXIMIZED=FALSE&amp;VA","R:CALENDAR=US&amp;VAR:SYMBOL=CRL&amp;VAR:INDEX=0"}</definedName>
    <definedName name="_26_._0Gross_inc_gro">[3]NOPAT_VDF!#REF!</definedName>
    <definedName name="_26_._0Restructuring_char">'[3]Invested capital_VDF'!#REF!</definedName>
    <definedName name="_26_3_0Other_Segment_Reven">[3]NOPAT_VDF!#REF!</definedName>
    <definedName name="_27__FDSAUDITLINK__" localSheetId="0" hidden="1">{"fdsup://IBCentral/FAT Viewer?action=UPDATE&amp;creator=factset&amp;DOC_NAME=fat:reuters_qtrly_source_window.fat&amp;display_string=Audit&amp;DYN_ARGS=TRUE&amp;VAR:ID1=46459210&amp;VAR:RCODE=LTCL&amp;VAR:SDATE=20050199&amp;VAR:FREQ=Quarterly&amp;VAR:RELITEM=&amp;VAR:CURRENCY=&amp;VAR:CURRSOURCE=EXSH","ARE&amp;VAR:NATFREQ=QUARTERLY&amp;VAR:RFIELD=FINALIZED&amp;VAR:DB_TYPE=&amp;VAR:UNITS=M&amp;window=popup&amp;width=450&amp;height=300&amp;START_MAXIMIZED=FALSE"}</definedName>
    <definedName name="_27__FDSAUDITLINK__" hidden="1">{"fdsup://directions/FAT Viewer?action=UPDATE&amp;creator=factset&amp;DYN_ARGS=TRUE&amp;DOC_NAME=FAT:FQL_AUDITING_CLIENT_TEMPLATE.FAT&amp;display_string=Audit&amp;VAR:KEY=ZCLCRSDAPS&amp;VAR:QUERY=RkZfUk9FKEFOTiwwKQ==&amp;WINDOW=FIRST_POPUP&amp;HEIGHT=450&amp;WIDTH=450&amp;START_MAXIMIZED=FALSE&amp;VA","R:CALENDAR=US&amp;VAR:SYMBOL=PRXL&amp;VAR:INDEX=0"}</definedName>
    <definedName name="_27_._0Restructuring_char">'[3]Invested capital_VDF'!#REF!</definedName>
    <definedName name="_27_._0SGA_gro">[3]NOPAT_VDF!#REF!</definedName>
    <definedName name="_28__FDSAUDITLINK__" localSheetId="0" hidden="1">{"fdsup://IBCentral/FAT Viewer?action=UPDATE&amp;creator=factset&amp;DOC_NAME=fat:reuters_qtrly_source_window.fat&amp;display_string=Audit&amp;DYN_ARGS=TRUE&amp;VAR:ID1=46459210&amp;VAR:RCODE=ATOT&amp;VAR:SDATE=20110199&amp;VAR:FREQ=Quarterly&amp;VAR:RELITEM=&amp;VAR:CURRENCY=&amp;VAR:CURRSOURCE=EXSH","ARE&amp;VAR:NATFREQ=QUARTERLY&amp;VAR:RFIELD=FINALIZED&amp;VAR:DB_TYPE=&amp;VAR:UNITS=M&amp;window=popup&amp;width=450&amp;height=300&amp;START_MAXIMIZED=FALSE"}</definedName>
    <definedName name="_28__FDSAUDITLINK__" hidden="1">{"fdsup://directions/FAT Viewer?action=UPDATE&amp;creator=factset&amp;DYN_ARGS=TRUE&amp;DOC_NAME=FAT:FQL_AUDITING_CLIENT_TEMPLATE.FAT&amp;display_string=Audit&amp;VAR:KEY=BYLCVWFIZG&amp;VAR:QUERY=RkZfUEJLKEFOTiwwKQ==&amp;WINDOW=FIRST_POPUP&amp;HEIGHT=450&amp;WIDTH=450&amp;START_MAXIMIZED=FALSE&amp;VA","R:CALENDAR=US&amp;VAR:SYMBOL=PRXL&amp;VAR:INDEX=0"}</definedName>
    <definedName name="_28_._0Restructuring_char">'[3]Invested capital_VDF'!#REF!</definedName>
    <definedName name="_28_._0SGA_gro">[3]NOPAT_VDF!#REF!</definedName>
    <definedName name="_29__FDSAUDITLINK__" localSheetId="0" hidden="1">{"fdsup://IBCentral/FAT Viewer?action=UPDATE&amp;creator=factset&amp;DOC_NAME=fat:reuters_qtrly_source_window.fat&amp;display_string=Audit&amp;DYN_ARGS=TRUE&amp;VAR:ID1=46459210&amp;VAR:RCODE=LTCL&amp;VAR:SDATE=20040199&amp;VAR:FREQ=Quarterly&amp;VAR:RELITEM=&amp;VAR:CURRENCY=&amp;VAR:CURRSOURCE=EXSH","ARE&amp;VAR:NATFREQ=QUARTERLY&amp;VAR:RFIELD=FINALIZED&amp;VAR:DB_TYPE=&amp;VAR:UNITS=M&amp;window=popup&amp;width=450&amp;height=300&amp;START_MAXIMIZED=FALSE"}</definedName>
    <definedName name="_29__FDSAUDITLINK__" hidden="1">{"fdsup://directions/FAT Viewer?action=UPDATE&amp;creator=factset&amp;DYN_ARGS=TRUE&amp;DOC_NAME=FAT:FQL_AUDITING_CLIENT_TEMPLATE.FAT&amp;display_string=Audit&amp;VAR:KEY=ZIRGRQDQTW&amp;VAR:QUERY=RkZfUk9FKEFOTiwwKQ==&amp;WINDOW=FIRST_POPUP&amp;HEIGHT=450&amp;WIDTH=450&amp;START_MAXIMIZED=FALSE&amp;VA","R:CALENDAR=US&amp;VAR:SYMBOL=CVD&amp;VAR:INDEX=0"}</definedName>
    <definedName name="_29_._0Restructuring_char">'[3]Invested capital_VDF'!#REF!</definedName>
    <definedName name="_29_._0SGA_gro">[3]NOPAT_VDF!#REF!</definedName>
    <definedName name="_2Q94">#REF!</definedName>
    <definedName name="_2Q95">#REF!</definedName>
    <definedName name="_3">#REF!</definedName>
    <definedName name="_3__FDSAUDITLINK__" localSheetId="0" hidden="1">{"fdsup://IBCentral/FAT Viewer?action=UPDATE&amp;creator=factset&amp;DOC_NAME=fat:reuters_qtrly_source_window.fat&amp;display_string=Audit&amp;DYN_ARGS=TRUE&amp;VAR:ID1=70756910&amp;VAR:RCODE=LTCL&amp;VAR:SDATE=20051299&amp;VAR:FREQ=Quarterly&amp;VAR:RELITEM=&amp;VAR:CURRENCY=&amp;VAR:CURRSOURCE=EXSH","ARE&amp;VAR:NATFREQ=QUARTERLY&amp;VAR:RFIELD=FINALIZED&amp;VAR:DB_TYPE=&amp;VAR:UNITS=M&amp;window=popup&amp;width=450&amp;height=300&amp;START_MAXIMIZED=FALSE"}</definedName>
    <definedName name="_3__FDSAUDITLINK__" hidden="1">{"fdsup://Directions/FactSet Auditing Viewer?action=AUDIT_VALUE&amp;DB=129&amp;ID1=04685W10&amp;VALUEID=01001&amp;SDATE=2011&amp;PERIODTYPE=ANN_STD&amp;SCFT=3&amp;window=popup_no_bar&amp;width=385&amp;height=120&amp;START_MAXIMIZED=FALSE&amp;creator=factset&amp;display_string=Audit"}</definedName>
    <definedName name="_3_0EBITDA_Sh">[3]NOPAT_VDF!#REF!</definedName>
    <definedName name="_3_0NOPAT_Sh">[3]NOPAT_VDF!#REF!</definedName>
    <definedName name="_30__FDSAUDITLINK__" localSheetId="0" hidden="1">{"fdsup://IBCentral/FAT Viewer?action=UPDATE&amp;creator=factset&amp;DOC_NAME=fat:reuters_qtrly_source_window.fat&amp;display_string=Audit&amp;DYN_ARGS=TRUE&amp;VAR:ID1=46459210&amp;VAR:RCODE=ATOT&amp;VAR:SDATE=20060499&amp;VAR:FREQ=Quarterly&amp;VAR:RELITEM=&amp;VAR:CURRENCY=&amp;VAR:CURRSOURCE=EXSH","ARE&amp;VAR:NATFREQ=QUARTERLY&amp;VAR:RFIELD=FINALIZED&amp;VAR:DB_TYPE=&amp;VAR:UNITS=M&amp;window=popup&amp;width=450&amp;height=300&amp;START_MAXIMIZED=FALSE"}</definedName>
    <definedName name="_30__FDSAUDITLINK__" hidden="1">{"fdsup://directions/FAT Viewer?action=UPDATE&amp;creator=factset&amp;DYN_ARGS=TRUE&amp;DOC_NAME=FAT:FQL_AUDITING_CLIENT_TEMPLATE.FAT&amp;display_string=Audit&amp;VAR:KEY=NEPKPEBABG&amp;VAR:QUERY=RkZfUEJLKEFOTiwwKQ==&amp;WINDOW=FIRST_POPUP&amp;HEIGHT=450&amp;WIDTH=450&amp;START_MAXIMIZED=FALSE&amp;VA","R:CALENDAR=US&amp;VAR:SYMBOL=CVD&amp;VAR:INDEX=0"}</definedName>
    <definedName name="_30_._0Restructuring_char">'[3]Invested capital_VDF'!#REF!</definedName>
    <definedName name="_30_._0SGA_gro">[3]NOPAT_VDF!#REF!</definedName>
    <definedName name="_31__FDSAUDITLINK__" localSheetId="0" hidden="1">{"fdsup://IBCentral/FAT Viewer?action=UPDATE&amp;creator=factset&amp;DOC_NAME=fat:reuters_qtrly_source_window.fat&amp;display_string=Audit&amp;DYN_ARGS=TRUE&amp;VAR:ID1=46459210&amp;VAR:RCODE=ATOT&amp;VAR:SDATE=20040199&amp;VAR:FREQ=Quarterly&amp;VAR:RELITEM=&amp;VAR:CURRENCY=&amp;VAR:CURRSOURCE=EXSH","ARE&amp;VAR:NATFREQ=QUARTERLY&amp;VAR:RFIELD=FINALIZED&amp;VAR:DB_TYPE=&amp;VAR:UNITS=M&amp;window=popup&amp;width=450&amp;height=300&amp;START_MAXIMIZED=FALSE"}</definedName>
    <definedName name="_31__FDSAUDITLINK__" hidden="1">{"fdsup://directions/FAT Viewer?action=UPDATE&amp;creator=factset&amp;DYN_ARGS=TRUE&amp;DOC_NAME=FAT:FQL_AUDITING_CLIENT_TEMPLATE.FAT&amp;display_string=Audit&amp;VAR:KEY=DCPCRGJOXS&amp;VAR:QUERY=RkZfUk9FKEFOTiwwKQ==&amp;WINDOW=FIRST_POPUP&amp;HEIGHT=450&amp;WIDTH=450&amp;START_MAXIMIZED=FALSE&amp;VA","R:CALENDAR=US&amp;VAR:SYMBOL=CRL&amp;VAR:INDEX=0"}</definedName>
    <definedName name="_31_._0Restructuring_char">'[3]Invested capital_VDF'!#REF!</definedName>
    <definedName name="_31_._0SGA_gro">[3]NOPAT_VDF!#REF!</definedName>
    <definedName name="_31_._0Shares_repurchase_liabil">'[3]Invested capital_VDF'!#REF!</definedName>
    <definedName name="_32__FDSAUDITLINK__" hidden="1">{"fdsup://directions/FAT Viewer?action=UPDATE&amp;creator=factset&amp;DYN_ARGS=TRUE&amp;DOC_NAME=FAT:FQL_AUDITING_CLIENT_TEMPLATE.FAT&amp;display_string=Audit&amp;VAR:KEY=ZYZAZOHSNG&amp;VAR:QUERY=RkZfUEJLKEFOTiwwKQ==&amp;WINDOW=FIRST_POPUP&amp;HEIGHT=450&amp;WIDTH=450&amp;START_MAXIMIZED=FALSE&amp;VA","R:CALENDAR=US&amp;VAR:SYMBOL=CRL&amp;VAR:INDEX=0"}</definedName>
    <definedName name="_32_._0SGA_gro">[3]NOPAT_VDF!#REF!</definedName>
    <definedName name="_32_._0Shares_repurchase_liabil">'[3]Invested capital_VDF'!#REF!</definedName>
    <definedName name="_33__FDSAUDITLINK__" hidden="1">{"fdsup://Directions/FactSet Auditing Viewer?action=AUDIT_VALUE&amp;DB=129&amp;ID1=15986410&amp;VALUEID=01001&amp;SDATE=2012&amp;PERIODTYPE=ANN_STD&amp;SCFT=3&amp;window=popup_no_bar&amp;width=385&amp;height=120&amp;START_MAXIMIZED=FALSE&amp;creator=factset&amp;display_string=Audit"}</definedName>
    <definedName name="_33_._0SGA_gro">[3]NOPAT_VDF!#REF!</definedName>
    <definedName name="_33_._0Shares_repurchase_liabil">'[3]Invested capital_VDF'!#REF!</definedName>
    <definedName name="_331_0_for1">[9]Lookups!#REF!</definedName>
    <definedName name="_332_0_for1">[7]Lookups!#REF!</definedName>
    <definedName name="_333_0_for1">[7]Lookups!#REF!</definedName>
    <definedName name="_334_0_for1">[7]Lookups!#REF!</definedName>
    <definedName name="_335_0_for1">[7]Lookups!#REF!</definedName>
    <definedName name="_336_0_for1">[7]Lookups!#REF!</definedName>
    <definedName name="_337_0_for1">[7]Lookups!#REF!</definedName>
    <definedName name="_34__FDSAUDITLINK__" hidden="1">{"fdsup://Directions/FactSet Auditing Viewer?action=AUDIT_VALUE&amp;DB=129&amp;ID1=69329V10&amp;VALUEID=01001&amp;SDATE=2012&amp;PERIODTYPE=ANN_STD&amp;SCFT=3&amp;window=popup_no_bar&amp;width=385&amp;height=120&amp;START_MAXIMIZED=FALSE&amp;creator=factset&amp;display_string=Audit"}</definedName>
    <definedName name="_34_._0SGA_gro">[3]NOPAT_VDF!#REF!</definedName>
    <definedName name="_34_._0Shares_repurchase_liabil">'[3]Invested capital_VDF'!#REF!</definedName>
    <definedName name="_35__FDSAUDITLINK__" hidden="1">{"fdsup://Directions/FactSet Auditing Viewer?action=AUDIT_VALUE&amp;DB=129&amp;ID1=58471A10&amp;VALUEID=01001&amp;SDATE=2012&amp;PERIODTYPE=ANN_STD&amp;SCFT=3&amp;window=popup_no_bar&amp;width=385&amp;height=120&amp;START_MAXIMIZED=FALSE&amp;creator=factset&amp;display_string=Audit"}</definedName>
    <definedName name="_35_._0SGA_gro">[3]NOPAT_VDF!#REF!</definedName>
    <definedName name="_35_._0Shares_repurchase_liabil">'[3]Invested capital_VDF'!#REF!</definedName>
    <definedName name="_35_.CHA">'[5]Chart 2'!#REF!,'[5]Chart 2'!$A$1:$P$10</definedName>
    <definedName name="_36__FDSAUDITLINK__" hidden="1">{"fdsup://Directions/FactSet Auditing Viewer?action=AUDIT_VALUE&amp;DB=129&amp;ID1=09058M10&amp;VALUEID=01001&amp;SDATE=2012&amp;PERIODTYPE=ANN_STD&amp;SCFT=3&amp;window=popup_no_bar&amp;width=385&amp;height=120&amp;START_MAXIMIZED=FALSE&amp;creator=factset&amp;display_string=Audit"}</definedName>
    <definedName name="_36_.__Gross_inc_gro">[3]NOPAT_VDF!#REF!</definedName>
    <definedName name="_36_._0SGA_gro">[3]NOPAT_VDF!#REF!</definedName>
    <definedName name="_36_._0Shares_repurchase_liabil">'[3]Invested capital_VDF'!#REF!</definedName>
    <definedName name="_37__FDSAUDITLINK__" hidden="1">{"fdsup://Directions/FactSet Auditing Viewer?action=AUDIT_VALUE&amp;DB=129&amp;ID1=B94G47&amp;VALUEID=01001&amp;SDATE=2012&amp;PERIODTYPE=ANN_STD&amp;SCFT=3&amp;window=popup_no_bar&amp;width=385&amp;height=120&amp;START_MAXIMIZED=FALSE&amp;creator=factset&amp;display_string=Audit"}</definedName>
    <definedName name="_37_.__Restructuring_char">'[3]Invested capital_VDF'!#REF!</definedName>
    <definedName name="_37_._0Shares_repurchase_liabil">'[3]Invested capital_VDF'!#REF!</definedName>
    <definedName name="_379_0_for1">[9]Lookups!#REF!</definedName>
    <definedName name="_38__FDSAUDITLINK__" hidden="1">{"fdsup://Directions/FactSet Auditing Viewer?action=AUDIT_VALUE&amp;DB=129&amp;ID1=69946210&amp;VALUEID=01001&amp;SDATE=2012&amp;PERIODTYPE=ANN_STD&amp;SCFT=3&amp;window=popup_no_bar&amp;width=385&amp;height=120&amp;START_MAXIMIZED=FALSE&amp;creator=factset&amp;display_string=Audit"}</definedName>
    <definedName name="_38_.__SGA_gro">[3]NOPAT_VDF!#REF!</definedName>
    <definedName name="_38_._0Shares_repurchase_liabil">'[3]Invested capital_VDF'!#REF!</definedName>
    <definedName name="_380_0_for1">[7]Lookups!#REF!</definedName>
    <definedName name="_381_0_for1">[7]Lookups!#REF!</definedName>
    <definedName name="_382_0_for1">[7]Lookups!#REF!</definedName>
    <definedName name="_383_0_for1">[7]Lookups!#REF!</definedName>
    <definedName name="_384_0_for1">[7]Lookups!#REF!</definedName>
    <definedName name="_39__FDSAUDITLINK__" hidden="1">{"fdsup://Directions/FactSet Auditing Viewer?action=AUDIT_VALUE&amp;DB=129&amp;ID1=22281610&amp;VALUEID=01001&amp;SDATE=2012&amp;PERIODTYPE=ANN_STD&amp;SCFT=3&amp;window=popup_no_bar&amp;width=385&amp;height=120&amp;START_MAXIMIZED=FALSE&amp;creator=factset&amp;display_string=Audit"}</definedName>
    <definedName name="_39_.__Shares_repurchase_liabil">'[3]Invested capital_VDF'!#REF!</definedName>
    <definedName name="_39_._0Shares_repurchase_liabil">'[3]Invested capital_VDF'!#REF!</definedName>
    <definedName name="_39_0.CHA">'[5]Chart 2'!#REF!,'[5]Chart 2'!$A$1:$P$10</definedName>
    <definedName name="_3Q94">#REF!</definedName>
    <definedName name="_3Q95">#REF!</definedName>
    <definedName name="_4">#REF!</definedName>
    <definedName name="_4__FDSAUDITLINK__" localSheetId="0" hidden="1">{"fdsup://IBCentral/FAT Viewer?action=UPDATE&amp;creator=factset&amp;DOC_NAME=fat:reuters_qtrly_source_window.fat&amp;display_string=Audit&amp;DYN_ARGS=TRUE&amp;VAR:ID1=70756910&amp;VAR:RCODE=ATOT&amp;VAR:SDATE=20051299&amp;VAR:FREQ=Quarterly&amp;VAR:RELITEM=&amp;VAR:CURRENCY=&amp;VAR:CURRSOURCE=EXSH","ARE&amp;VAR:NATFREQ=QUARTERLY&amp;VAR:RFIELD=FINALIZED&amp;VAR:DB_TYPE=&amp;VAR:UNITS=M&amp;window=popup&amp;width=450&amp;height=300&amp;START_MAXIMIZED=FALSE"}</definedName>
    <definedName name="_4__FDSAUDITLINK__" hidden="1">{"fdsup://Directions/FactSet Auditing Viewer?action=AUDIT_VALUE&amp;DB=129&amp;ID1=74758210&amp;VALUEID=02401&amp;SDATE=2006&amp;PERIODTYPE=ANN_STD&amp;window=popup_no_bar&amp;width=385&amp;height=120&amp;START_MAXIMIZED=FALSE&amp;creator=factset&amp;display_string=Audit"}</definedName>
    <definedName name="_4_0EBITDA_Sh">[3]NOPAT_VDF!#REF!</definedName>
    <definedName name="_4_0NOPAT_Sh">[3]NOPAT_VDF!#REF!</definedName>
    <definedName name="_40__FDSAUDITLINK__" hidden="1">{"fdsup://directions/FAT Viewer?action=UPDATE&amp;creator=factset&amp;DYN_ARGS=TRUE&amp;DOC_NAME=FAT:FQL_AUDITING_CLIENT_TEMPLATE.FAT&amp;display_string=Audit&amp;VAR:KEY=UVUJWNOHGF&amp;VAR:QUERY=RkVfVkFMVUFUSU9OKEVWX0VCSVREQSxNRUFOLEFOTlVBTCwyMDE0LE5PVywsLCcnKQ==&amp;WINDOW=FIRST_POP","UP&amp;HEIGHT=450&amp;WIDTH=450&amp;START_MAXIMIZED=FALSE&amp;VAR:CALENDAR=US&amp;VAR:SYMBOL=PDII&amp;VAR:INDEX=0"}</definedName>
    <definedName name="_40_._0Shares_repurchase_liabil">'[3]Invested capital_VDF'!#REF!</definedName>
    <definedName name="_40_0.CHA">'[5]Chart 2'!#REF!,'[5]Chart 2'!$A$1:$P$10</definedName>
    <definedName name="_41__FDSAUDITLINK__" hidden="1">{"fdsup://directions/FAT Viewer?action=UPDATE&amp;creator=factset&amp;DYN_ARGS=TRUE&amp;DOC_NAME=FAT:FQL_AUDITING_CLIENT_TEMPLATE.FAT&amp;display_string=Audit&amp;VAR:KEY=YRITKBWHOH&amp;VAR:QUERY=RkVfVkFMVUFUSU9OKEVWX0VCSVREQSxNRUFOLEFOTlVBTCwyMDEzLE5PVywsLCcnKQ==&amp;WINDOW=FIRST_POP","UP&amp;HEIGHT=450&amp;WIDTH=450&amp;START_MAXIMIZED=FALSE&amp;VAR:CALENDAR=US&amp;VAR:SYMBOL=PDII&amp;VAR:INDEX=0"}</definedName>
    <definedName name="_41_._0Shares_repurchase_liabil">'[3]Invested capital_VDF'!#REF!</definedName>
    <definedName name="_41_0.CHA">'[5]Chart 2'!#REF!,'[5]Chart 2'!$A$1:$P$10</definedName>
    <definedName name="_42__FDSAUDITLINK__" hidden="1">{"fdsup://directions/FAT Viewer?action=UPDATE&amp;creator=factset&amp;DYN_ARGS=TRUE&amp;DOC_NAME=FAT:FQL_AUDITING_CLIENT_TEMPLATE.FAT&amp;display_string=Audit&amp;VAR:KEY=QHQDUZKFCH&amp;VAR:QUERY=RkVfVkFMVUFUSU9OKEVWX0VCSVREQSxNRUFOLEFOTlVBTCwyMDE0LE5PVywsLCcnKQ==&amp;WINDOW=FIRST_POP","UP&amp;HEIGHT=450&amp;WIDTH=450&amp;START_MAXIMIZED=FALSE&amp;VAR:CALENDAR=US&amp;VAR:SYMBOL=MDSO&amp;VAR:INDEX=0"}</definedName>
    <definedName name="_42_.CHA">'[5]Chart 2'!#REF!,'[5]Chart 2'!$A$1:$P$10</definedName>
    <definedName name="_42_0.CHA">'[5]Chart 2'!#REF!,'[5]Chart 2'!$A$1:$P$10</definedName>
    <definedName name="_43__FDSAUDITLINK__" hidden="1">{"fdsup://directions/FAT Viewer?action=UPDATE&amp;creator=factset&amp;DYN_ARGS=TRUE&amp;DOC_NAME=FAT:FQL_AUDITING_CLIENT_TEMPLATE.FAT&amp;display_string=Audit&amp;VAR:KEY=OPGHWHAPUT&amp;VAR:QUERY=RkVfVkFMVUFUSU9OKEVWX0VCSVREQSxNRUFOLEFOTlVBTCwyMDEzLE5PVywsLCcnKQ==&amp;WINDOW=FIRST_POP","UP&amp;HEIGHT=450&amp;WIDTH=450&amp;START_MAXIMIZED=FALSE&amp;VAR:CALENDAR=US&amp;VAR:SYMBOL=MDSO&amp;VAR:INDEX=0"}</definedName>
    <definedName name="_43_.__Gross_inc_gro">[3]NOPAT_VDF!#REF!</definedName>
    <definedName name="_43_0.CHA">'[5]Chart 2'!#REF!,'[5]Chart 2'!$A$1:$P$10</definedName>
    <definedName name="_435_0_GT10Mfo">[9]Lookups!#REF!</definedName>
    <definedName name="_436_0_GT10Mfo">[7]Lookups!#REF!</definedName>
    <definedName name="_437_0_GT10Mfo">[7]Lookups!#REF!</definedName>
    <definedName name="_438_0_GT10Mfo">[7]Lookups!#REF!</definedName>
    <definedName name="_439_0_GT10Mfo">[7]Lookups!#REF!</definedName>
    <definedName name="_44__FDSAUDITLINK__" hidden="1">{"fdsup://directions/FAT Viewer?action=UPDATE&amp;creator=factset&amp;DYN_ARGS=TRUE&amp;DOC_NAME=FAT:FQL_AUDITING_CLIENT_TEMPLATE.FAT&amp;display_string=Audit&amp;VAR:KEY=CLCRSDAPSX&amp;VAR:QUERY=RkVfVkFMVUFUSU9OKEVWX0VCSVREQSxNRUFOLEFOTlVBTCwyMDE0LE5PVywsLCcnKQ==&amp;WINDOW=FIRST_POP","UP&amp;HEIGHT=450&amp;WIDTH=450&amp;START_MAXIMIZED=FALSE&amp;VAR:CALENDAR=US&amp;VAR:SYMBOL=BASI&amp;VAR:INDEX=0"}</definedName>
    <definedName name="_44_.__Restructuring_char">'[3]Invested capital_VDF'!#REF!</definedName>
    <definedName name="_44_0.CHA">'[5]Chart 2'!#REF!,'[5]Chart 2'!$A$1:$P$10</definedName>
    <definedName name="_440_0_GT10Mfo">[7]Lookups!#REF!</definedName>
    <definedName name="_441_0_GT10Mfo">[7]Lookups!#REF!</definedName>
    <definedName name="_442_3_0Income_before_ta">[3]NOPAT_VDF!#REF!</definedName>
    <definedName name="_443_3_0Income_before_ta">[3]NOPAT_VDF!#REF!</definedName>
    <definedName name="_444_3_0Income_before_ta">[3]NOPAT_VDF!#REF!</definedName>
    <definedName name="_445_3_0Income_before_ta">[3]NOPAT_VDF!#REF!</definedName>
    <definedName name="_446_3_0Income_before_ta">[3]NOPAT_VDF!#REF!</definedName>
    <definedName name="_447_3_0Increase_in_other_liabilit">[3]NOPAT_VDF!#REF!</definedName>
    <definedName name="_448_3_0Increase_in_other_liabilit">[3]NOPAT_VDF!#REF!</definedName>
    <definedName name="_449_3_0Increase_in_other_liabilit">[3]NOPAT_VDF!#REF!</definedName>
    <definedName name="_45__FDSAUDITLINK__" hidden="1">{"fdsup://directions/FAT Viewer?action=UPDATE&amp;creator=factset&amp;DYN_ARGS=TRUE&amp;DOC_NAME=FAT:FQL_AUDITING_CLIENT_TEMPLATE.FAT&amp;display_string=Audit&amp;VAR:KEY=YLCVWFIZGL&amp;VAR:QUERY=RkVfVkFMVUFUSU9OKEVWX0VCSVREQSxNRUFOLEFOTlVBTCwyMDEzLE5PVywsLCcnKQ==&amp;WINDOW=FIRST_POP","UP&amp;HEIGHT=450&amp;WIDTH=450&amp;START_MAXIMIZED=FALSE&amp;VAR:CALENDAR=US&amp;VAR:SYMBOL=BASI&amp;VAR:INDEX=0"}</definedName>
    <definedName name="_45_.__SGA_gro">[3]NOPAT_VDF!#REF!</definedName>
    <definedName name="_45_0.CHA">'[5]Chart 2'!#REF!,'[5]Chart 2'!$A$1:$P$10</definedName>
    <definedName name="_450_3_0Increase_in_other_liabilit">[3]NOPAT_VDF!#REF!</definedName>
    <definedName name="_451_3_0Increase_in_other_liabilit">[3]NOPAT_VDF!#REF!</definedName>
    <definedName name="_452_3_0Other_Segment_Reven">[3]NOPAT_VDF!#REF!</definedName>
    <definedName name="_453_3_0Other_Segment_Reven">[3]NOPAT_VDF!#REF!</definedName>
    <definedName name="_454_3_0Other_Segment_Reven">[3]NOPAT_VDF!#REF!</definedName>
    <definedName name="_455_3_0Other_Segment_Reven">[3]NOPAT_VDF!#REF!</definedName>
    <definedName name="_456_3_0Other_Segment_Reven">[3]NOPAT_VDF!#REF!</definedName>
    <definedName name="_46__FDSAUDITLINK__" hidden="1">{"fdsup://directions/FAT Viewer?action=UPDATE&amp;creator=factset&amp;DYN_ARGS=TRUE&amp;DOC_NAME=FAT:FQL_AUDITING_CLIENT_TEMPLATE.FAT&amp;display_string=Audit&amp;VAR:KEY=IRGRQDQTWB&amp;VAR:QUERY=RkVfVkFMVUFUSU9OKEVWX0VCSVREQSxNRUFOLEFOTlVBTCwyMDE0LE5PVywsLCcnKQ==&amp;WINDOW=FIRST_POP","UP&amp;HEIGHT=450&amp;WIDTH=450&amp;START_MAXIMIZED=FALSE&amp;VAR:CALENDAR=US&amp;VAR:SYMBOL=ICLR&amp;VAR:INDEX=0"}</definedName>
    <definedName name="_46_.__Shares_repurchase_liabil">'[3]Invested capital_VDF'!#REF!</definedName>
    <definedName name="_47__FDSAUDITLINK__" hidden="1">{"fdsup://directions/FAT Viewer?action=UPDATE&amp;creator=factset&amp;DYN_ARGS=TRUE&amp;DOC_NAME=FAT:FQL_AUDITING_CLIENT_TEMPLATE.FAT&amp;display_string=Audit&amp;VAR:KEY=EPKPEBABGZ&amp;VAR:QUERY=RkVfVkFMVUFUSU9OKEVWX0VCSVREQSxNRUFOLEFOTlVBTCwyMDEzLE5PVywsLCcnKQ==&amp;WINDOW=FIRST_POP","UP&amp;HEIGHT=450&amp;WIDTH=450&amp;START_MAXIMIZED=FALSE&amp;VAR:CALENDAR=US&amp;VAR:SYMBOL=ICLR&amp;VAR:INDEX=0"}</definedName>
    <definedName name="_47_0.CHA">'[5]Chart 2'!#REF!,'[5]Chart 2'!$A$1:$P$10</definedName>
    <definedName name="_48__FDSAUDITLINK__" hidden="1">{"fdsup://directions/FAT Viewer?action=UPDATE&amp;creator=factset&amp;DYN_ARGS=TRUE&amp;DOC_NAME=FAT:FQL_AUDITING_CLIENT_TEMPLATE.FAT&amp;display_string=Audit&amp;VAR:KEY=CPCRGJOXSD&amp;VAR:QUERY=RkVfVkFMVUFUSU9OKEVWX0VCSVREQSxNRUFOLEFOTlVBTCwyMDE0LE5PVywsLCcnKQ==&amp;WINDOW=FIRST_POP","UP&amp;HEIGHT=450&amp;WIDTH=450&amp;START_MAXIMIZED=FALSE&amp;VAR:CALENDAR=US&amp;VAR:SYMBOL=WX&amp;VAR:INDEX=0"}</definedName>
    <definedName name="_48_0.CHA">'[5]Chart 2'!#REF!,'[5]Chart 2'!$A$1:$P$10</definedName>
    <definedName name="_49__FDSAUDITLINK__" hidden="1">{"fdsup://directions/FAT Viewer?action=UPDATE&amp;creator=factset&amp;DYN_ARGS=TRUE&amp;DOC_NAME=FAT:FQL_AUDITING_CLIENT_TEMPLATE.FAT&amp;display_string=Audit&amp;VAR:KEY=YZAZOHSNGH&amp;VAR:QUERY=RkVfVkFMVUFUSU9OKEVWX0VCSVREQSxNRUFOLEFOTlVBTCwyMDEzLE5PVywsLCcnKQ==&amp;WINDOW=FIRST_POP","UP&amp;HEIGHT=450&amp;WIDTH=450&amp;START_MAXIMIZED=FALSE&amp;VAR:CALENDAR=US&amp;VAR:SYMBOL=WX&amp;VAR:INDEX=0"}</definedName>
    <definedName name="_49_0.CHA">'[5]Chart 2'!#REF!,'[5]Chart 2'!$A$1:$P$10</definedName>
    <definedName name="_4Q94">#REF!</definedName>
    <definedName name="_4Q95">#REF!</definedName>
    <definedName name="_5__FDSAUDITLINK__" localSheetId="0" hidden="1">{"fdsup://IBCentral/FAT Viewer?action=UPDATE&amp;creator=factset&amp;DOC_NAME=fat:reuters_qtrly_source_window.fat&amp;display_string=Audit&amp;DYN_ARGS=TRUE&amp;VAR:ID1=70756910&amp;VAR:RCODE=LTCL&amp;VAR:SDATE=20061299&amp;VAR:FREQ=Quarterly&amp;VAR:RELITEM=&amp;VAR:CURRENCY=&amp;VAR:CURRSOURCE=EXSH","ARE&amp;VAR:NATFREQ=QUARTERLY&amp;VAR:RFIELD=FINALIZED&amp;VAR:DB_TYPE=&amp;VAR:UNITS=M&amp;window=popup&amp;width=450&amp;height=300&amp;START_MAXIMIZED=FALSE"}</definedName>
    <definedName name="_5__FDSAUDITLINK__" hidden="1">{"fdsup://Directions/FactSet Auditing Viewer?action=AUDIT_VALUE&amp;DB=129&amp;ID1=87424N10&amp;VALUEID=01001&amp;SDATE=2011&amp;PERIODTYPE=ANN_STD&amp;SCFT=3&amp;window=popup_no_bar&amp;width=385&amp;height=120&amp;START_MAXIMIZED=FALSE&amp;creator=factset&amp;display_string=Audit"}</definedName>
    <definedName name="_5_0EBITDA_Sh">[3]NOPAT_VDF!#REF!</definedName>
    <definedName name="_5_0NOPAT_Sh">[3]NOPAT_VDF!#REF!</definedName>
    <definedName name="_5_0Purch">[4]MERGER!#REF!</definedName>
    <definedName name="_5_Region">[10]Master!$AE$1</definedName>
    <definedName name="_50__FDSAUDITLINK__" hidden="1">{"fdsup://directions/FAT Viewer?action=UPDATE&amp;creator=factset&amp;DYN_ARGS=TRUE&amp;DOC_NAME=FAT:FQL_AUDITING_CLIENT_TEMPLATE.FAT&amp;display_string=Audit&amp;VAR:KEY=JURMPWRKHY&amp;VAR:QUERY=UkdGX0VOVFJQUl9WQUxfREFJTFkoMCwtNkFNLEQsLCwsJ0RJTCcp&amp;WINDOW=FIRST_POPUP&amp;HEIGHT=450&amp;WI","DTH=450&amp;START_MAXIMIZED=FALSE&amp;VAR:CALENDAR=US&amp;VAR:SYMBOL=HCA&amp;VAR:INDEX=77"}</definedName>
    <definedName name="_50_0.CHA">'[5]Chart 2'!#REF!,'[5]Chart 2'!$A$1:$P$10</definedName>
    <definedName name="_51__FDSAUDITLINK__" hidden="1">{"fdsup://directions/FAT Viewer?action=UPDATE&amp;creator=factset&amp;DYN_ARGS=TRUE&amp;DOC_NAME=FAT:FQL_AUDITING_CLIENT_TEMPLATE.FAT&amp;display_string=Audit&amp;VAR:KEY=JURMPWRKHY&amp;VAR:QUERY=UkdGX0VOVFJQUl9WQUxfREFJTFkoMCwtNkFNLEQsLCwsJ0RJTCcp&amp;WINDOW=FIRST_POPUP&amp;HEIGHT=450&amp;WI","DTH=450&amp;START_MAXIMIZED=FALSE&amp;VAR:CALENDAR=US&amp;VAR:SYMBOL=HCA&amp;VAR:INDEX=76"}</definedName>
    <definedName name="_51_0.CHA">'[5]Chart 2'!#REF!,'[5]Chart 2'!$A$1:$P$10</definedName>
    <definedName name="_52__FDSAUDITLINK__" hidden="1">{"fdsup://directions/FAT Viewer?action=UPDATE&amp;creator=factset&amp;DYN_ARGS=TRUE&amp;DOC_NAME=FAT:FQL_AUDITING_CLIENT_TEMPLATE.FAT&amp;display_string=Audit&amp;VAR:KEY=JURMPWRKHY&amp;VAR:QUERY=UkdGX0VOVFJQUl9WQUxfREFJTFkoMCwtNkFNLEQsLCwsJ0RJTCcp&amp;WINDOW=FIRST_POPUP&amp;HEIGHT=450&amp;WI","DTH=450&amp;START_MAXIMIZED=FALSE&amp;VAR:CALENDAR=US&amp;VAR:SYMBOL=HCA&amp;VAR:INDEX=75"}</definedName>
    <definedName name="_52_0.CHA">'[5]Chart 2'!#REF!,'[5]Chart 2'!$A$1:$P$10</definedName>
    <definedName name="_53__FDSAUDITLINK__" hidden="1">{"fdsup://directions/FAT Viewer?action=UPDATE&amp;creator=factset&amp;DYN_ARGS=TRUE&amp;DOC_NAME=FAT:FQL_AUDITING_CLIENT_TEMPLATE.FAT&amp;display_string=Audit&amp;VAR:KEY=JURMPWRKHY&amp;VAR:QUERY=UkdGX0VOVFJQUl9WQUxfREFJTFkoMCwtNkFNLEQsLCwsJ0RJTCcp&amp;WINDOW=FIRST_POPUP&amp;HEIGHT=450&amp;WI","DTH=450&amp;START_MAXIMIZED=FALSE&amp;VAR:CALENDAR=US&amp;VAR:SYMBOL=HCA&amp;VAR:INDEX=74"}</definedName>
    <definedName name="_53_0.CHA">'[5]Chart 2'!#REF!,'[5]Chart 2'!$A$1:$P$10</definedName>
    <definedName name="_54__FDSAUDITLINK__" hidden="1">{"fdsup://directions/FAT Viewer?action=UPDATE&amp;creator=factset&amp;DYN_ARGS=TRUE&amp;DOC_NAME=FAT:FQL_AUDITING_CLIENT_TEMPLATE.FAT&amp;display_string=Audit&amp;VAR:KEY=JURMPWRKHY&amp;VAR:QUERY=UkdGX0VOVFJQUl9WQUxfREFJTFkoMCwtNkFNLEQsLCwsJ0RJTCcp&amp;WINDOW=FIRST_POPUP&amp;HEIGHT=450&amp;WI","DTH=450&amp;START_MAXIMIZED=FALSE&amp;VAR:CALENDAR=US&amp;VAR:SYMBOL=HCA&amp;VAR:INDEX=73"}</definedName>
    <definedName name="_55__FDSAUDITLINK__" hidden="1">{"fdsup://directions/FAT Viewer?action=UPDATE&amp;creator=factset&amp;DYN_ARGS=TRUE&amp;DOC_NAME=FAT:FQL_AUDITING_CLIENT_TEMPLATE.FAT&amp;display_string=Audit&amp;VAR:KEY=JURMPWRKHY&amp;VAR:QUERY=UkdGX0VOVFJQUl9WQUxfREFJTFkoMCwtNkFNLEQsLCwsJ0RJTCcp&amp;WINDOW=FIRST_POPUP&amp;HEIGHT=450&amp;WI","DTH=450&amp;START_MAXIMIZED=FALSE&amp;VAR:CALENDAR=US&amp;VAR:SYMBOL=HCA&amp;VAR:INDEX=72"}</definedName>
    <definedName name="_56__FDSAUDITLINK__" hidden="1">{"fdsup://directions/FAT Viewer?action=UPDATE&amp;creator=factset&amp;DYN_ARGS=TRUE&amp;DOC_NAME=FAT:FQL_AUDITING_CLIENT_TEMPLATE.FAT&amp;display_string=Audit&amp;VAR:KEY=JURMPWRKHY&amp;VAR:QUERY=UkdGX0VOVFJQUl9WQUxfREFJTFkoMCwtNkFNLEQsLCwsJ0RJTCcp&amp;WINDOW=FIRST_POPUP&amp;HEIGHT=450&amp;WI","DTH=450&amp;START_MAXIMIZED=FALSE&amp;VAR:CALENDAR=US&amp;VAR:SYMBOL=HCA&amp;VAR:INDEX=71"}</definedName>
    <definedName name="_57__FDSAUDITLINK__" hidden="1">{"fdsup://directions/FAT Viewer?action=UPDATE&amp;creator=factset&amp;DYN_ARGS=TRUE&amp;DOC_NAME=FAT:FQL_AUDITING_CLIENT_TEMPLATE.FAT&amp;display_string=Audit&amp;VAR:KEY=JURMPWRKHY&amp;VAR:QUERY=UkdGX0VOVFJQUl9WQUxfREFJTFkoMCwtNkFNLEQsLCwsJ0RJTCcp&amp;WINDOW=FIRST_POPUP&amp;HEIGHT=450&amp;WI","DTH=450&amp;START_MAXIMIZED=FALSE&amp;VAR:CALENDAR=US&amp;VAR:SYMBOL=HCA&amp;VAR:INDEX=70"}</definedName>
    <definedName name="_58__FDSAUDITLINK__" hidden="1">{"fdsup://directions/FAT Viewer?action=UPDATE&amp;creator=factset&amp;DYN_ARGS=TRUE&amp;DOC_NAME=FAT:FQL_AUDITING_CLIENT_TEMPLATE.FAT&amp;display_string=Audit&amp;VAR:KEY=JURMPWRKHY&amp;VAR:QUERY=UkdGX0VOVFJQUl9WQUxfREFJTFkoMCwtNkFNLEQsLCwsJ0RJTCcp&amp;WINDOW=FIRST_POPUP&amp;HEIGHT=450&amp;WI","DTH=450&amp;START_MAXIMIZED=FALSE&amp;VAR:CALENDAR=US&amp;VAR:SYMBOL=HCA&amp;VAR:INDEX=69"}</definedName>
    <definedName name="_59__FDSAUDITLINK__" hidden="1">{"fdsup://directions/FAT Viewer?action=UPDATE&amp;creator=factset&amp;DYN_ARGS=TRUE&amp;DOC_NAME=FAT:FQL_AUDITING_CLIENT_TEMPLATE.FAT&amp;display_string=Audit&amp;VAR:KEY=JURMPWRKHY&amp;VAR:QUERY=UkdGX0VOVFJQUl9WQUxfREFJTFkoMCwtNkFNLEQsLCwsJ0RJTCcp&amp;WINDOW=FIRST_POPUP&amp;HEIGHT=450&amp;WI","DTH=450&amp;START_MAXIMIZED=FALSE&amp;VAR:CALENDAR=US&amp;VAR:SYMBOL=HCA&amp;VAR:INDEX=68"}</definedName>
    <definedName name="_6__FDSAUDITLINK__" localSheetId="0" hidden="1">{"fdsup://IBCentral/FAT Viewer?action=UPDATE&amp;creator=factset&amp;DOC_NAME=fat:reuters_qtrly_source_window.fat&amp;display_string=Audit&amp;DYN_ARGS=TRUE&amp;VAR:ID1=70756910&amp;VAR:RCODE=LTCL&amp;VAR:SDATE=20071299&amp;VAR:FREQ=Quarterly&amp;VAR:RELITEM=&amp;VAR:CURRENCY=&amp;VAR:CURRSOURCE=EXSH","ARE&amp;VAR:NATFREQ=QUARTERLY&amp;VAR:RFIELD=FINALIZED&amp;VAR:DB_TYPE=&amp;VAR:UNITS=M&amp;window=popup&amp;width=450&amp;height=300&amp;START_MAXIMIZED=FALSE"}</definedName>
    <definedName name="_6__FDSAUDITLINK__" hidden="1">{"fdsup://directions/FAT Viewer?action=UPDATE&amp;creator=factset&amp;DYN_ARGS=TRUE&amp;DOC_NAME=FAT:FQL_AUDITING_CLIENT_TEMPLATE.FAT&amp;display_string=Audit&amp;VAR:KEY=TQPYFIXQPE&amp;VAR:QUERY=RkZfRUJJVERBX09QRVIoQU5OLDBDWSk=&amp;WINDOW=FIRST_POPUP&amp;HEIGHT=450&amp;WIDTH=450&amp;START_MAXIMI","ZED=FALSE&amp;VAR:CALENDAR=US&amp;VAR:SYMBOL=N&amp;VAR:INDEX=0"}</definedName>
    <definedName name="_6_0NOPAT_Sh">[3]NOPAT_VDF!#REF!</definedName>
    <definedName name="_6_0Purch">[4]MERGER!#REF!</definedName>
    <definedName name="_60__FDSAUDITLINK__" hidden="1">{"fdsup://directions/FAT Viewer?action=UPDATE&amp;creator=factset&amp;DYN_ARGS=TRUE&amp;DOC_NAME=FAT:FQL_AUDITING_CLIENT_TEMPLATE.FAT&amp;display_string=Audit&amp;VAR:KEY=JURMPWRKHY&amp;VAR:QUERY=UkdGX0VOVFJQUl9WQUxfREFJTFkoMCwtNkFNLEQsLCwsJ0RJTCcp&amp;WINDOW=FIRST_POPUP&amp;HEIGHT=450&amp;WI","DTH=450&amp;START_MAXIMIZED=FALSE&amp;VAR:CALENDAR=US&amp;VAR:SYMBOL=HCA&amp;VAR:INDEX=67"}</definedName>
    <definedName name="_61__FDSAUDITLINK__" hidden="1">{"fdsup://directions/FAT Viewer?action=UPDATE&amp;creator=factset&amp;DYN_ARGS=TRUE&amp;DOC_NAME=FAT:FQL_AUDITING_CLIENT_TEMPLATE.FAT&amp;display_string=Audit&amp;VAR:KEY=JURMPWRKHY&amp;VAR:QUERY=UkdGX0VOVFJQUl9WQUxfREFJTFkoMCwtNkFNLEQsLCwsJ0RJTCcp&amp;WINDOW=FIRST_POPUP&amp;HEIGHT=450&amp;WI","DTH=450&amp;START_MAXIMIZED=FALSE&amp;VAR:CALENDAR=US&amp;VAR:SYMBOL=HCA&amp;VAR:INDEX=66"}</definedName>
    <definedName name="_615_0_GT10Mfo">[9]Lookups!#REF!</definedName>
    <definedName name="_616_0_GT10Mfo">[7]Lookups!#REF!</definedName>
    <definedName name="_617_0_GT10Mfo">[7]Lookups!#REF!</definedName>
    <definedName name="_618_0_GT10Mfo">[7]Lookups!#REF!</definedName>
    <definedName name="_619_0_GT10Mfo">[7]Lookups!#REF!</definedName>
    <definedName name="_62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60"}</definedName>
    <definedName name="_620_0_GT10Mfo">[7]Lookups!#REF!</definedName>
    <definedName name="_621_0_GT10Mfo">[7]Lookups!#REF!</definedName>
    <definedName name="_622_3_0Income_before_ta">[3]NOPAT_VDF!#REF!</definedName>
    <definedName name="_623_3_0Income_before_ta">[3]NOPAT_VDF!#REF!</definedName>
    <definedName name="_624_3_0Income_before_ta">[3]NOPAT_VDF!#REF!</definedName>
    <definedName name="_625_3_0Income_before_ta">[3]NOPAT_VDF!#REF!</definedName>
    <definedName name="_626_3_0Income_before_ta">[3]NOPAT_VDF!#REF!</definedName>
    <definedName name="_627_3_0Increase_in_other_liabilit">[3]NOPAT_VDF!#REF!</definedName>
    <definedName name="_628_3_0Increase_in_other_liabilit">[3]NOPAT_VDF!#REF!</definedName>
    <definedName name="_629_3_0Increase_in_other_liabilit">[3]NOPAT_VDF!#REF!</definedName>
    <definedName name="_63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59"}</definedName>
    <definedName name="_630_3_0Increase_in_other_liabilit">[3]NOPAT_VDF!#REF!</definedName>
    <definedName name="_631_3_0Increase_in_other_liabilit">[3]NOPAT_VDF!#REF!</definedName>
    <definedName name="_632_3_0Other_Segment_Reven">[3]NOPAT_VDF!#REF!</definedName>
    <definedName name="_633_3_0Other_Segment_Reven">[3]NOPAT_VDF!#REF!</definedName>
    <definedName name="_634_3_0Other_Segment_Reven">[3]NOPAT_VDF!#REF!</definedName>
    <definedName name="_635_3_0Other_Segment_Reven">[3]NOPAT_VDF!#REF!</definedName>
    <definedName name="_636_3_0Other_Segment_Reven">[3]NOPAT_VDF!#REF!</definedName>
    <definedName name="_637_3__Income_before_ta">[3]NOPAT_VDF!#REF!</definedName>
    <definedName name="_638_3__Increase_in_other_liabilit">[3]NOPAT_VDF!#REF!</definedName>
    <definedName name="_639_3__Other_Segment_Reven">[3]NOPAT_VDF!#REF!</definedName>
    <definedName name="_64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58"}</definedName>
    <definedName name="_640for1">[7]Lookups!#REF!</definedName>
    <definedName name="_641GT10Mfo">[7]Lookups!#REF!</definedName>
    <definedName name="_65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57"}</definedName>
    <definedName name="_66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56"}</definedName>
    <definedName name="_67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55"}</definedName>
    <definedName name="_68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54"}</definedName>
    <definedName name="_69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53"}</definedName>
    <definedName name="_7__FDSAUDITLINK__" localSheetId="0" hidden="1">{"fdsup://IBCentral/FAT Viewer?action=UPDATE&amp;creator=factset&amp;DOC_NAME=fat:reuters_qtrly_source_window.fat&amp;display_string=Audit&amp;DYN_ARGS=TRUE&amp;VAR:ID1=70756910&amp;VAR:RCODE=ATOT&amp;VAR:SDATE=20061299&amp;VAR:FREQ=Quarterly&amp;VAR:RELITEM=&amp;VAR:CURRENCY=&amp;VAR:CURRSOURCE=EXSH","ARE&amp;VAR:NATFREQ=QUARTERLY&amp;VAR:RFIELD=FINALIZED&amp;VAR:DB_TYPE=&amp;VAR:UNITS=M&amp;window=popup&amp;width=450&amp;height=300&amp;START_MAXIMIZED=FALSE"}</definedName>
    <definedName name="_7__FDSAUDITLINK__" hidden="1">{"fdsup://Directions/FactSet Auditing Viewer?action=AUDIT_VALUE&amp;DB=129&amp;ID1=87424N10&amp;VALUEID=P05202&amp;SDATE=2011&amp;PERIODTYPE=ANN_STD&amp;SCFT=3&amp;window=popup_no_bar&amp;width=385&amp;height=120&amp;START_MAXIMIZED=FALSE&amp;creator=factset&amp;display_string=Audit"}</definedName>
    <definedName name="_7_._0Gross_inc_gro">[3]NOPAT_VDF!#REF!</definedName>
    <definedName name="_7_0NOPAT_Sh">[3]NOPAT_VDF!#REF!</definedName>
    <definedName name="_70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52"}</definedName>
    <definedName name="_71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51"}</definedName>
    <definedName name="_718_0_GT10Mfo">[9]Lookups!#REF!</definedName>
    <definedName name="_719_0_GT10Mfo">[7]Lookups!#REF!</definedName>
    <definedName name="_72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50"}</definedName>
    <definedName name="_720_0_GT10Mfo">[7]Lookups!#REF!</definedName>
    <definedName name="_721_0_GT10Mfo">[7]Lookups!#REF!</definedName>
    <definedName name="_722_0_GT10Mfo">[7]Lookups!#REF!</definedName>
    <definedName name="_723_0_GT10Mfo">[7]Lookups!#REF!</definedName>
    <definedName name="_724_3_0Income_before_ta">[3]NOPAT_VDF!#REF!</definedName>
    <definedName name="_725_3_0Income_before_ta">[3]NOPAT_VDF!#REF!</definedName>
    <definedName name="_726_3_0Income_before_ta">[3]NOPAT_VDF!#REF!</definedName>
    <definedName name="_727_3_0Income_before_ta">[3]NOPAT_VDF!#REF!</definedName>
    <definedName name="_728_3_0Increase_in_other_liabilit">[3]NOPAT_VDF!#REF!</definedName>
    <definedName name="_729_3_0Increase_in_other_liabilit">[3]NOPAT_VDF!#REF!</definedName>
    <definedName name="_73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49"}</definedName>
    <definedName name="_730_3_0Increase_in_other_liabilit">[3]NOPAT_VDF!#REF!</definedName>
    <definedName name="_731_3_0Increase_in_other_liabilit">[3]NOPAT_VDF!#REF!</definedName>
    <definedName name="_732_3_0Other_Segment_Reven">[3]NOPAT_VDF!#REF!</definedName>
    <definedName name="_733_3_0Other_Segment_Reven">[3]NOPAT_VDF!#REF!</definedName>
    <definedName name="_734_3_0Other_Segment_Reven">[3]NOPAT_VDF!#REF!</definedName>
    <definedName name="_735_3_0Other_Segment_Reven">[3]NOPAT_VDF!#REF!</definedName>
    <definedName name="_736_3__Income_before_ta">[3]NOPAT_VDF!#REF!</definedName>
    <definedName name="_737_3__Increase_in_other_liabilit">[3]NOPAT_VDF!#REF!</definedName>
    <definedName name="_738_3__Other_Segment_Reven">[3]NOPAT_VDF!#REF!</definedName>
    <definedName name="_74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48"}</definedName>
    <definedName name="_740for1">[7]Lookups!#REF!</definedName>
    <definedName name="_742GT10Mfo">[7]Lookups!#REF!</definedName>
    <definedName name="_75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47"}</definedName>
    <definedName name="_76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46"}</definedName>
    <definedName name="_77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45"}</definedName>
    <definedName name="_78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44"}</definedName>
    <definedName name="_79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43"}</definedName>
    <definedName name="_8__FDSAUDITLINK__" localSheetId="0" hidden="1">{"fdsup://IBCentral/FAT Viewer?action=UPDATE&amp;creator=factset&amp;DOC_NAME=fat:reuters_qtrly_source_window.fat&amp;display_string=Audit&amp;DYN_ARGS=TRUE&amp;VAR:ID1=70756910&amp;VAR:RCODE=LTCL&amp;VAR:SDATE=20081299&amp;VAR:FREQ=Quarterly&amp;VAR:RELITEM=&amp;VAR:CURRENCY=&amp;VAR:CURRSOURCE=EXSH","ARE&amp;VAR:NATFREQ=QUARTERLY&amp;VAR:RFIELD=FINALIZED&amp;VAR:DB_TYPE=&amp;VAR:UNITS=M&amp;window=popup&amp;width=450&amp;height=300&amp;START_MAXIMIZED=FALSE"}</definedName>
    <definedName name="_8__FDSAUDITLINK__" hidden="1">{"fdsup://Directions/FactSet Auditing Viewer?action=AUDIT_VALUE&amp;DB=129&amp;ID1=06647F10&amp;VALUEID=P05202&amp;SDATE=2011&amp;PERIODTYPE=ANN_STD&amp;SCFT=3&amp;window=popup_no_bar&amp;width=385&amp;height=120&amp;START_MAXIMIZED=FALSE&amp;creator=factset&amp;display_string=Audit"}</definedName>
    <definedName name="_8_._0Gross_inc_gro">[3]NOPAT_VDF!#REF!</definedName>
    <definedName name="_8_0NOPAT_Sh">[3]NOPAT_VDF!#REF!</definedName>
    <definedName name="_80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42"}</definedName>
    <definedName name="_81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41"}</definedName>
    <definedName name="_82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40"}</definedName>
    <definedName name="_83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39"}</definedName>
    <definedName name="_84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38"}</definedName>
    <definedName name="_85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37"}</definedName>
    <definedName name="_86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36"}</definedName>
    <definedName name="_87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35"}</definedName>
    <definedName name="_88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34"}</definedName>
    <definedName name="_89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33"}</definedName>
    <definedName name="_89BVPS">#REF!</definedName>
    <definedName name="_89DIV">#REF!</definedName>
    <definedName name="_89GROSS_MARGIN">#REF!</definedName>
    <definedName name="_89SHARES">#REF!</definedName>
    <definedName name="_9__FDSAUDITLINK__" localSheetId="0" hidden="1">{"fdsup://IBCentral/FAT Viewer?action=UPDATE&amp;creator=factset&amp;DOC_NAME=fat:reuters_qtrly_source_window.fat&amp;display_string=Audit&amp;DYN_ARGS=TRUE&amp;VAR:ID1=70756910&amp;VAR:RCODE=ATOT&amp;VAR:SDATE=20071299&amp;VAR:FREQ=Quarterly&amp;VAR:RELITEM=&amp;VAR:CURRENCY=&amp;VAR:CURRSOURCE=EXSH","ARE&amp;VAR:NATFREQ=QUARTERLY&amp;VAR:RFIELD=FINALIZED&amp;VAR:DB_TYPE=&amp;VAR:UNITS=M&amp;window=popup&amp;width=450&amp;height=300&amp;START_MAXIMIZED=FALSE"}</definedName>
    <definedName name="_9__FDSAUDITLINK__" hidden="1">{"fdsup://Directions/FactSet Auditing Viewer?action=AUDIT_VALUE&amp;DB=129&amp;ID1=68372A10&amp;VALUEID=P05202&amp;SDATE=2011&amp;PERIODTYPE=ANN_STD&amp;SCFT=3&amp;window=popup_no_bar&amp;width=385&amp;height=120&amp;START_MAXIMIZED=FALSE&amp;creator=factset&amp;display_string=Audit"}</definedName>
    <definedName name="_9_._0Restructuring_char">'[3]Invested capital_VDF'!#REF!</definedName>
    <definedName name="_9_0NOPAT_Sh">[3]NOPAT_VDF!#REF!</definedName>
    <definedName name="_90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32"}</definedName>
    <definedName name="_90BVPS">#REF!</definedName>
    <definedName name="_90CFPS">#REF!</definedName>
    <definedName name="_90DIV">#REF!</definedName>
    <definedName name="_90EPS">#REF!</definedName>
    <definedName name="_90GEAR">#REF!</definedName>
    <definedName name="_90GROSS_MARGIN">#REF!</definedName>
    <definedName name="_90PTP">#REF!</definedName>
    <definedName name="_90ROCE">#REF!</definedName>
    <definedName name="_90SALES">#REF!</definedName>
    <definedName name="_90SHARES">#REF!</definedName>
    <definedName name="_91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31"}</definedName>
    <definedName name="_91BVPS">#REF!</definedName>
    <definedName name="_91CFPS">#REF!</definedName>
    <definedName name="_91CFPSFL">#REF!</definedName>
    <definedName name="_91DIV">#REF!</definedName>
    <definedName name="_91DIVFL">#REF!</definedName>
    <definedName name="_91EPS">#REF!</definedName>
    <definedName name="_91EPSFL">#REF!</definedName>
    <definedName name="_91GEAR">#REF!</definedName>
    <definedName name="_91GROSS_MARGIN">#REF!</definedName>
    <definedName name="_91NET_DEBT">#REF!</definedName>
    <definedName name="_91NI">#REF!</definedName>
    <definedName name="_91PTP">#REF!</definedName>
    <definedName name="_91SALES">#REF!</definedName>
    <definedName name="_91SHARES">#REF!</definedName>
    <definedName name="_91SHARESFL">#REF!</definedName>
    <definedName name="_92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30"}</definedName>
    <definedName name="_92BVPS">#REF!</definedName>
    <definedName name="_92CFPS">#REF!</definedName>
    <definedName name="_92CFPSFL">#REF!</definedName>
    <definedName name="_92DIV">#REF!</definedName>
    <definedName name="_92DIVFL">#REF!</definedName>
    <definedName name="_92EPS">#REF!</definedName>
    <definedName name="_92EPSFL">#REF!</definedName>
    <definedName name="_92GEAR">#REF!</definedName>
    <definedName name="_92GROSS_MARGIN">#REF!</definedName>
    <definedName name="_92NET_DEBT">#REF!</definedName>
    <definedName name="_92NI">#REF!</definedName>
    <definedName name="_92PTP">#REF!</definedName>
    <definedName name="_92SALES">#REF!</definedName>
    <definedName name="_92SGA">[8]Summary!#REF!</definedName>
    <definedName name="_92SHARES">#REF!</definedName>
    <definedName name="_92SHARESFL">#REF!</definedName>
    <definedName name="_93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29"}</definedName>
    <definedName name="_93BVPS">#REF!</definedName>
    <definedName name="_93CFPS">#REF!</definedName>
    <definedName name="_93CFPSFL">#REF!</definedName>
    <definedName name="_93DIV">#REF!</definedName>
    <definedName name="_93DIVFL">#REF!</definedName>
    <definedName name="_93EPS">#REF!</definedName>
    <definedName name="_93EPSFL">#REF!</definedName>
    <definedName name="_93GEAR">#REF!</definedName>
    <definedName name="_93GROSS_MARGIN">#REF!</definedName>
    <definedName name="_93NET_DEBT">#REF!</definedName>
    <definedName name="_93NI">#REF!</definedName>
    <definedName name="_93PTP">#REF!</definedName>
    <definedName name="_93SGA">[8]Summary!#REF!</definedName>
    <definedName name="_93SHARES">#REF!</definedName>
    <definedName name="_93SHARESFL">#REF!</definedName>
    <definedName name="_94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28"}</definedName>
    <definedName name="_94BVPS">#REF!</definedName>
    <definedName name="_94CFPS">#REF!</definedName>
    <definedName name="_94CFPSFL">#REF!</definedName>
    <definedName name="_94DIV">#REF!</definedName>
    <definedName name="_94DIVFL">#REF!</definedName>
    <definedName name="_94EPS">#REF!</definedName>
    <definedName name="_94EPSFL">#REF!</definedName>
    <definedName name="_94GEAR">#REF!</definedName>
    <definedName name="_94GROSS_MARGIN">#REF!</definedName>
    <definedName name="_94NET_DEBT">#REF!</definedName>
    <definedName name="_94NI">#REF!</definedName>
    <definedName name="_94PTP">#REF!</definedName>
    <definedName name="_94SGA">[8]Summary!#REF!</definedName>
    <definedName name="_94SHARES">#REF!</definedName>
    <definedName name="_94SHARESFL">#REF!</definedName>
    <definedName name="_95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27"}</definedName>
    <definedName name="_95ADJ_FV_EBITDA">[8]Summary!#REF!</definedName>
    <definedName name="_95ADJ_FV_SALES">[8]Summary!#REF!</definedName>
    <definedName name="_95CFPS_ADJ">#REF!</definedName>
    <definedName name="_95CFPSFL">#REF!</definedName>
    <definedName name="_95DIVFL">#REF!</definedName>
    <definedName name="_95EBIT_ADJ">[8]Summary!#REF!</definedName>
    <definedName name="_95EBITDA_ADJ">[8]Summary!#REF!</definedName>
    <definedName name="_95EPSFL">#REF!</definedName>
    <definedName name="_95PTP">#REF!</definedName>
    <definedName name="_95SALES_ADJ">[8]Summary!#REF!</definedName>
    <definedName name="_95SGA">[8]Summary!#REF!</definedName>
    <definedName name="_95SHARESFL">#REF!</definedName>
    <definedName name="_95TAX_RATE">#REF!</definedName>
    <definedName name="_96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26"}</definedName>
    <definedName name="_96ADJ_FV_EBITDA">[8]Summary!#REF!</definedName>
    <definedName name="_96ADJ_FV_SALES">[8]Summary!#REF!</definedName>
    <definedName name="_96CFPS_ADJ">#REF!</definedName>
    <definedName name="_96EBIT_ADJ">[8]Summary!#REF!</definedName>
    <definedName name="_96EBITDA_ADJ">[8]Summary!#REF!</definedName>
    <definedName name="_96EPS_eu">'[8](e)Summary'!#REF!</definedName>
    <definedName name="_96PTP">#REF!</definedName>
    <definedName name="_96Salaries_SGA">[8]Summary!#REF!</definedName>
    <definedName name="_96SALES_ADJ">[8]Summary!#REF!</definedName>
    <definedName name="_96SALES_eu">'[8](e)Summary'!#REF!</definedName>
    <definedName name="_96SGA">[8]Summary!#REF!</definedName>
    <definedName name="_96TAX_RATE">#REF!</definedName>
    <definedName name="_97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25"}</definedName>
    <definedName name="_97ADJ_FV_EBITDA">[8]Summary!#REF!</definedName>
    <definedName name="_97ADJ_FV_SALES">[8]Summary!#REF!</definedName>
    <definedName name="_97CFPS_ADJ">#REF!</definedName>
    <definedName name="_97EBIT_ADJ">[8]Summary!#REF!</definedName>
    <definedName name="_97EBITD_PS">#REF!</definedName>
    <definedName name="_97EBITDA_ADJ">[8]Summary!#REF!</definedName>
    <definedName name="_97PTP">#REF!</definedName>
    <definedName name="_97SALES_ADJ">[8]Summary!#REF!</definedName>
    <definedName name="_97SGA">[8]Summary!#REF!</definedName>
    <definedName name="_97TAX_RATE">#REF!</definedName>
    <definedName name="_98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24"}</definedName>
    <definedName name="_98ADJ_FV_EBITDA">[8]Summary!#REF!</definedName>
    <definedName name="_98ADJ_FV_SALES">[8]Summary!#REF!</definedName>
    <definedName name="_98CFPS_ADJ">#REF!</definedName>
    <definedName name="_98EBIT_ADJ">[8]Summary!#REF!</definedName>
    <definedName name="_98EBITDA_ADJ">[8]Summary!#REF!</definedName>
    <definedName name="_98SALES_ADJ">[8]Summary!#REF!</definedName>
    <definedName name="_98SGA">[8]Summary!#REF!</definedName>
    <definedName name="_98TAX_RATE">#REF!</definedName>
    <definedName name="_99__FDSAUDITLINK__" hidden="1">{"fdsup://directions/FAT Viewer?action=UPDATE&amp;creator=factset&amp;DYN_ARGS=TRUE&amp;DOC_NAME=FAT:FQL_AUDITING_CLIENT_TEMPLATE.FAT&amp;display_string=Audit&amp;VAR:KEY=FCJEZGPAPM&amp;VAR:QUERY=SlVMSUFOKElDX0VTVElNQVRFKEVCSVREQSxNRUFOLE5UTV9UV0EsLDAsLTVBWSxBTSkuZGF0ZXMp&amp;WINDOW=F","IRST_POPUP&amp;HEIGHT=450&amp;WIDTH=450&amp;START_MAXIMIZED=FALSE&amp;VAR:CALENDAR=US&amp;VAR:SYMBOL=CYH&amp;VAR:INDEX=23"}</definedName>
    <definedName name="_99ADJ_FV_EBITDA">[8]Summary!#REF!</definedName>
    <definedName name="_99ADJ_FV_SALES">[8]Summary!#REF!</definedName>
    <definedName name="_99CFPS_ADJ">#REF!</definedName>
    <definedName name="_99EBITDA_ADJ">[8]Summary!#REF!</definedName>
    <definedName name="_99SALES_ADJ">[8]Summary!#REF!</definedName>
    <definedName name="_99SGA">[8]Summary!#REF!</definedName>
    <definedName name="_99TAX_RATE">#REF!</definedName>
    <definedName name="_9EBITDA_Sh">[3]NOPAT_VDF!#REF!</definedName>
    <definedName name="_bdm.037D2EC7371C4724ABDFBB8456761B42.edm" hidden="1">#REF!</definedName>
    <definedName name="_bdm.05014202F2F74FEBA82C7ECB9BD89D08.edm" hidden="1">'[11]Ace-Out'!$A:$IV</definedName>
    <definedName name="_bdm.07B5818A383F4DC2A6BFA30C130CBB78.edm" hidden="1">'[11]AFFILIATES (2)'!$A:$IV</definedName>
    <definedName name="_bdm.14D1A22932234486A69AAF8B879B86C4.edm" hidden="1">'[12]Ace-Out'!$A:$IV</definedName>
    <definedName name="_bdm.3CC90336AE594B0CBE7317C53C0D66DD.edm" hidden="1">#REF!</definedName>
    <definedName name="_bdm.4074ABB296B540EF8E265DE2314CEE12.edm" hidden="1">#REF!</definedName>
    <definedName name="_bdm.661EB5D9F3134DD19472E29D33CB09FA.edm" hidden="1">#REF!</definedName>
    <definedName name="_bdm.78503475398740539794A73F171CC100.edm" hidden="1">#REF!</definedName>
    <definedName name="_bdm.879B950EBBAB4597B88189350706EC93.edm" hidden="1">'[13]Ace-Out'!$A:$IV</definedName>
    <definedName name="_bdm.8F2C51F1E4F64396B97AF6031FA526D8.edm" hidden="1">#REF!</definedName>
    <definedName name="_bdm.9E6A989823184B739EE63662DF28A32F.edm" hidden="1">#REF!</definedName>
    <definedName name="_bdm.A02D80F893DD4C7DA6D997E701C867FB.edm" hidden="1">[12]Results!$A:$IV</definedName>
    <definedName name="_bdm.B7CC83D9B1D34661812434787CF5F95D.edm" hidden="1">'[14]Ace-Out'!$A:$IV</definedName>
    <definedName name="_bdm.C742984C22AD4F419C430CC250D40A68.edm" hidden="1">#REF!</definedName>
    <definedName name="_bdm.D8226746037A4B218F06698B6B570FD4.edm" hidden="1">'[15]Risk-Reward_View_Chart'!$A:$IV</definedName>
    <definedName name="_bdm.DA1F1DA48AD44B0BA4302EC0498E5C4B.edm" hidden="1">#REF!</definedName>
    <definedName name="_bdm.DF79751DC1D04DDA9B45DAA7E26F0264.edm" hidden="1">#REF!</definedName>
    <definedName name="_bdm.EB10CA33154A48478593B52CEC155E75.edm" hidden="1">#REF!</definedName>
    <definedName name="_bdm.F60A6D1B74FF4D46944E4DC27569E4D7.edm" hidden="1">'[16]Rev breakdown'!$A:$IV</definedName>
    <definedName name="_CGS97">#REF!</definedName>
    <definedName name="_DCF2">{"Client Name or Project Name"}</definedName>
    <definedName name="_EPS01">'[17]0000000'!#REF!</definedName>
    <definedName name="_EPS02">'[17]0000000'!#REF!</definedName>
    <definedName name="_EPS03">'[17]0000000'!#REF!</definedName>
    <definedName name="_EPS94">'[17]0000000'!#REF!</definedName>
    <definedName name="_EPS95">'[17]0000000'!#REF!</definedName>
    <definedName name="_EPS96">'[17]0000000'!#REF!</definedName>
    <definedName name="_EPS99">'[17]0000000'!#REF!</definedName>
    <definedName name="_Fill" hidden="1">#REF!</definedName>
    <definedName name="_xlnm._FilterDatabase" hidden="1">#REF!</definedName>
    <definedName name="_for1991">[1]Lookups!#REF!</definedName>
    <definedName name="_for1992">[1]Lookups!#REF!</definedName>
    <definedName name="_for1993">[1]Lookups!#REF!</definedName>
    <definedName name="_for1994">[1]Lookups!#REF!</definedName>
    <definedName name="_for1995">[1]Lookups!#REF!</definedName>
    <definedName name="_Key1" localSheetId="0" hidden="1">#REF!</definedName>
    <definedName name="_Key1">[18]BMY!#REF!</definedName>
    <definedName name="_LTG_EBITDA">#REF!</definedName>
    <definedName name="_LTG_NI">#REF!</definedName>
    <definedName name="_old2" hidden="1">{#N/A,#N/A,FALSE,"Chart 2 by Prop Type"}</definedName>
    <definedName name="_Order1">0</definedName>
    <definedName name="_Order2" hidden="1">255</definedName>
    <definedName name="_QTR1">"4Q, 1999"</definedName>
    <definedName name="_Regression_Int" hidden="1">1</definedName>
    <definedName name="_Regression_Out" hidden="1">#REF!</definedName>
    <definedName name="_Regression_X" hidden="1">#REF!</definedName>
    <definedName name="_Regression_Y" hidden="1">#REF!</definedName>
    <definedName name="_REV01">'[17]0000000'!#REF!</definedName>
    <definedName name="_REV02">'[17]0000000'!#REF!</definedName>
    <definedName name="_REV03">'[17]0000000'!#REF!</definedName>
    <definedName name="_REV95">'[17]0000000'!#REF!</definedName>
    <definedName name="_REV96">'[17]0000000'!#REF!</definedName>
    <definedName name="_REV99">'[17]0000000'!#REF!</definedName>
    <definedName name="_Scenario_new_change" hidden="1">[19]T_CFM!#REF!</definedName>
    <definedName name="_scenchg_count" hidden="1">1</definedName>
    <definedName name="_scenchg1" hidden="1">[19]T_CFM!#REF!</definedName>
    <definedName name="_Sort" localSheetId="0" hidden="1">#REF!</definedName>
    <definedName name="_Sort">[18]BMY!#REF!</definedName>
    <definedName name="_SS10">[20]Input!$C$452</definedName>
    <definedName name="_SS6">[20]Input!$C$448</definedName>
    <definedName name="_SS7">[20]Input!$C$449</definedName>
    <definedName name="_SS8">[20]Input!$C$450</definedName>
    <definedName name="_SS9">[20]Input!$C$451</definedName>
    <definedName name="_Table1_Out" hidden="1">#REF!</definedName>
    <definedName name="_Table2_In1" hidden="1">#REF!</definedName>
    <definedName name="_Table2_In2" hidden="1">#REF!</definedName>
    <definedName name="_Table2_Out" hidden="1">#REF!</definedName>
    <definedName name="_TOP1">'[21]Fed Funds'!$B$2</definedName>
    <definedName name="_TOP12">#REF!</definedName>
    <definedName name="_TOP14">'[22]Data Page'!#REF!</definedName>
    <definedName name="_TOP15">'[22]Data Page'!#REF!</definedName>
    <definedName name="_TOP16">'[22]Data Page'!#REF!</definedName>
    <definedName name="_TOP17">'[22]Data Page'!#REF!</definedName>
    <definedName name="_TOP18">'[22]Data Page'!#REF!</definedName>
    <definedName name="_TOP2">'[22]Data Page'!#REF!</definedName>
    <definedName name="_TOP21">#REF!</definedName>
    <definedName name="_TOP22">#REF!</definedName>
    <definedName name="_TOP23">#REF!</definedName>
    <definedName name="_TOP24">#REF!</definedName>
    <definedName name="_TOP25">#REF!</definedName>
    <definedName name="_TOP26">#REF!</definedName>
    <definedName name="_TOP27">#REF!</definedName>
    <definedName name="_TOP29">#REF!</definedName>
    <definedName name="_TOP3">'[23]Base Data'!#REF!</definedName>
    <definedName name="_TOP30">#REF!</definedName>
    <definedName name="_TOP31">#REF!</definedName>
    <definedName name="_TOP32">#REF!</definedName>
    <definedName name="_TOP33">#REF!</definedName>
    <definedName name="_TOP34">#REF!</definedName>
    <definedName name="_TOP35">#REF!</definedName>
    <definedName name="_TOP38">#REF!</definedName>
    <definedName name="_TOP39">#REF!</definedName>
    <definedName name="_TOP4">'[23]Quarterly GDP'!#REF!</definedName>
    <definedName name="_Top40">[2]Lookups!$B$3:$C$132</definedName>
    <definedName name="_TOP41">#REF!</definedName>
    <definedName name="_TOP42">#REF!</definedName>
    <definedName name="_TOP43">#REF!</definedName>
    <definedName name="_TOP44">#REF!</definedName>
    <definedName name="_TOP45">#REF!</definedName>
    <definedName name="_TOP46">#REF!</definedName>
    <definedName name="_TOP5">'[23]Semi GDP'!#REF!</definedName>
    <definedName name="_TOP8">#REF!</definedName>
    <definedName name="_TOP9">#REF!</definedName>
    <definedName name="_xlchart.v1.0" hidden="1">Sheet1!$B$10</definedName>
    <definedName name="_xlchart.v1.1" hidden="1">Sheet1!$B$11</definedName>
    <definedName name="_xlchart.v1.10" hidden="1">Sheet1!$C$10:$E$10</definedName>
    <definedName name="_xlchart.v1.11" hidden="1">Sheet1!$C$11:$E$11</definedName>
    <definedName name="_xlchart.v1.12" hidden="1">Sheet1!$C$8:$E$8</definedName>
    <definedName name="_xlchart.v1.13" hidden="1">Sheet1!$C$9:$E$9</definedName>
    <definedName name="_xlchart.v1.14" hidden="1">Sheet1!$B$10</definedName>
    <definedName name="_xlchart.v1.15" hidden="1">Sheet1!$B$11</definedName>
    <definedName name="_xlchart.v1.16" hidden="1">Sheet1!$B$9</definedName>
    <definedName name="_xlchart.v1.17" hidden="1">Sheet1!$C$10:$E$10</definedName>
    <definedName name="_xlchart.v1.18" hidden="1">Sheet1!$C$11:$E$11</definedName>
    <definedName name="_xlchart.v1.19" hidden="1">Sheet1!$C$8:$E$8</definedName>
    <definedName name="_xlchart.v1.2" hidden="1">Sheet1!$B$9</definedName>
    <definedName name="_xlchart.v1.20" hidden="1">Sheet1!$C$9:$E$9</definedName>
    <definedName name="_xlchart.v1.21" hidden="1">Sheet1!$B$10</definedName>
    <definedName name="_xlchart.v1.22" hidden="1">Sheet1!$B$11</definedName>
    <definedName name="_xlchart.v1.23" hidden="1">Sheet1!$B$9</definedName>
    <definedName name="_xlchart.v1.24" hidden="1">Sheet1!$C$10:$E$10</definedName>
    <definedName name="_xlchart.v1.25" hidden="1">Sheet1!$C$11:$E$11</definedName>
    <definedName name="_xlchart.v1.26" hidden="1">Sheet1!$C$8:$E$8</definedName>
    <definedName name="_xlchart.v1.27" hidden="1">Sheet1!$C$9:$E$9</definedName>
    <definedName name="_xlchart.v1.3" hidden="1">Sheet1!$C$10:$E$10</definedName>
    <definedName name="_xlchart.v1.4" hidden="1">Sheet1!$C$11:$E$11</definedName>
    <definedName name="_xlchart.v1.5" hidden="1">Sheet1!$C$8:$E$8</definedName>
    <definedName name="_xlchart.v1.6" hidden="1">Sheet1!$C$9:$E$9</definedName>
    <definedName name="_xlchart.v1.7" hidden="1">Sheet1!$B$10</definedName>
    <definedName name="_xlchart.v1.8" hidden="1">Sheet1!$B$11</definedName>
    <definedName name="_xlchart.v1.9" hidden="1">Sheet1!$B$9</definedName>
    <definedName name="\A" localSheetId="0">#REF!</definedName>
    <definedName name="\a">'[24]D_EC-'!#REF!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K">#REF!</definedName>
    <definedName name="\L">#REF!</definedName>
    <definedName name="\O">#REF!</definedName>
    <definedName name="\p">[25]NUMX.XLS!$C$472:$E$479</definedName>
    <definedName name="\Q">#REF!</definedName>
    <definedName name="a">#REF!</definedName>
    <definedName name="aaa" localSheetId="0" hidden="1">{"AVSHAR","BSHAR"}</definedName>
    <definedName name="aaa">#REF!</definedName>
    <definedName name="AAA_DOCTOPS" hidden="1">"AAA_SET"</definedName>
    <definedName name="AAA_duser" hidden="1">"OFF"</definedName>
    <definedName name="AAAForecast">[26]Model!$A$471</definedName>
    <definedName name="AAB_Addin5" hidden="1">"AAB_Description for addin 5,Description for addin 5,Description for addin 5,Description for addin 5,Description for addin 5,Description for addin 5"</definedName>
    <definedName name="abb" hidden="1">{#N/A,#N/A,FALSE,"Time Warner";#N/A,#N/A,FALSE,"Entertainment Group";#N/A,#N/A,FALSE,"EBITDA";#N/A,#N/A,FALSE,"Notes"}</definedName>
    <definedName name="AbbrevQtr">#REF!</definedName>
    <definedName name="abc" localSheetId="0" hidden="1">{#N/A,#N/A,FALSE,"Time Warner";#N/A,#N/A,FALSE,"Entertainment Group";#N/A,#N/A,FALSE,"EBITDA";#N/A,#N/A,FALSE,"Notes"}</definedName>
    <definedName name="ABC" hidden="1">{"fdsup://Directions/FactSet Auditing Viewer?action=AUDIT_VALUE&amp;DB=129&amp;ID1=87424N10&amp;VALUEID=01001&amp;SDATE=2011&amp;PERIODTYPE=ANN_STD&amp;SCFT=3&amp;window=popup_no_bar&amp;width=385&amp;height=120&amp;START_MAXIMIZED=FALSE&amp;creator=factset&amp;display_string=Audit"}</definedName>
    <definedName name="ABCD"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SASCcapex96">#REF!</definedName>
    <definedName name="ABSASCcapex97">#REF!</definedName>
    <definedName name="ABSASCcaplease96">#REF!</definedName>
    <definedName name="ABSASCcaplease97">#REF!</definedName>
    <definedName name="ABSASCcogs96">#REF!</definedName>
    <definedName name="ABSASCcogs97">#REF!</definedName>
    <definedName name="ABSASCebitda96">#REF!</definedName>
    <definedName name="ABSASCebitda97">#REF!</definedName>
    <definedName name="ABSASCebitdamgn96">#REF!</definedName>
    <definedName name="ABSASCebitdamgn97">#REF!</definedName>
    <definedName name="ABSASCequity96">#REF!</definedName>
    <definedName name="ABSASCequity97">#REF!</definedName>
    <definedName name="ABSASCgrssprof96">#REF!</definedName>
    <definedName name="ABSASCgrssprof97">#REF!</definedName>
    <definedName name="ABSASCintxp96">#REF!</definedName>
    <definedName name="ABSASCintxp97">#REF!</definedName>
    <definedName name="ABSASCinv96">#REF!</definedName>
    <definedName name="ABSASCinv97">#REF!</definedName>
    <definedName name="ABSASCltdebt96">#REF!</definedName>
    <definedName name="ABSASCltdebt97">#REF!</definedName>
    <definedName name="ABSASCnetinc96">#REF!</definedName>
    <definedName name="ABSASCnetinc97">#REF!</definedName>
    <definedName name="ABSASCopinc96">#REF!</definedName>
    <definedName name="ABSASCopincmgn96">#REF!</definedName>
    <definedName name="ABSASCopincmgn97">#REF!</definedName>
    <definedName name="ABSASCsales96">#REF!</definedName>
    <definedName name="ABSASCsales97">#REF!</definedName>
    <definedName name="ABSASCshares96">#REF!</definedName>
    <definedName name="ABSASCtotassts96">#REF!</definedName>
    <definedName name="ABSASCtotassts97">#REF!</definedName>
    <definedName name="Acc_payable_growth_fore">#REF!</definedName>
    <definedName name="Acc_Rec_growth_fore">#REF!</definedName>
    <definedName name="Accrued_compensation_growth_fore">#REF!</definedName>
    <definedName name="Accrued_expenses_growth_fore">#REF!</definedName>
    <definedName name="Accum_Cap_Expenses_growth_fore">#REF!</definedName>
    <definedName name="Accum_Goodwill_Amort_growth_fore">#REF!</definedName>
    <definedName name="acquirorname">#REF!</definedName>
    <definedName name="Actual" hidden="1">{#N/A,#N/A,TRUE,"Historicals";#N/A,#N/A,TRUE,"Charts";#N/A,#N/A,TRUE,"Forecasts"}</definedName>
    <definedName name="ACwvu.cash." hidden="1">#REF!</definedName>
    <definedName name="ACwvu.cashflow." hidden="1">[27]Forecasts!$A$204:$V$232</definedName>
    <definedName name="ACwvu.profits." hidden="1">[27]Forecasts!$A$85:$V$203</definedName>
    <definedName name="ACwvu.Quarters99_00." hidden="1">[28]SJRCFM!#REF!</definedName>
    <definedName name="ACwvu.turnover." hidden="1">#N/A</definedName>
    <definedName name="ad" hidden="1">{"INCOMEquarterly1",#N/A,TRUE,"income";"INCOMEquarterly2",#N/A,TRUE,"income"}</definedName>
    <definedName name="ADD_FWD">#REF!</definedName>
    <definedName name="addd">'[29](e)Summary'!#REF!</definedName>
    <definedName name="Addr">[10]Master!$D$1</definedName>
    <definedName name="Adj_net_oper_fore">#REF!</definedName>
    <definedName name="Adjusted_Net_Operating_Profit">[30]NOPAT_VDF!$C$26:$AU$26</definedName>
    <definedName name="ae">#REF!</definedName>
    <definedName name="africa">0</definedName>
    <definedName name="AGY">#REF!</definedName>
    <definedName name="AGY_00Ea">#REF!</definedName>
    <definedName name="AGY_00EPS">#REF!</definedName>
    <definedName name="AGY_01Ea">#REF!</definedName>
    <definedName name="AGY_01EPS">#REF!</definedName>
    <definedName name="AGY_99Ea">#REF!</definedName>
    <definedName name="AGY_99EPS">#REF!</definedName>
    <definedName name="AGY_Rating">[31]Industry!$D$6</definedName>
    <definedName name="AGY_Target">[31]Industry!$C$6</definedName>
    <definedName name="AinOper1EBIT2">[20]Input!$D$423</definedName>
    <definedName name="All_Ste">[10]Master!$O$1</definedName>
    <definedName name="all3_ACCRU97_List">#REF!</definedName>
    <definedName name="ALLY">#REF!</definedName>
    <definedName name="americas">0.8</definedName>
    <definedName name="AMTCreditWorkingTF">[20]Input!$B$409</definedName>
    <definedName name="AMTWorkingTF">[20]Input!$B$407</definedName>
    <definedName name="annual">'[32]IGT MODEL'!#REF!</definedName>
    <definedName name="annual1" hidden="1">{#N/A,#N/A,FALSE,"earnings"}</definedName>
    <definedName name="annual2" hidden="1">{#N/A,#N/A,FALSE,"earnings"}</definedName>
    <definedName name="Annuities">[26]Model!$K$628</definedName>
    <definedName name="anscount" hidden="1">2</definedName>
    <definedName name="AppVersion">"GEG-1.0"</definedName>
    <definedName name="APWREFVTICKER" hidden="1">"'='Ownership Profile'!$A$1"</definedName>
    <definedName name="Argentina">#REF!</definedName>
    <definedName name="as" hidden="1">{"p1TOC",#N/A,FALSE,"DCF_Summary";"p23summary",#N/A,FALSE,"DCF_Summary";"p4contact",#N/A,FALSE,"Contact Lake";"p5kumtor",#N/A,FALSE,"Kumtor";#N/A,#N/A,FALSE,"CCAU_NAV";"p8compdata",#N/A,FALSE,"Gold_Comps";#N/A,#N/A,FALSE,"Comp_Valuation"}</definedName>
    <definedName name="AS2DocOpenMode" hidden="1">"AS2DocumentEdit"</definedName>
    <definedName name="asa"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SCA">#REF!</definedName>
    <definedName name="ASCA_00EPS">'[33]Earnings Model'!$I$61</definedName>
    <definedName name="ASCA_99EPS">'[33]Earnings Model'!$D$61</definedName>
    <definedName name="ASCA_CONS00">#REF!</definedName>
    <definedName name="ASCA_CONS01">#REF!</definedName>
    <definedName name="ASCA_CONS99">#REF!</definedName>
    <definedName name="ASCA_CONSENSUS">#REF!</definedName>
    <definedName name="asd" localSheetId="0" hidden="1">{#N/A,#N/A,FALSE,"Chart 2 by Prop Type"}</definedName>
    <definedName name="ASD">#REF!</definedName>
    <definedName name="asdsad" hidden="1">{"Quarterly Earnings",#N/A,FALSE,"FTS";"Quarterly Margins",#N/A,FALSE,"FTS";"Q Sales",#N/A,FALSE,"FTS";"Q EBIT",#N/A,FALSE,"FTS";"Unit Analysis",#N/A,FALSE,"FTS";"Inventory Analysis",#N/A,FALSE,"FTS"}</definedName>
    <definedName name="asdsada" hidden="1">{"Income Stmt",#N/A,FALSE,"Model"}</definedName>
    <definedName name="asdsadsa" hidden="1">{"p1TOC",#N/A,FALSE,"DCF_Summary";"p23summary",#N/A,FALSE,"DCF_Summary";"p4contact",#N/A,FALSE,"Contact Lake";"p5kumtor",#N/A,FALSE,"Kumtor";#N/A,#N/A,FALSE,"CCAU_NAV";"p8compdata",#N/A,FALSE,"Gold_Comps";#N/A,#N/A,FALSE,"Comp_Valuation"}</definedName>
    <definedName name="asfdsad" hidden="1">{"Annual",#N/A,FALSE,"FTS";"Divisional",#N/A,FALSE,"FTS";"Balance Sheet",#N/A,FALSE,"FTS";"Funds Flow",#N/A,FALSE,"FTS";"Quarterly Earnings",#N/A,FALSE,"FTS";"Quarterly Margins",#N/A,FALSE,"FTS";"Ratio Analysis",#N/A,FALSE,"FTS";"Q Sales",#N/A,FALSE,"FTS";"Q EBIT",#N/A,FALSE,"FTS";"Unit Analysis",#N/A,FALSE,"FTS";"Inventory Analysis",#N/A,FALSE,"FTS";"Valuation",#N/A,FALSE,"FTS";"Matrix",#N/A,FALSE,"FTS"}</definedName>
    <definedName name="ASIA">#REF!</definedName>
    <definedName name="asiaPacific">0.05</definedName>
    <definedName name="asiaPacificExJapan">0.05</definedName>
    <definedName name="assad" hidden="1">{"Portrait letter is",#N/A,FALSE,"Model"}</definedName>
    <definedName name="AssetMngmt">[26]Model!$K$1438</definedName>
    <definedName name="Atlanta" hidden="1">{#N/A,#N/A,FALSE,"Chart 2 by Prop Type"}</definedName>
    <definedName name="AUM">[26]Model!$K$1483</definedName>
    <definedName name="australasia">0.05</definedName>
    <definedName name="Auto">[26]Model!$K$1230</definedName>
    <definedName name="AutoHome">[26]Model!$K$1191</definedName>
    <definedName name="avc">[29]Summary!#REF!</definedName>
    <definedName name="Average_invested_capital">'[30]Invested capital_VDF'!$C$89:$AZ$89</definedName>
    <definedName name="Average_invested_capital_DCF">[30]DCF_VDF!$C$78:$AZ$78</definedName>
    <definedName name="AZR">#REF!</definedName>
    <definedName name="AZR_00Ea">#REF!</definedName>
    <definedName name="AZR_00EPS">#REF!</definedName>
    <definedName name="azr_01ea">'[34]HWD Earnings Model'!#REF!</definedName>
    <definedName name="AZR_99Ea">#REF!</definedName>
    <definedName name="AZR_99EPS">#REF!</definedName>
    <definedName name="AZR_Rating">[31]Industry!$D$7</definedName>
    <definedName name="AZR_Target">[31]Industry!$C$7</definedName>
    <definedName name="Balance">[35]HUM!$A$345:$AV$383</definedName>
    <definedName name="BALANCE_AT_PERIOD_END">#REF!</definedName>
    <definedName name="BalanceSheet" localSheetId="0">#REF!</definedName>
    <definedName name="balancesheet">#REF!</definedName>
    <definedName name="balsheet">#REF!</definedName>
    <definedName name="BB_CRNCY">IF(ISBLANK([36]Control!$B$15),[36]Model!$C$6,[36]Control!$B$15)</definedName>
    <definedName name="Belle_SC_Own_Pct">#REF!</definedName>
    <definedName name="Bench_First">#REF!</definedName>
    <definedName name="Benchmark">[37]ControlsH!$B$3</definedName>
    <definedName name="BIDZ_First">#REF!</definedName>
    <definedName name="BLPB1" hidden="1">#REF!</definedName>
    <definedName name="BLPH1" hidden="1">#REF!</definedName>
    <definedName name="BLPH12" hidden="1">[38]Sheet3!#REF!</definedName>
    <definedName name="BLPH13" hidden="1">[38]Sheet3!#REF!</definedName>
    <definedName name="BLPH14" hidden="1">[38]Sheet3!#REF!</definedName>
    <definedName name="BLPH15" hidden="1">[38]Sheet3!#REF!</definedName>
    <definedName name="BLPH16" hidden="1">[38]Sheet3!#REF!</definedName>
    <definedName name="BLPH2" hidden="1">#REF!</definedName>
    <definedName name="BLPH3" hidden="1">#REF!</definedName>
    <definedName name="BLPH4" hidden="1">#REF!</definedName>
    <definedName name="BLPH5" hidden="1">#REF!</definedName>
    <definedName name="BLPH6" hidden="1">#REF!</definedName>
    <definedName name="BLPH7" hidden="1">#REF!</definedName>
    <definedName name="BLPH8" hidden="1">#REF!</definedName>
    <definedName name="BODY">#REF!</definedName>
    <definedName name="BOND_TICKER">IF(ISBLANK([36]Control!$B$11),TICKER,[36]Control!$B$11&amp;" "&amp;[36]Control!$B$12)</definedName>
    <definedName name="BothChart1">'[39]By Mkt Segment 95'!$A$1:$P$54,'[39]By Mkt Segment 95'!$R$1:$AG$54</definedName>
    <definedName name="BothChart2">'[40]By Category'!$A$1:$P$41,'[40]By Category'!$R$1:$AG$41</definedName>
    <definedName name="BOTTLING">"printbottling"</definedName>
    <definedName name="brand1">[41]lookups!$A$8:$U$32</definedName>
    <definedName name="brand2">[41]lookups!$A$47:$U$71</definedName>
    <definedName name="brand3">[41]lookups!$A$81:$U$105</definedName>
    <definedName name="brand4">[41]lookups!$A$114:$U$138</definedName>
    <definedName name="brand7">[41]lookups!$A$219:$U$243</definedName>
    <definedName name="breakup">#REF!</definedName>
    <definedName name="BRICS">0</definedName>
    <definedName name="Broker_Name">OFFSET(#REF!,0,0,[37]ControlsH!$E$5, 1)</definedName>
    <definedName name="BS">'[42]New WLP'!#REF!</definedName>
    <definedName name="BS_1">[43]RAINSHT!#REF!</definedName>
    <definedName name="BS_2">[43]RAINSHT!#REF!</definedName>
    <definedName name="BSCode">#REF!</definedName>
    <definedName name="BS추정" hidden="1">{"'보고양식'!$A$58:$K$111"}</definedName>
    <definedName name="Button3">"Button2"</definedName>
    <definedName name="Buyer_name">[10]Master!$AK$1</definedName>
    <definedName name="By_Svc_Type">[10]Master!$AI$1</definedName>
    <definedName name="BYD">#REF!</definedName>
    <definedName name="BYD_00Ea">#REF!</definedName>
    <definedName name="BYD_00EPS">#REF!</definedName>
    <definedName name="BYD_01Ea">#REF!</definedName>
    <definedName name="BYD_01EPS">#REF!</definedName>
    <definedName name="BYD_99Ea">#REF!</definedName>
    <definedName name="BYD_99EPS">#REF!</definedName>
    <definedName name="BYD_EPS01">#REF!</definedName>
    <definedName name="BYD_Rating">[31]Industry!$D$8</definedName>
    <definedName name="BYD_Target">[31]Industry!$C$8</definedName>
    <definedName name="cacascas" hidden="1">{"income statement",#N/A,FALSE,"Model RAL";"balance sheet",#N/A,FALSE,"Model RAL";"cash flows",#N/A,FALSE,"Model RAL";"op drivers",#N/A,FALSE,"Model RAL";"hotel stats",#N/A,FALSE,"Model RAL";"owned drivers",#N/A,FALSE,"Model RAL";"managed drivers",#N/A,FALSE,"Model RAL"}</definedName>
    <definedName name="calCODE">[37]ControlsH!$C$4</definedName>
    <definedName name="Cap_Interest">[44]ProForma!$A$169:$IV$169</definedName>
    <definedName name="CapexRt">#REF!</definedName>
    <definedName name="Cash_DCF">[30]DCF_VDF!$C$33:$AZ$33</definedName>
    <definedName name="Cash_Flow_Table">[45]OFFVALU!#REF!</definedName>
    <definedName name="Cash_fore">#REF!</definedName>
    <definedName name="Cash_growth_fore">#REF!</definedName>
    <definedName name="Cash_Operating_Taxes">[30]NOPAT_VDF!$C$39:$AU$39</definedName>
    <definedName name="Cash_operating_taxes_fore">#REF!</definedName>
    <definedName name="cash\flow">'[32]IGT MODEL'!#REF!</definedName>
    <definedName name="CashFlow" localSheetId="0">#REF!</definedName>
    <definedName name="cashflow">#REF!</definedName>
    <definedName name="Cayy">'[42]New WLP'!#REF!</definedName>
    <definedName name="CCL">#REF!</definedName>
    <definedName name="ccs" hidden="1">{#N/A,#N/A,FALSE,"Chart 2 by Prop Type"}</definedName>
    <definedName name="CellsEndDate">#REF!</definedName>
    <definedName name="CellsStartDate">#REF!</definedName>
    <definedName name="cenc1">[41]lookups!$A$324:$B$348</definedName>
    <definedName name="Cencproj">'[46]chain census'!$C$15</definedName>
    <definedName name="Cencroom">'[46]chain census'!$D$15</definedName>
    <definedName name="census">#REF!</definedName>
    <definedName name="centralEasternEurope">0.02</definedName>
    <definedName name="CF_1">[43]RAINSHT!#REF!</definedName>
    <definedName name="CF_2">[43]RAINSHT!#REF!</definedName>
    <definedName name="CFPS_Curr_Yr">#REF!</definedName>
    <definedName name="CFPS_Lst_Yr">#REF!</definedName>
    <definedName name="CFPS_Next_Yr">#REF!</definedName>
    <definedName name="CFScratch">[35]HUM!$BI$404:$BY$448</definedName>
    <definedName name="CGS">#REF!</definedName>
    <definedName name="chain">'[47]Misc Data'!$B$42:$C$47</definedName>
    <definedName name="Chart_Benchmark_100_Size">OFFSET(#REF!, 0, 0, [37]ControlsH!$E$3, 1)</definedName>
    <definedName name="Chart_Date_Size">OFFSET(#REF!, 0, 0, [37]ControlsH!$E$3, 1)</definedName>
    <definedName name="Chart_Date_VAL1_Size">OFFSET(#REF!, 0, 0, [37]ControlsH!$I$3, 1)</definedName>
    <definedName name="Chart_Date_VAL2_Size">OFFSET(#REF!, 0, 0, [37]ControlsH!$I$5, 1)</definedName>
    <definedName name="Chart_Peer_100_Size">OFFSET(#REF!, 0, 0, [37]ControlsH!$E$3, 1)</definedName>
    <definedName name="Chart_Price_100_Size">OFFSET(#REF!, 0, 0, [37]ControlsH!$E$3, 1)</definedName>
    <definedName name="Chart_Price_Size">OFFSET(#REF!, 0, 0, [37]ControlsH!$E$3, 1)</definedName>
    <definedName name="Chart_VAL1_FY1_Size">OFFSET(#REF!, 0, 0, [37]ControlsH!$F$3, 1)</definedName>
    <definedName name="Chart_VAL1_FY2_Size">OFFSET(#REF!, 0, 0, [37]ControlsH!$G$3, 1)</definedName>
    <definedName name="Chart_VAL1_FY3_Size">OFFSET(#REF!, 0, 0, [37]ControlsH!$H$3, 1)</definedName>
    <definedName name="Chart_VAL2_FY1_Size">OFFSET(#REF!, 0, 0, [37]ControlsH!$F$5, 1)</definedName>
    <definedName name="Chart_VAL2_FY2_Size">OFFSET(#REF!, 0, 0, [37]ControlsH!$G$5, 1)</definedName>
    <definedName name="Chart_VAL2_FY3_Size">OFFSET(#REF!, 0, 0, [37]ControlsH!$H$5, 1)</definedName>
    <definedName name="Chart_Volume_Size">OFFSET(#REF!, 0, 0, [37]ControlsH!$E$3, 1)</definedName>
    <definedName name="CHART2">'[48]Chart 2'!#REF!,'[48]Chart 2'!$A$1:$P$10</definedName>
    <definedName name="Charts1">#REF!</definedName>
    <definedName name="Charts2">#REF!</definedName>
    <definedName name="CHH">'[49]THE LINK FOR ALL'!$B$42</definedName>
    <definedName name="CHH_CONS00">'[49]THE LINK FOR ALL'!$F$15</definedName>
    <definedName name="CHH_CONS01">'[49]THE LINK FOR ALL'!$G$15</definedName>
    <definedName name="CHH_CONS99">#REF!</definedName>
    <definedName name="Chile1">#REF!</definedName>
    <definedName name="Chile2">#REF!</definedName>
    <definedName name="china">0</definedName>
    <definedName name="Chk">'[42]New WLP'!#REF!</definedName>
    <definedName name="Choice">#REF!</definedName>
    <definedName name="Choices_Wrapper" localSheetId="12">'[50]RAD model old'!Choices_Wrapper</definedName>
    <definedName name="Choices_Wrapper" localSheetId="14">'[50]RAD model old'!Choices_Wrapper</definedName>
    <definedName name="Choices_Wrapper" localSheetId="13">'[50]RAD model old'!Choices_Wrapper</definedName>
    <definedName name="Choices_Wrapper">'[50]RAD model old'!Choices_Wrapper</definedName>
    <definedName name="CIQWBGuid" localSheetId="0" hidden="1">"b7301157-b315-4902-8ee0-bbbec6328496"</definedName>
    <definedName name="CIQWBGuid" hidden="1">"1509767b-d44b-45d0-b5ee-d4c6afcac447"</definedName>
    <definedName name="City">[10]Master!$E$1</definedName>
    <definedName name="city_proximity">[10]Master!$AB$1</definedName>
    <definedName name="Closed_End">#REF!</definedName>
    <definedName name="CMCSK" hidden="1">{"EPS_one",#N/A,FALSE,"96-02 EPS";"EPS_two",#N/A,FALSE,"96-02 EPS";"Newrev_one",#N/A,FALSE,"New rev 97 - 02";"Newrev_two",#N/A,FALSE,"New rev 97 - 02";"cable_one",#N/A,FALSE,"cable 96-02";"cable_two",#N/A,FALSE,"cable 96-02";"data.page",#N/A,FALSE,"Data_page"}</definedName>
    <definedName name="CNS">[18]BMY!#REF!</definedName>
    <definedName name="co">[51]AMETEK!$A$2</definedName>
    <definedName name="COMMISSION">#REF!</definedName>
    <definedName name="COMMISSION97">#REF!</definedName>
    <definedName name="COMMISSION98">#REF!</definedName>
    <definedName name="Company">[36]Control!$B$9</definedName>
    <definedName name="CompareAll">#REF!</definedName>
    <definedName name="CompareNoEBITDA">#REF!</definedName>
    <definedName name="compNAME">[37]ControlsH!$B$6</definedName>
    <definedName name="COMPUTER">#REF!</definedName>
    <definedName name="Concat_Mkt_Seg___Other">[52]Lookups!$AD$1</definedName>
    <definedName name="Consensus">[36]Control!$B$38</definedName>
    <definedName name="ConsolidatedBal">[26]Model!$K$176</definedName>
    <definedName name="ConsolidatedInc">[26]Model!$K$4</definedName>
    <definedName name="ConsolidatedSales">[53]Premiums!$X$291</definedName>
    <definedName name="ConsolIncome">[26]Model!$K$4</definedName>
    <definedName name="consumersExposure">0.95</definedName>
    <definedName name="CONTRACT_PD">#REF!</definedName>
    <definedName name="ConvDate">#REF!</definedName>
    <definedName name="converter">'[54]Currency Conversion Page'!#REF!</definedName>
    <definedName name="converter3q99">'[55]Currency Conversion Page'!$B$16</definedName>
    <definedName name="CORP">#REF!</definedName>
    <definedName name="Corporate">[26]Model!$K$1585</definedName>
    <definedName name="CostSurvey">#REF!</definedName>
    <definedName name="CostSurveyLand">#REF!</definedName>
    <definedName name="countryList">"Country Mapping"</definedName>
    <definedName name="county">'[47]COUNTY.TXT'!$A$1:$B$3128</definedName>
    <definedName name="COVERAGE">#REF!</definedName>
    <definedName name="CRNCY">"USD"</definedName>
    <definedName name="CSDS">#REF!</definedName>
    <definedName name="CSDS_CONS00">#REF!</definedName>
    <definedName name="CSDS_CONS01">#REF!</definedName>
    <definedName name="CSDS_CONS99">#REF!</definedName>
    <definedName name="CSDS_CONSENSUS">#REF!</definedName>
    <definedName name="cu102.ShareScalingFactor" hidden="1">1000000</definedName>
    <definedName name="cu103.EmployeeScalingFactor" hidden="1">1000</definedName>
    <definedName name="cu107.DPSSymbol" hidden="1">"US$"</definedName>
    <definedName name="cu107.EPSSymbol" hidden="1">"US$"</definedName>
    <definedName name="cu119.CopyLastPeriodRows" hidden="1">{"AVSHAR","BSHAR"}</definedName>
    <definedName name="cu71.ScalingFactor" hidden="1">1000000</definedName>
    <definedName name="CUBICLE">#REF!</definedName>
    <definedName name="Cur_over">[36]Control!$B$15</definedName>
    <definedName name="CUR3MTH">6</definedName>
    <definedName name="CUR3MTH_CHG">8</definedName>
    <definedName name="CURCYTD">9</definedName>
    <definedName name="CURMTH">1</definedName>
    <definedName name="CURMYTD">12</definedName>
    <definedName name="CURRENCY">[37]ControlsH!$B$9</definedName>
    <definedName name="currentyear">#REF!</definedName>
    <definedName name="currPRICE">#REF!</definedName>
    <definedName name="custED">#REF!</definedName>
    <definedName name="Customer_deposits_growth_fore">#REF!</definedName>
    <definedName name="custSD">#REF!</definedName>
    <definedName name="custsupp">#REF!</definedName>
    <definedName name="cva">#REF!</definedName>
    <definedName name="CVSsellsqft98">'[56]CVS Q'!$S$99</definedName>
    <definedName name="CVSsellsqft99">'[56]CVS Q'!$Y$99</definedName>
    <definedName name="CVSstorecnt98">'[56]CVS Q'!$S$93</definedName>
    <definedName name="CVSstorecnt99">'[56]CVS Q'!$Y$93</definedName>
    <definedName name="CVSstorecntQ198">#REF!</definedName>
    <definedName name="CVSstorecntQ199">#REF!</definedName>
    <definedName name="CVSstorecntQ299">#REF!</definedName>
    <definedName name="CVSstorecntQ399">#REF!</definedName>
    <definedName name="CVSstorecntQ499">#REF!</definedName>
    <definedName name="Cwvu.Years96_2000_with_profile." hidden="1">[28]SJRCFM!#REF!,[28]SJRCFM!#REF!</definedName>
    <definedName name="Cwvu.years97_2001_with_profile." hidden="1">[28]SJRCFM!#REF!,[28]SJRCFM!#REF!</definedName>
    <definedName name="CYTD_CHG">11</definedName>
    <definedName name="D" localSheetId="0" hidden="1">{"Annual",#N/A,FALSE,"PETC";"Balance Sheet",#N/A,FALSE,"PETC";"Funds Flow",#N/A,FALSE,"PETC";"Quarterly Earnings",#N/A,FALSE,"PETC";"Quarterly Margins",#N/A,FALSE,"PETC";"Ratio Analysis",#N/A,FALSE,"PETC";"Q Sales",#N/A,FALSE,"PETC";"Unit Analysis",#N/A,FALSE,"PETC";"Inventory Analysis",#N/A,FALSE,"PETC";"Valuation",#N/A,FALSE,"PETC";"Comps",#N/A,FALSE,"PETC"}</definedName>
    <definedName name="D">[43]RAINSHT!#REF!</definedName>
    <definedName name="DAC">#REF!</definedName>
    <definedName name="Dan">[57]HUM!#REF!</definedName>
    <definedName name="Data">[58]DataTable!$1:$1048576</definedName>
    <definedName name="_xlnm.Database" localSheetId="0">#REF!</definedName>
    <definedName name="_xlnm.Database">#REF!</definedName>
    <definedName name="Date" localSheetId="0">#REF!</definedName>
    <definedName name="date">[59]Cover!$H$1</definedName>
    <definedName name="Date_Sold">[10]Master!$J$1</definedName>
    <definedName name="Day">#REF!</definedName>
    <definedName name="dayCODE">[37]ControlsH!$C$5</definedName>
    <definedName name="DCF_EY1">[30]DCF_VDF!$D$1:$D$65536</definedName>
    <definedName name="DCF_EY10">[30]DCF_VDF!$M$1:$M$65536</definedName>
    <definedName name="DCF_EY14">[30]DCF_VDF!$Q$1:$Q$65536</definedName>
    <definedName name="DCF_EY15">[30]DCF_VDF!$R$1:$R$65536</definedName>
    <definedName name="DCF_EY2">[30]DCF_VDF!$E$1:$E$65536</definedName>
    <definedName name="DCF_EY24">[30]DCF_VDF!$AA$1:$AA$65536</definedName>
    <definedName name="DCF_EY25">[30]DCF_VDF!$AB$1:$AB$65536</definedName>
    <definedName name="DCF_EY3">[30]DCF_VDF!$F$1:$F$65536</definedName>
    <definedName name="DCF_EY4">[30]DCF_VDF!$G$1:$G$65536</definedName>
    <definedName name="DCF_EY5">[30]DCF_VDF!$H$1:$H$65536</definedName>
    <definedName name="DCF_EY9">[30]DCF_VDF!$L$1:$L$65536</definedName>
    <definedName name="DCF_P">[30]DCF_VDF!$C$1:$C$65536</definedName>
    <definedName name="dddd">#REF!</definedName>
    <definedName name="Debt_growth">[30]NOPAT_VDF!$M$153:$Q$153</definedName>
    <definedName name="defaultED">[37]ControlsH!$G$22</definedName>
    <definedName name="defaultSD">[37]ControlsH!$G$27</definedName>
    <definedName name="Deferred_tax_asset_growth_fore">#REF!</definedName>
    <definedName name="Deferred_tax_liability_growth_fore">#REF!</definedName>
    <definedName name="Denomination">'[60]Summary Page'!$AA$2</definedName>
    <definedName name="Dep_and_Amort">[30]NOPAT_VDF!$C$100:$AU$100</definedName>
    <definedName name="Dep_margin_fore">#REF!</definedName>
    <definedName name="Depreciation">[30]NOPAT_VDF!$C$104:$AE$104</definedName>
    <definedName name="Depreciation_fore">#REF!</definedName>
    <definedName name="DeprecRt">#REF!</definedName>
    <definedName name="derm.other.total">[18]BMY!#REF!</definedName>
    <definedName name="DEVCOMPUTER">#REF!</definedName>
    <definedName name="developedEuropeExUK">0.08</definedName>
    <definedName name="DFF" hidden="1">{"fuz_inc_a",#N/A,FALSE,"BKS";"fuz_inc_q",#N/A,FALSE,"BKS";"fuz_bal_a",#N/A,FALSE,"BKS";"fuz_cash_a",#N/A,FALSE,"BKS";"fuz_prod_a",#N/A,FALSE,"BKS";"fuz_div_a",#N/A,FALSE,"BKS";"fuz_div2_a",#N/A,FALSE,"BKS"}</definedName>
    <definedName name="dfg">[29]Summary!#REF!</definedName>
    <definedName name="Did" hidden="1">{"Salesass",#N/A,FALSE,"assumpt"}</definedName>
    <definedName name="DinGross1Oper2">[20]Input!$D$422</definedName>
    <definedName name="DISK">#REF!</definedName>
    <definedName name="DLX1.USE" localSheetId="0">'[61]Raw Econ Data'!$A$3:$I$3</definedName>
    <definedName name="DLX1.USE">[62]Sheet2!$A$1:$B$2</definedName>
    <definedName name="DLX2.USE" localSheetId="0">#REF!</definedName>
    <definedName name="DLX2.USE">#REF!</definedName>
    <definedName name="DLX3.USE">[62]Sheet3!$A$1:$B$2</definedName>
    <definedName name="DLX4.USE">[62]Sheet2!$A$1:$B$2</definedName>
    <definedName name="DnA_fore">#REF!</definedName>
    <definedName name="DnA_growth_fore">#REF!</definedName>
    <definedName name="DPS_Curr_Yr">#REF!</definedName>
    <definedName name="DPS_Lst_Yr">#REF!</definedName>
    <definedName name="DPS_Next_Yr">#REF!</definedName>
    <definedName name="dsa" hidden="1">{#N/A,#N/A,FALSE,"Chart 2 by Prop Type"}</definedName>
    <definedName name="DSO">#REF!</definedName>
    <definedName name="DSS" hidden="1">{"print STAY opening assumptions",#N/A,FALSE,"STAY Openings";"print STAY openings",#N/A,FALSE,"STAY Openings"}</definedName>
    <definedName name="E">[43]RAINSHT!#REF!</definedName>
    <definedName name="earnings">#REF!</definedName>
    <definedName name="EAST">#REF!</definedName>
    <definedName name="EBIT">[30]NOPAT_VDF!$C$17:$AZ$17</definedName>
    <definedName name="EBIT_fore">#REF!</definedName>
    <definedName name="EBIT_margin">[30]NOPAT_VDF!$C$111:$AU$111</definedName>
    <definedName name="EBIT_margin_fore">#REF!</definedName>
    <definedName name="EBITA">[30]NOPAT_VDF!$C$101:$AZ$101</definedName>
    <definedName name="EBITA_fore">#REF!</definedName>
    <definedName name="EBITDA" localSheetId="0">[30]NOPAT_VDF!$C$102:$AE$102</definedName>
    <definedName name="ebitda">[29]Summary!#REF!</definedName>
    <definedName name="EBITDA_DCF">[30]DCF_VDF!$C$15:$AZ$15</definedName>
    <definedName name="EBITDA_fore">#REF!</definedName>
    <definedName name="EBITDA_growth_avg">[30]NOPAT_VDF!#REF!</definedName>
    <definedName name="EBITDA_margin">[30]NOPAT_VDF!$C$109:$AZ$109</definedName>
    <definedName name="EBITDA_margin_fore">#REF!</definedName>
    <definedName name="EBITDA_Margin_projection">#REF!</definedName>
    <definedName name="EBITDA_Share">[30]NOPAT_VDF!#REF!</definedName>
    <definedName name="EBITDA01">'[17]0000000'!#REF!</definedName>
    <definedName name="EBITDA02">'[17]0000000'!#REF!</definedName>
    <definedName name="EBITDA03">'[17]0000000'!#REF!</definedName>
    <definedName name="EBITDA95">'[17]0000000'!#REF!</definedName>
    <definedName name="EBITDA96">'[17]0000000'!#REF!</definedName>
    <definedName name="EBITDA99">'[17]0000000'!#REF!</definedName>
    <definedName name="EconAPP">'[63]top cos 5c pivots'!$AP$12+'[63]top cos 5c pivots'!$AQ$12</definedName>
    <definedName name="EconAPR">'[63]top cos 5c pivots'!$AP$19+'[63]top cos 5c pivots'!$AQ$19</definedName>
    <definedName name="ed" hidden="1">{"'보고양식'!$A$58:$K$111"}</definedName>
    <definedName name="eeee" hidden="1">{"fdsup://directions/FAT Viewer?action=UPDATE&amp;creator=factset&amp;DYN_ARGS=TRUE&amp;DOC_NAME=FAT:FQL_AUDITING_CLIENT_TEMPLATE.FAT&amp;display_string=Audit&amp;VAR:KEY=NEPKPEBABG&amp;VAR:QUERY=RkZfUEJLKEFOTiwwKQ==&amp;WINDOW=FIRST_POPUP&amp;HEIGHT=450&amp;WIDTH=450&amp;START_MAXIMIZED=FALSE&amp;VA","R:CALENDAR=US&amp;VAR:SYMBOL=CVD&amp;VAR:INDEX=0"}</definedName>
    <definedName name="EEMEA">0.02</definedName>
    <definedName name="EliminationBal">[26]Model!$K$340</definedName>
    <definedName name="EliminationInc">[26]Model!$K$37</definedName>
    <definedName name="EndDate">#REF!</definedName>
    <definedName name="Engineer">#REF!</definedName>
    <definedName name="ENHANCEdass">[64]LLY!#REF!</definedName>
    <definedName name="Enrollment2">[65]Model!#REF!</definedName>
    <definedName name="EPS">[30]NOPAT_VDF!$C$96:$AU$96</definedName>
    <definedName name="EPS_Curr_Qtr">#REF!</definedName>
    <definedName name="EPS_Curr_Yr">#REF!</definedName>
    <definedName name="EPS_growth_avg">[30]NOPAT_VDF!#REF!</definedName>
    <definedName name="EPS_Growth_Rate">#REF!</definedName>
    <definedName name="EPS_Lst_Yr">#REF!</definedName>
    <definedName name="EPS_Next_Yr">#REF!</definedName>
    <definedName name="EPS_Qtr_Date">#REF!</definedName>
    <definedName name="EPS00">'[17]0000000'!#REF!</definedName>
    <definedName name="EPSBef1Aft2">[20]Input!$D$424</definedName>
    <definedName name="EPSw1p2f3">[20]Input!$D$425</definedName>
    <definedName name="Eptotal">'[66]companies pivots'!$AV$12</definedName>
    <definedName name="EptotalP">'[66]companies pivots'!$AY$12</definedName>
    <definedName name="Equity_Ticker">#REF!</definedName>
    <definedName name="EquityInvestTF">[20]Input!$B$421</definedName>
    <definedName name="ESA">'[49]THE LINK FOR ALL'!$B$52</definedName>
    <definedName name="ESA_CONS00">'[49]THE LINK FOR ALL'!$F$28</definedName>
    <definedName name="ESA_CONS01">'[49]THE LINK FOR ALL'!$G$28</definedName>
    <definedName name="ESA_CONS99">#REF!</definedName>
    <definedName name="Esum">'[42]New WLP'!#REF!</definedName>
    <definedName name="EsumYY">'[42]New WLP'!#REF!</definedName>
    <definedName name="EuroCF00">'[8]&lt;EuroCF&gt;'!$B$18</definedName>
    <definedName name="europe">0.15</definedName>
    <definedName name="Excess_cash">'[30]Invested capital_VDF'!$C$5:$AE$5</definedName>
    <definedName name="Expl_forecast_1st_yr">#REF!</definedName>
    <definedName name="Expl_forecast_2nd_yr">#REF!</definedName>
    <definedName name="Expl_forecast_3rd_yr">#REF!</definedName>
    <definedName name="ExportCSV_Banks">#REF!</definedName>
    <definedName name="ExportCSV_FRN">#REF!</definedName>
    <definedName name="ExportCSV_Tier1">#REF!</definedName>
    <definedName name="ExportCSV_Yankee">#REF!</definedName>
    <definedName name="f" localSheetId="0" hidden="1">{"cover a","1q",FALSE,"Cover";"Op Earn Mgd Q1",#N/A,FALSE,"Op-Earn (Mng)";"Op Earn Rpt Q1",#N/A,FALSE,"Op-Earn (Rpt)";"Loans",#N/A,FALSE,"Loans";"Credit Costs",#N/A,FALSE,"CCosts";"Net Interest Margin",#N/A,FALSE,"Margin";"Nonint Income",#N/A,FALSE,"NonII";"Nonint Exp",#N/A,FALSE,"NonIE";"Valuation",#N/A,FALSE,"Valuation"}</definedName>
    <definedName name="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AX">#REF!</definedName>
    <definedName name="FB">[10]Master!$N$1</definedName>
    <definedName name="FDLNmod">#REF!</definedName>
    <definedName name="FDP_0_1_aUrv" hidden="1">#REF!</definedName>
    <definedName name="FDP_1_1_aUrv" hidden="1">#REF!</definedName>
    <definedName name="FDP_100_1_aUrv" hidden="1">#REF!</definedName>
    <definedName name="FDP_101_1_aUrv" hidden="1">#REF!</definedName>
    <definedName name="FDP_102_1_aUrv" hidden="1">#REF!</definedName>
    <definedName name="FDP_103_1_aUrv" hidden="1">#REF!</definedName>
    <definedName name="FDP_104_1_aUrv" hidden="1">#REF!</definedName>
    <definedName name="FDP_105_1_aUrv" hidden="1">#REF!</definedName>
    <definedName name="FDP_106_1_aUrv" hidden="1">#REF!</definedName>
    <definedName name="FDP_107_1_aUrv" hidden="1">#REF!</definedName>
    <definedName name="FDP_108_1_aUrv" hidden="1">#REF!</definedName>
    <definedName name="FDP_109_1_aUrv" hidden="1">#REF!</definedName>
    <definedName name="FDP_11_1_aDrv" hidden="1">#REF!</definedName>
    <definedName name="FDP_110_1_aUrv" hidden="1">#REF!</definedName>
    <definedName name="FDP_111_1_aUrv" hidden="1">#REF!</definedName>
    <definedName name="FDP_112_1_aUrv" hidden="1">#REF!</definedName>
    <definedName name="FDP_113_1_aUrv" hidden="1">#REF!</definedName>
    <definedName name="FDP_114_1_aUrv" hidden="1">#REF!</definedName>
    <definedName name="FDP_115_1_aUrv" hidden="1">#REF!</definedName>
    <definedName name="FDP_116_1_aUrv" hidden="1">#REF!</definedName>
    <definedName name="FDP_117_1_aUrv" hidden="1">#REF!</definedName>
    <definedName name="FDP_118_1_aUrv" hidden="1">#REF!</definedName>
    <definedName name="FDP_119_1_aUrv" hidden="1">#REF!</definedName>
    <definedName name="FDP_12_1_aDrv" hidden="1">#REF!</definedName>
    <definedName name="FDP_120_1_aUrv" hidden="1">#REF!</definedName>
    <definedName name="FDP_121_1_aUrv" hidden="1">#REF!</definedName>
    <definedName name="FDP_122_1_aUrv" hidden="1">#REF!</definedName>
    <definedName name="FDP_123_1_aUrv" hidden="1">#REF!</definedName>
    <definedName name="FDP_124_1_aUrv" hidden="1">#REF!</definedName>
    <definedName name="FDP_125_1_aUrv" hidden="1">#REF!</definedName>
    <definedName name="FDP_126_1_aUrv" hidden="1">#REF!</definedName>
    <definedName name="FDP_127_1_aUrv" hidden="1">#REF!</definedName>
    <definedName name="FDP_128_1_aUrv" hidden="1">#REF!</definedName>
    <definedName name="FDP_129_1_aUrv" hidden="1">#REF!</definedName>
    <definedName name="FDP_130_1_aUrv" hidden="1">#REF!</definedName>
    <definedName name="FDP_132_1_aUrv" hidden="1">#REF!</definedName>
    <definedName name="FDP_133_1_aUrv" hidden="1">#REF!</definedName>
    <definedName name="FDP_134_1_aUrv" hidden="1">#REF!</definedName>
    <definedName name="FDP_135_1_aUrv" hidden="1">#REF!</definedName>
    <definedName name="FDP_136_1_aSrv" hidden="1">#REF!</definedName>
    <definedName name="FDP_137_1_aUrv" hidden="1">#REF!</definedName>
    <definedName name="FDP_138_1_aUrv" hidden="1">#REF!</definedName>
    <definedName name="FDP_139_1_aUrv" hidden="1">#REF!</definedName>
    <definedName name="FDP_140_1_aUrv" hidden="1">#REF!</definedName>
    <definedName name="FDP_142_1_aUrv" hidden="1">#REF!</definedName>
    <definedName name="FDP_143_1_aUrv" hidden="1">#REF!</definedName>
    <definedName name="FDP_144_1_aUrv" hidden="1">#REF!</definedName>
    <definedName name="FDP_145_1_aUrv" hidden="1">#REF!</definedName>
    <definedName name="FDP_146_1_aUrv" hidden="1">#REF!</definedName>
    <definedName name="FDP_147_1_aUrv" hidden="1">#REF!</definedName>
    <definedName name="FDP_148_1_aUrv" hidden="1">#REF!</definedName>
    <definedName name="FDP_149_1_aUrv" hidden="1">#REF!</definedName>
    <definedName name="FDP_15_1_aUrv" hidden="1">#REF!</definedName>
    <definedName name="FDP_151_1_aUrv" hidden="1">#REF!</definedName>
    <definedName name="FDP_153_1_aUrv" hidden="1">#REF!</definedName>
    <definedName name="FDP_166_1_aDrv" hidden="1">#REF!</definedName>
    <definedName name="FDP_167_1_aDrv" hidden="1">#REF!</definedName>
    <definedName name="FDP_168_1_aDrv" hidden="1">#REF!</definedName>
    <definedName name="FDP_169_1_aDrv" hidden="1">#REF!</definedName>
    <definedName name="FDP_17_1_aUrv" hidden="1">#REF!</definedName>
    <definedName name="FDP_170_1_aDrv" hidden="1">#REF!</definedName>
    <definedName name="FDP_171_1_aDrv" hidden="1">#REF!</definedName>
    <definedName name="FDP_172_1_aDrv" hidden="1">#REF!</definedName>
    <definedName name="FDP_173_1_aDrv" hidden="1">#REF!</definedName>
    <definedName name="FDP_179_1_aUrv" hidden="1">#REF!</definedName>
    <definedName name="FDP_18_1_aUrv" hidden="1">#REF!</definedName>
    <definedName name="FDP_185_1_aUdv" hidden="1">#REF!</definedName>
    <definedName name="FDP_186_1_aUdv" hidden="1">#REF!</definedName>
    <definedName name="FDP_187_1_aUdv" hidden="1">#REF!</definedName>
    <definedName name="FDP_188_1_aUdv" hidden="1">#REF!</definedName>
    <definedName name="FDP_189_1_aUdv" hidden="1">#REF!</definedName>
    <definedName name="FDP_190_1_aUdv" hidden="1">#REF!</definedName>
    <definedName name="FDP_191_1_aUdv" hidden="1">#REF!</definedName>
    <definedName name="FDP_192_1_aUdv" hidden="1">#REF!</definedName>
    <definedName name="FDP_193_1_aUdv" hidden="1">#REF!</definedName>
    <definedName name="FDP_194_1_aUdv" hidden="1">#REF!</definedName>
    <definedName name="FDP_195_1_aUdv" hidden="1">#REF!</definedName>
    <definedName name="FDP_196_1_aUdv" hidden="1">#REF!</definedName>
    <definedName name="FDP_197_1_aUdv" hidden="1">#REF!</definedName>
    <definedName name="FDP_198_1_aUdv" hidden="1">#REF!</definedName>
    <definedName name="FDP_199_1_aUdv" hidden="1">#REF!</definedName>
    <definedName name="FDP_2_1_aUrv" hidden="1">#REF!</definedName>
    <definedName name="FDP_23_1_aDrv" hidden="1">#REF!</definedName>
    <definedName name="FDP_25_1_aUrv" hidden="1">#REF!</definedName>
    <definedName name="FDP_26_1_aUrv" hidden="1">#REF!</definedName>
    <definedName name="FDP_28_1_aUrv" hidden="1">#REF!</definedName>
    <definedName name="FDP_3_1_aUrv" hidden="1">#REF!</definedName>
    <definedName name="FDP_30_1_aUrv" hidden="1">#REF!</definedName>
    <definedName name="FDP_31_1_aUrv" hidden="1">#REF!</definedName>
    <definedName name="FDP_32_1_aUrv" hidden="1">#REF!</definedName>
    <definedName name="FDP_34_1_aUrv" hidden="1">#REF!</definedName>
    <definedName name="FDP_36_1_aUrv" hidden="1">#REF!</definedName>
    <definedName name="FDP_37_1_aUrv" hidden="1">#REF!</definedName>
    <definedName name="FDP_38_1_aUrv" hidden="1">#REF!</definedName>
    <definedName name="FDP_40_1_aUrv" hidden="1">#REF!</definedName>
    <definedName name="FDP_43_1_aUrv" hidden="1">#REF!</definedName>
    <definedName name="FDP_44_1_aUrv" hidden="1">#REF!</definedName>
    <definedName name="FDP_47_1_aUrv" hidden="1">#REF!</definedName>
    <definedName name="FDP_49_1_aUrv" hidden="1">#REF!</definedName>
    <definedName name="FDP_50_1_aUrv" hidden="1">#REF!</definedName>
    <definedName name="FDP_51_1_aUrv" hidden="1">#REF!</definedName>
    <definedName name="FDP_53_1_aUrv" hidden="1">#REF!</definedName>
    <definedName name="FDP_54_1_aUrv" hidden="1">#REF!</definedName>
    <definedName name="FDP_55_1_aUrv" hidden="1">#REF!</definedName>
    <definedName name="FDP_56_1_aUrv" hidden="1">#REF!</definedName>
    <definedName name="FDP_57_1_aUrv" hidden="1">#REF!</definedName>
    <definedName name="FDP_58_1_aUrv" hidden="1">#REF!</definedName>
    <definedName name="FDP_59_1_aUrv" hidden="1">#REF!</definedName>
    <definedName name="FDP_60_1_aUrv" hidden="1">#REF!</definedName>
    <definedName name="FDP_63_1_aUrv" hidden="1">#REF!</definedName>
    <definedName name="FDP_65_1_aSrv" hidden="1">#REF!</definedName>
    <definedName name="FDP_67_1_aUrv" hidden="1">#REF!</definedName>
    <definedName name="FDP_7_1_aUrv" hidden="1">#REF!</definedName>
    <definedName name="FDP_71_1_aUrv" hidden="1">#REF!</definedName>
    <definedName name="FDP_77_1_aUrv" hidden="1">#REF!</definedName>
    <definedName name="FDP_79_1_aUrv" hidden="1">#REF!</definedName>
    <definedName name="FDP_82_1_aUrv" hidden="1">#REF!</definedName>
    <definedName name="FDP_84_1_aUrv" hidden="1">#REF!</definedName>
    <definedName name="FDP_85_1_aUrv" hidden="1">#REF!</definedName>
    <definedName name="FDP_90_1_aUrv" hidden="1">#REF!</definedName>
    <definedName name="FDP_91_1_aUrv" hidden="1">#REF!</definedName>
    <definedName name="FDP_92_1_aSrv" hidden="1">#REF!</definedName>
    <definedName name="FDP_95_1_aUrv" hidden="1">#REF!</definedName>
    <definedName name="FDP_96_1_aUrv" hidden="1">#REF!</definedName>
    <definedName name="FDP_99_1_aUrv" hidden="1">#REF!</definedName>
    <definedName name="fdsfbnnn" hidden="1">{"fdsup://directions/FAT Viewer?action=UPDATE&amp;creator=factset&amp;DYN_ARGS=TRUE&amp;DOC_NAME=FAT:FQL_AUDITING_CLIENT_TEMPLATE.FAT&amp;display_string=Audit&amp;VAR:KEY=IRGRQDQTWB&amp;VAR:QUERY=RkVfVkFMVUFUSU9OKEVWX0VCSVREQSxNRUFOLEFOTlVBTCwyMDE0LE5PVywsLCcnKQ==&amp;WINDOW=FIRST_POP","UP&amp;HEIGHT=450&amp;WIDTH=450&amp;START_MAXIMIZED=FALSE&amp;VAR:CALENDAR=US&amp;VAR:SYMBOL=ICLR&amp;VAR:INDEX=0"}</definedName>
    <definedName name="ff"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fferw" hidden="1">{#N/A,#N/A,FALSE,"Cover";#N/A,#N/A,FALSE,"Major v. River";#N/A,#N/A,FALSE,"Industry";#N/A,#N/A,FALSE,"Stock Val";#N/A,#N/A,FALSE,"EBITDA";#N/A,#N/A,FALSE,"EBITDA Growth";#N/A,#N/A,FALSE,"LV REt";#N/A,#N/A,FALSE,"AC Ret";#N/A,#N/A,FALSE,"River Ret";#N/A,#N/A,FALSE,"Executive";#N/A,#N/A,FALSE,"Demographics";#N/A,#N/A,FALSE,"Leisure";#N/A,#N/A,FALSE,"States";#N/A,#N/A,FALSE,"nongame";#N/A,#N/A,FALSE,"nongame2";#N/A,#N/A,FALSE,"Room Margin";#N/A,#N/A,FALSE,"Hyp Casino";#N/A,#N/A,FALSE,"lv gates";#N/A,#N/A,FALSE,"potential";#N/A,#N/A,FALSE,"Large Operators";#N/A,#N/A,FALSE,"Smaller Operators";#N/A,#N/A,FALSE,"Equip. Supply";#N/A,#N/A,FALSE,"LV Detail $1 Mil"}</definedName>
    <definedName name="Financial_Statement">'[32]IGT MODEL'!$A$1:$AH$95</definedName>
    <definedName name="financial.trends">[64]LLY!#REF!</definedName>
    <definedName name="Financials">[36]Financials!$1:$1048576</definedName>
    <definedName name="firm">[51]AMETEK!$A$5</definedName>
    <definedName name="FirstTicker">#REF!</definedName>
    <definedName name="fiscal_year_1997">'[67]Comps - Monthly'!#REF!</definedName>
    <definedName name="Fixed_asset_turns">'[30]Invested capital_VDF'!$C$99:$AU$99</definedName>
    <definedName name="Fixed_asset_turns_fore">#REF!</definedName>
    <definedName name="forecast" hidden="1">{"cover a","1q",FALSE,"Cover";"Op Earn Mgd Q1",#N/A,FALSE,"Op-Earn (Mng)";"Op Earn Rpt Q1",#N/A,FALSE,"Op-Earn (Rpt)";"Loans",#N/A,FALSE,"Loans";"Credit Costs",#N/A,FALSE,"CCosts";"Net Interest Margin",#N/A,FALSE,"Margin";"Nonint Income",#N/A,FALSE,"NonII";"Nonint Exp",#N/A,FALSE,"NonIE";"Valuation",#N/A,FALSE,"Valuation"}</definedName>
    <definedName name="ForecastVersion">#REF!</definedName>
    <definedName name="fr" hidden="1">{"print STAY opening assumptions",#N/A,FALSE,"STAY Openings";"print STAY openings",#N/A,FALSE,"STAY Openings"}</definedName>
    <definedName name="FR_COM_ABBR">" "</definedName>
    <definedName name="FR_COM_NAME_LINK">" "</definedName>
    <definedName name="FR_COU_ABBR">" "</definedName>
    <definedName name="FR_COU_ABBR_LINK">#REF!</definedName>
    <definedName name="FR_SYBASE_SERVER">"PNYEQFRD01"</definedName>
    <definedName name="FR_TEMPLATE_KEY">"53269|1"</definedName>
    <definedName name="FR_WORKBOOK">"H:\Excel\MCK-CSFB.xls"</definedName>
    <definedName name="Franch_Code">[10]Master!$P$1</definedName>
    <definedName name="franchise">[47]AFF.TXT!$A$1:$B$417</definedName>
    <definedName name="Franchise_Name">[10]Master!$Q$1</definedName>
    <definedName name="FS">'[49]THE LINK FOR ALL'!$B$46</definedName>
    <definedName name="FS_00EA">'[68]Earnings Model 4-26-00'!$P$26</definedName>
    <definedName name="FS_00EPS">#REF!</definedName>
    <definedName name="FS_01EA">'[68]Earnings Model 4-26-00'!$U$26</definedName>
    <definedName name="FS_01EPS">#REF!</definedName>
    <definedName name="FS_99EA">'[68]Earnings Model 4-26-00'!$K$26</definedName>
    <definedName name="FS_99EPS">#REF!</definedName>
    <definedName name="FS_CONS00">#REF!</definedName>
    <definedName name="FS_CONS01">#REF!</definedName>
    <definedName name="FS_CONS99">#REF!</definedName>
    <definedName name="FS_Rating">'[31]Industry (2)'!$D$5</definedName>
    <definedName name="FS_Target">'[31]Industry (2)'!$C$5</definedName>
    <definedName name="fundTICKER">[37]ControlsH!$B$15</definedName>
    <definedName name="FURNITURE">#REF!</definedName>
    <definedName name="Fxvar">#REF!</definedName>
    <definedName name="FY_1996">#REF!</definedName>
    <definedName name="Gaming_Device_Demand">'[32]IGT MODEL'!#REF!</definedName>
    <definedName name="Gaming_Device_Demand_Analysis">'[32]IGT MODEL'!#REF!</definedName>
    <definedName name="ganda">#REF!</definedName>
    <definedName name="GAX">#REF!</definedName>
    <definedName name="GGG" hidden="1">{"quartfin",#N/A,FALSE,"quartfin"}</definedName>
    <definedName name="GMTC">#REF!</definedName>
    <definedName name="GMTC_CONS00">#REF!</definedName>
    <definedName name="GMTC_CONS01">#REF!</definedName>
    <definedName name="GMTC_CONS99">#REF!</definedName>
    <definedName name="GND">#REF!</definedName>
    <definedName name="GND_CONSENSUS">#REF!</definedName>
    <definedName name="GoldCode">[69]Lookups!$AI$32:$AJ$35</definedName>
    <definedName name="Goodwill_growth_fore">#REF!</definedName>
    <definedName name="GRID">#REF!</definedName>
    <definedName name="Gross_inc_growth">[30]NOPAT_VDF!#REF!</definedName>
    <definedName name="Gross_income">[30]NOPAT_VDF!$C$10:$AE$10</definedName>
    <definedName name="Gross_income_fore">#REF!</definedName>
    <definedName name="Gross_income_growth_avg">#REF!</definedName>
    <definedName name="Gross_margin_fore">#REF!</definedName>
    <definedName name="GrossMargin">#REF!</definedName>
    <definedName name="grossmarginsbyproductline">#REF!</definedName>
    <definedName name="grossprofit1995">#REF!</definedName>
    <definedName name="grossprofitanalysis">#REF!</definedName>
    <definedName name="GroupLife">[26]Model!$K$920</definedName>
    <definedName name="GT">'[42]New WLP'!#REF!</definedName>
    <definedName name="GT10Mfor91">[1]Lookups!#REF!</definedName>
    <definedName name="GT10Mfor92">[1]Lookups!#REF!</definedName>
    <definedName name="GT10Mfor93">[1]Lookups!#REF!</definedName>
    <definedName name="GT10Mfor94">[1]Lookups!#REF!</definedName>
    <definedName name="GT10Mfor95">[1]Lookups!#REF!</definedName>
    <definedName name="GTK">#REF!</definedName>
    <definedName name="GUC">'[49]THE LINK FOR ALL'!$B$53</definedName>
    <definedName name="GUC_CONS00">'[49]THE LINK FOR ALL'!$F$25</definedName>
    <definedName name="GUC_CONS01">'[49]THE LINK FOR ALL'!$G$25</definedName>
    <definedName name="GUC_CONS99">#REF!</definedName>
    <definedName name="Guidance" localSheetId="0">#REF!</definedName>
    <definedName name="guidance">'[70]99-01'!#REF!</definedName>
    <definedName name="Headcount">[26]Model!$K$58</definedName>
    <definedName name="Hearthside_Inn">[71]Lookups!$B$41</definedName>
    <definedName name="HET">[72]Prices!$B$12</definedName>
    <definedName name="HET_00Ea">#REF!</definedName>
    <definedName name="HET_00EPS">#REF!</definedName>
    <definedName name="HET_01Ea">#REF!</definedName>
    <definedName name="HET_01EPS">#REF!</definedName>
    <definedName name="HET_99Ea">#REF!</definedName>
    <definedName name="HET_99EPS">#REF!</definedName>
    <definedName name="HET_Rating">[31]Industry!$D$9</definedName>
    <definedName name="HET_Target">[31]Industry!$C$9</definedName>
    <definedName name="HFH" hidden="1">{"print annual inc. statement",#N/A,FALSE,"Summary";"print annual stats",#N/A,FALSE,"Summary";"print quarterly inc. statement",#N/A,FALSE,"Summary";"print quarterly stats",#N/A,FALSE,"Summary"}</definedName>
    <definedName name="HHIhs" hidden="1">{"short1",#N/A,FALSE,"masmode";"short2",#N/A,FALSE,"masmode";"qtrres",#N/A,FALSE,"QTR. RES.";"sales",#N/A,FALSE,"Sales &amp; Market Share"}</definedName>
    <definedName name="HLT">'[49]THE LINK FOR ALL'!$B$43</definedName>
    <definedName name="HLT_00EA">#REF!</definedName>
    <definedName name="HLT_00EPS">#REF!</definedName>
    <definedName name="HLT_01EA">#REF!</definedName>
    <definedName name="HLT_01EPS">#REF!</definedName>
    <definedName name="HLT_99EA">#REF!</definedName>
    <definedName name="HLT_99EPS">#REF!</definedName>
    <definedName name="HLT_CONS00">'[49]THE LINK FOR ALL'!#REF!</definedName>
    <definedName name="HLT_CONS01">'[49]THE LINK FOR ALL'!#REF!</definedName>
    <definedName name="HLT_CONS99">'[49]THE LINK FOR ALL'!#REF!</definedName>
    <definedName name="HLT_Rating">'[31]Industry (2)'!$D$6</definedName>
    <definedName name="HLT_Target">'[31]Industry (2)'!$C$6</definedName>
    <definedName name="HMT">#REF!</definedName>
    <definedName name="HMT_CONS00">#REF!</definedName>
    <definedName name="HMT_CONS01">#REF!</definedName>
    <definedName name="HMT_CONS99">#REF!</definedName>
    <definedName name="Home">[26]Model!$K$1283</definedName>
    <definedName name="HOT">'[49]THE LINK FOR ALL'!$B$45</definedName>
    <definedName name="HOT_00EA">#REF!</definedName>
    <definedName name="HOT_00EPS">#REF!</definedName>
    <definedName name="HOT_01EA">#REF!</definedName>
    <definedName name="HOT_01EPS">#REF!</definedName>
    <definedName name="HOT_99EA">#REF!</definedName>
    <definedName name="HOT_99EPS">#REF!</definedName>
    <definedName name="HOT_CONS00">#REF!</definedName>
    <definedName name="HOT_CONS01">#REF!</definedName>
    <definedName name="HOT_CONS99">#REF!</definedName>
    <definedName name="HOT_Rating">'[31]Industry (2)'!$D$8</definedName>
    <definedName name="HOT_Target">'[31]Industry (2)'!$C$8</definedName>
    <definedName name="HPK">[72]Prices!$B$24</definedName>
    <definedName name="HTML_CodePage" hidden="1">949</definedName>
    <definedName name="HTML_Control" hidden="1">{"'보고양식'!$A$58:$K$111"}</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"C:\My Documents\98년\영업현황\2월 수주현황(2월 마감분).htm"</definedName>
    <definedName name="HTML_Title" hidden="1">""</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10_1" hidden="1">"'[수주관리98.xls]2월1주차'!$A$1:$P$31"</definedName>
    <definedName name="HTML10_10" hidden="1">""</definedName>
    <definedName name="HTML10_11" hidden="1">1</definedName>
    <definedName name="HTML10_12" hidden="1">"C:\My Documents\98년\영업현황\일일현황-98.2.6.htm"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definedName>
    <definedName name="HTML10_9" hidden="1">""</definedName>
    <definedName name="HTML11_1" hidden="1">"'[수주관리98.xls]2월2주차'!$A$1:$P$21"</definedName>
    <definedName name="HTML11_10" hidden="1">""</definedName>
    <definedName name="HTML11_11" hidden="1">1</definedName>
    <definedName name="HTML11_12" hidden="1">"C:\My Documents\98년\영업현황\일일현황-98.2.12.htm"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definedName>
    <definedName name="HTML11_9" hidden="1">""</definedName>
    <definedName name="HTML12_1" hidden="1">"'[수주관리98.xls]2월2주차'!$A$1:$P$34"</definedName>
    <definedName name="HTML12_10" hidden="1">""</definedName>
    <definedName name="HTML12_11" hidden="1">1</definedName>
    <definedName name="HTML12_12" hidden="1">"C:\My Documents\98년\영업현황\일일현황-98.2.13.htm"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definedName>
    <definedName name="HTML12_9" hidden="1">""</definedName>
    <definedName name="HTML13_1" hidden="1">"'[수주관리98.xls]2월2주차'!$A$1:$P$19"</definedName>
    <definedName name="HTML13_10" hidden="1">""</definedName>
    <definedName name="HTML13_11" hidden="1">1</definedName>
    <definedName name="HTML13_12" hidden="1">"C:\My Documents\98년\영업현황\일일현황-98.2.12.htm"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definedName>
    <definedName name="HTML13_9" hidden="1">""</definedName>
    <definedName name="HTML14_1" hidden="1">"'[수주관리98.xls]2월2주차'!$A$1:$P$17"</definedName>
    <definedName name="HTML14_10" hidden="1">""</definedName>
    <definedName name="HTML14_11" hidden="1">1</definedName>
    <definedName name="HTML14_12" hidden="1">"C:\My Documents\98년\영업현황\일일현황-98.2.9.htm"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definedName>
    <definedName name="HTML14_9" hidden="1">""</definedName>
    <definedName name="HTML15_1" hidden="1">"'[수주관리98.xls]2월3주차'!$A$1:$P$20"</definedName>
    <definedName name="HTML15_10" hidden="1">""</definedName>
    <definedName name="HTML15_11" hidden="1">1</definedName>
    <definedName name="HTML15_12" hidden="1">"C:\My Documents\98년\영업현황\일일현황-98.2.16.htm"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definedName>
    <definedName name="HTML15_9" hidden="1">""</definedName>
    <definedName name="HTML16_1" hidden="1">"'[수주통합관리98_2_21.xls]2월3주차'!$A$1:$I$89"</definedName>
    <definedName name="HTML16_10" hidden="1">""</definedName>
    <definedName name="HTML16_11" hidden="1">1</definedName>
    <definedName name="HTML16_12" hidden="1">"C:\My Documents\98년\영업현황\일일현황-98.2.25.htm"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definedName>
    <definedName name="HTML16_9" hidden="1">""</definedName>
    <definedName name="HTML17_1" hidden="1">"'[수주통합관리98_2_21.xls]2월3주차'!$A$4:$H$30"</definedName>
    <definedName name="HTML17_10" hidden="1">""</definedName>
    <definedName name="HTML17_11" hidden="1">1</definedName>
    <definedName name="HTML17_12" hidden="1">"C:\My Documents\98년\영업현황\1월 수주현황.htm"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definedName>
    <definedName name="HTML17_9" hidden="1">""</definedName>
    <definedName name="HTML18_1" hidden="1">"'[수주통합관리98_2_21.xls]2월3주차'!$A$32:$I$58"</definedName>
    <definedName name="HTML18_10" hidden="1">""</definedName>
    <definedName name="HTML18_11" hidden="1">1</definedName>
    <definedName name="HTML18_12" hidden="1">"C:\My Documents\98년\영업현황\2월 수주현황(2월25일 현재).htm"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definedName>
    <definedName name="HTML18_9" hidden="1">""</definedName>
    <definedName name="HTML19_1" hidden="1">"'[수주통합관리98_2_21.xls]2월3주차'!$A$63:$F$89"</definedName>
    <definedName name="HTML19_10" hidden="1">""</definedName>
    <definedName name="HTML19_11" hidden="1">1</definedName>
    <definedName name="HTML19_12" hidden="1">"C:\My Documents\98년\영업현황\월별현황(2월25일 현재).htm"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"[수주관리98.xls]일일현황!$A$1:$L$10"</definedName>
    <definedName name="HTML2_10" hidden="1">""</definedName>
    <definedName name="HTML2_11" hidden="1">1</definedName>
    <definedName name="HTML2_12" hidden="1">"C:\My Documents\98년\1월\영업현황\일일현황-98.1.22.htm"</definedName>
    <definedName name="HTML2_2" hidden="1">1</definedName>
    <definedName name="HTML2_3" hidden="1">""</definedName>
    <definedName name="HTML2_4" hidden="1">""</definedName>
    <definedName name="HTML2_5" hidden="1">""</definedName>
    <definedName name="HTML2_6" hidden="1">-4146</definedName>
    <definedName name="HTML2_7" hidden="1">1</definedName>
    <definedName name="HTML2_8" hidden="1">"98-01-22"</definedName>
    <definedName name="HTML2_9" hidden="1">""</definedName>
    <definedName name="HTML20_1" hidden="1">"'[수주통합관리98_2_25.xls]2월4주차'!$A$71:$F$97"</definedName>
    <definedName name="HTML20_10" hidden="1">""</definedName>
    <definedName name="HTML20_11" hidden="1">1</definedName>
    <definedName name="HTML20_12" hidden="1">"C:\My Documents\98년\영업현황\월별현황(2월 마감분).htm"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"'[수주통합관리98_2_25.xls]2월4주차'!$A$4:$H$29"</definedName>
    <definedName name="HTML21_10" hidden="1">""</definedName>
    <definedName name="HTML21_11" hidden="1">1</definedName>
    <definedName name="HTML21_12" hidden="1">"C:\My Documents\98년\영업현황\1월 수주현황(1월 마감분).htm"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"'[수주통합관리98_2_25.xls]2월4주차'!$A$31:$I$66"</definedName>
    <definedName name="HTML22_10" hidden="1">""</definedName>
    <definedName name="HTML22_11" hidden="1">1</definedName>
    <definedName name="HTML22_12" hidden="1">"C:\My Documents\98년\영업현황\1월 수주현황(2월 마감분).htm"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"[수주통합관리98_2_25.xls]보고양식!$A$32:$I$68"</definedName>
    <definedName name="HTML23_10" hidden="1">""</definedName>
    <definedName name="HTML23_11" hidden="1">1</definedName>
    <definedName name="HTML23_12" hidden="1">"C:\My Documents\98년\영업현황\2월 수주현황(2월 마감분).htm"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"[수주통합관리98_2_25.xls]보고양식!$A$73:$F$98"</definedName>
    <definedName name="HTML24_10" hidden="1">""</definedName>
    <definedName name="HTML24_11" hidden="1">1</definedName>
    <definedName name="HTML24_12" hidden="1">"C:\My Documents\98년\영업현황\월별현황(2월 마감분).htm"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"[수주통합관리98_2_25.xls]보고양식!$A$4:$I$29"</definedName>
    <definedName name="HTML25_10" hidden="1">""</definedName>
    <definedName name="HTML25_11" hidden="1">1</definedName>
    <definedName name="HTML25_12" hidden="1">"C:\My Documents\98년\영업현황\1월 수주현황(1월 마감분).htm"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definedName>
    <definedName name="HTML25_9" hidden="1">""</definedName>
    <definedName name="HTML26_1" hidden="1">"[수주통합관리98_2_25.xls]보고양식!$A$31:$K$80"</definedName>
    <definedName name="HTML26_10" hidden="1">""</definedName>
    <definedName name="HTML26_11" hidden="1">1</definedName>
    <definedName name="HTML26_12" hidden="1">"C:\My Documents\98년\영업현황\2월 수주현황(2월 마감분).htm"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"[수주통합관리98_2_25.xls]보고양식!$B$84:$G$109"</definedName>
    <definedName name="HTML27_10" hidden="1">""</definedName>
    <definedName name="HTML27_11" hidden="1">1</definedName>
    <definedName name="HTML27_12" hidden="1">"C:\My Documents\98년\영업현황\월별현황(2월 마감분).htm"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"[수주통합관리98_3_2.xls]보고양식!$B$92:$G$117"</definedName>
    <definedName name="HTML28_10" hidden="1">""</definedName>
    <definedName name="HTML28_11" hidden="1">1</definedName>
    <definedName name="HTML28_12" hidden="1">"C:\My Documents\98년\영업현황\월별현황(2월 마감분).htm"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29_1" hidden="1">"[수주통합관리98_3_2.xls]보고양식!$A$31:$K$88"</definedName>
    <definedName name="HTML29_10" hidden="1">""</definedName>
    <definedName name="HTML29_11" hidden="1">1</definedName>
    <definedName name="HTML29_12" hidden="1">"C:\My Documents\98년\영업현황\2월 수주현황(2월 마감분).htm"</definedName>
    <definedName name="HTML29_2" hidden="1">1</definedName>
    <definedName name="HTML29_3" hidden="1">""</definedName>
    <definedName name="HTML29_4" hidden="1">""</definedName>
    <definedName name="HTML29_5" hidden="1">""</definedName>
    <definedName name="HTML29_6" hidden="1">-4146</definedName>
    <definedName name="HTML29_7" hidden="1">-4146</definedName>
    <definedName name="HTML29_8" hidden="1">""</definedName>
    <definedName name="HTML29_9" hidden="1">""</definedName>
    <definedName name="HTML3_1" hidden="1">"[수주관리98.xls]일일현황!$A$1:$N$9"</definedName>
    <definedName name="HTML3_10" hidden="1">""</definedName>
    <definedName name="HTML3_11" hidden="1">1</definedName>
    <definedName name="HTML3_12" hidden="1">"C:\My Documents\98년\영업현황\일일현황-98.1.23.htm"</definedName>
    <definedName name="HTML3_2" hidden="1">1</definedName>
    <definedName name="HTML3_3" hidden="1">""</definedName>
    <definedName name="HTML3_4" hidden="1">""</definedName>
    <definedName name="HTML3_5" hidden="1">""</definedName>
    <definedName name="HTML3_6" hidden="1">1</definedName>
    <definedName name="HTML3_7" hidden="1">1</definedName>
    <definedName name="HTML3_8" hidden="1">""</definedName>
    <definedName name="HTML3_9" hidden="1">""</definedName>
    <definedName name="HTML30_1" hidden="1">"'[사본 - 영업통합관리(수주.매출).xls]보고양식'!$A$114:$K$131"</definedName>
    <definedName name="HTML30_10" hidden="1">""</definedName>
    <definedName name="HTML30_11" hidden="1">1</definedName>
    <definedName name="HTML30_12" hidden="1">"C:\My Documents\98년\영업현황\일일현황-98.3.12.htm"</definedName>
    <definedName name="HTML30_2" hidden="1">1</definedName>
    <definedName name="HTML30_3" hidden="1">""</definedName>
    <definedName name="HTML30_4" hidden="1">""</definedName>
    <definedName name="HTML30_5" hidden="1">""</definedName>
    <definedName name="HTML30_6" hidden="1">-4146</definedName>
    <definedName name="HTML30_7" hidden="1">-4146</definedName>
    <definedName name="HTML30_8" hidden="1">""</definedName>
    <definedName name="HTML30_9" hidden="1">""</definedName>
    <definedName name="HTML4_1" hidden="1">"[수주관리98.xls]영업!$A$1:$N$15"</definedName>
    <definedName name="HTML4_10" hidden="1">""</definedName>
    <definedName name="HTML4_11" hidden="1">1</definedName>
    <definedName name="HTML4_12" hidden="1">"C:\My Documents\98년\영업현황\일일현황-98.1.31.htm"</definedName>
    <definedName name="HTML4_2" hidden="1">1</definedName>
    <definedName name="HTML4_3" hidden="1">""</definedName>
    <definedName name="HTML4_4" hidden="1">""</definedName>
    <definedName name="HTML4_5" hidden="1">""</definedName>
    <definedName name="HTML4_6" hidden="1">1</definedName>
    <definedName name="HTML4_7" hidden="1">1</definedName>
    <definedName name="HTML4_8" hidden="1">"98-01-31"</definedName>
    <definedName name="HTML4_9" hidden="1">""</definedName>
    <definedName name="HTML5_1" hidden="1">"[수주관리98.xls]영업!$A$1:$N$29"</definedName>
    <definedName name="HTML5_10" hidden="1">""</definedName>
    <definedName name="HTML5_11" hidden="1">1</definedName>
    <definedName name="HTML5_12" hidden="1">"C:\My Documents\98년\영업현황\일일현황-98.1.31.v.htm"</definedName>
    <definedName name="HTML5_2" hidden="1">1</definedName>
    <definedName name="HTML5_3" hidden="1">""</definedName>
    <definedName name="HTML5_4" hidden="1">""</definedName>
    <definedName name="HTML5_5" hidden="1">""</definedName>
    <definedName name="HTML5_6" hidden="1">1</definedName>
    <definedName name="HTML5_7" hidden="1">1</definedName>
    <definedName name="HTML5_8" hidden="1">""</definedName>
    <definedName name="HTML5_9" hidden="1">""</definedName>
    <definedName name="HTML6_1" hidden="1">"'[수주관리98.xls]2월'!$A$1:$P$48"</definedName>
    <definedName name="HTML6_10" hidden="1">""</definedName>
    <definedName name="HTML6_11" hidden="1">1</definedName>
    <definedName name="HTML6_12" hidden="1">"C:\My Documents\98년\영업현황\일일현황-98.1.31.htm"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"'[수주관리98.xls]2월'!$A$3:$P$30"</definedName>
    <definedName name="HTML7_10" hidden="1">""</definedName>
    <definedName name="HTML7_11" hidden="1">1</definedName>
    <definedName name="HTML7_12" hidden="1">"C:\My Documents\98년\영업현황\일일현황-98.1.31.htm"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definedName>
    <definedName name="HTML7_9" hidden="1">""</definedName>
    <definedName name="HTML8_1" hidden="1">"'[수주관리98.xls]2월'!$A$1:$P$30"</definedName>
    <definedName name="HTML8_10" hidden="1">""</definedName>
    <definedName name="HTML8_11" hidden="1">1</definedName>
    <definedName name="HTML8_12" hidden="1">"C:\My Documents\98년\영업현황\일일현황-98.1.31.htm"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definedName>
    <definedName name="HTML8_9" hidden="1">""</definedName>
    <definedName name="HTML9_1" hidden="1">"'[수주관리98.xls]2월'!$A$1:$P$19"</definedName>
    <definedName name="HTML9_10" hidden="1">""</definedName>
    <definedName name="HTML9_11" hidden="1">1</definedName>
    <definedName name="HTML9_12" hidden="1">"C:\My Documents\98년\영업현황\일일현황-98.2.10.htm"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1</definedName>
    <definedName name="HWCC_CONSENSUS">#REF!</definedName>
    <definedName name="HWD">#REF!</definedName>
    <definedName name="HWD_CONS00">#REF!</definedName>
    <definedName name="HWD_CONS01">#REF!</definedName>
    <definedName name="HWD_CONS99">#REF!</definedName>
    <definedName name="HYOAS">OFFSET(#REF!,0,0,COUNTA(#REF!),1)</definedName>
    <definedName name="HYRtg">OFFSET(#REF!,0,0,COUNTA(#REF!),1)</definedName>
    <definedName name="IC_1">'[30]Invested capital_VDF'!$P$1:$P$65536</definedName>
    <definedName name="IC_2">'[30]Invested capital_VDF'!$O$1:$O$65536</definedName>
    <definedName name="IC_P">'[30]Invested capital_VDF'!$Q$1:$Q$65536</definedName>
    <definedName name="IC_P1">'[30]Invested capital_VDF'!$R$1:$R$65536</definedName>
    <definedName name="IC_P2">'[30]Invested capital_VDF'!$S$1:$S$65536</definedName>
    <definedName name="IC_P3">'[3]Invested capital_VDF'!$T$1:$T$65536</definedName>
    <definedName name="IGT">#REF!</definedName>
    <definedName name="IGT_00Ea">#REF!</definedName>
    <definedName name="IGT_00EPS">#REF!</definedName>
    <definedName name="IGT_01Ea">#REF!</definedName>
    <definedName name="IGT_01EPS">#REF!</definedName>
    <definedName name="IGT_99Ea">#REF!</definedName>
    <definedName name="IGT_99EPS">#REF!</definedName>
    <definedName name="IGT_Rating">[31]Industry!$D$11</definedName>
    <definedName name="IGT_Target">[31]Industry!$C$11</definedName>
    <definedName name="impliedgrowth">#REF!</definedName>
    <definedName name="Inc_cap_RnD_fore">#REF!</definedName>
    <definedName name="Income_before_taxes">[30]NOPAT_VDF!#REF!</definedName>
    <definedName name="Income_equivalents">[30]NOPAT_VDF!$C$30:$AZ$30</definedName>
    <definedName name="Income_equivalents_fore">#REF!</definedName>
    <definedName name="Income_form_uncons_subs_fore">#REF!</definedName>
    <definedName name="Income_from_Unconsolidated_Subs">[30]NOPAT_VDF!$C$48:$AZ$48</definedName>
    <definedName name="Income_tax">[30]NOPAT_VDF!$C$34:$AE$34</definedName>
    <definedName name="Income_tax_fore">#REF!</definedName>
    <definedName name="Income_tax_growth_fore">#REF!</definedName>
    <definedName name="Income_taxes_payable_growth_fore">#REF!</definedName>
    <definedName name="incomestatement">#REF!</definedName>
    <definedName name="Increase_cap_RnD_fore">#REF!</definedName>
    <definedName name="Increase_Capitalized_R_D_net">[30]NOPAT_VDF!$C$22:$AZ$22</definedName>
    <definedName name="Increase_in_other_liabilities">[30]NOPAT_VDF!#REF!</definedName>
    <definedName name="INCREASE95">#REF!</definedName>
    <definedName name="INCREASE96">#REF!</definedName>
    <definedName name="INCREASE97">#REF!</definedName>
    <definedName name="INCSTMT">#REF!</definedName>
    <definedName name="Index1">#REF!</definedName>
    <definedName name="india">0</definedName>
    <definedName name="Individual">[26]Model!$K$387</definedName>
    <definedName name="Infgod" hidden="1">{"monthlyunits",#N/A,FALSE,"openings"}</definedName>
    <definedName name="Infosed" hidden="1">{"quartfin",#N/A,FALSE,"quartfin"}</definedName>
    <definedName name="Institutional">[26]Model!$K$878</definedName>
    <definedName name="InsureTotal">[26]Model!$K$364</definedName>
    <definedName name="Int_Rate_Assump">[44]ProForma!$A$192:$IV$192</definedName>
    <definedName name="INTEREST">#REF!</definedName>
    <definedName name="Interest_exp_growth_fore">#REF!</definedName>
    <definedName name="Interest_exp_inc_fore">#REF!</definedName>
    <definedName name="Interest_expense_income">[30]NOPAT_VDF!$C$63:$AE$63</definedName>
    <definedName name="International">[26]Model!$K$1386</definedName>
    <definedName name="IntIncIn1After2EBIT">[20]Input!$B$413</definedName>
    <definedName name="IntOptions">[73]Storage!$BR$3:$BR$5</definedName>
    <definedName name="Inventory_growth_fore">#REF!</definedName>
    <definedName name="Invested_capital">'[30]Invested capital_VDF'!$C$87:$AE$87</definedName>
    <definedName name="Invested_capital_DCF">[30]DCF_VDF!$C$77:$AZ$77</definedName>
    <definedName name="Invested_capital_growth_fore">#REF!</definedName>
    <definedName name="Invested_capital_turns">'[30]Invested capital_VDF'!$C$102:$AU$102</definedName>
    <definedName name="Invested_capital_turns_DCF">[30]DCF_VDF!$C$83:$AZ$83</definedName>
    <definedName name="Invested_capital_turns_fore">#REF!</definedName>
    <definedName name="Iptotal">'[66]companies pivots'!$AV$15</definedName>
    <definedName name="IptotalP">'[66]companies pivots'!$AY$15</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HELD_FDIC" hidden="1">"c6305"</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INDUSTRY_REC" hidden="1">"c4455"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localSheetId="0" hidden="1">"c116"</definedName>
    <definedName name="IQ_CASH_ACQUIRE_CF" hidden="1">"c1630"</definedName>
    <definedName name="IQ_CASH_CONVERSION" hidden="1">"c117"</definedName>
    <definedName name="IQ_CASH_DIVIDENDS_NET_INCOME_FDIC" hidden="1">"c6738"</definedName>
    <definedName name="IQ_CASH_DUE_BANKS" hidden="1">"c1351"</definedName>
    <definedName name="IQ_CASH_EQUIV" hidden="1">"c118"</definedName>
    <definedName name="IQ_CASH_FINAN" hidden="1">"c119"</definedName>
    <definedName name="IQ_CASH_FLOW_ACT_OR_EST" hidden="1">"c4154"</definedName>
    <definedName name="IQ_CASH_IN_PROCESS_FDIC" hidden="1">"c6386"</definedName>
    <definedName name="IQ_CASH_INTEREST" hidden="1">"c120"</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LOANS" hidden="1">"c223"</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BORROWING" hidden="1">"c2936"</definedName>
    <definedName name="IQ_COST_BORROWINGS" hidden="1">"c225"</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PAYOUT" hidden="1">"c3005"</definedName>
    <definedName name="IQ_DISTRIBUTABLE_CASH_SHARE" hidden="1">"c3003"</definedName>
    <definedName name="IQ_DISTRIBUTABLE_CASH_SHARE_ACT_OR_EST" hidden="1">"c4286"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ARNINGS_COVERAGE_NET_CHARGE_OFFS_FDIC" hidden="1">"c6735"</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W_ACT_OR_EST" hidden="1">"c4306"</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BC_ACT_OR_EST" hidden="1">"c4316"</definedName>
    <definedName name="IQ_EBIT_SBC_GW_ACT_OR_EST" hidden="1">"c4320"</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SBC_ACT_OR_EST" hidden="1">"c4350"</definedName>
    <definedName name="IQ_EBT_SBC_GW_ACT_OR_EST" hidden="1">"c4354"</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EST_REUT" hidden="1">"c5453"</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NUM_EST_REUT" hidden="1">"c5451"</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CAPITAL_ASSETS_FDIC" hidden="1">"c6744"</definedName>
    <definedName name="IQ_EQUITY_FDIC" hidden="1">"c6353"</definedName>
    <definedName name="IQ_EQUITY_METHOD" hidden="1">"c404"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PRIMARY" hidden="1">"c2232"</definedName>
    <definedName name="IQ_EST_ACT_EPS_REPORTED" hidden="1">"c1750"</definedName>
    <definedName name="IQ_EST_ACT_FFO" hidden="1">"c1666"</definedName>
    <definedName name="IQ_EST_ACT_FFO_REUT" hidden="1">"c3843"</definedName>
    <definedName name="IQ_EST_ACT_FFO_THOM" hidden="1">"c4005"</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REUT" hidden="1">"c5437"</definedName>
    <definedName name="IQ_EST_DATE" hidden="1">"c1634"</definedName>
    <definedName name="IQ_EST_DATE_REUT" hidden="1">"c5438"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REUT" hidden="1">"c3646"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REUT" hidden="1">"c3633"</definedName>
    <definedName name="IQ_EST_EPS_GROWTH_5YR_STDDEV" hidden="1">"c1660"</definedName>
    <definedName name="IQ_EST_EPS_GROWTH_Q_1YR" hidden="1">"c1641"</definedName>
    <definedName name="IQ_EST_EPS_GROWTH_Q_1YR_REUT" hidden="1">"c5410"</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DIFF_REUT" hidden="1">"c3890"</definedName>
    <definedName name="IQ_EST_FFO_DIFF_THOM" hidden="1">"c5186"</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FFO_SURPRISE_PERCENT_REUT" hidden="1">"c3891"</definedName>
    <definedName name="IQ_EST_FFO_SURPRISE_PERCENT_THOM" hidden="1">"c5187"</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BUY_CIQ" hidden="1">"c3700"</definedName>
    <definedName name="IQ_EST_NUM_BUY_REUT" hidden="1">"c3869"</definedName>
    <definedName name="IQ_EST_NUM_BUY_THOM" hidden="1">"c5165"</definedName>
    <definedName name="IQ_EST_NUM_HOLD" hidden="1">"c1761"</definedName>
    <definedName name="IQ_EST_NUM_HOLD_CIQ" hidden="1">"c3702"</definedName>
    <definedName name="IQ_EST_NUM_HOLD_REUT" hidden="1">"c3871"</definedName>
    <definedName name="IQ_EST_NUM_HOLD_THOM" hidden="1">"c5167"</definedName>
    <definedName name="IQ_EST_NUM_NO_OPINION" hidden="1">"c1758"</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EST" hidden="1">"c418"</definedName>
    <definedName name="IQ_FFO_EST_DET_EST" hidden="1">"c12059"</definedName>
    <definedName name="IQ_FFO_EST_DET_EST_CIQ" hidden="1">"c12121"</definedName>
    <definedName name="IQ_FFO_EST_DET_EST_CURRENCY" hidden="1">"c12466"</definedName>
    <definedName name="IQ_FFO_EST_DET_EST_CURRENCY_CIQ" hidden="1">"c12512"</definedName>
    <definedName name="IQ_FFO_EST_DET_EST_DATE" hidden="1">"c12212"</definedName>
    <definedName name="IQ_FFO_EST_DET_EST_DATE_CIQ" hidden="1">"c12267"</definedName>
    <definedName name="IQ_FFO_EST_DET_EST_INCL" hidden="1">"c12349"</definedName>
    <definedName name="IQ_FFO_EST_DET_EST_INCL_CIQ" hidden="1">"c12395"</definedName>
    <definedName name="IQ_FFO_EST_DET_EST_ORIGIN" hidden="1">"c12722"</definedName>
    <definedName name="IQ_FFO_EST_DET_EST_ORIGIN_CIQ" hidden="1">"c12720"</definedName>
    <definedName name="IQ_FFO_EST_REUT" hidden="1">"c3837"</definedName>
    <definedName name="IQ_FFO_EST_THOM" hidden="1">"c3999"</definedName>
    <definedName name="IQ_FFO_HIGH_EST" hidden="1">"c419"</definedName>
    <definedName name="IQ_FFO_HIGH_EST_REUT" hidden="1">"c3839"</definedName>
    <definedName name="IQ_FFO_HIGH_EST_THOM" hidden="1">"c4001"</definedName>
    <definedName name="IQ_FFO_LOW_EST" hidden="1">"c420"</definedName>
    <definedName name="IQ_FFO_LOW_EST_REUT" hidden="1">"c3840"</definedName>
    <definedName name="IQ_FFO_LOW_EST_THOM" hidden="1">"c4002"</definedName>
    <definedName name="IQ_FFO_MEDIAN_EST" hidden="1">"c1665"</definedName>
    <definedName name="IQ_FFO_MEDIAN_EST_REUT" hidden="1">"c3838"</definedName>
    <definedName name="IQ_FFO_MEDIAN_EST_THOM" hidden="1">"c4000"</definedName>
    <definedName name="IQ_FFO_NUM_EST" hidden="1">"c421"</definedName>
    <definedName name="IQ_FFO_NUM_EST_REUT" hidden="1">"c3841"</definedName>
    <definedName name="IQ_FFO_NUM_EST_THOM" hidden="1">"c4003"</definedName>
    <definedName name="IQ_FFO_PAYOUT_RATIO" hidden="1">"c3492"</definedName>
    <definedName name="IQ_FFO_SHARE_ACT_OR_EST" hidden="1">"c4446"</definedName>
    <definedName name="IQ_FFO_STDDEV_EST" hidden="1">"c422"</definedName>
    <definedName name="IQ_FFO_STDDEV_EST_REUT" hidden="1">"c3842"</definedName>
    <definedName name="IQ_FFO_STDDEV_EST_THOM" hidden="1">"c4004"</definedName>
    <definedName name="IQ_FH">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ELD_MATURITY_FDIC" hidden="1">"c6408"</definedName>
    <definedName name="IQ_HIGH_TARGET_PRICE" hidden="1">"c1651"</definedName>
    <definedName name="IQ_HIGH_TARGET_PRICE_REUT" hidden="1">"c5317"</definedName>
    <definedName name="IQ_HIGHPRICE" hidden="1">"c545"</definedName>
    <definedName name="IQ_HOME_EQUITY_LOC_NET_CHARGE_OFFS_FDIC" hidden="1">"c6644"</definedName>
    <definedName name="IQ_HOME_EQUITY_LOC_TOTAL_CHARGE_OFFS_FDIC" hidden="1">"c6606"</definedName>
    <definedName name="IQ_HOME_EQUITY_LOC_TOTAL_RECOVERIES_FDIC" hidden="1">"c6625"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AIR_OIL" hidden="1">"c547"</definedName>
    <definedName name="IQ_IMPAIRMENT_GW" hidden="1">"c548"</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PROVIDED_DIVIDEND" hidden="1">"c19252"</definedName>
    <definedName name="IQ_INDEXCONSTITUENT_CLOSEPRICE" hidden="1">"c19241"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IT" hidden="1">"c597"</definedName>
    <definedName name="IQ_INT_INC_SECURITIES_FDIC" hidden="1">"c6559"</definedName>
    <definedName name="IQ_INT_INC_TOTAL" hidden="1">"c598"</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LT_DEBT" hidden="1">"c2086"</definedName>
    <definedName name="IQ_INTEREST_RATE_CONTRACTS_FDIC" hidden="1">"c6512"</definedName>
    <definedName name="IQ_INTEREST_RATE_EXPOSURES_FDIC" hidden="1">"c6662"</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E_INSURANCE_ASSETS_FDIC" hidden="1">"c6372"</definedName>
    <definedName name="IQ_LIFOR" hidden="1">"c655"</definedName>
    <definedName name="IQ_LISTING_CURRENCY" hidden="1">"c2127"</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2000</definedName>
    <definedName name="IQ_LTM_REVENUE_OVER_EMPLOYEES" hidden="1">"c1437"</definedName>
    <definedName name="IQ_LTMMONTH" hidden="1">120000</definedName>
    <definedName name="IQ_MACHINERY" hidden="1">"c711"</definedName>
    <definedName name="IQ_MAINT_CAPEX" hidden="1">"c2947"</definedName>
    <definedName name="IQ_MAINT_CAPEX_ACT_OR_EST" hidden="1">"c4458"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RATIO" hidden="1">"c2783"</definedName>
    <definedName name="IQ_MC_STATUTORY_SURPLUS" hidden="1">"c2772"</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NEY_MARKET_DEPOSIT_ACCOUNTS_FDIC" hidden="1">"c6553"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localSheetId="0" hidden="1">42310.5801736111</definedName>
    <definedName name="IQ_NAMES_REVISION_DATE_" hidden="1">44022.6735763889</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GW_ACT_OR_EST" hidden="1">"c4478"</definedName>
    <definedName name="IQ_NI_SFAS" hidden="1">"c795"</definedName>
    <definedName name="IQ_NI_STDDEV_EST" hidden="1">"c1721"</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EXP_FDIC" hidden="1">"c6579"</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TRANSACTION_ACCOUNTS_FDIC" hidden="1">"c6552"</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6000</definedName>
    <definedName name="IQ_NUKE" hidden="1">"c836"</definedName>
    <definedName name="IQ_NUKE_CF" hidden="1">"c837"</definedName>
    <definedName name="IQ_NUKE_CONTR" hidden="1">"c838"</definedName>
    <definedName name="IQ_NUM_BRANCHES" hidden="1">"c2088"</definedName>
    <definedName name="IQ_NUM_OFFIC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BLIGATIONS_OF_STATES_TOTAL_LOANS_FOREIGN_FDIC" hidden="1">"c6447"</definedName>
    <definedName name="IQ_OBLIGATIONS_STATES_FDIC" hidden="1">"c6431"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MINING_REVENUE_COAL" hidden="1">"c15931"</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AVINGS_DEPOSITS_FDIC" hidden="1">"c6554"</definedName>
    <definedName name="IQ_OTHER_STRIKE_PRICE_GRANTED" hidden="1">"c2692"</definedName>
    <definedName name="IQ_OTHER_TRANSACTIONS_FDIC" hidden="1">"c6504"</definedName>
    <definedName name="IQ_OTHER_UNDRAWN" hidden="1">"c2522"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localSheetId="0" hidden="1">"c1023"</definedName>
    <definedName name="IQ_OUTSTANDING_FILING_DATE" hidden="1">"c2127"</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2MONTHS_CIQ" hidden="1">"c3769"</definedName>
    <definedName name="IQ_PERCENT_CHANGE_EST_FFO_12MONTHS_CIQ_COL" hidden="1">"c11119"</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CIQ" hidden="1">"c3770"</definedName>
    <definedName name="IQ_PERCENT_CHANGE_EST_FFO_18MONTHS_CIQ_COL" hidden="1">"c11120"</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CIQ" hidden="1">"c3766"</definedName>
    <definedName name="IQ_PERCENT_CHANGE_EST_FFO_3MONTHS_CIQ_COL" hidden="1">"c11116"</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CIQ" hidden="1">"c3767"</definedName>
    <definedName name="IQ_PERCENT_CHANGE_EST_FFO_6MONTHS_CIQ_COL" hidden="1">"c11117"</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CIQ" hidden="1">"c3768"</definedName>
    <definedName name="IQ_PERCENT_CHANGE_EST_FFO_9MONTHS_CIQ_COL" hidden="1">"c11118"</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CIQ" hidden="1">"c3764"</definedName>
    <definedName name="IQ_PERCENT_CHANGE_EST_FFO_DAY_CIQ_COL" hidden="1">"c11114"</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CIQ" hidden="1">"c3765"</definedName>
    <definedName name="IQ_PERCENT_CHANGE_EST_FFO_MONTH_CIQ_COL" hidden="1">"c11115"</definedName>
    <definedName name="IQ_PERCENT_CHANGE_EST_FFO_MONTH_REUT" hidden="1">"c3934"</definedName>
    <definedName name="IQ_PERCENT_CHANGE_EST_FFO_MONTH_THOM" hidden="1">"c5244"</definedName>
    <definedName name="IQ_PERCENT_CHANGE_EST_FFO_WEEK" hidden="1">"c1823"</definedName>
    <definedName name="IQ_PERCENT_CHANGE_EST_FFO_WEEK_CIQ" hidden="1">"c3795"</definedName>
    <definedName name="IQ_PERCENT_CHANGE_EST_FFO_WEEK_CIQ_COL" hidden="1">"c11145"</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CENT_INSURED_FDIC" hidden="1">"c6374"</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EDGED_SECURITIES_FDIC" hidden="1">"c6401"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ICE_CFPS_FWD" hidden="1">"c2237"</definedName>
    <definedName name="IQ_PRICE_OVER_BVPS" hidden="1">"c1412"</definedName>
    <definedName name="IQ_PRICE_OVER_LTM_EPS" hidden="1">"c1413"</definedName>
    <definedName name="IQ_PRICE_TARGET" hidden="1">"c82"</definedName>
    <definedName name="IQ_PRICE_TARGET_REUT" hidden="1">"c3631"</definedName>
    <definedName name="IQ_PRICEDATE" hidden="1">"c1069"</definedName>
    <definedName name="IQ_PRICING_DATE" hidden="1">"c1613"</definedName>
    <definedName name="IQ_PRIMARY_EPS_TYPE_THOM" hidden="1">"c5297"</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SHARE_ACT_OR_EST" hidden="1">"c4508"</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FRANCHISE_STORES" localSheetId="0" hidden="1">"c2903"</definedName>
    <definedName name="IQ_RETAIL_ACQUIRED_FRANCHISE_STORES" hidden="1">"c2895"</definedName>
    <definedName name="IQ_RETAIL_ACQUIRED_OWNED_STORES" localSheetId="0"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EST" hidden="1">"c1126"</definedName>
    <definedName name="IQ_REVENUE_EST_REUT" hidden="1">"c3634"</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localSheetId="0" hidden="1">39259.4181134259</definedName>
    <definedName name="IQ_REVISION_DATE_" hidden="1">38853.3413541667</definedName>
    <definedName name="IQ_RISK_ADJ_BANK_ASSETS" hidden="1">"c2670"</definedName>
    <definedName name="IQ_RISK_WEIGHTED_ASSETS_FDIC" hidden="1">"c6370"</definedName>
    <definedName name="IQ_ROYALTY_REVENUE_COAL" hidden="1">"c15932"</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LASTCLOSE" hidden="1">"c1855"</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SSETS_FDIC" hidden="1">"c6339"</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COVERIES_FDIC" hidden="1">"c6622"</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RISK_BASED_CAPITAL_RATIO_FDIC" hidden="1">"c6747"</definedName>
    <definedName name="IQ_TOTAL_SECURITIES_FDIC" hidden="1">"c6306"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50000</definedName>
    <definedName name="IQ_WEIGHTED_AVG_PRICE" hidden="1">"c1334"</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RA108" hidden="1">"$A$109:$A$114"</definedName>
    <definedName name="IQRB107" hidden="1">"$B$108:$B$113"</definedName>
    <definedName name="IQRB108" hidden="1">"$B$109:$B$114"</definedName>
    <definedName name="IQRC107" hidden="1">"$C$108:$C$113"</definedName>
    <definedName name="IQRC108" hidden="1">"$C$109:$C$114"</definedName>
    <definedName name="IQRC109" hidden="1">"$C$110:$C$131"</definedName>
    <definedName name="IQRD107" hidden="1">"$D$108:$D$113"</definedName>
    <definedName name="IQRD108" hidden="1">"$D$109:$D$114"</definedName>
    <definedName name="IQRD43" hidden="1">"$D$44:$D$49"</definedName>
    <definedName name="IQRE107" hidden="1">"$E$108:$E$113"</definedName>
    <definedName name="IQRE108" hidden="1">"$E$109:$E$114"</definedName>
    <definedName name="IQRF108" hidden="1">"$F$109:$F$114"</definedName>
    <definedName name="IQRSMOOTHPEA3" hidden="1">[74]SMOOTHPE!$A$4:$A$1152</definedName>
    <definedName name="iQShowHideColumns" hidden="1">"iQHideSelected"</definedName>
    <definedName name="IS">'[42]New WLP'!#REF!</definedName>
    <definedName name="is_1999">#REF!,#REF!</definedName>
    <definedName name="is_1q00">#REF!,#REF!</definedName>
    <definedName name="is_1q99">#REF!,#REF!</definedName>
    <definedName name="is_2000">#REF!,#REF!</definedName>
    <definedName name="is_2q00">#REF!,#REF!</definedName>
    <definedName name="is_2q99">#REF!,#REF!</definedName>
    <definedName name="is_3q00">#REF!,#REF!</definedName>
    <definedName name="is_3q99">#REF!,#REF!</definedName>
    <definedName name="is_4q00">#REF!,#REF!</definedName>
    <definedName name="is_4q99">#REF!,#REF!</definedName>
    <definedName name="ISLE">#REF!</definedName>
    <definedName name="ISLE_CONS00">#REF!</definedName>
    <definedName name="ISLE_CONS01">#REF!</definedName>
    <definedName name="ISLE_CONS99">#REF!</definedName>
    <definedName name="ISLE_CONSENSUS">#REF!</definedName>
    <definedName name="italy">"NA"</definedName>
    <definedName name="japan">0</definedName>
    <definedName name="JETSET">'[17]0000000'!$A$1:$AB$37</definedName>
    <definedName name="JNJ">[43]RAINSHT!#REF!</definedName>
    <definedName name="JQH">'[49]THE LINK FOR ALL'!$B$47</definedName>
    <definedName name="JQH_CONS00">#REF!</definedName>
    <definedName name="JQH_CONS01">#REF!</definedName>
    <definedName name="JQH_CONS99">#REF!</definedName>
    <definedName name="JV_Mod">'[58]JV Model'!$1:$1048576</definedName>
    <definedName name="Kd">[30]WACC_VDF!#REF!</definedName>
    <definedName name="Ke">[30]WACC_VDF!$D$11</definedName>
    <definedName name="key.new.drug.trends">'[75]MRK2-25'!#REF!</definedName>
    <definedName name="KHN" hidden="1">{"'보고양식'!$A$58:$K$111"}</definedName>
    <definedName name="LAPTOP">#REF!</definedName>
    <definedName name="large_city">[10]Master!$AA$1</definedName>
    <definedName name="latinAmerica">0.05</definedName>
    <definedName name="Lawrcbg_own_pct">#REF!</definedName>
    <definedName name="Lease_type">[10]Master!$V$1</definedName>
    <definedName name="Leasehold">[10]Master!$U$1</definedName>
    <definedName name="lec">'[76]LEC PRojects'!$A$1:$AW$4986</definedName>
    <definedName name="leerink">'[77]P&amp;L'!#REF!</definedName>
    <definedName name="limcount" hidden="1">2</definedName>
    <definedName name="Linking_1" localSheetId="0" xml:space="preserve">                                                                                                                    [78]LBO!$A$1:$Q$57</definedName>
    <definedName name="Linking_1">#REF!</definedName>
    <definedName name="Linking_2" localSheetId="0" xml:space="preserve">    '[78]Q Comp'!$B$2:$L$67</definedName>
    <definedName name="Linking_2">#REF!</definedName>
    <definedName name="Linking_3" localSheetId="0">#REF!</definedName>
    <definedName name="Linking_3">#REF!</definedName>
    <definedName name="Linking_4" localSheetId="0" xml:space="preserve">        '[78]Q Comp'!$B$2:$L$67</definedName>
    <definedName name="Linking_4">#REF!</definedName>
    <definedName name="Linking_5" localSheetId="0" xml:space="preserve">    '[78]Q Comp'!$B$2:$L$67</definedName>
    <definedName name="Linking_5">#REF!</definedName>
    <definedName name="Linking_6" localSheetId="0" xml:space="preserve">    '[78]Q Comp'!$B$2:$L$67</definedName>
    <definedName name="Linking_6">#REF!</definedName>
    <definedName name="Linking_7" localSheetId="0" xml:space="preserve">        '[78]Q Comp'!$B$2:$L$67</definedName>
    <definedName name="Linking_7">#REF!</definedName>
    <definedName name="Linking_8" localSheetId="0" xml:space="preserve">        '[78]Q Comp'!$B$2:$L$67</definedName>
    <definedName name="Linking_8">#REF!</definedName>
    <definedName name="Linking_9" localSheetId="0" xml:space="preserve">                    '[78]Dividend WS'!$B$3:$H$41</definedName>
    <definedName name="Linking_9">#REF!</definedName>
    <definedName name="Linking_Range_12">#REF!</definedName>
    <definedName name="Linking_Range_4">#REF!</definedName>
    <definedName name="listYear">OFFSET(#REF!,0,0,,COUNTA(#REF!)-1)</definedName>
    <definedName name="Loan_Loss_Provision_fore">#REF!</definedName>
    <definedName name="location">'[47]Misc Data'!$B$2:$C$6</definedName>
    <definedName name="LOD">'[49]THE LINK FOR ALL'!$B$48</definedName>
    <definedName name="LOD_CONS00">#REF!</definedName>
    <definedName name="LOD_CONS01">#REF!</definedName>
    <definedName name="LOD_CONS99">#REF!</definedName>
    <definedName name="LODGING_PD">#REF!</definedName>
    <definedName name="Long_Term_Rev_Growth">#REF!</definedName>
    <definedName name="Lookup2000">#REF!</definedName>
    <definedName name="LookupAmt">[2]Lookups!$F$26:$G$32</definedName>
    <definedName name="LookupAnaheim">#REF!</definedName>
    <definedName name="LookupAnaheim1">'[79]brand lookup'!$B$4:$H$11</definedName>
    <definedName name="LookupAnaheim2">'[79]brand lookup'!$B$13:$H$20</definedName>
    <definedName name="LookupAnaheim3">'[79]brand lookup'!$B$22:$D$27</definedName>
    <definedName name="LookupAtlanta">#REF!</definedName>
    <definedName name="LookupAtlanta1">'[79]brand lookup'!$B$30:$H$37</definedName>
    <definedName name="LookupAtlanta2">'[79]brand lookup'!$B$39:$H$46</definedName>
    <definedName name="LookupAtlanta3">'[79]brand lookup'!$B$48:$D$53</definedName>
    <definedName name="LookupBoston">#REF!</definedName>
    <definedName name="LookupBoston1">'[79]brand lookup'!$B$56:$H$63</definedName>
    <definedName name="LookupBoston2">'[79]brand lookup'!$B$65:$H$72</definedName>
    <definedName name="LookupBoston3">'[79]brand lookup'!$B$74:$D$79</definedName>
    <definedName name="LookupBrand">#REF!</definedName>
    <definedName name="LookupBrand1">'[80]brand lookup'!$C$8:$BB$120</definedName>
    <definedName name="LookupBrand2">[81]lookup!$AW$9:$BY$126</definedName>
    <definedName name="LookupBrand3">[82]lookups!$B$253:$M$269</definedName>
    <definedName name="LookupBrand5">[82]lookups!$B$321:$CD$346</definedName>
    <definedName name="LookupBrand7">'[82]census lookups'!$B$228:$CF$253</definedName>
    <definedName name="LookupBrandCensus">'[83]brand census'!$A$2:$C$204</definedName>
    <definedName name="LookupCenc">'[84]companies lookup'!$AD$9:$AN$33</definedName>
    <definedName name="LookupCenc1">[85]lookups!$C$42:$Y$66</definedName>
    <definedName name="LookupCenc2">[86]census!$A$4:$C$28</definedName>
    <definedName name="LookupCendant">'[66]companies lookup'!$C$38:$AA$62</definedName>
    <definedName name="LookupCensus">[82]lookups!$B$354:$D$379</definedName>
    <definedName name="LookupChain1">'[87]CHAIN LOOKUP'!$B$10:$BK$35</definedName>
    <definedName name="LookupChain2">'[87]CHAIN LOOKUP'!$B$57:$CI$82</definedName>
    <definedName name="LookupChain3">'[87]CHAIN LOOKUP'!$B$99:$CI$124</definedName>
    <definedName name="LookupChain4">'[87]CHAIN LOOKUP'!$B$134:$Z$159</definedName>
    <definedName name="LookupChicago">#REF!</definedName>
    <definedName name="LookupChicago1">'[79]brand lookup'!$B$82:$H$89</definedName>
    <definedName name="LookupChicago2">'[79]brand lookup'!$B$91:$H$98</definedName>
    <definedName name="LookupChicago3">'[79]brand lookup'!$B$100:$D$105</definedName>
    <definedName name="LookupChoice">'[46]mkt-state-company lookups'!$B$169:$Z$193</definedName>
    <definedName name="LookupCIS">[88]lookup!$H$6:$J$143</definedName>
    <definedName name="LookupCode">[69]Lookups!$BP$4:$BQ$564</definedName>
    <definedName name="LookupCompany">[89]lookups!$B$245:$J$254</definedName>
    <definedName name="LookupConv">[90]Lookups!$A$4:$C$73</definedName>
    <definedName name="LookupCourtyard">[91]lookups!$B$33:$V$83</definedName>
    <definedName name="LookupDallas">#REF!</definedName>
    <definedName name="LookupDallas1">'[79]brand lookup'!$B$108:$H$115</definedName>
    <definedName name="LookupDallas2">'[79]brand lookup'!$B$117:$H$124</definedName>
    <definedName name="LookupDallas3">'[79]brand lookup'!$B$126:$D$131</definedName>
    <definedName name="LookupData">[92]lookups!$A$5:$U$116</definedName>
    <definedName name="LookupDBsort">[69]Lookups!$B$206:$C$213</definedName>
    <definedName name="LookupDenver">#REF!</definedName>
    <definedName name="LookupDenver1">'[79]brand lookup'!$B$134:$H$141</definedName>
    <definedName name="LookupDenver2">'[79]brand lookup'!$B$143:$H$150</definedName>
    <definedName name="LookupDenver3">'[79]brand lookup'!$B$152:$D$157</definedName>
    <definedName name="LookupDetroit">#REF!</definedName>
    <definedName name="LookupDetroit1">'[79]brand lookup'!$B$160:$H$167</definedName>
    <definedName name="LookupDetroit2">'[79]brand lookup'!$B$169:$H$176</definedName>
    <definedName name="LookupDetroit3">'[79]brand lookup'!$B$178:$D$183</definedName>
    <definedName name="LookupErnst">[69]Lookups!$Q$63:$R$69</definedName>
    <definedName name="LookupESA">'[46]mkt-state-company lookups'!$B$203:$Z$227</definedName>
    <definedName name="LookupFleet">[69]Lookups!$AF$16:$AG$23</definedName>
    <definedName name="LookupGrand">#REF!</definedName>
    <definedName name="LookupHilton">'[84]companies lookup'!$C$69:$AA$93</definedName>
    <definedName name="LookupHouston">#REF!</definedName>
    <definedName name="LookupHouston1">'[79]brand lookup'!$B$186:$H$193</definedName>
    <definedName name="LookupHouston2">'[79]brand lookup'!$B$195:$H$202</definedName>
    <definedName name="LookupHouston3">'[79]brand lookup'!$B$204:$D$209</definedName>
    <definedName name="LookupLA">#REF!</definedName>
    <definedName name="LookupLA1">'[79]brand lookup'!$B$238:$H$245</definedName>
    <definedName name="LookupLA2">'[79]brand lookup'!$B$247:$H$254</definedName>
    <definedName name="LookupLA3">'[87]brand lookup'!$B$256:$D$261</definedName>
    <definedName name="LookupLoc">[2]Lookups!$S$18:$T$22</definedName>
    <definedName name="LookupLV1">'[93]brand lookup'!$B$212:$H$219</definedName>
    <definedName name="LookupLV2">'[93]brand lookup'!$B$221:$H$228</definedName>
    <definedName name="LookupLV3">'[93]brand lookup'!$B$230:$D$235</definedName>
    <definedName name="LookupMarket">'[84]companies lookup'!$C$191:$O$215</definedName>
    <definedName name="LookupMarriott">'[84]companies lookup'!$C$112:$AA$136</definedName>
    <definedName name="LookupMiami">#REF!</definedName>
    <definedName name="LookupMiami1">'[79]brand lookup'!$B$264:$H$271</definedName>
    <definedName name="LookupMiami2">'[79]brand lookup'!$B$273:$H$280</definedName>
    <definedName name="LookupMiami3">'[79]brand lookup'!$B$282:$D$287</definedName>
    <definedName name="LookupMinneapolis">#REF!</definedName>
    <definedName name="LookupMinneapolis1">'[79]brand lookup'!$B$290:$H$297</definedName>
    <definedName name="LookupMinneapolis2">'[79]brand lookup'!$B$299:$H$306</definedName>
    <definedName name="LookupMinneapolis3">'[79]brand lookup'!$B$308:$D$313</definedName>
    <definedName name="LookupMkt">'[46]mkt-state-company lookups'!$B$11:$AP$36</definedName>
    <definedName name="LookupMkt1">'[86]LOOKUP mkts'!$B$5:$CX$29</definedName>
    <definedName name="LookupMkt2">'[94]Top 25 Pivots'!$AA$5:$BT$29</definedName>
    <definedName name="LookupMkt2A">'[95]2A lookups'!$A$10:$AH$34</definedName>
    <definedName name="LookupName">'[84]companies lookup'!$AQ$9:$BA$118</definedName>
    <definedName name="LookupNashville">#REF!</definedName>
    <definedName name="LookupNashville1">'[79]brand lookup'!$B$316:$H$323</definedName>
    <definedName name="LookupNashville2">'[79]brand lookup'!$B$325:$H$332</definedName>
    <definedName name="LookupNashville3">'[79]brand lookup'!$B$334:$D$339</definedName>
    <definedName name="LookupNO">#REF!</definedName>
    <definedName name="LookupNO1">'[79]brand lookup'!$B$342:$H$349</definedName>
    <definedName name="LookupNO2">'[79]brand lookup'!$B$351:$H$358</definedName>
    <definedName name="LookupNO3">'[79]brand lookup'!$B$360:$D$365</definedName>
    <definedName name="LookupNon25">#REF!</definedName>
    <definedName name="LookupNorfolk">#REF!</definedName>
    <definedName name="LookupNorfolk1">'[79]brand lookup'!$B$394:$H$401</definedName>
    <definedName name="LookupNorfolk2">'[79]brand lookup'!$B$403:$H$410</definedName>
    <definedName name="LookupNorfolk3">'[79]brand lookup'!$B$412:$D$417</definedName>
    <definedName name="LookupNY">#REF!</definedName>
    <definedName name="LookupNY1">'[79]brand lookup'!$B$368:$H$375</definedName>
    <definedName name="LookupNY2">'[79]brand lookup'!$B$377:$H$384</definedName>
    <definedName name="LookupNY3">'[79]brand lookup'!$B$386:$D$391</definedName>
    <definedName name="LookupOahu">#REF!</definedName>
    <definedName name="LookupOahu1">'[79]brand lookup'!$B$420:$H$427</definedName>
    <definedName name="LookupOahu2">'[79]brand lookup'!$B$429:$H$436</definedName>
    <definedName name="LookupOahu3">'[79]brand lookup'!$B$438:$D$443</definedName>
    <definedName name="LookupOldopen">'[46]brand lookup'!$BG$7:$BU$73</definedName>
    <definedName name="LookupOpens">[92]franchises!$A$5:$AG$124</definedName>
    <definedName name="LookupOrlando">#REF!</definedName>
    <definedName name="LookupOrlando1">'[79]brand lookup'!$B$446:$H$453</definedName>
    <definedName name="LookupOrlando2">'[79]brand lookup'!$B$455:$H$462</definedName>
    <definedName name="LookupOrlando3">'[79]brand lookup'!$B$464:$D$469</definedName>
    <definedName name="LookupPhiladelphia">#REF!</definedName>
    <definedName name="LookupPhiladelphia1">'[79]brand lookup'!$B$472:$H$479</definedName>
    <definedName name="LookupPhiladelphia2">'[79]brand lookup'!$B$481:$H$488</definedName>
    <definedName name="LookupPhiladelphia3">'[79]brand lookup'!$B$490:$D$495</definedName>
    <definedName name="LookupPhoenix">#REF!</definedName>
    <definedName name="LookupPhoenix1">'[79]brand lookup'!$B$498:$H$505</definedName>
    <definedName name="LookupPhoenix2">'[79]brand lookup'!$B$507:$H$514</definedName>
    <definedName name="LookupPhoenix3">'[79]brand lookup'!$B$516:$D$521</definedName>
    <definedName name="LookupPrime">'[46]mkt-state-company lookups'!$B$300:$Z$324</definedName>
    <definedName name="LookupQtr">[88]lookup!$AB$7:$AC$26</definedName>
    <definedName name="LookupRank">[2]Lookups!$F$4:$I$24</definedName>
    <definedName name="LookupRegion">[2]Lookups!$S$4:$T$12</definedName>
    <definedName name="LookupRest">#REF!</definedName>
    <definedName name="LookupRms">[2]Lookups!$F$37:$G$43</definedName>
    <definedName name="LookupSanDiego1">'[84]brand lookup'!$B$524:$D$531</definedName>
    <definedName name="LookupSanDiego2">'[84]brand lookup'!$B$533:$D$540</definedName>
    <definedName name="LookupSanDiego3">'[84]brand lookup'!$B$542:$D$547</definedName>
    <definedName name="LookupSanFran1">'[84]brand lookup'!$B$550:$D$557</definedName>
    <definedName name="LookupSanFran2">'[84]brand lookup'!$B$559:$D$566</definedName>
    <definedName name="LookupSanFran3">'[84]brand lookup'!$B$568:$D$573</definedName>
    <definedName name="LookupSD">#REF!</definedName>
    <definedName name="LookupSD1">'[79]brand lookup'!$B$550:$H$557</definedName>
    <definedName name="LookupSD2">'[79]brand lookup'!$B$559:$H$566</definedName>
    <definedName name="LookupSD3">'[79]brand lookup'!$B$568:$D$573</definedName>
    <definedName name="LookupSeattle">#REF!</definedName>
    <definedName name="LookupSeattle1">'[79]brand lookup'!$B$602:$H$609</definedName>
    <definedName name="LookupSeattle2">'[79]brand lookup'!$B$611:$H$618</definedName>
    <definedName name="LookupSeattle3">'[79]brand lookup'!$B$620:$D$625</definedName>
    <definedName name="LookupSF">#REF!</definedName>
    <definedName name="LookupSF1">'[79]brand lookup'!$B$576:$H$583</definedName>
    <definedName name="LookupSF2">'[79]brand lookup'!$B$585:$H$592</definedName>
    <definedName name="LookupSF3">'[79]brand lookup'!$B$594:$D$599</definedName>
    <definedName name="LookupShare">'[66]companies lookup'!$BM$6:$CM$45</definedName>
    <definedName name="LookupSix">'[66]companies lookup'!$C$307:$AA$331</definedName>
    <definedName name="LookupSL">#REF!</definedName>
    <definedName name="LookupSL1">'[79]brand lookup'!$B$524:$H$531</definedName>
    <definedName name="LookupSL2">'[79]brand lookup'!$B$533:$H$540</definedName>
    <definedName name="LookupSL3">'[79]brand lookup'!$B$542:$D$547</definedName>
    <definedName name="LookupStarwood">'[84]companies lookup'!$C$152:$AA$176</definedName>
    <definedName name="LookupStLou1">'[84]brand lookup'!$B$498:$D$505</definedName>
    <definedName name="LookupStLou2">'[84]brand lookup'!$B$507:$D$514</definedName>
    <definedName name="LookupStLou3">'[84]brand lookup'!$B$516:$D$521</definedName>
    <definedName name="LookupSummary">'[96]Cornerstone summ lookup'!$B$6:$X$31</definedName>
    <definedName name="LookupSuper8">[97]lookups!$EC$33:$EW$83</definedName>
    <definedName name="LookupTampa">#REF!</definedName>
    <definedName name="LookupTampa1">'[79]brand lookup'!$B$628:$H$635</definedName>
    <definedName name="LookupTampa2">'[79]brand lookup'!$B$637:$H$644</definedName>
    <definedName name="LookupTampa3">'[79]brand lookup'!$B$646:$D$651</definedName>
    <definedName name="LookupTop25">#REF!</definedName>
    <definedName name="LookupTract">'[87]TRACT LOOKUP'!$B$8:$BA$166</definedName>
    <definedName name="LookupUSFS">'[66]companies lookup'!$C$382:$AA$406</definedName>
    <definedName name="LookupWashington">#REF!</definedName>
    <definedName name="LookupWashington1">'[79]brand lookup'!$B$654:$H$661</definedName>
    <definedName name="LookupWashington2">'[79]brand lookup'!$B$663:$H$670</definedName>
    <definedName name="LookupWashington3">'[79]brand lookup'!$B$672:$D$677</definedName>
    <definedName name="LookupWIN">[97]lookups!$EC$97:$EW$147</definedName>
    <definedName name="LookupWyndham">'[46]mkt-state-company lookups'!$B$428:$Z$452</definedName>
    <definedName name="LT_debt_growth_fore">#REF!</definedName>
    <definedName name="LT_PERIOD">'[60]Summary Page'!$D$9</definedName>
    <definedName name="LVMH">#REF!</definedName>
    <definedName name="LVMH_CONS00">'[49]THE LINK FOR ALL'!$F$27</definedName>
    <definedName name="LVMH_CONS01">'[49]THE LINK FOR ALL'!$G$27</definedName>
    <definedName name="LVMH_CONS99">#REF!</definedName>
    <definedName name="LVMHY">'[49]THE LINK FOR ALL'!$B$55</definedName>
    <definedName name="Lwrcbg_mgmt_fee">#REF!</definedName>
    <definedName name="m" hidden="1">{#N/A,#N/A,FALSE,"Time Warner";#N/A,#N/A,FALSE,"Entertainment Group";#N/A,#N/A,FALSE,"EBITDA";#N/A,#N/A,FALSE,"Notes"}</definedName>
    <definedName name="M_PlaceofPath" hidden="1">"F:\SBARLOW\excel\lee\lee_vdf.xls"</definedName>
    <definedName name="Macro4">[17]!Macro4</definedName>
    <definedName name="Macro5">[17]!Macro5</definedName>
    <definedName name="Maint_Cap_Exp">[44]ProForma!$A$133:$IV$133</definedName>
    <definedName name="MAINTENANCE">#REF!</definedName>
    <definedName name="MajorBuyers">#REF!</definedName>
    <definedName name="MajorPortfolios">#REF!</definedName>
    <definedName name="MajorTransactions">#REF!</definedName>
    <definedName name="MAR">'[49]THE LINK FOR ALL'!$B$49</definedName>
    <definedName name="MAR_00EA">#REF!</definedName>
    <definedName name="MAR_00EPS">#REF!</definedName>
    <definedName name="MAR_01EA">#REF!</definedName>
    <definedName name="MAR_01EPS">#REF!</definedName>
    <definedName name="MAR_02EA">#REF!</definedName>
    <definedName name="MAR_02EPS">#REF!</definedName>
    <definedName name="MAR_99EA">#REF!</definedName>
    <definedName name="MAR_99EPS">#REF!</definedName>
    <definedName name="MAR_CONS00">#REF!</definedName>
    <definedName name="MAR_CONS01">#REF!</definedName>
    <definedName name="MAR_CONS99">#REF!</definedName>
    <definedName name="MAR_EA01">#REF!</definedName>
    <definedName name="MAR_Rating">'[31]Industry (2)'!$D$7</definedName>
    <definedName name="MAR_Target">'[31]Industry (2)'!$C$7</definedName>
    <definedName name="market">[47]MARKET.TXT!$A$1:$B$177</definedName>
    <definedName name="Market_capitalization">'[30]Summary Page_VDF'!#REF!</definedName>
    <definedName name="Market_Segment">[10]Master!$R$1</definedName>
    <definedName name="marketing">#REF!</definedName>
    <definedName name="markets">[98]MktLookups!$A$4:$M$28</definedName>
    <definedName name="marzo" hidden="1">{#N/A,#N/A,FALSE,"Acum Julio - 00"}</definedName>
    <definedName name="marzo1" hidden="1">{#N/A,#N/A,FALSE,"Acum Julio - 00"}</definedName>
    <definedName name="Master">[10]Master!$AJ$1</definedName>
    <definedName name="masterconverter">'[54]Currency Conversion Page'!$B$4</definedName>
    <definedName name="Mattel">#REF!</definedName>
    <definedName name="MBG">[72]Prices!$B$13</definedName>
    <definedName name="MBG_00Ea">#REF!</definedName>
    <definedName name="MBG_00EPS">#REF!</definedName>
    <definedName name="MBG_01Ea">#REF!</definedName>
    <definedName name="MBG_01EPS">#REF!</definedName>
    <definedName name="MBG_99Ea">#REF!</definedName>
    <definedName name="MBG_99EPS">#REF!</definedName>
    <definedName name="MBG_Rating">[31]Industry!$D$12</definedName>
    <definedName name="MBG_Target">[31]Industry!$C$12</definedName>
    <definedName name="mdls" hidden="1">{"cable_one",#N/A,FALSE,"cable 96-02";"cable_two",#N/A,FALSE,"cable 96-02";"Newrev_one",#N/A,FALSE,"New rev 97 - 02";"Newrev_two",#N/A,FALSE,"New rev 97 - 02"}</definedName>
    <definedName name="MDT">[43]RAINSHT!#REF!</definedName>
    <definedName name="med.tech">[64]LLY!#REF!</definedName>
    <definedName name="Membership">[35]HUM!$A$71:$AV$130</definedName>
    <definedName name="Mexico1">#REF!</definedName>
    <definedName name="Mexico2">#REF!</definedName>
    <definedName name="MGG">[72]Prices!$B$14</definedName>
    <definedName name="MGG_00Ea">#REF!</definedName>
    <definedName name="MGG_00EPS">#REF!</definedName>
    <definedName name="MGG_01Ea">#REF!</definedName>
    <definedName name="MGG_01EPS">#REF!</definedName>
    <definedName name="MGG_99Ea">#REF!</definedName>
    <definedName name="MGG_99EPS">#REF!</definedName>
    <definedName name="MGG_Rating">[31]Industry!$D$13</definedName>
    <definedName name="MGG_Target">[31]Industry!$C$13</definedName>
    <definedName name="mggmir_01Ea">#REF!</definedName>
    <definedName name="mgmt" localSheetId="0">[47]MGT.TXT!$A$1:$B$170</definedName>
    <definedName name="mgmt">'[70]99-01'!#REF!</definedName>
    <definedName name="mgt">#REF!</definedName>
    <definedName name="middleEast">0</definedName>
    <definedName name="middleEastAfrica">0</definedName>
    <definedName name="MIR">[72]Prices!$B$15</definedName>
    <definedName name="MIR_Rating">[31]Industry!$D$14</definedName>
    <definedName name="MLCode">[69]Lookups!$AI$40:$AJ$51</definedName>
    <definedName name="MM">'[77]P&amp;L'!#REF!</definedName>
    <definedName name="mm_Last">[99]Charts!$AC$9</definedName>
    <definedName name="mm_T">#REF!</definedName>
    <definedName name="model">#REF!</definedName>
    <definedName name="MonitorCol">1</definedName>
    <definedName name="MonitorRow">1</definedName>
    <definedName name="Month" localSheetId="0">#REF!</definedName>
    <definedName name="Month">#REF!</definedName>
    <definedName name="mrketing_graphs">#REF!</definedName>
    <definedName name="msa">[47]MSA.TXT!$A$1:$B$317</definedName>
    <definedName name="MSACodes">[100]Lookups!$AI$4:$AT$305</definedName>
    <definedName name="msadata">[95]lookups!$A$10:$AH$34</definedName>
    <definedName name="msas">#REF!</definedName>
    <definedName name="MSCode">#REF!</definedName>
    <definedName name="Mt.Todd" hidden="1">{"p1TOC",#N/A,FALSE,"DCF_Summary";"p23summary",#N/A,FALSE,"DCF_Summary";"p4contact",#N/A,FALSE,"Contact Lake";"p5kumtor",#N/A,FALSE,"Kumtor";#N/A,#N/A,FALSE,"CCAU_NAV";"p8compdata",#N/A,FALSE,"Gold_Comps";#N/A,#N/A,FALSE,"Comp_Valuation"}</definedName>
    <definedName name="MYTD_CHG">14</definedName>
    <definedName name="Name" localSheetId="0">[10]Master!$C$1</definedName>
    <definedName name="name">[51]AMETEK!$A$4</definedName>
    <definedName name="name_change">[10]Master!$T$1</definedName>
    <definedName name="Natl01OpenP">[101]lookups!$AX$14</definedName>
    <definedName name="Natl01OpenR">[101]lookups!$AY$14</definedName>
    <definedName name="Natl01PipeP">[101]lookups!$AZ$14</definedName>
    <definedName name="Natl01PipeR">[101]lookups!$BA$14</definedName>
    <definedName name="Natl02P">[101]lookups!$BB$14</definedName>
    <definedName name="Natl02R">[101]lookups!$BC$14</definedName>
    <definedName name="Natl03P">[101]lookups!$BD$14</definedName>
    <definedName name="Natl03R">[101]lookups!$BE$14</definedName>
    <definedName name="NatlAfterR">[101]lookups!$BG$14</definedName>
    <definedName name="NatlAPP">'[102]4q pivots'!$DX$48+'[102]4q pivots'!$DY$48</definedName>
    <definedName name="NatlAPR">'[102]4q pivots'!$DX$49+'[102]4q pivots'!$DY$49</definedName>
    <definedName name="NatlCensP">[103]lookups!$B$2</definedName>
    <definedName name="NatlCensR">[103]lookups!$B$3</definedName>
    <definedName name="NatlCourtyardAPP">[89]pivots!$AE$35</definedName>
    <definedName name="NatlCourtyardAPR">[89]pivots!$AE$43</definedName>
    <definedName name="NatlCourtyardIPP">[89]pivots!$AD$35</definedName>
    <definedName name="NatlCourtyardIPR">[89]pivots!$AD$43</definedName>
    <definedName name="NatlCourtyardP">[89]pivots!$AC$7</definedName>
    <definedName name="NatlCourtyardR">[89]pivots!$AC$15</definedName>
    <definedName name="NatlCourtyardUCP">[89]pivots!$AC$35</definedName>
    <definedName name="NatlCourtyardUCR">[89]pivots!$AC$43</definedName>
    <definedName name="NatlEPP">'[102]4q pivots'!$DZ$48</definedName>
    <definedName name="NatlEPR">'[102]4q pivots'!$DZ$49</definedName>
    <definedName name="NatlFairfieldAPP">[89]pivots!$AE$36</definedName>
    <definedName name="NatlFairfieldAPR">[89]pivots!$AE$44</definedName>
    <definedName name="NatlFairfieldIPP">[89]pivots!$AD$36</definedName>
    <definedName name="NatlFairfieldIPR">[89]pivots!$AD$44</definedName>
    <definedName name="NatlFairfieldP">[89]pivots!$AC$8</definedName>
    <definedName name="NatlFairfieldR">[89]pivots!$AC$16</definedName>
    <definedName name="NatlFairfieldUCP">[89]pivots!$AC$36</definedName>
    <definedName name="NatlFairfieldUCR">[89]pivots!$AC$44</definedName>
    <definedName name="NatlHRSAPP">[89]pivots!$AE$37</definedName>
    <definedName name="NatlHRSAPR">[89]pivots!$AE$45</definedName>
    <definedName name="NatlHRSIPP">[89]pivots!$AD$37</definedName>
    <definedName name="NatlHRSIPR">[89]pivots!$AD$45</definedName>
    <definedName name="NatlHRSP">[89]pivots!$AC$9</definedName>
    <definedName name="NatlHRSR">[89]pivots!$AC$17</definedName>
    <definedName name="NatlHRSUCP">[89]pivots!$AC$37</definedName>
    <definedName name="NatlHRSUCR">[89]pivots!$AC$45</definedName>
    <definedName name="NatlIPP">'[102]4q pivots'!$DY$48</definedName>
    <definedName name="NatlIPR">'[102]4q pivots'!$DY$49</definedName>
    <definedName name="NatlMarriottAPP">[104]pivots!$AE$51</definedName>
    <definedName name="NatlMarriottAPR">[104]pivots!$AE$52</definedName>
    <definedName name="NatlMarriottIPP">[104]pivots!$AD$51</definedName>
    <definedName name="NatlMarriottIPR">[104]pivots!$AD$52</definedName>
    <definedName name="NatlMarriottP">[104]pivots!$AC$24</definedName>
    <definedName name="NatlMarriottR">[104]pivots!$AC$25</definedName>
    <definedName name="NatlMarriottUCP">[104]pivots!$AC$51</definedName>
    <definedName name="NatlMarriottUCR">[104]pivots!$AC$52</definedName>
    <definedName name="NatlOpenP">'[102]4q pivots'!$DW$48</definedName>
    <definedName name="NatlOpenR">'[102]4q pivots'!$DW$49</definedName>
    <definedName name="NatlPipeAPR">[104]pivots!$AD$61</definedName>
    <definedName name="NatlPipeP">[105]PIVOTS!$EP$36+[105]PIVOTS!$EQ$36</definedName>
    <definedName name="NatlPipeR">[93]PIVOTS!$EP$36+[93]PIVOTS!$EQ$36</definedName>
    <definedName name="NatlProj">'[106]chain census'!$C$15</definedName>
    <definedName name="NatlRenaissanceAPP">[89]pivots!$AE$38</definedName>
    <definedName name="NatlRenaissanceAPR">[89]pivots!$AE$46</definedName>
    <definedName name="NatlRenaissanceIPP">[89]pivots!$AD$38</definedName>
    <definedName name="NatlRenaissanceIPR">[89]pivots!$AD$46</definedName>
    <definedName name="NatlRenaissanceP">[89]pivots!$AC$10</definedName>
    <definedName name="NatlRenaissanceR">[89]pivots!$AC$18</definedName>
    <definedName name="NatlRenaissanceUCP">[89]pivots!$AC$38</definedName>
    <definedName name="NatlRenaissanceUCR">[89]pivots!$AC$46</definedName>
    <definedName name="NatlResidenceAPP">[89]pivots!$AE$39</definedName>
    <definedName name="NatlResidenceAPR">[89]pivots!$AE$47</definedName>
    <definedName name="NatlResidenceIPP">[89]pivots!$AD$39</definedName>
    <definedName name="NatlResidenceIPR">[89]pivots!$AD$47</definedName>
    <definedName name="NatlResidenceP">[89]pivots!$AC$11</definedName>
    <definedName name="NatlResidenceR">[89]pivots!$AC$19</definedName>
    <definedName name="NatlResidenceUCP">[89]pivots!$AC$39</definedName>
    <definedName name="NatlResidenceUCR">[89]pivots!$AC$47</definedName>
    <definedName name="NatlRitzAPP">[89]pivots!$AE$40</definedName>
    <definedName name="NatlRitzAPR">[89]pivots!$AE$48</definedName>
    <definedName name="NatlRitzIPP">[89]pivots!$AD$40</definedName>
    <definedName name="NatlRitzIPR">[89]pivots!$AD$48</definedName>
    <definedName name="NatlRitzP">[89]pivots!$AC$12</definedName>
    <definedName name="NatlRitzR">[89]pivots!$AC$20</definedName>
    <definedName name="NatlRitzUCP">[89]pivots!$AC$40</definedName>
    <definedName name="NatlRitzUCR">[89]pivots!$AC$48</definedName>
    <definedName name="NatlRoom">'[106]chain census'!$D$15</definedName>
    <definedName name="NatlSpringAPP">[89]pivots!$AE$41</definedName>
    <definedName name="NatlSpringAPR">[89]pivots!$AE$49</definedName>
    <definedName name="NatlSpringIPP">[89]pivots!$AD$41</definedName>
    <definedName name="NatlSpringIPR">[89]pivots!$AD$49</definedName>
    <definedName name="NatlSpringP">[89]pivots!$AC$13</definedName>
    <definedName name="NatlSpringR">[89]pivots!$AC$21</definedName>
    <definedName name="NatlSpringUCP">[89]pivots!$AC$41</definedName>
    <definedName name="NatlSpringUCR">[89]pivots!$AC$49</definedName>
    <definedName name="NatlTotPipe">'[46]summary pivots'!$E$25+'[46]summary pivots'!$F$25+'[46]summary pivots'!$G$25</definedName>
    <definedName name="NatlTotPipeR">'[46]summary pivots'!$E$25+'[46]summary pivots'!$F$25+'[46]summary pivots'!$G$25</definedName>
    <definedName name="NatlTownAPP">[89]pivots!$AE$42</definedName>
    <definedName name="NatlTownAPR">[89]pivots!$AE$50</definedName>
    <definedName name="NatlTownIPP">[89]pivots!$AD$42</definedName>
    <definedName name="NatlTownIPR">[89]pivots!$AD$50</definedName>
    <definedName name="NatlTownP">[89]pivots!$AC$14</definedName>
    <definedName name="NatlTownR">[89]pivots!$AC$22</definedName>
    <definedName name="NatlTownUCP">[89]pivots!$AC$42</definedName>
    <definedName name="NatlTownUCR">[89]pivots!$AC$50</definedName>
    <definedName name="NatlUCP">'[102]4q pivots'!$DX$48</definedName>
    <definedName name="NatlUCR">'[102]4q pivots'!$DX$49</definedName>
    <definedName name="NatlUpscaleP">'[63]brand lookup'!$D$34</definedName>
    <definedName name="NatlUpscaleR">[89]lookups!$N$4</definedName>
    <definedName name="NatlUpUpP">'[63]brand lookup'!$D$33</definedName>
    <definedName name="NatlUpUpR">[89]lookups!$N$3</definedName>
    <definedName name="NatlWithP">'[63]brand lookup'!$D$35</definedName>
    <definedName name="NatlWithR">[89]lookups!$N$5</definedName>
    <definedName name="NatlWOP">'[63]brand lookup'!$D$36</definedName>
    <definedName name="NatlWOR">[89]lookups!$N$6</definedName>
    <definedName name="Navistar_qtly_sls">'[107]Class5-7 Build'!#REF!</definedName>
    <definedName name="NegTaxesTF">[20]Input!$B$411</definedName>
    <definedName name="Net_adj_for_capitalized_expenses">#REF!</definedName>
    <definedName name="Net_Income">[30]NOPAT_VDF!$C$94:$AZ$94</definedName>
    <definedName name="Net_income_fore">#REF!</definedName>
    <definedName name="Net_income_growth_avg">[30]NOPAT_VDF!#REF!</definedName>
    <definedName name="Net_margin">[30]NOPAT_VDF!$C$113:$AU$113</definedName>
    <definedName name="Net_margin_fore">#REF!</definedName>
    <definedName name="Net_PPE_growth_fore">#REF!</definedName>
    <definedName name="Net_sales">[30]NOPAT_VDF!$C$8:$AE$8</definedName>
    <definedName name="Net_sales_DCF">[30]DCF_VDF!$C$9:$AZ$9</definedName>
    <definedName name="Net_sales_fore">#REF!</definedName>
    <definedName name="Net_sales_growth_fore">#REF!</definedName>
    <definedName name="Net_working_capital_turns">'[30]Invested capital_VDF'!$C$97:$AU$97</definedName>
    <definedName name="NetCash">'[53]Life Insurance'!$Z$670</definedName>
    <definedName name="NetWC_turns_fore">#REF!</definedName>
    <definedName name="new_1">#REF!</definedName>
    <definedName name="new_2">#REF!</definedName>
    <definedName name="new_3">#REF!</definedName>
    <definedName name="new_4">#REF!</definedName>
    <definedName name="new_cell">#REF!</definedName>
    <definedName name="newopens">#REF!</definedName>
    <definedName name="newwrn.full" hidden="1">{"balance",#N/A,FALSE,"Remedy-model";"calendar quarterly",#N/A,FALSE,"Remedy-model";"cash flow",#N/A,FALSE,"Remedy-model";"fiscal quarter",#N/A,FALSE,"Remedy-model";"income",#N/A,FALSE,"Remedy-model";"percentage",#N/A,FALSE,"Remedy-model"}</definedName>
    <definedName name="newwrn.quarterly" hidden="1">{"Calenquart",#N/A,FALSE,"Remedy-model";"fiscquarter",#N/A,FALSE,"Remedy-model"}</definedName>
    <definedName name="nm_LastYearMonthExRate">#REF!</definedName>
    <definedName name="nm_ThisYearMonthExRate">#REF!</definedName>
    <definedName name="nm_ThisYearYTDExRate">#REF!</definedName>
    <definedName name="NOLExpChoice">[20]Input!$B$395</definedName>
    <definedName name="NOLExpList">[20]Input!$B$396:$B$403</definedName>
    <definedName name="NOLWorkingTF">[20]Input!$B$405</definedName>
    <definedName name="NonMedical">[26]Model!$K$1100</definedName>
    <definedName name="NOPAT">[30]NOPAT_VDF!$C$41:$AU$41</definedName>
    <definedName name="NOPAT_DCF">[30]DCF_VDF!$C$12:$AZ$12</definedName>
    <definedName name="NOPAT_fore">#REF!</definedName>
    <definedName name="NOPAT_growth_avg">[30]NOPAT_VDF!#REF!</definedName>
    <definedName name="NOPAT_margin">[30]NOPAT_VDF!$C$112:$AU$112</definedName>
    <definedName name="NOPAT_margin_fore">#REF!</definedName>
    <definedName name="NOPAT_Share">[30]NOPAT_VDF!#REF!</definedName>
    <definedName name="NOPBT">[30]NOPAT_VDF!$C$32:$AU$32</definedName>
    <definedName name="NOPBT_fore">#REF!</definedName>
    <definedName name="Norm_forecast_11_15">#REF!</definedName>
    <definedName name="Norm_forecast_16_25">#REF!</definedName>
    <definedName name="Norm_forecast_4_5">#REF!</definedName>
    <definedName name="Norm_forecast_6_10">#REF!</definedName>
    <definedName name="northAmerica">0.75</definedName>
    <definedName name="Not__Top_40">[10]Master!$AF$1</definedName>
    <definedName name="NPT_1">[30]NOPAT_VDF!$P$1:$P$65536</definedName>
    <definedName name="NPT_2">[30]NOPAT_VDF!$O$1:$O$65536</definedName>
    <definedName name="NPT_P">[30]NOPAT_VDF!$Q$1:$Q$65536</definedName>
    <definedName name="NTFLabels">[73]Storage!$BR$10:$BR$11</definedName>
    <definedName name="NTFS1L2">[20]Input!$D$426</definedName>
    <definedName name="NumberOfSales">#REF!</definedName>
    <definedName name="NvsASD">"V2000-09-08"</definedName>
    <definedName name="NvsAutoDrillOk">"VN"</definedName>
    <definedName name="NvsElapsedTime" localSheetId="0">0.000234143517445773</definedName>
    <definedName name="NvsElapsedTime">0.000504745366924908</definedName>
    <definedName name="NvsEndTime" localSheetId="0">36707.2948738426</definedName>
    <definedName name="NvsEndTime">37082.3202350694</definedName>
    <definedName name="NvsInstSpec">"%,FMI_ALT_BU,TCA_ALTBU_CORPS,NCONSOLIDATING"</definedName>
    <definedName name="NvsLayoutType">"M3"</definedName>
    <definedName name="NvsNplSpec">"%,X,RZF..,CZF.."</definedName>
    <definedName name="NvsPanelEffdt">"V9999-01-01"</definedName>
    <definedName name="NvsPanelSetid">"VMIDIV"</definedName>
    <definedName name="NvsReqBU">"V52"</definedName>
    <definedName name="NvsReqBUOnly">"VN"</definedName>
    <definedName name="NvsTransLed">"VN"</definedName>
    <definedName name="NvsTreeASD">"V2000-09-08"</definedName>
    <definedName name="NvsValTbl.BUSINESS_UNIT">"BUS_UNIT_TBL_FS"</definedName>
    <definedName name="NvsValTbl.CURRENCY_CD">"CURRENCY_CD_TBL"</definedName>
    <definedName name="NvsValTbl.DEPTID">"DEPARTMENT_TBL"</definedName>
    <definedName name="NvsValTbl.PRODUCT">"MI_GL_PRODCT_VW"</definedName>
    <definedName name="Off_B_S_Income">[30]NOPAT_VDF!$C$7:$AZ$7</definedName>
    <definedName name="Off_B_S_Income_DCF">[30]DCF_VDF!$C$8:$BZ$8</definedName>
    <definedName name="Off_B_S_Income_fore">#REF!</definedName>
    <definedName name="Off_B_S_Income_growth_fore">#REF!</definedName>
    <definedName name="OL_1">'[30]PV of Op Leases_VDF'!$AD$1:$AD$65536</definedName>
    <definedName name="OL_P">'[30]PV of Op Leases_VDF'!$AF$1:$AF$65536</definedName>
    <definedName name="OLADiscountRate">'[17]0000000'!$B$5</definedName>
    <definedName name="OLAProjMethod">'[17]0000000'!$B$7</definedName>
    <definedName name="old_1">#REF!</definedName>
    <definedName name="oldbrands">'[108]brand census'!$A$5:$D$200</definedName>
    <definedName name="Op_Inc._Breakdown">'[32]IGT MODEL'!$A$148:$X$176</definedName>
    <definedName name="open?">[10]Master!$X$1</definedName>
    <definedName name="Opentotal">'[84]companies pivots'!$BQ$13</definedName>
    <definedName name="OpentotalP">'[84]companies pivots'!$BT$13</definedName>
    <definedName name="Operating_income_fore">#REF!</definedName>
    <definedName name="Operating_Lease_Expense">[30]NOPAT_VDF!$C$23:$AZ$23</definedName>
    <definedName name="Operating_Lease_Expense_fore">#REF!</definedName>
    <definedName name="operation">'[47]Misc Data'!$B$10:$C$14</definedName>
    <definedName name="Oth">'[42]New WLP'!#REF!</definedName>
    <definedName name="Other">[10]Master!$AG$1</definedName>
    <definedName name="Other_asset_turns">'[30]Invested capital_VDF'!$A$101:$Z$101</definedName>
    <definedName name="Other_asset_turns_fore">#REF!</definedName>
    <definedName name="Other_current_assets_growth_fore">#REF!</definedName>
    <definedName name="Other_current_liabilities_growth_fore">#REF!</definedName>
    <definedName name="Other_dividends">'[30]Invested capital_VDF'!#REF!</definedName>
    <definedName name="Other_Expenses">[30]NOPAT_VDF!$C$59:$AZ$59</definedName>
    <definedName name="Other_Expenses_fore">#REF!</definedName>
    <definedName name="Other_expenses_gains">[30]NOPAT_VDF!$C$14:$AZ$14</definedName>
    <definedName name="Other_expenses_gains_fore">#REF!</definedName>
    <definedName name="Other_expenses_growth_fore">#REF!</definedName>
    <definedName name="Other_fixed_asset_turns_fore">#REF!</definedName>
    <definedName name="Other_fixed_assets_growth_fore">#REF!</definedName>
    <definedName name="Other_growth_fore">#REF!</definedName>
    <definedName name="Other_inc_exp_fore">#REF!</definedName>
    <definedName name="Other_Income">[30]NOPAT_VDF!$C$58:$AZ$58</definedName>
    <definedName name="Other_income_growth_fore">#REF!</definedName>
    <definedName name="Other_liabilities_growth_fore">#REF!</definedName>
    <definedName name="other_RE">[10]Master!$W$1</definedName>
    <definedName name="Other_Segment_Revenues">[30]NOPAT_VDF!#REF!</definedName>
    <definedName name="Other1">#REF!</definedName>
    <definedName name="otherAfrica">0</definedName>
    <definedName name="otherAsiaPacific">0</definedName>
    <definedName name="OtherAutoHome">[26]Model!$K$1335</definedName>
    <definedName name="otherCentralEasternEurope">0.02</definedName>
    <definedName name="otherDevelopedEurope">"NA"</definedName>
    <definedName name="OtherIndiv">[26]Model!$K$738</definedName>
    <definedName name="OtherInsurance">'[53]Life Insurance'!$T$497</definedName>
    <definedName name="otherLATAM">"NA"</definedName>
    <definedName name="outED">[37]ControlsH!$B$11</definedName>
    <definedName name="outSD">[37]ControlsH!$B$10</definedName>
    <definedName name="overlay">[64]LLY!#REF!</definedName>
    <definedName name="package_deal">[10]Master!$AC$1</definedName>
    <definedName name="PAGE1">#REF!</definedName>
    <definedName name="Page12">#REF!</definedName>
    <definedName name="page1head">#REF!</definedName>
    <definedName name="Page2">#REF!</definedName>
    <definedName name="page2head">#REF!</definedName>
    <definedName name="page2left">#REF!</definedName>
    <definedName name="page3head">#REF!</definedName>
    <definedName name="page3left">#REF!</definedName>
    <definedName name="pagefour">'[109]CVS-Q (old) (2)'!$B$3:$AE$147</definedName>
    <definedName name="pagenum">'[58]Print Data'!$A$4</definedName>
    <definedName name="Param_Banks">#REF!</definedName>
    <definedName name="Param_FRN">#REF!</definedName>
    <definedName name="Param_Tier1">#REF!</definedName>
    <definedName name="Param_Yankee">#REF!</definedName>
    <definedName name="parents">[84]census!$A$4:$D$199</definedName>
    <definedName name="part_owner">[10]Master!$Z$1</definedName>
    <definedName name="past">[110]footnotes!$B$29</definedName>
    <definedName name="Payroll_Expense">#REF!</definedName>
    <definedName name="PDQ">'[49]THE LINK FOR ALL'!$B$50</definedName>
    <definedName name="PDQ_CONS00">'[49]THE LINK FOR ALL'!$F$21</definedName>
    <definedName name="PDQ_CONS01">'[49]THE LINK FOR ALL'!$G$21</definedName>
    <definedName name="PDQ_CONS99">#REF!</definedName>
    <definedName name="Peer1">#REF!</definedName>
    <definedName name="PeerDate1">#REF!</definedName>
    <definedName name="peerHist1">#REF!</definedName>
    <definedName name="Peers">#REF!</definedName>
    <definedName name="penn">#REF!</definedName>
    <definedName name="PENN_CONS00">#REF!</definedName>
    <definedName name="PENN_CONS01">#REF!</definedName>
    <definedName name="PENN_CONS99">#REF!</definedName>
    <definedName name="Period">#REF!</definedName>
    <definedName name="PERIOD_END">'[60]Other Data'!$D$43</definedName>
    <definedName name="PERIODICITY">[37]ControlsH!$C$3</definedName>
    <definedName name="PeriodsToRun">#REF!</definedName>
    <definedName name="pg1output">#REF!</definedName>
    <definedName name="pg2output">#REF!</definedName>
    <definedName name="PHONE">#REF!</definedName>
    <definedName name="Pipeline">'[58]New Business (Active)'!$1:$1048576</definedName>
    <definedName name="Pipetotal">'[84]companies pivots'!$BQ$11</definedName>
    <definedName name="PipetotalP">'[84]companies pivots'!$BT$11</definedName>
    <definedName name="PipeUpscaleR">[89]pivots!$AE$77</definedName>
    <definedName name="PipeUpUpR">[89]pivots!$AE$76</definedName>
    <definedName name="PipeWithR">[89]pivots!$AE$78</definedName>
    <definedName name="PipeWOR">[89]pivots!$AE$79</definedName>
    <definedName name="play">#REF!</definedName>
    <definedName name="PLAY_00Ea">#REF!</definedName>
    <definedName name="PLAY_00EPS">#REF!</definedName>
    <definedName name="PLAY_99Ea">#REF!</definedName>
    <definedName name="PLAY_99EPS">#REF!</definedName>
    <definedName name="PLAY_Rating">[31]Industry!$D$17</definedName>
    <definedName name="pmktopens">#REF!</definedName>
    <definedName name="pmlink1">#REF!</definedName>
    <definedName name="PMLINK10">#REF!</definedName>
    <definedName name="PMLINK11">#REF!</definedName>
    <definedName name="PMLINK12">#REF!</definedName>
    <definedName name="PMLINK13">#REF!</definedName>
    <definedName name="PMLINK14">#REF!</definedName>
    <definedName name="PMLINK2">#REF!</definedName>
    <definedName name="PMLINK3">#REF!</definedName>
    <definedName name="PMLINK4">#REF!</definedName>
    <definedName name="PMLINK5">#REF!</definedName>
    <definedName name="PMLINK6">#REF!</definedName>
    <definedName name="PMLINK7">#REF!</definedName>
    <definedName name="PMLINK8">#REF!</definedName>
    <definedName name="PMLINK9">#REF!</definedName>
    <definedName name="pnk">#REF!</definedName>
    <definedName name="PNK_Rating">[31]Industry!$D$16</definedName>
    <definedName name="PNK_Target">[31]Industry!$C$16</definedName>
    <definedName name="possibleoutcomes">[18]BMY!#REF!</definedName>
    <definedName name="PPE">[72]Prices!$B$16</definedName>
    <definedName name="PPE_00Ea">#REF!</definedName>
    <definedName name="PPE_00EPS">#REF!</definedName>
    <definedName name="PPE_01Ea">#REF!</definedName>
    <definedName name="PPE_01EPS">#REF!</definedName>
    <definedName name="PPE_99Ea">#REF!</definedName>
    <definedName name="PPE_99EPS">#REF!</definedName>
    <definedName name="PPE_Rating">[31]Industry!$D$15</definedName>
    <definedName name="PPE_Target">[31]Industry!$C$15</definedName>
    <definedName name="PPnE_turns_fore">#REF!</definedName>
    <definedName name="PPT" hidden="1">{#N/A,#N/A,FALSE,"Chart 2 by Prop Type"}</definedName>
    <definedName name="Preferred_stock_growth_fore">#REF!</definedName>
    <definedName name="PremiumsFirstYear">[53]Premiums!$X$89</definedName>
    <definedName name="PremiumsTotal">[53]Premiums!$W$4</definedName>
    <definedName name="present">[110]footnotes!$A$29</definedName>
    <definedName name="Present_Value_Oper_lease">'[30]PV of Op Leases_VDF'!$C$62:$AW$62</definedName>
    <definedName name="Pretax_income">[30]NOPAT_VDF!$C$90:$AE$90</definedName>
    <definedName name="Pretax_income_fore">#REF!</definedName>
    <definedName name="PRH">#REF!</definedName>
    <definedName name="PRH_CON01">'[49]THE LINK FOR ALL'!#REF!</definedName>
    <definedName name="PRH_CONS00">'[49]THE LINK FOR ALL'!#REF!</definedName>
    <definedName name="PRH_CONS99">'[49]THE LINK FOR ALL'!#REF!</definedName>
    <definedName name="price">'[47]Misc Data'!$B$19:$C$23</definedName>
    <definedName name="pricing">[111]Structure!#REF!</definedName>
    <definedName name="PRIMTH">2</definedName>
    <definedName name="PRIMTH_CHG">4</definedName>
    <definedName name="print" hidden="1">{"page1",#N/A,FALSE,"Casual RLE";"page2",#N/A,FALSE,"Casual RLE"}</definedName>
    <definedName name="Print_96">#REF!</definedName>
    <definedName name="_xlnm.Print_Area" localSheetId="0">'Financial One Pager'!$B$7:$AG$85</definedName>
    <definedName name="_xlnm.Print_Area">#REF!</definedName>
    <definedName name="Print_Area_MI" localSheetId="0">#REF!</definedName>
    <definedName name="Print_Area_MI">'[109]CVS-Q (old) (2)'!$A$1:$G$84</definedName>
    <definedName name="Print_Debt">'[112]Debt Projections'!#REF!</definedName>
    <definedName name="Print_Presentation">[113]NYNY!$A$21:$T$60</definedName>
    <definedName name="_xlnm.Print_Titles">#REF!</definedName>
    <definedName name="Print_Titles_MI">#REF!,#REF!</definedName>
    <definedName name="print3">#REF!</definedName>
    <definedName name="PrintData">[25]NUMX.XLS!$B$177:$AW$225</definedName>
    <definedName name="PRINTER">#REF!</definedName>
    <definedName name="prod1">'[114]U.S. Generics'!#REF!</definedName>
    <definedName name="prodDO">[115]WYEProd!#REF!</definedName>
    <definedName name="Product">#REF!</definedName>
    <definedName name="productlinegrossmargins">#REF!</definedName>
    <definedName name="Proforma">[64]LLY!#REF!</definedName>
    <definedName name="PROJ">#REF!</definedName>
    <definedName name="ProjectName">{"Client Name or Project Name"}</definedName>
    <definedName name="ProjectName2">{"Client Name or Project Name"}</definedName>
    <definedName name="projects">#REF!</definedName>
    <definedName name="PSI_Casino">[72]Prices!$B$5</definedName>
    <definedName name="PSI_Equip">#REF!</definedName>
    <definedName name="PSI_Gaming">#REF!</definedName>
    <definedName name="PWRH">#REF!</definedName>
    <definedName name="q" hidden="1">{"Qtr Op Mgd Q2",#N/A,FALSE,"Qtr-Op (Mng)";"Qtr Op Rpt Q2",#N/A,FALSE,"Qtr-Op (Rpt)";"Operating Vs Reported",#N/A,FALSE,"Rpt-Op Inc"}</definedName>
    <definedName name="q195swsales">SUM(#REF!)</definedName>
    <definedName name="Q298ABCOCLOSOL">'[116]99-01'!#REF!</definedName>
    <definedName name="Q298ABCOCOMP">'[116]99-01'!#REF!</definedName>
    <definedName name="Q298ABCOOPEN">'[116]99-01'!#REF!</definedName>
    <definedName name="Q298ABCOREM">'[116]99-01'!#REF!</definedName>
    <definedName name="Q398ABCOCLOSOL">'[116]99-01'!#REF!</definedName>
    <definedName name="Q398ABCOCOMP">'[116]99-01'!#REF!</definedName>
    <definedName name="Q398ABCOOPEN">'[116]99-01'!#REF!</definedName>
    <definedName name="Q398ABCOREM">'[116]99-01'!#REF!</definedName>
    <definedName name="qqqq" hidden="1">{#N/A,#N/A,FALSE,"Chart 2 by Prop Type"}</definedName>
    <definedName name="Qtr">[10]Master!$L$1</definedName>
    <definedName name="Qtr_All">#REF!</definedName>
    <definedName name="Qtr_Semi">[36]Control!$B$28</definedName>
    <definedName name="QTR_YTD">#REF!</definedName>
    <definedName name="Quarter">#REF!</definedName>
    <definedName name="Quarter_end">'[60]Summary Page'!$AA$8</definedName>
    <definedName name="Quarter1">#REF!</definedName>
    <definedName name="Quarter3">#REF!</definedName>
    <definedName name="Quarter4">#REF!</definedName>
    <definedName name="Quarter5">#REF!</definedName>
    <definedName name="QUARTERINCAPS">[117]Cover!$J$1</definedName>
    <definedName name="Quarterlies">#REF!</definedName>
    <definedName name="Quarterly">[36]Control!$B$26</definedName>
    <definedName name="R_D_amort_years">'[30]Invested capital_VDF'!$A$34</definedName>
    <definedName name="R_D_Amortization">'[30]Invested capital_VDF'!$C$31:$AU$31</definedName>
    <definedName name="R_D_expense">'[30]Invested capital_VDF'!$C$28:$AZ$28</definedName>
    <definedName name="Range_Names">#REF!</definedName>
    <definedName name="Rate">[118]Notes!$E$12</definedName>
    <definedName name="ratingwalk">#REF!</definedName>
    <definedName name="RCL">#REF!</definedName>
    <definedName name="RE">#REF!</definedName>
    <definedName name="realgrowth">#REF!</definedName>
    <definedName name="recent.patterns">[64]LLY!#REF!</definedName>
    <definedName name="recevent">#REF!</definedName>
    <definedName name="_xlnm.Recorder">#REF!</definedName>
    <definedName name="Recruit_Field">#REF!</definedName>
    <definedName name="Recruit_Other">#REF!</definedName>
    <definedName name="refgd" hidden="1">{"fdsup://directions/FAT Viewer?action=UPDATE&amp;creator=factset&amp;DYN_ARGS=TRUE&amp;DOC_NAME=FAT:FQL_AUDITING_CLIENT_TEMPLATE.FAT&amp;display_string=Audit&amp;VAR:KEY=ZYZAZOHSNG&amp;VAR:QUERY=RkZfUEJLKEFOTiwwKQ==&amp;WINDOW=FIRST_POPUP&amp;HEIGHT=450&amp;WIDTH=450&amp;START_MAXIMIZED=FALSE&amp;VA","R:CALENDAR=US&amp;VAR:SYMBOL=CRL&amp;VAR:INDEX=0"}</definedName>
    <definedName name="regb" hidden="1">{"fdsup://directions/FAT Viewer?action=UPDATE&amp;creator=factset&amp;DYN_ARGS=TRUE&amp;DOC_NAME=FAT:FQL_AUDITING_CLIENT_TEMPLATE.FAT&amp;display_string=Audit&amp;VAR:KEY=DCPCRGJOXS&amp;VAR:QUERY=RkZfUk9FKEFOTiwwKQ==&amp;WINDOW=FIRST_POPUP&amp;HEIGHT=450&amp;WIDTH=450&amp;START_MAXIMIZED=FALSE&amp;VA","R:CALENDAR=US&amp;VAR:SYMBOL=CRL&amp;VAR:INDEX=0"}</definedName>
    <definedName name="region">'[47]Misc Data'!$B$26:$C$34</definedName>
    <definedName name="renewal">#REF!</definedName>
    <definedName name="rep" hidden="1">{#N/A,#N/A,FALSE,"COVER";#N/A,#N/A,FALSE,"VALUATION";#N/A,#N/A,FALSE,"FORECAST";#N/A,#N/A,FALSE,"FY ANALYSIS ";#N/A,#N/A,FALSE," HY ANALYSIS"}</definedName>
    <definedName name="Required_cash_percent">'[30]Invested capital_VDF'!$A$9</definedName>
    <definedName name="rest">'[47]Misc Data'!$B$37:$C$38</definedName>
    <definedName name="Restructuring_charges">'[30]Invested capital_VDF'!#REF!</definedName>
    <definedName name="Restructuring_charges_growth_fore">#REF!</definedName>
    <definedName name="RetailvsWhole">[53]Premiums!$X$232</definedName>
    <definedName name="Retirement">[26]Model!$K$1012</definedName>
    <definedName name="RetrieveFromCSV">#REF!</definedName>
    <definedName name="REV00">'[17]0000000'!#REF!</definedName>
    <definedName name="Revenue_Model">#REF!</definedName>
    <definedName name="revenuemix1992">#REF!</definedName>
    <definedName name="revenuemix1993">#REF!</definedName>
    <definedName name="revenuemix1995">#REF!</definedName>
    <definedName name="revsheet">{"Client Name or Project Name"}</definedName>
    <definedName name="RnD_expense">'[30]Invested capital_VDF'!$C$28:$AZ$28</definedName>
    <definedName name="RnD_expense_fore">#REF!</definedName>
    <definedName name="RnD_expense_growth_fore">#REF!</definedName>
    <definedName name="RnD_expenses_fore">#REF!</definedName>
    <definedName name="rngTotalRegionExposure">1</definedName>
    <definedName name="Rooms">[10]Master!$H$1</definedName>
    <definedName name="RPUS">#REF!</definedName>
    <definedName name="RPUS_Q">#REF!</definedName>
    <definedName name="RRI">#REF!</definedName>
    <definedName name="RRI_CONS00">#REF!</definedName>
    <definedName name="RRI_CONS01">#REF!</definedName>
    <definedName name="RRI_CONS99">#REF!</definedName>
    <definedName name="RUS_CONS00">[72]Prices!$G$7</definedName>
    <definedName name="RUS_CONS01">#REF!</definedName>
    <definedName name="RUS_CONS99">[72]Prices!$F$7</definedName>
    <definedName name="RUSAO_CONSENSUS">#REF!</definedName>
    <definedName name="RUT">[72]Prices!$B$9</definedName>
    <definedName name="Rwvu.cash." hidden="1">#REF!</definedName>
    <definedName name="Rwvu.profits." hidden="1">#REF!</definedName>
    <definedName name="Rwvu.Quarters94_95." hidden="1">[119]BCECFM!$H:$L,[119]BCECFM!$O:$AC,[119]BCECFM!$AL:$AS,[119]BCECFM!$BS:$BZ</definedName>
    <definedName name="Rwvu.Quarters94_97." hidden="1">'[119]Bell&amp;AIT'!$I:$AG,'[119]Bell&amp;AIT'!#REF!,'[119]Bell&amp;AIT'!#REF!,'[119]Bell&amp;AIT'!#REF!</definedName>
    <definedName name="Rwvu.Quarters95_96." hidden="1">[119]BCECFM!$H:$M,[119]BCECFM!$P:$AG,[119]BCECFM!$AP:$AS,[119]BCECFM!$BS:$BZ</definedName>
    <definedName name="Rwvu.Quarters95_97_Year_1997." hidden="1">[119]BCECFM!$H:$M,[119]BCECFM!$Q:$AG,[119]BCECFM!$AP:$AS,[119]BCECFM!$BS:$BY</definedName>
    <definedName name="Rwvu.Quarters95_97." hidden="1">[119]BCECFM!$H:$AG,[119]BCECFM!$BS:$BY</definedName>
    <definedName name="Rwvu.Quarters98_99." hidden="1">[28]SJRCFM!$H:$P,[28]SJRCFM!$W:$AL,[28]SJRCFM!$AU:$AX,[28]SJRCFM!$BT:$BZ</definedName>
    <definedName name="Rwvu.Quarters99_00." hidden="1">[28]SJRCFM!$H:$Q,[28]SJRCFM!$X:$AP,[28]SJRCFM!$BT:$BZ</definedName>
    <definedName name="Rwvu.turnover." hidden="1">#REF!</definedName>
    <definedName name="Rwvu.Years_Quarters_95_97." hidden="1">[119]BCECFM!$H:$M,[119]BCECFM!$Q:$AG,[119]BCECFM!$BS:$BY</definedName>
    <definedName name="Rwvu.Years1995_2005_No_Profile." hidden="1">[119]BCECFM!$H:$M,[119]BCECFM!$Y:$AS,[119]BCECFM!$BS:$BY</definedName>
    <definedName name="Rwvu.Years89_98_No_Profile." hidden="1">[119]BCECFM!$R:$AS,[119]BCECFM!$BS:$CN</definedName>
    <definedName name="Rwvu.Years90_94_Quarters94_95." hidden="1">'[119]Bell&amp;AIT'!$O:$AG,'[119]Bell&amp;AIT'!#REF!,'[119]Bell&amp;AIT'!$AP:$AW</definedName>
    <definedName name="Rwvu.Years91_2000_no_Profile." hidden="1">[119]BCECFM!$H:$I,[119]BCECFM!$T:$AS,[119]BCECFM!$BS:$BY</definedName>
    <definedName name="Rwvu.Years91_97_No_Profile." hidden="1">[119]BCECFM!$H:$I,[119]BCECFM!$Q:$S,[119]BCECFM!$Z:$AS,[119]BCECFM!$BS:$BY</definedName>
    <definedName name="Rwvu.Years93_97_With_Profile." hidden="1">[119]BCECFM!$H:$K,[119]BCECFM!$Q:$AS</definedName>
    <definedName name="Rwvu.Years94_96_Quarters95_96." hidden="1">'[119]Bell&amp;AIT'!$I:$L,'[119]Bell&amp;AIT'!$P:$AK,'[119]Bell&amp;AIT'!#REF!,'[119]Bell&amp;AIT'!$AT:$AW</definedName>
    <definedName name="Rwvu.Years94_98_Quarters95_96." hidden="1">'[119]Bell&amp;AIT'!$I:$L,'[119]Bell&amp;AIT'!$R:$AK,'[119]Bell&amp;AIT'!#REF!,'[119]Bell&amp;AIT'!$AT:$AW</definedName>
    <definedName name="Rwvu.Years94_98_With_Profile." hidden="1">[119]BCECFM!$H:$L,[119]BCECFM!$R:$AS</definedName>
    <definedName name="Rwvu.Years96_2000_with_profile." hidden="1">[28]SJRCFM!$H:$N,[28]SJRCFM!$X:$AT</definedName>
    <definedName name="Rwvu.years97_2001_with_profile." hidden="1">[28]SJRCFM!$H:$O,[28]SJRCFM!$Y:$AX</definedName>
    <definedName name="RXAnnual">[64]LLY!#REF!</definedName>
    <definedName name="s" hidden="1">{#N/A,#N/A,FALSE,"Chart 2 by Prop Type"}</definedName>
    <definedName name="S_P">[43]RAINSHT!#REF!</definedName>
    <definedName name="sales">#REF!</definedName>
    <definedName name="Sales_growth_avg">#REF!</definedName>
    <definedName name="Sales1">"Sales!$C$8:$S$62"</definedName>
    <definedName name="SalesByDist">[53]Premiums!$X$174</definedName>
    <definedName name="salesGEOG">OFFSET(#REF!, 0, 0, [37]DataH!$I$20, 1)</definedName>
    <definedName name="SalesGrowth">#REF!</definedName>
    <definedName name="salesoffice">#REF!</definedName>
    <definedName name="Salesperson">#REF!</definedName>
    <definedName name="salesPROD">OFFSET(#REF!, 0, 0, [37]DataH!$G$20, 1)</definedName>
    <definedName name="SalesSource">#REF!</definedName>
    <definedName name="scales">[120]Lookup!$A$1:$B$165</definedName>
    <definedName name="scen_change" hidden="1">[19]T_CFM!#REF!</definedName>
    <definedName name="sd"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SDFSDF" hidden="1">{"Page One",#N/A,FALSE,"Model";"Page 2",#N/A,FALSE,"Model";"Page 3",#N/A,FALSE,"Model"}</definedName>
    <definedName name="sdfsdfs">'[121]LEC PRojects'!$A$1:$AW$4986</definedName>
    <definedName name="sds" hidden="1">{"'보고양식'!$A$58:$K$111"}</definedName>
    <definedName name="secondpage">'[109]CVS-Q (old) (2)'!$AG$3:$AN$38</definedName>
    <definedName name="Sectors">[60]!Table1[Sectors]</definedName>
    <definedName name="segment">#REF!</definedName>
    <definedName name="segment.op.profit">[18]BMY!#REF!</definedName>
    <definedName name="Segment1_income">[30]NOPAT_VDF!$C$5:$AZ$5</definedName>
    <definedName name="Segment1_income_DCF">[30]DCF_VDF!$C$6:$BZ$6</definedName>
    <definedName name="Segment1_income_fore">#REF!</definedName>
    <definedName name="Segment1_income_growth_fore">#REF!</definedName>
    <definedName name="Segment2_income">[30]NOPAT_VDF!$C$6:$AZ$6</definedName>
    <definedName name="Segment2_income_DCF">[30]DCF_VDF!$C$7:$BZ$7</definedName>
    <definedName name="Segment2_income_fore">#REF!</definedName>
    <definedName name="Segment2_income_growth_fore">#REF!</definedName>
    <definedName name="SegmentCell">[36]Segments!$D$11</definedName>
    <definedName name="Seller_name">[10]Master!$AL$1</definedName>
    <definedName name="Selling_Price">[122]Master!$G$1</definedName>
    <definedName name="Selling_Price_per_Room">[122]Master!$I$1</definedName>
    <definedName name="sencount" hidden="1">2</definedName>
    <definedName name="Seq_No">[122]Master!$B$1</definedName>
    <definedName name="SFCash1Repay2Div3">[20]Input!$D$427</definedName>
    <definedName name="SG">#REF!</definedName>
    <definedName name="SG_CONS00">'[49]THE LINK FOR ALL'!#REF!</definedName>
    <definedName name="SG_CONS01">'[49]THE LINK FOR ALL'!#REF!</definedName>
    <definedName name="SG_CONS99">'[49]THE LINK FOR ALL'!#REF!</definedName>
    <definedName name="SG_CONSENSUS">#REF!</definedName>
    <definedName name="SGA">[30]NOPAT_VDF!$C$12:$AE$12</definedName>
    <definedName name="SGA_fore">#REF!</definedName>
    <definedName name="SGA_growth">[30]NOPAT_VDF!#REF!</definedName>
    <definedName name="SGA_growth_avg">#REF!</definedName>
    <definedName name="SGA_growth_fore">#REF!</definedName>
    <definedName name="SGA_margin_fore">#REF!</definedName>
    <definedName name="SGIC">#REF!</definedName>
    <definedName name="Shares_DCF">[30]DCF_VDF!$C$37:$AZ$37</definedName>
    <definedName name="Shares_fore">#REF!</definedName>
    <definedName name="Shares_growth">[30]NOPAT_VDF!$M$151:$Q$151</definedName>
    <definedName name="Shares_growth_fore">#REF!</definedName>
    <definedName name="Shares_repurchase_liability">'[30]Invested capital_VDF'!#REF!</definedName>
    <definedName name="Short_Flow_Data">#REF!</definedName>
    <definedName name="ShortMSA">[123]lookups!$B$6:$D$87</definedName>
    <definedName name="showVersionCheckMessage">1</definedName>
    <definedName name="shPeerRangeD">#REF!</definedName>
    <definedName name="shrs"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SIH">[72]Prices!$B$17</definedName>
    <definedName name="SIH_Rating">[31]Industry!$D$19</definedName>
    <definedName name="SIH_Target">[31]Industry!$C$19</definedName>
    <definedName name="SLOT">#REF!</definedName>
    <definedName name="SLOT_Rating">[31]Industry!$D$5</definedName>
    <definedName name="SLOT_Target">[31]Industry!$C$5</definedName>
    <definedName name="Slots">#REF!</definedName>
    <definedName name="SNB">'[49]THE LINK FOR ALL'!$B$51</definedName>
    <definedName name="SNB_CONS00">'[49]THE LINK FOR ALL'!$F$23</definedName>
    <definedName name="SNB_CONS01">'[49]THE LINK FOR ALL'!$G$23</definedName>
    <definedName name="SNB_CONS99">#REF!</definedName>
    <definedName name="SODK">#REF!</definedName>
    <definedName name="sor_extra">[124]Ssor!#REF!</definedName>
    <definedName name="Sort_Order">[122]Master!$AH$1</definedName>
    <definedName name="source">[10]Master!$A$1</definedName>
    <definedName name="sovereign">#REF!</definedName>
    <definedName name="spain">"NA"</definedName>
    <definedName name="SPX">[72]Prices!$B$7</definedName>
    <definedName name="SPX_CONS00">[72]Prices!$G$6</definedName>
    <definedName name="SPX_CONS01">'[49]THE LINK FOR ALL'!$G$6</definedName>
    <definedName name="SPX_CONS99">[72]Prices!$F$6</definedName>
    <definedName name="SPX_CONSENSUS">#REF!</definedName>
    <definedName name="SSLabels">[73]Storage!$BR$7:$BR$8</definedName>
    <definedName name="SSSSSVS" hidden="1">{"print annual inc. statement",#N/A,FALSE,"Summary";"print annual stats",#N/A,FALSE,"Summary";"print quarterly inc. statement",#N/A,FALSE,"Summary";"print quarterly stats",#N/A,FALSE,"Summary"}</definedName>
    <definedName name="ST_debt_growth_fore">#REF!</definedName>
    <definedName name="StageCode">[69]Lookups!$AF$4:$AG$9</definedName>
    <definedName name="Start_Name">#REF!</definedName>
    <definedName name="StartDate">#REF!</definedName>
    <definedName name="startingDate">#REF!</definedName>
    <definedName name="State" localSheetId="0">[122]Master!$F$1</definedName>
    <definedName name="State">#REF!</definedName>
    <definedName name="StateRegion">[2]Lookups!$K$4:$N$54</definedName>
    <definedName name="still_a_hotel">[10]Master!$Y$1</definedName>
    <definedName name="stn">#REF!</definedName>
    <definedName name="STN_00Ea">[125]EarningsModel!#REF!</definedName>
    <definedName name="STN_00EPS">'[125]Earnings Model'!$AF$55</definedName>
    <definedName name="STN_01Ea">[125]EarningsModel!#REF!</definedName>
    <definedName name="STN_01EPS">'[125]Earnings Model'!$AK$55</definedName>
    <definedName name="STN_99Ea">[125]EarningsModel!#REF!</definedName>
    <definedName name="STN_99EPS">'[125]Earnings Model'!$AA$55</definedName>
    <definedName name="STN_CONSENSUS">[126]Prices!#REF!</definedName>
    <definedName name="STN_Rating">[31]Industry!$D$18</definedName>
    <definedName name="STN_Target">[31]Industry!$C$18</definedName>
    <definedName name="Stock_Ticker">#REF!</definedName>
    <definedName name="StockVal_Ticker01">#REF!</definedName>
    <definedName name="StockVal.Data001">#REF!</definedName>
    <definedName name="STRCode">[69]Lookups!$AI$21:$AJ$27</definedName>
    <definedName name="Subject">#REF!</definedName>
    <definedName name="summ">#REF!</definedName>
    <definedName name="Summary_Date">#REF!</definedName>
    <definedName name="Swvu.cash." hidden="1">#REF!</definedName>
    <definedName name="Swvu.cashflow." hidden="1">[27]Forecasts!$A$204:$V$232</definedName>
    <definedName name="Swvu.profits." hidden="1">[27]Forecasts!$A$85:$V$203</definedName>
    <definedName name="Swvu.Quarters99_00." hidden="1">[28]SJRCFM!#REF!</definedName>
    <definedName name="Swvu.turnover." hidden="1">#N/A</definedName>
    <definedName name="SYN_01Ea">[125]EarningsModel!#REF!</definedName>
    <definedName name="tab" hidden="1">{FALSE,TRUE,-1.25,-15.5,604.5,366.75,FALSE,TRUE,TRUE,TRUE,0,1,13,1,2,12,1,4,TRUE,TRUE,3,TRUE,1,TRUE,100,"Swvu.Years91_2000_no_Profile.","ACwvu.Years91_2000_no_Profile.",#N/A,FALSE,FALSE,0.75,0.5,0.8,1,1,"&amp;L&amp;""Helvetica,Bold""&amp;14CanWest Global Communications Corp (CWW- $21)&amp;R&amp;""Helvetica,Italic""(Amounts in C$millions except as noted)","&amp;L&amp;""Times New Roman""&amp;10BUNTING WARBURG   (416) 364-3293&amp;C&amp;F   Page &amp;P&amp;R&amp;D/&amp;T",FALSE,FALSE,FALSE,FALSE,2,100,#N/A,#N/A,FALSE,FALSE,"Rwvu.Years91_2000_no_Profile.",#N/A,FALSE,FALSE,FALSE,1,#N/A,#N/A,FALSE,FALSE,TRUE,TRUE,TRUE}</definedName>
    <definedName name="table3">#REF!</definedName>
    <definedName name="table4">#REF!</definedName>
    <definedName name="table5">#REF!</definedName>
    <definedName name="table6">#REF!</definedName>
    <definedName name="TABLE8">#REF!</definedName>
    <definedName name="Tables">#REF!</definedName>
    <definedName name="Target_debt_to_capital">#REF!</definedName>
    <definedName name="Target_Price">OFFSET(#REF!,0,0,[37]ControlsH!$E$5, 1)</definedName>
    <definedName name="targetname">#REF!</definedName>
    <definedName name="Tax_rate_for_WACC">[30]WACC_VDF!#REF!</definedName>
    <definedName name="tax_rate_projection">#REF!</definedName>
    <definedName name="Taxrate">#REF!</definedName>
    <definedName name="temp" hidden="1">{"Print CRXLAND Assumptions",#N/A,FALSE,"CRXLAND Openings";"Print CRXLAND Openings",#N/A,FALSE,"CRXLAND Openings"}</definedName>
    <definedName name="temp2" hidden="1">{"Print CRXLAND Assumptions",#N/A,FALSE,"CRXLAND Openings";"Print CRXLAND Openings",#N/A,FALSE,"CRXLAND Openings"}</definedName>
    <definedName name="tempor" hidden="1">{"print annual inc. statement",#N/A,FALSE,"Summary";"print annual stats",#N/A,FALSE,"Summary";"print quarterly inc. statement",#N/A,FALSE,"Summary";"print quarterly stats",#N/A,FALSE,"Summary";"print STAY opening assumptions",#N/A,FALSE,"STAY Openings";"print STAY openings",#N/A,FALSE,"STAY Openings";"Print SPHI Assumptions",#N/A,FALSE,"SPHI Openings";"Print SPHI Openings",#N/A,FALSE,"SPHI Openings";"Print CRXLAND Assumptions",#N/A,FALSE,"CRXLAND Openings";"Print CRXLAND Openings",#N/A,FALSE,"CRXLAND Openings"}</definedName>
    <definedName name="test">[29]Summary!#REF!</definedName>
    <definedName name="test1">'[29](e)Summary'!$O$4</definedName>
    <definedName name="TestAdd">"Test RefersTo1"</definedName>
    <definedName name="TICKER">[36]Control!$B$8&amp;" Equity"</definedName>
    <definedName name="tier">'[47]Misc Data'!$E$2:$F$4</definedName>
    <definedName name="TIF">'[49]THE LINK FOR ALL'!$B$54</definedName>
    <definedName name="TIF_CONS00">'[49]THE LINK FOR ALL'!$F$26</definedName>
    <definedName name="TIF_CONS01">'[49]THE LINK FOR ALL'!$G$26</definedName>
    <definedName name="TIF_CONS99">#REF!</definedName>
    <definedName name="tmp" hidden="1">{#N/A,#N/A,FALSE,"earnings"}</definedName>
    <definedName name="TMP_Choice">#REF!</definedName>
    <definedName name="TMP_Data">#REF!</definedName>
    <definedName name="TMP_Header_Banks">#REF!</definedName>
    <definedName name="TMP_Header_FRN">#REF!</definedName>
    <definedName name="TMP_Header_Tier1">#REF!</definedName>
    <definedName name="TMP_Header_Yankee">#REF!</definedName>
    <definedName name="top15_extra">'[127]Top 15'!#REF!</definedName>
    <definedName name="TopTen">#REF!</definedName>
    <definedName name="Total_amort_fore">#REF!</definedName>
    <definedName name="Total_Amortization">[30]NOPAT_VDF!$C$18:$AZ$18</definedName>
    <definedName name="Total_Amortization_fore">#REF!</definedName>
    <definedName name="Total_COS">[30]NOPAT_VDF!$C$9:$AZ$9</definedName>
    <definedName name="Total_COS_fore">#REF!</definedName>
    <definedName name="Total_COS_growth_fore">#REF!</definedName>
    <definedName name="Total_COS_net_DnA_fore">#REF!</definedName>
    <definedName name="Total_debt">'[30]Invested capital_VDF'!$C$61:$AU$61</definedName>
    <definedName name="Total_debt_DCF">[30]DCF_VDF!$C$35:$AZ$35</definedName>
    <definedName name="Total_debt_fore">#REF!</definedName>
    <definedName name="Total_debt_growth_fore">#REF!</definedName>
    <definedName name="Total_Increase_in_EEs_fore">#REF!</definedName>
    <definedName name="Total_Proj_Cap_Exp">[44]ProForma!$A$150:$IV$150</definedName>
    <definedName name="totalConsumerDemandExposure">1</definedName>
    <definedName name="TOTOtherF">[20]Input!$B$415</definedName>
    <definedName name="tr">#REF!</definedName>
    <definedName name="tract">[47]TRACT.TXT!$A$1:$B$580</definedName>
    <definedName name="Traders">#REF!</definedName>
    <definedName name="Traditional">[26]Model!$K$449</definedName>
    <definedName name="trc_CFPSGROWTH5YR" localSheetId="0">#REF!</definedName>
    <definedName name="trc_CFPSGROWTH5YR">#REF!</definedName>
    <definedName name="trc_CFPSGRWPRV5YR">#REF!</definedName>
    <definedName name="trc_CurFY">#REF!</definedName>
    <definedName name="trc_DIVGROWTH5YR">#REF!</definedName>
    <definedName name="trc_DIVGRWPRV5YR">#REF!</definedName>
    <definedName name="trc_DocID">#REF!</definedName>
    <definedName name="trc_EBITDAGROWTH5YR">#REF!</definedName>
    <definedName name="trc_EBITDAGRWPRV5YR">#REF!</definedName>
    <definedName name="trc_EBITNXT5">#REF!</definedName>
    <definedName name="trc_EBITPRV5">#REF!</definedName>
    <definedName name="trc_EPSGRWPRV5YR">#REF!</definedName>
    <definedName name="trc_Flavor">#REF!</definedName>
    <definedName name="trc_NETGROWTH5YR">#REF!</definedName>
    <definedName name="trc_NETGRWPRV5YR">#REF!</definedName>
    <definedName name="trc_QDType">#REF!</definedName>
    <definedName name="trc_RATING">#REF!</definedName>
    <definedName name="trc_ReleaseDate">#REF!</definedName>
    <definedName name="trc_REVGROWTH5YR">#REF!</definedName>
    <definedName name="trc_REVGRWPRV5YR">#REF!</definedName>
    <definedName name="trc_RISK">#REF!</definedName>
    <definedName name="trc_SHARESOUT">#REF!</definedName>
    <definedName name="trc_SHROUTGROWTH5YR">#REF!</definedName>
    <definedName name="trc_SHROUTGRWPRV5YR">#REF!</definedName>
    <definedName name="trc_submitter">#REF!</definedName>
    <definedName name="trc_submittername">#REF!</definedName>
    <definedName name="trc_TARGET">#REF!</definedName>
    <definedName name="trc_TemplateID">#REF!</definedName>
    <definedName name="trc_TEV">#REF!</definedName>
    <definedName name="trc_Ticker">#REF!</definedName>
    <definedName name="trc_Version">#REF!</definedName>
    <definedName name="trc_XLS_DATASHEET_ProtectDate" localSheetId="0">37062.4114467593</definedName>
    <definedName name="trc_XLS_DATASHEET_ProtectDate">37680.6464583333</definedName>
    <definedName name="trc_Y1" localSheetId="0">#REF!</definedName>
    <definedName name="trc_Y1">#REF!</definedName>
    <definedName name="trc_Y1COMMONEQ">#REF!</definedName>
    <definedName name="trc_Y1DILSHR">#REF!</definedName>
    <definedName name="trc_Y1DPS">#REF!</definedName>
    <definedName name="trc_Y1EBIT">#REF!</definedName>
    <definedName name="trc_Y1EBITDA">#REF!</definedName>
    <definedName name="trc_Y1FREE_CFPS">#REF!</definedName>
    <definedName name="trc_Y1LTDEBT">#REF!</definedName>
    <definedName name="trc_Y1NETINC">#REF!</definedName>
    <definedName name="trc_Y1Q1">#REF!</definedName>
    <definedName name="trc_Y1Q2">#REF!</definedName>
    <definedName name="trc_Y1Q3">#REF!</definedName>
    <definedName name="trc_Y1Q4">#REF!</definedName>
    <definedName name="trc_Y1REVENUE">#REF!</definedName>
    <definedName name="trc_Y1ROE">#REF!</definedName>
    <definedName name="trc_Y1TAXRATE">#REF!</definedName>
    <definedName name="trc_Y1Total">#REF!</definedName>
    <definedName name="trc_Y2">#REF!</definedName>
    <definedName name="trc_Y2COMMONEQ">#REF!</definedName>
    <definedName name="trc_Y2DILSHR">#REF!</definedName>
    <definedName name="trc_Y2DPS">#REF!</definedName>
    <definedName name="trc_Y2EBIT">#REF!</definedName>
    <definedName name="trc_Y2EBITDA">#REF!</definedName>
    <definedName name="trc_Y2FREE_CFPS">#REF!</definedName>
    <definedName name="trc_Y2LTDEBT">#REF!</definedName>
    <definedName name="trc_Y2NETINC">#REF!</definedName>
    <definedName name="trc_Y2Q1">#REF!</definedName>
    <definedName name="trc_Y2Q2">#REF!</definedName>
    <definedName name="trc_Y2Q3">#REF!</definedName>
    <definedName name="trc_Y2Q4">#REF!</definedName>
    <definedName name="trc_Y2REVENUE">#REF!</definedName>
    <definedName name="trc_Y2ROE">#REF!</definedName>
    <definedName name="trc_Y2TAXRATE">#REF!</definedName>
    <definedName name="trc_Y2Total">#REF!</definedName>
    <definedName name="trc_Y3">#REF!</definedName>
    <definedName name="trc_Y3COMMONEQ">#REF!</definedName>
    <definedName name="trc_Y3DILSHR">#REF!</definedName>
    <definedName name="trc_Y3DPS">#REF!</definedName>
    <definedName name="trc_Y3EBIT">#REF!</definedName>
    <definedName name="trc_Y3EBITDA">#REF!</definedName>
    <definedName name="trc_Y3FREE_CFPS">#REF!</definedName>
    <definedName name="trc_Y3LTDEBT">#REF!</definedName>
    <definedName name="trc_Y3NETINC">#REF!</definedName>
    <definedName name="trc_Y3Q1">#REF!</definedName>
    <definedName name="trc_Y3Q2">#REF!</definedName>
    <definedName name="trc_Y3Q3">#REF!</definedName>
    <definedName name="trc_Y3Q4">#REF!</definedName>
    <definedName name="trc_Y3REVENUE">#REF!</definedName>
    <definedName name="trc_Y3ROE">#REF!</definedName>
    <definedName name="trc_Y3TAXRATE">#REF!</definedName>
    <definedName name="trc_Y3Total">#REF!</definedName>
    <definedName name="trc_Y4">#REF!</definedName>
    <definedName name="trc_Y4COMMONEQ">#REF!</definedName>
    <definedName name="trc_Y4DILSHR">#REF!</definedName>
    <definedName name="trc_Y4DPS">#REF!</definedName>
    <definedName name="trc_Y4EBIT">#REF!</definedName>
    <definedName name="trc_Y4EBITDA">#REF!</definedName>
    <definedName name="trc_Y4FREE_CFPS">#REF!</definedName>
    <definedName name="trc_Y4LTDEBT">#REF!</definedName>
    <definedName name="trc_Y4NETINC">#REF!</definedName>
    <definedName name="trc_Y4Q1">#REF!</definedName>
    <definedName name="trc_Y4Q2">#REF!</definedName>
    <definedName name="trc_Y4Q3">#REF!</definedName>
    <definedName name="trc_Y4Q4">#REF!</definedName>
    <definedName name="trc_Y4REVENUE">#REF!</definedName>
    <definedName name="trc_Y4ROE">#REF!</definedName>
    <definedName name="trc_Y4TAXRATE">#REF!</definedName>
    <definedName name="trc_Y4Total">#REF!</definedName>
    <definedName name="Treasury_Bonds">#REF!</definedName>
    <definedName name="Treasury_Risk">#REF!</definedName>
    <definedName name="Treasury_Yields">#REF!</definedName>
    <definedName name="trl_extra">#REF!</definedName>
    <definedName name="truck_graphs">[25]NUMX.XLS!$BY$30:$CE$83</definedName>
    <definedName name="U.S._Offshore_Drillers__Valuation_Comparisons">[45]OFFVALU!$B$3:$O$58</definedName>
    <definedName name="Uctotal">'[84]companies pivots'!$BQ$14</definedName>
    <definedName name="UctotalP">'[84]companies pivots'!$BT$14</definedName>
    <definedName name="uk">0.05</definedName>
    <definedName name="Ulcer_Market">[64]LLY!#REF!</definedName>
    <definedName name="unit">'[32]IGT MODEL'!#REF!</definedName>
    <definedName name="unitdavid">'[32]IGT MODEL'!#REF!</definedName>
    <definedName name="univ">[128]valuation.graph!$A$1:$AH$15</definedName>
    <definedName name="UpscaleAPP">'[63]top cos 5c pivots'!$AP$9+'[63]top cos 5c pivots'!$AQ$9</definedName>
    <definedName name="UpscaleAPR">'[63]top cos 5c pivots'!$AP$16+'[63]top cos 5c pivots'!$AQ$16</definedName>
    <definedName name="UpscaleEPP">'[63]top cos 5c pivots'!$AR$9</definedName>
    <definedName name="UpscaleEPR">'[63]top cos 5c pivots'!$AR$16</definedName>
    <definedName name="UpscaleIPP">'[63]top cos 5c pivots'!$AQ$9</definedName>
    <definedName name="UpscaleIPR">'[63]top cos 5c pivots'!$AQ$16</definedName>
    <definedName name="UpscaleUCP">'[63]top cos 5c pivots'!$AP$9</definedName>
    <definedName name="UpscaleUCR">'[63]top cos 5c pivots'!$AP$16</definedName>
    <definedName name="UpUpAPP">'[63]top cos 5c pivots'!$AP$8+'[63]top cos 5c pivots'!$AQ$8</definedName>
    <definedName name="UpUpAPR">'[63]top cos 5c pivots'!$AP$15+'[63]top cos 5c pivots'!$AQ$15</definedName>
    <definedName name="UpUpEPP">'[63]top cos 5c pivots'!$AR$8</definedName>
    <definedName name="UpUpEPR">'[63]top cos 5c pivots'!$AR$15</definedName>
    <definedName name="UpUpIPP">'[63]top cos 5c pivots'!$AQ$8</definedName>
    <definedName name="UpUpIPR">'[63]top cos 5c pivots'!$AQ$15</definedName>
    <definedName name="UpUpUCP">'[63]top cos 5c pivots'!$AP$8</definedName>
    <definedName name="UpUpUCR">'[63]top cos 5c pivots'!$AP$15</definedName>
    <definedName name="USS">[43]RAINSHT!#REF!</definedName>
    <definedName name="Variable">'[53]Life Insurance'!$T$221</definedName>
    <definedName name="VariableUniversal">[26]Model!$K$520</definedName>
    <definedName name="volume">#REF!</definedName>
    <definedName name="w" localSheetId="0" hidden="1">{"EPS_one",#N/A,FALSE,"96-02 EPS";"EPS_two",#N/A,FALSE,"96-02 EPS";"Newrev_one",#N/A,FALSE,"New rev 97 - 02";"Newrev_two",#N/A,FALSE,"New rev 97 - 02";"cable_one",#N/A,FALSE,"cable 96-02";"cable_two",#N/A,FALSE,"cable 96-02";"data.page",#N/A,FALSE,"Data_page"}</definedName>
    <definedName name="w">#REF!</definedName>
    <definedName name="Wacc">#REF!</definedName>
    <definedName name="WACC_fore">[30]WACC_VDF!$J$21</definedName>
    <definedName name="WACC_P">'[30]Income Statement_VDF'!$R$44</definedName>
    <definedName name="WACC_P_1">[30]WACC_VDF!$U$23</definedName>
    <definedName name="WACC_P_8">[30]WACC_VDF!#REF!</definedName>
    <definedName name="web">#REF!</definedName>
    <definedName name="WEFDDSF" hidden="1">{"FUZ_INC_A",#N/A,FALSE,"NOBE";"FUZ_INC_Q",#N/A,FALSE,"NOBE";"FUZ_BAL_A",#N/A,FALSE,"NOBE";"FUZ_CASH_A",#N/A,FALSE,"NOBE";"FUZ_PROD_A",#N/A,FALSE,"NOBE"}</definedName>
    <definedName name="WithAPP">'[63]top cos 5c pivots'!$AP$10+'[63]top cos 5c pivots'!$AQ$10</definedName>
    <definedName name="WithAPR">'[63]top cos 5c pivots'!$AQ$17+'[63]top cos 5c pivots'!$AP$17</definedName>
    <definedName name="WithEPP">'[63]top cos 5c pivots'!$AR$10</definedName>
    <definedName name="WithEPR">'[63]top cos 5c pivots'!$AR$17</definedName>
    <definedName name="WithIPP">'[63]top cos 5c pivots'!$AQ$10</definedName>
    <definedName name="WithIPR">'[63]top cos 5c pivots'!$AQ$17</definedName>
    <definedName name="WithUCP">'[63]top cos 5c pivots'!$AP$10</definedName>
    <definedName name="WithUCR">'[63]top cos 5c pivots'!$AP$17</definedName>
    <definedName name="WMS">#REF!</definedName>
    <definedName name="WMS_Rating">[31]Industry!$D$20</definedName>
    <definedName name="WMS_Target">[31]Industry!$C$20</definedName>
    <definedName name="WOAPP">'[63]top cos 5c pivots'!$AP$11+'[63]top cos 5c pivots'!$AQ$11</definedName>
    <definedName name="WOAPR">'[63]top cos 5c pivots'!$AP$18+'[63]top cos 5c pivots'!$AQ$18</definedName>
    <definedName name="WOEPP">'[63]top cos 5c pivots'!$AR$11</definedName>
    <definedName name="WOEPR">'[63]top cos 5c pivots'!$AR$18</definedName>
    <definedName name="WOIPP">'[63]top cos 5c pivots'!$AQ$11</definedName>
    <definedName name="WOIPR">'[63]top cos 5c pivots'!$AQ$18</definedName>
    <definedName name="workcap">#REF!</definedName>
    <definedName name="WOUCP">'[63]top cos 5c pivots'!$AP$11</definedName>
    <definedName name="WOUCR">'[63]top cos 5c pivots'!$AP$18</definedName>
    <definedName name="wrn.____EVERYTHING____." hidden="1">{"PRICES",#N/A,TRUE,"PRICES";"RESULTS",#N/A,TRUE,"RESULTS";"SECTOR1",#N/A,TRUE,"SECTOR 1";"SECTOR2",#N/A,TRUE,"SECTOR 2";"SECTOR3",#N/A,TRUE,"SECTOR 3";"SECTOR4",#N/A,TRUE,"SECTOR 4";"Sector 5",#N/A,TRUE,"SECTOR 5";"Normalized_Potential",#N/A,TRUE,"SECTOR 5";"SECTOR6",#N/A,TRUE,"SECTOR 6";"KEY_OPER",#N/A,TRUE,"BARDON";"P_AND_L",#N/A,TRUE,"BARDON";"Val_Cash",#N/A,TRUE,"BARDON";"ANALYSIS",#N/A,TRUE,"BARDON";"FRONT",#N/A,TRUE,"BCI";"PRO_LOSS",#N/A,TRUE,"BCI";"CASH_VAL",#N/A,TRUE,"BCI";"CASH_VAL",#N/A,TRUE,"BPB";"ANAYLSIS",#N/A,TRUE,"BPB";"PROF_LOSS",#N/A,TRUE,"BPB";"BUILDING",#N/A,TRUE,"BPB";"GEOGRAPHY",#N/A,TRUE,"BPB";"FRONT",#N/A,TRUE,"CARADON";"PROF_LOSS",#N/A,TRUE,"CARADON";"CASHFLOW",#N/A,TRUE,"CARADON";"OPER_SUMMURY",#N/A,TRUE,"CARADON";"ANALYSIS",#N/A,TRUE,"CARADON";"FRONT",#N/A,TRUE,"CRH";"P_AND_L",#N/A,TRUE,"CRH";"CASH_AND_VAL",#N/A,TRUE,"CRH";"FRONT",#N/A,TRUE,"GRAHAM";"P_AND_L",#N/A,TRUE,"GRAHAM";"CASH_AND_VAL",#N/A,TRUE,"GRAHAM";"HISTORIC_PERFORMANCE",#N/A,TRUE,"GRAHAM";"FRONT",#N/A,TRUE,"HEPWORTH";"P_AND_L",#N/A,TRUE,"HEPWORTH";"CASH_AND_VAL",#N/A,TRUE,"HEPWORTH";"MODELS",#N/A,TRUE,"HEPWORTH";"FRONT",#N/A,TRUE,"HEYWOOD W";"P_AND_L",#N/A,TRUE,"HEYWOOD W";"CASH_AND_VAL",#N/A,TRUE,"HEYWOOD W";"UK_BRICKS",#N/A,TRUE,"IBSTOCK";"FRONT",#N/A,TRUE,"MARLEY";"P_AND_L",#N/A,TRUE,"MARLEY";"CASH_AND_VAL",#N/A,TRUE,"MARLEY";"FRONT",#N/A,TRUE,"MEYER";"P AND L",#N/A,TRUE,"MEYER";"CASH AND VAL",#N/A,TRUE,"MEYER";"FRONT",#N/A,TRUE,"NORCROS";"FRONT",#N/A,TRUE,"NORCROS";"CASH_AND_VAL",#N/A,TRUE,"NORCROS";"FRONT",#N/A,TRUE,"PILKINGTON";"P_AND_L",#N/A,TRUE,"PILKINGTON";#N/A,#N/A,TRUE,"PILKINGTON";"FRONT",#N/A,TRUE,"REDLAND";"P_AND_L",#N/A,TRUE,"REDLAND";"CASH_AND_VAL",#N/A,TRUE,"REDLAND";"OPERATIONAL_FORCASTS",#N/A,TRUE,"REDLAND";"MODELS",#N/A,TRUE,"REDLAND";"P_AND_L",#N/A,TRUE,"RMC";"CASH_AND_VAL",#N/A,TRUE,"RMC";"HALF_YEAR",#N/A,TRUE,"RMC";"P_AND_L",#N/A,TRUE,"RUGBY";"CASH_AND_VAL",#N/A,TRUE,"RUGBY";"P_AND_L",#N/A,TRUE,"A. RUSSELL";"CASH_AND_VAL",#N/A,TRUE,"A. RUSSELL";"FRONT",#N/A,TRUE,"SPRING RAM";"P_AND_L",#N/A,TRUE,"SPRING RAM";"CASH_AND_VAL",#N/A,TRUE,"SPRING RAM";"FRONT",#N/A,TRUE,"TARMAC";"P_AND_L",#N/A,TRUE,"TARMAC";"CASH_AND_VAL",#N/A,TRUE,"TARMAC";"MODELS",#N/A,TRUE,"TARMAC";"FRONT",#N/A,TRUE,"TRAVIS PERK";"P_AND_L",#N/A,TRUE,"TRAVIS PERK";"CASH_AND_VAL",#N/A,TRUE,"TRAVIS PERK";"P AND L",#N/A,TRUE,"WOLSELEY";"CASH AND VAL",#N/A,TRUE,"WOLSELEY";"FRONT",#N/A,TRUE,"IBSTOCK - NEW";"P_AND_L",#N/A,TRUE,"IBSTOCK - NEW";"UK_BRICKS",#N/A,TRUE,"IBSTOCK - NEW";"CASH_AND_VAL",#N/A,TRUE,"IBSTOCK - NEW"}</definedName>
    <definedName name="wrn.____OVERVIEW____." hidden="1">{"PRICES",#N/A,TRUE,"PRICES";"RESULTS",#N/A,TRUE,"RESULTS";"SECTOR1",#N/A,TRUE,"SECTOR 1";"SECTOR2",#N/A,TRUE,"SECTOR 2";"SECTOR3",#N/A,TRUE,"SECTOR 3";"SECTOR4",#N/A,TRUE,"SECTOR 4";"Sector 5",#N/A,TRUE,"SECTOR 5";"Normalized_Potential",#N/A,TRUE,"SECTOR 5";"SECTOR6",#N/A,TRUE,"SECTOR 6";"TOP",#N/A,TRUE,"PERATIOS";"BOTTOM",#N/A,TRUE,"PERATIOS"}</definedName>
    <definedName name="wrn.2._.pagers." hidden="1">{"Cover",#N/A,FALSE,"Cover";"Summary",#N/A,FALSE,"Summarpage"}</definedName>
    <definedName name="wrn.96_model." hidden="1">{"qtr_is_94_95",#N/A,FALSE,"MA";"ann_is_96",#N/A,FALSE,"MA";"seg_sales_96",#N/A,FALSE,"MA";"seg_inc_96",#N/A,FALSE,"MA";"divisional_91_95",#N/A,FALSE,"MA";"ann_bs_96",#N/A,FALSE,"MA";"ann_cf_96",#N/A,FALSE,"MA"}</definedName>
    <definedName name="wrn.abc." hidden="1">{"sensit",#N/A,FALSE,"WOLSELEY"}</definedName>
    <definedName name="wrn.Accounts." hidden="1">{"turnover",#N/A,FALSE;"profits",#N/A,FALSE;"cash",#N/A,FALSE}</definedName>
    <definedName name="wrn.Advertising._.Acum._.Julio._.00." hidden="1">{#N/A,#N/A,FALSE,"Acum Julio - 00"}</definedName>
    <definedName name="wrn.AGG.._.IND.." hidden="1">{"P_AND_L (AGG. IND.) (25)",#N/A,TRUE,"AGG. IND.";"Val_Cash (AGG. IND.) (25)",#N/A,TRUE,"AGG. IND.";"KEY_OPER (AGG. IND.) (25)",#N/A,TRUE,"AGG. IND.";"COMBINED (AGG. IND.) (25)",#N/A,TRUE,"AGG. IND.";"ANALYSIS (AGG. IND.) (25)",#N/A,TRUE,"AGG. IND."}</definedName>
    <definedName name="wrn.Aging._.and._.Trend._.Analysis." hidden="1">{#N/A,#N/A,FALSE,"Aging Summary";#N/A,#N/A,FALSE,"Ratio Analysis";#N/A,#N/A,FALSE,"Test 120 Day Accts";#N/A,#N/A,FALSE,"Tickmarks"}</definedName>
    <definedName name="wrn.all" hidden="1">{#N/A,#N/A,FALSE,"HEADCOUNTS";#N/A,#N/A,FALSE,"month to month";#N/A,#N/A,FALSE,"headcount allocations";#N/A,#N/A,FALSE,"FACILITIES";#N/A,#N/A,FALSE,"HUMAN RESOURCES";#N/A,#N/A,FALSE,"FINANCE";#N/A,#N/A,FALSE,"TRAINING";#N/A,#N/A,FALSE,"NETWORK"}</definedName>
    <definedName name="wrn.all." hidden="1">{#N/A,#N/A,FALSE,"HEADCOUNTS";#N/A,#N/A,FALSE,"month to month";#N/A,#N/A,FALSE,"headcount allocations";#N/A,#N/A,FALSE,"FACILITIES";#N/A,#N/A,FALSE,"HUMAN RESOURCES";#N/A,#N/A,FALSE,"FINANCE";#N/A,#N/A,FALSE,"TRAINING";#N/A,#N/A,FALSE,"NETWORK"}</definedName>
    <definedName name="wrn.allpages." hidden="1">{#N/A,#N/A,TRUE,"Historicals";#N/A,#N/A,TRUE,"Charts";#N/A,#N/A,TRUE,"Forecasts"}</definedName>
    <definedName name="wrn.annual" hidden="1">{#N/A,#N/A,FALSE,"earnings"}</definedName>
    <definedName name="wrn.Annual._.Income._.Statement." hidden="1">{#N/A,#N/A,FALSE,"earnings"}</definedName>
    <definedName name="wrn.Annual._.revenue._.model." hidden="1">{#N/A,#N/A,FALSE,"earnings"}</definedName>
    <definedName name="wrn.backup." hidden="1">{#N/A,#N/A,FALSE,"time  $ alloc AIS";#N/A,#N/A,FALSE,"detail time AIS";#N/A,#N/A,FALSE,"time $ alloc CONT";#N/A,#N/A,FALSE,"detail time CONT"}</definedName>
    <definedName name="wrn.Balance_THC." hidden="1">{"Balance_THC",#N/A,FALSE,"Tenet"}</definedName>
    <definedName name="wrn.BasicModel." hidden="1">{"MacroCo",#N/A,FALSE,"masmode";"IncomeS",#N/A,FALSE,"masmode";"BalanceS",#N/A,FALSE,"masmode";"CashF",#N/A,FALSE,"masmode";"Ratios",#N/A,FALSE,"masmode";"DebtFC",#N/A,FALSE,"masmode"}</definedName>
    <definedName name="wrn.BCI." hidden="1">{"FRONT (BCI) (25)",#N/A,TRUE,"BCI";"PRO_LOSS (BCI) (23)",#N/A,TRUE,"BCI";"CASH_VAL (BCI) (25)",#N/A,TRUE,"BCI";"CASHMODEL (BCI) (25)",#N/A,TRUE,"BCI";"MODELS1 (BCI) (25)",#N/A,TRUE,"BCI";"MODELS2 (BCI) (25)",#N/A,TRUE,"BCI";"MODELS3 (BCI) (25)",#N/A,TRUE,"BCI";"IND VALUE (BCI) (25)",#N/A,TRUE,"BCI"}</definedName>
    <definedName name="wrn.BPB." hidden="1">{"PROF_LOSS (BPB) (25)",#N/A,TRUE,"BPB";"PROF_LOSS (BPB) (23)",#N/A,TRUE,"BPB";"CASH_VAL (BPB) (25)",#N/A,TRUE,"BPB";"ANAYLSIS (BPB) (25)",#N/A,TRUE,"BPB";"GEOGRAPHY (BPB) (25)",#N/A,TRUE,"BPB";"BUILDING (BPB) (25)",#N/A,TRUE,"BPB"}</definedName>
    <definedName name="wrn.BRASS." hidden="1">{"BRASS P AND L",#N/A,FALSE,"REDLAND";"BRASS BALANCE",#N/A,FALSE,"REDLAND";"BRASS TCE",#N/A,FALSE,"REDLAND";"GERMAN STATS",#N/A,FALSE,"REDLAND"}</definedName>
    <definedName name="wrn.BUILDING._.VALUE." hidden="1">{"BUILD VALUE 1",#N/A,FALSE,"VALUE";"BUILD VALUE 2",#N/A,FALSE,"VALUE";"BUILD VALUE 3",#N/A,FALSE,"VALUE";"BUILD VALUE 4",#N/A,FALSE,"VALUE";"BUILD VALUE 5",#N/A,FALSE,"VALUE";"BUILD VALUE 6",#N/A,FALSE,"VALUE";"BUILD VALUE 7",#N/A,FALSE,"VALUE";"BUILD VALUE 8",#N/A,FALSE,"VALUE";"BUILD VALUE 9",#N/A,FALSE,"VALUE";"BUILD VALUE 10",#N/A,FALSE,"VALUE"}</definedName>
    <definedName name="wrn.CARADON." hidden="1">{"FRONT (CARADON) (23)",#N/A,TRUE,"CARADON";"PROF_LOSS (CARADON) (23)",#N/A,TRUE,"CARADON";"CASHFLOW (CARADON) (23)",#N/A,TRUE,"CARADON";"ANALYSIS (CARADON) (23)",#N/A,TRUE,"CARADON";"RECONCILIATION (CARADON) (23)",#N/A,TRUE,"CARADON";"OPER_SUMMURY (CARADON) (23)",#N/A,TRUE,"CARADON"}</definedName>
    <definedName name="wrn.CHART2._.detail." hidden="1">{#N/A,#N/A,FALSE,"Chart 2 by Prop Type"}</definedName>
    <definedName name="wrn.Chuckie._.Boyz._.Masterfukinpiece." hidden="1">{#N/A,#N/A,FALSE,"Networking";#N/A,#N/A,FALSE,"Net. Graphs";#N/A,#N/A,FALSE,"Services";#N/A,#N/A,FALSE,"Serv. Grpahs"}</definedName>
    <definedName name="wrn.Client._.cfbs." hidden="1">{"client cfbs",#N/A,FALSE,"Client"}</definedName>
    <definedName name="wrn.Client._.is." hidden="1">{"Client is",#N/A,FALSE,"Client"}</definedName>
    <definedName name="wrn.Client._.stats." hidden="1">{"Client stats",#N/A,FALSE,"Client"}</definedName>
    <definedName name="wrn.cns" hidden="1">{"Annual",#N/A,FALSE,"FTS";"Divisional",#N/A,FALSE,"FTS";"Balance Sheet",#N/A,FALSE,"FTS";"Funds Flow",#N/A,FALSE,"FTS";"Quarterly Earnings",#N/A,FALSE,"FTS";"Quarterly Margins",#N/A,FALSE,"FTS";"Ratio Analysis",#N/A,FALSE,"FTS";"Q Sales",#N/A,FALSE,"FTS";"Q EBIT",#N/A,FALSE,"FTS";"Unit Analysis",#N/A,FALSE,"FTS";"Inventory Analysis",#N/A,FALSE,"FTS";"Valuation",#N/A,FALSE,"FTS";"Matrix",#N/A,FALSE,"FTS"}</definedName>
    <definedName name="wrn.Comcast." hidden="1">{"EPS_one",#N/A,FALSE,"96-02 EPS";"EPS_two",#N/A,FALSE,"96-02 EPS";"Newrev_one",#N/A,FALSE,"New rev 97 - 02";"Newrev_two",#N/A,FALSE,"New rev 97 - 02";"cable_one",#N/A,FALSE,"cable 96-02";"cable_two",#N/A,FALSE,"cable 96-02";"data.page",#N/A,FALSE,"Data_page"}</definedName>
    <definedName name="wrn.Complete."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_.Report."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Report."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RH." hidden="1">{"FRONT (CRH) (25)",#N/A,TRUE,"CRH";"P_AND_L (CRH) (25)",#N/A,TRUE,"CRH";"CASH_AND_VAL (CRH) (25)",#N/A,TRUE,"CRH";"CASHFLOW (CRH) (25)",#N/A,TRUE,"CRH";"MODELS (CRH) (25)",#N/A,TRUE,"CRH"}</definedName>
    <definedName name="wrn.daily." hidden="1">{#N/A,#N/A,FALSE,"Major v. River";#N/A,#N/A,FALSE,"Large Operators";#N/A,#N/A,FALSE,"Smaller Operators";#N/A,#N/A,FALSE,"Equip. Supply";#N/A,#N/A,FALSE,"EBITDA"}</definedName>
    <definedName name="wrn.DG" hidden="1">{"Annual",#N/A,FALSE,"FTS";"Divisional",#N/A,FALSE,"FTS";"Balance Sheet",#N/A,FALSE,"FTS";"Funds Flow",#N/A,FALSE,"FTS";"Quarterly Earnings",#N/A,FALSE,"FTS";"Quarterly Margins",#N/A,FALSE,"FTS";"Ratio Analysis",#N/A,FALSE,"FTS";"Q Sales",#N/A,FALSE,"FTS";"Q EBIT",#N/A,FALSE,"FTS";"Unit Analysis",#N/A,FALSE,"FTS";"Inventory Analysis",#N/A,FALSE,"FTS";"Valuation",#N/A,FALSE,"FTS";"Matrix",#N/A,FALSE,"FTS"}</definedName>
    <definedName name="wrn.DG." hidden="1">{"Annual",#N/A,FALSE,"PETC";"Balance Sheet",#N/A,FALSE,"PETC";"Funds Flow",#N/A,FALSE,"PETC";"Quarterly Earnings",#N/A,FALSE,"PETC";"Quarterly Margins",#N/A,FALSE,"PETC";"Ratio Analysis",#N/A,FALSE,"PETC";"Q Sales",#N/A,FALSE,"PETC";"Unit Analysis",#N/A,FALSE,"PETC";"Inventory Analysis",#N/A,FALSE,"PETC";"Valuation",#N/A,FALSE,"PETC";"Comps",#N/A,FALSE,"PETC"}</definedName>
    <definedName name="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TIRE." hidden="1">{"INCOMEannual1",#N/A,FALSE,"income";"INCOMEannual2",#N/A,FALSE,"income";"INCOMEquarterly1",#N/A,FALSE,"income";"INCOMEquarterly2",#N/A,FALSE,"income";"INCOMEcalendarized1",#N/A,FALSE,"income";"INCOMEcalendarized2",#N/A,FALSE,"income";"QTRSTATISTICSstatistics",#N/A,FALSE,"Qtr statistics";"YEARSTATISTICSstatistics",#N/A,FALSE,"Yr statistics";"CASHFLOWcashflow",#N/A,FALSE,"cash flow";"DEBTdebt1",#N/A,FALSE,"debt";"DEBTdebt2",#N/A,FALSE,"debt";"VALUATIONprice",#N/A,FALSE,"valuation"}</definedName>
    <definedName name="wrn.entireINCOME." hidden="1">{"INCOMEannual2",#N/A,FALSE,"income";"INCOMEannual1",#N/A,FALSE,"income";"INCOMEquarterly1",#N/A,FALSE,"income";"INCOMEquarterly2",#N/A,FALSE,"income";"INCOMEcalendarized1",#N/A,FALSE,"income"}</definedName>
    <definedName name="wrn.ENTRIES." hidden="1">{#N/A,#N/A,FALSE,"FINANCE";#N/A,#N/A,FALSE,"HUMAN RESOURCES";#N/A,#N/A,FALSE,"FACILITIES";#N/A,#N/A,FALSE,"NETWORK"}</definedName>
    <definedName name="wrn.Final." hidden="1">{#N/A,#N/A,FALSE,"Total Sum";#N/A,#N/A,FALSE,"NA Summary";#N/A,#N/A,FALSE,"Junior Summary";#N/A,#N/A,FALSE,"FMC -NA Summary";#N/A,#N/A,FALSE,"Pacif Summary";#N/A,#N/A,FALSE,"NAV";#N/A,#N/A,FALSE,"Asset Summary";#N/A,#N/A,FALSE,"Bulawan";#N/A,#N/A,FALSE,"Sibutad";#N/A,#N/A,FALSE,"Prodn &amp; Reserves"}</definedName>
    <definedName name="wrn.finstat." hidden="1">{"ass",#N/A,FALSE,"finstat";"inc",#N/A,FALSE,"finstat";"bs",#N/A,FALSE,"finstat";"cf",#N/A,FALSE,"finstat";"ratios",#N/A,FALSE,"finstat"}</definedName>
    <definedName name="wrn.Forecast._.Q4a" hidden="1">{"cover a","4q",FALSE,"Cover";"Op Earn Mgd Q4",#N/A,FALSE,"Op-Earn (Mng)";"Op Earn Rpt Q4",#N/A,FALSE,"Op-Earn (Rpt)";"Loans",#N/A,FALSE,"Loans";"Credit Costs",#N/A,FALSE,"CCosts";"Net Interest Margin",#N/A,FALSE,"Margin";"Nonint Income",#N/A,FALSE,"NonII";"Nonint Exp",#N/A,FALSE,"NonIE";"Valuation",#N/A,FALSE,"Valuation"}</definedName>
    <definedName name="wrn.FTS." hidden="1">{"Annual",#N/A,FALSE,"FTS";"Divisional",#N/A,FALSE,"FTS";"Balance Sheet",#N/A,FALSE,"FTS";"Funds Flow",#N/A,FALSE,"FTS";"Quarterly Earnings",#N/A,FALSE,"FTS";"Quarterly Margins",#N/A,FALSE,"FTS";"Ratio Analysis",#N/A,FALSE,"FTS";"Q Sales",#N/A,FALSE,"FTS";"Q EBIT",#N/A,FALSE,"FTS";"Unit Analysis",#N/A,FALSE,"FTS";"Inventory Analysis",#N/A,FALSE,"FTS";"Valuation",#N/A,FALSE,"FTS";"Matrix",#N/A,FALSE,"FTS"}</definedName>
    <definedName name="wrn.full." hidden="1">{"balance",#N/A,FALSE,"Remedy-model";"calendar quarterly",#N/A,FALSE,"Remedy-model";"cash flow",#N/A,FALSE,"Remedy-model";"fiscal quarter",#N/A,FALSE,"Remedy-model";"income",#N/A,FALSE,"Remedy-model";"percentage",#N/A,FALSE,"Remedy-model"}</definedName>
    <definedName name="wrn.Full._.Report." hidden="1">{"Assumptions",#N/A,FALSE,"Sheet1";"Main Report",#N/A,FALSE,"Sheet1";"Results",#N/A,FALSE,"Sheet1";"Advances",#N/A,FALSE,"Sheet1"}</definedName>
    <definedName name="wrn.FUZ_REP." hidden="1">{"FUZ_INC_A",#N/A,FALSE,"NOBE";"FUZ_INC_Q",#N/A,FALSE,"NOBE";"FUZ_BAL_A",#N/A,FALSE,"NOBE";"FUZ_CASH_A",#N/A,FALSE,"NOBE";"FUZ_PROD_A",#N/A,FALSE,"NOBE"}</definedName>
    <definedName name="wrn.fuz_report." hidden="1">{"fuz_inc_a",#N/A,FALSE,"BKS";"fuz_inc_q",#N/A,FALSE,"BKS";"fuz_bal_a",#N/A,FALSE,"BKS";"fuz_cash_a",#N/A,FALSE,"BKS";"fuz_prod_a",#N/A,FALSE,"BKS";"fuz_div_a",#N/A,FALSE,"BKS";"fuz_div2_a",#N/A,FALSE,"BKS"}</definedName>
    <definedName name="wrn.GRAHAM." hidden="1">{"FRONT (GRAHAM) (30)",#N/A,TRUE,"GRAHAM";"P_AND_L (GRAHAM) (30)",#N/A,TRUE,"GRAHAM";"CASH_AND_VAL (GRAHAM) (30)",#N/A,TRUE,"GRAHAM";"HISTORIC PERFORMANCE (GRAHAM) (30)",#N/A,TRUE,"GRAHAM"}</definedName>
    <definedName name="wrn.HANSON." hidden="1">{"P AND L (HANSON) (25)",#N/A,TRUE,"HANSON";"CASHFLOW (HANSON) (25)",#N/A,TRUE,"HANSON";"VALUATION (HANSON) (23)",#N/A,TRUE,"HANSON";"MODELS (HANSON) (25)",#N/A,TRUE,"HANSON";"CASHMODEL (HANSON) (25)",#N/A,TRUE,"HANSON";"BRICKS (HANSON) (25)",#N/A,TRUE,"HANSON";"ARC (HANSON) (25)",#N/A,TRUE,"HANSON";"VALUATION (HANSON) (25)",#N/A,TRUE,"HANSON"}</definedName>
    <definedName name="wrn.HEAVYSIDE." hidden="1">{#N/A,#N/A,FALSE,"HEAVYSIDE";"HEAVYSIDE",#N/A,FALSE,"HEAVYSIDE";"HEAVYSIDE2",#N/A,FALSE,"HEAVYSIDE"}</definedName>
    <definedName name="wrn.HEPWORTH." hidden="1">{"FRONT (HEPWORTH) (25)",#N/A,TRUE,"HEPWORTH";"P_AND_L (HEPWORTH) (25)",#N/A,TRUE,"HEPWORTH";"CASH_AND_VAL (HEPWORTH) (25)",#N/A,TRUE,"HEPWORTH";"MODELS (HEPWORTH) (25)",#N/A,TRUE,"HEPWORTH"}</definedName>
    <definedName name="wrn.HEYWOOD." hidden="1">{"FRONT (HEYWOOD W) (25)",#N/A,TRUE,"HEYWOOD W";"P_AND_L (HEYWOOD W) (25)",#N/A,TRUE,"HEYWOOD W";"CASH_AND_VAL (HEYWOOD W) (25)",#N/A,TRUE,"HEYWOOD W";"USAMODEL (HEYWOOD W) (25)",#N/A,TRUE,"HEYWOOD W";"UKMODEL (HEYWOOD W) (25)",#N/A,TRUE,"HEYWOOD W"}</definedName>
    <definedName name="wrn.IBSTOCK." hidden="1">{"FRONT",#N/A,FALSE,"IBSTOCK - NEW";"P_AND_L",#N/A,FALSE,"IBSTOCK - NEW";"UK_BRICKS",#N/A,FALSE,"IBSTOCK - NEW";"CASH_AND_VAL",#N/A,FALSE,"IBSTOCK - NEW"}</definedName>
    <definedName name="wrn.IGT._.Model." hidden="1">{#N/A,#N/A,TRUE,"IGT";#N/A,#N/A,TRUE,"IGTSLOT"}</definedName>
    <definedName name="wrn.inc." hidden="1">{"inc",#N/A,FALSE,"finstat"}</definedName>
    <definedName name="wrn.INCOME." hidden="1">{"INCOMEquarterly1",#N/A,TRUE,"income";"INCOMEquarterly2",#N/A,TRUE,"income"}</definedName>
    <definedName name="wrn.Income._.Stmt." hidden="1">{"Income Stmt",#N/A,FALSE,"Model"}</definedName>
    <definedName name="wrn.Industry.xls." hidden="1">{#N/A,#N/A,FALSE,"Earnings";#N/A,#N/A,FALSE,"Overview";#N/A,#N/A,FALSE,"Summary";#N/A,#N/A,FALSE,"Summary II";#N/A,#N/A,FALSE,"R&amp;D";#N/A,#N/A,FALSE,"R&amp;D Forecast";#N/A,#N/A,FALSE,"Tax Adj";#N/A,#N/A,FALSE,"Goodwill";#N/A,#N/A,FALSE,"FX ";#N/A,#N/A,FALSE,"Consolidation";#N/A,#N/A,FALSE,"Provisions"}</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ternal._.is." hidden="1">{"Internal is",#N/A,FALSE,"Model"}</definedName>
    <definedName name="wrn.Leases.xls." hidden="1">{#N/A,#N/A,FALSE,"Initial Year";#N/A,#N/A,FALSE,"Historical";#N/A,#N/A,FALSE,"balsheet";#N/A,#N/A,FALSE,"incstate";#N/A,#N/A,FALSE,"Fleet"}</definedName>
    <definedName name="wrn.LIGHTSIDE." hidden="1">{"light1",#N/A,FALSE,"LIGHTSIDE";"light2",#N/A,FALSE,"LIGHTSIDE";"light3",#N/A,FALSE,"LIGHTSIDE";"light4",#N/A,FALSE,"LIGHTSIDE"}</definedName>
    <definedName name="wrn.Lodging." hidden="1">{#N/A,#N/A,FALSE,"EPS";#N/A,#N/A,FALSE,"EBITDA"}</definedName>
    <definedName name="wrn.MANUFACTURERS." hidden="1">{"summary",#N/A,FALSE,"MANUFACTURERS"}</definedName>
    <definedName name="wrn.MARLEY." hidden="1">{"FRONT",#N/A,TRUE,"MARLEY";"P_AND_L",#N/A,TRUE,"MARLEY";"CASH_AND_VAL",#N/A,TRUE,"MARLEY";"MODELS",#N/A,TRUE,"MARLEY"}</definedName>
    <definedName name="wrn.MARSHALLS." hidden="1">{"PANDL (MARSHALLS) (25)",#N/A,TRUE,"MARSHALLS";"CASHFLOW (MARSHALLS) (25)",#N/A,TRUE,"MARSHALLS";"VALUATION (MARSHALLS) (25)",#N/A,TRUE,"MARSHALLS";"MODELS (MARSHALLS) (25)",#N/A,TRUE,"MARSHALLS"}</definedName>
    <definedName name="wrn.MERCHANTS." hidden="1">{"merchants",#N/A,FALSE,"MERCHANTS";"merchants2",#N/A,FALSE,"MERCHANTS"}</definedName>
    <definedName name="wrn.MEYER." hidden="1">{"FRONT (MEYER) (23)",#N/A,TRUE,"MEYER";"P AND L (MEYER) (23)",#N/A,TRUE,"MEYER";"CASH AND VAL (MEYER) (23)",#N/A,TRUE,"MEYER";"DCF (MEYER) (23)",#N/A,TRUE,"MEYER";"JEWSON (MEYER) (23)",#N/A,TRUE,"MEYER";"HARCROS (MEYER) (23)",#N/A,TRUE,"MEYER";"PONT (MEYER) (23)",#N/A,TRUE,"MEYER"}</definedName>
    <definedName name="wrn.mirBellagio." hidden="1">{#N/A,#N/A,FALSE,"MIR";#N/A,#N/A,FALSE,"NYNY"}</definedName>
    <definedName name="wrn.MOBIL." hidden="1">{"quarter",#N/A,FALSE,"MOB"}</definedName>
    <definedName name="wrn.Model." hidden="1">{#N/A,#N/A,FALSE,"PRH";#N/A,#N/A,FALSE,"Units"}</definedName>
    <definedName name="wrn.Models." hidden="1">{"cable_one",#N/A,FALSE,"cable 96-02";"cable_two",#N/A,FALSE,"cable 96-02";"Newrev_one",#N/A,FALSE,"New rev 97 - 02";"Newrev_two",#N/A,FALSE,"New rev 97 - 02"}</definedName>
    <definedName name="wrn.monthly." hidden="1">{#N/A,#N/A,FALSE,"Running Total";#N/A,#N/A,FALSE,"Oct 96";#N/A,#N/A,FALSE,"Nov 96";#N/A,#N/A,FALSE,"Dec 96";#N/A,#N/A,FALSE,"Jan 97";#N/A,#N/A,FALSE,"Feb 97";#N/A,#N/A,FALSE,"Mar 97";#N/A,#N/A,FALSE,"Apr 97";#N/A,#N/A,FALSE,"May 97";#N/A,#N/A,FALSE,"June 97";#N/A,#N/A,FALSE,"July 97"}</definedName>
    <definedName name="wrn.monthlyunits." hidden="1">{"monthlyunits",#N/A,FALSE,"openings"}</definedName>
    <definedName name="wrn.NORCROS." hidden="1">{"FRONT (NORCROS) (25)",#N/A,TRUE,"NORCROS";"P_AND_L (NORCROS) (25)",#N/A,TRUE,"NORCROS";"CASH_AND_VAL (NORCROS) (25)",#N/A,TRUE,"NORCROS";"SUMVAL (NORCROS) (23)",#N/A,TRUE,"NORCROS"}</definedName>
    <definedName name="wrn.Pegasus." hidden="1">{#N/A,#N/A,FALSE,"Proforma NAV";#N/A,#N/A,FALSE,"P NAV";#N/A,#N/A,FALSE,"Prodn &amp; Reserves";#N/A,#N/A,FALSE,"Asset Summary";#N/A,#N/A,FALSE,"Mt.Todd";#N/A,#N/A,FALSE,"Zortman";#N/A,#N/A,FALSE,"Pullalli";#N/A,#N/A,FALSE,"Black Pine";#N/A,#N/A,FALSE,"Beal Mtn.";#N/A,#N/A,FALSE,"Florida";#N/A,#N/A,FALSE,"Montana";#N/A,#N/A,FALSE,"Diamond Hill";#N/A,#N/A,FALSE,"K_SUMM"}</definedName>
    <definedName name="wrn.PETC." hidden="1">{"Annual",#N/A,FALSE,"PETC";"Balance Sheet",#N/A,FALSE,"PETC";"Funds Flow",#N/A,FALSE,"PETC";"Quarterly Earnings",#N/A,FALSE,"PETC";"Quarterly Margins",#N/A,FALSE,"PETC";"Ratio Analysis",#N/A,FALSE,"PETC";"Q Sales",#N/A,FALSE,"PETC";"Unit Analysis",#N/A,FALSE,"PETC";"Inventory Analysis",#N/A,FALSE,"PETC";"Valuation",#N/A,FALSE,"PETC";"Comps",#N/A,FALSE,"PETC"}</definedName>
    <definedName name="wrn.PILKINGTON." hidden="1">{"FRONT (PILKINGTON) (25)",#N/A,TRUE,"PILKINGTON";"P_AND_L (PILKINGTON) (25)",#N/A,TRUE,"PILKINGTON";"CASH_AND_VAL (PILKINGTON) (25)",#N/A,TRUE,"PILKINGTON";"VALUATION (PILKINGTON) (25)",#N/A,TRUE,"PILKINGTON";"MODELS (PILKINGTON) (25)",#N/A,TRUE,"PILKINGTON";"SENSITIV (PILKINGTON) (25)",#N/A,TRUE,"PILKINGTON";"P_AND_VOL (PILKINGTON) (25)",#N/A,TRUE,"PILKINGTON";"INVINC (PILKINGTON) (25)",#N/A,TRUE,"PILKINGTON"}</definedName>
    <definedName name="wrn.pnt." hidden="1">{"rev.anl",#N/A,FALSE,"R";"rev.qt",#N/A,FALSE,"R";"tele.anl",#N/A,FALSE,"R";"tele.qt",#N/A,FALSE,"R";"is.anl",#N/A,FALSE,"IS";"is.qt",#N/A,FALSE,"IS";"b.anl",#N/A,FALSE,"B";"b.qt",#N/A,FALSE,"B";"cf.anl",#N/A,FALSE,"CF";"cf.qt",#N/A,FALSE,"CF";"debt.anl",#N/A,FALSE,"CF"}</definedName>
    <definedName name="wrn.Portrait._.IS." hidden="1">{"Portrait letter is",#N/A,FALSE,"Model"}</definedName>
    <definedName name="wrn.Portrait._.letter._.is." hidden="1">{"Portrait letter is",#N/A,FALSE,"Model"}</definedName>
    <definedName name="wrn.pres." hidden="1">{#N/A,#N/A,FALSE,"Major v. River";#N/A,#N/A,FALSE,"Industry";#N/A,#N/A,FALSE,"Large Operators";#N/A,#N/A,FALSE,"Smaller Operators";#N/A,#N/A,FALSE,"Equip. Supply";#N/A,#N/A,FALSE,"EBITDA";#N/A,#N/A,FALSE,"States";#N/A,#N/A,FALSE,"LV Detail"}</definedName>
    <definedName name="wrn.pres97." hidden="1">{#N/A,#N/A,FALSE,"Cover";#N/A,#N/A,FALSE,"Major v. River";#N/A,#N/A,FALSE,"Industry";#N/A,#N/A,FALSE,"Stock Val";#N/A,#N/A,FALSE,"EBITDA";#N/A,#N/A,FALSE,"EBITDA Growth";#N/A,#N/A,FALSE,"LV REt";#N/A,#N/A,FALSE,"AC Ret";#N/A,#N/A,FALSE,"River Ret";#N/A,#N/A,FALSE,"Executive";#N/A,#N/A,FALSE,"Demographics";#N/A,#N/A,FALSE,"Leisure";#N/A,#N/A,FALSE,"States";#N/A,#N/A,FALSE,"nongame";#N/A,#N/A,FALSE,"nongame2";#N/A,#N/A,FALSE,"Room Margin";#N/A,#N/A,FALSE,"Hyp Casino";#N/A,#N/A,FALSE,"lv gates";#N/A,#N/A,FALSE,"potential";#N/A,#N/A,FALSE,"Large Operators";#N/A,#N/A,FALSE,"Smaller Operators";#N/A,#N/A,FALSE,"Equip. Supply";#N/A,#N/A,FALSE,"LV Detail $1 Mil"}</definedName>
    <definedName name="wrn.Print._.CRXLAND._.Openings." hidden="1">{"Print CRXLAND Assumptions",#N/A,FALSE,"CRXLAND Openings";"Print CRXLAND Openings",#N/A,FALSE,"CRXLAND Openings"}</definedName>
    <definedName name="wrn.Print._.Everything." hidden="1">{"print annual inc. statement",#N/A,FALSE,"Summary";"print annual stats",#N/A,FALSE,"Summary";"print quarterly inc. statement",#N/A,FALSE,"Summary";"print quarterly stats",#N/A,FALSE,"Summary";"print STAY opening assumptions",#N/A,FALSE,"STAY Openings";"print STAY openings",#N/A,FALSE,"STAY Openings";"Print SPHI Assumptions",#N/A,FALSE,"SPHI Openings";"Print SPHI Openings",#N/A,FALSE,"SPHI Openings";"Print CRXLAND Assumptions",#N/A,FALSE,"CRXLAND Openings";"Print CRXLAND Openings",#N/A,FALSE,"CRXLAND Openings"}</definedName>
    <definedName name="wrn.Print._.Inc.._.Statement._.and._.Stats.." hidden="1">{"print annual inc. statement",#N/A,FALSE,"Summary";"print annual stats",#N/A,FALSE,"Summary";"print quarterly inc. statement",#N/A,FALSE,"Summary";"print quarterly stats",#N/A,FALSE,"Summary"}</definedName>
    <definedName name="wrn.Print._.Model." hidden="1">{"income statement",#N/A,FALSE,"Model RAL";"balance sheet",#N/A,FALSE,"Model RAL";"cash flows",#N/A,FALSE,"Model RAL";"op drivers",#N/A,FALSE,"Model RAL";"hotel stats",#N/A,FALSE,"Model RAL";"owned drivers",#N/A,FALSE,"Model RAL";"managed drivers",#N/A,FALSE,"Model RAL"}</definedName>
    <definedName name="wrn.Print._.Report." hidden="1">{"annual",#N/A,FALSE,"Sheet2";"quarters",#N/A,FALSE,"Sheet2"}</definedName>
    <definedName name="wrn.Print._.SPHI._.Openings." hidden="1">{"Print SPHI Assumptions",#N/A,FALSE,"SPHI Openings";"Print SPHI Openings",#N/A,FALSE,"SPHI Openings"}</definedName>
    <definedName name="wrn.Print._.STAY._.Openings." hidden="1">{"print STAY opening assumptions",#N/A,FALSE,"STAY Openings";"print STAY openings",#N/A,FALSE,"STAY Openings"}</definedName>
    <definedName name="wrn.Print._.Three._.Page._.Model." hidden="1">{"Page One",#N/A,FALSE,"Model";"Page 2",#N/A,FALSE,"Model";"Page 3",#N/A,FALSE,"Model"}</definedName>
    <definedName name="wrn.Print.1_.report.1" hidden="1">{"annual",#N/A,FALSE,"Sheet2";"quarters",#N/A,FALSE,"Sheet2"}</definedName>
    <definedName name="wrn.Printout." hidden="1">{"page1",#N/A,FALSE,"Casual RLE";"page2",#N/A,FALSE,"Casual RLE"}</definedName>
    <definedName name="wrn.Pulp." hidden="1">{"Pulp Production",#N/A,FALSE,"Pulp";"Pulp Earnings",#N/A,FALSE,"Pulp"}</definedName>
    <definedName name="wrn.Q_Statistics_NME." hidden="1">{"Q_Statistics_NME",#N/A,FALSE,"NME"}</definedName>
    <definedName name="wrn.Q._.Report." hidden="1">{"Quarterly Earnings",#N/A,FALSE,"FTS";"Quarterly Margins",#N/A,FALSE,"FTS";"Q Sales",#N/A,FALSE,"FTS";"Q EBIT",#N/A,FALSE,"FTS";"Unit Analysis",#N/A,FALSE,"FTS";"Inventory Analysis",#N/A,FALSE,"FTS"}</definedName>
    <definedName name="wrn.quart." hidden="1">{"quart",#N/A,FALSE,"quartfin"}</definedName>
    <definedName name="wrn.Quarterly_AMI." hidden="1">{"Quarterly_AMI",#N/A,FALSE,"AMI"}</definedName>
    <definedName name="wrn.Quarterly_NME." hidden="1">{"Quarterly_NME",#N/A,FALSE,"NME"}</definedName>
    <definedName name="wrn.Quarterly_THC." hidden="1">{"Quarterly_THC",#N/A,FALSE,"Tenet"}</definedName>
    <definedName name="wrn.quarterly." hidden="1">{"Calenquart",#N/A,FALSE,"Remedy-model";"fiscquarter",#N/A,FALSE,"Remedy-model"}</definedName>
    <definedName name="wrn.Quarterly._.Income._.Statement." hidden="1">{#N/A,#N/A,FALSE,"earnings"}</definedName>
    <definedName name="wrn.Quarterly._.revenue._.model." hidden="1">{#N/A,#N/A,FALSE,"earnings"}</definedName>
    <definedName name="wrn.quartfin." hidden="1">{"quartfin",#N/A,FALSE,"quartfin"}</definedName>
    <definedName name="wrn.REDLAND." hidden="1">{"FRONT (REDLAND) (25)",#N/A,FALSE,"REDLAND";"P_AND_L (REDLAND) (25)",#N/A,FALSE,"REDLAND";"CASH_AND_VAL (REDLAND) (25)",#N/A,FALSE,"REDLAND";"OPERATIONAL_FORCASTS (REDLAND) (25)",#N/A,FALSE,"REDLAND";"MODELS (REDLAND) (25)",#N/A,FALSE,"REDLAND";"IND.VAL2 (REDLAND) (25)",#N/A,FALSE,"REDLAND";"IND.VAL1 (REDLAND) (25)",#N/A,FALSE,"REDLAND";"GERMAN STATS (REDLAND) (25)",#N/A,FALSE,"REDLAND";"BRASS TCE (REDLAND) (25)",#N/A,FALSE,"REDLAND";"BRASS P AND L (REDLAND) (25)",#N/A,FALSE,"REDLAND";"BRASS BALANCE (REDLAND) (25)",#N/A,FALSE,"REDLAND";"SUMPARTS (REDLAND) (23)",#N/A,FALSE,"REDLAND"}</definedName>
    <definedName name="wrn.RETURNS." hidden="1">{"BETAS",#N/A,FALSE,"RETURNS";"THEOR KE",#N/A,FALSE,"RETURNS";"IMPLIED KE",#N/A,FALSE,"RETURNS";"THEO GR",#N/A,FALSE,"RETURNS";"IMPLIED GR",#N/A,FALSE,"RETURNS";"IMPLIED KE PORD",#N/A,FALSE,"RETURNS";"ROE",#N/A,FALSE,"RETURNS";"RETENTIONS",#N/A,FALSE,"RETURNS";"RISK FREE",#N/A,FALSE,"RETURNS";"GRISKADJPER",#N/A,FALSE,"RETURNS";"THEOR PER",#N/A,FALSE,"RETURNS"}</definedName>
    <definedName name="wrn.RETURNS._.ON._.INV." hidden="1">{"RETURNINVEST",#N/A,FALSE,"ROI (%)";"RETURNS2",#N/A,FALSE,"ROI (%)";"RETURNS3",#N/A,FALSE,"ROI (%)"}</definedName>
    <definedName name="wrn.RMC." hidden="1">{"FRONT (RMC) (25)",#N/A,TRUE,"RMC";"P_AND_L (RMC) (25)",#N/A,TRUE,"RMC";"CASH_AND_VAL (RMC) (25)",#N/A,TRUE,"RMC";"INDVAL (RMC) (25)",#N/A,TRUE,"RMC"}</definedName>
    <definedName name="wrn.RUGBY." hidden="1">{"FRONT (RUGBY) (25)",#N/A,TRUE,"RUGBY";"P_AND_L (RUGBY) (25)",#N/A,TRUE,"RUGBY";"CASH_AND_VAL (RUGBY) (25)",#N/A,TRUE,"RUGBY";"VALUE (RUGBY) (25)",#N/A,TRUE,"RUGBY";"SENSIT (RUGBY) (25)",#N/A,TRUE,"RUGBY";"models1 (RUGBY) (25)",#N/A,TRUE,"RUGBY";"MODELS (RUGBY) (25)",#N/A,TRUE,"RUGBY";"JOINERY (RUGBY) (25)",#N/A,TRUE,"RUGBY"}</definedName>
    <definedName name="wrn.RUSSELL." hidden="1">{"FRONT (A. RUSSELL) (25)",#N/A,TRUE,"A. RUSSELL";"P_AND_L (A. RUSSELL) (25)",#N/A,TRUE,"A. RUSSELL";"CASH_AND_VAL (A. RUSSELL) (25)",#N/A,TRUE,"A. RUSSELL"}</definedName>
    <definedName name="wrn.salesassum." hidden="1">{"Salesass",#N/A,FALSE,"assumpt"}</definedName>
    <definedName name="wrn.SHARPE." hidden="1">{"FRONT (SHARPE &amp; FISHER) (25)",#N/A,TRUE,"SHARPE &amp; FISHER";"P AND L (SHARPE &amp; FISHER) (25)",#N/A,TRUE,"SHARPE &amp; FISHER";"CASH AND VAL (SHARPE &amp; FISHER) (25)",#N/A,TRUE,"SHARPE &amp; FISHER"}</definedName>
    <definedName name="wrn.Short._.Report." hidden="1">{"short1",#N/A,FALSE,"masmode";"short2",#N/A,FALSE,"masmode";"qtrres",#N/A,FALSE,"QTR. RES.";"sales",#N/A,FALSE,"Sales &amp; Market Share"}</definedName>
    <definedName name="wrn.SIG." hidden="1">{"FRONT (SIG) (25)",#N/A,TRUE,"SIG";"P AND L (SIG) (25)",#N/A,TRUE,"SIG";"CASH AND VAL (SIG) (25)",#N/A,TRUE,"SIG";"MODELS (SIG) (25)",#N/A,TRUE,"SIG"}</definedName>
    <definedName name="wrn.SPRING._.RAM." hidden="1">{"FRONT (SPRING RAM) (29)",#N/A,TRUE,"SPRING RAM";"P_AND_L (SPRING RAM) (29)",#N/A,TRUE,"SPRING RAM";"CASH_AND_VAL (SPRING RAM) (29)",#N/A,TRUE,"SPRING RAM"}</definedName>
    <definedName name="wrn.Statistics_NME." hidden="1">{"Statistics_NME",#N/A,FALSE,"NME"}</definedName>
    <definedName name="wrn.Statistics_THC." hidden="1">{"Statistics_THC",#N/A,FALSE,"Tenet"}</definedName>
    <definedName name="wrn.SunModel." hidden="1">{#N/A,#N/A,FALSE,"summary";#N/A,#N/A,FALSE,"SIH";#N/A,#N/A,FALSE,"SIH Value";#N/A,#N/A,FALSE,"tax est.";#N/A,#N/A,FALSE,"Mohegan";#N/A,#N/A,FALSE,"Resorts";#N/A,#N/A,FALSE,"Win Per Day";#N/A,#N/A,FALSE,"CapStr"}</definedName>
    <definedName name="wrn.TARMAC." hidden="1">{"FRONT (TARMAC) (25)",#N/A,TRUE,"TARMAC";"P_AND_L (TARMAC) (25)",#N/A,TRUE,"TARMAC";"CASH AND VAL (TARMAC) (25)",#N/A,TRUE,"TARMAC";"MODELS (TARMAC) (25)",#N/A,TRUE,"TARMAC";"MODELS2 (TARMAC) (25)",#N/A,TRUE,"TARMAC";"INDUSTRIAL (TARMAC) (25)",#N/A,TRUE,"TARMAC"}</definedName>
    <definedName name="wrn.test." hidden="1">{"rev.anl",#N/A,FALSE,"R";"rev.qt",#N/A,FALSE,"R"}</definedName>
    <definedName name="wrn.TRAVIS._.PERKINS." hidden="1">{"FRONT (TRAVIS PERK) (25)",#N/A,TRUE,"TRAVIS PERK";"P_AND_L (TRAVIS PERK) (25)",#N/A,TRUE,"TRAVIS PERK";"CASH_AND_VAL (TRAVIS PERK) (25)",#N/A,TRUE,"TRAVIS PERK"}</definedName>
    <definedName name="wrn.Variance._.Q4" hidden="1">{"Variance Q4",#N/A,FALSE,"Var"}</definedName>
    <definedName name="wrn.weekly." hidden="1">{#N/A,#N/A,FALSE,"Large Operators";#N/A,#N/A,FALSE,"Smaller Operators";#N/A,#N/A,FALSE,"Equip. Supply";#N/A,#N/A,FALSE,"EBITDA";#N/A,#N/A,FALSE,"perform"}</definedName>
    <definedName name="wrn.Wolseley." hidden="1">{"Turnover",#N/A,FALSE;"Profits",#N/A,FALSE;"cashflow",#N/A,FALSE}</definedName>
    <definedName name="wrn.Yearly_AMI." hidden="1">{"Yearly_AMI",#N/A,FALSE,"AMI"}</definedName>
    <definedName name="wrn.Yearly_NME." hidden="1">{"Yearly_NME",#N/A,FALSE,"NME"}</definedName>
    <definedName name="wrn.Yearly_THC." hidden="1">{"Yearly_THC",#N/A,FALSE,"Earnings"}</definedName>
    <definedName name="wrn1.all" hidden="1">{#N/A,#N/A,FALSE,"HEADCOUNTS";#N/A,#N/A,FALSE,"month to month";#N/A,#N/A,FALSE,"headcount allocations";#N/A,#N/A,FALSE,"FACILITIES";#N/A,#N/A,FALSE,"HUMAN RESOURCES";#N/A,#N/A,FALSE,"FINANCE";#N/A,#N/A,FALSE,"TRAINING";#N/A,#N/A,FALSE,"NETWORK"}</definedName>
    <definedName name="wrn1.backup" hidden="1">{#N/A,#N/A,FALSE,"time  $ alloc AIS";#N/A,#N/A,FALSE,"detail time AIS";#N/A,#N/A,FALSE,"time $ alloc CONT";#N/A,#N/A,FALSE,"detail time CONT"}</definedName>
    <definedName name="wrn1.entries" hidden="1">{#N/A,#N/A,FALSE,"FINANCE";#N/A,#N/A,FALSE,"HUMAN RESOURCES";#N/A,#N/A,FALSE,"FACILITIES";#N/A,#N/A,FALSE,"NETWORK"}</definedName>
    <definedName name="wrn2.backup" hidden="1">{#N/A,#N/A,FALSE,"time  $ alloc AIS";#N/A,#N/A,FALSE,"detail time AIS";#N/A,#N/A,FALSE,"time $ alloc CONT";#N/A,#N/A,FALSE,"detail time CONT"}</definedName>
    <definedName name="wrn2.entries" hidden="1">{#N/A,#N/A,FALSE,"FINANCE";#N/A,#N/A,FALSE,"HUMAN RESOURCES";#N/A,#N/A,FALSE,"FACILITIES";#N/A,#N/A,FALSE,"NETWORK"}</definedName>
    <definedName name="ws" hidden="1">{"'보고양식'!$A$58:$K$111"}</definedName>
    <definedName name="wvu.cash." hidden="1">{TRUE,TRUE,-1.25,-15.5,456.75,279.75,FALSE,FALSE,TRUE,TRUE,0,1,18,1,199,6,3,4,TRUE,TRUE,3,TRUE,1,TRUE,100,"Swvu.cash.","ACwvu.cash.",1,FALSE,FALSE,0.511811023622047,0.511811023622047,0.511811023622047,0.511811023622047,1,"","",FALSE,FALSE,FALSE,FALSE,1,#N/A,1,1,#DIV/0!,FALSE,"Rwvu.cash.",#N/A,FALSE,FALSE}</definedName>
    <definedName name="wvu.cashflow." hidden="1">{TRUE,TRUE,-1.25,-15.5,456.75,279.75,FALSE,TRUE,TRUE,TRUE,0,1,#N/A,163,#N/A,9.22641509433962,20.2,1,FALSE,FALSE,3,TRUE,1,FALSE,100,"Swvu.cashflow.","ACwvu.cashflow.",1,FALSE,FALSE,0.511811023622047,0.511811023622047,0.354330708661417,0.31496062992126,2,"","",FALSE,FALSE,FALSE,TRUE,1,#N/A,1,1,"=R173C1:R197C22",FALSE,#N/A,#N/A,FALSE,FALSE}</definedName>
    <definedName name="wvu.profits." hidden="1">{TRUE,TRUE,-1.25,-15.5,456.75,279.75,FALSE,FALSE,TRUE,TRUE,0,1,21,1,127,6,3,4,TRUE,TRUE,3,TRUE,1,TRUE,100,"Swvu.profits.","ACwvu.profits.",1,FALSE,FALSE,0.511811023622047,0.511811023622047,0.511811023622047,0.511811023622047,1,"","",FALSE,FALSE,FALSE,FALSE,1,#N/A,1,1,#DIV/0!,FALSE,"Rwvu.profits.",#N/A,FALSE,FALSE}</definedName>
    <definedName name="wvu.Quarters94_95." hidden="1">{FALSE,TRUE,-1.25,-15.5,604.5,366.75,FALSE,TRUE,TRUE,TRUE,0,1,13,1,2,11,1,4,TRUE,TRUE,3,TRUE,1,TRUE,100,"Swvu.Quarters94_95.","ACwvu.Quarters94_95.",#N/A,FALSE,FALSE,0.75,0.5,0.8,1,1,"&amp;L&amp;""Helvetica,Bold""&amp;14CanWest Global Communications Corp (CWW- $21)&amp;R&amp;""Helvetica,Italic""(Amounts in C$millions except as noted)","&amp;L&amp;""Times New Roman""&amp;10BUNTING WARBURG   (416) 364-3293&amp;C&amp;F   Page &amp;P&amp;R&amp;D/&amp;T",FALSE,FALSE,FALSE,FALSE,2,100,#N/A,#N/A,FALSE,FALSE,"Rwvu.Quarters94_95.",#N/A,FALSE,FALSE,FALSE,1,#N/A,#N/A,FALSE,FALSE,TRUE,TRUE,TRUE}</definedName>
    <definedName name="wvu.Quarters94_97." hidden="1">{TRUE,TRUE,-2.75,-17,579.75,323.25,FALSE,TRUE,TRUE,TRUE,0,1,44,1,186,7,1,4,TRUE,TRUE,3,TRUE,1,TRUE,100,"Swvu.Quarters94_97.","ACwvu.Quarters94_97.",#N/A,FALSE,FALSE,0.5,0.5,0.75,0.75,2,"&amp;R&amp;""Arial,Italic""(Amounts in $millions except as noted)","&amp;L&amp;8BUNTING WARBURG (416) 364 3293&amp;C&amp;8&amp;F  Page &amp;P&amp;R&amp;8&amp;D  &amp;T",FALSE,FALSE,FALSE,FALSE,1,100,#N/A,#N/A,"=R2C4:R207C44",FALSE,"Rwvu.Quarters94_97.",#N/A,FALSE,FALSE,TRUE,1,600,600,FALSE,FALSE,TRUE,TRUE,TRUE}</definedName>
    <definedName name="wvu.Quarters95_96." hidden="1">{TRUE,TRUE,-2.75,-17,579.75,323.25,FALSE,TRUE,TRUE,TRUE,0,1,38,1,2,12,1,4,TRUE,TRUE,3,TRUE,1,TRUE,100,"Swvu.Quarters95_96.","ACwvu.Quarters95_96.",#N/A,FALSE,FALSE,0.75,0.5,0.8,1,1,"&amp;L&amp;""Helvetica,Bold""&amp;14Company Name Inc. (XXX)&amp;R&amp;""Helvetica,Italic""(C$millions except as noted)","&amp;L&amp;""Times New Roman""&amp;10BUNTING WARBURG   (416) 364-3293&amp;C&amp;F   Page &amp;P&amp;R&amp;D/&amp;T",FALSE,FALSE,FALSE,FALSE,1,100,#N/A,#N/A,"=R2C3:R486C55",FALSE,"Rwvu.Quarters95_96.",#N/A,FALSE,FALSE,FALSE,1,4294967292,4294967292,FALSE,FALSE,TRUE,TRUE,TRUE}</definedName>
    <definedName name="wvu.Quarters95_97_Year_1997." hidden="1">{TRUE,TRUE,-2.75,-17,579.75,323.25,FALSE,TRUE,TRUE,TRUE,0,1,39,1,2,32,1,4,TRUE,TRUE,3,TRUE,1,TRUE,100,"Swvu.Quarters95_97_Year_1997.","ACwvu.Quarters95_97_Year_1997.",#N/A,FALSE,FALSE,0.75,0.5,0.8,1,1,"&amp;L&amp;""Helvetica,Bold""&amp;14Company Name Inc. (XXX)&amp;R&amp;""Helvetica,Italic""(C$millions except as noted)","&amp;L&amp;""Times New Roman""&amp;10BUNTING WARBURG   (416) 364-3293&amp;C&amp;F   Page &amp;P&amp;R&amp;D/&amp;T",FALSE,FALSE,FALSE,FALSE,1,100,#N/A,#N/A,"=R2C3:R486C53",FALSE,"Rwvu.Quarters95_97_Year_1997.",#N/A,FALSE,FALSE,FALSE,1,4294967292,4294967292,FALSE,FALSE,TRUE,TRUE,TRUE}</definedName>
    <definedName name="wvu.Quarters95_97." hidden="1">{TRUE,TRUE,-2.75,-17,579.75,323.25,FALSE,TRUE,TRUE,TRUE,0,1,34,1,2,32,1,4,TRUE,TRUE,3,TRUE,1,TRUE,100,"Swvu.Quarters95_97.","ACwvu.Quarters95_97.",#N/A,FALSE,FALSE,0.75,0.5,0.8,1,1,"&amp;L&amp;""Helvetica,Bold""&amp;14Company Name Inc. (XXX)&amp;R&amp;""Helvetica,Italic""(C$millions except as noted)","&amp;L&amp;""Times New Roman""&amp;10BUNTING WARBURG   (416) 364-3293&amp;C&amp;F   Page &amp;P&amp;R&amp;D/&amp;T",FALSE,FALSE,FALSE,FALSE,1,100,#N/A,#N/A,"=R2C3:R486C53",FALSE,"Rwvu.Quarters95_97.",#N/A,FALSE,FALSE,FALSE,1,4294967292,4294967292,FALSE,FALSE,TRUE,TRUE,TRUE}</definedName>
    <definedName name="wvu.Quarters98_99." hidden="1">{FALSE,TRUE,-2.75,-17,741.75,465.75,FALSE,TRUE,TRUE,TRUE,0,2,#N/A,1,#N/A,67.8888888888889,40.1428571428571,1,FALSE,FALSE,3,TRUE,1,FALSE,100,"Swvu.Quarters98_99.","ACwvu.Quarters98_99.",#N/A,FALSE,FALSE,0.75,0.5,0.8,1,1,"&amp;L&amp;""Helvetica,Bold""&amp;14Shaw Communications&amp;R&amp;""Helvetica,Italic""(C$millions except as noted)","&amp;L&amp;""Times New Roman,Regular""&amp;10BUNTING WARBURG DILLON READ&amp;C&amp;F   Page &amp;P&amp;R&amp;D/&amp;T",FALSE,FALSE,FALSE,FALSE,1,100,#N/A,#N/A,FALSE,FALSE,"Rwvu.Quarters98_99.",#N/A,FALSE,FALSE,FALSE,1,4294967292,4294967292,FALSE,FALSE,TRUE,TRUE,TRUE}</definedName>
    <definedName name="wvu.Quarters99_00." hidden="1">{FALSE,TRUE,-2.75,-17,741.75,465.75,FALSE,TRUE,TRUE,TRUE,0,2,#N/A,1,#N/A,67.8888888888889,40.1428571428571,1,FALSE,FALSE,3,TRUE,1,FALSE,100,"Swvu.Quarters99_00.","ACwvu.Quarters99_00.",#N/A,FALSE,FALSE,0.75,0.5,0.8,1,1,"&amp;L&amp;""Helvetica,Bold""&amp;14Shaw Communications&amp;R&amp;""Helvetica,Italic""(C$millions except as noted)","&amp;L&amp;""Times New Roman,Regular""&amp;10BUNTING WARBURG DILLON READ&amp;C&amp;F   Page &amp;P&amp;R&amp;D/&amp;T",FALSE,FALSE,FALSE,FALSE,1,100,#N/A,#N/A,FALSE,FALSE,"Rwvu.Quarters99_00.",#N/A,FALSE,FALSE,FALSE,1,4294967292,4294967292,FALSE,FALSE,TRUE,TRUE,TRUE}</definedName>
    <definedName name="wvu.turnover." hidden="1">{TRUE,TRUE,-1.25,-15.5,456.75,279.75,FALSE,FALSE,TRUE,TRUE,0,1,8,1,4,6,3,4,TRUE,TRUE,3,TRUE,1,TRUE,100,"Swvu.turnover.","ACwvu.turnover.",1,FALSE,FALSE,0.511811023622047,0.511811023622047,0.511811023622047,0.511811023622047,1,"","",FALSE,FALSE,FALSE,FALSE,1,#N/A,1,1,#DIV/0!,FALSE,"Rwvu.turnover.",#N/A,FALSE,FALSE}</definedName>
    <definedName name="wvu.Years_Quarters_95_97." hidden="1">{TRUE,TRUE,-2.75,-17,579.75,323.25,FALSE,TRUE,TRUE,TRUE,0,1,34,1,2,32,1,4,TRUE,TRUE,3,TRUE,1,TRUE,100,"Swvu.Years_Quarters_95_97.","ACwvu.Years_Quarters_95_97.",#N/A,FALSE,FALSE,0.75,0.5,0.8,1,1,"&amp;L&amp;""Helvetica,Bold""&amp;14Company Name Inc. (XXX)&amp;R&amp;""Helvetica,Italic""(C$millions except as noted)","&amp;L&amp;""Times New Roman""&amp;10BUNTING WARBURG   (416) 364-3293&amp;C&amp;F   Page &amp;P&amp;R&amp;D/&amp;T",FALSE,FALSE,FALSE,FALSE,1,100,#N/A,#N/A,"=R2C3:R486C53",FALSE,"Rwvu.Years_Quarters_95_97.",#N/A,FALSE,FALSE,FALSE,1,4294967292,4294967292,FALSE,FALSE,TRUE,TRUE,TRUE}</definedName>
    <definedName name="wvu.Years1990_2000." hidden="1">{TRUE,TRUE,-2.75,-17,604.5,323.25,FALSE,TRUE,TRUE,TRUE,0,1,8,1,2,7,1,4,TRUE,TRUE,3,TRUE,1,TRUE,100,"Swvu.Years1990_2000.","ACwvu.Years1990_2000.",#N/A,FALSE,FALSE,0.5,0.5,0.75,0.75,2,"&amp;R&amp;""Arial,Italic""(Amounts in $millions except as noted)","&amp;L&amp;8BUNTING WARBURG (416) 364 3293&amp;C&amp;8&amp;F  Page &amp;P&amp;R&amp;8&amp;D  &amp;T",FALSE,FALSE,FALSE,FALSE,1,100,#N/A,#N/A,"=R2C4:R271C19",FALSE,"Rwvu.Years1990_2000.",#N/A,FALSE,FALSE,TRUE,1,600,600,FALSE,FALSE,TRUE,TRUE,TRUE}</definedName>
    <definedName name="wvu.Years1995_2005_No_Profile." hidden="1">{TRUE,TRUE,-2.75,-17,579.75,323.25,FALSE,TRUE,TRUE,TRUE,0,1,21,1,3,12,2,4,TRUE,TRUE,3,TRUE,1,TRUE,100,"Swvu.Years1995_2005_No_Profile.","ACwvu.Years1995_2005_No_Profile.",#N/A,FALSE,FALSE,0.75,0.5,0.8,1,1,"&amp;L&amp;""Helvetica,Bold""&amp;14Company Name Inc. (XXX)&amp;R&amp;""Helvetica,Italic""(C$millions except as noted)","&amp;L&amp;""Times New Roman""&amp;10BUNTING WARBURG   (416) 364-3293&amp;C&amp;F   Page &amp;P&amp;R&amp;D/&amp;T",FALSE,FALSE,FALSE,FALSE,1,100,#N/A,#N/A,"=R2C3:R486C53",FALSE,"Rwvu.Years1995_2005_No_Profile.",#N/A,FALSE,FALSE,FALSE,1,4294967292,4294967292,FALSE,FALSE,TRUE,TRUE,TRUE}</definedName>
    <definedName name="wvu.Years89_98_No_Profile." hidden="1">{FALSE,TRUE,-1.25,-15.5,604.5,366.75,FALSE,TRUE,TRUE,TRUE,0,1,8,1,2,7,1,4,TRUE,TRUE,3,TRUE,1,TRUE,100,"Swvu.Years89_98_No_Profile.","ACwvu.Years89_98_No_Profile.",#N/A,FALSE,FALSE,0.75,0.5,0.8,1,1,"&amp;L&amp;16&amp;BThe Thomson Corporation (TOC - $17 1/4)&amp;R&amp;I(Amounts in US$millions except as noted)","&amp;L&amp;""Times New Roman""&amp;10BUNTING WARBURG   (416) 364-3293&amp;C&amp;F   Page &amp;P&amp;R&amp;D/&amp;T",FALSE,FALSE,FALSE,FALSE,1,100,#N/A,#N/A,FALSE,FALSE,"Rwvu.Years89_98_No_Profile.",#N/A,FALSE,FALSE,FALSE,1,#N/A,#N/A,FALSE,FALSE,TRUE,TRUE,TRUE}</definedName>
    <definedName name="wvu.Years90_94_Quarters94_95." hidden="1">{TRUE,TRUE,-2.75,-17,579.75,323.25,FALSE,TRUE,TRUE,TRUE,0,1,9,1,2,8,1,4,TRUE,TRUE,3,TRUE,1,TRUE,100,"Swvu.Years90_94_Quarters94_95.","ACwvu.Years90_94_Quarters94_95.",#N/A,FALSE,FALSE,0.5,0.5,0.75,0.75,2,"&amp;R&amp;""Arial,Italic""(Amounts in $millions except as noted)","&amp;L&amp;8BUNTING WARBURG (416) 364 3293&amp;C&amp;8&amp;F  Page &amp;P&amp;R&amp;8&amp;D  &amp;T",FALSE,FALSE,FALSE,FALSE,1,100,#N/A,#N/A,"=R2C4:R208C39",FALSE,"Rwvu.Years90_94_Quarters94_95.",#N/A,FALSE,FALSE,TRUE,1,600,600,FALSE,FALSE,TRUE,TRUE,TRUE}</definedName>
    <definedName name="wvu.Years91_2000_no_Profile." hidden="1">{FALSE,TRUE,-1.25,-15.5,604.5,366.75,FALSE,TRUE,TRUE,TRUE,0,1,13,1,2,12,1,4,TRUE,TRUE,3,TRUE,1,TRUE,100,"Swvu.Years91_2000_no_Profile.","ACwvu.Years91_2000_no_Profile.",#N/A,FALSE,FALSE,0.75,0.5,0.8,1,1,"&amp;L&amp;""Helvetica,Bold""&amp;14CanWest Global Communications Corp (CWW- $21)&amp;R&amp;""Helvetica,Italic""(Amounts in C$millions except as noted)","&amp;L&amp;""Times New Roman""&amp;10BUNTING WARBURG   (416) 364-3293&amp;C&amp;F   Page &amp;P&amp;R&amp;D/&amp;T",FALSE,FALSE,FALSE,FALSE,2,100,#N/A,#N/A,FALSE,FALSE,"Rwvu.Years91_2000_no_Profile.",#N/A,FALSE,FALSE,FALSE,1,#N/A,#N/A,FALSE,FALSE,TRUE,TRUE,TRUE}</definedName>
    <definedName name="wvu.Years91_97_No_Profile." hidden="1">{TRUE,TRUE,-1.25,-15.5,604.5,366.75,FALSE,TRUE,TRUE,TRUE,0,1,13,1,2,12,1,4,TRUE,TRUE,3,TRUE,1,TRUE,100,"Swvu.Years91_97_No_Profile.","ACwvu.Years91_97_No_Profile.",#N/A,FALSE,FALSE,0.75,0.5,0.8,1,1,"&amp;L&amp;""Helvetica,Bold""&amp;14CanWest Global Communications Corp (CWW- $21)&amp;R&amp;""Helvetica,Italic""(Amounts in C$millions except as noted)","&amp;L&amp;""Times New Roman""&amp;10BUNTING WARBURG   (416) 364-3293&amp;C&amp;F   Page &amp;P&amp;R&amp;D/&amp;T",FALSE,FALSE,FALSE,FALSE,1,100,#N/A,#N/A,"=R2C3:R491C51",FALSE,"Rwvu.Years91_97_No_Profile.",#N/A,FALSE,FALSE,FALSE,1,#N/A,#N/A,FALSE,FALSE,TRUE,TRUE,TRUE}</definedName>
    <definedName name="wvu.Years93_97_With_Profile." hidden="1">{FALSE,TRUE,-1.25,-15.5,604.5,366.75,FALSE,TRUE,TRUE,TRUE,0,1,12,1,2,10,1,4,TRUE,TRUE,3,TRUE,1,TRUE,100,"Swvu.Years93_97_With_Profile.","ACwvu.Years93_97_With_Profile.",#N/A,FALSE,FALSE,0.75,0.5,0.8,1,1,"&amp;L&amp;16&amp;BThe Thomson Corporation (TOC - $17 1/4)&amp;R&amp;I(Amounts in US$millions except as noted)","&amp;L&amp;""Times New Roman""&amp;10BUNTING WARBURG   (416) 364-3293&amp;C&amp;F   Page &amp;P&amp;R&amp;D/&amp;T",FALSE,FALSE,FALSE,FALSE,1,100,#N/A,#N/A,FALSE,FALSE,"Rwvu.Years93_97_With_Profile.",#N/A,FALSE,FALSE,FALSE,1,#N/A,#N/A,FALSE,FALSE,TRUE,TRUE,TRUE}</definedName>
    <definedName name="wvu.Years94_96_Quarters95_96." hidden="1">{TRUE,TRUE,-2.75,-17,579.75,323.25,FALSE,TRUE,TRUE,TRUE,0,1,8,1,2,7,1,4,TRUE,TRUE,3,TRUE,1,TRUE,100,"Swvu.Years94_96_Quarters95_96.","ACwvu.Years94_96_Quarters95_96.",#N/A,FALSE,FALSE,0.5,0.5,0.75,0.75,2,"&amp;R&amp;""Arial,Italic""(Amounts in $millions except as noted)","&amp;L&amp;8BUNTING WARBURG (416) 364 3293&amp;C&amp;8&amp;F  Page &amp;P&amp;R&amp;8&amp;D  &amp;T",FALSE,FALSE,FALSE,FALSE,1,100,#N/A,#N/A,"=R2C4:R207C44",FALSE,"Rwvu.Years94_96_Quarters95_96.",#N/A,FALSE,FALSE,TRUE,1,600,600,FALSE,FALSE,TRUE,TRUE,TRUE}</definedName>
    <definedName name="wvu.Years94_98_Quarters95_96." hidden="1">{TRUE,TRUE,-2.75,-17,579.75,323.25,FALSE,TRUE,TRUE,TRUE,0,1,8,1,2,7,1,4,TRUE,TRUE,3,TRUE,1,TRUE,100,"Swvu.Years94_98_Quarters95_96.","ACwvu.Years94_98_Quarters95_96.",#N/A,FALSE,FALSE,0.5,0.5,0.75,0.75,2,"&amp;R&amp;""Arial,Italic""(Amounts in $millions except as noted)","&amp;L&amp;8BUNTING WARBURG (416) 364 3293&amp;C&amp;8&amp;F  Page &amp;P&amp;R&amp;8&amp;D  &amp;T",FALSE,FALSE,FALSE,FALSE,1,100,#N/A,#N/A,"=R2C4:R207C44",FALSE,"Rwvu.Years94_98_Quarters95_96.",#N/A,FALSE,FALSE,TRUE,1,600,600,FALSE,FALSE,TRUE,TRUE,TRUE}</definedName>
    <definedName name="wvu.Years94_98_With_Profile." hidden="1">{TRUE,TRUE,-2.75,-17,579.75,323.25,FALSE,TRUE,TRUE,TRUE,0,1,12,1,2,10,1,4,TRUE,TRUE,3,TRUE,1,TRUE,100,"Swvu.Years94_98_With_Profile.","ACwvu.Years94_98_With_Profile.",#N/A,FALSE,FALSE,0.75,0.5,0.8,1,1,"&amp;L&amp;""Helvetica,Bold""&amp;14Company Name Inc. (XXX)&amp;R&amp;""Helvetica,Italic""(C$millions except as noted)","&amp;L&amp;""Times New Roman""&amp;10BUNTING WARBURG   (416) 364-3293&amp;C&amp;F   Page &amp;P&amp;R&amp;D/&amp;T",FALSE,FALSE,FALSE,FALSE,1,100,#N/A,#N/A,"=R2C3:R486C53",FALSE,"Rwvu.Years94_98_With_Profile.",#N/A,FALSE,FALSE,FALSE,1,4294967292,4294967292,FALSE,FALSE,TRUE,TRUE,TRUE}</definedName>
    <definedName name="wvu.Years96_2000_with_profile." hidden="1">{FALSE,TRUE,-2.75,-17,741.75,465.75,FALSE,TRUE,TRUE,TRUE,0,2,#N/A,1,#N/A,62.5555555555556,37.6,1,FALSE,FALSE,3,TRUE,1,FALSE,100,"Swvu.Years96_2000_with_profile.","ACwvu.Years96_2000_with_profile.",#N/A,FALSE,FALSE,0.75,0.5,0.8,1,1,"&amp;L&amp;""Helvetica,Bold""&amp;14Shaw Communications&amp;R&amp;""Helvetica,Italic""(C$millions except as noted)","&amp;L&amp;""Times New Roman""&amp;10BUNTING WARBURG   (416) 364-3293&amp;C&amp;F   Page &amp;P&amp;R&amp;D/&amp;T",FALSE,FALSE,FALSE,FALSE,1,100,#N/A,#N/A,FALSE,FALSE,"Rwvu.Years96_2000_with_profile.","Cwvu.Years96_2000_with_profile.",FALSE,FALSE,FALSE,1,#N/A,#N/A,FALSE,FALSE,TRUE,TRUE,TRUE}</definedName>
    <definedName name="wvu.years97_2001_with_profile." hidden="1">{FALSE,TRUE,-2.75,-17,741.75,465.75,FALSE,TRUE,TRUE,TRUE,0,2,#N/A,1,#N/A,66.4888888888889,40.1428571428571,1,FALSE,FALSE,3,TRUE,1,FALSE,100,"Swvu.years97_2001_with_profile.","ACwvu.years97_2001_with_profile.",#N/A,FALSE,FALSE,0.75,0.5,0.8,1,1,"&amp;L&amp;""Helvetica,Bold""&amp;14Shaw Communications&amp;R&amp;""Helvetica,Italic""(C$millions except as noted)","&amp;L&amp;""Times New Roman,Regular""&amp;10BUNTING WARBURG DILLON READ&amp;C&amp;F   Page &amp;P&amp;R&amp;D/&amp;T",FALSE,FALSE,FALSE,FALSE,1,100,#N/A,#N/A,FALSE,FALSE,"Rwvu.years97_2001_with_profile.","Cwvu.years97_2001_with_profile.",FALSE,FALSE,FALSE,1,4294967292,4294967292,FALSE,FALSE,TRUE,TRUE,TRUE}</definedName>
    <definedName name="x" hidden="1">40204.8438541667</definedName>
    <definedName name="xx" hidden="1">{#N/A,#N/A,FALSE,"earnings"}</definedName>
    <definedName name="y" hidden="1">{#N/A,#N/A,FALSE,"earnings"}</definedName>
    <definedName name="Year" localSheetId="0">#REF!</definedName>
    <definedName name="Year">#REF!</definedName>
    <definedName name="years">#REF!</definedName>
    <definedName name="Yr">[10]Master!$M$1</definedName>
    <definedName name="YRA3MTH">7</definedName>
    <definedName name="YRA3MTH_CHG">8</definedName>
    <definedName name="YRACYTD">10</definedName>
    <definedName name="YRAMTH">3</definedName>
    <definedName name="YRAMTH_CHG">5</definedName>
    <definedName name="YRAMYTD">13</definedName>
    <definedName name="z" hidden="1">{#N/A,#N/A,FALSE,"Time Warner";#N/A,#N/A,FALSE,"Entertainment Group";#N/A,#N/A,FALSE,"EBITDA";#N/A,#N/A,FALSE,"Notes"}</definedName>
    <definedName name="Z_0A876AB4_51A1_11D3_B993_00508B0858FC_.wvu.Cols" hidden="1">[119]BCECFM!$H:$L,[119]BCECFM!$O:$AC,[119]BCECFM!$AL:$AS,[119]BCECFM!$BS:$BZ</definedName>
    <definedName name="Z_0A876AB5_51A1_11D3_B993_00508B0858FC_.wvu.Cols" hidden="1">[119]BCECFM!$H:$AC,[119]BCECFM!$AP:$AS</definedName>
    <definedName name="Z_0A876AB6_51A1_11D3_B993_00508B0858FC_.wvu.Cols" hidden="1">'[119]Bell&amp;AIT'!$A:$C,'[119]Bell&amp;AIT'!$H:$P,'[119]Bell&amp;AIT'!$V:$BA</definedName>
    <definedName name="Z_0A876AB7_51A1_11D3_B993_00508B0858FC_.wvu.Cols" hidden="1">'[119]Bell&amp;AIT'!$A:$C,'[119]Bell&amp;AIT'!$H:$P,'[119]Bell&amp;AIT'!$V:$BA</definedName>
    <definedName name="Z_0A876AB8_51A1_11D3_B993_00508B0858FC_.wvu.Cols" hidden="1">[119]BCECFM!$H:$M,[119]BCECFM!$P:$AG,[119]BCECFM!$AP:$AS,[119]BCECFM!$BS:$BZ</definedName>
    <definedName name="Z_0A876AB9_51A1_11D3_B993_00508B0858FC_.wvu.Cols" hidden="1">[119]BCECFM!$H:$AG,[119]BCECFM!$BS:$BY</definedName>
    <definedName name="Z_0A876ABA_51A1_11D3_B993_00508B0858FC_.wvu.Cols" hidden="1">[119]BCECFM!$H:$M,[119]BCECFM!$Q:$AG,[119]BCECFM!$AP:$AS,[119]BCECFM!$BS:$BY</definedName>
    <definedName name="Z_0A876ABB_51A1_11D3_B993_00508B0858FC_.wvu.Cols" hidden="1">[119]BCECFM!$H:$M,[119]BCECFM!$Q:$AG,[119]BCECFM!$BS:$BY</definedName>
    <definedName name="Z_0A876ABD_51A1_11D3_B993_00508B0858FC_.wvu.Cols" hidden="1">[119]BCECFM!$H:$M,[119]BCECFM!$Y:$AS,[119]BCECFM!$BS:$BY</definedName>
    <definedName name="Z_0A876ABE_51A1_11D3_B993_00508B0858FC_.wvu.Cols" hidden="1">[119]BCECFM!$R:$AS,[119]BCECFM!$BS:$CN</definedName>
    <definedName name="Z_0A876ABF_51A1_11D3_B993_00508B0858FC_.wvu.Cols" hidden="1">'[119]Bell&amp;AIT'!$A:$C,'[119]Bell&amp;AIT'!$H:$P,'[119]Bell&amp;AIT'!$V:$BA</definedName>
    <definedName name="Z_0A876AC0_51A1_11D3_B993_00508B0858FC_.wvu.Cols" hidden="1">[119]BCECFM!$H:$I,[119]BCECFM!$T:$AS,[119]BCECFM!$BS:$BY</definedName>
    <definedName name="Z_0A876AC1_51A1_11D3_B993_00508B0858FC_.wvu.Cols" hidden="1">[119]BCECFM!$H:$I,[119]BCECFM!$Q:$S,[119]BCECFM!$Z:$AS,[119]BCECFM!$BS:$BY</definedName>
    <definedName name="Z_0A876AC2_51A1_11D3_B993_00508B0858FC_.wvu.Cols" hidden="1">[119]BCECFM!$H:$K,[119]BCECFM!$Q:$AS</definedName>
    <definedName name="Z_0A876AC3_51A1_11D3_B993_00508B0858FC_.wvu.Cols" hidden="1">'[119]Bell&amp;AIT'!$A:$C,'[119]Bell&amp;AIT'!$H:$P,'[119]Bell&amp;AIT'!$V:$BA</definedName>
    <definedName name="Z_0A876AC4_51A1_11D3_B993_00508B0858FC_.wvu.Cols" hidden="1">'[119]Bell&amp;AIT'!$A:$C,'[119]Bell&amp;AIT'!$H:$P,'[119]Bell&amp;AIT'!$V:$BA</definedName>
    <definedName name="Z_0A876AC5_51A1_11D3_B993_00508B0858FC_.wvu.Cols" hidden="1">[119]BCECFM!$H:$L,[119]BCECFM!$R:$AS</definedName>
    <definedName name="Z_26BA938C_49A2_11D3_B991_00508B0858FC_.wvu.Cols" hidden="1">[119]BCECFM!$H:$L,[119]BCECFM!$O:$AC,[119]BCECFM!$AL:$AS,[119]BCECFM!$BS:$BZ</definedName>
    <definedName name="Z_26BA938D_49A2_11D3_B991_00508B0858FC_.wvu.Cols" hidden="1">[119]BCECFM!$H:$AC,[119]BCECFM!$AP:$AS</definedName>
    <definedName name="Z_26BA938E_49A2_11D3_B991_00508B0858FC_.wvu.Cols" hidden="1">'[119]Bell&amp;AIT'!$H:$P,'[119]Bell&amp;AIT'!$U:$AW</definedName>
    <definedName name="Z_26BA938F_49A2_11D3_B991_00508B0858FC_.wvu.Cols" hidden="1">'[119]Bell&amp;AIT'!$H:$P,'[119]Bell&amp;AIT'!$U:$AW</definedName>
    <definedName name="Z_26BA9390_49A2_11D3_B991_00508B0858FC_.wvu.Cols" hidden="1">[119]BCECFM!$H:$M,[119]BCECFM!$P:$AG,[119]BCECFM!$AP:$AS,[119]BCECFM!$BS:$BZ</definedName>
    <definedName name="Z_26BA9391_49A2_11D3_B991_00508B0858FC_.wvu.Cols" hidden="1">[119]BCECFM!$H:$AG,[119]BCECFM!$BS:$BY</definedName>
    <definedName name="Z_26BA9392_49A2_11D3_B991_00508B0858FC_.wvu.Cols" hidden="1">[119]BCECFM!$H:$M,[119]BCECFM!$Q:$AG,[119]BCECFM!$AP:$AS,[119]BCECFM!$BS:$BY</definedName>
    <definedName name="Z_26BA9393_49A2_11D3_B991_00508B0858FC_.wvu.Cols" hidden="1">[119]BCECFM!$H:$M,[119]BCECFM!$Q:$AG,[119]BCECFM!$BS:$BY</definedName>
    <definedName name="Z_26BA9395_49A2_11D3_B991_00508B0858FC_.wvu.Cols" hidden="1">[119]BCECFM!$H:$M,[119]BCECFM!$Y:$AS,[119]BCECFM!$BS:$BY</definedName>
    <definedName name="Z_26BA9396_49A2_11D3_B991_00508B0858FC_.wvu.Cols" hidden="1">[119]BCECFM!$R:$AS,[119]BCECFM!$BS:$CN</definedName>
    <definedName name="Z_26BA9397_49A2_11D3_B991_00508B0858FC_.wvu.Cols" hidden="1">'[119]Bell&amp;AIT'!$H:$P,'[119]Bell&amp;AIT'!$U:$AW</definedName>
    <definedName name="Z_26BA9398_49A2_11D3_B991_00508B0858FC_.wvu.Cols" hidden="1">[119]BCECFM!$H:$I,[119]BCECFM!$T:$AS,[119]BCECFM!$BS:$BY</definedName>
    <definedName name="Z_26BA9399_49A2_11D3_B991_00508B0858FC_.wvu.Cols" hidden="1">[119]BCECFM!$H:$I,[119]BCECFM!$Q:$S,[119]BCECFM!$Z:$AS,[119]BCECFM!$BS:$BY</definedName>
    <definedName name="Z_26BA939A_49A2_11D3_B991_00508B0858FC_.wvu.Cols" hidden="1">[119]BCECFM!$H:$K,[119]BCECFM!$Q:$AS</definedName>
    <definedName name="Z_26BA939B_49A2_11D3_B991_00508B0858FC_.wvu.Cols" hidden="1">'[119]Bell&amp;AIT'!$H:$P,'[119]Bell&amp;AIT'!$U:$AW</definedName>
    <definedName name="Z_26BA939C_49A2_11D3_B991_00508B0858FC_.wvu.Cols" hidden="1">'[119]Bell&amp;AIT'!$H:$P,'[119]Bell&amp;AIT'!$U:$AW</definedName>
    <definedName name="Z_26BA939D_49A2_11D3_B991_00508B0858FC_.wvu.Cols" hidden="1">[119]BCECFM!$H:$L,[119]BCECFM!$R:$AS</definedName>
    <definedName name="Z_3182D738_4FF9_11D3_B993_00508B0858FC_.wvu.Cols" hidden="1">[119]BCECFM!$H:$L,[119]BCECFM!$O:$AC,[119]BCECFM!$AL:$AS,[119]BCECFM!$BS:$BZ</definedName>
    <definedName name="Z_3182D739_4FF9_11D3_B993_00508B0858FC_.wvu.Cols" hidden="1">[119]BCECFM!$H:$AC,[119]BCECFM!$AP:$AS</definedName>
    <definedName name="Z_3182D73A_4FF9_11D3_B993_00508B0858FC_.wvu.Cols" hidden="1">'[119]Bell&amp;AIT'!$A:$C,'[119]Bell&amp;AIT'!$H:$P,'[119]Bell&amp;AIT'!$V:$BA</definedName>
    <definedName name="Z_3182D73B_4FF9_11D3_B993_00508B0858FC_.wvu.Cols" hidden="1">'[119]Bell&amp;AIT'!$A:$C,'[119]Bell&amp;AIT'!$H:$P,'[119]Bell&amp;AIT'!$V:$BA</definedName>
    <definedName name="Z_3182D73C_4FF9_11D3_B993_00508B0858FC_.wvu.Cols" hidden="1">[119]BCECFM!$H:$M,[119]BCECFM!$P:$AG,[119]BCECFM!$AP:$AS,[119]BCECFM!$BS:$BZ</definedName>
    <definedName name="Z_3182D73D_4FF9_11D3_B993_00508B0858FC_.wvu.Cols" hidden="1">[119]BCECFM!$H:$AG,[119]BCECFM!$BS:$BY</definedName>
    <definedName name="Z_3182D73E_4FF9_11D3_B993_00508B0858FC_.wvu.Cols" hidden="1">[119]BCECFM!$H:$M,[119]BCECFM!$Q:$AG,[119]BCECFM!$AP:$AS,[119]BCECFM!$BS:$BY</definedName>
    <definedName name="Z_3182D73F_4FF9_11D3_B993_00508B0858FC_.wvu.Cols" hidden="1">[119]BCECFM!$H:$M,[119]BCECFM!$Q:$AG,[119]BCECFM!$BS:$BY</definedName>
    <definedName name="Z_3182D741_4FF9_11D3_B993_00508B0858FC_.wvu.Cols" hidden="1">[119]BCECFM!$H:$M,[119]BCECFM!$Y:$AS,[119]BCECFM!$BS:$BY</definedName>
    <definedName name="Z_3182D742_4FF9_11D3_B993_00508B0858FC_.wvu.Cols" hidden="1">[119]BCECFM!$R:$AS,[119]BCECFM!$BS:$CN</definedName>
    <definedName name="Z_3182D743_4FF9_11D3_B993_00508B0858FC_.wvu.Cols" hidden="1">'[119]Bell&amp;AIT'!$A:$C,'[119]Bell&amp;AIT'!$H:$P,'[119]Bell&amp;AIT'!$V:$BA</definedName>
    <definedName name="Z_3182D744_4FF9_11D3_B993_00508B0858FC_.wvu.Cols" hidden="1">[119]BCECFM!$H:$I,[119]BCECFM!$T:$AS,[119]BCECFM!$BS:$BY</definedName>
    <definedName name="Z_3182D745_4FF9_11D3_B993_00508B0858FC_.wvu.Cols" hidden="1">[119]BCECFM!$H:$I,[119]BCECFM!$Q:$S,[119]BCECFM!$Z:$AS,[119]BCECFM!$BS:$BY</definedName>
    <definedName name="Z_3182D746_4FF9_11D3_B993_00508B0858FC_.wvu.Cols" hidden="1">[119]BCECFM!$H:$K,[119]BCECFM!$Q:$AS</definedName>
    <definedName name="Z_3182D747_4FF9_11D3_B993_00508B0858FC_.wvu.Cols" hidden="1">'[119]Bell&amp;AIT'!$A:$C,'[119]Bell&amp;AIT'!$H:$P,'[119]Bell&amp;AIT'!$V:$BA</definedName>
    <definedName name="Z_3182D748_4FF9_11D3_B993_00508B0858FC_.wvu.Cols" hidden="1">'[119]Bell&amp;AIT'!$A:$C,'[119]Bell&amp;AIT'!$H:$P,'[119]Bell&amp;AIT'!$V:$BA</definedName>
    <definedName name="Z_3182D749_4FF9_11D3_B993_00508B0858FC_.wvu.Cols" hidden="1">[119]BCECFM!$H:$L,[119]BCECFM!$R:$AS</definedName>
    <definedName name="Z_4792E379_B4BC_11D3_B99C_00805FBDC31E_.wvu.Cols" hidden="1">[28]SJRCFM!$H:$S,[28]SJRCFM!$U:$U,[28]SJRCFM!$X:$AP,[28]SJRCFM!$BT:$BZ</definedName>
    <definedName name="Z_54E4A682_45BD_11D3_B991_00508B0858FC_.wvu.Cols" hidden="1">[119]BCECFM!$H:$L,[119]BCECFM!$O:$AC,[119]BCECFM!$AL:$AS,[119]BCECFM!$BS:$BZ</definedName>
    <definedName name="Z_54E4A683_45BD_11D3_B991_00508B0858FC_.wvu.Cols" hidden="1">[119]BCECFM!$H:$AC,[119]BCECFM!$AP:$AS</definedName>
    <definedName name="Z_54E4A684_45BD_11D3_B991_00508B0858FC_.wvu.Cols" hidden="1">'[119]Bell&amp;AIT'!$H:$O,'[119]Bell&amp;AIT'!$V:$AW</definedName>
    <definedName name="Z_54E4A685_45BD_11D3_B991_00508B0858FC_.wvu.Cols" hidden="1">'[119]Bell&amp;AIT'!$H:$O,'[119]Bell&amp;AIT'!$V:$AW</definedName>
    <definedName name="Z_54E4A686_45BD_11D3_B991_00508B0858FC_.wvu.Cols" hidden="1">[119]BCECFM!$H:$M,[119]BCECFM!$P:$AG,[119]BCECFM!$AP:$AS,[119]BCECFM!$BS:$BZ</definedName>
    <definedName name="Z_54E4A687_45BD_11D3_B991_00508B0858FC_.wvu.Cols" hidden="1">[119]BCECFM!$H:$AG,[119]BCECFM!$BS:$BY</definedName>
    <definedName name="Z_54E4A688_45BD_11D3_B991_00508B0858FC_.wvu.Cols" hidden="1">[119]BCECFM!$H:$M,[119]BCECFM!$Q:$AG,[119]BCECFM!$AP:$AS,[119]BCECFM!$BS:$BY</definedName>
    <definedName name="Z_54E4A689_45BD_11D3_B991_00508B0858FC_.wvu.Cols" hidden="1">[119]BCECFM!$H:$M,[119]BCECFM!$Q:$AG,[119]BCECFM!$BS:$BY</definedName>
    <definedName name="Z_54E4A68B_45BD_11D3_B991_00508B0858FC_.wvu.Cols" hidden="1">[119]BCECFM!$H:$M,[119]BCECFM!$Y:$AS,[119]BCECFM!$BS:$BY</definedName>
    <definedName name="Z_54E4A68C_45BD_11D3_B991_00508B0858FC_.wvu.Cols" hidden="1">[119]BCECFM!$R:$AS,[119]BCECFM!$BS:$CN</definedName>
    <definedName name="Z_54E4A68D_45BD_11D3_B991_00508B0858FC_.wvu.Cols" hidden="1">'[119]Bell&amp;AIT'!$H:$O,'[119]Bell&amp;AIT'!$V:$AW</definedName>
    <definedName name="Z_54E4A68E_45BD_11D3_B991_00508B0858FC_.wvu.Cols" hidden="1">[119]BCECFM!$H:$I,[119]BCECFM!$T:$AS,[119]BCECFM!$BS:$BY</definedName>
    <definedName name="Z_54E4A68F_45BD_11D3_B991_00508B0858FC_.wvu.Cols" hidden="1">[119]BCECFM!$H:$I,[119]BCECFM!$Q:$S,[119]BCECFM!$Z:$AS,[119]BCECFM!$BS:$BY</definedName>
    <definedName name="Z_54E4A690_45BD_11D3_B991_00508B0858FC_.wvu.Cols" hidden="1">[119]BCECFM!$H:$K,[119]BCECFM!$Q:$AS</definedName>
    <definedName name="Z_54E4A691_45BD_11D3_B991_00508B0858FC_.wvu.Cols" hidden="1">'[119]Bell&amp;AIT'!$H:$O,'[119]Bell&amp;AIT'!$V:$AW</definedName>
    <definedName name="Z_54E4A692_45BD_11D3_B991_00508B0858FC_.wvu.Cols" hidden="1">'[119]Bell&amp;AIT'!$H:$O,'[119]Bell&amp;AIT'!$V:$AW</definedName>
    <definedName name="Z_54E4A693_45BD_11D3_B991_00508B0858FC_.wvu.Cols" hidden="1">[119]BCECFM!$H:$L,[119]BCECFM!$R:$AS</definedName>
    <definedName name="Z_754939F2_4469_11D3_B990_00508B0858FC_.wvu.Cols" hidden="1">[119]BCECFM!$H:$L,[119]BCECFM!$O:$AC,[119]BCECFM!$AL:$AS,[119]BCECFM!$BS:$BZ</definedName>
    <definedName name="Z_754939F3_4469_11D3_B990_00508B0858FC_.wvu.Cols" hidden="1">[119]BCECFM!$H:$AC,[119]BCECFM!$AP:$AS</definedName>
    <definedName name="Z_754939F4_4469_11D3_B990_00508B0858FC_.wvu.Cols" hidden="1">'[119]Bell&amp;AIT'!$H:$O,'[119]Bell&amp;AIT'!$V:$AW</definedName>
    <definedName name="Z_754939F5_4469_11D3_B990_00508B0858FC_.wvu.Cols" hidden="1">'[119]Bell&amp;AIT'!$H:$O,'[119]Bell&amp;AIT'!$V:$AW</definedName>
    <definedName name="Z_754939F6_4469_11D3_B990_00508B0858FC_.wvu.Cols" hidden="1">[119]BCECFM!$H:$M,[119]BCECFM!$P:$AG,[119]BCECFM!$AP:$AS,[119]BCECFM!$BS:$BZ</definedName>
    <definedName name="Z_754939F7_4469_11D3_B990_00508B0858FC_.wvu.Cols" hidden="1">[119]BCECFM!$H:$AG,[119]BCECFM!$BS:$BY</definedName>
    <definedName name="Z_754939F8_4469_11D3_B990_00508B0858FC_.wvu.Cols" hidden="1">[119]BCECFM!$H:$M,[119]BCECFM!$Q:$AG,[119]BCECFM!$AP:$AS,[119]BCECFM!$BS:$BY</definedName>
    <definedName name="Z_754939F9_4469_11D3_B990_00508B0858FC_.wvu.Cols" hidden="1">[119]BCECFM!$H:$M,[119]BCECFM!$Q:$AG,[119]BCECFM!$BS:$BY</definedName>
    <definedName name="Z_754939FB_4469_11D3_B990_00508B0858FC_.wvu.Cols" hidden="1">[119]BCECFM!$H:$M,[119]BCECFM!$Y:$AS,[119]BCECFM!$BS:$BY</definedName>
    <definedName name="Z_754939FC_4469_11D3_B990_00508B0858FC_.wvu.Cols" hidden="1">[119]BCECFM!$R:$AS,[119]BCECFM!$BS:$CN</definedName>
    <definedName name="Z_754939FD_4469_11D3_B990_00508B0858FC_.wvu.Cols" hidden="1">'[119]Bell&amp;AIT'!$H:$O,'[119]Bell&amp;AIT'!$V:$AW</definedName>
    <definedName name="Z_754939FE_4469_11D3_B990_00508B0858FC_.wvu.Cols" hidden="1">[119]BCECFM!$H:$I,[119]BCECFM!$T:$AS,[119]BCECFM!$BS:$BY</definedName>
    <definedName name="Z_754939FF_4469_11D3_B990_00508B0858FC_.wvu.Cols" hidden="1">[119]BCECFM!$H:$I,[119]BCECFM!$Q:$S,[119]BCECFM!$Z:$AS,[119]BCECFM!$BS:$BY</definedName>
    <definedName name="Z_75493A00_4469_11D3_B990_00508B0858FC_.wvu.Cols" hidden="1">[119]BCECFM!$H:$K,[119]BCECFM!$Q:$AS</definedName>
    <definedName name="Z_75493A01_4469_11D3_B990_00508B0858FC_.wvu.Cols" hidden="1">'[119]Bell&amp;AIT'!$H:$O,'[119]Bell&amp;AIT'!$V:$AW</definedName>
    <definedName name="Z_75493A02_4469_11D3_B990_00508B0858FC_.wvu.Cols" hidden="1">'[119]Bell&amp;AIT'!$H:$O,'[119]Bell&amp;AIT'!$V:$AW</definedName>
    <definedName name="Z_75493A03_4469_11D3_B990_00508B0858FC_.wvu.Cols" hidden="1">[119]BCECFM!$H:$L,[119]BCECFM!$R:$AS</definedName>
    <definedName name="Z_7826F831_49CF_11D3_B991_00508B0858FC_.wvu.Cols" hidden="1">[119]BCECFM!$H:$L,[119]BCECFM!$O:$AC,[119]BCECFM!$AL:$AS,[119]BCECFM!$BS:$BZ</definedName>
    <definedName name="Z_7826F832_49CF_11D3_B991_00508B0858FC_.wvu.Cols" hidden="1">[119]BCECFM!$H:$AC,[119]BCECFM!$AP:$AS</definedName>
    <definedName name="Z_7826F833_49CF_11D3_B991_00508B0858FC_.wvu.Cols" hidden="1">'[119]Bell&amp;AIT'!$A:$C,'[119]Bell&amp;AIT'!$H:$P,'[119]Bell&amp;AIT'!$V:$AW</definedName>
    <definedName name="Z_7826F834_49CF_11D3_B991_00508B0858FC_.wvu.Cols" hidden="1">'[119]Bell&amp;AIT'!$A:$C,'[119]Bell&amp;AIT'!$H:$P,'[119]Bell&amp;AIT'!$V:$AW</definedName>
    <definedName name="Z_7826F835_49CF_11D3_B991_00508B0858FC_.wvu.Cols" hidden="1">[119]BCECFM!$H:$M,[119]BCECFM!$P:$AG,[119]BCECFM!$AP:$AS,[119]BCECFM!$BS:$BZ</definedName>
    <definedName name="Z_7826F836_49CF_11D3_B991_00508B0858FC_.wvu.Cols" hidden="1">[119]BCECFM!$H:$AG,[119]BCECFM!$BS:$BY</definedName>
    <definedName name="Z_7826F837_49CF_11D3_B991_00508B0858FC_.wvu.Cols" hidden="1">[119]BCECFM!$H:$M,[119]BCECFM!$Q:$AG,[119]BCECFM!$AP:$AS,[119]BCECFM!$BS:$BY</definedName>
    <definedName name="Z_7826F838_49CF_11D3_B991_00508B0858FC_.wvu.Cols" hidden="1">[119]BCECFM!$H:$M,[119]BCECFM!$Q:$AG,[119]BCECFM!$BS:$BY</definedName>
    <definedName name="Z_7826F83A_49CF_11D3_B991_00508B0858FC_.wvu.Cols" hidden="1">[119]BCECFM!$H:$M,[119]BCECFM!$Y:$AS,[119]BCECFM!$BS:$BY</definedName>
    <definedName name="Z_7826F83B_49CF_11D3_B991_00508B0858FC_.wvu.Cols" hidden="1">[119]BCECFM!$R:$AS,[119]BCECFM!$BS:$CN</definedName>
    <definedName name="Z_7826F83C_49CF_11D3_B991_00508B0858FC_.wvu.Cols" hidden="1">'[119]Bell&amp;AIT'!$A:$C,'[119]Bell&amp;AIT'!$H:$P,'[119]Bell&amp;AIT'!$V:$AW</definedName>
    <definedName name="Z_7826F83D_49CF_11D3_B991_00508B0858FC_.wvu.Cols" hidden="1">[119]BCECFM!$H:$I,[119]BCECFM!$T:$AS,[119]BCECFM!$BS:$BY</definedName>
    <definedName name="Z_7826F83E_49CF_11D3_B991_00508B0858FC_.wvu.Cols" hidden="1">[119]BCECFM!$H:$I,[119]BCECFM!$Q:$S,[119]BCECFM!$Z:$AS,[119]BCECFM!$BS:$BY</definedName>
    <definedName name="Z_7826F83F_49CF_11D3_B991_00508B0858FC_.wvu.Cols" hidden="1">[119]BCECFM!$H:$K,[119]BCECFM!$Q:$AS</definedName>
    <definedName name="Z_7826F840_49CF_11D3_B991_00508B0858FC_.wvu.Cols" hidden="1">'[119]Bell&amp;AIT'!$A:$C,'[119]Bell&amp;AIT'!$H:$P,'[119]Bell&amp;AIT'!$V:$AW</definedName>
    <definedName name="Z_7826F841_49CF_11D3_B991_00508B0858FC_.wvu.Cols" hidden="1">'[119]Bell&amp;AIT'!$A:$C,'[119]Bell&amp;AIT'!$H:$P,'[119]Bell&amp;AIT'!$V:$AW</definedName>
    <definedName name="Z_7826F842_49CF_11D3_B991_00508B0858FC_.wvu.Cols" hidden="1">[119]BCECFM!$H:$L,[119]BCECFM!$R:$AS</definedName>
    <definedName name="Z_7872D404_95F8_11D3_B99B_00508B0858FC_.wvu.Cols" hidden="1">[119]BCECFM!$H:$L,[119]BCECFM!$O:$AC,[119]BCECFM!$AL:$AS,[119]BCECFM!$BS:$BZ</definedName>
    <definedName name="Z_7872D405_95F8_11D3_B99B_00508B0858FC_.wvu.Cols" hidden="1">[119]BCECFM!$H:$AC,[119]BCECFM!$AP:$AS</definedName>
    <definedName name="Z_7872D406_95F8_11D3_B99B_00508B0858FC_.wvu.Cols" hidden="1">'[119]Bell&amp;AIT'!$A:$C,'[119]Bell&amp;AIT'!$H:$P,'[119]Bell&amp;AIT'!$V:$AW</definedName>
    <definedName name="Z_7872D407_95F8_11D3_B99B_00508B0858FC_.wvu.Cols" hidden="1">'[119]Bell&amp;AIT'!$A:$C,'[119]Bell&amp;AIT'!$H:$P,'[119]Bell&amp;AIT'!$V:$AW</definedName>
    <definedName name="Z_7872D408_95F8_11D3_B99B_00508B0858FC_.wvu.Cols" hidden="1">[119]BCECFM!$H:$M,[119]BCECFM!$P:$AG,[119]BCECFM!$AP:$AS,[119]BCECFM!$BS:$BZ</definedName>
    <definedName name="Z_7872D409_95F8_11D3_B99B_00508B0858FC_.wvu.Cols" hidden="1">[119]BCECFM!$H:$AG,[119]BCECFM!$BS:$BY</definedName>
    <definedName name="Z_7872D40A_95F8_11D3_B99B_00508B0858FC_.wvu.Cols" hidden="1">[119]BCECFM!$H:$M,[119]BCECFM!$Q:$AG,[119]BCECFM!$AP:$AS,[119]BCECFM!$BS:$BY</definedName>
    <definedName name="Z_7872D40B_95F8_11D3_B99B_00508B0858FC_.wvu.Cols" hidden="1">[119]BCECFM!$H:$M,[119]BCECFM!$Q:$AG,[119]BCECFM!$BS:$BY</definedName>
    <definedName name="Z_7872D40D_95F8_11D3_B99B_00508B0858FC_.wvu.Cols" hidden="1">[119]BCECFM!$H:$M,[119]BCECFM!$Y:$AS,[119]BCECFM!$BS:$BY</definedName>
    <definedName name="Z_7872D40E_95F8_11D3_B99B_00508B0858FC_.wvu.Cols" hidden="1">[119]BCECFM!$R:$AS,[119]BCECFM!$BS:$CN</definedName>
    <definedName name="Z_7872D40F_95F8_11D3_B99B_00508B0858FC_.wvu.Cols" hidden="1">'[119]Bell&amp;AIT'!$A:$C,'[119]Bell&amp;AIT'!$H:$P,'[119]Bell&amp;AIT'!$V:$AW</definedName>
    <definedName name="Z_7872D410_95F8_11D3_B99B_00508B0858FC_.wvu.Cols" hidden="1">[119]BCECFM!$H:$I,[119]BCECFM!$T:$AS,[119]BCECFM!$BS:$BY</definedName>
    <definedName name="Z_7872D411_95F8_11D3_B99B_00508B0858FC_.wvu.Cols" hidden="1">[119]BCECFM!$H:$I,[119]BCECFM!$Q:$S,[119]BCECFM!$Z:$AS,[119]BCECFM!$BS:$BY</definedName>
    <definedName name="Z_7872D412_95F8_11D3_B99B_00508B0858FC_.wvu.Cols" hidden="1">[119]BCECFM!$H:$K,[119]BCECFM!$Q:$AS</definedName>
    <definedName name="Z_7872D413_95F8_11D3_B99B_00508B0858FC_.wvu.Cols" hidden="1">'[119]Bell&amp;AIT'!$A:$C,'[119]Bell&amp;AIT'!$H:$P,'[119]Bell&amp;AIT'!$V:$AW</definedName>
    <definedName name="Z_7872D414_95F8_11D3_B99B_00508B0858FC_.wvu.Cols" hidden="1">'[119]Bell&amp;AIT'!$A:$C,'[119]Bell&amp;AIT'!$H:$P,'[119]Bell&amp;AIT'!$V:$AW</definedName>
    <definedName name="Z_7872D415_95F8_11D3_B99B_00508B0858FC_.wvu.Cols" hidden="1">[119]BCECFM!$H:$L,[119]BCECFM!$R:$AS</definedName>
    <definedName name="Z_99D03AE9_93A6_11D3_B999_00805FFDEA76_.wvu.Cols" hidden="1">[28]SJRCFM!$H:$O,[28]SJRCFM!$R:$S,[28]SJRCFM!$U:$V,[28]SJRCFM!$Y:$AX</definedName>
    <definedName name="Z_99D03AE9_93A6_11D3_B999_00805FFDEA76_.wvu.Rows" hidden="1">[28]SJRCFM!#REF!,[28]SJRCFM!#REF!</definedName>
    <definedName name="Z_9E31E4B1_44EC_11D3_B990_00508B0858FC_.wvu.Cols" hidden="1">[119]BCECFM!$H:$L,[119]BCECFM!$O:$AC,[119]BCECFM!$AL:$AS,[119]BCECFM!$BS:$BZ</definedName>
    <definedName name="Z_9E31E4B2_44EC_11D3_B990_00508B0858FC_.wvu.Cols" hidden="1">[119]BCECFM!$H:$AC,[119]BCECFM!$AP:$AS</definedName>
    <definedName name="Z_9E31E4B3_44EC_11D3_B990_00508B0858FC_.wvu.Cols" hidden="1">'[119]Bell&amp;AIT'!$H:$O,'[119]Bell&amp;AIT'!$V:$AW</definedName>
    <definedName name="Z_9E31E4B4_44EC_11D3_B990_00508B0858FC_.wvu.Cols" hidden="1">'[119]Bell&amp;AIT'!$H:$O,'[119]Bell&amp;AIT'!$V:$AW</definedName>
    <definedName name="Z_9E31E4B5_44EC_11D3_B990_00508B0858FC_.wvu.Cols" hidden="1">[119]BCECFM!$H:$M,[119]BCECFM!$P:$AG,[119]BCECFM!$AP:$AS,[119]BCECFM!$BS:$BZ</definedName>
    <definedName name="Z_9E31E4B6_44EC_11D3_B990_00508B0858FC_.wvu.Cols" hidden="1">[119]BCECFM!$H:$AG,[119]BCECFM!$BS:$BY</definedName>
    <definedName name="Z_9E31E4B7_44EC_11D3_B990_00508B0858FC_.wvu.Cols" hidden="1">[119]BCECFM!$H:$M,[119]BCECFM!$Q:$AG,[119]BCECFM!$AP:$AS,[119]BCECFM!$BS:$BY</definedName>
    <definedName name="Z_9E31E4B8_44EC_11D3_B990_00508B0858FC_.wvu.Cols" hidden="1">[119]BCECFM!$H:$M,[119]BCECFM!$Q:$AG,[119]BCECFM!$BS:$BY</definedName>
    <definedName name="Z_9E31E4BA_44EC_11D3_B990_00508B0858FC_.wvu.Cols" hidden="1">[119]BCECFM!$H:$M,[119]BCECFM!$Y:$AS,[119]BCECFM!$BS:$BY</definedName>
    <definedName name="Z_9E31E4BB_44EC_11D3_B990_00508B0858FC_.wvu.Cols" hidden="1">[119]BCECFM!$R:$AS,[119]BCECFM!$BS:$CN</definedName>
    <definedName name="Z_9E31E4BC_44EC_11D3_B990_00508B0858FC_.wvu.Cols" hidden="1">'[119]Bell&amp;AIT'!$H:$O,'[119]Bell&amp;AIT'!$V:$AW</definedName>
    <definedName name="Z_9E31E4BD_44EC_11D3_B990_00508B0858FC_.wvu.Cols" hidden="1">[119]BCECFM!$H:$I,[119]BCECFM!$T:$AS,[119]BCECFM!$BS:$BY</definedName>
    <definedName name="Z_9E31E4BE_44EC_11D3_B990_00508B0858FC_.wvu.Cols" hidden="1">[119]BCECFM!$H:$I,[119]BCECFM!$Q:$S,[119]BCECFM!$Z:$AS,[119]BCECFM!$BS:$BY</definedName>
    <definedName name="Z_9E31E4BF_44EC_11D3_B990_00508B0858FC_.wvu.Cols" hidden="1">[119]BCECFM!$H:$K,[119]BCECFM!$Q:$AS</definedName>
    <definedName name="Z_9E31E4C0_44EC_11D3_B990_00508B0858FC_.wvu.Cols" hidden="1">'[119]Bell&amp;AIT'!$H:$O,'[119]Bell&amp;AIT'!$V:$AW</definedName>
    <definedName name="Z_9E31E4C1_44EC_11D3_B990_00508B0858FC_.wvu.Cols" hidden="1">'[119]Bell&amp;AIT'!$H:$O,'[119]Bell&amp;AIT'!$V:$AW</definedName>
    <definedName name="Z_9E31E4C2_44EC_11D3_B990_00508B0858FC_.wvu.Cols" hidden="1">[119]BCECFM!$H:$L,[119]BCECFM!$R:$AS</definedName>
    <definedName name="Z_9E31E5D8_44EC_11D3_B990_00508B0858FC_.wvu.Cols" hidden="1">[119]BCECFM!$H:$L,[119]BCECFM!$O:$AC,[119]BCECFM!$AL:$AS,[119]BCECFM!$BS:$BZ</definedName>
    <definedName name="Z_9E31E5D9_44EC_11D3_B990_00508B0858FC_.wvu.Cols" hidden="1">[119]BCECFM!$H:$AC,[119]BCECFM!$AP:$AS</definedName>
    <definedName name="Z_9E31E5DA_44EC_11D3_B990_00508B0858FC_.wvu.Cols" hidden="1">'[119]Bell&amp;AIT'!$H:$O,'[119]Bell&amp;AIT'!$V:$AW</definedName>
    <definedName name="Z_9E31E5DB_44EC_11D3_B990_00508B0858FC_.wvu.Cols" hidden="1">'[119]Bell&amp;AIT'!$H:$O,'[119]Bell&amp;AIT'!$V:$AW</definedName>
    <definedName name="Z_9E31E5DC_44EC_11D3_B990_00508B0858FC_.wvu.Cols" hidden="1">[119]BCECFM!$H:$M,[119]BCECFM!$P:$AG,[119]BCECFM!$AP:$AS,[119]BCECFM!$BS:$BZ</definedName>
    <definedName name="Z_9E31E5DD_44EC_11D3_B990_00508B0858FC_.wvu.Cols" hidden="1">[119]BCECFM!$H:$AG,[119]BCECFM!$BS:$BY</definedName>
    <definedName name="Z_9E31E5DE_44EC_11D3_B990_00508B0858FC_.wvu.Cols" hidden="1">[119]BCECFM!$H:$M,[119]BCECFM!$Q:$AG,[119]BCECFM!$AP:$AS,[119]BCECFM!$BS:$BY</definedName>
    <definedName name="Z_9E31E5DF_44EC_11D3_B990_00508B0858FC_.wvu.Cols" hidden="1">[119]BCECFM!$H:$M,[119]BCECFM!$Q:$AG,[119]BCECFM!$BS:$BY</definedName>
    <definedName name="Z_9E31E5E1_44EC_11D3_B990_00508B0858FC_.wvu.Cols" hidden="1">[119]BCECFM!$H:$M,[119]BCECFM!$Y:$AS,[119]BCECFM!$BS:$BY</definedName>
    <definedName name="Z_9E31E5E2_44EC_11D3_B990_00508B0858FC_.wvu.Cols" hidden="1">[119]BCECFM!$R:$AS,[119]BCECFM!$BS:$CN</definedName>
    <definedName name="Z_9E31E5E3_44EC_11D3_B990_00508B0858FC_.wvu.Cols" hidden="1">'[119]Bell&amp;AIT'!$H:$O,'[119]Bell&amp;AIT'!$V:$AW</definedName>
    <definedName name="Z_9E31E5E4_44EC_11D3_B990_00508B0858FC_.wvu.Cols" hidden="1">[119]BCECFM!$H:$I,[119]BCECFM!$T:$AS,[119]BCECFM!$BS:$BY</definedName>
    <definedName name="Z_9E31E5E5_44EC_11D3_B990_00508B0858FC_.wvu.Cols" hidden="1">[119]BCECFM!$H:$I,[119]BCECFM!$Q:$S,[119]BCECFM!$Z:$AS,[119]BCECFM!$BS:$BY</definedName>
    <definedName name="Z_9E31E5E6_44EC_11D3_B990_00508B0858FC_.wvu.Cols" hidden="1">[119]BCECFM!$H:$K,[119]BCECFM!$Q:$AS</definedName>
    <definedName name="Z_9E31E5E7_44EC_11D3_B990_00508B0858FC_.wvu.Cols" hidden="1">'[119]Bell&amp;AIT'!$H:$O,'[119]Bell&amp;AIT'!$V:$AW</definedName>
    <definedName name="Z_9E31E5E8_44EC_11D3_B990_00508B0858FC_.wvu.Cols" hidden="1">'[119]Bell&amp;AIT'!$H:$O,'[119]Bell&amp;AIT'!$V:$AW</definedName>
    <definedName name="Z_9E31E5E9_44EC_11D3_B990_00508B0858FC_.wvu.Cols" hidden="1">[119]BCECFM!$H:$L,[119]BCECFM!$R:$AS</definedName>
    <definedName name="Z_D8660EEA_4B6E_11D3_B994_00805FFDEA76_.wvu.Cols" hidden="1">[28]SJRCFM!$H:$P,[28]SJRCFM!$W:$AL,[28]SJRCFM!$AU:$AX,[28]SJRCFM!$BT:$BZ</definedName>
    <definedName name="Z_D8660EEB_4B6E_11D3_B994_00805FFDEA76_.wvu.Cols" hidden="1">[28]SJRCFM!$H:$Q,[28]SJRCFM!$X:$AP,[28]SJRCFM!$BT:$BZ</definedName>
    <definedName name="Z_D8660EEC_4B6E_11D3_B994_00805FFDEA76_.wvu.Cols" hidden="1">[28]SJRCFM!$T:$AP,[28]SJRCFM!$BT:$CO</definedName>
    <definedName name="Z_D8660EED_4B6E_11D3_B994_00805FFDEA76_.wvu.Cols" hidden="1">[28]SJRCFM!$H:$I,[28]SJRCFM!$X:$AP,[28]SJRCFM!$BT:$BZ</definedName>
    <definedName name="Z_D8660EEE_4B6E_11D3_B994_00805FFDEA76_.wvu.Cols" hidden="1">[28]SJRCFM!$H:$N,[28]SJRCFM!$X:$AT</definedName>
    <definedName name="Z_D8660EEE_4B6E_11D3_B994_00805FFDEA76_.wvu.Rows" hidden="1">[28]SJRCFM!#REF!,[28]SJRCFM!#REF!</definedName>
    <definedName name="Z_D8660EEF_4B6E_11D3_B994_00805FFDEA76_.wvu.Cols" hidden="1">[28]SJRCFM!$H:$O,[28]SJRCFM!$Y:$AX</definedName>
    <definedName name="Z_D8660EEF_4B6E_11D3_B994_00805FFDEA76_.wvu.Rows" hidden="1">[28]SJRCFM!#REF!,[28]SJRCFM!#REF!</definedName>
    <definedName name="Z_E6AF65FC_4681_11D3_B991_00508B0858FC_.wvu.Cols" hidden="1">[119]BCECFM!$H:$L,[119]BCECFM!$O:$AC,[119]BCECFM!$AL:$AS,[119]BCECFM!$BS:$BZ</definedName>
    <definedName name="Z_E6AF65FD_4681_11D3_B991_00508B0858FC_.wvu.Cols" hidden="1">[119]BCECFM!$H:$AC,[119]BCECFM!$AP:$AS</definedName>
    <definedName name="Z_E6AF65FE_4681_11D3_B991_00508B0858FC_.wvu.Cols" hidden="1">'[119]Bell&amp;AIT'!$H:$O,'[119]Bell&amp;AIT'!$V:$AW</definedName>
    <definedName name="Z_E6AF65FF_4681_11D3_B991_00508B0858FC_.wvu.Cols" hidden="1">'[119]Bell&amp;AIT'!$H:$O,'[119]Bell&amp;AIT'!$V:$AW</definedName>
    <definedName name="Z_E6AF6600_4681_11D3_B991_00508B0858FC_.wvu.Cols" hidden="1">[119]BCECFM!$H:$M,[119]BCECFM!$P:$AG,[119]BCECFM!$AP:$AS,[119]BCECFM!$BS:$BZ</definedName>
    <definedName name="Z_E6AF6601_4681_11D3_B991_00508B0858FC_.wvu.Cols" hidden="1">[119]BCECFM!$H:$AG,[119]BCECFM!$BS:$BY</definedName>
    <definedName name="Z_E6AF6602_4681_11D3_B991_00508B0858FC_.wvu.Cols" hidden="1">[119]BCECFM!$H:$M,[119]BCECFM!$Q:$AG,[119]BCECFM!$AP:$AS,[119]BCECFM!$BS:$BY</definedName>
    <definedName name="Z_E6AF6603_4681_11D3_B991_00508B0858FC_.wvu.Cols" hidden="1">[119]BCECFM!$H:$M,[119]BCECFM!$Q:$AG,[119]BCECFM!$BS:$BY</definedName>
    <definedName name="Z_E6AF6605_4681_11D3_B991_00508B0858FC_.wvu.Cols" hidden="1">[119]BCECFM!$H:$M,[119]BCECFM!$Y:$AS,[119]BCECFM!$BS:$BY</definedName>
    <definedName name="Z_E6AF6606_4681_11D3_B991_00508B0858FC_.wvu.Cols" hidden="1">[119]BCECFM!$R:$AS,[119]BCECFM!$BS:$CN</definedName>
    <definedName name="Z_E6AF6607_4681_11D3_B991_00508B0858FC_.wvu.Cols" hidden="1">'[119]Bell&amp;AIT'!$H:$O,'[119]Bell&amp;AIT'!$V:$AW</definedName>
    <definedName name="Z_E6AF6608_4681_11D3_B991_00508B0858FC_.wvu.Cols" hidden="1">[119]BCECFM!$H:$I,[119]BCECFM!$T:$AS,[119]BCECFM!$BS:$BY</definedName>
    <definedName name="Z_E6AF6609_4681_11D3_B991_00508B0858FC_.wvu.Cols" hidden="1">[119]BCECFM!$H:$I,[119]BCECFM!$Q:$S,[119]BCECFM!$Z:$AS,[119]BCECFM!$BS:$BY</definedName>
    <definedName name="Z_E6AF660A_4681_11D3_B991_00508B0858FC_.wvu.Cols" hidden="1">[119]BCECFM!$H:$K,[119]BCECFM!$Q:$AS</definedName>
    <definedName name="Z_E6AF660B_4681_11D3_B991_00508B0858FC_.wvu.Cols" hidden="1">'[119]Bell&amp;AIT'!$H:$O,'[119]Bell&amp;AIT'!$V:$AW</definedName>
    <definedName name="Z_E6AF660C_4681_11D3_B991_00508B0858FC_.wvu.Cols" hidden="1">'[119]Bell&amp;AIT'!$H:$O,'[119]Bell&amp;AIT'!$V:$AW</definedName>
    <definedName name="Z_E6AF660D_4681_11D3_B991_00508B0858FC_.wvu.Cols" hidden="1">[119]BCECFM!$H:$L,[119]BCECFM!$R:$AS</definedName>
    <definedName name="Z_E8006134_4A6A_11D3_B991_00508B0858FC_.wvu.Cols" hidden="1">[119]BCECFM!$H:$L,[119]BCECFM!$O:$AC,[119]BCECFM!$AL:$AS,[119]BCECFM!$BS:$BZ</definedName>
    <definedName name="Z_E8006135_4A6A_11D3_B991_00508B0858FC_.wvu.Cols" hidden="1">[119]BCECFM!$H:$AC,[119]BCECFM!$AP:$AS</definedName>
    <definedName name="Z_E8006136_4A6A_11D3_B991_00508B0858FC_.wvu.Cols" hidden="1">'[119]Bell&amp;AIT'!$A:$C,'[119]Bell&amp;AIT'!$H:$P,'[119]Bell&amp;AIT'!$V:$AZ</definedName>
    <definedName name="Z_E8006137_4A6A_11D3_B991_00508B0858FC_.wvu.Cols" hidden="1">'[119]Bell&amp;AIT'!$A:$C,'[119]Bell&amp;AIT'!$H:$P,'[119]Bell&amp;AIT'!$V:$AZ</definedName>
    <definedName name="Z_E8006138_4A6A_11D3_B991_00508B0858FC_.wvu.Cols" hidden="1">[119]BCECFM!$H:$M,[119]BCECFM!$P:$AG,[119]BCECFM!$AP:$AS,[119]BCECFM!$BS:$BZ</definedName>
    <definedName name="Z_E8006139_4A6A_11D3_B991_00508B0858FC_.wvu.Cols" hidden="1">[119]BCECFM!$H:$AG,[119]BCECFM!$BS:$BY</definedName>
    <definedName name="Z_E800613A_4A6A_11D3_B991_00508B0858FC_.wvu.Cols" hidden="1">[119]BCECFM!$H:$M,[119]BCECFM!$Q:$AG,[119]BCECFM!$AP:$AS,[119]BCECFM!$BS:$BY</definedName>
    <definedName name="Z_E800613B_4A6A_11D3_B991_00508B0858FC_.wvu.Cols" hidden="1">[119]BCECFM!$H:$M,[119]BCECFM!$Q:$AG,[119]BCECFM!$BS:$BY</definedName>
    <definedName name="Z_E800613D_4A6A_11D3_B991_00508B0858FC_.wvu.Cols" hidden="1">[119]BCECFM!$H:$M,[119]BCECFM!$Y:$AS,[119]BCECFM!$BS:$BY</definedName>
    <definedName name="Z_E800613E_4A6A_11D3_B991_00508B0858FC_.wvu.Cols" hidden="1">[119]BCECFM!$R:$AS,[119]BCECFM!$BS:$CN</definedName>
    <definedName name="Z_E800613F_4A6A_11D3_B991_00508B0858FC_.wvu.Cols" hidden="1">'[119]Bell&amp;AIT'!$A:$C,'[119]Bell&amp;AIT'!$H:$P,'[119]Bell&amp;AIT'!$V:$AZ</definedName>
    <definedName name="Z_E8006140_4A6A_11D3_B991_00508B0858FC_.wvu.Cols" hidden="1">[119]BCECFM!$H:$I,[119]BCECFM!$T:$AS,[119]BCECFM!$BS:$BY</definedName>
    <definedName name="Z_E8006141_4A6A_11D3_B991_00508B0858FC_.wvu.Cols" hidden="1">[119]BCECFM!$H:$I,[119]BCECFM!$Q:$S,[119]BCECFM!$Z:$AS,[119]BCECFM!$BS:$BY</definedName>
    <definedName name="Z_E8006142_4A6A_11D3_B991_00508B0858FC_.wvu.Cols" hidden="1">[119]BCECFM!$H:$K,[119]BCECFM!$Q:$AS</definedName>
    <definedName name="Z_E8006143_4A6A_11D3_B991_00508B0858FC_.wvu.Cols" hidden="1">'[119]Bell&amp;AIT'!$A:$C,'[119]Bell&amp;AIT'!$H:$P,'[119]Bell&amp;AIT'!$V:$AZ</definedName>
    <definedName name="Z_E8006144_4A6A_11D3_B991_00508B0858FC_.wvu.Cols" hidden="1">'[119]Bell&amp;AIT'!$A:$C,'[119]Bell&amp;AIT'!$H:$P,'[119]Bell&amp;AIT'!$V:$AZ</definedName>
    <definedName name="Z_E8006145_4A6A_11D3_B991_00508B0858FC_.wvu.Cols" hidden="1">[119]BCECFM!$H:$L,[119]BCECFM!$R:$AS</definedName>
    <definedName name="Z_FE269F3F_49B1_11D3_B992_00805FBDC31E_.wvu.Cols" hidden="1">[28]SJRCFM!$H:$P,[28]SJRCFM!$W:$AL,[28]SJRCFM!$AU:$AX,[28]SJRCFM!$BT:$BZ</definedName>
    <definedName name="Z_FE269F40_49B1_11D3_B992_00805FBDC31E_.wvu.Cols" hidden="1">[28]SJRCFM!$H:$Q,[28]SJRCFM!$X:$AP,[28]SJRCFM!$BT:$BZ</definedName>
    <definedName name="Z_FE269F41_49B1_11D3_B992_00805FBDC31E_.wvu.Cols" hidden="1">[28]SJRCFM!$T:$AP,[28]SJRCFM!$BT:$CO</definedName>
    <definedName name="Z_FE269F42_49B1_11D3_B992_00805FBDC31E_.wvu.Cols" hidden="1">[28]SJRCFM!$H:$I,[28]SJRCFM!$X:$AP,[28]SJRCFM!$BT:$BZ</definedName>
    <definedName name="Z_FE269F43_49B1_11D3_B992_00805FBDC31E_.wvu.Cols" hidden="1">[28]SJRCFM!$H:$N,[28]SJRCFM!$X:$AT</definedName>
    <definedName name="Z_FE269F43_49B1_11D3_B992_00805FBDC31E_.wvu.Rows" hidden="1">[28]SJRCFM!#REF!,[28]SJRCFM!#REF!</definedName>
    <definedName name="Z_FE269F44_49B1_11D3_B992_00805FBDC31E_.wvu.Cols" hidden="1">[28]SJRCFM!$H:$O,[28]SJRCFM!$Y:$AX</definedName>
    <definedName name="Z_FE269F44_49B1_11D3_B992_00805FBDC31E_.wvu.Rows" hidden="1">[28]SJRCFM!#REF!,[28]SJRCFM!#REF!</definedName>
    <definedName name="zz" hidden="1">{#N/A,#N/A,FALSE,"Time Warner";#N/A,#N/A,FALSE,"Entertainment Group";#N/A,#N/A,FALSE,"EBITDA";#N/A,#N/A,FALSE,"Notes"}</definedName>
    <definedName name="ㄴㄴ" hidden="1">{#N/A,#N/A,FALSE,"Aging Summary";#N/A,#N/A,FALSE,"Ratio Analysis";#N/A,#N/A,FALSE,"Test 120 Day Accts";#N/A,#N/A,FALSE,"Tickmarks"}</definedName>
    <definedName name="매출원가" hidden="1">{#N/A,#N/A,FALSE,"Aging Summary";#N/A,#N/A,FALSE,"Ratio Analysis";#N/A,#N/A,FALSE,"Test 120 Day Accts";#N/A,#N/A,FALSE,"Tickmarks"}</definedName>
    <definedName name="매출원가1" hidden="1">{#N/A,#N/A,FALSE,"Aging Summary";#N/A,#N/A,FALSE,"Ratio Analysis";#N/A,#N/A,FALSE,"Test 120 Day Accts";#N/A,#N/A,FALSE,"Tickmarks"}</definedName>
    <definedName name="ㅏㅏ" hidden="1">{#N/A,#N/A,FALSE,"Aging Summary";#N/A,#N/A,FALSE,"Ratio Analysis";#N/A,#N/A,FALSE,"Test 120 Day Accts";#N/A,#N/A,FALSE,"Tickmarks"}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6" i="14" l="1"/>
  <c r="J44" i="16"/>
  <c r="J45" i="6"/>
  <c r="K18" i="16"/>
  <c r="J8" i="6"/>
  <c r="T74" i="1"/>
  <c r="C19" i="2"/>
  <c r="I46" i="22"/>
  <c r="I44" i="22"/>
  <c r="H44" i="22"/>
  <c r="K16" i="16"/>
  <c r="J16" i="16"/>
  <c r="L16" i="16"/>
  <c r="D14" i="22"/>
  <c r="E14" i="22"/>
  <c r="C14" i="22"/>
  <c r="C4" i="22"/>
  <c r="H8" i="14"/>
  <c r="I8" i="14"/>
  <c r="G8" i="14"/>
  <c r="I6" i="9"/>
  <c r="J6" i="9"/>
  <c r="H6" i="9"/>
  <c r="K60" i="5" s="1"/>
  <c r="P60" i="1"/>
  <c r="U60" i="1" s="1"/>
  <c r="M28" i="18"/>
  <c r="M24" i="8"/>
  <c r="AA80" i="1"/>
  <c r="AB80" i="1"/>
  <c r="Z80" i="1"/>
  <c r="I4" i="8"/>
  <c r="K46" i="6" s="1"/>
  <c r="J44" i="6"/>
  <c r="I8" i="18"/>
  <c r="L62" i="14" s="1"/>
  <c r="U51" i="1" s="1"/>
  <c r="U54" i="1"/>
  <c r="U55" i="1"/>
  <c r="U57" i="1"/>
  <c r="U58" i="1"/>
  <c r="U59" i="1"/>
  <c r="T55" i="1"/>
  <c r="T57" i="1"/>
  <c r="T58" i="1"/>
  <c r="T59" i="1"/>
  <c r="J4" i="18"/>
  <c r="J8" i="18" s="1"/>
  <c r="J4" i="8"/>
  <c r="L46" i="6" s="1"/>
  <c r="M32" i="18"/>
  <c r="M31" i="18"/>
  <c r="M30" i="18"/>
  <c r="N35" i="18" s="1"/>
  <c r="J7" i="18" s="1"/>
  <c r="M29" i="18"/>
  <c r="C14" i="18"/>
  <c r="C12" i="18"/>
  <c r="C10" i="18"/>
  <c r="H8" i="18"/>
  <c r="F7" i="18"/>
  <c r="D7" i="18"/>
  <c r="D6" i="18"/>
  <c r="H6" i="18" s="1"/>
  <c r="R3" i="18"/>
  <c r="K50" i="16"/>
  <c r="L50" i="16"/>
  <c r="J50" i="16"/>
  <c r="G73" i="14"/>
  <c r="L64" i="14"/>
  <c r="U53" i="1" s="1"/>
  <c r="M64" i="14"/>
  <c r="V53" i="1" s="1"/>
  <c r="AC44" i="1"/>
  <c r="T31" i="1"/>
  <c r="U31" i="1"/>
  <c r="V31" i="1"/>
  <c r="H15" i="16"/>
  <c r="I15" i="16" s="1"/>
  <c r="H13" i="16"/>
  <c r="I13" i="16" s="1"/>
  <c r="L54" i="14"/>
  <c r="U43" i="1" s="1"/>
  <c r="M54" i="14"/>
  <c r="V43" i="1" s="1"/>
  <c r="M42" i="14"/>
  <c r="V33" i="1" s="1"/>
  <c r="L42" i="14"/>
  <c r="U33" i="1" s="1"/>
  <c r="G15" i="14"/>
  <c r="H15" i="14"/>
  <c r="I15" i="14"/>
  <c r="G14" i="14"/>
  <c r="H47" i="16"/>
  <c r="I47" i="16" s="1"/>
  <c r="J47" i="16" s="1"/>
  <c r="K47" i="16" s="1"/>
  <c r="L47" i="16" s="1"/>
  <c r="G46" i="16"/>
  <c r="G67" i="14" s="1"/>
  <c r="J45" i="16"/>
  <c r="K64" i="14" s="1"/>
  <c r="T53" i="1" s="1"/>
  <c r="D45" i="16"/>
  <c r="C45" i="16"/>
  <c r="J43" i="16"/>
  <c r="H43" i="16" s="1"/>
  <c r="H54" i="14" s="1"/>
  <c r="I43" i="16"/>
  <c r="I54" i="14" s="1"/>
  <c r="E43" i="16"/>
  <c r="D43" i="16"/>
  <c r="C43" i="16"/>
  <c r="E39" i="16"/>
  <c r="D39" i="16"/>
  <c r="C39" i="16"/>
  <c r="E37" i="16"/>
  <c r="D37" i="16"/>
  <c r="C37" i="16"/>
  <c r="J34" i="16"/>
  <c r="I34" i="16"/>
  <c r="I42" i="14" s="1"/>
  <c r="H34" i="16"/>
  <c r="H42" i="14" s="1"/>
  <c r="G34" i="16"/>
  <c r="G42" i="14" s="1"/>
  <c r="L29" i="16"/>
  <c r="J29" i="16"/>
  <c r="H28" i="16"/>
  <c r="G28" i="16"/>
  <c r="E28" i="16"/>
  <c r="D28" i="16"/>
  <c r="J27" i="16"/>
  <c r="G27" i="16" s="1"/>
  <c r="F26" i="16"/>
  <c r="E26" i="16"/>
  <c r="D26" i="16"/>
  <c r="C26" i="16"/>
  <c r="J25" i="16"/>
  <c r="F25" i="16"/>
  <c r="G25" i="16" s="1"/>
  <c r="H25" i="16" s="1"/>
  <c r="E25" i="16"/>
  <c r="D25" i="16"/>
  <c r="C25" i="16"/>
  <c r="F21" i="16"/>
  <c r="E21" i="16"/>
  <c r="D21" i="16"/>
  <c r="C21" i="16"/>
  <c r="F19" i="16"/>
  <c r="E19" i="16"/>
  <c r="D19" i="16"/>
  <c r="C19" i="16"/>
  <c r="F18" i="16"/>
  <c r="E18" i="16"/>
  <c r="E20" i="16" s="1"/>
  <c r="E22" i="16" s="1"/>
  <c r="D18" i="16"/>
  <c r="D20" i="16" s="1"/>
  <c r="D22" i="16" s="1"/>
  <c r="C18" i="16"/>
  <c r="F17" i="16"/>
  <c r="E17" i="16"/>
  <c r="D17" i="16"/>
  <c r="C17" i="16"/>
  <c r="F16" i="16"/>
  <c r="E16" i="16"/>
  <c r="D16" i="16"/>
  <c r="D15" i="16" s="1"/>
  <c r="C16" i="16"/>
  <c r="F14" i="16"/>
  <c r="G14" i="16" s="1"/>
  <c r="E14" i="16"/>
  <c r="D14" i="16"/>
  <c r="C14" i="16"/>
  <c r="F13" i="16"/>
  <c r="J13" i="16" s="1"/>
  <c r="E13" i="16"/>
  <c r="D13" i="16"/>
  <c r="F10" i="16"/>
  <c r="E10" i="16"/>
  <c r="D10" i="16"/>
  <c r="C10" i="16"/>
  <c r="J9" i="16"/>
  <c r="F8" i="16"/>
  <c r="E8" i="16"/>
  <c r="D8" i="16"/>
  <c r="C8" i="16"/>
  <c r="F7" i="16"/>
  <c r="G7" i="16" s="1"/>
  <c r="E7" i="16"/>
  <c r="D7" i="16"/>
  <c r="C7" i="16"/>
  <c r="D6" i="16" s="1"/>
  <c r="F6" i="16"/>
  <c r="E6" i="16"/>
  <c r="T5" i="16"/>
  <c r="S5" i="16"/>
  <c r="R5" i="16"/>
  <c r="F5" i="16"/>
  <c r="E5" i="16"/>
  <c r="D5" i="16"/>
  <c r="C5" i="16"/>
  <c r="G5" i="16"/>
  <c r="G4" i="14" s="1"/>
  <c r="F4" i="16"/>
  <c r="E4" i="16"/>
  <c r="D4" i="16"/>
  <c r="S5" i="6"/>
  <c r="H4" i="6" s="1"/>
  <c r="T5" i="6"/>
  <c r="I4" i="6" s="1"/>
  <c r="R5" i="6"/>
  <c r="G4" i="6" s="1"/>
  <c r="G10" i="6"/>
  <c r="P10" i="6"/>
  <c r="P11" i="6" s="1"/>
  <c r="D47" i="6"/>
  <c r="C47" i="6"/>
  <c r="D44" i="6"/>
  <c r="E44" i="6"/>
  <c r="C44" i="6"/>
  <c r="C38" i="6"/>
  <c r="D38" i="6"/>
  <c r="E38" i="6"/>
  <c r="C40" i="6"/>
  <c r="D40" i="6"/>
  <c r="E40" i="6"/>
  <c r="C43" i="11"/>
  <c r="E39" i="11" s="1"/>
  <c r="E28" i="6"/>
  <c r="D28" i="6"/>
  <c r="H28" i="6"/>
  <c r="F33" i="11"/>
  <c r="E33" i="11"/>
  <c r="G32" i="11"/>
  <c r="I28" i="16" s="1"/>
  <c r="C32" i="11"/>
  <c r="C30" i="11"/>
  <c r="H27" i="6"/>
  <c r="J27" i="6"/>
  <c r="F31" i="11"/>
  <c r="E31" i="11"/>
  <c r="G30" i="11"/>
  <c r="F27" i="11"/>
  <c r="E27" i="11"/>
  <c r="G26" i="11"/>
  <c r="F25" i="11"/>
  <c r="E25" i="11"/>
  <c r="G24" i="11"/>
  <c r="G25" i="11" s="1"/>
  <c r="G23" i="11"/>
  <c r="I15" i="6" s="1"/>
  <c r="F23" i="11"/>
  <c r="H15" i="6" s="1"/>
  <c r="E23" i="11"/>
  <c r="G15" i="6" s="1"/>
  <c r="F21" i="11"/>
  <c r="H13" i="6" s="1"/>
  <c r="G21" i="11"/>
  <c r="I13" i="6" s="1"/>
  <c r="E21" i="11"/>
  <c r="G13" i="6" s="1"/>
  <c r="I13" i="11"/>
  <c r="J13" i="11" s="1"/>
  <c r="C13" i="11"/>
  <c r="H25" i="6"/>
  <c r="I25" i="6"/>
  <c r="I26" i="6" s="1"/>
  <c r="G25" i="6"/>
  <c r="C26" i="6"/>
  <c r="D26" i="6"/>
  <c r="E26" i="6"/>
  <c r="D25" i="6"/>
  <c r="E25" i="6"/>
  <c r="F25" i="6"/>
  <c r="C25" i="6"/>
  <c r="F26" i="6"/>
  <c r="J25" i="6"/>
  <c r="F72" i="14"/>
  <c r="E72" i="14"/>
  <c r="D72" i="14"/>
  <c r="C72" i="14"/>
  <c r="C74" i="14" s="1"/>
  <c r="D73" i="14" s="1"/>
  <c r="D74" i="14" s="1"/>
  <c r="E73" i="14" s="1"/>
  <c r="E74" i="14" s="1"/>
  <c r="F73" i="14" s="1"/>
  <c r="F74" i="14" s="1"/>
  <c r="L70" i="14"/>
  <c r="G70" i="14"/>
  <c r="H70" i="14" s="1"/>
  <c r="I70" i="14" s="1"/>
  <c r="K70" i="14" s="1"/>
  <c r="E70" i="14"/>
  <c r="D70" i="14"/>
  <c r="C70" i="14"/>
  <c r="L69" i="14"/>
  <c r="G69" i="14"/>
  <c r="H69" i="14" s="1"/>
  <c r="I69" i="14" s="1"/>
  <c r="K69" i="14" s="1"/>
  <c r="E69" i="14"/>
  <c r="D69" i="14"/>
  <c r="C69" i="14"/>
  <c r="L68" i="14"/>
  <c r="G68" i="14"/>
  <c r="H68" i="14" s="1"/>
  <c r="I68" i="14" s="1"/>
  <c r="K68" i="14" s="1"/>
  <c r="E68" i="14"/>
  <c r="D68" i="14"/>
  <c r="C68" i="14"/>
  <c r="E67" i="14"/>
  <c r="D67" i="14"/>
  <c r="C67" i="14"/>
  <c r="L66" i="14"/>
  <c r="G66" i="14"/>
  <c r="H66" i="14" s="1"/>
  <c r="I66" i="14" s="1"/>
  <c r="K66" i="14" s="1"/>
  <c r="E66" i="14"/>
  <c r="D66" i="14"/>
  <c r="C66" i="14"/>
  <c r="L65" i="14"/>
  <c r="G65" i="14"/>
  <c r="H65" i="14" s="1"/>
  <c r="I65" i="14" s="1"/>
  <c r="K65" i="14" s="1"/>
  <c r="T54" i="1" s="1"/>
  <c r="E65" i="14"/>
  <c r="D65" i="14"/>
  <c r="C65" i="14"/>
  <c r="I64" i="14"/>
  <c r="H64" i="14"/>
  <c r="G64" i="14"/>
  <c r="D64" i="14"/>
  <c r="C64" i="14"/>
  <c r="K63" i="14"/>
  <c r="T52" i="1" s="1"/>
  <c r="G63" i="14"/>
  <c r="H63" i="14" s="1"/>
  <c r="I63" i="14" s="1"/>
  <c r="E63" i="14"/>
  <c r="D63" i="14"/>
  <c r="C63" i="14"/>
  <c r="F62" i="14"/>
  <c r="M60" i="14"/>
  <c r="V49" i="1" s="1"/>
  <c r="L60" i="14"/>
  <c r="U49" i="1" s="1"/>
  <c r="K60" i="14"/>
  <c r="T49" i="1" s="1"/>
  <c r="I60" i="14"/>
  <c r="H60" i="14"/>
  <c r="G60" i="14"/>
  <c r="F60" i="14"/>
  <c r="F59" i="14" s="1"/>
  <c r="F58" i="14" s="1"/>
  <c r="E60" i="14"/>
  <c r="D60" i="14"/>
  <c r="C60" i="14"/>
  <c r="E58" i="14"/>
  <c r="D58" i="14"/>
  <c r="C58" i="14"/>
  <c r="F56" i="14"/>
  <c r="E54" i="14"/>
  <c r="D54" i="14"/>
  <c r="C54" i="14"/>
  <c r="E53" i="14"/>
  <c r="D53" i="14"/>
  <c r="C53" i="14"/>
  <c r="C49" i="14"/>
  <c r="F47" i="14"/>
  <c r="E47" i="14"/>
  <c r="D47" i="14"/>
  <c r="C47" i="14"/>
  <c r="F46" i="14"/>
  <c r="F48" i="14" s="1"/>
  <c r="E46" i="14"/>
  <c r="D46" i="14"/>
  <c r="C46" i="14"/>
  <c r="E42" i="14"/>
  <c r="D42" i="14"/>
  <c r="C42" i="14"/>
  <c r="E41" i="14"/>
  <c r="D41" i="14"/>
  <c r="C41" i="14"/>
  <c r="E38" i="14"/>
  <c r="D38" i="14"/>
  <c r="C38" i="14"/>
  <c r="E37" i="14"/>
  <c r="D37" i="14"/>
  <c r="C37" i="14"/>
  <c r="E36" i="14"/>
  <c r="D36" i="14"/>
  <c r="C36" i="14"/>
  <c r="E35" i="14"/>
  <c r="D35" i="14"/>
  <c r="C35" i="14"/>
  <c r="F33" i="14"/>
  <c r="E33" i="14"/>
  <c r="D33" i="14"/>
  <c r="C33" i="14"/>
  <c r="F25" i="14"/>
  <c r="E25" i="14"/>
  <c r="D25" i="14"/>
  <c r="C25" i="14"/>
  <c r="F23" i="14"/>
  <c r="E23" i="14"/>
  <c r="K23" i="14" s="1"/>
  <c r="D23" i="14"/>
  <c r="C23" i="14"/>
  <c r="F22" i="14"/>
  <c r="E22" i="14"/>
  <c r="D22" i="14"/>
  <c r="C22" i="14"/>
  <c r="F21" i="14"/>
  <c r="E21" i="14"/>
  <c r="D21" i="14"/>
  <c r="C21" i="14"/>
  <c r="F20" i="14"/>
  <c r="E20" i="14"/>
  <c r="D20" i="14"/>
  <c r="C20" i="14"/>
  <c r="F15" i="14"/>
  <c r="E15" i="14"/>
  <c r="D15" i="14"/>
  <c r="C15" i="14"/>
  <c r="F14" i="14"/>
  <c r="E14" i="14"/>
  <c r="D14" i="14"/>
  <c r="C14" i="14"/>
  <c r="F13" i="14"/>
  <c r="E13" i="14"/>
  <c r="D13" i="14"/>
  <c r="C13" i="14"/>
  <c r="F12" i="14"/>
  <c r="E12" i="14"/>
  <c r="D12" i="14"/>
  <c r="C12" i="14"/>
  <c r="F11" i="14"/>
  <c r="F9" i="14"/>
  <c r="E9" i="14"/>
  <c r="D9" i="14"/>
  <c r="C9" i="14"/>
  <c r="F8" i="14"/>
  <c r="E8" i="14"/>
  <c r="D8" i="14"/>
  <c r="C8" i="14"/>
  <c r="F7" i="14"/>
  <c r="E7" i="14"/>
  <c r="D7" i="14"/>
  <c r="C7" i="14"/>
  <c r="F6" i="14"/>
  <c r="F5" i="14"/>
  <c r="E5" i="14"/>
  <c r="D5" i="14"/>
  <c r="C5" i="14"/>
  <c r="F4" i="14"/>
  <c r="E4" i="14"/>
  <c r="E6" i="14" s="1"/>
  <c r="D4" i="14"/>
  <c r="D6" i="14" s="1"/>
  <c r="C4" i="14"/>
  <c r="C6" i="14" s="1"/>
  <c r="J5" i="11"/>
  <c r="J4" i="11"/>
  <c r="I5" i="11"/>
  <c r="I4" i="11"/>
  <c r="K5" i="11"/>
  <c r="K4" i="11"/>
  <c r="K6" i="11" s="1"/>
  <c r="G4" i="11"/>
  <c r="F5" i="11"/>
  <c r="E5" i="11"/>
  <c r="E6" i="11"/>
  <c r="F6" i="11"/>
  <c r="D5" i="11"/>
  <c r="C5" i="11"/>
  <c r="C4" i="11"/>
  <c r="D21" i="6"/>
  <c r="E21" i="6"/>
  <c r="F21" i="6"/>
  <c r="C21" i="6"/>
  <c r="J29" i="6"/>
  <c r="D19" i="2"/>
  <c r="E19" i="2"/>
  <c r="F19" i="2"/>
  <c r="D19" i="6"/>
  <c r="E19" i="6"/>
  <c r="F19" i="6"/>
  <c r="C19" i="6"/>
  <c r="D17" i="6"/>
  <c r="E17" i="6"/>
  <c r="F17" i="6"/>
  <c r="C17" i="6"/>
  <c r="D18" i="6"/>
  <c r="D20" i="6" s="1"/>
  <c r="E18" i="6"/>
  <c r="E20" i="6" s="1"/>
  <c r="F18" i="6"/>
  <c r="F20" i="6" s="1"/>
  <c r="C18" i="6"/>
  <c r="C20" i="6" s="1"/>
  <c r="F16" i="6"/>
  <c r="D16" i="6"/>
  <c r="C16" i="6"/>
  <c r="E16" i="6"/>
  <c r="E15" i="6" s="1"/>
  <c r="D14" i="6"/>
  <c r="E14" i="6"/>
  <c r="E13" i="6" s="1"/>
  <c r="F14" i="6"/>
  <c r="F13" i="6" s="1"/>
  <c r="C14" i="6"/>
  <c r="D10" i="6"/>
  <c r="E10" i="6"/>
  <c r="F10" i="6"/>
  <c r="C10" i="6"/>
  <c r="D8" i="6"/>
  <c r="E8" i="6"/>
  <c r="F8" i="6"/>
  <c r="C8" i="6"/>
  <c r="D7" i="6"/>
  <c r="E7" i="6"/>
  <c r="F7" i="6"/>
  <c r="G7" i="6" s="1"/>
  <c r="H7" i="6" s="1"/>
  <c r="I7" i="6" s="1"/>
  <c r="C7" i="6"/>
  <c r="E6" i="6"/>
  <c r="F6" i="6"/>
  <c r="D6" i="6"/>
  <c r="D5" i="6"/>
  <c r="D4" i="6" s="1"/>
  <c r="E5" i="6"/>
  <c r="E4" i="6" s="1"/>
  <c r="F5" i="6"/>
  <c r="F4" i="6" s="1"/>
  <c r="C5" i="6"/>
  <c r="F73" i="5"/>
  <c r="G69" i="5"/>
  <c r="H69" i="5" s="1"/>
  <c r="I69" i="5" s="1"/>
  <c r="K69" i="5" s="1"/>
  <c r="F63" i="5"/>
  <c r="D73" i="5"/>
  <c r="E73" i="5"/>
  <c r="C73" i="5"/>
  <c r="C75" i="5" s="1"/>
  <c r="D74" i="5" s="1"/>
  <c r="C54" i="5"/>
  <c r="D54" i="5"/>
  <c r="E54" i="5"/>
  <c r="C55" i="5"/>
  <c r="D55" i="5"/>
  <c r="E55" i="5"/>
  <c r="C59" i="5"/>
  <c r="D59" i="5"/>
  <c r="E59" i="5"/>
  <c r="C61" i="5"/>
  <c r="D61" i="5"/>
  <c r="E61" i="5"/>
  <c r="C64" i="5"/>
  <c r="D64" i="5"/>
  <c r="E64" i="5"/>
  <c r="C65" i="5"/>
  <c r="D65" i="5"/>
  <c r="C66" i="5"/>
  <c r="D66" i="5"/>
  <c r="E66" i="5"/>
  <c r="C67" i="5"/>
  <c r="D67" i="5"/>
  <c r="E67" i="5"/>
  <c r="C68" i="5"/>
  <c r="D68" i="5"/>
  <c r="E68" i="5"/>
  <c r="C69" i="5"/>
  <c r="D69" i="5"/>
  <c r="E69" i="5"/>
  <c r="C70" i="5"/>
  <c r="D70" i="5"/>
  <c r="E70" i="5"/>
  <c r="C71" i="5"/>
  <c r="D71" i="5"/>
  <c r="E71" i="5"/>
  <c r="C50" i="5"/>
  <c r="C48" i="5"/>
  <c r="D48" i="5"/>
  <c r="E48" i="5"/>
  <c r="D47" i="5"/>
  <c r="E47" i="5"/>
  <c r="C47" i="5"/>
  <c r="C43" i="5"/>
  <c r="D43" i="5"/>
  <c r="E43" i="5"/>
  <c r="D42" i="5"/>
  <c r="E42" i="5"/>
  <c r="C42" i="5"/>
  <c r="C36" i="5"/>
  <c r="D36" i="5"/>
  <c r="E36" i="5"/>
  <c r="C37" i="5"/>
  <c r="D37" i="5"/>
  <c r="E37" i="5"/>
  <c r="C38" i="5"/>
  <c r="D38" i="5"/>
  <c r="E38" i="5"/>
  <c r="C39" i="5"/>
  <c r="D39" i="5"/>
  <c r="E39" i="5"/>
  <c r="D34" i="5"/>
  <c r="E34" i="5"/>
  <c r="C34" i="5"/>
  <c r="D26" i="5"/>
  <c r="E26" i="5"/>
  <c r="C26" i="5"/>
  <c r="D21" i="5"/>
  <c r="E21" i="5"/>
  <c r="D22" i="5"/>
  <c r="E22" i="5"/>
  <c r="D23" i="5"/>
  <c r="E23" i="5"/>
  <c r="D24" i="5"/>
  <c r="E24" i="5"/>
  <c r="C22" i="5"/>
  <c r="C23" i="5"/>
  <c r="C24" i="5"/>
  <c r="C21" i="5"/>
  <c r="D15" i="5"/>
  <c r="AA83" i="1" s="1"/>
  <c r="E15" i="5"/>
  <c r="AB83" i="1" s="1"/>
  <c r="C15" i="5"/>
  <c r="Z83" i="1" s="1"/>
  <c r="D14" i="5"/>
  <c r="AA82" i="1" s="1"/>
  <c r="E14" i="5"/>
  <c r="AB82" i="1" s="1"/>
  <c r="C14" i="5"/>
  <c r="Z82" i="1" s="1"/>
  <c r="D13" i="5"/>
  <c r="E13" i="5"/>
  <c r="C13" i="5"/>
  <c r="C12" i="5"/>
  <c r="Z81" i="1" s="1"/>
  <c r="E12" i="5"/>
  <c r="AB81" i="1" s="1"/>
  <c r="D12" i="5"/>
  <c r="AA81" i="1" s="1"/>
  <c r="C5" i="5"/>
  <c r="Z75" i="1" s="1"/>
  <c r="C4" i="5"/>
  <c r="Z74" i="1" s="1"/>
  <c r="J9" i="6"/>
  <c r="H8" i="8"/>
  <c r="H46" i="22" s="1"/>
  <c r="E4" i="9"/>
  <c r="F4" i="9"/>
  <c r="D4" i="9"/>
  <c r="J8" i="8"/>
  <c r="J46" i="22" s="1"/>
  <c r="G74" i="5"/>
  <c r="F61" i="5"/>
  <c r="F60" i="5" s="1"/>
  <c r="F59" i="5" s="1"/>
  <c r="G61" i="5"/>
  <c r="H61" i="5"/>
  <c r="I61" i="5"/>
  <c r="M28" i="8"/>
  <c r="F7" i="8" s="1"/>
  <c r="M27" i="8"/>
  <c r="M26" i="8"/>
  <c r="M25" i="8"/>
  <c r="M30" i="8" s="1"/>
  <c r="I7" i="8" s="1"/>
  <c r="L55" i="5"/>
  <c r="M55" i="5"/>
  <c r="L62" i="5"/>
  <c r="K62" i="5"/>
  <c r="L69" i="5"/>
  <c r="P57" i="1" s="1"/>
  <c r="L70" i="5"/>
  <c r="P58" i="1" s="1"/>
  <c r="L71" i="5"/>
  <c r="P59" i="1" s="1"/>
  <c r="G70" i="5"/>
  <c r="H70" i="5" s="1"/>
  <c r="I70" i="5" s="1"/>
  <c r="K70" i="5" s="1"/>
  <c r="G71" i="5"/>
  <c r="H71" i="5" s="1"/>
  <c r="I71" i="5" s="1"/>
  <c r="K71" i="5" s="1"/>
  <c r="L65" i="5"/>
  <c r="P53" i="1" s="1"/>
  <c r="M65" i="5"/>
  <c r="Q53" i="1" s="1"/>
  <c r="H65" i="5"/>
  <c r="I65" i="5"/>
  <c r="G65" i="5"/>
  <c r="L67" i="5"/>
  <c r="P55" i="1" s="1"/>
  <c r="G67" i="5"/>
  <c r="H67" i="5" s="1"/>
  <c r="I67" i="5" s="1"/>
  <c r="K67" i="5" s="1"/>
  <c r="L66" i="5"/>
  <c r="P54" i="1" s="1"/>
  <c r="G66" i="5"/>
  <c r="H66" i="5" s="1"/>
  <c r="I66" i="5" s="1"/>
  <c r="K66" i="5" s="1"/>
  <c r="K64" i="5"/>
  <c r="G64" i="5"/>
  <c r="H64" i="5" s="1"/>
  <c r="I64" i="5" s="1"/>
  <c r="K61" i="5"/>
  <c r="O49" i="1" s="1"/>
  <c r="F57" i="5"/>
  <c r="C10" i="8"/>
  <c r="M47" i="1"/>
  <c r="M49" i="1"/>
  <c r="M48" i="1" s="1"/>
  <c r="M51" i="1"/>
  <c r="M53" i="1"/>
  <c r="M56" i="1"/>
  <c r="M61" i="1"/>
  <c r="H49" i="6"/>
  <c r="G48" i="6"/>
  <c r="J47" i="6"/>
  <c r="C5" i="9"/>
  <c r="C14" i="8"/>
  <c r="C12" i="8"/>
  <c r="D7" i="8"/>
  <c r="D6" i="8"/>
  <c r="D9" i="5"/>
  <c r="AA78" i="1" s="1"/>
  <c r="E9" i="5"/>
  <c r="AB78" i="1" s="1"/>
  <c r="C9" i="5"/>
  <c r="Z78" i="1" s="1"/>
  <c r="D8" i="5"/>
  <c r="AA77" i="1" s="1"/>
  <c r="E8" i="5"/>
  <c r="AB77" i="1" s="1"/>
  <c r="C8" i="5"/>
  <c r="Z77" i="1" s="1"/>
  <c r="D7" i="5"/>
  <c r="E7" i="5"/>
  <c r="C7" i="5"/>
  <c r="D5" i="5"/>
  <c r="AA75" i="1" s="1"/>
  <c r="E5" i="5"/>
  <c r="AB75" i="1" s="1"/>
  <c r="D4" i="5"/>
  <c r="E4" i="5"/>
  <c r="F48" i="5"/>
  <c r="F47" i="5"/>
  <c r="M45" i="1"/>
  <c r="Q3" i="8"/>
  <c r="P31" i="1"/>
  <c r="Q31" i="1"/>
  <c r="O31" i="1"/>
  <c r="M43" i="5"/>
  <c r="Q33" i="1" s="1"/>
  <c r="L43" i="5"/>
  <c r="P33" i="1" s="1"/>
  <c r="F38" i="5"/>
  <c r="F37" i="5"/>
  <c r="F36" i="5"/>
  <c r="F34" i="5"/>
  <c r="J35" i="6"/>
  <c r="H35" i="6"/>
  <c r="I35" i="6"/>
  <c r="G35" i="6"/>
  <c r="F26" i="5"/>
  <c r="F7" i="5"/>
  <c r="F21" i="5"/>
  <c r="K24" i="5"/>
  <c r="F24" i="5"/>
  <c r="F23" i="5"/>
  <c r="F22" i="5"/>
  <c r="L29" i="6"/>
  <c r="M19" i="1"/>
  <c r="M18" i="1"/>
  <c r="M22" i="1"/>
  <c r="M21" i="1"/>
  <c r="L17" i="1"/>
  <c r="M17" i="1" s="1"/>
  <c r="L16" i="1"/>
  <c r="C3" i="22" s="1"/>
  <c r="K17" i="1"/>
  <c r="K16" i="1"/>
  <c r="J17" i="1"/>
  <c r="J16" i="1"/>
  <c r="J23" i="1" s="1"/>
  <c r="C33" i="6" s="1"/>
  <c r="I12" i="3"/>
  <c r="I11" i="3"/>
  <c r="I9" i="3"/>
  <c r="I8" i="3"/>
  <c r="I7" i="3"/>
  <c r="H13" i="3"/>
  <c r="L19" i="6"/>
  <c r="H8" i="5"/>
  <c r="I8" i="5"/>
  <c r="G8" i="5"/>
  <c r="F15" i="5"/>
  <c r="AC83" i="1" s="1"/>
  <c r="F14" i="5"/>
  <c r="AC82" i="1" s="1"/>
  <c r="F12" i="5"/>
  <c r="AC81" i="1" s="1"/>
  <c r="F13" i="5"/>
  <c r="F11" i="5"/>
  <c r="F8" i="5"/>
  <c r="AC77" i="1" s="1"/>
  <c r="F9" i="5"/>
  <c r="AC78" i="1" s="1"/>
  <c r="F5" i="5"/>
  <c r="AC75" i="1" s="1"/>
  <c r="F4" i="5"/>
  <c r="AC74" i="1" s="1"/>
  <c r="G5" i="5"/>
  <c r="H5" i="5" s="1"/>
  <c r="I5" i="5" s="1"/>
  <c r="K5" i="5" s="1"/>
  <c r="AD75" i="1" s="1"/>
  <c r="F6" i="2"/>
  <c r="F6" i="5" s="1"/>
  <c r="AC76" i="1" s="1"/>
  <c r="H5" i="2"/>
  <c r="I5" i="2"/>
  <c r="H6" i="2"/>
  <c r="I6" i="2"/>
  <c r="H7" i="2"/>
  <c r="I7" i="2"/>
  <c r="H8" i="2"/>
  <c r="I8" i="2"/>
  <c r="H9" i="2"/>
  <c r="I9" i="2"/>
  <c r="H10" i="2"/>
  <c r="I10" i="2"/>
  <c r="H11" i="2"/>
  <c r="I11" i="2"/>
  <c r="H14" i="2"/>
  <c r="I14" i="2"/>
  <c r="H15" i="2"/>
  <c r="I15" i="2"/>
  <c r="H16" i="2"/>
  <c r="I16" i="2"/>
  <c r="H17" i="2"/>
  <c r="I17" i="2"/>
  <c r="H18" i="2"/>
  <c r="I18" i="2"/>
  <c r="I4" i="2"/>
  <c r="H4" i="2"/>
  <c r="K48" i="1"/>
  <c r="L48" i="1"/>
  <c r="J48" i="1"/>
  <c r="M38" i="1"/>
  <c r="M36" i="1"/>
  <c r="M35" i="1"/>
  <c r="K67" i="1"/>
  <c r="L67" i="1"/>
  <c r="H3" i="18" s="1"/>
  <c r="M67" i="1"/>
  <c r="J67" i="1"/>
  <c r="K68" i="1"/>
  <c r="L68" i="1"/>
  <c r="L51" i="1"/>
  <c r="K51" i="1"/>
  <c r="J51" i="1"/>
  <c r="G7" i="3"/>
  <c r="G6" i="3"/>
  <c r="F7" i="3"/>
  <c r="F6" i="3"/>
  <c r="F13" i="3" s="1"/>
  <c r="E7" i="3"/>
  <c r="E6" i="3"/>
  <c r="E13" i="3" s="1"/>
  <c r="L53" i="1"/>
  <c r="E45" i="16" s="1"/>
  <c r="K50" i="1"/>
  <c r="D48" i="16" s="1"/>
  <c r="J50" i="1"/>
  <c r="C48" i="16" s="1"/>
  <c r="K45" i="1"/>
  <c r="L45" i="1"/>
  <c r="J45" i="1"/>
  <c r="M43" i="1"/>
  <c r="M42" i="1"/>
  <c r="M29" i="1"/>
  <c r="M28" i="1"/>
  <c r="M27" i="1"/>
  <c r="M26" i="1"/>
  <c r="M33" i="1"/>
  <c r="M32" i="1"/>
  <c r="M24" i="1"/>
  <c r="I60" i="1"/>
  <c r="H60" i="1"/>
  <c r="I46" i="1"/>
  <c r="H46" i="1"/>
  <c r="XFC85" i="1"/>
  <c r="G68" i="1"/>
  <c r="I65" i="1"/>
  <c r="H65" i="1"/>
  <c r="G65" i="1"/>
  <c r="I64" i="1"/>
  <c r="H64" i="1"/>
  <c r="G64" i="1"/>
  <c r="G61" i="1"/>
  <c r="W62" i="1"/>
  <c r="G56" i="1"/>
  <c r="G54" i="1"/>
  <c r="AC54" i="1"/>
  <c r="W54" i="1"/>
  <c r="G53" i="1"/>
  <c r="W53" i="1"/>
  <c r="G52" i="1"/>
  <c r="G51" i="1"/>
  <c r="G48" i="1"/>
  <c r="G47" i="1"/>
  <c r="W47" i="1"/>
  <c r="G45" i="1"/>
  <c r="G43" i="1"/>
  <c r="G42" i="1"/>
  <c r="XFC42" i="1"/>
  <c r="X42" i="1"/>
  <c r="W35" i="1"/>
  <c r="G34" i="1"/>
  <c r="W25" i="1"/>
  <c r="G26" i="1"/>
  <c r="W23" i="1"/>
  <c r="G25" i="1"/>
  <c r="W17" i="1"/>
  <c r="W16" i="1"/>
  <c r="W15" i="1"/>
  <c r="G23" i="1"/>
  <c r="G74" i="1" s="1"/>
  <c r="AC12" i="1"/>
  <c r="W12" i="1"/>
  <c r="AB8" i="1"/>
  <c r="W3" i="1"/>
  <c r="R3" i="1"/>
  <c r="W2" i="1"/>
  <c r="R2" i="1"/>
  <c r="I6" i="11" l="1"/>
  <c r="J36" i="16"/>
  <c r="J37" i="6"/>
  <c r="J82" i="1"/>
  <c r="O35" i="1"/>
  <c r="P35" i="1" s="1"/>
  <c r="Q35" i="1" s="1"/>
  <c r="T35" i="1"/>
  <c r="U35" i="1" s="1"/>
  <c r="V35" i="1" s="1"/>
  <c r="K73" i="14"/>
  <c r="K74" i="5"/>
  <c r="M31" i="8"/>
  <c r="J7" i="8" s="1"/>
  <c r="C5" i="22"/>
  <c r="D3" i="22" s="1"/>
  <c r="G23" i="14"/>
  <c r="H23" i="14" s="1"/>
  <c r="I23" i="14" s="1"/>
  <c r="K22" i="14"/>
  <c r="K9" i="16"/>
  <c r="K8" i="14"/>
  <c r="E7" i="18"/>
  <c r="H7" i="18" s="1"/>
  <c r="N34" i="18"/>
  <c r="I7" i="18" s="1"/>
  <c r="N33" i="18"/>
  <c r="E7" i="8"/>
  <c r="H7" i="8" s="1"/>
  <c r="D15" i="6"/>
  <c r="H10" i="6"/>
  <c r="J10" i="6" s="1"/>
  <c r="K10" i="6" s="1"/>
  <c r="I10" i="6"/>
  <c r="I9" i="5" s="1"/>
  <c r="F49" i="5"/>
  <c r="D6" i="5"/>
  <c r="AA76" i="1" s="1"/>
  <c r="AA74" i="1"/>
  <c r="E6" i="5"/>
  <c r="AB76" i="1" s="1"/>
  <c r="AB74" i="1"/>
  <c r="G11" i="5"/>
  <c r="H11" i="5" s="1"/>
  <c r="I11" i="5" s="1"/>
  <c r="K11" i="5" s="1"/>
  <c r="AC80" i="1"/>
  <c r="E15" i="16"/>
  <c r="F15" i="16"/>
  <c r="J15" i="16" s="1"/>
  <c r="K54" i="14"/>
  <c r="T43" i="1" s="1"/>
  <c r="G43" i="16"/>
  <c r="G54" i="14" s="1"/>
  <c r="C9" i="8"/>
  <c r="H3" i="8" s="1"/>
  <c r="C9" i="18"/>
  <c r="C11" i="18" s="1"/>
  <c r="L13" i="16"/>
  <c r="K15" i="16"/>
  <c r="K13" i="16"/>
  <c r="F12" i="18"/>
  <c r="H12" i="18" s="1"/>
  <c r="I12" i="18" s="1"/>
  <c r="J12" i="18" s="1"/>
  <c r="E12" i="18"/>
  <c r="D12" i="18"/>
  <c r="D5" i="18"/>
  <c r="G62" i="14" s="1"/>
  <c r="K27" i="16"/>
  <c r="G22" i="14"/>
  <c r="H26" i="16"/>
  <c r="I25" i="16"/>
  <c r="C20" i="16"/>
  <c r="C22" i="16" s="1"/>
  <c r="H10" i="16"/>
  <c r="H9" i="14" s="1"/>
  <c r="J10" i="16"/>
  <c r="L10" i="16"/>
  <c r="I10" i="16"/>
  <c r="I9" i="14" s="1"/>
  <c r="K10" i="16"/>
  <c r="G10" i="16"/>
  <c r="G9" i="14" s="1"/>
  <c r="L15" i="16"/>
  <c r="T19" i="1"/>
  <c r="L23" i="14"/>
  <c r="L22" i="14"/>
  <c r="T18" i="1"/>
  <c r="D75" i="5"/>
  <c r="E74" i="5" s="1"/>
  <c r="E75" i="5" s="1"/>
  <c r="F74" i="5" s="1"/>
  <c r="F75" i="5" s="1"/>
  <c r="D60" i="5"/>
  <c r="D59" i="14"/>
  <c r="L50" i="1"/>
  <c r="E50" i="6" s="1"/>
  <c r="E60" i="5"/>
  <c r="E59" i="14"/>
  <c r="C59" i="14"/>
  <c r="C60" i="5"/>
  <c r="C36" i="16"/>
  <c r="C32" i="16"/>
  <c r="C37" i="6"/>
  <c r="D49" i="5"/>
  <c r="D48" i="14"/>
  <c r="E48" i="14"/>
  <c r="E49" i="5"/>
  <c r="J69" i="1"/>
  <c r="C48" i="14"/>
  <c r="C49" i="5"/>
  <c r="D50" i="5"/>
  <c r="D49" i="14"/>
  <c r="E49" i="14"/>
  <c r="E50" i="5"/>
  <c r="E63" i="5"/>
  <c r="E62" i="14"/>
  <c r="E46" i="6"/>
  <c r="D63" i="5"/>
  <c r="D62" i="14"/>
  <c r="D46" i="6"/>
  <c r="C62" i="14"/>
  <c r="C46" i="6"/>
  <c r="C63" i="5"/>
  <c r="E64" i="14"/>
  <c r="E47" i="6"/>
  <c r="E65" i="5"/>
  <c r="D61" i="14"/>
  <c r="D50" i="6"/>
  <c r="D62" i="5"/>
  <c r="C62" i="5"/>
  <c r="C61" i="14"/>
  <c r="C50" i="6"/>
  <c r="D57" i="5"/>
  <c r="D56" i="14"/>
  <c r="E56" i="14"/>
  <c r="E57" i="5"/>
  <c r="C56" i="14"/>
  <c r="C57" i="5"/>
  <c r="C45" i="6"/>
  <c r="C44" i="16"/>
  <c r="M70" i="14"/>
  <c r="V59" i="1" s="1"/>
  <c r="M69" i="14"/>
  <c r="M68" i="14"/>
  <c r="V57" i="1" s="1"/>
  <c r="M66" i="14"/>
  <c r="V55" i="1" s="1"/>
  <c r="M65" i="14"/>
  <c r="V54" i="1" s="1"/>
  <c r="L63" i="14"/>
  <c r="U52" i="1" s="1"/>
  <c r="H14" i="16"/>
  <c r="G11" i="14"/>
  <c r="H7" i="16"/>
  <c r="G5" i="14"/>
  <c r="G6" i="14" s="1"/>
  <c r="H46" i="16"/>
  <c r="J19" i="16"/>
  <c r="F20" i="16"/>
  <c r="F22" i="16" s="1"/>
  <c r="G22" i="16" s="1"/>
  <c r="G16" i="16"/>
  <c r="G12" i="14" s="1"/>
  <c r="P10" i="16"/>
  <c r="P11" i="16" s="1"/>
  <c r="H5" i="16"/>
  <c r="G8" i="16"/>
  <c r="G7" i="14" s="1"/>
  <c r="F15" i="6"/>
  <c r="G18" i="6"/>
  <c r="G14" i="5" s="1"/>
  <c r="G14" i="6"/>
  <c r="H14" i="6" s="1"/>
  <c r="I14" i="6" s="1"/>
  <c r="J14" i="6" s="1"/>
  <c r="K14" i="6" s="1"/>
  <c r="L14" i="6" s="1"/>
  <c r="H19" i="6"/>
  <c r="G19" i="6"/>
  <c r="G26" i="6"/>
  <c r="J6" i="11"/>
  <c r="D16" i="11"/>
  <c r="E40" i="11"/>
  <c r="E41" i="11"/>
  <c r="E42" i="11"/>
  <c r="C6" i="11"/>
  <c r="G27" i="6"/>
  <c r="I28" i="6"/>
  <c r="G33" i="11"/>
  <c r="G28" i="6"/>
  <c r="G24" i="5" s="1"/>
  <c r="H24" i="5" s="1"/>
  <c r="I24" i="5" s="1"/>
  <c r="I27" i="6"/>
  <c r="G31" i="11"/>
  <c r="G27" i="11"/>
  <c r="I19" i="6"/>
  <c r="H18" i="6"/>
  <c r="G20" i="6"/>
  <c r="H26" i="6"/>
  <c r="G14" i="11"/>
  <c r="F14" i="11"/>
  <c r="E14" i="11"/>
  <c r="D14" i="11"/>
  <c r="J9" i="11"/>
  <c r="D22" i="6"/>
  <c r="E22" i="6"/>
  <c r="F22" i="6"/>
  <c r="C22" i="6"/>
  <c r="H43" i="5"/>
  <c r="I43" i="5"/>
  <c r="G43" i="5"/>
  <c r="K42" i="14"/>
  <c r="T33" i="1" s="1"/>
  <c r="M15" i="5"/>
  <c r="AF83" i="1" s="1"/>
  <c r="H9" i="5"/>
  <c r="F17" i="14"/>
  <c r="F27" i="14" s="1"/>
  <c r="F26" i="14"/>
  <c r="E26" i="14"/>
  <c r="E17" i="14"/>
  <c r="D26" i="14"/>
  <c r="D17" i="14"/>
  <c r="C26" i="14"/>
  <c r="C17" i="14"/>
  <c r="D6" i="11"/>
  <c r="G5" i="11"/>
  <c r="G6" i="11" s="1"/>
  <c r="G16" i="6"/>
  <c r="D13" i="6"/>
  <c r="G68" i="5"/>
  <c r="J7" i="6"/>
  <c r="K7" i="6" s="1"/>
  <c r="H6" i="8"/>
  <c r="F27" i="5"/>
  <c r="F17" i="5"/>
  <c r="F28" i="5" s="1"/>
  <c r="D17" i="5"/>
  <c r="D27" i="5"/>
  <c r="E17" i="5"/>
  <c r="E27" i="5"/>
  <c r="C17" i="5"/>
  <c r="C27" i="5"/>
  <c r="H44" i="6"/>
  <c r="I44" i="6"/>
  <c r="G44" i="6"/>
  <c r="M29" i="8"/>
  <c r="K55" i="5"/>
  <c r="D5" i="9"/>
  <c r="E5" i="9"/>
  <c r="F5" i="9"/>
  <c r="M71" i="5"/>
  <c r="Q59" i="1" s="1"/>
  <c r="O59" i="1"/>
  <c r="P43" i="1"/>
  <c r="Q43" i="1"/>
  <c r="P50" i="1"/>
  <c r="O50" i="1"/>
  <c r="M70" i="5"/>
  <c r="Q58" i="1" s="1"/>
  <c r="O58" i="1"/>
  <c r="M69" i="5"/>
  <c r="Q57" i="1" s="1"/>
  <c r="O57" i="1"/>
  <c r="M67" i="5"/>
  <c r="Q55" i="1" s="1"/>
  <c r="O55" i="1"/>
  <c r="M66" i="5"/>
  <c r="Q54" i="1" s="1"/>
  <c r="O54" i="1"/>
  <c r="L64" i="5"/>
  <c r="O52" i="1"/>
  <c r="L61" i="5"/>
  <c r="M61" i="5"/>
  <c r="D5" i="8"/>
  <c r="K65" i="5"/>
  <c r="O53" i="1" s="1"/>
  <c r="I49" i="6"/>
  <c r="J49" i="6" s="1"/>
  <c r="H48" i="6"/>
  <c r="C6" i="5"/>
  <c r="Z76" i="1" s="1"/>
  <c r="M50" i="1"/>
  <c r="E12" i="8"/>
  <c r="F12" i="8"/>
  <c r="I46" i="14" s="1"/>
  <c r="D12" i="8"/>
  <c r="G9" i="5"/>
  <c r="K23" i="1"/>
  <c r="K27" i="6"/>
  <c r="K23" i="5"/>
  <c r="L24" i="5"/>
  <c r="O19" i="1"/>
  <c r="L23" i="1"/>
  <c r="M16" i="1"/>
  <c r="M23" i="1" s="1"/>
  <c r="M82" i="1" s="1"/>
  <c r="I6" i="3"/>
  <c r="I13" i="3" s="1"/>
  <c r="G13" i="3"/>
  <c r="K9" i="6"/>
  <c r="K8" i="5"/>
  <c r="AD77" i="1" s="1"/>
  <c r="K69" i="1"/>
  <c r="L69" i="1"/>
  <c r="K60" i="1"/>
  <c r="K84" i="1"/>
  <c r="J25" i="1"/>
  <c r="J76" i="1"/>
  <c r="M69" i="1"/>
  <c r="AC45" i="1" s="1"/>
  <c r="AC51" i="1" s="1"/>
  <c r="J84" i="1"/>
  <c r="G67" i="1"/>
  <c r="G50" i="1"/>
  <c r="G60" i="1" s="1"/>
  <c r="G75" i="1"/>
  <c r="G76" i="1"/>
  <c r="G81" i="1"/>
  <c r="G80" i="1"/>
  <c r="G78" i="1"/>
  <c r="G77" i="1"/>
  <c r="G41" i="1"/>
  <c r="G44" i="1" s="1"/>
  <c r="G46" i="1" s="1"/>
  <c r="W79" i="1"/>
  <c r="W43" i="1"/>
  <c r="W36" i="1"/>
  <c r="W72" i="1"/>
  <c r="G83" i="1"/>
  <c r="G82" i="1"/>
  <c r="H87" i="1"/>
  <c r="I87" i="1"/>
  <c r="T66" i="1"/>
  <c r="C8" i="11" l="1"/>
  <c r="J19" i="6"/>
  <c r="G36" i="16"/>
  <c r="K36" i="16"/>
  <c r="L36" i="16" s="1"/>
  <c r="I36" i="16"/>
  <c r="H36" i="16"/>
  <c r="J38" i="6"/>
  <c r="J37" i="16"/>
  <c r="J39" i="16" s="1"/>
  <c r="J39" i="6"/>
  <c r="J38" i="16"/>
  <c r="K82" i="1"/>
  <c r="D45" i="6"/>
  <c r="D44" i="16"/>
  <c r="L82" i="1"/>
  <c r="E45" i="6"/>
  <c r="E44" i="16"/>
  <c r="G63" i="5"/>
  <c r="G46" i="6"/>
  <c r="D3" i="18"/>
  <c r="D9" i="18" s="1"/>
  <c r="C13" i="18"/>
  <c r="W58" i="1"/>
  <c r="V58" i="1"/>
  <c r="D5" i="22"/>
  <c r="D4" i="22"/>
  <c r="F28" i="14"/>
  <c r="F30" i="14" s="1"/>
  <c r="F34" i="14" s="1"/>
  <c r="F39" i="14" s="1"/>
  <c r="F43" i="14" s="1"/>
  <c r="J8" i="11"/>
  <c r="K8" i="11"/>
  <c r="M8" i="11" s="1"/>
  <c r="L8" i="14"/>
  <c r="L9" i="16"/>
  <c r="M8" i="14" s="1"/>
  <c r="AD80" i="1"/>
  <c r="L11" i="5"/>
  <c r="L84" i="1"/>
  <c r="L60" i="1"/>
  <c r="E48" i="16"/>
  <c r="E5" i="18"/>
  <c r="H27" i="16"/>
  <c r="H22" i="14" s="1"/>
  <c r="L27" i="16"/>
  <c r="I27" i="16" s="1"/>
  <c r="G26" i="16"/>
  <c r="G21" i="14" s="1"/>
  <c r="I26" i="16"/>
  <c r="I46" i="16"/>
  <c r="H67" i="14"/>
  <c r="K15" i="14"/>
  <c r="K19" i="16"/>
  <c r="G17" i="14"/>
  <c r="H22" i="16"/>
  <c r="L22" i="16"/>
  <c r="K22" i="16"/>
  <c r="U19" i="1"/>
  <c r="M23" i="14"/>
  <c r="V19" i="1" s="1"/>
  <c r="M22" i="14"/>
  <c r="V18" i="1" s="1"/>
  <c r="U18" i="1"/>
  <c r="E62" i="5"/>
  <c r="E61" i="14"/>
  <c r="M60" i="1"/>
  <c r="F72" i="5" s="1"/>
  <c r="D36" i="16"/>
  <c r="D33" i="6"/>
  <c r="D37" i="6"/>
  <c r="D32" i="16"/>
  <c r="K45" i="6"/>
  <c r="L45" i="6" s="1"/>
  <c r="E37" i="6"/>
  <c r="E33" i="6"/>
  <c r="E36" i="16"/>
  <c r="J33" i="16"/>
  <c r="E32" i="16"/>
  <c r="K44" i="16"/>
  <c r="L44" i="16" s="1"/>
  <c r="F32" i="16"/>
  <c r="F44" i="16"/>
  <c r="F33" i="6"/>
  <c r="F45" i="6"/>
  <c r="D71" i="14"/>
  <c r="D72" i="5"/>
  <c r="C34" i="14"/>
  <c r="C35" i="5"/>
  <c r="C39" i="6"/>
  <c r="C38" i="16"/>
  <c r="M63" i="14"/>
  <c r="V52" i="1" s="1"/>
  <c r="K49" i="6"/>
  <c r="I14" i="16"/>
  <c r="H11" i="14"/>
  <c r="I11" i="14"/>
  <c r="K11" i="14" s="1"/>
  <c r="J14" i="16"/>
  <c r="H5" i="14"/>
  <c r="I7" i="16"/>
  <c r="H8" i="16"/>
  <c r="H7" i="14" s="1"/>
  <c r="H4" i="14"/>
  <c r="H6" i="14" s="1"/>
  <c r="G20" i="16"/>
  <c r="H14" i="14"/>
  <c r="H26" i="14" s="1"/>
  <c r="H16" i="16"/>
  <c r="H12" i="14" s="1"/>
  <c r="G17" i="16"/>
  <c r="G13" i="14" s="1"/>
  <c r="I5" i="16"/>
  <c r="I4" i="14" s="1"/>
  <c r="J6" i="6"/>
  <c r="K43" i="5"/>
  <c r="O33" i="1" s="1"/>
  <c r="G22" i="5"/>
  <c r="H22" i="5" s="1"/>
  <c r="J40" i="6"/>
  <c r="K38" i="6"/>
  <c r="L38" i="6" s="1"/>
  <c r="H38" i="6"/>
  <c r="I38" i="6"/>
  <c r="G38" i="6"/>
  <c r="H39" i="6"/>
  <c r="K39" i="6"/>
  <c r="L39" i="6" s="1"/>
  <c r="I39" i="6"/>
  <c r="G39" i="6"/>
  <c r="K37" i="6"/>
  <c r="L37" i="6" s="1"/>
  <c r="H37" i="6"/>
  <c r="I37" i="6"/>
  <c r="G37" i="6"/>
  <c r="H20" i="6"/>
  <c r="I18" i="6"/>
  <c r="I22" i="6"/>
  <c r="J18" i="6"/>
  <c r="K14" i="5" s="1"/>
  <c r="AD82" i="1" s="1"/>
  <c r="H14" i="5"/>
  <c r="I17" i="5"/>
  <c r="I28" i="5" s="1"/>
  <c r="G22" i="6"/>
  <c r="H22" i="6"/>
  <c r="J22" i="6" s="1"/>
  <c r="G26" i="14"/>
  <c r="G12" i="5"/>
  <c r="H55" i="5"/>
  <c r="I55" i="5"/>
  <c r="G55" i="5"/>
  <c r="O43" i="1"/>
  <c r="E5" i="8"/>
  <c r="H47" i="5"/>
  <c r="H46" i="14"/>
  <c r="K46" i="14"/>
  <c r="T64" i="1" s="1"/>
  <c r="G47" i="5"/>
  <c r="G46" i="14"/>
  <c r="L27" i="6"/>
  <c r="G23" i="5"/>
  <c r="H23" i="5" s="1"/>
  <c r="I23" i="5" s="1"/>
  <c r="E27" i="14"/>
  <c r="E28" i="14" s="1"/>
  <c r="E30" i="14" s="1"/>
  <c r="D27" i="14"/>
  <c r="D28" i="14"/>
  <c r="D30" i="14" s="1"/>
  <c r="C27" i="14"/>
  <c r="C28" i="14"/>
  <c r="C30" i="14" s="1"/>
  <c r="H15" i="5"/>
  <c r="I15" i="5"/>
  <c r="G15" i="5"/>
  <c r="G27" i="5" s="1"/>
  <c r="G17" i="6"/>
  <c r="H16" i="6"/>
  <c r="D28" i="5"/>
  <c r="D29" i="5" s="1"/>
  <c r="D31" i="5" s="1"/>
  <c r="E28" i="5"/>
  <c r="E29" i="5" s="1"/>
  <c r="E31" i="5" s="1"/>
  <c r="E32" i="5" s="1"/>
  <c r="C28" i="5"/>
  <c r="C29" i="5" s="1"/>
  <c r="C31" i="5" s="1"/>
  <c r="D3" i="8"/>
  <c r="D9" i="8" s="1"/>
  <c r="C11" i="8"/>
  <c r="P52" i="1"/>
  <c r="M64" i="5"/>
  <c r="Q52" i="1" s="1"/>
  <c r="P49" i="1"/>
  <c r="Q49" i="1"/>
  <c r="K59" i="5"/>
  <c r="O48" i="1"/>
  <c r="I48" i="6"/>
  <c r="H68" i="5"/>
  <c r="F29" i="5"/>
  <c r="F31" i="5" s="1"/>
  <c r="F35" i="5" s="1"/>
  <c r="F40" i="5" s="1"/>
  <c r="F44" i="5" s="1"/>
  <c r="F53" i="5" s="1"/>
  <c r="F56" i="5" s="1"/>
  <c r="H12" i="8"/>
  <c r="I12" i="8" s="1"/>
  <c r="J12" i="8" s="1"/>
  <c r="I47" i="5"/>
  <c r="K47" i="5" s="1"/>
  <c r="H5" i="9"/>
  <c r="C13" i="8"/>
  <c r="K9" i="5"/>
  <c r="AD78" i="1" s="1"/>
  <c r="K76" i="1"/>
  <c r="K25" i="1"/>
  <c r="K74" i="1"/>
  <c r="J34" i="6"/>
  <c r="L23" i="5"/>
  <c r="O18" i="1"/>
  <c r="P19" i="1"/>
  <c r="M24" i="5"/>
  <c r="Q19" i="1" s="1"/>
  <c r="L76" i="1"/>
  <c r="L25" i="1"/>
  <c r="L74" i="1"/>
  <c r="J30" i="1"/>
  <c r="J75" i="1"/>
  <c r="L8" i="5"/>
  <c r="AE77" i="1" s="1"/>
  <c r="L9" i="6"/>
  <c r="M25" i="1"/>
  <c r="M74" i="1"/>
  <c r="M76" i="1"/>
  <c r="G87" i="1"/>
  <c r="G69" i="1"/>
  <c r="G84" i="1" s="1"/>
  <c r="W77" i="1"/>
  <c r="W78" i="1"/>
  <c r="W76" i="1"/>
  <c r="G86" i="1"/>
  <c r="G85" i="1"/>
  <c r="U66" i="1"/>
  <c r="R66" i="1"/>
  <c r="W68" i="1" s="1"/>
  <c r="W44" i="1"/>
  <c r="W45" i="1"/>
  <c r="G79" i="1"/>
  <c r="H37" i="16" l="1"/>
  <c r="I37" i="16"/>
  <c r="K37" i="16"/>
  <c r="L37" i="16" s="1"/>
  <c r="G37" i="16"/>
  <c r="K38" i="16"/>
  <c r="L38" i="16" s="1"/>
  <c r="I38" i="16"/>
  <c r="G38" i="16"/>
  <c r="H38" i="16"/>
  <c r="K19" i="6"/>
  <c r="K15" i="5"/>
  <c r="I39" i="16"/>
  <c r="H39" i="16"/>
  <c r="G39" i="16"/>
  <c r="K39" i="16"/>
  <c r="L39" i="16" s="1"/>
  <c r="H63" i="5"/>
  <c r="H46" i="6"/>
  <c r="F5" i="18"/>
  <c r="H62" i="14"/>
  <c r="AE80" i="1"/>
  <c r="M11" i="5"/>
  <c r="AF80" i="1" s="1"/>
  <c r="E71" i="14"/>
  <c r="E72" i="5"/>
  <c r="I67" i="14"/>
  <c r="J46" i="16"/>
  <c r="D11" i="18"/>
  <c r="G47" i="14" s="1"/>
  <c r="E3" i="18"/>
  <c r="E9" i="18" s="1"/>
  <c r="L19" i="16"/>
  <c r="M15" i="14" s="1"/>
  <c r="L15" i="14"/>
  <c r="I22" i="16"/>
  <c r="H17" i="14"/>
  <c r="H27" i="14" s="1"/>
  <c r="H28" i="14" s="1"/>
  <c r="I22" i="14"/>
  <c r="H21" i="14"/>
  <c r="I21" i="14" s="1"/>
  <c r="K21" i="14" s="1"/>
  <c r="J33" i="6"/>
  <c r="I33" i="16"/>
  <c r="G33" i="16"/>
  <c r="H33" i="16"/>
  <c r="K33" i="16"/>
  <c r="L33" i="16" s="1"/>
  <c r="J32" i="16"/>
  <c r="D39" i="6"/>
  <c r="D34" i="14"/>
  <c r="D38" i="16"/>
  <c r="D35" i="5"/>
  <c r="E39" i="6"/>
  <c r="E35" i="5"/>
  <c r="E34" i="14"/>
  <c r="E38" i="16"/>
  <c r="J34" i="1"/>
  <c r="C39" i="14"/>
  <c r="C40" i="5"/>
  <c r="L49" i="6"/>
  <c r="L17" i="14"/>
  <c r="M17" i="14"/>
  <c r="K14" i="16"/>
  <c r="L11" i="14" s="1"/>
  <c r="K9" i="14"/>
  <c r="I5" i="14"/>
  <c r="J7" i="16"/>
  <c r="I14" i="14"/>
  <c r="I26" i="14" s="1"/>
  <c r="H20" i="16"/>
  <c r="I16" i="16"/>
  <c r="I12" i="14" s="1"/>
  <c r="H17" i="16"/>
  <c r="H13" i="14" s="1"/>
  <c r="J5" i="16"/>
  <c r="I8" i="16"/>
  <c r="K6" i="6"/>
  <c r="F5" i="8"/>
  <c r="G40" i="6"/>
  <c r="I40" i="6"/>
  <c r="H40" i="6"/>
  <c r="K40" i="6"/>
  <c r="L40" i="6" s="1"/>
  <c r="H27" i="5"/>
  <c r="I14" i="5"/>
  <c r="I27" i="5" s="1"/>
  <c r="I29" i="5" s="1"/>
  <c r="I20" i="6"/>
  <c r="K18" i="6"/>
  <c r="J20" i="6"/>
  <c r="I22" i="5"/>
  <c r="K22" i="5" s="1"/>
  <c r="G27" i="14"/>
  <c r="G28" i="14" s="1"/>
  <c r="G17" i="5"/>
  <c r="G28" i="5" s="1"/>
  <c r="G29" i="5" s="1"/>
  <c r="H17" i="5"/>
  <c r="H28" i="5" s="1"/>
  <c r="K22" i="6"/>
  <c r="L46" i="14"/>
  <c r="U64" i="1" s="1"/>
  <c r="G13" i="5"/>
  <c r="J48" i="6"/>
  <c r="M8" i="5"/>
  <c r="AF77" i="1" s="1"/>
  <c r="D31" i="14"/>
  <c r="K4" i="14"/>
  <c r="E31" i="14"/>
  <c r="K17" i="5"/>
  <c r="K28" i="5" s="1"/>
  <c r="I16" i="6"/>
  <c r="J16" i="6" s="1"/>
  <c r="K16" i="6" s="1"/>
  <c r="H12" i="5"/>
  <c r="H17" i="6"/>
  <c r="L5" i="5"/>
  <c r="AE75" i="1" s="1"/>
  <c r="L7" i="6"/>
  <c r="D32" i="5"/>
  <c r="O47" i="1"/>
  <c r="I5" i="9"/>
  <c r="H3" i="9"/>
  <c r="L60" i="5"/>
  <c r="J5" i="9"/>
  <c r="M60" i="5" s="1"/>
  <c r="Q48" i="1" s="1"/>
  <c r="I68" i="5"/>
  <c r="L47" i="5"/>
  <c r="O64" i="1"/>
  <c r="L10" i="6"/>
  <c r="L9" i="5"/>
  <c r="AE78" i="1" s="1"/>
  <c r="P18" i="1"/>
  <c r="M23" i="5"/>
  <c r="Q18" i="1" s="1"/>
  <c r="G34" i="6"/>
  <c r="I34" i="6"/>
  <c r="H34" i="6"/>
  <c r="K34" i="6"/>
  <c r="K30" i="1"/>
  <c r="K75" i="1"/>
  <c r="L75" i="1"/>
  <c r="L30" i="1"/>
  <c r="M75" i="1"/>
  <c r="M30" i="1"/>
  <c r="M34" i="1" s="1"/>
  <c r="W82" i="1"/>
  <c r="AD83" i="1" l="1"/>
  <c r="K27" i="5"/>
  <c r="K29" i="5" s="1"/>
  <c r="O22" i="1" s="1"/>
  <c r="I62" i="14"/>
  <c r="K62" i="14" s="1"/>
  <c r="T51" i="1" s="1"/>
  <c r="H5" i="18"/>
  <c r="M62" i="14" s="1"/>
  <c r="V51" i="1" s="1"/>
  <c r="I63" i="5"/>
  <c r="K63" i="5" s="1"/>
  <c r="I46" i="6"/>
  <c r="J83" i="1"/>
  <c r="J81" i="1"/>
  <c r="L59" i="5"/>
  <c r="P47" i="1" s="1"/>
  <c r="P48" i="1"/>
  <c r="J8" i="16"/>
  <c r="K7" i="14" s="1"/>
  <c r="I7" i="14"/>
  <c r="M83" i="1"/>
  <c r="M81" i="1"/>
  <c r="K67" i="14"/>
  <c r="T56" i="1" s="1"/>
  <c r="K46" i="16"/>
  <c r="F3" i="18"/>
  <c r="F9" i="18" s="1"/>
  <c r="E11" i="18"/>
  <c r="H47" i="14" s="1"/>
  <c r="J22" i="16"/>
  <c r="K17" i="14" s="1"/>
  <c r="K27" i="14" s="1"/>
  <c r="I17" i="14"/>
  <c r="I27" i="14" s="1"/>
  <c r="I28" i="14" s="1"/>
  <c r="T17" i="1"/>
  <c r="L21" i="14"/>
  <c r="J78" i="1"/>
  <c r="J85" i="1"/>
  <c r="J41" i="1"/>
  <c r="C53" i="5" s="1"/>
  <c r="J80" i="1"/>
  <c r="J87" i="1"/>
  <c r="J86" i="1"/>
  <c r="H5" i="8"/>
  <c r="H9" i="8" s="1"/>
  <c r="G33" i="6"/>
  <c r="H33" i="6"/>
  <c r="I33" i="6"/>
  <c r="K33" i="6"/>
  <c r="L33" i="6" s="1"/>
  <c r="K32" i="16"/>
  <c r="L32" i="16" s="1"/>
  <c r="G32" i="16"/>
  <c r="I32" i="16"/>
  <c r="H32" i="16"/>
  <c r="C44" i="5"/>
  <c r="C43" i="14"/>
  <c r="K34" i="1"/>
  <c r="D39" i="14"/>
  <c r="D40" i="5"/>
  <c r="L34" i="1"/>
  <c r="E39" i="14"/>
  <c r="E40" i="5"/>
  <c r="L14" i="16"/>
  <c r="M11" i="14" s="1"/>
  <c r="L9" i="14"/>
  <c r="M9" i="14"/>
  <c r="J6" i="16"/>
  <c r="K7" i="16"/>
  <c r="K5" i="14"/>
  <c r="K6" i="14" s="1"/>
  <c r="I6" i="14"/>
  <c r="K12" i="14"/>
  <c r="I17" i="16"/>
  <c r="J4" i="16"/>
  <c r="K4" i="16" s="1"/>
  <c r="L4" i="16" s="1"/>
  <c r="I20" i="16"/>
  <c r="J18" i="16"/>
  <c r="H29" i="5"/>
  <c r="L14" i="5"/>
  <c r="AE82" i="1" s="1"/>
  <c r="K20" i="6"/>
  <c r="L18" i="6"/>
  <c r="L22" i="5"/>
  <c r="O17" i="1"/>
  <c r="L22" i="6"/>
  <c r="L27" i="14"/>
  <c r="L15" i="5"/>
  <c r="M46" i="14"/>
  <c r="V64" i="1" s="1"/>
  <c r="M9" i="5"/>
  <c r="AF78" i="1" s="1"/>
  <c r="F52" i="14"/>
  <c r="F55" i="14" s="1"/>
  <c r="F57" i="14" s="1"/>
  <c r="L17" i="5"/>
  <c r="L28" i="5" s="1"/>
  <c r="L20" i="6"/>
  <c r="M14" i="5"/>
  <c r="I17" i="6"/>
  <c r="J17" i="6" s="1"/>
  <c r="I12" i="5"/>
  <c r="H13" i="5"/>
  <c r="L6" i="6"/>
  <c r="M5" i="5"/>
  <c r="AF75" i="1" s="1"/>
  <c r="I3" i="9"/>
  <c r="J3" i="9" s="1"/>
  <c r="E3" i="9"/>
  <c r="E6" i="9" s="1"/>
  <c r="D3" i="9"/>
  <c r="D6" i="9" s="1"/>
  <c r="G59" i="14" s="1"/>
  <c r="F3" i="9"/>
  <c r="F6" i="9" s="1"/>
  <c r="K68" i="5"/>
  <c r="O56" i="1" s="1"/>
  <c r="K48" i="6"/>
  <c r="P64" i="1"/>
  <c r="R64" i="1" s="1"/>
  <c r="M47" i="5"/>
  <c r="Q64" i="1" s="1"/>
  <c r="L34" i="6"/>
  <c r="M80" i="1"/>
  <c r="M37" i="1"/>
  <c r="M87" i="1"/>
  <c r="M41" i="1"/>
  <c r="M85" i="1"/>
  <c r="M86" i="1"/>
  <c r="M78" i="1"/>
  <c r="R87" i="1"/>
  <c r="K78" i="1" l="1"/>
  <c r="K83" i="1"/>
  <c r="K81" i="1"/>
  <c r="L83" i="1"/>
  <c r="L81" i="1"/>
  <c r="H60" i="5"/>
  <c r="H59" i="14"/>
  <c r="I60" i="5"/>
  <c r="I59" i="14"/>
  <c r="L27" i="5"/>
  <c r="L29" i="5" s="1"/>
  <c r="P22" i="1" s="1"/>
  <c r="AE83" i="1"/>
  <c r="M27" i="5"/>
  <c r="AF82" i="1"/>
  <c r="C43" i="6"/>
  <c r="C52" i="14"/>
  <c r="K41" i="1"/>
  <c r="K86" i="1"/>
  <c r="L67" i="14"/>
  <c r="U56" i="1" s="1"/>
  <c r="L46" i="16"/>
  <c r="M67" i="14" s="1"/>
  <c r="V56" i="1" s="1"/>
  <c r="W57" i="1" s="1"/>
  <c r="U17" i="1"/>
  <c r="M21" i="14"/>
  <c r="V17" i="1" s="1"/>
  <c r="H9" i="18"/>
  <c r="F11" i="18"/>
  <c r="L18" i="16"/>
  <c r="L14" i="14"/>
  <c r="L26" i="14" s="1"/>
  <c r="L28" i="14" s="1"/>
  <c r="U22" i="1" s="1"/>
  <c r="J44" i="1"/>
  <c r="C42" i="16"/>
  <c r="K85" i="1"/>
  <c r="K37" i="1"/>
  <c r="K87" i="1"/>
  <c r="K80" i="1"/>
  <c r="K77" i="1"/>
  <c r="L37" i="1"/>
  <c r="J43" i="6"/>
  <c r="K43" i="6" s="1"/>
  <c r="L43" i="6" s="1"/>
  <c r="L87" i="1"/>
  <c r="L77" i="1"/>
  <c r="L41" i="1"/>
  <c r="L78" i="1"/>
  <c r="L85" i="1"/>
  <c r="L80" i="1"/>
  <c r="L86" i="1"/>
  <c r="M77" i="1"/>
  <c r="D43" i="14"/>
  <c r="D44" i="5"/>
  <c r="E44" i="5"/>
  <c r="E43" i="14"/>
  <c r="J42" i="16"/>
  <c r="K42" i="16" s="1"/>
  <c r="L42" i="16" s="1"/>
  <c r="W66" i="1"/>
  <c r="M44" i="1"/>
  <c r="F42" i="16"/>
  <c r="F43" i="6"/>
  <c r="K14" i="14"/>
  <c r="K26" i="14" s="1"/>
  <c r="K28" i="14" s="1"/>
  <c r="T22" i="1" s="1"/>
  <c r="J17" i="16"/>
  <c r="K13" i="14" s="1"/>
  <c r="K25" i="14" s="1"/>
  <c r="T21" i="1" s="1"/>
  <c r="I13" i="14"/>
  <c r="L7" i="16"/>
  <c r="K6" i="16"/>
  <c r="L5" i="14"/>
  <c r="J20" i="16"/>
  <c r="K5" i="16"/>
  <c r="L4" i="14" s="1"/>
  <c r="M22" i="5"/>
  <c r="Q17" i="1" s="1"/>
  <c r="P17" i="1"/>
  <c r="M27" i="14"/>
  <c r="M17" i="5"/>
  <c r="M28" i="5" s="1"/>
  <c r="I13" i="5"/>
  <c r="K12" i="5"/>
  <c r="AD81" i="1" s="1"/>
  <c r="K13" i="5"/>
  <c r="K26" i="5" s="1"/>
  <c r="M63" i="5"/>
  <c r="L63" i="5"/>
  <c r="F8" i="9"/>
  <c r="G60" i="5"/>
  <c r="L48" i="6"/>
  <c r="L68" i="5"/>
  <c r="P56" i="1" s="1"/>
  <c r="K44" i="1" l="1"/>
  <c r="D53" i="5"/>
  <c r="D42" i="16"/>
  <c r="D43" i="6"/>
  <c r="D52" i="14"/>
  <c r="H11" i="18"/>
  <c r="I47" i="14"/>
  <c r="M29" i="5"/>
  <c r="Q22" i="1" s="1"/>
  <c r="I3" i="18"/>
  <c r="I9" i="18" s="1"/>
  <c r="C56" i="5"/>
  <c r="C55" i="14"/>
  <c r="J46" i="1"/>
  <c r="L44" i="1"/>
  <c r="E42" i="16"/>
  <c r="E43" i="6"/>
  <c r="E53" i="5"/>
  <c r="E52" i="14"/>
  <c r="L73" i="5"/>
  <c r="L12" i="14"/>
  <c r="K17" i="16"/>
  <c r="L13" i="14" s="1"/>
  <c r="L25" i="14" s="1"/>
  <c r="U21" i="1" s="1"/>
  <c r="G25" i="14"/>
  <c r="M5" i="14"/>
  <c r="L6" i="16"/>
  <c r="K20" i="16"/>
  <c r="L5" i="16"/>
  <c r="K8" i="16"/>
  <c r="L7" i="14" s="1"/>
  <c r="L15" i="6"/>
  <c r="L16" i="6" s="1"/>
  <c r="O21" i="1"/>
  <c r="I26" i="5"/>
  <c r="H26" i="5"/>
  <c r="G26" i="5"/>
  <c r="I25" i="14"/>
  <c r="H25" i="14"/>
  <c r="M68" i="5"/>
  <c r="Q56" i="1" s="1"/>
  <c r="D56" i="5" l="1"/>
  <c r="D55" i="14"/>
  <c r="K46" i="1"/>
  <c r="J3" i="18"/>
  <c r="J9" i="18" s="1"/>
  <c r="I11" i="18"/>
  <c r="L47" i="14" s="1"/>
  <c r="C58" i="5"/>
  <c r="C57" i="14"/>
  <c r="E56" i="5"/>
  <c r="E55" i="14"/>
  <c r="L46" i="1"/>
  <c r="M12" i="14"/>
  <c r="L17" i="16"/>
  <c r="M13" i="14" s="1"/>
  <c r="M25" i="14" s="1"/>
  <c r="V21" i="1" s="1"/>
  <c r="L20" i="16"/>
  <c r="M14" i="14"/>
  <c r="M26" i="14" s="1"/>
  <c r="M28" i="14" s="1"/>
  <c r="V22" i="1" s="1"/>
  <c r="L8" i="16"/>
  <c r="M7" i="14" s="1"/>
  <c r="M4" i="14"/>
  <c r="L12" i="5"/>
  <c r="AE81" i="1" s="1"/>
  <c r="L17" i="6"/>
  <c r="K17" i="6"/>
  <c r="W46" i="1"/>
  <c r="W48" i="1" s="1"/>
  <c r="W51" i="1" s="1"/>
  <c r="D58" i="5" l="1"/>
  <c r="D57" i="14"/>
  <c r="E57" i="14"/>
  <c r="E58" i="5"/>
  <c r="J11" i="18"/>
  <c r="M47" i="14" s="1"/>
  <c r="L13" i="5"/>
  <c r="L26" i="5" s="1"/>
  <c r="P21" i="1" s="1"/>
  <c r="M12" i="5"/>
  <c r="AF81" i="1" s="1"/>
  <c r="M13" i="5"/>
  <c r="W63" i="1"/>
  <c r="M26" i="5" l="1"/>
  <c r="Q21" i="1" s="1"/>
  <c r="J46" i="6" l="1"/>
  <c r="O51" i="1" l="1"/>
  <c r="P51" i="1"/>
  <c r="Q51" i="1"/>
  <c r="P61" i="1" l="1"/>
  <c r="J37" i="1" l="1"/>
  <c r="M84" i="1" l="1"/>
  <c r="M46" i="1"/>
  <c r="E3" i="8" l="1"/>
  <c r="E9" i="8" s="1"/>
  <c r="E11" i="8" s="1"/>
  <c r="D11" i="8"/>
  <c r="J60" i="1"/>
  <c r="C71" i="14" l="1"/>
  <c r="C72" i="5"/>
  <c r="H48" i="5"/>
  <c r="H49" i="5" s="1"/>
  <c r="H48" i="14"/>
  <c r="G48" i="5"/>
  <c r="G49" i="5" s="1"/>
  <c r="G48" i="14"/>
  <c r="F3" i="8"/>
  <c r="F9" i="8" s="1"/>
  <c r="F11" i="8" l="1"/>
  <c r="I48" i="14" l="1"/>
  <c r="K47" i="14"/>
  <c r="I3" i="8"/>
  <c r="I9" i="8" s="1"/>
  <c r="K48" i="14" l="1"/>
  <c r="T65" i="1"/>
  <c r="T67" i="1" s="1"/>
  <c r="H11" i="8"/>
  <c r="I48" i="5"/>
  <c r="J3" i="8"/>
  <c r="J9" i="8" s="1"/>
  <c r="I11" i="8"/>
  <c r="T87" i="1" l="1"/>
  <c r="L48" i="5"/>
  <c r="J11" i="8"/>
  <c r="K48" i="5"/>
  <c r="I49" i="5"/>
  <c r="L48" i="14" l="1"/>
  <c r="U65" i="1"/>
  <c r="U67" i="1" s="1"/>
  <c r="L49" i="5"/>
  <c r="P65" i="1"/>
  <c r="P67" i="1" s="1"/>
  <c r="M48" i="5"/>
  <c r="O65" i="1"/>
  <c r="O67" i="1" s="1"/>
  <c r="K49" i="5"/>
  <c r="U87" i="1" l="1"/>
  <c r="M48" i="14"/>
  <c r="V65" i="1"/>
  <c r="Q65" i="1"/>
  <c r="M49" i="5"/>
  <c r="P87" i="1"/>
  <c r="P84" i="1"/>
  <c r="O84" i="1"/>
  <c r="O87" i="1"/>
  <c r="F58" i="5"/>
  <c r="V67" i="1" l="1"/>
  <c r="W67" i="1"/>
  <c r="W69" i="1" s="1"/>
  <c r="W73" i="1" s="1"/>
  <c r="W87" i="1" s="1"/>
  <c r="R65" i="1"/>
  <c r="Q67" i="1"/>
  <c r="Q87" i="1" s="1"/>
  <c r="G5" i="6"/>
  <c r="G4" i="5"/>
  <c r="V87" i="1" l="1"/>
  <c r="H5" i="6"/>
  <c r="G8" i="6"/>
  <c r="H8" i="6"/>
  <c r="I5" i="6"/>
  <c r="H4" i="5"/>
  <c r="G6" i="5"/>
  <c r="J5" i="6" l="1"/>
  <c r="J4" i="6" s="1"/>
  <c r="K4" i="6" s="1"/>
  <c r="L4" i="6" s="1"/>
  <c r="I8" i="6"/>
  <c r="H7" i="5"/>
  <c r="G7" i="5"/>
  <c r="I4" i="5"/>
  <c r="H6" i="5"/>
  <c r="I7" i="5" l="1"/>
  <c r="K7" i="5"/>
  <c r="K20" i="14"/>
  <c r="K4" i="5"/>
  <c r="I6" i="5"/>
  <c r="K6" i="5" l="1"/>
  <c r="AD76" i="1" s="1"/>
  <c r="AD74" i="1"/>
  <c r="G20" i="14"/>
  <c r="G30" i="14" s="1"/>
  <c r="T16" i="1"/>
  <c r="K21" i="5"/>
  <c r="K30" i="14"/>
  <c r="J49" i="16" s="1"/>
  <c r="I20" i="14"/>
  <c r="I30" i="14" s="1"/>
  <c r="H20" i="14"/>
  <c r="H30" i="14" s="1"/>
  <c r="K59" i="14" l="1"/>
  <c r="T48" i="1" s="1"/>
  <c r="K49" i="16"/>
  <c r="T45" i="1"/>
  <c r="T23" i="1"/>
  <c r="I56" i="14"/>
  <c r="I41" i="14"/>
  <c r="I33" i="14"/>
  <c r="I34" i="14" s="1"/>
  <c r="H56" i="14"/>
  <c r="H41" i="14"/>
  <c r="H33" i="14"/>
  <c r="H34" i="14" s="1"/>
  <c r="G41" i="14"/>
  <c r="G33" i="14"/>
  <c r="G56" i="14"/>
  <c r="K31" i="5"/>
  <c r="I21" i="5"/>
  <c r="I31" i="5" s="1"/>
  <c r="G21" i="5"/>
  <c r="G31" i="5" s="1"/>
  <c r="O16" i="1"/>
  <c r="H21" i="5"/>
  <c r="H31" i="5" s="1"/>
  <c r="K31" i="14"/>
  <c r="I31" i="14"/>
  <c r="H31" i="14"/>
  <c r="G31" i="14"/>
  <c r="T82" i="1" l="1"/>
  <c r="L49" i="16"/>
  <c r="J36" i="6"/>
  <c r="J35" i="16" s="1"/>
  <c r="K57" i="5"/>
  <c r="O45" i="1" s="1"/>
  <c r="O23" i="1"/>
  <c r="K32" i="5"/>
  <c r="I34" i="5"/>
  <c r="I35" i="5" s="1"/>
  <c r="I42" i="5"/>
  <c r="G34" i="5"/>
  <c r="G35" i="5" s="1"/>
  <c r="G42" i="5"/>
  <c r="G32" i="5"/>
  <c r="I57" i="5"/>
  <c r="H34" i="5"/>
  <c r="H32" i="5"/>
  <c r="H42" i="5"/>
  <c r="H57" i="5"/>
  <c r="K41" i="14"/>
  <c r="T32" i="1" s="1"/>
  <c r="I32" i="5"/>
  <c r="G57" i="5"/>
  <c r="K33" i="14"/>
  <c r="T24" i="1" s="1"/>
  <c r="G34" i="14"/>
  <c r="O74" i="1" l="1"/>
  <c r="I43" i="14"/>
  <c r="I48" i="16" s="1"/>
  <c r="H43" i="14"/>
  <c r="H48" i="16" s="1"/>
  <c r="G43" i="14"/>
  <c r="O82" i="1"/>
  <c r="K34" i="14"/>
  <c r="T25" i="1" s="1"/>
  <c r="T75" i="1" s="1"/>
  <c r="K42" i="5"/>
  <c r="O32" i="1" s="1"/>
  <c r="I44" i="5"/>
  <c r="G44" i="5"/>
  <c r="H44" i="5"/>
  <c r="K36" i="6"/>
  <c r="H35" i="5"/>
  <c r="K35" i="5" s="1"/>
  <c r="O25" i="1" s="1"/>
  <c r="O75" i="1" s="1"/>
  <c r="K34" i="5"/>
  <c r="O24" i="1" s="1"/>
  <c r="G48" i="16" l="1"/>
  <c r="G39" i="14"/>
  <c r="G52" i="14"/>
  <c r="L36" i="6"/>
  <c r="L35" i="16" s="1"/>
  <c r="K35" i="16"/>
  <c r="K44" i="5"/>
  <c r="H45" i="22" s="1"/>
  <c r="G53" i="5"/>
  <c r="G40" i="5"/>
  <c r="H53" i="5"/>
  <c r="H40" i="5"/>
  <c r="I39" i="14"/>
  <c r="I52" i="14"/>
  <c r="H39" i="14"/>
  <c r="H52" i="14"/>
  <c r="I53" i="5"/>
  <c r="I40" i="5"/>
  <c r="G50" i="6"/>
  <c r="H50" i="6"/>
  <c r="K5" i="6"/>
  <c r="K8" i="6" s="1"/>
  <c r="G37" i="14" l="1"/>
  <c r="G36" i="14"/>
  <c r="G35" i="14"/>
  <c r="G38" i="14"/>
  <c r="I38" i="14"/>
  <c r="I35" i="14"/>
  <c r="I37" i="14"/>
  <c r="I36" i="14"/>
  <c r="H38" i="14"/>
  <c r="H37" i="14"/>
  <c r="H36" i="14"/>
  <c r="H35" i="14"/>
  <c r="G36" i="5"/>
  <c r="G37" i="5"/>
  <c r="G39" i="5"/>
  <c r="G38" i="5"/>
  <c r="H36" i="5"/>
  <c r="H39" i="5"/>
  <c r="K40" i="5"/>
  <c r="O30" i="1" s="1"/>
  <c r="H37" i="5"/>
  <c r="H38" i="5"/>
  <c r="K39" i="14"/>
  <c r="I38" i="5"/>
  <c r="I39" i="5"/>
  <c r="I36" i="5"/>
  <c r="I37" i="5"/>
  <c r="G62" i="5"/>
  <c r="I50" i="6"/>
  <c r="O34" i="1"/>
  <c r="K53" i="5"/>
  <c r="H54" i="5"/>
  <c r="H56" i="5" s="1"/>
  <c r="G54" i="5"/>
  <c r="G56" i="5" s="1"/>
  <c r="I54" i="5"/>
  <c r="I56" i="5" s="1"/>
  <c r="K54" i="5"/>
  <c r="H62" i="5"/>
  <c r="L4" i="5"/>
  <c r="L6" i="14"/>
  <c r="L7" i="5"/>
  <c r="L21" i="5" s="1"/>
  <c r="L20" i="14"/>
  <c r="L6" i="5" l="1"/>
  <c r="AE76" i="1" s="1"/>
  <c r="AE74" i="1"/>
  <c r="T30" i="1"/>
  <c r="K43" i="14"/>
  <c r="O83" i="1"/>
  <c r="O81" i="1"/>
  <c r="O80" i="1"/>
  <c r="L30" i="14"/>
  <c r="L43" i="14" s="1"/>
  <c r="U16" i="1"/>
  <c r="H59" i="5"/>
  <c r="H58" i="5" s="1"/>
  <c r="K39" i="5"/>
  <c r="O29" i="1" s="1"/>
  <c r="K38" i="14"/>
  <c r="T29" i="1" s="1"/>
  <c r="K37" i="5"/>
  <c r="O27" i="1" s="1"/>
  <c r="K35" i="14"/>
  <c r="T26" i="1" s="1"/>
  <c r="K38" i="5"/>
  <c r="O28" i="1" s="1"/>
  <c r="K36" i="5"/>
  <c r="O26" i="1" s="1"/>
  <c r="K37" i="14"/>
  <c r="T28" i="1" s="1"/>
  <c r="K36" i="14"/>
  <c r="T27" i="1" s="1"/>
  <c r="G59" i="5"/>
  <c r="G58" i="5" s="1"/>
  <c r="O85" i="1"/>
  <c r="O78" i="1"/>
  <c r="O77" i="1"/>
  <c r="O41" i="1"/>
  <c r="I62" i="5"/>
  <c r="O42" i="1"/>
  <c r="K56" i="5"/>
  <c r="L31" i="5"/>
  <c r="P16" i="1"/>
  <c r="G53" i="14" l="1"/>
  <c r="G55" i="14" s="1"/>
  <c r="K52" i="14"/>
  <c r="I53" i="14"/>
  <c r="I55" i="14" s="1"/>
  <c r="K53" i="14"/>
  <c r="T42" i="1" s="1"/>
  <c r="H53" i="14"/>
  <c r="H55" i="14" s="1"/>
  <c r="T34" i="1"/>
  <c r="L41" i="14"/>
  <c r="U32" i="1" s="1"/>
  <c r="L56" i="14"/>
  <c r="U45" i="1" s="1"/>
  <c r="L33" i="14"/>
  <c r="U23" i="1"/>
  <c r="L31" i="14"/>
  <c r="L59" i="14"/>
  <c r="U48" i="1" s="1"/>
  <c r="T76" i="1"/>
  <c r="O76" i="1"/>
  <c r="I59" i="5"/>
  <c r="I58" i="5" s="1"/>
  <c r="K58" i="5"/>
  <c r="O46" i="1" s="1"/>
  <c r="O44" i="1"/>
  <c r="L42" i="5"/>
  <c r="P32" i="1" s="1"/>
  <c r="L57" i="5"/>
  <c r="P45" i="1" s="1"/>
  <c r="P23" i="1"/>
  <c r="P74" i="1" s="1"/>
  <c r="L32" i="5"/>
  <c r="L34" i="5"/>
  <c r="L44" i="5"/>
  <c r="I45" i="22" s="1"/>
  <c r="P82" i="1" l="1"/>
  <c r="T80" i="1"/>
  <c r="T41" i="1"/>
  <c r="T85" i="1"/>
  <c r="T78" i="1"/>
  <c r="T83" i="1"/>
  <c r="T81" i="1"/>
  <c r="K55" i="14"/>
  <c r="T44" i="1" s="1"/>
  <c r="U82" i="1"/>
  <c r="U74" i="1"/>
  <c r="L34" i="14"/>
  <c r="U24" i="1"/>
  <c r="P24" i="1"/>
  <c r="L35" i="5"/>
  <c r="L40" i="5"/>
  <c r="P30" i="1" s="1"/>
  <c r="P34" i="1"/>
  <c r="L53" i="5"/>
  <c r="L54" i="5"/>
  <c r="P42" i="1" s="1"/>
  <c r="P41" i="1" l="1"/>
  <c r="P83" i="1"/>
  <c r="P81" i="1"/>
  <c r="U25" i="1"/>
  <c r="U75" i="1" s="1"/>
  <c r="L56" i="5"/>
  <c r="L36" i="5"/>
  <c r="P26" i="1" s="1"/>
  <c r="P25" i="1"/>
  <c r="P75" i="1" s="1"/>
  <c r="L39" i="5"/>
  <c r="P29" i="1" s="1"/>
  <c r="L37" i="5"/>
  <c r="P27" i="1" s="1"/>
  <c r="L38" i="5"/>
  <c r="P28" i="1" s="1"/>
  <c r="P78" i="1"/>
  <c r="P85" i="1"/>
  <c r="P77" i="1"/>
  <c r="P80" i="1"/>
  <c r="L5" i="6"/>
  <c r="M6" i="14" s="1"/>
  <c r="L58" i="5" l="1"/>
  <c r="P46" i="1" s="1"/>
  <c r="P44" i="1"/>
  <c r="P76" i="1"/>
  <c r="M4" i="5"/>
  <c r="L8" i="6"/>
  <c r="M6" i="5" l="1"/>
  <c r="AF76" i="1" s="1"/>
  <c r="AF74" i="1"/>
  <c r="M7" i="5"/>
  <c r="M21" i="5" s="1"/>
  <c r="M20" i="14"/>
  <c r="M30" i="14" l="1"/>
  <c r="V16" i="1"/>
  <c r="Q16" i="1"/>
  <c r="M31" i="5"/>
  <c r="M56" i="14" l="1"/>
  <c r="V45" i="1" s="1"/>
  <c r="M43" i="14"/>
  <c r="M33" i="14"/>
  <c r="V23" i="1"/>
  <c r="V74" i="1" s="1"/>
  <c r="M41" i="14"/>
  <c r="M31" i="14"/>
  <c r="M59" i="14"/>
  <c r="V48" i="1" s="1"/>
  <c r="M57" i="5"/>
  <c r="Q45" i="1" s="1"/>
  <c r="M42" i="5"/>
  <c r="Q32" i="1" s="1"/>
  <c r="M34" i="5"/>
  <c r="M32" i="5"/>
  <c r="Q23" i="1"/>
  <c r="M44" i="5"/>
  <c r="J45" i="22" s="1"/>
  <c r="Q82" i="1" l="1"/>
  <c r="Q74" i="1"/>
  <c r="W50" i="1"/>
  <c r="W83" i="1" s="1"/>
  <c r="V82" i="1"/>
  <c r="M34" i="14"/>
  <c r="V25" i="1" s="1"/>
  <c r="V75" i="1" s="1"/>
  <c r="V24" i="1"/>
  <c r="V32" i="1"/>
  <c r="M35" i="5"/>
  <c r="Q25" i="1" s="1"/>
  <c r="Q75" i="1" s="1"/>
  <c r="Q24" i="1"/>
  <c r="M53" i="5"/>
  <c r="L50" i="6"/>
  <c r="Q34" i="1"/>
  <c r="M54" i="5"/>
  <c r="Q42" i="1" s="1"/>
  <c r="M40" i="5"/>
  <c r="W84" i="1" l="1"/>
  <c r="W85" i="1"/>
  <c r="W80" i="1"/>
  <c r="Q83" i="1"/>
  <c r="Q81" i="1"/>
  <c r="T77" i="1"/>
  <c r="M56" i="5"/>
  <c r="Q44" i="1" s="1"/>
  <c r="M62" i="5"/>
  <c r="J44" i="22" s="1"/>
  <c r="Q77" i="1"/>
  <c r="Q80" i="1"/>
  <c r="Q85" i="1"/>
  <c r="Q78" i="1"/>
  <c r="Q41" i="1"/>
  <c r="M37" i="5"/>
  <c r="Q27" i="1" s="1"/>
  <c r="M36" i="5"/>
  <c r="Q26" i="1" s="1"/>
  <c r="M38" i="5"/>
  <c r="Q28" i="1" s="1"/>
  <c r="M39" i="5"/>
  <c r="Q29" i="1" s="1"/>
  <c r="Q30" i="1"/>
  <c r="Q50" i="1" l="1"/>
  <c r="M59" i="5"/>
  <c r="Q76" i="1"/>
  <c r="Q84" i="1" l="1"/>
  <c r="M58" i="5"/>
  <c r="Q46" i="1" s="1"/>
  <c r="Q47" i="1"/>
  <c r="G61" i="14" l="1"/>
  <c r="H61" i="14" s="1"/>
  <c r="H58" i="14" l="1"/>
  <c r="H57" i="14" s="1"/>
  <c r="I61" i="14"/>
  <c r="I58" i="14" s="1"/>
  <c r="I57" i="14" s="1"/>
  <c r="G58" i="14"/>
  <c r="G57" i="14" s="1"/>
  <c r="K57" i="14" l="1"/>
  <c r="T46" i="1" s="1"/>
  <c r="K61" i="14" l="1"/>
  <c r="T50" i="1" s="1"/>
  <c r="K58" i="14"/>
  <c r="T47" i="1" s="1"/>
  <c r="L57" i="14"/>
  <c r="U46" i="1" s="1"/>
  <c r="K72" i="14" l="1"/>
  <c r="T84" i="1"/>
  <c r="M57" i="14"/>
  <c r="V46" i="1" s="1"/>
  <c r="T61" i="1" l="1"/>
  <c r="H72" i="14"/>
  <c r="H71" i="14" s="1"/>
  <c r="I72" i="14"/>
  <c r="I71" i="14" s="1"/>
  <c r="G72" i="14"/>
  <c r="K74" i="14"/>
  <c r="G71" i="14" l="1"/>
  <c r="G74" i="14"/>
  <c r="L73" i="14"/>
  <c r="H73" i="14" l="1"/>
  <c r="H74" i="14" s="1"/>
  <c r="G49" i="14"/>
  <c r="D10" i="18" s="1"/>
  <c r="D13" i="18" s="1"/>
  <c r="H49" i="14" l="1"/>
  <c r="E10" i="18" s="1"/>
  <c r="E13" i="18" s="1"/>
  <c r="I73" i="14"/>
  <c r="I74" i="14" s="1"/>
  <c r="I49" i="14" s="1"/>
  <c r="L39" i="14"/>
  <c r="U34" i="1"/>
  <c r="U77" i="1" s="1"/>
  <c r="L52" i="14"/>
  <c r="L53" i="14"/>
  <c r="U42" i="1" s="1"/>
  <c r="M39" i="14"/>
  <c r="M53" i="14"/>
  <c r="V42" i="1" s="1"/>
  <c r="M52" i="14"/>
  <c r="V34" i="1"/>
  <c r="V41" i="1" s="1"/>
  <c r="M55" i="14" l="1"/>
  <c r="V85" i="1"/>
  <c r="V78" i="1"/>
  <c r="V80" i="1"/>
  <c r="M35" i="14"/>
  <c r="V26" i="1" s="1"/>
  <c r="M37" i="14"/>
  <c r="V28" i="1" s="1"/>
  <c r="M38" i="14"/>
  <c r="V29" i="1" s="1"/>
  <c r="V30" i="1"/>
  <c r="M36" i="14"/>
  <c r="V27" i="1" s="1"/>
  <c r="L55" i="14"/>
  <c r="U81" i="1"/>
  <c r="U83" i="1"/>
  <c r="V81" i="1"/>
  <c r="V83" i="1"/>
  <c r="K49" i="14"/>
  <c r="F10" i="18"/>
  <c r="F13" i="18" s="1"/>
  <c r="F14" i="18" s="1"/>
  <c r="H14" i="18" s="1"/>
  <c r="L38" i="14"/>
  <c r="U29" i="1" s="1"/>
  <c r="L37" i="14"/>
  <c r="U28" i="1" s="1"/>
  <c r="L35" i="14"/>
  <c r="U26" i="1" s="1"/>
  <c r="U30" i="1"/>
  <c r="L36" i="14"/>
  <c r="U27" i="1" s="1"/>
  <c r="U41" i="1"/>
  <c r="U80" i="1"/>
  <c r="U85" i="1"/>
  <c r="U78" i="1"/>
  <c r="V77" i="1"/>
  <c r="V44" i="1" l="1"/>
  <c r="M61" i="14"/>
  <c r="V76" i="1"/>
  <c r="U76" i="1"/>
  <c r="L61" i="14"/>
  <c r="U44" i="1"/>
  <c r="T68" i="1"/>
  <c r="T69" i="1" s="1"/>
  <c r="T86" i="1" s="1"/>
  <c r="H10" i="18"/>
  <c r="H13" i="18" s="1"/>
  <c r="M58" i="14" l="1"/>
  <c r="V47" i="1" s="1"/>
  <c r="V50" i="1"/>
  <c r="V84" i="1" s="1"/>
  <c r="M72" i="14"/>
  <c r="V61" i="1" s="1"/>
  <c r="L58" i="14"/>
  <c r="U47" i="1" s="1"/>
  <c r="U50" i="1"/>
  <c r="U84" i="1" s="1"/>
  <c r="L72" i="14"/>
  <c r="L74" i="14" l="1"/>
  <c r="U61" i="1"/>
  <c r="L49" i="14" l="1"/>
  <c r="M73" i="14"/>
  <c r="M74" i="14" s="1"/>
  <c r="M49" i="14" s="1"/>
  <c r="K73" i="5"/>
  <c r="K75" i="5" s="1"/>
  <c r="K77" i="5" s="1"/>
  <c r="O60" i="1"/>
  <c r="Q60" i="1"/>
  <c r="M73" i="5"/>
  <c r="L74" i="5" l="1"/>
  <c r="L75" i="5" s="1"/>
  <c r="H47" i="22"/>
  <c r="I10" i="18"/>
  <c r="I13" i="18" s="1"/>
  <c r="I14" i="18" s="1"/>
  <c r="U68" i="1"/>
  <c r="U69" i="1" s="1"/>
  <c r="U86" i="1" s="1"/>
  <c r="T60" i="1"/>
  <c r="O61" i="1"/>
  <c r="V60" i="1"/>
  <c r="Q61" i="1"/>
  <c r="V68" i="1"/>
  <c r="J10" i="18"/>
  <c r="J13" i="18" s="1"/>
  <c r="J14" i="18" s="1"/>
  <c r="I73" i="5"/>
  <c r="I72" i="5" s="1"/>
  <c r="G73" i="5"/>
  <c r="H73" i="5"/>
  <c r="H72" i="5" s="1"/>
  <c r="L50" i="5" l="1"/>
  <c r="P68" i="1" s="1"/>
  <c r="P69" i="1" s="1"/>
  <c r="P86" i="1" s="1"/>
  <c r="M74" i="5"/>
  <c r="M75" i="5" s="1"/>
  <c r="I47" i="22"/>
  <c r="I10" i="8"/>
  <c r="I13" i="8" s="1"/>
  <c r="I14" i="8" s="1"/>
  <c r="L77" i="5"/>
  <c r="W70" i="1"/>
  <c r="W71" i="1" s="1"/>
  <c r="W86" i="1" s="1"/>
  <c r="V69" i="1"/>
  <c r="V86" i="1" s="1"/>
  <c r="G72" i="5"/>
  <c r="G75" i="5"/>
  <c r="G77" i="5" s="1"/>
  <c r="J10" i="8" l="1"/>
  <c r="J13" i="8" s="1"/>
  <c r="J14" i="8" s="1"/>
  <c r="M50" i="5"/>
  <c r="Q68" i="1" s="1"/>
  <c r="Q69" i="1" s="1"/>
  <c r="Q86" i="1" s="1"/>
  <c r="J47" i="22"/>
  <c r="M77" i="5"/>
  <c r="H74" i="5"/>
  <c r="H75" i="5" s="1"/>
  <c r="H77" i="5" s="1"/>
  <c r="G50" i="5"/>
  <c r="D10" i="8"/>
  <c r="D13" i="8" s="1"/>
  <c r="I75" i="5" l="1"/>
  <c r="I77" i="5" s="1"/>
  <c r="E10" i="8"/>
  <c r="E13" i="8" s="1"/>
  <c r="H50" i="5"/>
  <c r="I74" i="5" s="1"/>
  <c r="F10" i="8" l="1"/>
  <c r="F13" i="8" s="1"/>
  <c r="F14" i="8" s="1"/>
  <c r="I50" i="5"/>
  <c r="K50" i="5" s="1"/>
  <c r="O68" i="1" l="1"/>
  <c r="O69" i="1" s="1"/>
  <c r="O86" i="1" s="1"/>
  <c r="H10" i="8"/>
  <c r="H13" i="8" s="1"/>
  <c r="H14"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Shraddha Deshmukh</author>
    <author>tc={FC14DE19-041B-451B-A15E-3CF55CE514AC}</author>
  </authors>
  <commentList>
    <comment ref="C60" authorId="0" shapeId="0" xr:uid="{CB7918BA-7217-634C-B2FD-4CEBF391FA8D}">
      <text>
        <r>
          <rPr>
            <b/>
            <sz val="10"/>
            <color rgb="FF000000"/>
            <rFont val="Tahoma"/>
            <family val="2"/>
          </rPr>
          <t>Shraddha Deshmukh:</t>
        </r>
        <r>
          <rPr>
            <sz val="10"/>
            <color rgb="FF000000"/>
            <rFont val="Tahoma"/>
            <family val="2"/>
          </rPr>
          <t xml:space="preserve">
</t>
        </r>
        <r>
          <rPr>
            <sz val="10"/>
            <color rgb="FF000000"/>
            <rFont val="Tahoma"/>
            <family val="2"/>
          </rPr>
          <t>Formula in these cells was pre-existing so leaving them as is</t>
        </r>
      </text>
    </comment>
    <comment ref="G60" authorId="1" shapeId="0" xr:uid="{FC14DE19-041B-451B-A15E-3CF55CE514AC}">
      <text>
        <t>[Threaded comment]
Your version of Excel allows you to read this threaded comment; however, any edits to it will get removed if the file is opened in a newer version of Excel. Learn more: https://go.microsoft.com/fwlink/?linkid=870924
Comment:
    Proceeds from sale of asests 655</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Shraddha Deshmukh</author>
  </authors>
  <commentList>
    <comment ref="K16" authorId="0" shapeId="0" xr:uid="{EE3F8AA6-FE09-684E-AF16-46613330E841}">
      <text>
        <r>
          <rPr>
            <b/>
            <sz val="10"/>
            <color rgb="FF000000"/>
            <rFont val="Tahoma"/>
            <family val="2"/>
          </rPr>
          <t>Shraddha Deshmukh:</t>
        </r>
        <r>
          <rPr>
            <sz val="10"/>
            <color rgb="FF000000"/>
            <rFont val="Tahoma"/>
            <family val="2"/>
          </rPr>
          <t xml:space="preserve">
</t>
        </r>
        <r>
          <rPr>
            <sz val="10"/>
            <color rgb="FF000000"/>
            <rFont val="Tahoma"/>
            <family val="2"/>
          </rPr>
          <t>Correcting the formula</t>
        </r>
      </text>
    </comment>
    <comment ref="G22" authorId="0" shapeId="0" xr:uid="{780F322A-F907-8D4C-9348-7A104A93FABA}">
      <text>
        <r>
          <rPr>
            <b/>
            <sz val="10"/>
            <color rgb="FF000000"/>
            <rFont val="Tahoma"/>
            <family val="2"/>
          </rPr>
          <t>Shraddha Deshmukh:</t>
        </r>
        <r>
          <rPr>
            <sz val="10"/>
            <color rgb="FF000000"/>
            <rFont val="Tahoma"/>
            <family val="2"/>
          </rPr>
          <t xml:space="preserve">
</t>
        </r>
        <r>
          <rPr>
            <sz val="10"/>
            <color rgb="FF000000"/>
            <rFont val="Calibri"/>
            <family val="2"/>
          </rPr>
          <t xml:space="preserve">(i) $394mm= Q2 2025 reported </t>
        </r>
        <r>
          <rPr>
            <b/>
            <sz val="10"/>
            <color rgb="FF000000"/>
            <rFont val="Calibri"/>
            <family val="2"/>
          </rPr>
          <t>total Pandora and off-platform advertising revenue</t>
        </r>
        <r>
          <rPr>
            <sz val="10"/>
            <color rgb="FF000000"/>
            <rFont val="Calibri"/>
            <family val="2"/>
          </rPr>
          <t xml:space="preserve">
</t>
        </r>
        <r>
          <rPr>
            <sz val="10"/>
            <color rgb="FF000000"/>
            <rFont val="Tahoma"/>
            <family val="2"/>
          </rPr>
          <t xml:space="preserve">(ii) 2.58 (Ad-supported listener hours) </t>
        </r>
        <r>
          <rPr>
            <sz val="10"/>
            <color rgb="FF000000"/>
            <rFont val="Tahoma"/>
            <family val="2"/>
          </rPr>
          <t>×</t>
        </r>
        <r>
          <rPr>
            <sz val="10"/>
            <color rgb="FF000000"/>
            <rFont val="Tahoma"/>
            <family val="2"/>
          </rPr>
          <t xml:space="preserve"> 85.97 (RPM) = 221.80 -&gt; </t>
        </r>
        <r>
          <rPr>
            <sz val="10"/>
            <color rgb="FF000000"/>
            <rFont val="Calibri"/>
            <family val="2"/>
          </rPr>
          <t xml:space="preserve">= implied Q2 2025 </t>
        </r>
        <r>
          <rPr>
            <b/>
            <sz val="10"/>
            <color rgb="FF000000"/>
            <rFont val="Calibri"/>
            <family val="2"/>
          </rPr>
          <t>on-platform Pandora advertising revenue</t>
        </r>
        <r>
          <rPr>
            <sz val="10"/>
            <color rgb="FF000000"/>
            <rFont val="Calibri"/>
            <family val="2"/>
          </rPr>
          <t xml:space="preserve">,
</t>
        </r>
        <r>
          <rPr>
            <sz val="10"/>
            <color rgb="FF000000"/>
            <rFont val="Tahoma"/>
            <family val="2"/>
          </rPr>
          <t>(iii) $394mm - $221.8mm = $</t>
        </r>
        <r>
          <rPr>
            <sz val="10"/>
            <color rgb="FF000000"/>
            <rFont val="Calibri"/>
            <family val="2"/>
          </rPr>
          <t xml:space="preserve">172.20 implied Q2 2025 </t>
        </r>
        <r>
          <rPr>
            <b/>
            <sz val="10"/>
            <color rgb="FF000000"/>
            <rFont val="Calibri"/>
            <family val="2"/>
          </rPr>
          <t>off-platform advertising revenue</t>
        </r>
        <r>
          <rPr>
            <sz val="10"/>
            <color rgb="FF000000"/>
            <rFont val="Calibri"/>
            <family val="2"/>
          </rPr>
          <t xml:space="preserve">.
</t>
        </r>
        <r>
          <rPr>
            <sz val="10"/>
            <color rgb="FF000000"/>
            <rFont val="Tahoma"/>
            <family val="2"/>
          </rPr>
          <t xml:space="preserve">(iv) 172.20 </t>
        </r>
        <r>
          <rPr>
            <sz val="10"/>
            <color rgb="FF000000"/>
            <rFont val="Tahoma"/>
            <family val="2"/>
          </rPr>
          <t>×</t>
        </r>
        <r>
          <rPr>
            <sz val="10"/>
            <color rgb="FF000000"/>
            <rFont val="Tahoma"/>
            <family val="2"/>
          </rPr>
          <t xml:space="preserve"> (1 + 23.597% (See adjacent table for calculation)) = 212.83 --&gt; Q2 2026E off-platform revenue
</t>
        </r>
        <r>
          <rPr>
            <sz val="10"/>
            <color rgb="FF000000"/>
            <rFont val="Tahoma"/>
            <family val="2"/>
          </rPr>
          <t xml:space="preserve">
</t>
        </r>
        <r>
          <rPr>
            <sz val="10"/>
            <color rgb="FF000000"/>
            <rFont val="Tahoma"/>
            <family val="2"/>
          </rPr>
          <t xml:space="preserve">Q2 2026E = Q2 2025 implied off-platform revenue </t>
        </r>
        <r>
          <rPr>
            <sz val="10"/>
            <color rgb="FF000000"/>
            <rFont val="Tahoma"/>
            <family val="2"/>
          </rPr>
          <t>×</t>
        </r>
        <r>
          <rPr>
            <sz val="10"/>
            <color rgb="FF000000"/>
            <rFont val="Tahoma"/>
            <family val="2"/>
          </rPr>
          <t xml:space="preserve"> Q1 2026 implied off-platform YoY growth</t>
        </r>
      </text>
    </comment>
    <comment ref="G25" authorId="0" shapeId="0" xr:uid="{9032D293-91C3-7E44-8BCC-8AACFB527B02}">
      <text>
        <r>
          <rPr>
            <b/>
            <sz val="10"/>
            <color rgb="FF000000"/>
            <rFont val="Tahoma"/>
            <family val="2"/>
          </rPr>
          <t>Shraddha Deshmukh:</t>
        </r>
        <r>
          <rPr>
            <sz val="10"/>
            <color rgb="FF000000"/>
            <rFont val="Tahoma"/>
            <family val="2"/>
          </rPr>
          <t xml:space="preserve">
</t>
        </r>
        <r>
          <rPr>
            <sz val="10"/>
            <color rgb="FF000000"/>
            <rFont val="Calibri"/>
            <family val="2"/>
            <scheme val="minor"/>
          </rPr>
          <t>Hold FY2026 advertising revenue flat at the FY2025 level, subtract the $35m already earned in Q1, distribute the remaining revenue across Q2–Q4 according to the 2025 seasonal pattern, and then calculate Q2 growth relative to Q1 2026.</t>
        </r>
      </text>
    </comment>
    <comment ref="J34" authorId="0" shapeId="0" xr:uid="{2C3E19FB-8F3F-E241-9A04-0A69449F0C65}">
      <text>
        <r>
          <rPr>
            <b/>
            <sz val="10"/>
            <color rgb="FF000000"/>
            <rFont val="Tahoma"/>
            <family val="2"/>
          </rPr>
          <t>Shraddha Deshmukh:</t>
        </r>
        <r>
          <rPr>
            <sz val="10"/>
            <color rgb="FF000000"/>
            <rFont val="Tahoma"/>
            <family val="2"/>
          </rPr>
          <t xml:space="preserve">
</t>
        </r>
        <r>
          <rPr>
            <sz val="10"/>
            <color rgb="FF000000"/>
            <rFont val="Tahoma"/>
            <family val="2"/>
          </rPr>
          <t xml:space="preserve">Cost of services SBC              $16mm
</t>
        </r>
        <r>
          <rPr>
            <sz val="10"/>
            <color rgb="FF000000"/>
            <rFont val="Tahoma"/>
            <family val="2"/>
          </rPr>
          <t xml:space="preserve">Sales and marketing SBC            $11mm
</t>
        </r>
        <r>
          <rPr>
            <sz val="10"/>
            <color rgb="FF000000"/>
            <rFont val="Tahoma"/>
            <family val="2"/>
          </rPr>
          <t xml:space="preserve">Product and technology SBC         $10mm
</t>
        </r>
        <r>
          <rPr>
            <sz val="10"/>
            <color rgb="FF000000"/>
            <rFont val="Tahoma"/>
            <family val="2"/>
          </rPr>
          <t xml:space="preserve">General and administrative SBC     $17mm
</t>
        </r>
        <r>
          <rPr>
            <sz val="10"/>
            <color rgb="FF000000"/>
            <rFont val="Tahoma"/>
            <family val="2"/>
          </rPr>
          <t xml:space="preserve">
</t>
        </r>
        <r>
          <rPr>
            <sz val="10"/>
            <color rgb="FF000000"/>
            <rFont val="Tahoma"/>
            <family val="2"/>
          </rPr>
          <t>Total Q1 2026 SBC                  $54mm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Shraddha Deshmukh</author>
  </authors>
  <commentList>
    <comment ref="F75" authorId="0" shapeId="0" xr:uid="{F1E2074A-BB72-1C4B-9E3C-D79F2F4D0F42}">
      <text>
        <r>
          <rPr>
            <b/>
            <sz val="10"/>
            <color rgb="FF000000"/>
            <rFont val="Tahoma"/>
            <family val="2"/>
          </rPr>
          <t>Shraddha Deshmukh:</t>
        </r>
        <r>
          <rPr>
            <sz val="10"/>
            <color rgb="FF000000"/>
            <rFont val="Tahoma"/>
            <family val="2"/>
          </rPr>
          <t xml:space="preserve">
</t>
        </r>
        <r>
          <rPr>
            <sz val="10"/>
            <color rgb="FF000000"/>
            <rFont val="Tahoma"/>
            <family val="2"/>
          </rPr>
          <t>$75mm cash &amp; eqv. + $8mm restricted cash</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Shraddha Deshmukh</author>
  </authors>
  <commentList>
    <comment ref="K16" authorId="0" shapeId="0" xr:uid="{1055E5AE-4E31-A345-819C-98FEB7F54695}">
      <text>
        <r>
          <rPr>
            <b/>
            <sz val="10"/>
            <color rgb="FF000000"/>
            <rFont val="Tahoma"/>
            <family val="2"/>
          </rPr>
          <t>Shraddha Deshmukh:</t>
        </r>
        <r>
          <rPr>
            <sz val="10"/>
            <color rgb="FF000000"/>
            <rFont val="Tahoma"/>
            <family val="2"/>
          </rPr>
          <t xml:space="preserve">
</t>
        </r>
        <r>
          <rPr>
            <sz val="10"/>
            <color rgb="FF000000"/>
            <rFont val="Tahoma"/>
            <family val="2"/>
          </rPr>
          <t>Corrected the formula</t>
        </r>
      </text>
    </comment>
    <comment ref="J33" authorId="0" shapeId="0" xr:uid="{7306BB62-830B-B34C-AA5D-88862CFA4939}">
      <text>
        <r>
          <rPr>
            <b/>
            <sz val="10"/>
            <color rgb="FF000000"/>
            <rFont val="Tahoma"/>
            <family val="2"/>
          </rPr>
          <t>Shraddha Deshmukh:</t>
        </r>
        <r>
          <rPr>
            <sz val="10"/>
            <color rgb="FF000000"/>
            <rFont val="Tahoma"/>
            <family val="2"/>
          </rPr>
          <t xml:space="preserve">
</t>
        </r>
        <r>
          <rPr>
            <sz val="10"/>
            <color rgb="FF000000"/>
            <rFont val="Tahoma"/>
            <family val="2"/>
          </rPr>
          <t xml:space="preserve">Cost of services SBC              $16mm
</t>
        </r>
        <r>
          <rPr>
            <sz val="10"/>
            <color rgb="FF000000"/>
            <rFont val="Tahoma"/>
            <family val="2"/>
          </rPr>
          <t xml:space="preserve">Sales and marketing SBC            $11mm
</t>
        </r>
        <r>
          <rPr>
            <sz val="10"/>
            <color rgb="FF000000"/>
            <rFont val="Tahoma"/>
            <family val="2"/>
          </rPr>
          <t xml:space="preserve">Product and technology SBC         $10mm
</t>
        </r>
        <r>
          <rPr>
            <sz val="10"/>
            <color rgb="FF000000"/>
            <rFont val="Tahoma"/>
            <family val="2"/>
          </rPr>
          <t xml:space="preserve">General and administrative SBC     $17mm
</t>
        </r>
        <r>
          <rPr>
            <sz val="10"/>
            <color rgb="FF000000"/>
            <rFont val="Tahoma"/>
            <family val="2"/>
          </rPr>
          <t xml:space="preserve">
</t>
        </r>
        <r>
          <rPr>
            <sz val="10"/>
            <color rgb="FF000000"/>
            <rFont val="Tahoma"/>
            <family val="2"/>
          </rPr>
          <t>Total Q1 2026 SBC                  $54mm</t>
        </r>
      </text>
    </comment>
    <comment ref="L35" authorId="0" shapeId="0" xr:uid="{B93774AD-707A-D04C-A808-EF0CE1B84179}">
      <text>
        <r>
          <rPr>
            <b/>
            <sz val="10"/>
            <color rgb="FF000000"/>
            <rFont val="Tahoma"/>
            <family val="2"/>
          </rPr>
          <t>Shraddha Deshmukh:</t>
        </r>
        <r>
          <rPr>
            <sz val="10"/>
            <color rgb="FF000000"/>
            <rFont val="Tahoma"/>
            <family val="2"/>
          </rPr>
          <t xml:space="preserve">
</t>
        </r>
        <r>
          <rPr>
            <sz val="10"/>
            <color rgb="FF000000"/>
            <rFont val="Tahoma"/>
            <family val="2"/>
          </rPr>
          <t>Adjusted EBITDA margin to reduce lower than base case EBITDA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Shraddha Deshmukh</author>
  </authors>
  <commentList>
    <comment ref="F74" authorId="0" shapeId="0" xr:uid="{8F9EDB18-8191-664E-9437-C6FA2849BF15}">
      <text>
        <r>
          <rPr>
            <b/>
            <sz val="10"/>
            <color rgb="FF000000"/>
            <rFont val="Tahoma"/>
            <family val="2"/>
          </rPr>
          <t>Shraddha Deshmukh:</t>
        </r>
        <r>
          <rPr>
            <sz val="10"/>
            <color rgb="FF000000"/>
            <rFont val="Tahoma"/>
            <family val="2"/>
          </rPr>
          <t xml:space="preserve">
</t>
        </r>
        <r>
          <rPr>
            <sz val="10"/>
            <color rgb="FF000000"/>
            <rFont val="Tahoma"/>
            <family val="2"/>
          </rPr>
          <t>$75mm cash &amp; eqv. + $8mm restricted cash</t>
        </r>
      </text>
    </comment>
  </commentList>
</comments>
</file>

<file path=xl/sharedStrings.xml><?xml version="1.0" encoding="utf-8"?>
<sst xmlns="http://schemas.openxmlformats.org/spreadsheetml/2006/main" count="1349" uniqueCount="526">
  <si>
    <t>Base case</t>
  </si>
  <si>
    <t>Bear case</t>
  </si>
  <si>
    <t>EBITDA margin</t>
  </si>
  <si>
    <t>Capex % rev</t>
  </si>
  <si>
    <t xml:space="preserve"> </t>
  </si>
  <si>
    <t>Recommendation:</t>
  </si>
  <si>
    <t>Issuer Public Ratings:</t>
  </si>
  <si>
    <t>Base Case</t>
  </si>
  <si>
    <t>Bear Case</t>
  </si>
  <si>
    <t>xEBITDA</t>
  </si>
  <si>
    <t>Financials ($ m)</t>
  </si>
  <si>
    <t>2018Y</t>
  </si>
  <si>
    <t>2019Y</t>
  </si>
  <si>
    <t>2020Y</t>
  </si>
  <si>
    <t>2026E</t>
  </si>
  <si>
    <t>2027E</t>
  </si>
  <si>
    <t>Capitalization  ($mm)</t>
  </si>
  <si>
    <t>Operating Summary</t>
  </si>
  <si>
    <t>Other</t>
  </si>
  <si>
    <t>Total Revenue</t>
  </si>
  <si>
    <t>Gross Profit</t>
  </si>
  <si>
    <t>Adj. EBITDA</t>
  </si>
  <si>
    <t>Cash Flow Summary</t>
  </si>
  <si>
    <t>Cash taxes</t>
  </si>
  <si>
    <t>Total Debt</t>
  </si>
  <si>
    <t>Cash interest</t>
  </si>
  <si>
    <t>Less: Cash and Cash equivalents</t>
  </si>
  <si>
    <t>Net Debt</t>
  </si>
  <si>
    <t>Working capital</t>
  </si>
  <si>
    <t>Other changes in CFO**</t>
  </si>
  <si>
    <t>Cash flow from operations</t>
  </si>
  <si>
    <t>Equity valuation</t>
  </si>
  <si>
    <t>FCF (CFO-capex)</t>
  </si>
  <si>
    <t>Enterprise Valuation</t>
  </si>
  <si>
    <t>Change in Debt</t>
  </si>
  <si>
    <t>Change in Equity</t>
  </si>
  <si>
    <t>Share Repurchase</t>
  </si>
  <si>
    <t xml:space="preserve">Liquidity </t>
  </si>
  <si>
    <t>M&amp;A</t>
  </si>
  <si>
    <t>Cash and equivalents</t>
  </si>
  <si>
    <t>Proceeds from sale leaseback</t>
  </si>
  <si>
    <t>Dividends</t>
  </si>
  <si>
    <t>Revolver Size</t>
  </si>
  <si>
    <t>Proceeds from NCI</t>
  </si>
  <si>
    <t>Less: borrowings</t>
  </si>
  <si>
    <t>Proceeds from prepaid variable forward</t>
  </si>
  <si>
    <t>Other changes in cash flow</t>
  </si>
  <si>
    <t>Revolver Capacity</t>
  </si>
  <si>
    <t>Net change in cash</t>
  </si>
  <si>
    <t>Total liquidity</t>
  </si>
  <si>
    <t>Capitalization</t>
  </si>
  <si>
    <t>LT Debt</t>
  </si>
  <si>
    <t>Others</t>
  </si>
  <si>
    <t>Cash, Cash Equivalents &amp; STI</t>
  </si>
  <si>
    <t>Net debt</t>
  </si>
  <si>
    <t>Growth, Profitability, Cash Flow &amp; Credit Ratios</t>
  </si>
  <si>
    <t>Revenue growth</t>
  </si>
  <si>
    <t>Gross Margin</t>
  </si>
  <si>
    <t>SG&amp;A/Revenues</t>
  </si>
  <si>
    <t>Adj EBITDA growth</t>
  </si>
  <si>
    <t>Adj EBITDA margin</t>
  </si>
  <si>
    <t>EBITDA / interest</t>
  </si>
  <si>
    <t>(EBITDA - capex) / interest</t>
  </si>
  <si>
    <t>Capex / revenue</t>
  </si>
  <si>
    <t>Capex / EBITDA</t>
  </si>
  <si>
    <t>FCF / debt</t>
  </si>
  <si>
    <t>Maturity</t>
  </si>
  <si>
    <t>disc_mrgn_mid</t>
  </si>
  <si>
    <t>{Sector-Subsector}</t>
  </si>
  <si>
    <t>Interest Rate</t>
  </si>
  <si>
    <t>EBITDA-tax-Int</t>
  </si>
  <si>
    <t>Gross adj debt/EBITDA</t>
  </si>
  <si>
    <t>Net adj debt/EBITDA</t>
  </si>
  <si>
    <t>LTM</t>
  </si>
  <si>
    <t>Shraddha Deshmukh</t>
  </si>
  <si>
    <t>SiriusXM</t>
  </si>
  <si>
    <t>Subscriber revenue </t>
  </si>
  <si>
    <t>Advertising revenue</t>
  </si>
  <si>
    <t>Equipment revenue</t>
  </si>
  <si>
    <t>Other revenue</t>
  </si>
  <si>
    <t>2025 Y</t>
  </si>
  <si>
    <t>2024Y</t>
  </si>
  <si>
    <t>2023Y</t>
  </si>
  <si>
    <t>Pandora and Off-platform</t>
  </si>
  <si>
    <t>Subscriber revenue</t>
  </si>
  <si>
    <t>Cost of services</t>
  </si>
  <si>
    <t>Subscriber acquisition costs </t>
  </si>
  <si>
    <t>Sales and marketing </t>
  </si>
  <si>
    <t>Product and technology </t>
  </si>
  <si>
    <t>General and administrative </t>
  </si>
  <si>
    <t>Adjusted EBITDA reconciliation items</t>
  </si>
  <si>
    <t>Share-based compensation</t>
  </si>
  <si>
    <t>Legal settlements/reserves</t>
  </si>
  <si>
    <t>EBITDA before adjustments</t>
  </si>
  <si>
    <t>Ending subscribers</t>
  </si>
  <si>
    <t>Self-pay subscribers</t>
  </si>
  <si>
    <t>Paid promotional subscribers</t>
  </si>
  <si>
    <t>Weighted average subscribers</t>
  </si>
  <si>
    <t>Pandora &amp; Off-platform</t>
  </si>
  <si>
    <t>Adjusted EBITDA</t>
  </si>
  <si>
    <t>Settlement of intergroup interests</t>
  </si>
  <si>
    <t xml:space="preserve">SiriusXM </t>
  </si>
  <si>
    <t>Total revenue</t>
  </si>
  <si>
    <t>Satellite expenditures</t>
  </si>
  <si>
    <t>N/A</t>
  </si>
  <si>
    <t>ST debt</t>
  </si>
  <si>
    <t>INTEREST EXPENSE</t>
  </si>
  <si>
    <t>Net Income</t>
  </si>
  <si>
    <t>Taxes</t>
  </si>
  <si>
    <t>Other expenses</t>
  </si>
  <si>
    <t>Capex excluding satellite expenditure</t>
  </si>
  <si>
    <t>2025Y</t>
  </si>
  <si>
    <t xml:space="preserve">Paid promotional subscribers </t>
  </si>
  <si>
    <t>Note:</t>
  </si>
  <si>
    <t>SAC per installation (iv)</t>
  </si>
  <si>
    <r>
      <t xml:space="preserve">(v) </t>
    </r>
    <r>
      <rPr>
        <b/>
        <i/>
        <sz val="11"/>
        <color theme="1"/>
        <rFont val="Calibri"/>
        <family val="2"/>
        <scheme val="minor"/>
      </rPr>
      <t xml:space="preserve">Ad supported listener hours </t>
    </r>
    <r>
      <rPr>
        <i/>
        <sz val="11"/>
        <color theme="1"/>
        <rFont val="Calibri"/>
        <family val="2"/>
        <scheme val="minor"/>
      </rPr>
      <t>are a key indicator of  Pandora business and the engagement of our Pandora listeners. Included in ad supported listener hours related to Pandora's non-music content offerings in the definition of listener hours.</t>
    </r>
  </si>
  <si>
    <r>
      <t xml:space="preserve">(i) </t>
    </r>
    <r>
      <rPr>
        <b/>
        <i/>
        <sz val="11"/>
        <color theme="1"/>
        <rFont val="Calibri"/>
        <family val="2"/>
        <scheme val="minor"/>
      </rPr>
      <t>Sirius XM Canada Subscribers</t>
    </r>
    <r>
      <rPr>
        <i/>
        <sz val="11"/>
        <color theme="1"/>
        <rFont val="Calibri"/>
        <family val="2"/>
        <scheme val="minor"/>
      </rPr>
      <t xml:space="preserve">; 
 </t>
    </r>
  </si>
  <si>
    <r>
      <t xml:space="preserve">(ii) </t>
    </r>
    <r>
      <rPr>
        <b/>
        <i/>
        <sz val="11"/>
        <color theme="1"/>
        <rFont val="Calibri"/>
        <family val="2"/>
        <scheme val="minor"/>
      </rPr>
      <t xml:space="preserve">Average Self-pay Monthly Churn </t>
    </r>
    <r>
      <rPr>
        <i/>
        <sz val="11"/>
        <color theme="1"/>
        <rFont val="Calibri"/>
        <family val="2"/>
        <scheme val="minor"/>
      </rPr>
      <t xml:space="preserve">is derived by dividing the monthly average of self-pay deactivations for the period by the average number of self-pay subscribers for the period; </t>
    </r>
  </si>
  <si>
    <r>
      <t xml:space="preserve">(iii) </t>
    </r>
    <r>
      <rPr>
        <b/>
        <i/>
        <sz val="11"/>
        <color theme="1"/>
        <rFont val="Calibri"/>
        <family val="2"/>
        <scheme val="minor"/>
      </rPr>
      <t>ARPU</t>
    </r>
    <r>
      <rPr>
        <i/>
        <sz val="11"/>
        <color theme="1"/>
        <rFont val="Calibri"/>
        <family val="2"/>
        <scheme val="minor"/>
      </rPr>
      <t xml:space="preserve"> is derived from total earned SiriusXM subscriber revenue (excluding revenue derived from our connected vehicle services) and net advertising revenue, divided by the number of months in the period, divided by the daily weighted average number of subscribers for the period; </t>
    </r>
  </si>
  <si>
    <r>
      <t xml:space="preserve">(iv) </t>
    </r>
    <r>
      <rPr>
        <b/>
        <i/>
        <sz val="11"/>
        <color theme="1"/>
        <rFont val="Calibri"/>
        <family val="2"/>
        <scheme val="minor"/>
      </rPr>
      <t>SAC</t>
    </r>
    <r>
      <rPr>
        <i/>
        <sz val="11"/>
        <color theme="1"/>
        <rFont val="Calibri"/>
        <family val="2"/>
        <scheme val="minor"/>
      </rPr>
      <t>, Per Installation, is derived from subscriber acquisition costs and margins from the sale of radios, components and accessories (excluding connected vehicle services), divided by the number of satellite radio installations in new vehicles and shipments of aftermarket radios for the period.</t>
    </r>
  </si>
  <si>
    <r>
      <t xml:space="preserve">(vi) </t>
    </r>
    <r>
      <rPr>
        <b/>
        <i/>
        <sz val="11"/>
        <color theme="1"/>
        <rFont val="Calibri"/>
        <family val="2"/>
        <scheme val="minor"/>
      </rPr>
      <t>RPM</t>
    </r>
    <r>
      <rPr>
        <i/>
        <sz val="11"/>
        <color theme="1"/>
        <rFont val="Calibri"/>
        <family val="2"/>
        <scheme val="minor"/>
      </rPr>
      <t xml:space="preserve"> is a key indicator of our ability to monetize advertising inventory created by listener hours on the Pandora services. Ad RPM is calculated by dividing advertising revenue by the number of thousands of listener hours of our Pandora advertising-based service.</t>
    </r>
  </si>
  <si>
    <t>USD '000s</t>
  </si>
  <si>
    <t>Ad-supported listener hours (v) (in bn)</t>
  </si>
  <si>
    <t>SiriusXM Canada Subsribers</t>
  </si>
  <si>
    <t>Adjusted EBITDA grew 6% to $666 million in the first quarter, driven by higher subscriber and advertising revenue as well as lower customer service, product and technology and general and administrative expenses.</t>
  </si>
  <si>
    <t>Q1 2026</t>
  </si>
  <si>
    <t>As we navigate a more dynamic macroeconomic backdrop our priorities remain clear: achieving our target leverage range of low-to-mid 3x and driving continued free cash flow growth toward our $1.5 billion2 2027 objective.</t>
  </si>
  <si>
    <t>Subscribers and subscription related revenues and expenses associated with our connected vehicle services and Sirius XM</t>
  </si>
  <si>
    <t>Canada are not included in SiriusXM’s subscriber count or subscriber-based operating metrics. Subscribers to the Cloud Cover</t>
  </si>
  <si>
    <t>music programming service are now included in Pandora's subscriber count.</t>
  </si>
  <si>
    <t>2028E</t>
  </si>
  <si>
    <t>Ad-supported listener hours, bn</t>
  </si>
  <si>
    <t>ARPU ($)</t>
  </si>
  <si>
    <t>RPM ($)</t>
  </si>
  <si>
    <t>Total Pandora advertising revenue</t>
  </si>
  <si>
    <t>Consolidated revenue and EBITDA</t>
  </si>
  <si>
    <t>Basis</t>
  </si>
  <si>
    <t>SiriusXM assumptions</t>
  </si>
  <si>
    <t>Pandora assumptions</t>
  </si>
  <si>
    <t>Status</t>
  </si>
  <si>
    <t>Revenue-growth assumptions</t>
  </si>
  <si>
    <t>Churn</t>
  </si>
  <si>
    <t>2024 vs. 2023</t>
  </si>
  <si>
    <t>2025 vs. 2024</t>
  </si>
  <si>
    <t>Q2 2026</t>
  </si>
  <si>
    <t>Q3 2026</t>
  </si>
  <si>
    <t>Q4 2026</t>
  </si>
  <si>
    <t>Average Self-pay monthly churn (ii)</t>
  </si>
  <si>
    <t xml:space="preserve"> Self-pay subscribers</t>
  </si>
  <si>
    <t>SiriusXM advertising</t>
  </si>
  <si>
    <t>Self-pay subscribers ( '000s)</t>
  </si>
  <si>
    <t>Self-pay subscribers ( '000s) +/-</t>
  </si>
  <si>
    <t>Paid promotional ('000s)</t>
  </si>
  <si>
    <t>Paid promotional ('000s) +/-</t>
  </si>
  <si>
    <t>Weighted average subscribers ('000s)</t>
  </si>
  <si>
    <t>• The quarterly values reproduce actual 2025 seasonality:
Q2 2025: 1.5%, Q2 10-Q p. 50.
Q3 2025: 1.6%, Q3 10-Q p. 51.
Q4 2025: 1.4%, FY2025 release p. 10.
Q1 2026 actual: 1.5%, Q1 2026 10-Q pp. 41–42.
Q1’s improvement was attributed to lower vehicle-related and non-pay churn, partly offset by higher voluntary churn. Holding 1.5% thereafter assumes no additional improvement.</t>
  </si>
  <si>
    <t>Q2 2026E</t>
  </si>
  <si>
    <t>Q3 2026E</t>
  </si>
  <si>
    <t>Q4 2026E</t>
  </si>
  <si>
    <t xml:space="preserve">Monthly active users </t>
  </si>
  <si>
    <t>Q2 2025</t>
  </si>
  <si>
    <t>Q3 2025</t>
  </si>
  <si>
    <t>Q4 2025</t>
  </si>
  <si>
    <t>Q1 2026A</t>
  </si>
  <si>
    <t>Self-pay subscribers ('000s)</t>
  </si>
  <si>
    <t>Self-pay subscribers ('000s) changes</t>
  </si>
  <si>
    <t>• Q2 2026 = Q1 2026 + (Q2 2025 - Q1 2025). Same for Q3 and Q4 2026.
• For 2027 and 2028, we use a 2% annual decline because Pandora subscribers declined by 2% in FY2025 and were also down 2% YoY in Q1 2026.</t>
  </si>
  <si>
    <t>Monthly active users ('000s)</t>
  </si>
  <si>
    <t>• Q1 2026 reflects the reported daily weighted-average subscriber count. Q2–Q4 forecasts approximate weighted-average subscribers using the average of beginning and ending quarterly subscriber balances. FY2026 is day-weighted across the four quarters.
• 2027E = (2026E + 2027E)/2
• 2028E = same as above</t>
  </si>
  <si>
    <t>Ad-supported listener hours (bn)</t>
  </si>
  <si>
    <t>Ad RPM (vi)</t>
  </si>
  <si>
    <t>• Q2 2026: Q1 2026 RPM was 3.58% below Q1 2025. Apply the same YoY reduction to each corresponding 2025 quarter. FY2026 RPM is then weighted by listener hours.
• 2027: assume RPM recovers halfway from $88.50 to the 2025 level of $91.78. For 2028, assume it returns to $91.78.</t>
  </si>
  <si>
    <t>Off-platform revenue ($mm)</t>
  </si>
  <si>
    <t>SiriusXM Revenue ($mm)</t>
  </si>
  <si>
    <t xml:space="preserve">Subscriber revenue </t>
  </si>
  <si>
    <t>Modeling -&gt;</t>
  </si>
  <si>
    <t>Monthly active users multiplier (x)</t>
  </si>
  <si>
    <t>• Q2 2026: (Q1 2026 + Q2 2026 self-pay subscribers + Q2 2026 Paid promotional)/2
• Q3 &amp; Q4 2026, 2027E, 2028E : Same as above</t>
  </si>
  <si>
    <t>Adjusted EBITDA margin target</t>
  </si>
  <si>
    <t>Sales and marketing mix of below-gross opex</t>
  </si>
  <si>
    <t>Same residual-allocation methodology as above.</t>
  </si>
  <si>
    <t>Product and technology mix of below-gross opex</t>
  </si>
  <si>
    <t xml:space="preserve">	Same residual-allocation methodology as above.</t>
  </si>
  <si>
    <t xml:space="preserve">	General and administrative mix of below-gross opex</t>
  </si>
  <si>
    <t>Residual balancing line so below-gross opex mix sums to 100%.</t>
  </si>
  <si>
    <t>CFS ($mm)</t>
  </si>
  <si>
    <t>0</t>
  </si>
  <si>
    <t>Debt repayment Schedule</t>
  </si>
  <si>
    <t>#</t>
  </si>
  <si>
    <t>Calculation</t>
  </si>
  <si>
    <t>Final Answer</t>
  </si>
  <si>
    <t>Delayed-draw TL</t>
  </si>
  <si>
    <t>= $1.1mm x 1.25% = $13.75mm</t>
  </si>
  <si>
    <t>Q1 2025</t>
  </si>
  <si>
    <t>Software and hardware</t>
  </si>
  <si>
    <t>Satellite construction</t>
  </si>
  <si>
    <t>Other P&amp;E</t>
  </si>
  <si>
    <t>Total capex</t>
  </si>
  <si>
    <t>$mm</t>
  </si>
  <si>
    <t>YoY</t>
  </si>
  <si>
    <t>• Latest management guidance indicates SiriusXM advertising revenue will remain relatively flat. FY2026–FY2028 revenue is therefore held flat, with Q2–Q4 2026 distributed using the 2025 quarterly seasonal pattern.</t>
  </si>
  <si>
    <t>• Management expects equipment revenue to decline due to the transition to next-generation chipsets. 
• The model applies the 2025 actual decline of 2.2% annually, with quarterly revenue distributed using the 2025 seasonal pattern.</t>
  </si>
  <si>
    <t>• Management expects other revenue to remain relatively flat. 
̐• Annual revenue is held at the FY2025 level, while Q2–Q4 2026 follows the 2025 quarterly seasonal pattern.</t>
  </si>
  <si>
    <t>• Base cost-of-services ratio set to the average of FY2025 actual inclusive cost of services / revenue and Q1 2026 actual inclusive cost of services / revenue. Held flat thereafter; detailed quarterly and outer-year mix by segment is unspecified.</t>
  </si>
  <si>
    <t>• Only Q1 2026 actual legal settlements / reserves of $1m are included in FY2026. No forward one-off settlements are assumed absent specific disclosure.</t>
  </si>
  <si>
    <t>• Residual below-gross opex is allocated using the average of FY2025 actual and Q1 2026 actual functional cost mix.</t>
  </si>
  <si>
    <t>2025A</t>
  </si>
  <si>
    <t>2024A</t>
  </si>
  <si>
    <t>2023A</t>
  </si>
  <si>
    <t>Balance sheet</t>
  </si>
  <si>
    <t>LT debt</t>
  </si>
  <si>
    <t>Total debt</t>
  </si>
  <si>
    <t>Cash &amp; eqv.</t>
  </si>
  <si>
    <t>Cash and cash equivalents</t>
  </si>
  <si>
    <t>Long-term debt</t>
  </si>
  <si>
    <t>Ending total debt</t>
  </si>
  <si>
    <t>Debt schedule ($mm)</t>
  </si>
  <si>
    <t>Opening total debt</t>
  </si>
  <si>
    <t>Scheduled term-loan repayment</t>
  </si>
  <si>
    <t>Revolver repayment</t>
  </si>
  <si>
    <t>Debt issuance / refinancing</t>
  </si>
  <si>
    <t>Less: current maturities</t>
  </si>
  <si>
    <t>Net debt / Adjusted EBITDA</t>
  </si>
  <si>
    <t>Source/Notes</t>
  </si>
  <si>
    <t>• The Delayed Draw Incremental Term Loan originally had $1.1 billion of principal commitments. The agreement requires repayment on the last business day of every March, June, September and December equal to 1.25% of the original principal borrowed. (Source: 10-Q Q1 2026)</t>
  </si>
  <si>
    <t>10-Q Q1 2026</t>
  </si>
  <si>
    <t>• At March 31, 2026, SiriusXM had $70 million outstanding under the revolving Credit Facility. So, we assume that Sirius pays off $70mm in Q2 2026E and makes no drawdown forward.</t>
  </si>
  <si>
    <t>• SiriusXM ended Q1 at 3.6x net debt/Adjusted EBITDA and stated that it expects to reach its long-term leverage range of the low-to-mid 3x range by Q4 2026. The company also reaffirmed approximately $2.6 billion of 2026 Adjusted EBITDA guidance.</t>
  </si>
  <si>
    <t>• At March 31, 2026, current maturities were $59mm, consisting principally of: (i) $55 million current portion of the Delayed Draw Term Loan + (ii) c. $4mm of finance leases (SiriusXM explicitly disclosed that $55 million of the $386 million term-loan balance was current.)</t>
  </si>
  <si>
    <t>Long term debt = Ending debt - current maturities</t>
  </si>
  <si>
    <t>Forecast component ($mm)</t>
  </si>
  <si>
    <t xml:space="preserve">The company disclosed: Q1 2025 software/hardware: $105 million., H1 2025 software/hardware: $205 million, implying Q2 of $100 million, Nine-month 2025 software/hardware: $292 million, implying Q3 of $87 million, and FY2025 software/hardware: $389 million, implying Q4 of $97 million. </t>
  </si>
  <si>
    <t>Share repurchases</t>
  </si>
  <si>
    <t>Cash taxes paid as a % of EBITDA</t>
  </si>
  <si>
    <t>• FY2025 cash taxes paid of $156m divided by FY2025 Adjusted EBITDA of $2,665m, giving a 5.85% cash-tax-to-EBITDA rate. SiriusXM paid no cash income taxes in Q1 2026, reflecting payment timing rather than a sustainable zero-cash-tax rate. The FY2025 normalized rate is therefore used for the forecast period.
• The Q1 2026 filing reports $0 cash income taxes paid, compared with $3 million in Q1 2025.</t>
  </si>
  <si>
    <t>• See the "Debt Repayment Schedule" tab</t>
  </si>
  <si>
    <t>Debt borrowings / repayments</t>
  </si>
  <si>
    <t>* The -22 represents Q1 2026 actual repurchases.
• Q1 2026 actual share repurchases were $22m. No additional repurchases are assumed while SiriusXM prioritizes deleveraging toward its low-to-mid 3x leverage target. Although $1.003bn remained authorized at March 31, 2026, an authorization does not require the company to repurchase shares.</t>
  </si>
  <si>
    <t>• Quarterly dividend held at the latest declared rate of $0.27 per share. FY2026 equals four quarterly payments, or $1.08 per share. No dividend growth is assumed for 2027–2028 absent explicit guidance.</t>
  </si>
  <si>
    <t>Dividend/Share</t>
  </si>
  <si>
    <t>Diluted shares outstanding (mm)</t>
  </si>
  <si>
    <t>• Based on Q1 2026 diluted weighted-average shares outstanding of 338mm. Held flat because no additional share repurchases are forecast and the net effect of future stock-based issuance is not separately guided.</t>
  </si>
  <si>
    <t>Working capital as a % of revenue</t>
  </si>
  <si>
    <r>
      <t>Cash interest paid</t>
    </r>
    <r>
      <rPr>
        <sz val="11"/>
        <color theme="1"/>
        <rFont val="Calibri"/>
        <family val="2"/>
        <scheme val="minor"/>
      </rPr>
      <t xml:space="preserve"> </t>
    </r>
  </si>
  <si>
    <t>• Using 2025 as a proxy for 2026</t>
  </si>
  <si>
    <t>• See adjacent screenshot
•  Q1 2026: $205.00mm
• Q2 to Q4: (2026 - Q1 2026)/3</t>
  </si>
  <si>
    <t>FCF</t>
  </si>
  <si>
    <r>
      <t xml:space="preserve">• SiriusXM reaffirmed approximately </t>
    </r>
    <r>
      <rPr>
        <b/>
        <sz val="11"/>
        <color theme="1"/>
        <rFont val="Calibri"/>
        <family val="2"/>
        <scheme val="minor"/>
      </rPr>
      <t>$1.35bn of FY2026 FCF</t>
    </r>
    <r>
      <rPr>
        <sz val="11"/>
        <color theme="1"/>
        <rFont val="Calibri"/>
        <family val="2"/>
        <scheme val="minor"/>
      </rPr>
      <t xml:space="preserve"> and stated that it is driving toward a </t>
    </r>
    <r>
      <rPr>
        <b/>
        <sz val="11"/>
        <color theme="1"/>
        <rFont val="Calibri"/>
        <family val="2"/>
        <scheme val="minor"/>
      </rPr>
      <t>$1.5bn 2027 objective</t>
    </r>
    <r>
      <rPr>
        <sz val="11"/>
        <color theme="1"/>
        <rFont val="Calibri"/>
        <family val="2"/>
        <scheme val="minor"/>
      </rPr>
      <t>. The quarterly allocation below is an analyst allocation based on quarterly EBITDA; management only provides annual guidance.
• Q1 2026 FCF = $171mm</t>
    </r>
  </si>
  <si>
    <t xml:space="preserve">Debt issued repayment </t>
  </si>
  <si>
    <t>(See below table)</t>
  </si>
  <si>
    <t>Debt issued coupon payments</t>
  </si>
  <si>
    <r>
      <t xml:space="preserve">The delayed-draw term-loan agreement requires SiriusXM to repay </t>
    </r>
    <r>
      <rPr>
        <b/>
        <sz val="11"/>
        <color theme="1"/>
        <rFont val="Calibri"/>
        <family val="2"/>
      </rPr>
      <t>1.25% of the original principal every quarter</t>
    </r>
    <r>
      <rPr>
        <sz val="11"/>
        <color theme="1"/>
        <rFont val="Calibri"/>
        <family val="2"/>
      </rPr>
      <t xml:space="preserve">. The original facility drawn was $1.1bn. </t>
    </r>
  </si>
  <si>
    <r>
      <t>Sirius XM </t>
    </r>
    <r>
      <rPr>
        <sz val="11"/>
        <color theme="1"/>
        <rFont val="Calibri"/>
        <family val="2"/>
      </rPr>
      <t>4.00</t>
    </r>
    <r>
      <rPr>
        <sz val="11"/>
        <color rgb="FF000000"/>
        <rFont val="Calibri"/>
        <family val="2"/>
      </rPr>
      <t>% Senior Notes due 2028: $2bn</t>
    </r>
  </si>
  <si>
    <r>
      <t>Sirius XM </t>
    </r>
    <r>
      <rPr>
        <sz val="11"/>
        <color theme="1"/>
        <rFont val="Calibri"/>
        <family val="2"/>
      </rPr>
      <t>5.50</t>
    </r>
    <r>
      <rPr>
        <sz val="11"/>
        <color rgb="FF000000"/>
        <rFont val="Calibri"/>
        <family val="2"/>
      </rPr>
      <t>% Senior Notes due 2029: $1.25bn</t>
    </r>
  </si>
  <si>
    <r>
      <t>Sirius XM </t>
    </r>
    <r>
      <rPr>
        <sz val="11"/>
        <color theme="1"/>
        <rFont val="Calibri"/>
        <family val="2"/>
      </rPr>
      <t>4.125</t>
    </r>
    <r>
      <rPr>
        <sz val="11"/>
        <color rgb="FF000000"/>
        <rFont val="Calibri"/>
        <family val="2"/>
      </rPr>
      <t>% Senior Notes due 2030: $1.5bn</t>
    </r>
  </si>
  <si>
    <r>
      <t>Sirius XM </t>
    </r>
    <r>
      <rPr>
        <sz val="11"/>
        <color theme="1"/>
        <rFont val="Calibri"/>
        <family val="2"/>
      </rPr>
      <t>3.875</t>
    </r>
    <r>
      <rPr>
        <sz val="11"/>
        <color rgb="FF000000"/>
        <rFont val="Calibri"/>
        <family val="2"/>
      </rPr>
      <t>% Senior Notes due 2031: $1.5bn</t>
    </r>
  </si>
  <si>
    <t>Debt issued coupon payments in 2026</t>
  </si>
  <si>
    <t>Debt issued coupon payments in 2027</t>
  </si>
  <si>
    <t>Debt issued coupon payments in 2028</t>
  </si>
  <si>
    <t>-&gt;</t>
  </si>
  <si>
    <t>See adjacent table</t>
  </si>
  <si>
    <t>Company disclosed satellite capex to be: 
• 2026E = ~$115mm
• 2027E = ~$50mm
• 2028E = near zero</t>
  </si>
  <si>
    <t>Communication Services</t>
  </si>
  <si>
    <t>Q1 to Q4 2026: Same as Q1 2026</t>
  </si>
  <si>
    <t>Beginning cash</t>
  </si>
  <si>
    <t>Ending cash</t>
  </si>
  <si>
    <t>• There is no announced additional Q2–Q4 2026 debt issuance in the information presently available. 
•The March 2026 $1.25 billion senior-note issuance has already occurred and is already reflected in the March 31 debt balance. It must not be entered again in the forecast schedule. The proceeds were used principally to repay the 2026 notes and partially redeem the 2027 notes. As such, we assume 50% of "Sirius XM 4.00% Senior Notes due 2028: $2bn" notes to be refinanced in 2028E.</t>
  </si>
  <si>
    <t>Q1: Jan to Mar
Q2: Apr to Jun
Q3: Jul to Sept
Q4: Oct to Dec</t>
  </si>
  <si>
    <t>• Opening debt - (Debt issued repayment + Scheduled Term Loan payment + Revolver payment + Debt issued coupon payments) + Debt issuance / refinancing = Ending debt</t>
  </si>
  <si>
    <t xml:space="preserve">From Base Case Forecast
</t>
  </si>
  <si>
    <t>agreed to pay a subscription fee, including at a promotional price, or (ii) the subscription fee has been paid by an automaker for a period of three years or greater. Lifetime</t>
  </si>
  <si>
    <t>subscribers to the SiriusXM service are counted as self-pay subscribers because they are party to a customer agreement with SiriusXM and have paid a subscription fee,</t>
  </si>
  <si>
    <t>although in almost all cases the revenue from such subscriptions have been fully recognized in prior periods. Certain users that are party to a customer agreement with</t>
  </si>
  <si>
    <t>Sirius XM or Pandora and have paid or agreed to pay a small promotional price for a trial subscription are not counted as self-pay subscribers because the promotional</t>
  </si>
  <si>
    <t>trial subscription period, which typically range from one to twelve months but is less than three years. We count prepaid shipped but not activated vehicles as paid</t>
  </si>
  <si>
    <t>promotional subscribers.</t>
  </si>
  <si>
    <t>the end of the final calendar month of the period. The number of monthly active users on the Pandora services may overstate the number of unique individuals who actively</t>
  </si>
  <si>
    <t>use our Pandora service, as one individual may use multiple accounts. To become a registered user on the Pandora services, a person must sign-up using an email address</t>
  </si>
  <si>
    <t>or access our service using a device with a unique identifier, which we use to create an account for our service.</t>
  </si>
  <si>
    <t>number of self-pay subscribers for the period.</t>
  </si>
  <si>
    <r>
      <t xml:space="preserve">Self-pay subscriber </t>
    </r>
    <r>
      <rPr>
        <sz val="18"/>
        <color rgb="FF000000"/>
        <rFont val="Times New Roman"/>
        <family val="1"/>
      </rPr>
      <t>- A self-pay subscriber is a user that, as of the date of determination, was party to a customer agreement with SiriusXM or Pandora, and (i) has paid or</t>
    </r>
  </si>
  <si>
    <r>
      <t xml:space="preserve">price is considered to be </t>
    </r>
    <r>
      <rPr>
        <i/>
        <sz val="18"/>
        <color rgb="FF000000"/>
        <rFont val="Times New Roman"/>
        <family val="1"/>
      </rPr>
      <t xml:space="preserve">de minimis </t>
    </r>
    <r>
      <rPr>
        <sz val="18"/>
        <color rgb="FF000000"/>
        <rFont val="Times New Roman"/>
        <family val="1"/>
      </rPr>
      <t>and, in management's view, the payment is not indicative of the user's intent to subscribe to the service in the near-term.</t>
    </r>
  </si>
  <si>
    <r>
      <t xml:space="preserve">Paid promotional subscriber - </t>
    </r>
    <r>
      <rPr>
        <sz val="18"/>
        <color rgb="FF000000"/>
        <rFont val="Times New Roman"/>
        <family val="1"/>
      </rPr>
      <t>A paid promotional subscriber is a user that, as of the date of determination, has their subscription fee paid for by a third party, for a fixed</t>
    </r>
  </si>
  <si>
    <r>
      <t>Monthly active users</t>
    </r>
    <r>
      <rPr>
        <sz val="18"/>
        <color rgb="FF000000"/>
        <rFont val="Times New Roman"/>
        <family val="1"/>
      </rPr>
      <t xml:space="preserve"> - the number of distinct registered users on the Pandora services, including subscribers, which have consumed content within the trailing 30 days to</t>
    </r>
  </si>
  <si>
    <r>
      <t xml:space="preserve">Average self-pay monthly churn </t>
    </r>
    <r>
      <rPr>
        <sz val="18"/>
        <color rgb="FF000000"/>
        <rFont val="Times New Roman"/>
        <family val="1"/>
      </rPr>
      <t>- for in-car and retail radio subscriptions, the Sirius XM monthly average of self-pay deactivations for the period divided by the average</t>
    </r>
  </si>
  <si>
    <t xml:space="preserve">Weighted average subscribers  </t>
  </si>
  <si>
    <t>Monthly active users - all services</t>
  </si>
  <si>
    <t>46,026 </t>
  </si>
  <si>
    <t>Average self-pay monthly churn</t>
  </si>
  <si>
    <t>Advertising revenue per thousand listener hours (RPM) ($)</t>
  </si>
  <si>
    <t>The majority of revenue from Pandora is generated from advertising on Pandora's ad-supported radio service. Pandora also derives subscription revenue from its Pandora</t>
  </si>
  <si>
    <t>Plus and Pandora Premium subscribers. Our Pandora and Off-platform business also sells advertising on other audio platforms and in widely distributed podcasts, which we</t>
  </si>
  <si>
    <t>consider to be off-platform services.</t>
  </si>
  <si>
    <t>On-platform advertising (Pandora)</t>
  </si>
  <si>
    <t>Off-platform advertising (Other audio platforms)</t>
  </si>
  <si>
    <t>KPIs ( '000s)</t>
  </si>
  <si>
    <r>
      <t>Sirius XM </t>
    </r>
    <r>
      <rPr>
        <sz val="11"/>
        <color theme="1"/>
        <rFont val="Calibri"/>
        <family val="2"/>
      </rPr>
      <t>5.00</t>
    </r>
    <r>
      <rPr>
        <sz val="11"/>
        <color rgb="FF000000"/>
        <rFont val="Calibri"/>
        <family val="2"/>
      </rPr>
      <t>% Senior Notes due 2027:$1.25bn</t>
    </r>
  </si>
  <si>
    <t>Annual</t>
  </si>
  <si>
    <t>Quarterly</t>
  </si>
  <si>
    <t>=Weighted-average subscribers × ARPU x 12/1000</t>
  </si>
  <si>
    <t>ARPU ($) / month</t>
  </si>
  <si>
    <t>• 2026 QoQ: We base this off of 2025 QoQ movements i.e., declines / inclines (Source: SiriusXM Q2 2025 earnings release, SiriusXM Q3 2025 earnings release,SiriusXM Q4 2025 earnings release)
• 2027E and 2028E: same as 2026E</t>
  </si>
  <si>
    <t>• Q2 to Q4: Same as 2025 quarters
• 2027E and 2028E: Same as (2025A/2024A-1)</t>
  </si>
  <si>
    <t>ARPU (iii) (ARPU /month)</t>
  </si>
  <si>
    <t>Pandora and Off-platform revenue ($mm)</t>
  </si>
  <si>
    <t>FY2026 subscriber revenue = FY2025 subscriber revenue × change in weighted-average subscribers × price/mix adjustment</t>
  </si>
  <si>
    <t>RPM excludes AdsWizz and other off-platform revenue. Therefore: Listener hours × RPM = implied on-platform Pandora advertising revenue</t>
  </si>
  <si>
    <t>Implied On-platform Pandora avertising revenue</t>
  </si>
  <si>
    <t>Reported Total Pandora avertising revenue</t>
  </si>
  <si>
    <t>Implied Off-platform revenue ($mm)</t>
  </si>
  <si>
    <t>Reported total Pandora and off-platform advertising revenue</t>
  </si>
  <si>
    <t>Less: Implied on-platform Pandora advertising revenue</t>
  </si>
  <si>
    <t>Implied off-platform advertising revenue</t>
  </si>
  <si>
    <t xml:space="preserve">Q1 2025 </t>
  </si>
  <si>
    <t>Q1 2026 over Q1 2025 growth</t>
  </si>
  <si>
    <t>CAGR</t>
  </si>
  <si>
    <t>&lt;-- 2023-2025 CAGR</t>
  </si>
  <si>
    <t>SiriusXM advertising ($mm)</t>
  </si>
  <si>
    <t>• Using 2025 quarterly nos. as proxy for 2026</t>
  </si>
  <si>
    <t>Advertising revenue ($mm)</t>
  </si>
  <si>
    <t>As a % of 2025A</t>
  </si>
  <si>
    <t>Off-platform</t>
  </si>
  <si>
    <t>Advertising revenue for quarters</t>
  </si>
  <si>
    <t>Removing Q1 2026 revenue from total 2026E revenue</t>
  </si>
  <si>
    <t>QoQ change</t>
  </si>
  <si>
    <t>• Refer to Misc. tab (Using 2025 quarter changes as a proxy for 2026)
• The company reported approximately 5% YoY MAU declines at both year-end 2025 and Q1 2026, driven by churn and fewer new users. Therefore, the 5% annual decline is continued for 2027–2028.</t>
  </si>
  <si>
    <t>Pandora</t>
  </si>
  <si>
    <t>Ad supported listener hours (in billions)</t>
  </si>
  <si>
    <t>RPM ($) / month</t>
  </si>
  <si>
    <t>Revenue</t>
  </si>
  <si>
    <t>Pandora revenue per subscriber growth (%)</t>
  </si>
  <si>
    <t>• Held flat in 2026 because Q1 2026 implied revenue per subscriber was broadly unchanged YoY.
• A modest 0.5% annual decline is assumed in 2027–2028, partially offsetting but not eliminating the impact of subscriber attrition.
• The model assumes subscriber revenue declines mainly due to fewer subscribers, with pricing broadly offsetting some attrition. SiriusXM said Q1 subscriber revenue declined primarily because of the smaller subscriber base and expects subscriber revenue to decline modestly.</t>
  </si>
  <si>
    <t>• Share-based compensation ratio set to the average of FY2025 actual and Q1 2026 actual. No formal long-term Share-Based Compensation guide is disclosed, so the ratio is held flat.</t>
  </si>
  <si>
    <t>Subscriber acquisition costs</t>
  </si>
  <si>
    <t>Sales and marketing</t>
  </si>
  <si>
    <t>Product and technology</t>
  </si>
  <si>
    <t>Intended general and administrative expense</t>
  </si>
  <si>
    <t xml:space="preserve">Legal settlements / reserves </t>
  </si>
  <si>
    <t xml:space="preserve">Consolidated cost and EBITDA assumptions </t>
  </si>
  <si>
    <t>Cost of services (as a % of revenue)</t>
  </si>
  <si>
    <t>Share-based compensation (as a % of revenue)</t>
  </si>
  <si>
    <t xml:space="preserve">Subscriber acquisition costs mix of below-gross opex </t>
  </si>
  <si>
    <t>Cost of servies</t>
  </si>
  <si>
    <t>--------------&gt;</t>
  </si>
  <si>
    <t>ARPU ($) /month</t>
  </si>
  <si>
    <t>Q1 2026 - Q1 2025</t>
  </si>
  <si>
    <t>Sel-pay subscribers</t>
  </si>
  <si>
    <t>$</t>
  </si>
  <si>
    <t>000s</t>
  </si>
  <si>
    <t>QoQ chanhe (in '000s)</t>
  </si>
  <si>
    <r>
      <t>RPM = Revenue Per Mille</t>
    </r>
    <r>
      <rPr>
        <sz val="11"/>
        <color theme="1"/>
        <rFont val="Calibri"/>
        <family val="2"/>
        <scheme val="minor"/>
      </rPr>
      <t>, meaning advertising revenue per 1,000 listener hours.</t>
    </r>
  </si>
  <si>
    <t xml:space="preserve">ARPU is derived from total earned SiriusXM subscriber revenue (excluding revenue derived from our connected vehicle services) and net advertising revenue, divided by the number of months in the period, divided by the daily weighted average number of subscribers for the period. </t>
  </si>
  <si>
    <t>• Using zero for all quarters and reducing 2027E &amp; 2028E further by 50,000 (2026E - 50,000)</t>
  </si>
  <si>
    <t>• Using zero for Q2 to Q4 2026E
• 2027E &amp; 2028E: zero</t>
  </si>
  <si>
    <t>Using the lowest ARPU/month from 2023A to 1Q26A for all the periods</t>
  </si>
  <si>
    <t xml:space="preserve">• Using 0% growth rate for Q2 to Q4E
• 2027E to 2028E: Using the minimum growth rate from 2023 to Q1 2026 </t>
  </si>
  <si>
    <t>• Q2 to Q4 2026E: Reducing to 1
• 2027E &amp; 2028E: Using the minimum from 2023 to 2025</t>
  </si>
  <si>
    <t>• Q2 to Q4 2026E: Reducing to 80
• 2027E &amp; 2028E: Using the minimum from 2023 to Q1 2026</t>
  </si>
  <si>
    <t>•Using Q1 2026A as a proxy for Q2 to Q4 202E
• Using the minimum from 2023 to 2025 for 2027E &amp; 2028E</t>
  </si>
  <si>
    <t>•Using Q1 2026A as a proxy for Q2 to Q4 202E</t>
  </si>
  <si>
    <t>• Held flat in 2026 because Q1 2026 implied revenue per subscriber was broadly unchanged YoY.
• A 1% annual decline is assumed in 2027–2028, partially offsetting but not eliminating the impact of subscriber attrition.
• The model assumes subscriber revenue declines mainly due to fewer subscribers, with pricing broadly offsetting some attrition. SiriusXM said Q1 subscriber revenue declined primarily because of the smaller subscriber base and expects subscriber revenue to decline modestly.</t>
  </si>
  <si>
    <t>Instrument</t>
  </si>
  <si>
    <t>Interest rate</t>
  </si>
  <si>
    <t>LTM amount ($mm)</t>
  </si>
  <si>
    <t>x EBITDA</t>
  </si>
  <si>
    <t>Convertible Senior Notes</t>
  </si>
  <si>
    <t>3/15/2028</t>
  </si>
  <si>
    <t>0.22x</t>
  </si>
  <si>
    <t>Delayed Draw Incremental Term Loan</t>
  </si>
  <si>
    <t>SOFR + applicable margin</t>
  </si>
  <si>
    <t>0.14x</t>
  </si>
  <si>
    <t>Senior Secured Revolver</t>
  </si>
  <si>
    <t>8/31/2030</t>
  </si>
  <si>
    <t>0.03x</t>
  </si>
  <si>
    <t>Senior Notes due 2027</t>
  </si>
  <si>
    <t>0.46x</t>
  </si>
  <si>
    <t>Senior Notes due 2028</t>
  </si>
  <si>
    <t>7/15/2028</t>
  </si>
  <si>
    <t>0.74x</t>
  </si>
  <si>
    <t>Senior Notes due 2029</t>
  </si>
  <si>
    <t>Senior Notes due 2030</t>
  </si>
  <si>
    <t>0.55x</t>
  </si>
  <si>
    <t>Senior Notes due 2031</t>
  </si>
  <si>
    <t>Senior Notes due 2032</t>
  </si>
  <si>
    <t>4/15/2032</t>
  </si>
  <si>
    <t>Finance leases</t>
  </si>
  <si>
    <t>Various</t>
  </si>
  <si>
    <t>0.00x</t>
  </si>
  <si>
    <t>Less: deferred financing costs</t>
  </si>
  <si>
    <t>—</t>
  </si>
  <si>
    <t>3.61x</t>
  </si>
  <si>
    <t>Less: Cash and cash equivalents</t>
  </si>
  <si>
    <t>(0.03x)</t>
  </si>
  <si>
    <t>3.58x</t>
  </si>
  <si>
    <t>Operational KPI</t>
  </si>
  <si>
    <t>Self-pay subscribers (‘000)</t>
  </si>
  <si>
    <t>Paid promotional subscribers (‘000)</t>
  </si>
  <si>
    <t>Ending subscribers (‘000)</t>
  </si>
  <si>
    <t>Average monthly churn</t>
  </si>
  <si>
    <t>Monthly active users (‘000)</t>
  </si>
  <si>
    <t>Non-satellite capex</t>
  </si>
  <si>
    <t>Satellite capex</t>
  </si>
  <si>
    <t>Satellite expenditures follow management’s disclosed roadmap and are not flexed with revenue because spending is driven by contractual milestones and the satellite replacement cycle.</t>
  </si>
  <si>
    <t>non-satellite capex/ bear case forecast revenue</t>
  </si>
  <si>
    <t xml:space="preserve">From Bear Case Forecast
</t>
  </si>
  <si>
    <t>Moody’s: Ba3 | Fitch: NR | S&amp;P: BB+</t>
  </si>
  <si>
    <t>ARPU/month ($)</t>
  </si>
  <si>
    <t>Advertising RPM ($)</t>
  </si>
  <si>
    <t>$m, except ratios</t>
  </si>
  <si>
    <t>Free cash flow</t>
  </si>
  <si>
    <t>Gross debt / EBITDA</t>
  </si>
  <si>
    <t>3.71x</t>
  </si>
  <si>
    <t>3.02x</t>
  </si>
  <si>
    <t>2.36x</t>
  </si>
  <si>
    <t>EBITDA / cash interest</t>
  </si>
  <si>
    <t>6.12x</t>
  </si>
  <si>
    <t>6.89x</t>
  </si>
  <si>
    <t>9.58x</t>
  </si>
  <si>
    <t>• FY2026 adjusted EBITDA is anchored to management’s approximately $2.6bn guidance. 
• FY2027-FY2028 assume 25 bps annual margin expansion from operating leverage; specific outer-year company guidance is unspecified</t>
  </si>
  <si>
    <t>• See adjacent screenshot
• Q1 2026: $205.00mm
• Q2 to Q4: (2026 - Q1 2026)/3</t>
  </si>
  <si>
    <t>• Q2 2026 off-platform revenue is forecast by applying Q1 2026’s implied 23.6% YoY off-platform growth rate to Q2 2025 implied off-platform revenue. Historical off-platform revenue is derived as reported Pandora and off-platform advertising revenue less listener hours multiplied by RPM.
• SiriusXM reported Pandora advertising revenue of $372m in Q1 2026 versus $355m in Q1 2025 and said growth came from podcasts, programmatic demand and technology fees. It also expects growth from “off-platform monetization, including through podcasts” and higher technology fees. Q1 2026 Form 10-Q, printed pg 36.</t>
  </si>
  <si>
    <t>• ARPU shows quarterly seasonality and mix effects. As such, we use:
Q2 2026 = Q2 2025 + (Q1 2026 - Q1 2025)
Q2 2026 = $15.22 + ($14.99 - $14.86) = $15.22 + $0.13
Q3 &amp; Q4 2026 = same as above
• 2026E: Average of all quarters
• 2027E and 2028E: 0.5% increase YoY. It assumes SiriusXM retains modest pricing power but recognises that promotional plans and subscriber mix can prevent headline price increases from fully flowing through to ARPU.</t>
  </si>
  <si>
    <t xml:space="preserve"> = $1.1mm x 1.25% = $13.75mm</t>
  </si>
  <si>
    <t>MP, with a positive/deleveraging bias</t>
  </si>
  <si>
    <t>• Opening debt - (Debt issued repayment + Scheduled Term Loan payment + Revolver payment + Debt issued coupon payments) + Debt issuance / refinancing = Ending debt
• it currently says coupon payments are subtracted, although the formula correctly excludes them.</t>
  </si>
  <si>
    <t>• The bear case refinances $625m in 2027 and the full $2,575mm in 2028E</t>
  </si>
  <si>
    <t>Using 2% as Q2 to Q4 2026E</t>
  </si>
  <si>
    <t>Primary product</t>
  </si>
  <si>
    <t>Curated satellite/digital audio, including live sports, news and personalities</t>
  </si>
  <si>
    <t>Personalized music streaming/radio and podcasts</t>
  </si>
  <si>
    <t>Main distribution</t>
  </si>
  <si>
    <t>Heavily embedded in vehicles through OEM relationships</t>
  </si>
  <si>
    <t>Mobile, web and connected devices</t>
  </si>
  <si>
    <t>Main revenue model</t>
  </si>
  <si>
    <t>Predominantly paid subscriptions</t>
  </si>
  <si>
    <t>Predominantly advertising, plus Pandora Plus/Premium subscriptions</t>
  </si>
  <si>
    <t>User proposition</t>
  </si>
  <si>
    <t>“Pay for exclusive, curated and live content”</t>
  </si>
  <si>
    <t>“Listen free with ads or pay for personalized/on-demand music”</t>
  </si>
  <si>
    <t>FY2025 revenue mix</t>
  </si>
  <si>
    <t>%</t>
  </si>
  <si>
    <t>$ mm</t>
  </si>
  <si>
    <t>Adjusted EBITDA margin</t>
  </si>
  <si>
    <t>Gross leverage</t>
  </si>
  <si>
    <t>$bn</t>
  </si>
  <si>
    <t xml:space="preserve">Revenue </t>
  </si>
  <si>
    <t xml:space="preserve">Adjusted EBITDA </t>
  </si>
  <si>
    <t xml:space="preserve">FCF </t>
  </si>
  <si>
    <t xml:space="preserve">Total debt </t>
  </si>
  <si>
    <t>Gross leverage (x)</t>
  </si>
  <si>
    <t>SiriusXM self-pay subscribers</t>
  </si>
  <si>
    <t>31.24m</t>
  </si>
  <si>
    <t>31.13m</t>
  </si>
  <si>
    <t>31.02m</t>
  </si>
  <si>
    <t>Annual subscriber change</t>
  </si>
  <si>
    <t>(109k)</t>
  </si>
  <si>
    <t>SiriusXM ARPU/month</t>
  </si>
  <si>
    <t>$15.23</t>
  </si>
  <si>
    <t>$15.30</t>
  </si>
  <si>
    <t>$15.38</t>
  </si>
  <si>
    <t>Pandora monthly active users</t>
  </si>
  <si>
    <t>38.9m</t>
  </si>
  <si>
    <t>36.9m</t>
  </si>
  <si>
    <t>35.1m</t>
  </si>
  <si>
    <t>Off-platform advertising revenue</t>
  </si>
  <si>
    <t>$0.89bn</t>
  </si>
  <si>
    <t>$1.02bn</t>
  </si>
  <si>
    <t>$1.17bn</t>
  </si>
  <si>
    <t>OPERATING ASSUMPTIONS</t>
  </si>
  <si>
    <t>$523m</t>
  </si>
  <si>
    <t>$458m</t>
  </si>
  <si>
    <t>$408m</t>
  </si>
  <si>
    <t>$115m</t>
  </si>
  <si>
    <t>$50m</t>
  </si>
  <si>
    <t>$0m</t>
  </si>
  <si>
    <t>Dividend per share</t>
  </si>
  <si>
    <t>$1.08</t>
  </si>
  <si>
    <t>$22m</t>
  </si>
  <si>
    <t>Capital-allocation assumptions</t>
  </si>
  <si>
    <t>$8.65bn</t>
  </si>
  <si>
    <t>$8.78bn</t>
  </si>
  <si>
    <t>$8.96bn</t>
  </si>
  <si>
    <t>$2.60bn</t>
  </si>
  <si>
    <t>$2.66bn</t>
  </si>
  <si>
    <t>$2.74bn</t>
  </si>
  <si>
    <t>$1.35bn</t>
  </si>
  <si>
    <t>$1.50bn</t>
  </si>
  <si>
    <t>$1.54bn</t>
  </si>
  <si>
    <t>FCF/total debt</t>
  </si>
  <si>
    <t>Financial forecast table</t>
  </si>
  <si>
    <t>$9.64bn</t>
  </si>
  <si>
    <t>$8.04bn</t>
  </si>
  <si>
    <t>$6.47bn</t>
  </si>
  <si>
    <t>3.7x</t>
  </si>
  <si>
    <t>3.0x</t>
  </si>
  <si>
    <t>2.4x</t>
  </si>
  <si>
    <t>Term loan/revolver repayments</t>
  </si>
  <si>
    <t>$0.11bn</t>
  </si>
  <si>
    <t>$0.34bn</t>
  </si>
  <si>
    <t>5.00% senior notes</t>
  </si>
  <si>
    <t>$1.25bn</t>
  </si>
  <si>
    <t>3.75% convertible notes</t>
  </si>
  <si>
    <t>$0.58bn</t>
  </si>
  <si>
    <t>4.00% senior notes</t>
  </si>
  <si>
    <t>$2.00bn</t>
  </si>
  <si>
    <t>Total maturities/repayments</t>
  </si>
  <si>
    <t>$1.59bn</t>
  </si>
  <si>
    <t>$2.58bn</t>
  </si>
  <si>
    <t>Maturity wall</t>
  </si>
  <si>
    <t>Assumed refinancing</t>
  </si>
  <si>
    <t>EBITDA</t>
  </si>
  <si>
    <t>$2,600m</t>
  </si>
  <si>
    <t>$2,659m</t>
  </si>
  <si>
    <t>$2,736m</t>
  </si>
  <si>
    <t>$425m</t>
  </si>
  <si>
    <t>$386m</t>
  </si>
  <si>
    <t>$286m</t>
  </si>
  <si>
    <t>Correct coverage</t>
  </si>
  <si>
    <t>6.1x</t>
  </si>
  <si>
    <t>6.9x</t>
  </si>
  <si>
    <t>9.6x</t>
  </si>
  <si>
    <t>EBITDA/cash interest (x)</t>
  </si>
  <si>
    <t>Liquidity and coverage ($mm)</t>
  </si>
  <si>
    <t>• Bear case applies 100bps, 150bps and 200bps of EBITDA-margin compression versus base in 2026E, 2027E and 2028E, respectively, reflecting operating deleverage from weaker revenue, subscriber trends and digital engagement.</t>
  </si>
  <si>
    <t>• Only Q1 2026 actual legal settlements / reserves of $1mm are included in FY2026. No forward one-off settlements are assumed absent specific disclosure.</t>
  </si>
  <si>
    <t>Coupon payment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</si>
</sst>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_(* \(#,##0.00\);_(* &quot;-&quot;??_);_(@_)"/>
    <numFmt numFmtId="164" formatCode="_(* #,##0_);_(* \(#,##0\);_(* &quot;-&quot;??_);_(@_)"/>
    <numFmt numFmtId="165" formatCode="0.0%"/>
    <numFmt numFmtId="166" formatCode="m/d;@"/>
    <numFmt numFmtId="167" formatCode="0_);\(0\)"/>
    <numFmt numFmtId="168" formatCode="[$-409]mmm\-yy;@"/>
    <numFmt numFmtId="169" formatCode="#,##0.0_);\(#,##0.0\)"/>
    <numFmt numFmtId="170" formatCode="0.0\x"/>
    <numFmt numFmtId="171" formatCode="0.00\x"/>
    <numFmt numFmtId="172" formatCode="0.0"/>
    <numFmt numFmtId="173" formatCode="0.00_);\(0.00\)"/>
    <numFmt numFmtId="174" formatCode="_(* #,##0.0_);_(* \(#,##0.0\);_(* &quot;-&quot;??_);_(@_)"/>
    <numFmt numFmtId="175" formatCode="[$$-409]#,##0.00"/>
    <numFmt numFmtId="176" formatCode="dd/mm/yy;@"/>
  </numFmts>
  <fonts count="77">
    <font>
      <sz val="11"/>
      <color theme="1"/>
      <name val="Calibri"/>
      <family val="2"/>
      <scheme val="minor"/>
    </font>
    <font>
      <sz val="12"/>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1"/>
      <color theme="8"/>
      <name val="Calibri"/>
      <family val="2"/>
      <scheme val="minor"/>
    </font>
    <font>
      <b/>
      <sz val="11"/>
      <name val="Calibri"/>
      <family val="2"/>
      <scheme val="minor"/>
    </font>
    <font>
      <b/>
      <sz val="11"/>
      <color rgb="FFFF0000"/>
      <name val="Calibri"/>
      <family val="2"/>
      <scheme val="minor"/>
    </font>
    <font>
      <sz val="11"/>
      <name val="Calibri"/>
      <family val="2"/>
      <scheme val="minor"/>
    </font>
    <font>
      <sz val="20"/>
      <color theme="1"/>
      <name val="Calibri"/>
      <family val="2"/>
      <scheme val="minor"/>
    </font>
    <font>
      <b/>
      <sz val="16"/>
      <color theme="0"/>
      <name val="Calibri"/>
      <family val="2"/>
      <scheme val="minor"/>
    </font>
    <font>
      <sz val="20"/>
      <color theme="0"/>
      <name val="Calibri"/>
      <family val="2"/>
      <scheme val="minor"/>
    </font>
    <font>
      <b/>
      <sz val="16"/>
      <name val="Calibri"/>
      <family val="2"/>
      <scheme val="minor"/>
    </font>
    <font>
      <b/>
      <sz val="14"/>
      <color theme="0"/>
      <name val="Calibri"/>
      <family val="2"/>
      <scheme val="minor"/>
    </font>
    <font>
      <b/>
      <sz val="14"/>
      <color theme="1"/>
      <name val="Calibri"/>
      <family val="2"/>
      <scheme val="minor"/>
    </font>
    <font>
      <sz val="10.5"/>
      <name val="Frutiger 45 Light"/>
    </font>
    <font>
      <b/>
      <sz val="12"/>
      <color theme="0"/>
      <name val="Calibri"/>
      <family val="2"/>
      <scheme val="minor"/>
    </font>
    <font>
      <sz val="12"/>
      <color theme="1"/>
      <name val="Calibri"/>
      <family val="2"/>
      <scheme val="minor"/>
    </font>
    <font>
      <b/>
      <sz val="12"/>
      <color theme="1"/>
      <name val="Calibri"/>
      <family val="2"/>
      <scheme val="minor"/>
    </font>
    <font>
      <b/>
      <u/>
      <sz val="12"/>
      <color theme="1"/>
      <name val="Calibri"/>
      <family val="2"/>
      <scheme val="minor"/>
    </font>
    <font>
      <sz val="12"/>
      <name val="Calibri"/>
      <family val="2"/>
      <scheme val="minor"/>
    </font>
    <font>
      <b/>
      <sz val="12"/>
      <name val="Calibri"/>
      <family val="2"/>
      <scheme val="minor"/>
    </font>
    <font>
      <sz val="10"/>
      <name val="Times New Roman"/>
      <family val="1"/>
    </font>
    <font>
      <i/>
      <sz val="11"/>
      <color theme="1"/>
      <name val="Calibri"/>
      <family val="2"/>
      <scheme val="minor"/>
    </font>
    <font>
      <b/>
      <i/>
      <sz val="11"/>
      <color theme="1"/>
      <name val="Calibri"/>
      <family val="2"/>
      <scheme val="minor"/>
    </font>
    <font>
      <sz val="12"/>
      <color theme="0"/>
      <name val="Calibri"/>
      <family val="2"/>
      <scheme val="minor"/>
    </font>
    <font>
      <sz val="12"/>
      <color rgb="FF0000FF"/>
      <name val="Calibri"/>
      <family val="2"/>
      <scheme val="minor"/>
    </font>
    <font>
      <b/>
      <sz val="12"/>
      <color rgb="FF0000FF"/>
      <name val="Calibri"/>
      <family val="2"/>
      <scheme val="minor"/>
    </font>
    <font>
      <b/>
      <i/>
      <sz val="10"/>
      <color theme="1"/>
      <name val="Calibri"/>
      <family val="2"/>
      <scheme val="minor"/>
    </font>
    <font>
      <sz val="6"/>
      <name val="Arial Narrow"/>
      <family val="2"/>
    </font>
    <font>
      <i/>
      <sz val="12"/>
      <color theme="1"/>
      <name val="Calibri"/>
      <family val="2"/>
      <scheme val="minor"/>
    </font>
    <font>
      <i/>
      <sz val="12"/>
      <name val="Calibri"/>
      <family val="2"/>
      <scheme val="minor"/>
    </font>
    <font>
      <sz val="10"/>
      <name val="Arial"/>
      <family val="2"/>
    </font>
    <font>
      <b/>
      <u/>
      <sz val="12"/>
      <color theme="1"/>
      <name val="Calibri"/>
      <family val="2"/>
    </font>
    <font>
      <sz val="12"/>
      <color theme="1"/>
      <name val="Calibri"/>
      <family val="2"/>
    </font>
    <font>
      <sz val="12"/>
      <name val="Calibri"/>
      <family val="2"/>
    </font>
    <font>
      <sz val="11"/>
      <color theme="1"/>
      <name val="Calibri"/>
      <family val="2"/>
    </font>
    <font>
      <sz val="10"/>
      <color rgb="FF000000"/>
      <name val="Tahoma"/>
      <family val="2"/>
    </font>
    <font>
      <b/>
      <sz val="10"/>
      <color rgb="FF000000"/>
      <name val="Tahoma"/>
      <family val="2"/>
    </font>
    <font>
      <sz val="11"/>
      <color rgb="FF000000"/>
      <name val="Calibri"/>
      <family val="2"/>
    </font>
    <font>
      <sz val="10"/>
      <color rgb="FF000000"/>
      <name val="Calibri"/>
      <family val="2"/>
      <scheme val="minor"/>
    </font>
    <font>
      <sz val="10"/>
      <color rgb="FF000000"/>
      <name val="Calibri"/>
      <family val="2"/>
    </font>
    <font>
      <b/>
      <i/>
      <sz val="12"/>
      <color theme="1"/>
      <name val="Calibri"/>
      <family val="2"/>
      <scheme val="minor"/>
    </font>
    <font>
      <sz val="10"/>
      <color rgb="FF000000"/>
      <name val="Helvetica"/>
      <family val="2"/>
    </font>
    <font>
      <sz val="14"/>
      <color theme="1"/>
      <name val="Calibri"/>
      <family val="2"/>
      <scheme val="minor"/>
    </font>
    <font>
      <sz val="14"/>
      <color rgb="FF000000"/>
      <name val="Helvetica"/>
      <family val="2"/>
    </font>
    <font>
      <sz val="11"/>
      <color theme="4"/>
      <name val="Calibri"/>
      <family val="2"/>
      <scheme val="minor"/>
    </font>
    <font>
      <sz val="10"/>
      <color theme="1"/>
      <name val="Arial Unicode MS"/>
      <family val="2"/>
    </font>
    <font>
      <sz val="12"/>
      <color theme="4"/>
      <name val="Calibri"/>
      <family val="2"/>
      <scheme val="minor"/>
    </font>
    <font>
      <b/>
      <sz val="12"/>
      <color theme="4"/>
      <name val="Calibri"/>
      <family val="2"/>
      <scheme val="minor"/>
    </font>
    <font>
      <i/>
      <sz val="12"/>
      <color theme="4"/>
      <name val="Calibri"/>
      <family val="2"/>
      <scheme val="minor"/>
    </font>
    <font>
      <sz val="13"/>
      <color rgb="FF000000"/>
      <name val="Times New Roman"/>
      <family val="1"/>
    </font>
    <font>
      <sz val="14"/>
      <color rgb="FF0D0D0D"/>
      <name val="Menlo"/>
      <family val="2"/>
    </font>
    <font>
      <sz val="48"/>
      <color theme="3"/>
      <name val="Calibri"/>
      <family val="2"/>
      <scheme val="minor"/>
    </font>
    <font>
      <sz val="11"/>
      <color theme="3"/>
      <name val="Calibri"/>
      <family val="2"/>
      <scheme val="minor"/>
    </font>
    <font>
      <sz val="11"/>
      <color rgb="FF0D0D0D"/>
      <name val="Calibri"/>
      <family val="2"/>
    </font>
    <font>
      <b/>
      <sz val="11"/>
      <color rgb="FF0D0D0D"/>
      <name val="Calibri"/>
      <family val="2"/>
    </font>
    <font>
      <sz val="10"/>
      <color theme="4"/>
      <name val="Arial Unicode MS"/>
      <family val="2"/>
    </font>
    <font>
      <b/>
      <sz val="10"/>
      <color theme="1"/>
      <name val="Arial Unicode MS"/>
      <family val="2"/>
    </font>
    <font>
      <sz val="10"/>
      <color theme="1"/>
      <name val="Calibri"/>
      <family val="2"/>
    </font>
    <font>
      <b/>
      <sz val="11"/>
      <color theme="1"/>
      <name val="Calibri"/>
      <family val="2"/>
    </font>
    <font>
      <b/>
      <sz val="11"/>
      <color theme="4"/>
      <name val="Calibri"/>
      <family val="2"/>
      <scheme val="minor"/>
    </font>
    <font>
      <b/>
      <sz val="18"/>
      <color rgb="FF000000"/>
      <name val="Times New Roman"/>
      <family val="1"/>
    </font>
    <font>
      <sz val="18"/>
      <color rgb="FF000000"/>
      <name val="Times New Roman"/>
      <family val="1"/>
    </font>
    <font>
      <i/>
      <sz val="18"/>
      <color rgb="FF000000"/>
      <name val="Times New Roman"/>
      <family val="1"/>
    </font>
    <font>
      <b/>
      <sz val="10"/>
      <color rgb="FF000000"/>
      <name val="Calibri"/>
      <family val="2"/>
    </font>
    <font>
      <b/>
      <sz val="11"/>
      <color theme="2"/>
      <name val="Calibri"/>
      <family val="2"/>
      <scheme val="minor"/>
    </font>
    <font>
      <b/>
      <sz val="11"/>
      <color theme="0"/>
      <name val="Arial"/>
      <family val="2"/>
    </font>
    <font>
      <sz val="11"/>
      <color theme="1"/>
      <name val="Arial"/>
      <family val="2"/>
    </font>
    <font>
      <sz val="11"/>
      <color theme="0"/>
      <name val="Arial"/>
      <family val="2"/>
    </font>
    <font>
      <b/>
      <sz val="11"/>
      <color theme="1"/>
      <name val="Arial"/>
      <family val="2"/>
    </font>
    <font>
      <b/>
      <i/>
      <sz val="12"/>
      <color theme="0"/>
      <name val="Calibri"/>
      <family val="2"/>
      <scheme val="minor"/>
    </font>
    <font>
      <b/>
      <i/>
      <sz val="12"/>
      <name val="Calibri"/>
      <family val="2"/>
      <scheme val="minor"/>
    </font>
    <font>
      <i/>
      <sz val="10"/>
      <name val="Times New Roman"/>
      <family val="1"/>
    </font>
    <font>
      <sz val="11"/>
      <color theme="2"/>
      <name val="Calibri"/>
      <family val="2"/>
      <scheme val="minor"/>
    </font>
  </fonts>
  <fills count="17">
    <fill>
      <patternFill patternType="none"/>
    </fill>
    <fill>
      <patternFill patternType="gray125"/>
    </fill>
    <fill>
      <patternFill patternType="solid">
        <fgColor theme="1"/>
        <bgColor indexed="64"/>
      </patternFill>
    </fill>
    <fill>
      <patternFill patternType="solid">
        <fgColor rgb="FF92D050"/>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4"/>
        <bgColor indexed="64"/>
      </patternFill>
    </fill>
    <fill>
      <patternFill patternType="solid">
        <fgColor rgb="FF00206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theme="9" tint="-0.249977111117893"/>
        <bgColor indexed="64"/>
      </patternFill>
    </fill>
    <fill>
      <patternFill patternType="solid">
        <fgColor theme="3"/>
        <bgColor indexed="64"/>
      </patternFill>
    </fill>
    <fill>
      <patternFill patternType="solid">
        <fgColor rgb="FFFFFF00"/>
        <bgColor indexed="64"/>
      </patternFill>
    </fill>
    <fill>
      <patternFill patternType="solid">
        <fgColor theme="4" tint="-0.499984740745262"/>
        <bgColor indexed="64"/>
      </patternFill>
    </fill>
  </fills>
  <borders count="58">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theme="0"/>
      </top>
      <bottom/>
      <diagonal/>
    </border>
    <border>
      <left/>
      <right/>
      <top style="thin">
        <color theme="0"/>
      </top>
      <bottom/>
      <diagonal/>
    </border>
    <border>
      <left/>
      <right style="medium">
        <color indexed="64"/>
      </right>
      <top style="thin">
        <color theme="0"/>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theme="0"/>
      </left>
      <right style="thin">
        <color theme="0"/>
      </right>
      <top/>
      <bottom style="thin">
        <color indexed="64"/>
      </bottom>
      <diagonal/>
    </border>
    <border>
      <left style="thin">
        <color theme="4" tint="-0.499984740745262"/>
      </left>
      <right/>
      <top style="thin">
        <color theme="4" tint="-0.499984740745262"/>
      </top>
      <bottom/>
      <diagonal/>
    </border>
    <border>
      <left/>
      <right/>
      <top style="thin">
        <color theme="4" tint="-0.499984740745262"/>
      </top>
      <bottom/>
      <diagonal/>
    </border>
    <border>
      <left/>
      <right style="thin">
        <color theme="4" tint="-0.499984740745262"/>
      </right>
      <top style="thin">
        <color theme="4" tint="-0.499984740745262"/>
      </top>
      <bottom/>
      <diagonal/>
    </border>
    <border>
      <left style="thin">
        <color theme="4" tint="-0.499984740745262"/>
      </left>
      <right/>
      <top/>
      <bottom/>
      <diagonal/>
    </border>
    <border>
      <left/>
      <right style="thin">
        <color theme="4" tint="-0.499984740745262"/>
      </right>
      <top/>
      <bottom/>
      <diagonal/>
    </border>
    <border>
      <left/>
      <right style="thin">
        <color theme="4" tint="-0.499984740745262"/>
      </right>
      <top style="thin">
        <color theme="0"/>
      </top>
      <bottom/>
      <diagonal/>
    </border>
    <border>
      <left/>
      <right style="thin">
        <color theme="4" tint="-0.499984740745262"/>
      </right>
      <top style="medium">
        <color indexed="64"/>
      </top>
      <bottom style="medium">
        <color indexed="64"/>
      </bottom>
      <diagonal/>
    </border>
    <border>
      <left style="thin">
        <color theme="4" tint="-0.499984740745262"/>
      </left>
      <right style="medium">
        <color indexed="64"/>
      </right>
      <top/>
      <bottom/>
      <diagonal/>
    </border>
    <border>
      <left/>
      <right style="thin">
        <color theme="4" tint="-0.499984740745262"/>
      </right>
      <top/>
      <bottom style="thin">
        <color indexed="64"/>
      </bottom>
      <diagonal/>
    </border>
    <border>
      <left/>
      <right style="thin">
        <color theme="4" tint="-0.499984740745262"/>
      </right>
      <top/>
      <bottom style="medium">
        <color indexed="64"/>
      </bottom>
      <diagonal/>
    </border>
    <border>
      <left/>
      <right style="thin">
        <color theme="4" tint="-0.499984740745262"/>
      </right>
      <top style="medium">
        <color indexed="64"/>
      </top>
      <bottom/>
      <diagonal/>
    </border>
    <border>
      <left style="thin">
        <color theme="4" tint="-0.499984740745262"/>
      </left>
      <right style="medium">
        <color indexed="64"/>
      </right>
      <top style="medium">
        <color indexed="64"/>
      </top>
      <bottom style="medium">
        <color indexed="64"/>
      </bottom>
      <diagonal/>
    </border>
    <border>
      <left style="thin">
        <color theme="4" tint="-0.499984740745262"/>
      </left>
      <right/>
      <top/>
      <bottom style="thin">
        <color theme="4" tint="-0.499984740745262"/>
      </bottom>
      <diagonal/>
    </border>
    <border>
      <left/>
      <right/>
      <top/>
      <bottom style="thin">
        <color theme="4" tint="-0.499984740745262"/>
      </bottom>
      <diagonal/>
    </border>
    <border>
      <left/>
      <right style="thin">
        <color theme="4" tint="-0.499984740745262"/>
      </right>
      <top/>
      <bottom style="thin">
        <color theme="4" tint="-0.499984740745262"/>
      </bottom>
      <diagonal/>
    </border>
    <border>
      <left style="thick">
        <color theme="4"/>
      </left>
      <right/>
      <top style="thick">
        <color theme="4"/>
      </top>
      <bottom style="thick">
        <color theme="4"/>
      </bottom>
      <diagonal/>
    </border>
    <border>
      <left/>
      <right/>
      <top style="thick">
        <color theme="4"/>
      </top>
      <bottom style="thick">
        <color theme="4"/>
      </bottom>
      <diagonal/>
    </border>
    <border>
      <left/>
      <right style="thick">
        <color theme="4"/>
      </right>
      <top style="thick">
        <color theme="4"/>
      </top>
      <bottom style="thick">
        <color theme="4"/>
      </bottom>
      <diagonal/>
    </border>
    <border>
      <left style="thin">
        <color theme="1"/>
      </left>
      <right style="thin">
        <color theme="1"/>
      </right>
      <top style="thin">
        <color theme="1"/>
      </top>
      <bottom style="thin">
        <color theme="1"/>
      </bottom>
      <diagonal/>
    </border>
  </borders>
  <cellStyleXfs count="13">
    <xf numFmtId="0" fontId="0" fillId="0" borderId="0"/>
    <xf numFmtId="43" fontId="24" fillId="0" borderId="0" applyFont="0" applyFill="0" applyBorder="0" applyAlignment="0" applyProtection="0"/>
    <xf numFmtId="9" fontId="24" fillId="0" borderId="0" applyFont="0" applyFill="0" applyBorder="0" applyAlignment="0" applyProtection="0"/>
    <xf numFmtId="0" fontId="2" fillId="0" borderId="0"/>
    <xf numFmtId="9" fontId="2" fillId="0" borderId="0" applyFont="0" applyFill="0" applyBorder="0" applyAlignment="0" applyProtection="0"/>
    <xf numFmtId="0" fontId="17" fillId="0" borderId="0">
      <alignment horizontal="left" wrapText="1"/>
    </xf>
    <xf numFmtId="43" fontId="2"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165" fontId="31" fillId="0" borderId="0" applyFont="0" applyFill="0" applyBorder="0" applyProtection="0">
      <alignment horizontal="right"/>
    </xf>
    <xf numFmtId="0" fontId="34" fillId="0" borderId="0"/>
    <xf numFmtId="0" fontId="2" fillId="0" borderId="0"/>
    <xf numFmtId="43" fontId="2" fillId="0" borderId="0" applyFont="0" applyFill="0" applyBorder="0" applyAlignment="0" applyProtection="0"/>
  </cellStyleXfs>
  <cellXfs count="1037">
    <xf numFmtId="0" fontId="0" fillId="0" borderId="0" xfId="0"/>
    <xf numFmtId="0" fontId="14" fillId="3" borderId="13" xfId="3" applyFont="1" applyFill="1" applyBorder="1" applyAlignment="1">
      <alignment vertical="center"/>
    </xf>
    <xf numFmtId="0" fontId="15" fillId="2" borderId="11" xfId="5" applyFont="1" applyFill="1" applyBorder="1" applyAlignment="1">
      <alignment vertical="center"/>
    </xf>
    <xf numFmtId="0" fontId="6" fillId="2" borderId="21" xfId="3" applyFont="1" applyFill="1" applyBorder="1" applyAlignment="1">
      <alignment vertical="center"/>
    </xf>
    <xf numFmtId="0" fontId="18" fillId="3" borderId="20" xfId="3" applyFont="1" applyFill="1" applyBorder="1" applyAlignment="1">
      <alignment horizontal="left" vertical="center"/>
    </xf>
    <xf numFmtId="0" fontId="2" fillId="0" borderId="0" xfId="3" applyAlignment="1">
      <alignment vertical="center"/>
    </xf>
    <xf numFmtId="9" fontId="2" fillId="0" borderId="0" xfId="4" applyFont="1" applyBorder="1" applyAlignment="1">
      <alignment vertical="center"/>
    </xf>
    <xf numFmtId="0" fontId="20" fillId="4" borderId="17" xfId="3" applyFont="1" applyFill="1" applyBorder="1" applyAlignment="1">
      <alignment horizontal="centerContinuous" vertical="center"/>
    </xf>
    <xf numFmtId="0" fontId="20" fillId="4" borderId="18" xfId="3" applyFont="1" applyFill="1" applyBorder="1" applyAlignment="1">
      <alignment horizontal="centerContinuous" vertical="center"/>
    </xf>
    <xf numFmtId="0" fontId="20" fillId="4" borderId="19" xfId="3" applyFont="1" applyFill="1" applyBorder="1" applyAlignment="1">
      <alignment horizontal="centerContinuous" vertical="center"/>
    </xf>
    <xf numFmtId="0" fontId="20" fillId="4" borderId="0" xfId="3" applyFont="1" applyFill="1" applyAlignment="1">
      <alignment vertical="center"/>
    </xf>
    <xf numFmtId="0" fontId="20" fillId="0" borderId="0" xfId="3" applyFont="1" applyAlignment="1">
      <alignment vertical="center"/>
    </xf>
    <xf numFmtId="0" fontId="2" fillId="0" borderId="11" xfId="3" applyBorder="1" applyAlignment="1">
      <alignment vertical="center"/>
    </xf>
    <xf numFmtId="3" fontId="0" fillId="0" borderId="0" xfId="0" applyNumberFormat="1"/>
    <xf numFmtId="0" fontId="5" fillId="0" borderId="0" xfId="0" applyFont="1"/>
    <xf numFmtId="0" fontId="0" fillId="0" borderId="0" xfId="0" applyAlignment="1">
      <alignment horizontal="center"/>
    </xf>
    <xf numFmtId="0" fontId="0" fillId="0" borderId="0" xfId="0" applyAlignment="1">
      <alignment horizontal="center" vertical="center"/>
    </xf>
    <xf numFmtId="164" fontId="0" fillId="0" borderId="0" xfId="0" applyNumberFormat="1"/>
    <xf numFmtId="0" fontId="0" fillId="0" borderId="32" xfId="0" applyBorder="1"/>
    <xf numFmtId="0" fontId="5" fillId="0" borderId="32" xfId="0" applyFont="1" applyBorder="1"/>
    <xf numFmtId="0" fontId="0" fillId="0" borderId="32" xfId="0" applyBorder="1" applyAlignment="1">
      <alignment horizontal="left" indent="1"/>
    </xf>
    <xf numFmtId="3" fontId="0" fillId="0" borderId="32" xfId="0" applyNumberFormat="1" applyBorder="1"/>
    <xf numFmtId="10" fontId="0" fillId="0" borderId="0" xfId="0" applyNumberFormat="1"/>
    <xf numFmtId="0" fontId="0" fillId="0" borderId="0" xfId="0" applyAlignment="1">
      <alignment horizontal="right"/>
    </xf>
    <xf numFmtId="0" fontId="0" fillId="0" borderId="0" xfId="0" applyAlignment="1">
      <alignment wrapText="1"/>
    </xf>
    <xf numFmtId="0" fontId="26" fillId="0" borderId="0" xfId="0" applyFont="1"/>
    <xf numFmtId="0" fontId="0" fillId="0" borderId="32" xfId="0" applyBorder="1" applyAlignment="1">
      <alignment horizontal="right"/>
    </xf>
    <xf numFmtId="164" fontId="0" fillId="0" borderId="32" xfId="1" applyNumberFormat="1" applyFont="1" applyBorder="1"/>
    <xf numFmtId="3" fontId="5" fillId="0" borderId="32" xfId="0" applyNumberFormat="1" applyFont="1" applyBorder="1"/>
    <xf numFmtId="10" fontId="5" fillId="0" borderId="32" xfId="0" applyNumberFormat="1" applyFont="1" applyBorder="1"/>
    <xf numFmtId="0" fontId="5" fillId="0" borderId="32" xfId="0" applyFont="1" applyBorder="1" applyAlignment="1">
      <alignment horizontal="right"/>
    </xf>
    <xf numFmtId="3" fontId="0" fillId="0" borderId="32" xfId="0" applyNumberFormat="1" applyBorder="1" applyAlignment="1">
      <alignment horizontal="right"/>
    </xf>
    <xf numFmtId="3" fontId="5" fillId="0" borderId="32" xfId="0" applyNumberFormat="1" applyFont="1" applyBorder="1" applyAlignment="1">
      <alignment horizontal="right"/>
    </xf>
    <xf numFmtId="10" fontId="5" fillId="0" borderId="32" xfId="0" applyNumberFormat="1" applyFont="1" applyBorder="1" applyAlignment="1">
      <alignment horizontal="right"/>
    </xf>
    <xf numFmtId="164" fontId="0" fillId="0" borderId="5" xfId="1" applyNumberFormat="1" applyFont="1" applyBorder="1"/>
    <xf numFmtId="167" fontId="3" fillId="2" borderId="32" xfId="3" applyNumberFormat="1" applyFont="1" applyFill="1" applyBorder="1" applyAlignment="1">
      <alignment horizontal="center"/>
    </xf>
    <xf numFmtId="0" fontId="25" fillId="0" borderId="32" xfId="0" applyFont="1" applyBorder="1"/>
    <xf numFmtId="175" fontId="5" fillId="0" borderId="32" xfId="0" applyNumberFormat="1" applyFont="1" applyBorder="1" applyAlignment="1">
      <alignment horizontal="right"/>
    </xf>
    <xf numFmtId="175" fontId="5" fillId="0" borderId="32" xfId="1" applyNumberFormat="1" applyFont="1" applyBorder="1"/>
    <xf numFmtId="175" fontId="5" fillId="0" borderId="32" xfId="0" applyNumberFormat="1" applyFont="1" applyBorder="1"/>
    <xf numFmtId="3" fontId="5" fillId="0" borderId="0" xfId="0" applyNumberFormat="1" applyFont="1"/>
    <xf numFmtId="0" fontId="5" fillId="0" borderId="0" xfId="0" applyFont="1" applyAlignment="1">
      <alignment horizontal="right"/>
    </xf>
    <xf numFmtId="0" fontId="3" fillId="2" borderId="32" xfId="0" applyFont="1" applyFill="1" applyBorder="1" applyAlignment="1">
      <alignment horizontal="right"/>
    </xf>
    <xf numFmtId="43" fontId="5" fillId="0" borderId="5" xfId="1" applyFont="1" applyBorder="1"/>
    <xf numFmtId="0" fontId="45" fillId="0" borderId="0" xfId="0" applyFont="1"/>
    <xf numFmtId="0" fontId="46" fillId="0" borderId="0" xfId="0" applyFont="1"/>
    <xf numFmtId="0" fontId="47" fillId="0" borderId="0" xfId="0" applyFont="1"/>
    <xf numFmtId="0" fontId="5" fillId="7" borderId="32" xfId="0" applyFont="1" applyFill="1" applyBorder="1"/>
    <xf numFmtId="0" fontId="49" fillId="0" borderId="0" xfId="0" applyFont="1"/>
    <xf numFmtId="0" fontId="5" fillId="7" borderId="32" xfId="0" applyFont="1" applyFill="1" applyBorder="1" applyAlignment="1">
      <alignment horizontal="right"/>
    </xf>
    <xf numFmtId="165" fontId="0" fillId="0" borderId="0" xfId="2" applyNumberFormat="1" applyFont="1"/>
    <xf numFmtId="10" fontId="0" fillId="0" borderId="32" xfId="2" applyNumberFormat="1" applyFont="1" applyBorder="1"/>
    <xf numFmtId="10" fontId="0" fillId="0" borderId="0" xfId="2" applyNumberFormat="1" applyFont="1" applyFill="1" applyBorder="1"/>
    <xf numFmtId="3" fontId="0" fillId="0" borderId="0" xfId="0" applyNumberFormat="1" applyAlignment="1">
      <alignment horizontal="right"/>
    </xf>
    <xf numFmtId="10" fontId="0" fillId="0" borderId="0" xfId="0" applyNumberFormat="1" applyAlignment="1">
      <alignment horizontal="right"/>
    </xf>
    <xf numFmtId="2" fontId="5" fillId="0" borderId="32" xfId="0" applyNumberFormat="1" applyFont="1" applyBorder="1"/>
    <xf numFmtId="0" fontId="0" fillId="0" borderId="12" xfId="0" applyBorder="1"/>
    <xf numFmtId="0" fontId="0" fillId="0" borderId="32" xfId="0" applyBorder="1" applyAlignment="1">
      <alignment wrapText="1"/>
    </xf>
    <xf numFmtId="0" fontId="0" fillId="0" borderId="32" xfId="0" applyBorder="1" applyAlignment="1">
      <alignment vertical="top" wrapText="1"/>
    </xf>
    <xf numFmtId="0" fontId="0" fillId="0" borderId="34" xfId="0" applyBorder="1" applyAlignment="1">
      <alignment horizontal="left" vertical="center" wrapText="1"/>
    </xf>
    <xf numFmtId="9" fontId="0" fillId="0" borderId="32" xfId="2" applyFont="1" applyBorder="1"/>
    <xf numFmtId="165" fontId="0" fillId="0" borderId="32" xfId="2" applyNumberFormat="1" applyFont="1" applyBorder="1"/>
    <xf numFmtId="0" fontId="0" fillId="0" borderId="32" xfId="0" applyBorder="1" applyAlignment="1">
      <alignment vertical="center"/>
    </xf>
    <xf numFmtId="164" fontId="0" fillId="0" borderId="32" xfId="1" applyNumberFormat="1" applyFont="1" applyBorder="1" applyAlignment="1">
      <alignment vertical="center"/>
    </xf>
    <xf numFmtId="3" fontId="0" fillId="0" borderId="32" xfId="0" applyNumberFormat="1" applyBorder="1" applyAlignment="1">
      <alignment vertical="center"/>
    </xf>
    <xf numFmtId="164" fontId="0" fillId="0" borderId="32" xfId="0" applyNumberFormat="1" applyBorder="1" applyAlignment="1">
      <alignment vertical="center"/>
    </xf>
    <xf numFmtId="0" fontId="0" fillId="0" borderId="32" xfId="0" applyBorder="1" applyAlignment="1">
      <alignment vertical="center" wrapText="1"/>
    </xf>
    <xf numFmtId="0" fontId="0" fillId="0" borderId="0" xfId="0" applyAlignment="1">
      <alignment vertical="center"/>
    </xf>
    <xf numFmtId="165" fontId="48" fillId="0" borderId="32" xfId="2" applyNumberFormat="1" applyFont="1" applyBorder="1" applyAlignment="1">
      <alignment vertical="center"/>
    </xf>
    <xf numFmtId="10" fontId="0" fillId="0" borderId="32" xfId="0" applyNumberFormat="1" applyBorder="1" applyAlignment="1">
      <alignment vertical="center"/>
    </xf>
    <xf numFmtId="2" fontId="0" fillId="0" borderId="32" xfId="0" applyNumberFormat="1" applyBorder="1" applyAlignment="1">
      <alignment vertical="center"/>
    </xf>
    <xf numFmtId="0" fontId="0" fillId="0" borderId="32" xfId="0" applyBorder="1" applyAlignment="1">
      <alignment horizontal="left" vertical="center"/>
    </xf>
    <xf numFmtId="9" fontId="0" fillId="0" borderId="32" xfId="0" applyNumberFormat="1" applyBorder="1" applyAlignment="1">
      <alignment vertical="center"/>
    </xf>
    <xf numFmtId="9" fontId="48" fillId="0" borderId="32" xfId="0" applyNumberFormat="1" applyFont="1" applyBorder="1" applyAlignment="1">
      <alignment vertical="center"/>
    </xf>
    <xf numFmtId="2" fontId="48" fillId="0" borderId="32" xfId="0" applyNumberFormat="1" applyFont="1" applyBorder="1" applyAlignment="1">
      <alignment vertical="center"/>
    </xf>
    <xf numFmtId="43" fontId="48" fillId="0" borderId="32" xfId="1" applyFont="1" applyBorder="1" applyAlignment="1">
      <alignment vertical="center"/>
    </xf>
    <xf numFmtId="164" fontId="5" fillId="0" borderId="32" xfId="1" applyNumberFormat="1" applyFont="1" applyBorder="1"/>
    <xf numFmtId="0" fontId="48" fillId="0" borderId="32" xfId="0" applyFont="1" applyBorder="1"/>
    <xf numFmtId="0" fontId="0" fillId="0" borderId="32" xfId="0" applyBorder="1" applyAlignment="1">
      <alignment horizontal="left" vertical="center" wrapText="1"/>
    </xf>
    <xf numFmtId="174" fontId="0" fillId="0" borderId="32" xfId="1" applyNumberFormat="1" applyFont="1" applyBorder="1" applyAlignment="1">
      <alignment vertical="center"/>
    </xf>
    <xf numFmtId="174" fontId="48" fillId="0" borderId="32" xfId="1" applyNumberFormat="1" applyFont="1" applyFill="1" applyBorder="1" applyAlignment="1">
      <alignment vertical="center"/>
    </xf>
    <xf numFmtId="174" fontId="0" fillId="0" borderId="32" xfId="0" applyNumberFormat="1" applyBorder="1" applyAlignment="1">
      <alignment vertical="center"/>
    </xf>
    <xf numFmtId="43" fontId="0" fillId="0" borderId="32" xfId="1" applyFont="1" applyFill="1" applyBorder="1" applyAlignment="1">
      <alignment vertical="center"/>
    </xf>
    <xf numFmtId="10" fontId="0" fillId="0" borderId="32" xfId="2" applyNumberFormat="1" applyFont="1" applyBorder="1" applyAlignment="1">
      <alignment vertical="center"/>
    </xf>
    <xf numFmtId="0" fontId="48" fillId="0" borderId="32" xfId="0" applyFont="1" applyBorder="1" applyAlignment="1">
      <alignment vertical="center"/>
    </xf>
    <xf numFmtId="10" fontId="48" fillId="0" borderId="32" xfId="2" applyNumberFormat="1" applyFont="1" applyBorder="1" applyAlignment="1">
      <alignment vertical="center"/>
    </xf>
    <xf numFmtId="10" fontId="48" fillId="0" borderId="32" xfId="0" applyNumberFormat="1" applyFont="1" applyBorder="1" applyAlignment="1">
      <alignment vertical="center"/>
    </xf>
    <xf numFmtId="9" fontId="0" fillId="0" borderId="32" xfId="2" applyFont="1" applyBorder="1" applyAlignment="1">
      <alignment vertical="center"/>
    </xf>
    <xf numFmtId="165" fontId="0" fillId="0" borderId="32" xfId="2" applyNumberFormat="1" applyFont="1" applyBorder="1" applyAlignment="1">
      <alignment vertical="center"/>
    </xf>
    <xf numFmtId="9" fontId="0" fillId="0" borderId="32" xfId="2" applyFont="1" applyFill="1" applyBorder="1" applyAlignment="1">
      <alignment vertical="center"/>
    </xf>
    <xf numFmtId="0" fontId="55" fillId="0" borderId="0" xfId="0" applyFont="1"/>
    <xf numFmtId="0" fontId="0" fillId="0" borderId="0" xfId="0" applyAlignment="1">
      <alignment vertical="center" wrapText="1"/>
    </xf>
    <xf numFmtId="9" fontId="0" fillId="0" borderId="0" xfId="0" applyNumberFormat="1" applyAlignment="1">
      <alignment vertical="center"/>
    </xf>
    <xf numFmtId="0" fontId="5" fillId="7" borderId="32" xfId="0" applyFont="1" applyFill="1" applyBorder="1" applyAlignment="1">
      <alignment vertical="center"/>
    </xf>
    <xf numFmtId="0" fontId="5" fillId="7" borderId="32" xfId="0" applyFont="1" applyFill="1" applyBorder="1" applyAlignment="1">
      <alignment horizontal="right" vertical="center"/>
    </xf>
    <xf numFmtId="0" fontId="5" fillId="0" borderId="0" xfId="0" applyFont="1" applyAlignment="1">
      <alignment horizontal="right" vertical="center"/>
    </xf>
    <xf numFmtId="0" fontId="5" fillId="7" borderId="32" xfId="0" applyFont="1" applyFill="1" applyBorder="1" applyAlignment="1">
      <alignment vertical="center" wrapText="1"/>
    </xf>
    <xf numFmtId="167" fontId="48" fillId="0" borderId="32" xfId="0" applyNumberFormat="1" applyFont="1" applyBorder="1" applyAlignment="1">
      <alignment vertical="center"/>
    </xf>
    <xf numFmtId="164" fontId="0" fillId="0" borderId="32" xfId="1" applyNumberFormat="1" applyFont="1" applyFill="1" applyBorder="1" applyAlignment="1">
      <alignment vertical="center"/>
    </xf>
    <xf numFmtId="164" fontId="48" fillId="0" borderId="32" xfId="1" applyNumberFormat="1" applyFont="1" applyBorder="1" applyAlignment="1">
      <alignment vertical="center"/>
    </xf>
    <xf numFmtId="3" fontId="53" fillId="0" borderId="0" xfId="0" applyNumberFormat="1" applyFont="1" applyAlignment="1">
      <alignment vertical="center"/>
    </xf>
    <xf numFmtId="0" fontId="5" fillId="0" borderId="32" xfId="0" applyFont="1" applyBorder="1" applyAlignment="1">
      <alignment vertical="center" wrapText="1"/>
    </xf>
    <xf numFmtId="0" fontId="3" fillId="2" borderId="0" xfId="0" applyFont="1" applyFill="1" applyAlignment="1">
      <alignment vertical="center" wrapText="1"/>
    </xf>
    <xf numFmtId="0" fontId="5" fillId="0" borderId="32" xfId="0" applyFont="1" applyBorder="1" applyAlignment="1">
      <alignment horizontal="right" vertical="center"/>
    </xf>
    <xf numFmtId="0" fontId="5" fillId="0" borderId="0" xfId="0" applyFont="1" applyAlignment="1">
      <alignment vertical="center" wrapText="1"/>
    </xf>
    <xf numFmtId="37" fontId="0" fillId="0" borderId="32" xfId="0" applyNumberFormat="1" applyBorder="1" applyAlignment="1">
      <alignment vertical="center"/>
    </xf>
    <xf numFmtId="0" fontId="49" fillId="0" borderId="32" xfId="0" applyFont="1" applyBorder="1"/>
    <xf numFmtId="10" fontId="49" fillId="0" borderId="32" xfId="0" applyNumberFormat="1" applyFont="1" applyBorder="1" applyAlignment="1">
      <alignment vertical="center"/>
    </xf>
    <xf numFmtId="0" fontId="49" fillId="0" borderId="32" xfId="0" applyFont="1" applyBorder="1" applyAlignment="1">
      <alignment vertical="center"/>
    </xf>
    <xf numFmtId="0" fontId="49" fillId="0" borderId="32" xfId="0" applyFont="1" applyBorder="1" applyAlignment="1">
      <alignment horizontal="right" vertical="center"/>
    </xf>
    <xf numFmtId="0" fontId="0" fillId="0" borderId="32" xfId="0" applyBorder="1" applyAlignment="1">
      <alignment horizontal="center" vertical="center"/>
    </xf>
    <xf numFmtId="164" fontId="49" fillId="0" borderId="32" xfId="1" applyNumberFormat="1" applyFont="1" applyBorder="1" applyAlignment="1">
      <alignment vertical="center"/>
    </xf>
    <xf numFmtId="0" fontId="59" fillId="0" borderId="32" xfId="0" applyFont="1" applyBorder="1" applyAlignment="1">
      <alignment vertical="center"/>
    </xf>
    <xf numFmtId="167" fontId="49" fillId="0" borderId="32" xfId="0" applyNumberFormat="1" applyFont="1" applyBorder="1" applyAlignment="1">
      <alignment vertical="center"/>
    </xf>
    <xf numFmtId="167" fontId="49" fillId="0" borderId="32" xfId="0" applyNumberFormat="1" applyFont="1" applyBorder="1" applyAlignment="1">
      <alignment horizontal="right" vertical="center"/>
    </xf>
    <xf numFmtId="0" fontId="0" fillId="0" borderId="0" xfId="0" applyAlignment="1">
      <alignment horizontal="right" vertical="center"/>
    </xf>
    <xf numFmtId="0" fontId="0" fillId="0" borderId="32" xfId="0" applyBorder="1" applyAlignment="1">
      <alignment horizontal="right" vertical="center"/>
    </xf>
    <xf numFmtId="0" fontId="0" fillId="10" borderId="32" xfId="0" applyFill="1" applyBorder="1" applyAlignment="1">
      <alignment vertical="center" wrapText="1"/>
    </xf>
    <xf numFmtId="0" fontId="5" fillId="0" borderId="0" xfId="0" applyFont="1" applyAlignment="1">
      <alignment vertical="center"/>
    </xf>
    <xf numFmtId="0" fontId="5" fillId="0" borderId="32" xfId="0" applyFont="1" applyBorder="1" applyAlignment="1">
      <alignment vertical="center"/>
    </xf>
    <xf numFmtId="0" fontId="0" fillId="0" borderId="33" xfId="0" applyBorder="1" applyAlignment="1">
      <alignment vertical="center"/>
    </xf>
    <xf numFmtId="164" fontId="59" fillId="0" borderId="32" xfId="1" applyNumberFormat="1" applyFont="1" applyBorder="1" applyAlignment="1">
      <alignment vertical="center"/>
    </xf>
    <xf numFmtId="37" fontId="0" fillId="0" borderId="32" xfId="0" applyNumberFormat="1" applyBorder="1" applyAlignment="1">
      <alignment vertical="center" wrapText="1"/>
    </xf>
    <xf numFmtId="0" fontId="49" fillId="0" borderId="0" xfId="0" applyFont="1" applyAlignment="1">
      <alignment vertical="top" wrapText="1"/>
    </xf>
    <xf numFmtId="0" fontId="49" fillId="0" borderId="32" xfId="0" applyFont="1" applyBorder="1" applyAlignment="1">
      <alignment vertical="top" wrapText="1"/>
    </xf>
    <xf numFmtId="0" fontId="0" fillId="0" borderId="0" xfId="0" applyAlignment="1">
      <alignment vertical="top" wrapText="1"/>
    </xf>
    <xf numFmtId="37" fontId="0" fillId="0" borderId="32" xfId="0" applyNumberFormat="1" applyBorder="1" applyAlignment="1">
      <alignment horizontal="right" vertical="center"/>
    </xf>
    <xf numFmtId="37" fontId="0" fillId="10" borderId="32" xfId="0" applyNumberFormat="1" applyFill="1" applyBorder="1" applyAlignment="1">
      <alignment vertical="center" wrapText="1"/>
    </xf>
    <xf numFmtId="0" fontId="0" fillId="10" borderId="32" xfId="0" applyFill="1" applyBorder="1" applyAlignment="1">
      <alignment horizontal="right" vertical="center" wrapText="1"/>
    </xf>
    <xf numFmtId="0" fontId="5" fillId="7" borderId="6" xfId="0" applyFont="1" applyFill="1" applyBorder="1" applyAlignment="1">
      <alignment horizontal="right"/>
    </xf>
    <xf numFmtId="0" fontId="49" fillId="0" borderId="0" xfId="0" applyFont="1" applyAlignment="1">
      <alignment vertical="center"/>
    </xf>
    <xf numFmtId="164" fontId="5" fillId="0" borderId="32" xfId="1" applyNumberFormat="1" applyFont="1" applyBorder="1" applyAlignment="1">
      <alignment vertical="center"/>
    </xf>
    <xf numFmtId="10" fontId="0" fillId="0" borderId="32" xfId="2" applyNumberFormat="1" applyFont="1" applyBorder="1" applyAlignment="1"/>
    <xf numFmtId="10" fontId="49" fillId="0" borderId="32" xfId="0" applyNumberFormat="1" applyFont="1" applyBorder="1" applyAlignment="1">
      <alignment horizontal="right" vertical="center"/>
    </xf>
    <xf numFmtId="167" fontId="0" fillId="0" borderId="32" xfId="0" applyNumberFormat="1" applyBorder="1" applyAlignment="1">
      <alignment vertical="center"/>
    </xf>
    <xf numFmtId="173" fontId="49" fillId="0" borderId="32" xfId="0" applyNumberFormat="1" applyFont="1" applyBorder="1" applyAlignment="1">
      <alignment vertical="center"/>
    </xf>
    <xf numFmtId="173" fontId="49" fillId="0" borderId="32" xfId="0" applyNumberFormat="1" applyFont="1" applyBorder="1" applyAlignment="1">
      <alignment horizontal="right" vertical="center"/>
    </xf>
    <xf numFmtId="173" fontId="59" fillId="0" borderId="32" xfId="0" applyNumberFormat="1" applyFont="1" applyBorder="1" applyAlignment="1">
      <alignment vertical="center"/>
    </xf>
    <xf numFmtId="167" fontId="59" fillId="0" borderId="32" xfId="0" applyNumberFormat="1" applyFont="1" applyBorder="1" applyAlignment="1">
      <alignment vertical="center"/>
    </xf>
    <xf numFmtId="10" fontId="2" fillId="0" borderId="32" xfId="2" applyNumberFormat="1" applyFont="1" applyFill="1" applyBorder="1" applyAlignment="1">
      <alignment vertical="center"/>
    </xf>
    <xf numFmtId="164" fontId="0" fillId="0" borderId="32" xfId="1" applyNumberFormat="1" applyFont="1" applyBorder="1" applyAlignment="1">
      <alignment horizontal="right" vertical="center"/>
    </xf>
    <xf numFmtId="37" fontId="0" fillId="0" borderId="0" xfId="0" applyNumberFormat="1" applyAlignment="1">
      <alignment vertical="center"/>
    </xf>
    <xf numFmtId="164" fontId="59" fillId="0" borderId="32" xfId="1" applyNumberFormat="1" applyFont="1" applyBorder="1" applyAlignment="1">
      <alignment horizontal="right" vertical="center"/>
    </xf>
    <xf numFmtId="164" fontId="49" fillId="0" borderId="32" xfId="1" applyNumberFormat="1" applyFont="1" applyFill="1" applyBorder="1" applyAlignment="1">
      <alignment vertical="center"/>
    </xf>
    <xf numFmtId="167" fontId="0" fillId="0" borderId="0" xfId="0" applyNumberFormat="1" applyAlignment="1">
      <alignment vertical="center"/>
    </xf>
    <xf numFmtId="164" fontId="49" fillId="0" borderId="32" xfId="1" applyNumberFormat="1" applyFont="1" applyFill="1" applyBorder="1" applyAlignment="1">
      <alignment horizontal="right" vertical="center"/>
    </xf>
    <xf numFmtId="164" fontId="0" fillId="0" borderId="0" xfId="0" applyNumberFormat="1" applyAlignment="1">
      <alignment vertical="center"/>
    </xf>
    <xf numFmtId="164" fontId="38" fillId="0" borderId="32" xfId="1" applyNumberFormat="1" applyFont="1" applyBorder="1" applyAlignment="1">
      <alignment vertical="center"/>
    </xf>
    <xf numFmtId="167" fontId="61" fillId="0" borderId="32" xfId="0" applyNumberFormat="1" applyFont="1" applyBorder="1" applyAlignment="1">
      <alignment vertical="center"/>
    </xf>
    <xf numFmtId="0" fontId="0" fillId="0" borderId="32" xfId="0" quotePrefix="1" applyBorder="1" applyAlignment="1">
      <alignment horizontal="right" vertical="center"/>
    </xf>
    <xf numFmtId="174" fontId="0" fillId="0" borderId="32" xfId="1" applyNumberFormat="1" applyFont="1" applyFill="1" applyBorder="1" applyAlignment="1">
      <alignment vertical="center"/>
    </xf>
    <xf numFmtId="164" fontId="48" fillId="0" borderId="32" xfId="1" applyNumberFormat="1" applyFont="1" applyFill="1" applyBorder="1" applyAlignment="1">
      <alignment vertical="center"/>
    </xf>
    <xf numFmtId="0" fontId="0" fillId="0" borderId="0" xfId="0" applyAlignment="1">
      <alignment horizontal="left" wrapText="1"/>
    </xf>
    <xf numFmtId="0" fontId="62" fillId="7" borderId="3" xfId="0" applyFont="1" applyFill="1" applyBorder="1" applyAlignment="1">
      <alignment vertical="center" wrapText="1"/>
    </xf>
    <xf numFmtId="0" fontId="38" fillId="0" borderId="32" xfId="0" applyFont="1" applyBorder="1" applyAlignment="1">
      <alignment vertical="center" wrapText="1"/>
    </xf>
    <xf numFmtId="0" fontId="38" fillId="0" borderId="0" xfId="0" applyFont="1" applyAlignment="1">
      <alignment vertical="center"/>
    </xf>
    <xf numFmtId="0" fontId="41" fillId="0" borderId="32" xfId="0" applyFont="1" applyBorder="1" applyAlignment="1">
      <alignment vertical="center"/>
    </xf>
    <xf numFmtId="0" fontId="0" fillId="0" borderId="0" xfId="0" quotePrefix="1" applyAlignment="1">
      <alignment horizontal="center" vertical="center"/>
    </xf>
    <xf numFmtId="0" fontId="0" fillId="0" borderId="32" xfId="0" quotePrefix="1" applyBorder="1" applyAlignment="1">
      <alignment horizontal="center" vertical="center"/>
    </xf>
    <xf numFmtId="0" fontId="62" fillId="0" borderId="32" xfId="0" applyFont="1" applyBorder="1" applyAlignment="1">
      <alignment vertical="center"/>
    </xf>
    <xf numFmtId="0" fontId="5" fillId="0" borderId="32" xfId="0" quotePrefix="1" applyFont="1" applyBorder="1" applyAlignment="1">
      <alignment horizontal="center" vertical="center"/>
    </xf>
    <xf numFmtId="0" fontId="0" fillId="0" borderId="32" xfId="0" applyBorder="1" applyAlignment="1">
      <alignment horizontal="right" vertical="center" wrapText="1"/>
    </xf>
    <xf numFmtId="164" fontId="0" fillId="0" borderId="32" xfId="1" applyNumberFormat="1" applyFont="1" applyFill="1" applyBorder="1" applyAlignment="1">
      <alignment horizontal="right" vertical="center" wrapText="1"/>
    </xf>
    <xf numFmtId="1" fontId="0" fillId="0" borderId="32" xfId="0" applyNumberFormat="1" applyBorder="1" applyAlignment="1">
      <alignment vertical="center"/>
    </xf>
    <xf numFmtId="37" fontId="5" fillId="0" borderId="32" xfId="0" applyNumberFormat="1" applyFont="1" applyBorder="1" applyAlignment="1">
      <alignment vertical="center"/>
    </xf>
    <xf numFmtId="37" fontId="5" fillId="10" borderId="32" xfId="0" applyNumberFormat="1" applyFont="1" applyFill="1" applyBorder="1" applyAlignment="1">
      <alignment vertical="center" wrapText="1"/>
    </xf>
    <xf numFmtId="164" fontId="5" fillId="0" borderId="32" xfId="1" applyNumberFormat="1" applyFont="1" applyBorder="1" applyAlignment="1">
      <alignment horizontal="right" vertical="center"/>
    </xf>
    <xf numFmtId="164" fontId="0" fillId="0" borderId="0" xfId="1" applyNumberFormat="1" applyFont="1" applyFill="1" applyBorder="1" applyAlignment="1">
      <alignment vertical="center"/>
    </xf>
    <xf numFmtId="0" fontId="5" fillId="7" borderId="17" xfId="0" applyFont="1" applyFill="1" applyBorder="1" applyAlignment="1">
      <alignment horizontal="center"/>
    </xf>
    <xf numFmtId="0" fontId="5" fillId="7" borderId="18" xfId="0" applyFont="1" applyFill="1" applyBorder="1" applyAlignment="1">
      <alignment horizontal="center"/>
    </xf>
    <xf numFmtId="0" fontId="5" fillId="7" borderId="19" xfId="0" applyFont="1" applyFill="1" applyBorder="1" applyAlignment="1">
      <alignment horizontal="center"/>
    </xf>
    <xf numFmtId="164" fontId="49" fillId="0" borderId="34" xfId="1" applyNumberFormat="1" applyFont="1" applyBorder="1" applyAlignment="1">
      <alignment vertical="center"/>
    </xf>
    <xf numFmtId="164" fontId="63" fillId="0" borderId="32" xfId="1" applyNumberFormat="1" applyFont="1" applyBorder="1" applyAlignment="1">
      <alignment vertical="center"/>
    </xf>
    <xf numFmtId="0" fontId="3" fillId="8" borderId="32" xfId="0" applyFont="1" applyFill="1" applyBorder="1" applyAlignment="1">
      <alignment horizontal="right" vertical="center"/>
    </xf>
    <xf numFmtId="0" fontId="49" fillId="10" borderId="32" xfId="0" applyFont="1" applyFill="1" applyBorder="1" applyAlignment="1">
      <alignment vertical="center"/>
    </xf>
    <xf numFmtId="0" fontId="60" fillId="10" borderId="32" xfId="0" applyFont="1" applyFill="1" applyBorder="1" applyAlignment="1">
      <alignment vertical="center"/>
    </xf>
    <xf numFmtId="164" fontId="5" fillId="0" borderId="32" xfId="1" applyNumberFormat="1" applyFont="1" applyFill="1" applyBorder="1" applyAlignment="1">
      <alignment horizontal="right" vertical="center"/>
    </xf>
    <xf numFmtId="0" fontId="5" fillId="0" borderId="18" xfId="0" applyFont="1" applyBorder="1" applyAlignment="1">
      <alignment horizontal="center"/>
    </xf>
    <xf numFmtId="0" fontId="5" fillId="7" borderId="3" xfId="0" applyFont="1" applyFill="1" applyBorder="1" applyAlignment="1">
      <alignment vertical="top" wrapText="1"/>
    </xf>
    <xf numFmtId="0" fontId="5" fillId="7" borderId="4" xfId="0" applyFont="1" applyFill="1" applyBorder="1" applyAlignment="1">
      <alignment vertical="top" wrapText="1"/>
    </xf>
    <xf numFmtId="0" fontId="5" fillId="7" borderId="5" xfId="0" applyFont="1" applyFill="1" applyBorder="1" applyAlignment="1">
      <alignment vertical="top" wrapText="1"/>
    </xf>
    <xf numFmtId="37" fontId="0" fillId="10" borderId="34" xfId="0" applyNumberFormat="1" applyFill="1" applyBorder="1" applyAlignment="1">
      <alignment vertical="center" wrapText="1"/>
    </xf>
    <xf numFmtId="37" fontId="5" fillId="0" borderId="32" xfId="0" applyNumberFormat="1" applyFont="1" applyBorder="1" applyAlignment="1">
      <alignment horizontal="right" vertical="center"/>
    </xf>
    <xf numFmtId="37" fontId="0" fillId="0" borderId="33" xfId="0" applyNumberFormat="1" applyBorder="1" applyAlignment="1">
      <alignment vertical="center"/>
    </xf>
    <xf numFmtId="0" fontId="64" fillId="0" borderId="0" xfId="0" applyFont="1"/>
    <xf numFmtId="0" fontId="65" fillId="0" borderId="0" xfId="0" applyFont="1"/>
    <xf numFmtId="2" fontId="0" fillId="10" borderId="32" xfId="0" applyNumberFormat="1" applyFill="1" applyBorder="1" applyAlignment="1">
      <alignment horizontal="right" vertical="center"/>
    </xf>
    <xf numFmtId="164" fontId="2" fillId="0" borderId="32" xfId="1" applyNumberFormat="1" applyFont="1" applyFill="1" applyBorder="1" applyAlignment="1">
      <alignment horizontal="right" vertical="center"/>
    </xf>
    <xf numFmtId="0" fontId="0" fillId="10" borderId="32" xfId="0" applyFill="1" applyBorder="1" applyAlignment="1">
      <alignment horizontal="right" vertical="center"/>
    </xf>
    <xf numFmtId="0" fontId="0" fillId="10" borderId="32" xfId="0" applyFill="1" applyBorder="1" applyAlignment="1">
      <alignment horizontal="left" vertical="center" wrapText="1"/>
    </xf>
    <xf numFmtId="37" fontId="0" fillId="10" borderId="32" xfId="0" applyNumberFormat="1" applyFill="1" applyBorder="1" applyAlignment="1">
      <alignment horizontal="right" vertical="center" wrapText="1"/>
    </xf>
    <xf numFmtId="3" fontId="0" fillId="10" borderId="32" xfId="0" applyNumberFormat="1" applyFill="1" applyBorder="1" applyAlignment="1">
      <alignment vertical="center" wrapText="1"/>
    </xf>
    <xf numFmtId="164" fontId="0" fillId="0" borderId="32" xfId="2" applyNumberFormat="1" applyFont="1" applyFill="1" applyBorder="1" applyAlignment="1">
      <alignment vertical="center"/>
    </xf>
    <xf numFmtId="9" fontId="0" fillId="10" borderId="32" xfId="2" applyFont="1" applyFill="1" applyBorder="1" applyAlignment="1">
      <alignment horizontal="right" vertical="center" wrapText="1"/>
    </xf>
    <xf numFmtId="165" fontId="0" fillId="10" borderId="32" xfId="2" applyNumberFormat="1" applyFont="1" applyFill="1" applyBorder="1" applyAlignment="1">
      <alignment horizontal="right" vertical="center" wrapText="1"/>
    </xf>
    <xf numFmtId="0" fontId="3" fillId="9" borderId="32" xfId="0" applyFont="1" applyFill="1" applyBorder="1" applyAlignment="1">
      <alignment horizontal="right" vertical="center"/>
    </xf>
    <xf numFmtId="0" fontId="5" fillId="10" borderId="32" xfId="0" applyFont="1" applyFill="1" applyBorder="1" applyAlignment="1">
      <alignment vertical="center"/>
    </xf>
    <xf numFmtId="0" fontId="5" fillId="10" borderId="32" xfId="0" applyFont="1" applyFill="1" applyBorder="1" applyAlignment="1">
      <alignment horizontal="right" vertical="center"/>
    </xf>
    <xf numFmtId="3" fontId="0" fillId="10" borderId="32" xfId="0" applyNumberFormat="1" applyFill="1" applyBorder="1" applyAlignment="1">
      <alignment horizontal="right" vertical="center"/>
    </xf>
    <xf numFmtId="164" fontId="0" fillId="0" borderId="32" xfId="1" applyNumberFormat="1" applyFont="1" applyBorder="1" applyAlignment="1">
      <alignment horizontal="center" vertical="center"/>
    </xf>
    <xf numFmtId="164" fontId="0" fillId="0" borderId="32" xfId="1" applyNumberFormat="1" applyFont="1" applyFill="1" applyBorder="1" applyAlignment="1">
      <alignment horizontal="right" vertical="center"/>
    </xf>
    <xf numFmtId="0" fontId="0" fillId="0" borderId="36" xfId="0" applyBorder="1" applyAlignment="1">
      <alignment horizontal="left" vertical="center" wrapText="1"/>
    </xf>
    <xf numFmtId="3" fontId="0" fillId="10" borderId="36" xfId="0" applyNumberFormat="1" applyFill="1" applyBorder="1" applyAlignment="1">
      <alignment horizontal="right" vertical="center"/>
    </xf>
    <xf numFmtId="164" fontId="0" fillId="0" borderId="36" xfId="1" applyNumberFormat="1" applyFont="1" applyBorder="1" applyAlignment="1">
      <alignment vertical="center"/>
    </xf>
    <xf numFmtId="164" fontId="0" fillId="0" borderId="36" xfId="1" applyNumberFormat="1" applyFont="1" applyFill="1" applyBorder="1" applyAlignment="1">
      <alignment horizontal="right" vertical="center"/>
    </xf>
    <xf numFmtId="0" fontId="5" fillId="0" borderId="34" xfId="0" applyFont="1" applyBorder="1" applyAlignment="1">
      <alignment vertical="center" wrapText="1"/>
    </xf>
    <xf numFmtId="3" fontId="5" fillId="10" borderId="34" xfId="0" applyNumberFormat="1" applyFont="1" applyFill="1" applyBorder="1" applyAlignment="1">
      <alignment vertical="center"/>
    </xf>
    <xf numFmtId="3" fontId="5" fillId="10" borderId="34" xfId="0" applyNumberFormat="1" applyFont="1" applyFill="1" applyBorder="1" applyAlignment="1">
      <alignment horizontal="right" vertical="center"/>
    </xf>
    <xf numFmtId="164" fontId="5" fillId="0" borderId="34" xfId="1" applyNumberFormat="1" applyFont="1" applyBorder="1" applyAlignment="1">
      <alignment vertical="center"/>
    </xf>
    <xf numFmtId="164" fontId="5" fillId="0" borderId="0" xfId="1" applyNumberFormat="1" applyFont="1" applyFill="1" applyBorder="1" applyAlignment="1">
      <alignment vertical="center"/>
    </xf>
    <xf numFmtId="164" fontId="5" fillId="0" borderId="34" xfId="1" applyNumberFormat="1" applyFont="1" applyFill="1" applyBorder="1" applyAlignment="1">
      <alignment horizontal="right" vertical="center"/>
    </xf>
    <xf numFmtId="3" fontId="0" fillId="10" borderId="32" xfId="0" applyNumberFormat="1" applyFill="1" applyBorder="1" applyAlignment="1">
      <alignment vertical="center"/>
    </xf>
    <xf numFmtId="10" fontId="0" fillId="10" borderId="32" xfId="0" applyNumberFormat="1" applyFill="1" applyBorder="1" applyAlignment="1">
      <alignment vertical="center"/>
    </xf>
    <xf numFmtId="165" fontId="0" fillId="10" borderId="32" xfId="2" applyNumberFormat="1" applyFont="1" applyFill="1" applyBorder="1" applyAlignment="1">
      <alignment horizontal="right" vertical="center"/>
    </xf>
    <xf numFmtId="0" fontId="0" fillId="10" borderId="32" xfId="0" applyFill="1" applyBorder="1" applyAlignment="1">
      <alignment vertical="center"/>
    </xf>
    <xf numFmtId="4" fontId="0" fillId="10" borderId="32" xfId="0" applyNumberFormat="1" applyFill="1" applyBorder="1" applyAlignment="1">
      <alignment horizontal="right" vertical="center"/>
    </xf>
    <xf numFmtId="43" fontId="0" fillId="0" borderId="32" xfId="1" applyFont="1" applyBorder="1" applyAlignment="1">
      <alignment vertical="center"/>
    </xf>
    <xf numFmtId="43" fontId="2" fillId="0" borderId="32" xfId="1" applyFont="1" applyFill="1" applyBorder="1" applyAlignment="1">
      <alignment horizontal="right" vertical="center"/>
    </xf>
    <xf numFmtId="164" fontId="0" fillId="10" borderId="32" xfId="1" applyNumberFormat="1" applyFont="1" applyFill="1" applyBorder="1" applyAlignment="1">
      <alignment horizontal="right" vertical="center"/>
    </xf>
    <xf numFmtId="164" fontId="0" fillId="0" borderId="0" xfId="1" applyNumberFormat="1" applyFont="1" applyFill="1" applyBorder="1" applyAlignment="1">
      <alignment horizontal="right" vertical="center"/>
    </xf>
    <xf numFmtId="164" fontId="0" fillId="0" borderId="0" xfId="1" applyNumberFormat="1" applyFont="1" applyBorder="1" applyAlignment="1">
      <alignment vertical="center"/>
    </xf>
    <xf numFmtId="164" fontId="2" fillId="0" borderId="0" xfId="1" applyNumberFormat="1" applyFont="1" applyFill="1" applyBorder="1" applyAlignment="1">
      <alignment horizontal="right" vertical="center"/>
    </xf>
    <xf numFmtId="164" fontId="48" fillId="0" borderId="0" xfId="1" applyNumberFormat="1" applyFont="1" applyFill="1" applyBorder="1" applyAlignment="1">
      <alignment horizontal="right" vertical="center"/>
    </xf>
    <xf numFmtId="0" fontId="48" fillId="0" borderId="0" xfId="0" applyFont="1" applyAlignment="1">
      <alignment horizontal="right" vertical="center"/>
    </xf>
    <xf numFmtId="164" fontId="5" fillId="10" borderId="32" xfId="1" applyNumberFormat="1" applyFont="1" applyFill="1" applyBorder="1" applyAlignment="1">
      <alignment horizontal="right" vertical="center"/>
    </xf>
    <xf numFmtId="0" fontId="0" fillId="0" borderId="0" xfId="0" quotePrefix="1" applyAlignment="1">
      <alignment vertical="center" wrapText="1"/>
    </xf>
    <xf numFmtId="0" fontId="5" fillId="10" borderId="3" xfId="0" applyFont="1" applyFill="1" applyBorder="1" applyAlignment="1">
      <alignment vertical="center"/>
    </xf>
    <xf numFmtId="174" fontId="5" fillId="10" borderId="3" xfId="1" applyNumberFormat="1" applyFont="1" applyFill="1" applyBorder="1" applyAlignment="1">
      <alignment horizontal="right" vertical="center"/>
    </xf>
    <xf numFmtId="174" fontId="5" fillId="0" borderId="32" xfId="1" applyNumberFormat="1" applyFont="1" applyFill="1" applyBorder="1" applyAlignment="1">
      <alignment vertical="center"/>
    </xf>
    <xf numFmtId="174" fontId="5" fillId="0" borderId="0" xfId="1" applyNumberFormat="1" applyFont="1" applyFill="1" applyBorder="1" applyAlignment="1">
      <alignment vertical="center"/>
    </xf>
    <xf numFmtId="174" fontId="5" fillId="0" borderId="32" xfId="1" applyNumberFormat="1" applyFont="1" applyFill="1" applyBorder="1" applyAlignment="1">
      <alignment horizontal="right" vertical="center"/>
    </xf>
    <xf numFmtId="164" fontId="0" fillId="10" borderId="32" xfId="1" applyNumberFormat="1" applyFont="1" applyFill="1" applyBorder="1" applyAlignment="1">
      <alignment horizontal="center" vertical="center"/>
    </xf>
    <xf numFmtId="174" fontId="0" fillId="10" borderId="3" xfId="1" applyNumberFormat="1" applyFont="1" applyFill="1" applyBorder="1" applyAlignment="1">
      <alignment horizontal="right" vertical="center"/>
    </xf>
    <xf numFmtId="174" fontId="0" fillId="0" borderId="32" xfId="1" applyNumberFormat="1" applyFont="1" applyFill="1" applyBorder="1" applyAlignment="1">
      <alignment horizontal="right" vertical="center"/>
    </xf>
    <xf numFmtId="174" fontId="0" fillId="0" borderId="0" xfId="1" applyNumberFormat="1" applyFont="1" applyFill="1" applyBorder="1" applyAlignment="1">
      <alignment vertical="center"/>
    </xf>
    <xf numFmtId="164" fontId="0" fillId="10" borderId="32" xfId="0" applyNumberFormat="1" applyFill="1" applyBorder="1" applyAlignment="1">
      <alignment horizontal="center" vertical="center"/>
    </xf>
    <xf numFmtId="174" fontId="0" fillId="10" borderId="0" xfId="1" applyNumberFormat="1" applyFont="1" applyFill="1" applyAlignment="1">
      <alignment vertical="center"/>
    </xf>
    <xf numFmtId="164" fontId="5" fillId="10" borderId="3" xfId="0" applyNumberFormat="1" applyFont="1" applyFill="1" applyBorder="1" applyAlignment="1">
      <alignment vertical="center"/>
    </xf>
    <xf numFmtId="164" fontId="3" fillId="9" borderId="32" xfId="1" applyNumberFormat="1" applyFont="1" applyFill="1" applyBorder="1" applyAlignment="1">
      <alignment horizontal="right" vertical="center"/>
    </xf>
    <xf numFmtId="164" fontId="5" fillId="7" borderId="32" xfId="1" applyNumberFormat="1" applyFont="1" applyFill="1" applyBorder="1" applyAlignment="1">
      <alignment horizontal="right" vertical="center"/>
    </xf>
    <xf numFmtId="164" fontId="5" fillId="0" borderId="0" xfId="1" applyNumberFormat="1" applyFont="1" applyFill="1" applyBorder="1" applyAlignment="1">
      <alignment horizontal="right" vertical="center"/>
    </xf>
    <xf numFmtId="0" fontId="25" fillId="0" borderId="32" xfId="0" applyFont="1" applyBorder="1" applyAlignment="1">
      <alignment vertical="center" wrapText="1"/>
    </xf>
    <xf numFmtId="0" fontId="25" fillId="10" borderId="32" xfId="0" applyFont="1" applyFill="1" applyBorder="1" applyAlignment="1">
      <alignment vertical="center"/>
    </xf>
    <xf numFmtId="10" fontId="25" fillId="10" borderId="32" xfId="2" applyNumberFormat="1" applyFont="1" applyFill="1" applyBorder="1" applyAlignment="1">
      <alignment vertical="center"/>
    </xf>
    <xf numFmtId="10" fontId="25" fillId="0" borderId="32" xfId="2" applyNumberFormat="1" applyFont="1" applyBorder="1" applyAlignment="1">
      <alignment vertical="center"/>
    </xf>
    <xf numFmtId="165" fontId="25" fillId="0" borderId="32" xfId="2" applyNumberFormat="1" applyFont="1" applyBorder="1" applyAlignment="1">
      <alignment horizontal="right" vertical="center"/>
    </xf>
    <xf numFmtId="169" fontId="2" fillId="0" borderId="32" xfId="3" applyNumberFormat="1" applyBorder="1" applyAlignment="1">
      <alignment horizontal="left" vertical="center" wrapText="1"/>
    </xf>
    <xf numFmtId="37" fontId="2" fillId="10" borderId="32" xfId="3" applyNumberFormat="1" applyFill="1" applyBorder="1" applyAlignment="1">
      <alignment horizontal="right" vertical="center"/>
    </xf>
    <xf numFmtId="164" fontId="57" fillId="0" borderId="32" xfId="1" applyNumberFormat="1" applyFont="1" applyBorder="1" applyAlignment="1">
      <alignment vertical="center"/>
    </xf>
    <xf numFmtId="0" fontId="54" fillId="0" borderId="0" xfId="0" applyFont="1" applyAlignment="1">
      <alignment vertical="center"/>
    </xf>
    <xf numFmtId="0" fontId="5" fillId="0" borderId="32" xfId="3" applyFont="1" applyBorder="1" applyAlignment="1">
      <alignment vertical="center" wrapText="1"/>
    </xf>
    <xf numFmtId="0" fontId="5" fillId="10" borderId="32" xfId="3" applyFont="1" applyFill="1" applyBorder="1" applyAlignment="1">
      <alignment vertical="center"/>
    </xf>
    <xf numFmtId="164" fontId="5" fillId="10" borderId="32" xfId="0" applyNumberFormat="1" applyFont="1" applyFill="1" applyBorder="1" applyAlignment="1">
      <alignment horizontal="right" vertical="center"/>
    </xf>
    <xf numFmtId="164" fontId="58" fillId="0" borderId="32" xfId="1" applyNumberFormat="1" applyFont="1" applyBorder="1" applyAlignment="1">
      <alignment vertical="center"/>
    </xf>
    <xf numFmtId="0" fontId="2" fillId="0" borderId="32" xfId="3" applyBorder="1" applyAlignment="1">
      <alignment horizontal="left" vertical="center" wrapText="1"/>
    </xf>
    <xf numFmtId="0" fontId="2" fillId="10" borderId="32" xfId="3" applyFill="1" applyBorder="1" applyAlignment="1">
      <alignment vertical="center"/>
    </xf>
    <xf numFmtId="0" fontId="5" fillId="7" borderId="32" xfId="3" applyFont="1" applyFill="1" applyBorder="1" applyAlignment="1">
      <alignment horizontal="left" vertical="center" wrapText="1"/>
    </xf>
    <xf numFmtId="0" fontId="5" fillId="11" borderId="32" xfId="3" applyFont="1" applyFill="1" applyBorder="1" applyAlignment="1">
      <alignment horizontal="right" vertical="center"/>
    </xf>
    <xf numFmtId="164" fontId="5" fillId="11" borderId="32" xfId="0" applyNumberFormat="1" applyFont="1" applyFill="1" applyBorder="1" applyAlignment="1">
      <alignment horizontal="right" vertical="center"/>
    </xf>
    <xf numFmtId="164" fontId="58" fillId="7" borderId="32" xfId="1" applyNumberFormat="1" applyFont="1" applyFill="1" applyBorder="1" applyAlignment="1">
      <alignment vertical="center"/>
    </xf>
    <xf numFmtId="0" fontId="5" fillId="0" borderId="32" xfId="3" applyFont="1" applyBorder="1" applyAlignment="1">
      <alignment horizontal="left" vertical="center" wrapText="1"/>
    </xf>
    <xf numFmtId="0" fontId="5" fillId="10" borderId="32" xfId="3" applyFont="1" applyFill="1" applyBorder="1" applyAlignment="1">
      <alignment horizontal="right" vertical="center"/>
    </xf>
    <xf numFmtId="164" fontId="38" fillId="0" borderId="32" xfId="1" applyNumberFormat="1" applyFont="1" applyBorder="1" applyAlignment="1">
      <alignment horizontal="right" vertical="center"/>
    </xf>
    <xf numFmtId="0" fontId="2" fillId="10" borderId="32" xfId="3" applyFill="1" applyBorder="1" applyAlignment="1">
      <alignment horizontal="right" vertical="center"/>
    </xf>
    <xf numFmtId="164" fontId="5" fillId="10" borderId="32" xfId="1" applyNumberFormat="1" applyFont="1" applyFill="1" applyBorder="1" applyAlignment="1">
      <alignment horizontal="left" vertical="center"/>
    </xf>
    <xf numFmtId="164" fontId="58" fillId="0" borderId="32" xfId="1" applyNumberFormat="1" applyFont="1" applyFill="1" applyBorder="1" applyAlignment="1">
      <alignment vertical="center"/>
    </xf>
    <xf numFmtId="37" fontId="0" fillId="10" borderId="32" xfId="0" applyNumberFormat="1" applyFill="1" applyBorder="1" applyAlignment="1">
      <alignment vertical="center"/>
    </xf>
    <xf numFmtId="37" fontId="0" fillId="10" borderId="32" xfId="0" applyNumberFormat="1" applyFill="1" applyBorder="1" applyAlignment="1">
      <alignment horizontal="right" vertical="center"/>
    </xf>
    <xf numFmtId="37" fontId="5" fillId="10" borderId="32" xfId="0" applyNumberFormat="1" applyFont="1" applyFill="1" applyBorder="1" applyAlignment="1">
      <alignment vertical="center"/>
    </xf>
    <xf numFmtId="37" fontId="5" fillId="10" borderId="32" xfId="0" applyNumberFormat="1" applyFont="1" applyFill="1" applyBorder="1" applyAlignment="1">
      <alignment horizontal="right" vertical="center"/>
    </xf>
    <xf numFmtId="37" fontId="5" fillId="0" borderId="0" xfId="0" applyNumberFormat="1" applyFont="1" applyAlignment="1">
      <alignment horizontal="right" vertical="center"/>
    </xf>
    <xf numFmtId="37" fontId="5" fillId="0" borderId="0" xfId="0" applyNumberFormat="1" applyFont="1" applyAlignment="1">
      <alignment vertical="center"/>
    </xf>
    <xf numFmtId="169" fontId="18" fillId="2" borderId="32" xfId="3" applyNumberFormat="1" applyFont="1" applyFill="1" applyBorder="1" applyAlignment="1">
      <alignment vertical="center" wrapText="1"/>
    </xf>
    <xf numFmtId="169" fontId="19" fillId="0" borderId="32" xfId="3" applyNumberFormat="1" applyFont="1" applyBorder="1" applyAlignment="1">
      <alignment vertical="center" wrapText="1"/>
    </xf>
    <xf numFmtId="164" fontId="0" fillId="10" borderId="32" xfId="0" applyNumberFormat="1" applyFill="1" applyBorder="1" applyAlignment="1">
      <alignment horizontal="right" vertical="center"/>
    </xf>
    <xf numFmtId="164" fontId="0" fillId="0" borderId="32" xfId="0" applyNumberFormat="1" applyBorder="1" applyAlignment="1">
      <alignment horizontal="right" vertical="center"/>
    </xf>
    <xf numFmtId="169" fontId="20" fillId="0" borderId="32" xfId="3" applyNumberFormat="1" applyFont="1" applyBorder="1" applyAlignment="1">
      <alignment vertical="center" wrapText="1"/>
    </xf>
    <xf numFmtId="164" fontId="5" fillId="0" borderId="32" xfId="0" applyNumberFormat="1" applyFont="1" applyBorder="1" applyAlignment="1">
      <alignment horizontal="right" vertical="center"/>
    </xf>
    <xf numFmtId="167" fontId="0" fillId="10" borderId="32" xfId="0" applyNumberFormat="1" applyFill="1" applyBorder="1" applyAlignment="1">
      <alignment horizontal="right" vertical="center"/>
    </xf>
    <xf numFmtId="164" fontId="0" fillId="10" borderId="32" xfId="1" applyNumberFormat="1" applyFont="1" applyFill="1" applyBorder="1" applyAlignment="1">
      <alignment vertical="center"/>
    </xf>
    <xf numFmtId="169" fontId="1" fillId="0" borderId="32" xfId="3" applyNumberFormat="1" applyFont="1" applyBorder="1" applyAlignment="1">
      <alignment vertical="center" wrapText="1"/>
    </xf>
    <xf numFmtId="169" fontId="32" fillId="0" borderId="32" xfId="3" applyNumberFormat="1" applyFont="1" applyBorder="1" applyAlignment="1">
      <alignment horizontal="left" vertical="center" wrapText="1"/>
    </xf>
    <xf numFmtId="164" fontId="5" fillId="10" borderId="32" xfId="0" applyNumberFormat="1" applyFont="1" applyFill="1" applyBorder="1" applyAlignment="1">
      <alignment vertical="center"/>
    </xf>
    <xf numFmtId="164" fontId="5" fillId="0" borderId="32" xfId="0" applyNumberFormat="1" applyFont="1" applyBorder="1" applyAlignment="1">
      <alignment vertical="center"/>
    </xf>
    <xf numFmtId="167" fontId="0" fillId="0" borderId="32" xfId="0" applyNumberFormat="1" applyBorder="1" applyAlignment="1">
      <alignment horizontal="right" vertical="center"/>
    </xf>
    <xf numFmtId="169" fontId="20" fillId="0" borderId="0" xfId="3" applyNumberFormat="1" applyFont="1" applyAlignment="1">
      <alignment vertical="center" wrapText="1"/>
    </xf>
    <xf numFmtId="164" fontId="0" fillId="0" borderId="32" xfId="1" applyNumberFormat="1" applyFont="1" applyFill="1" applyBorder="1" applyAlignment="1">
      <alignment vertical="center" wrapText="1"/>
    </xf>
    <xf numFmtId="0" fontId="0" fillId="0" borderId="32" xfId="0" applyBorder="1" applyAlignment="1">
      <alignment horizontal="left" vertical="center" indent="2"/>
    </xf>
    <xf numFmtId="43" fontId="0" fillId="0" borderId="32" xfId="1" applyFont="1" applyFill="1" applyBorder="1" applyAlignment="1">
      <alignment horizontal="right" vertical="center"/>
    </xf>
    <xf numFmtId="1" fontId="0" fillId="0" borderId="32" xfId="0" applyNumberFormat="1" applyBorder="1" applyAlignment="1">
      <alignment horizontal="right" vertical="center"/>
    </xf>
    <xf numFmtId="1" fontId="5" fillId="0" borderId="32" xfId="0" applyNumberFormat="1" applyFont="1" applyBorder="1" applyAlignment="1">
      <alignment horizontal="right" vertical="center"/>
    </xf>
    <xf numFmtId="0" fontId="48" fillId="0" borderId="32" xfId="0" applyFont="1" applyBorder="1" applyAlignment="1">
      <alignment horizontal="right" vertical="center"/>
    </xf>
    <xf numFmtId="164" fontId="48" fillId="0" borderId="32" xfId="1" applyNumberFormat="1" applyFont="1" applyFill="1" applyBorder="1" applyAlignment="1">
      <alignment horizontal="right" vertical="center"/>
    </xf>
    <xf numFmtId="0" fontId="0" fillId="0" borderId="32" xfId="0" applyBorder="1" applyAlignment="1">
      <alignment horizontal="left" indent="2"/>
    </xf>
    <xf numFmtId="9" fontId="5" fillId="7" borderId="32" xfId="2" applyFont="1" applyFill="1" applyBorder="1" applyAlignment="1">
      <alignment horizontal="right" vertical="center"/>
    </xf>
    <xf numFmtId="1" fontId="48" fillId="0" borderId="32" xfId="0" applyNumberFormat="1" applyFont="1" applyBorder="1"/>
    <xf numFmtId="174" fontId="5" fillId="7" borderId="32" xfId="1" applyNumberFormat="1" applyFont="1" applyFill="1" applyBorder="1" applyAlignment="1">
      <alignment vertical="center"/>
    </xf>
    <xf numFmtId="174" fontId="0" fillId="7" borderId="32" xfId="1" applyNumberFormat="1" applyFont="1" applyFill="1" applyBorder="1" applyAlignment="1">
      <alignment vertical="center"/>
    </xf>
    <xf numFmtId="3" fontId="0" fillId="10" borderId="32" xfId="0" applyNumberFormat="1" applyFill="1" applyBorder="1" applyAlignment="1">
      <alignment horizontal="left" vertical="center" wrapText="1"/>
    </xf>
    <xf numFmtId="2" fontId="0" fillId="10" borderId="32" xfId="0" applyNumberFormat="1" applyFill="1" applyBorder="1" applyAlignment="1">
      <alignment vertical="center" wrapText="1"/>
    </xf>
    <xf numFmtId="164" fontId="0" fillId="10" borderId="32" xfId="1" applyNumberFormat="1" applyFont="1" applyFill="1" applyBorder="1" applyAlignment="1">
      <alignment vertical="center" wrapText="1"/>
    </xf>
    <xf numFmtId="164" fontId="0" fillId="10" borderId="32" xfId="0" applyNumberFormat="1" applyFill="1" applyBorder="1" applyAlignment="1">
      <alignment vertical="center" wrapText="1"/>
    </xf>
    <xf numFmtId="9" fontId="48" fillId="0" borderId="32" xfId="2" applyFont="1" applyFill="1" applyBorder="1" applyAlignment="1">
      <alignment vertical="center"/>
    </xf>
    <xf numFmtId="9" fontId="0" fillId="10" borderId="32" xfId="2" applyFont="1" applyFill="1" applyBorder="1" applyAlignment="1">
      <alignment vertical="center" wrapText="1"/>
    </xf>
    <xf numFmtId="165" fontId="0" fillId="10" borderId="32" xfId="2" applyNumberFormat="1" applyFont="1" applyFill="1" applyBorder="1" applyAlignment="1">
      <alignment vertical="center" wrapText="1"/>
    </xf>
    <xf numFmtId="9" fontId="48" fillId="0" borderId="32" xfId="2" applyFont="1" applyBorder="1" applyAlignment="1">
      <alignment vertical="center"/>
    </xf>
    <xf numFmtId="165" fontId="48" fillId="0" borderId="32" xfId="2" applyNumberFormat="1" applyFont="1" applyFill="1" applyBorder="1" applyAlignment="1">
      <alignment vertical="center"/>
    </xf>
    <xf numFmtId="0" fontId="3" fillId="9" borderId="32" xfId="0" applyFont="1" applyFill="1" applyBorder="1" applyAlignment="1">
      <alignment horizontal="right" vertical="center" wrapText="1"/>
    </xf>
    <xf numFmtId="9" fontId="25" fillId="0" borderId="0" xfId="2" applyFont="1" applyAlignment="1">
      <alignment horizontal="right" vertical="center"/>
    </xf>
    <xf numFmtId="10" fontId="2" fillId="0" borderId="32" xfId="2" applyNumberFormat="1" applyFont="1" applyBorder="1" applyAlignment="1">
      <alignment vertical="center"/>
    </xf>
    <xf numFmtId="3" fontId="0" fillId="0" borderId="32" xfId="0" applyNumberFormat="1" applyBorder="1" applyAlignment="1">
      <alignment horizontal="right" vertical="center"/>
    </xf>
    <xf numFmtId="9" fontId="25" fillId="0" borderId="32" xfId="2" applyFont="1" applyBorder="1" applyAlignment="1">
      <alignment horizontal="right" vertical="center"/>
    </xf>
    <xf numFmtId="3" fontId="48" fillId="0" borderId="32" xfId="0" applyNumberFormat="1" applyFont="1" applyBorder="1" applyAlignment="1">
      <alignment horizontal="right" vertical="center"/>
    </xf>
    <xf numFmtId="0" fontId="5" fillId="12" borderId="6" xfId="0" applyFont="1" applyFill="1" applyBorder="1" applyAlignment="1">
      <alignment horizontal="right" vertical="center"/>
    </xf>
    <xf numFmtId="1" fontId="0" fillId="0" borderId="0" xfId="0" applyNumberFormat="1" applyAlignment="1">
      <alignment vertical="center"/>
    </xf>
    <xf numFmtId="0" fontId="0" fillId="0" borderId="0" xfId="0" applyAlignment="1">
      <alignment horizontal="left" indent="2"/>
    </xf>
    <xf numFmtId="9" fontId="0" fillId="0" borderId="0" xfId="2" applyFont="1" applyBorder="1"/>
    <xf numFmtId="9" fontId="25" fillId="0" borderId="32" xfId="2" applyFont="1" applyBorder="1"/>
    <xf numFmtId="10" fontId="0" fillId="10" borderId="3" xfId="2" applyNumberFormat="1" applyFont="1" applyFill="1" applyBorder="1" applyAlignment="1">
      <alignment vertical="center" wrapText="1"/>
    </xf>
    <xf numFmtId="167" fontId="0" fillId="10" borderId="32" xfId="0" applyNumberFormat="1" applyFill="1" applyBorder="1" applyAlignment="1">
      <alignment vertical="center" wrapText="1"/>
    </xf>
    <xf numFmtId="164" fontId="0" fillId="10" borderId="32" xfId="1" applyNumberFormat="1" applyFont="1" applyFill="1" applyBorder="1" applyAlignment="1">
      <alignment horizontal="right" vertical="center" wrapText="1"/>
    </xf>
    <xf numFmtId="0" fontId="5" fillId="0" borderId="32" xfId="0" applyFont="1" applyBorder="1" applyAlignment="1">
      <alignment horizontal="left" vertical="center"/>
    </xf>
    <xf numFmtId="0" fontId="5" fillId="7" borderId="32" xfId="0" applyFont="1" applyFill="1" applyBorder="1" applyAlignment="1">
      <alignment horizontal="left" vertical="center"/>
    </xf>
    <xf numFmtId="2" fontId="0" fillId="0" borderId="0" xfId="0" applyNumberFormat="1" applyAlignment="1">
      <alignment horizontal="right" vertical="center"/>
    </xf>
    <xf numFmtId="0" fontId="5" fillId="0" borderId="0" xfId="3" applyFont="1" applyAlignment="1">
      <alignment vertical="center"/>
    </xf>
    <xf numFmtId="0" fontId="7" fillId="0" borderId="0" xfId="3" applyFont="1" applyAlignment="1">
      <alignment vertical="center"/>
    </xf>
    <xf numFmtId="0" fontId="8" fillId="0" borderId="0" xfId="3" applyFont="1" applyAlignment="1">
      <alignment vertical="center"/>
    </xf>
    <xf numFmtId="0" fontId="8" fillId="0" borderId="2" xfId="3" applyFont="1" applyBorder="1" applyAlignment="1">
      <alignment vertical="center"/>
    </xf>
    <xf numFmtId="0" fontId="8" fillId="0" borderId="3" xfId="3" applyFont="1" applyBorder="1" applyAlignment="1">
      <alignment horizontal="centerContinuous" vertical="center"/>
    </xf>
    <xf numFmtId="0" fontId="8" fillId="0" borderId="4" xfId="3" applyFont="1" applyBorder="1" applyAlignment="1">
      <alignment horizontal="centerContinuous" vertical="center"/>
    </xf>
    <xf numFmtId="0" fontId="8" fillId="0" borderId="5" xfId="3" applyFont="1" applyBorder="1" applyAlignment="1">
      <alignment horizontal="centerContinuous" vertical="center"/>
    </xf>
    <xf numFmtId="0" fontId="2" fillId="0" borderId="0" xfId="3" applyAlignment="1">
      <alignment horizontal="center" vertical="center"/>
    </xf>
    <xf numFmtId="0" fontId="8" fillId="0" borderId="0" xfId="3" applyFont="1" applyAlignment="1">
      <alignment horizontal="center" vertical="center"/>
    </xf>
    <xf numFmtId="9" fontId="2" fillId="0" borderId="0" xfId="4" applyFont="1" applyAlignment="1">
      <alignment vertical="center"/>
    </xf>
    <xf numFmtId="9" fontId="9" fillId="0" borderId="0" xfId="4" applyFont="1" applyBorder="1" applyAlignment="1">
      <alignment vertical="center"/>
    </xf>
    <xf numFmtId="9" fontId="8" fillId="0" borderId="0" xfId="4" applyFont="1" applyBorder="1" applyAlignment="1">
      <alignment vertical="center"/>
    </xf>
    <xf numFmtId="9" fontId="8" fillId="0" borderId="6" xfId="4" applyFont="1" applyBorder="1" applyAlignment="1">
      <alignment horizontal="right" vertical="center"/>
    </xf>
    <xf numFmtId="9" fontId="8" fillId="0" borderId="6" xfId="4" applyFont="1" applyBorder="1" applyAlignment="1">
      <alignment vertical="center"/>
    </xf>
    <xf numFmtId="9" fontId="8" fillId="0" borderId="7" xfId="4" applyFont="1" applyBorder="1" applyAlignment="1">
      <alignment vertical="center"/>
    </xf>
    <xf numFmtId="9" fontId="2" fillId="0" borderId="0" xfId="4" applyFont="1" applyBorder="1" applyAlignment="1">
      <alignment horizontal="center" vertical="center"/>
    </xf>
    <xf numFmtId="9" fontId="2" fillId="0" borderId="0" xfId="4" applyFont="1" applyAlignment="1">
      <alignment horizontal="center" vertical="center"/>
    </xf>
    <xf numFmtId="9" fontId="10" fillId="0" borderId="0" xfId="4" applyFont="1" applyFill="1" applyBorder="1" applyAlignment="1">
      <alignment vertical="center"/>
    </xf>
    <xf numFmtId="9" fontId="8" fillId="0" borderId="0" xfId="4" applyFont="1" applyFill="1" applyBorder="1" applyAlignment="1">
      <alignment vertical="center"/>
    </xf>
    <xf numFmtId="9" fontId="8" fillId="0" borderId="6" xfId="4" applyFont="1" applyFill="1" applyBorder="1" applyAlignment="1">
      <alignment vertical="center"/>
    </xf>
    <xf numFmtId="9" fontId="8" fillId="0" borderId="7" xfId="4" applyFont="1" applyFill="1" applyBorder="1" applyAlignment="1">
      <alignment vertical="center"/>
    </xf>
    <xf numFmtId="9" fontId="10" fillId="0" borderId="0" xfId="4" applyFont="1" applyFill="1" applyBorder="1" applyAlignment="1">
      <alignment horizontal="center" vertical="center"/>
    </xf>
    <xf numFmtId="9" fontId="8" fillId="0" borderId="0" xfId="4" applyFont="1" applyFill="1" applyBorder="1" applyAlignment="1">
      <alignment horizontal="center" vertical="center"/>
    </xf>
    <xf numFmtId="9" fontId="2" fillId="0" borderId="6" xfId="4" applyFont="1" applyBorder="1" applyAlignment="1">
      <alignment vertical="center"/>
    </xf>
    <xf numFmtId="9" fontId="2" fillId="0" borderId="7" xfId="4" applyFont="1" applyBorder="1" applyAlignment="1">
      <alignment vertical="center"/>
    </xf>
    <xf numFmtId="9" fontId="9" fillId="0" borderId="0" xfId="4" applyFont="1" applyBorder="1" applyAlignment="1">
      <alignment horizontal="center" vertical="center"/>
    </xf>
    <xf numFmtId="0" fontId="9" fillId="0" borderId="0" xfId="3" applyFont="1" applyAlignment="1">
      <alignment vertical="center"/>
    </xf>
    <xf numFmtId="0" fontId="5" fillId="0" borderId="9" xfId="3" applyFont="1" applyBorder="1" applyAlignment="1">
      <alignment vertical="center"/>
    </xf>
    <xf numFmtId="164" fontId="5" fillId="0" borderId="8" xfId="3" applyNumberFormat="1" applyFont="1" applyBorder="1" applyAlignment="1">
      <alignment vertical="center"/>
    </xf>
    <xf numFmtId="164" fontId="5" fillId="0" borderId="9" xfId="3" applyNumberFormat="1" applyFont="1" applyBorder="1" applyAlignment="1">
      <alignment vertical="center"/>
    </xf>
    <xf numFmtId="164" fontId="5" fillId="0" borderId="10" xfId="3" applyNumberFormat="1" applyFont="1" applyBorder="1" applyAlignment="1">
      <alignment vertical="center"/>
    </xf>
    <xf numFmtId="0" fontId="9" fillId="0" borderId="0" xfId="3" applyFont="1" applyAlignment="1">
      <alignment horizontal="center" vertical="center"/>
    </xf>
    <xf numFmtId="0" fontId="2" fillId="0" borderId="11" xfId="3" applyBorder="1" applyAlignment="1">
      <alignment horizontal="center" vertical="center"/>
    </xf>
    <xf numFmtId="0" fontId="2" fillId="0" borderId="12" xfId="3" applyBorder="1" applyAlignment="1">
      <alignment vertical="center"/>
    </xf>
    <xf numFmtId="0" fontId="2" fillId="0" borderId="13" xfId="3" applyBorder="1" applyAlignment="1">
      <alignment vertical="center"/>
    </xf>
    <xf numFmtId="0" fontId="2" fillId="0" borderId="14" xfId="3" applyBorder="1" applyAlignment="1">
      <alignment vertical="center"/>
    </xf>
    <xf numFmtId="0" fontId="2" fillId="0" borderId="14" xfId="3" applyBorder="1" applyAlignment="1">
      <alignment horizontal="center" vertical="center"/>
    </xf>
    <xf numFmtId="0" fontId="2" fillId="0" borderId="15" xfId="3" applyBorder="1" applyAlignment="1">
      <alignment vertical="center"/>
    </xf>
    <xf numFmtId="0" fontId="2" fillId="0" borderId="16" xfId="3" applyBorder="1" applyAlignment="1">
      <alignment vertical="center"/>
    </xf>
    <xf numFmtId="0" fontId="6" fillId="2" borderId="14" xfId="3" applyFont="1" applyFill="1" applyBorder="1" applyAlignment="1">
      <alignment vertical="center"/>
    </xf>
    <xf numFmtId="0" fontId="6" fillId="2" borderId="15" xfId="3" applyFont="1" applyFill="1" applyBorder="1" applyAlignment="1">
      <alignment vertical="center"/>
    </xf>
    <xf numFmtId="0" fontId="19" fillId="0" borderId="0" xfId="3" applyFont="1" applyAlignment="1">
      <alignment vertical="center"/>
    </xf>
    <xf numFmtId="0" fontId="19" fillId="0" borderId="0" xfId="3" applyFont="1" applyAlignment="1">
      <alignment horizontal="center" vertical="center"/>
    </xf>
    <xf numFmtId="10" fontId="2" fillId="0" borderId="0" xfId="3" applyNumberFormat="1" applyAlignment="1">
      <alignment vertical="center"/>
    </xf>
    <xf numFmtId="0" fontId="18" fillId="2" borderId="13" xfId="3" applyFont="1" applyFill="1" applyBorder="1" applyAlignment="1">
      <alignment horizontal="left" vertical="center"/>
    </xf>
    <xf numFmtId="0" fontId="18" fillId="2" borderId="14" xfId="3" applyFont="1" applyFill="1" applyBorder="1" applyAlignment="1">
      <alignment horizontal="left" vertical="center"/>
    </xf>
    <xf numFmtId="167" fontId="18" fillId="2" borderId="14" xfId="3" applyNumberFormat="1" applyFont="1" applyFill="1" applyBorder="1" applyAlignment="1">
      <alignment horizontal="center" vertical="center"/>
    </xf>
    <xf numFmtId="167" fontId="18" fillId="2" borderId="15" xfId="3" applyNumberFormat="1" applyFont="1" applyFill="1" applyBorder="1" applyAlignment="1">
      <alignment horizontal="center" vertical="center"/>
    </xf>
    <xf numFmtId="167" fontId="18" fillId="2" borderId="16" xfId="3" applyNumberFormat="1" applyFont="1" applyFill="1" applyBorder="1" applyAlignment="1">
      <alignment horizontal="center" vertical="center"/>
    </xf>
    <xf numFmtId="167" fontId="18" fillId="2" borderId="12" xfId="3" applyNumberFormat="1" applyFont="1" applyFill="1" applyBorder="1" applyAlignment="1">
      <alignment horizontal="center" vertical="center"/>
    </xf>
    <xf numFmtId="0" fontId="18" fillId="0" borderId="0" xfId="3" applyFont="1" applyAlignment="1">
      <alignment horizontal="center" vertical="center"/>
    </xf>
    <xf numFmtId="0" fontId="0" fillId="0" borderId="0" xfId="3" applyFont="1" applyAlignment="1">
      <alignment vertical="center"/>
    </xf>
    <xf numFmtId="169" fontId="21" fillId="0" borderId="16" xfId="3" applyNumberFormat="1" applyFont="1" applyBorder="1" applyAlignment="1">
      <alignment vertical="center"/>
    </xf>
    <xf numFmtId="169" fontId="19" fillId="0" borderId="0" xfId="3" applyNumberFormat="1" applyFont="1" applyAlignment="1">
      <alignment vertical="center"/>
    </xf>
    <xf numFmtId="169" fontId="22" fillId="0" borderId="0" xfId="7" applyNumberFormat="1" applyFont="1" applyBorder="1" applyAlignment="1">
      <alignment vertical="center"/>
    </xf>
    <xf numFmtId="168" fontId="22" fillId="0" borderId="0" xfId="7" applyNumberFormat="1" applyFont="1" applyBorder="1" applyAlignment="1">
      <alignment vertical="center"/>
    </xf>
    <xf numFmtId="168" fontId="22" fillId="0" borderId="12" xfId="7" applyNumberFormat="1" applyFont="1" applyBorder="1" applyAlignment="1">
      <alignment vertical="center"/>
    </xf>
    <xf numFmtId="170" fontId="23" fillId="0" borderId="0" xfId="7" applyNumberFormat="1" applyFont="1" applyFill="1" applyBorder="1" applyAlignment="1">
      <alignment horizontal="center" vertical="center"/>
    </xf>
    <xf numFmtId="169" fontId="18" fillId="2" borderId="13" xfId="3" applyNumberFormat="1" applyFont="1" applyFill="1" applyBorder="1" applyAlignment="1">
      <alignment vertical="center"/>
    </xf>
    <xf numFmtId="169" fontId="19" fillId="2" borderId="14" xfId="3" applyNumberFormat="1" applyFont="1" applyFill="1" applyBorder="1" applyAlignment="1">
      <alignment vertical="center"/>
    </xf>
    <xf numFmtId="169" fontId="22" fillId="2" borderId="14" xfId="7" applyNumberFormat="1" applyFont="1" applyFill="1" applyBorder="1" applyAlignment="1">
      <alignment vertical="center"/>
    </xf>
    <xf numFmtId="0" fontId="2" fillId="2" borderId="14" xfId="3" applyFill="1" applyBorder="1" applyAlignment="1">
      <alignment vertical="center"/>
    </xf>
    <xf numFmtId="0" fontId="19" fillId="2" borderId="15" xfId="3" applyFont="1" applyFill="1" applyBorder="1" applyAlignment="1">
      <alignment vertical="center"/>
    </xf>
    <xf numFmtId="169" fontId="22" fillId="2" borderId="13" xfId="7" applyNumberFormat="1" applyFont="1" applyFill="1" applyBorder="1" applyAlignment="1">
      <alignment vertical="center"/>
    </xf>
    <xf numFmtId="169" fontId="22" fillId="2" borderId="15" xfId="7" applyNumberFormat="1" applyFont="1" applyFill="1" applyBorder="1" applyAlignment="1">
      <alignment vertical="center"/>
    </xf>
    <xf numFmtId="169" fontId="22" fillId="2" borderId="12" xfId="7" applyNumberFormat="1" applyFont="1" applyFill="1" applyBorder="1" applyAlignment="1">
      <alignment vertical="center"/>
    </xf>
    <xf numFmtId="169" fontId="22" fillId="0" borderId="0" xfId="7" applyNumberFormat="1" applyFont="1" applyFill="1" applyBorder="1" applyAlignment="1">
      <alignment vertical="center"/>
    </xf>
    <xf numFmtId="10" fontId="0" fillId="0" borderId="0" xfId="0" applyNumberFormat="1" applyAlignment="1">
      <alignment vertical="center"/>
    </xf>
    <xf numFmtId="169" fontId="20" fillId="7" borderId="16" xfId="3" applyNumberFormat="1" applyFont="1" applyFill="1" applyBorder="1" applyAlignment="1">
      <alignment vertical="center"/>
    </xf>
    <xf numFmtId="169" fontId="19" fillId="7" borderId="0" xfId="3" applyNumberFormat="1" applyFont="1" applyFill="1" applyAlignment="1">
      <alignment vertical="center"/>
    </xf>
    <xf numFmtId="169" fontId="22" fillId="7" borderId="0" xfId="7" applyNumberFormat="1" applyFont="1" applyFill="1" applyBorder="1" applyAlignment="1">
      <alignment vertical="center"/>
    </xf>
    <xf numFmtId="0" fontId="2" fillId="7" borderId="0" xfId="3" applyFill="1" applyAlignment="1">
      <alignment vertical="center"/>
    </xf>
    <xf numFmtId="0" fontId="19" fillId="7" borderId="12" xfId="3" applyFont="1" applyFill="1" applyBorder="1" applyAlignment="1">
      <alignment vertical="center"/>
    </xf>
    <xf numFmtId="164" fontId="22" fillId="0" borderId="16" xfId="1" applyNumberFormat="1" applyFont="1" applyFill="1" applyBorder="1" applyAlignment="1">
      <alignment horizontal="right" vertical="center"/>
    </xf>
    <xf numFmtId="164" fontId="22" fillId="0" borderId="0" xfId="1" applyNumberFormat="1" applyFont="1" applyFill="1" applyBorder="1" applyAlignment="1">
      <alignment horizontal="right" vertical="center"/>
    </xf>
    <xf numFmtId="164" fontId="22" fillId="0" borderId="12" xfId="1" applyNumberFormat="1" applyFont="1" applyFill="1" applyBorder="1" applyAlignment="1">
      <alignment horizontal="right" vertical="center"/>
    </xf>
    <xf numFmtId="164" fontId="23" fillId="0" borderId="0" xfId="1" applyNumberFormat="1" applyFont="1" applyBorder="1" applyAlignment="1">
      <alignment horizontal="right" vertical="center"/>
    </xf>
    <xf numFmtId="164" fontId="22" fillId="0" borderId="13" xfId="1" applyNumberFormat="1" applyFont="1" applyFill="1" applyBorder="1" applyAlignment="1">
      <alignment horizontal="right" vertical="center"/>
    </xf>
    <xf numFmtId="164" fontId="22" fillId="0" borderId="14" xfId="1" applyNumberFormat="1" applyFont="1" applyFill="1" applyBorder="1" applyAlignment="1">
      <alignment horizontal="right" vertical="center"/>
    </xf>
    <xf numFmtId="164" fontId="22" fillId="0" borderId="15" xfId="1" applyNumberFormat="1" applyFont="1" applyFill="1" applyBorder="1" applyAlignment="1">
      <alignment horizontal="right" vertical="center"/>
    </xf>
    <xf numFmtId="170" fontId="23" fillId="0" borderId="12" xfId="7" applyNumberFormat="1" applyFont="1" applyFill="1" applyBorder="1" applyAlignment="1">
      <alignment horizontal="center" vertical="center"/>
    </xf>
    <xf numFmtId="0" fontId="25" fillId="0" borderId="0" xfId="3" applyFont="1" applyAlignment="1">
      <alignment vertical="center"/>
    </xf>
    <xf numFmtId="14" fontId="0" fillId="0" borderId="0" xfId="0" applyNumberFormat="1" applyAlignment="1">
      <alignment vertical="center"/>
    </xf>
    <xf numFmtId="0" fontId="25" fillId="0" borderId="12" xfId="3" applyFont="1" applyBorder="1" applyAlignment="1">
      <alignment vertical="center"/>
    </xf>
    <xf numFmtId="169" fontId="1" fillId="0" borderId="16" xfId="3" applyNumberFormat="1" applyFont="1" applyBorder="1" applyAlignment="1">
      <alignment horizontal="left" vertical="center"/>
    </xf>
    <xf numFmtId="169" fontId="20" fillId="0" borderId="0" xfId="3" applyNumberFormat="1" applyFont="1" applyAlignment="1">
      <alignment horizontal="left" vertical="center"/>
    </xf>
    <xf numFmtId="37" fontId="23" fillId="0" borderId="0" xfId="7" applyNumberFormat="1" applyFont="1" applyBorder="1" applyAlignment="1">
      <alignment horizontal="right" vertical="center"/>
    </xf>
    <xf numFmtId="164" fontId="22" fillId="0" borderId="0" xfId="1" applyNumberFormat="1" applyFont="1" applyBorder="1" applyAlignment="1">
      <alignment horizontal="right" vertical="center"/>
    </xf>
    <xf numFmtId="164" fontId="50" fillId="0" borderId="0" xfId="1" applyNumberFormat="1" applyFont="1" applyBorder="1" applyAlignment="1">
      <alignment horizontal="right" vertical="center"/>
    </xf>
    <xf numFmtId="164" fontId="50" fillId="0" borderId="0" xfId="1" applyNumberFormat="1" applyFont="1" applyFill="1" applyBorder="1" applyAlignment="1">
      <alignment horizontal="right" vertical="center"/>
    </xf>
    <xf numFmtId="164" fontId="50" fillId="0" borderId="12" xfId="1" applyNumberFormat="1" applyFont="1" applyFill="1" applyBorder="1" applyAlignment="1">
      <alignment horizontal="right" vertical="center"/>
    </xf>
    <xf numFmtId="3" fontId="0" fillId="0" borderId="0" xfId="0" applyNumberFormat="1" applyAlignment="1">
      <alignment vertical="center"/>
    </xf>
    <xf numFmtId="169" fontId="19" fillId="0" borderId="16" xfId="3" applyNumberFormat="1" applyFont="1" applyBorder="1" applyAlignment="1">
      <alignment horizontal="left" vertical="center"/>
    </xf>
    <xf numFmtId="169" fontId="20" fillId="0" borderId="16" xfId="3" applyNumberFormat="1" applyFont="1" applyBorder="1" applyAlignment="1">
      <alignment horizontal="left" vertical="center"/>
    </xf>
    <xf numFmtId="169" fontId="20" fillId="6" borderId="30" xfId="3" applyNumberFormat="1" applyFont="1" applyFill="1" applyBorder="1" applyAlignment="1">
      <alignment horizontal="left" vertical="center"/>
    </xf>
    <xf numFmtId="169" fontId="20" fillId="6" borderId="4" xfId="3" applyNumberFormat="1" applyFont="1" applyFill="1" applyBorder="1" applyAlignment="1">
      <alignment horizontal="left" vertical="center"/>
    </xf>
    <xf numFmtId="37" fontId="23" fillId="6" borderId="4" xfId="7" applyNumberFormat="1" applyFont="1" applyFill="1" applyBorder="1" applyAlignment="1">
      <alignment horizontal="right" vertical="center"/>
    </xf>
    <xf numFmtId="164" fontId="23" fillId="6" borderId="4" xfId="1" applyNumberFormat="1" applyFont="1" applyFill="1" applyBorder="1" applyAlignment="1">
      <alignment horizontal="right" vertical="center"/>
    </xf>
    <xf numFmtId="164" fontId="22" fillId="5" borderId="0" xfId="1" applyNumberFormat="1" applyFont="1" applyFill="1" applyBorder="1" applyAlignment="1">
      <alignment horizontal="right" vertical="center"/>
    </xf>
    <xf numFmtId="164" fontId="23" fillId="7" borderId="30" xfId="1" applyNumberFormat="1" applyFont="1" applyFill="1" applyBorder="1" applyAlignment="1">
      <alignment horizontal="right" vertical="center"/>
    </xf>
    <xf numFmtId="164" fontId="23" fillId="7" borderId="4" xfId="1" applyNumberFormat="1" applyFont="1" applyFill="1" applyBorder="1" applyAlignment="1">
      <alignment horizontal="right" vertical="center"/>
    </xf>
    <xf numFmtId="164" fontId="23" fillId="7" borderId="31" xfId="1" applyNumberFormat="1" applyFont="1" applyFill="1" applyBorder="1" applyAlignment="1">
      <alignment horizontal="right" vertical="center"/>
    </xf>
    <xf numFmtId="164" fontId="23" fillId="6" borderId="30" xfId="1" applyNumberFormat="1" applyFont="1" applyFill="1" applyBorder="1" applyAlignment="1">
      <alignment horizontal="right" vertical="center"/>
    </xf>
    <xf numFmtId="164" fontId="23" fillId="6" borderId="31" xfId="1" applyNumberFormat="1" applyFont="1" applyFill="1" applyBorder="1" applyAlignment="1">
      <alignment horizontal="right" vertical="center"/>
    </xf>
    <xf numFmtId="43" fontId="25" fillId="0" borderId="0" xfId="3" applyNumberFormat="1" applyFont="1" applyAlignment="1">
      <alignment vertical="center"/>
    </xf>
    <xf numFmtId="37" fontId="22" fillId="0" borderId="0" xfId="7" applyNumberFormat="1" applyFont="1" applyFill="1" applyBorder="1" applyAlignment="1">
      <alignment horizontal="right" vertical="center"/>
    </xf>
    <xf numFmtId="0" fontId="1" fillId="0" borderId="16" xfId="3" applyFont="1" applyBorder="1" applyAlignment="1">
      <alignment vertical="center"/>
    </xf>
    <xf numFmtId="170" fontId="22" fillId="0" borderId="0" xfId="7" applyNumberFormat="1" applyFont="1" applyFill="1" applyBorder="1" applyAlignment="1">
      <alignment horizontal="center" vertical="center"/>
    </xf>
    <xf numFmtId="171" fontId="22" fillId="5" borderId="0" xfId="7" applyNumberFormat="1" applyFont="1" applyFill="1" applyBorder="1" applyAlignment="1">
      <alignment horizontal="center" vertical="center"/>
    </xf>
    <xf numFmtId="170" fontId="22" fillId="0" borderId="12" xfId="7" applyNumberFormat="1" applyFont="1" applyFill="1" applyBorder="1" applyAlignment="1">
      <alignment horizontal="center" vertical="center"/>
    </xf>
    <xf numFmtId="0" fontId="20" fillId="0" borderId="16" xfId="3" applyFont="1" applyBorder="1" applyAlignment="1">
      <alignment vertical="center"/>
    </xf>
    <xf numFmtId="37" fontId="22" fillId="0" borderId="0" xfId="7" applyNumberFormat="1" applyFont="1" applyBorder="1" applyAlignment="1">
      <alignment horizontal="right" vertical="center"/>
    </xf>
    <xf numFmtId="0" fontId="19" fillId="0" borderId="16" xfId="3" applyFont="1" applyBorder="1" applyAlignment="1">
      <alignment vertical="center"/>
    </xf>
    <xf numFmtId="10" fontId="6" fillId="0" borderId="0" xfId="2" applyNumberFormat="1" applyFont="1" applyBorder="1" applyAlignment="1">
      <alignment horizontal="center" vertical="center"/>
    </xf>
    <xf numFmtId="171" fontId="23" fillId="5" borderId="0" xfId="7" applyNumberFormat="1" applyFont="1" applyFill="1" applyBorder="1" applyAlignment="1">
      <alignment horizontal="center" vertical="center"/>
    </xf>
    <xf numFmtId="3" fontId="5" fillId="0" borderId="0" xfId="0" applyNumberFormat="1" applyFont="1" applyAlignment="1">
      <alignment vertical="center"/>
    </xf>
    <xf numFmtId="0" fontId="1" fillId="0" borderId="16" xfId="3" applyFont="1" applyBorder="1" applyAlignment="1">
      <alignment horizontal="left" vertical="center"/>
    </xf>
    <xf numFmtId="164" fontId="50" fillId="5" borderId="0" xfId="1" applyNumberFormat="1" applyFont="1" applyFill="1" applyBorder="1" applyAlignment="1">
      <alignment horizontal="right" vertical="center"/>
    </xf>
    <xf numFmtId="0" fontId="19" fillId="0" borderId="16" xfId="3" applyFont="1" applyBorder="1" applyAlignment="1">
      <alignment horizontal="left" vertical="center"/>
    </xf>
    <xf numFmtId="0" fontId="20" fillId="7" borderId="30" xfId="3" applyFont="1" applyFill="1" applyBorder="1" applyAlignment="1">
      <alignment horizontal="left" vertical="center"/>
    </xf>
    <xf numFmtId="0" fontId="2" fillId="7" borderId="4" xfId="3" applyFill="1" applyBorder="1" applyAlignment="1">
      <alignment vertical="center"/>
    </xf>
    <xf numFmtId="37" fontId="22" fillId="7" borderId="4" xfId="7" applyNumberFormat="1" applyFont="1" applyFill="1" applyBorder="1" applyAlignment="1">
      <alignment horizontal="right" vertical="center"/>
    </xf>
    <xf numFmtId="164" fontId="22" fillId="7" borderId="4" xfId="1" applyNumberFormat="1" applyFont="1" applyFill="1" applyBorder="1" applyAlignment="1">
      <alignment horizontal="right" vertical="center"/>
    </xf>
    <xf numFmtId="0" fontId="20" fillId="0" borderId="16" xfId="3" applyFont="1" applyBorder="1" applyAlignment="1">
      <alignment horizontal="left" vertical="center"/>
    </xf>
    <xf numFmtId="164" fontId="22" fillId="5" borderId="12" xfId="1" applyNumberFormat="1" applyFont="1" applyFill="1" applyBorder="1" applyAlignment="1">
      <alignment horizontal="right" vertical="center"/>
    </xf>
    <xf numFmtId="164" fontId="50" fillId="5" borderId="12" xfId="1" applyNumberFormat="1" applyFont="1" applyFill="1" applyBorder="1" applyAlignment="1">
      <alignment horizontal="right" vertical="center"/>
    </xf>
    <xf numFmtId="0" fontId="20" fillId="0" borderId="30" xfId="3" applyFont="1" applyBorder="1" applyAlignment="1">
      <alignment vertical="center"/>
    </xf>
    <xf numFmtId="0" fontId="2" fillId="0" borderId="4" xfId="3" applyBorder="1" applyAlignment="1">
      <alignment vertical="center"/>
    </xf>
    <xf numFmtId="37" fontId="22" fillId="0" borderId="4" xfId="7" applyNumberFormat="1" applyFont="1" applyBorder="1" applyAlignment="1">
      <alignment horizontal="right" vertical="center"/>
    </xf>
    <xf numFmtId="164" fontId="22" fillId="0" borderId="4" xfId="1" applyNumberFormat="1" applyFont="1" applyBorder="1" applyAlignment="1">
      <alignment horizontal="right" vertical="center"/>
    </xf>
    <xf numFmtId="164" fontId="23" fillId="0" borderId="4" xfId="1" applyNumberFormat="1" applyFont="1" applyBorder="1" applyAlignment="1">
      <alignment horizontal="right" vertical="center"/>
    </xf>
    <xf numFmtId="164" fontId="23" fillId="0" borderId="31" xfId="1" applyNumberFormat="1" applyFont="1" applyBorder="1" applyAlignment="1">
      <alignment horizontal="right" vertical="center"/>
    </xf>
    <xf numFmtId="164" fontId="23" fillId="0" borderId="30" xfId="1" applyNumberFormat="1" applyFont="1" applyFill="1" applyBorder="1" applyAlignment="1">
      <alignment horizontal="right" vertical="center"/>
    </xf>
    <xf numFmtId="164" fontId="23" fillId="0" borderId="4" xfId="1" applyNumberFormat="1" applyFont="1" applyFill="1" applyBorder="1" applyAlignment="1">
      <alignment horizontal="right" vertical="center"/>
    </xf>
    <xf numFmtId="164" fontId="23" fillId="0" borderId="31" xfId="1" applyNumberFormat="1" applyFont="1" applyFill="1" applyBorder="1" applyAlignment="1">
      <alignment horizontal="right" vertical="center"/>
    </xf>
    <xf numFmtId="37" fontId="28" fillId="0" borderId="0" xfId="7" applyNumberFormat="1" applyFont="1" applyFill="1" applyBorder="1" applyAlignment="1">
      <alignment horizontal="right" vertical="center"/>
    </xf>
    <xf numFmtId="37" fontId="50" fillId="0" borderId="0" xfId="7" applyNumberFormat="1" applyFont="1" applyFill="1" applyBorder="1" applyAlignment="1">
      <alignment horizontal="right" vertical="center"/>
    </xf>
    <xf numFmtId="37" fontId="50" fillId="0" borderId="12" xfId="7" applyNumberFormat="1" applyFont="1" applyFill="1" applyBorder="1" applyAlignment="1">
      <alignment horizontal="right" vertical="center"/>
    </xf>
    <xf numFmtId="37" fontId="27" fillId="0" borderId="0" xfId="7" applyNumberFormat="1" applyFont="1" applyFill="1" applyBorder="1" applyAlignment="1">
      <alignment horizontal="right" vertical="center"/>
    </xf>
    <xf numFmtId="37" fontId="27" fillId="0" borderId="12" xfId="7" applyNumberFormat="1" applyFont="1" applyFill="1" applyBorder="1" applyAlignment="1">
      <alignment horizontal="right" vertical="center"/>
    </xf>
    <xf numFmtId="37" fontId="22" fillId="0" borderId="12" xfId="7" applyNumberFormat="1" applyFont="1" applyFill="1" applyBorder="1" applyAlignment="1">
      <alignment horizontal="right" vertical="center"/>
    </xf>
    <xf numFmtId="169" fontId="22" fillId="0" borderId="0" xfId="7" applyNumberFormat="1" applyFont="1" applyFill="1" applyBorder="1" applyAlignment="1">
      <alignment horizontal="right" vertical="center"/>
    </xf>
    <xf numFmtId="37" fontId="22" fillId="0" borderId="16" xfId="7" applyNumberFormat="1" applyFont="1" applyFill="1" applyBorder="1" applyAlignment="1">
      <alignment horizontal="right" vertical="center"/>
    </xf>
    <xf numFmtId="0" fontId="26" fillId="0" borderId="0" xfId="3" applyFont="1" applyAlignment="1">
      <alignment vertical="center"/>
    </xf>
    <xf numFmtId="10" fontId="27" fillId="0" borderId="0" xfId="2" applyNumberFormat="1" applyFont="1" applyBorder="1" applyAlignment="1">
      <alignment horizontal="center" vertical="center"/>
    </xf>
    <xf numFmtId="37" fontId="23" fillId="6" borderId="16" xfId="7" applyNumberFormat="1" applyFont="1" applyFill="1" applyBorder="1" applyAlignment="1">
      <alignment horizontal="right" vertical="center"/>
    </xf>
    <xf numFmtId="37" fontId="23" fillId="6" borderId="0" xfId="7" applyNumberFormat="1" applyFont="1" applyFill="1" applyBorder="1" applyAlignment="1">
      <alignment horizontal="right" vertical="center"/>
    </xf>
    <xf numFmtId="37" fontId="23" fillId="6" borderId="12" xfId="7" applyNumberFormat="1" applyFont="1" applyFill="1" applyBorder="1" applyAlignment="1">
      <alignment horizontal="right" vertical="center"/>
    </xf>
    <xf numFmtId="169" fontId="22" fillId="0" borderId="0" xfId="7" applyNumberFormat="1" applyFont="1" applyBorder="1" applyAlignment="1">
      <alignment horizontal="right" vertical="center"/>
    </xf>
    <xf numFmtId="37" fontId="22" fillId="0" borderId="12" xfId="7" applyNumberFormat="1" applyFont="1" applyBorder="1" applyAlignment="1">
      <alignment horizontal="right" vertical="center"/>
    </xf>
    <xf numFmtId="10" fontId="18" fillId="0" borderId="0" xfId="2" applyNumberFormat="1" applyFont="1" applyBorder="1" applyAlignment="1">
      <alignment horizontal="center" vertical="center"/>
    </xf>
    <xf numFmtId="37" fontId="28" fillId="0" borderId="12" xfId="7" applyNumberFormat="1" applyFont="1" applyFill="1" applyBorder="1" applyAlignment="1">
      <alignment horizontal="right" vertical="center"/>
    </xf>
    <xf numFmtId="169" fontId="20" fillId="0" borderId="30" xfId="3" applyNumberFormat="1" applyFont="1" applyBorder="1" applyAlignment="1">
      <alignment horizontal="left" vertical="center"/>
    </xf>
    <xf numFmtId="169" fontId="20" fillId="0" borderId="4" xfId="3" applyNumberFormat="1" applyFont="1" applyBorder="1" applyAlignment="1">
      <alignment horizontal="left" vertical="center"/>
    </xf>
    <xf numFmtId="37" fontId="23" fillId="0" borderId="4" xfId="7" applyNumberFormat="1" applyFont="1" applyFill="1" applyBorder="1" applyAlignment="1">
      <alignment horizontal="right" vertical="center"/>
    </xf>
    <xf numFmtId="37" fontId="51" fillId="0" borderId="4" xfId="7" applyNumberFormat="1" applyFont="1" applyFill="1" applyBorder="1" applyAlignment="1">
      <alignment horizontal="right" vertical="center"/>
    </xf>
    <xf numFmtId="37" fontId="51" fillId="0" borderId="31" xfId="7" applyNumberFormat="1" applyFont="1" applyFill="1" applyBorder="1" applyAlignment="1">
      <alignment horizontal="right" vertical="center"/>
    </xf>
    <xf numFmtId="169" fontId="20" fillId="0" borderId="20" xfId="3" applyNumberFormat="1" applyFont="1" applyBorder="1" applyAlignment="1">
      <alignment horizontal="left" vertical="center"/>
    </xf>
    <xf numFmtId="169" fontId="20" fillId="0" borderId="11" xfId="3" applyNumberFormat="1" applyFont="1" applyBorder="1" applyAlignment="1">
      <alignment horizontal="left" vertical="center"/>
    </xf>
    <xf numFmtId="37" fontId="23" fillId="0" borderId="11" xfId="7" applyNumberFormat="1" applyFont="1" applyBorder="1" applyAlignment="1">
      <alignment horizontal="right" vertical="center"/>
    </xf>
    <xf numFmtId="165" fontId="23" fillId="0" borderId="11" xfId="4" applyNumberFormat="1" applyFont="1" applyBorder="1" applyAlignment="1">
      <alignment horizontal="right" vertical="center"/>
    </xf>
    <xf numFmtId="165" fontId="23" fillId="0" borderId="21" xfId="4" applyNumberFormat="1" applyFont="1" applyBorder="1" applyAlignment="1">
      <alignment horizontal="right" vertical="center"/>
    </xf>
    <xf numFmtId="43" fontId="23" fillId="0" borderId="20" xfId="6" applyFont="1" applyBorder="1" applyAlignment="1">
      <alignment horizontal="right" vertical="center"/>
    </xf>
    <xf numFmtId="165" fontId="23" fillId="0" borderId="12" xfId="4" applyNumberFormat="1" applyFont="1" applyBorder="1" applyAlignment="1">
      <alignment horizontal="right" vertical="center"/>
    </xf>
    <xf numFmtId="37" fontId="23" fillId="0" borderId="20" xfId="7" applyNumberFormat="1" applyFont="1" applyBorder="1" applyAlignment="1">
      <alignment horizontal="right" vertical="center"/>
    </xf>
    <xf numFmtId="37" fontId="23" fillId="0" borderId="21" xfId="7" applyNumberFormat="1" applyFont="1" applyBorder="1" applyAlignment="1">
      <alignment horizontal="right" vertical="center"/>
    </xf>
    <xf numFmtId="37" fontId="19" fillId="0" borderId="16" xfId="3" applyNumberFormat="1" applyFont="1" applyBorder="1" applyAlignment="1">
      <alignment vertical="center"/>
    </xf>
    <xf numFmtId="169" fontId="19" fillId="0" borderId="16" xfId="3" applyNumberFormat="1" applyFont="1" applyBorder="1" applyAlignment="1">
      <alignment vertical="center"/>
    </xf>
    <xf numFmtId="37" fontId="22" fillId="0" borderId="13" xfId="7" applyNumberFormat="1" applyFont="1" applyBorder="1" applyAlignment="1">
      <alignment horizontal="right" vertical="center"/>
    </xf>
    <xf numFmtId="37" fontId="22" fillId="0" borderId="14" xfId="7" applyNumberFormat="1" applyFont="1" applyBorder="1" applyAlignment="1">
      <alignment horizontal="right" vertical="center"/>
    </xf>
    <xf numFmtId="37" fontId="22" fillId="0" borderId="15" xfId="7" applyNumberFormat="1" applyFont="1" applyBorder="1" applyAlignment="1">
      <alignment horizontal="right" vertical="center"/>
    </xf>
    <xf numFmtId="37" fontId="23" fillId="0" borderId="12" xfId="7" applyNumberFormat="1" applyFont="1" applyBorder="1" applyAlignment="1">
      <alignment horizontal="right" vertical="center"/>
    </xf>
    <xf numFmtId="0" fontId="2" fillId="0" borderId="20" xfId="3" applyBorder="1" applyAlignment="1">
      <alignment vertical="center"/>
    </xf>
    <xf numFmtId="10" fontId="6" fillId="0" borderId="11" xfId="2" applyNumberFormat="1" applyFont="1" applyBorder="1" applyAlignment="1">
      <alignment horizontal="center" vertical="center"/>
    </xf>
    <xf numFmtId="0" fontId="10" fillId="0" borderId="11" xfId="3" applyFont="1" applyBorder="1" applyAlignment="1">
      <alignment horizontal="center" vertical="center"/>
    </xf>
    <xf numFmtId="0" fontId="10" fillId="0" borderId="0" xfId="3" applyFont="1" applyAlignment="1">
      <alignment horizontal="center" vertical="center"/>
    </xf>
    <xf numFmtId="169" fontId="19" fillId="0" borderId="25" xfId="3" applyNumberFormat="1" applyFont="1" applyBorder="1" applyAlignment="1">
      <alignment vertical="center"/>
    </xf>
    <xf numFmtId="169" fontId="19" fillId="0" borderId="9" xfId="3" applyNumberFormat="1" applyFont="1" applyBorder="1" applyAlignment="1">
      <alignment vertical="center"/>
    </xf>
    <xf numFmtId="37" fontId="22" fillId="0" borderId="9" xfId="7" applyNumberFormat="1" applyFont="1" applyBorder="1" applyAlignment="1">
      <alignment horizontal="right" vertical="center"/>
    </xf>
    <xf numFmtId="37" fontId="22" fillId="0" borderId="9" xfId="7" applyNumberFormat="1" applyFont="1" applyFill="1" applyBorder="1" applyAlignment="1">
      <alignment horizontal="right" vertical="center"/>
    </xf>
    <xf numFmtId="37" fontId="50" fillId="0" borderId="9" xfId="7" applyNumberFormat="1" applyFont="1" applyFill="1" applyBorder="1" applyAlignment="1">
      <alignment horizontal="right" vertical="center"/>
    </xf>
    <xf numFmtId="37" fontId="50" fillId="0" borderId="26" xfId="7" applyNumberFormat="1" applyFont="1" applyFill="1" applyBorder="1" applyAlignment="1">
      <alignment horizontal="right" vertical="center"/>
    </xf>
    <xf numFmtId="0" fontId="2" fillId="0" borderId="19" xfId="3" applyBorder="1" applyAlignment="1">
      <alignment vertical="center"/>
    </xf>
    <xf numFmtId="169" fontId="20" fillId="0" borderId="16" xfId="3" applyNumberFormat="1" applyFont="1" applyBorder="1" applyAlignment="1">
      <alignment vertical="center"/>
    </xf>
    <xf numFmtId="37" fontId="23" fillId="0" borderId="0" xfId="7" applyNumberFormat="1" applyFont="1" applyFill="1" applyBorder="1" applyAlignment="1">
      <alignment horizontal="right" vertical="center"/>
    </xf>
    <xf numFmtId="37" fontId="23" fillId="0" borderId="27" xfId="7" applyNumberFormat="1" applyFont="1" applyFill="1" applyBorder="1" applyAlignment="1">
      <alignment horizontal="right" vertical="center"/>
    </xf>
    <xf numFmtId="37" fontId="23" fillId="0" borderId="28" xfId="7" applyNumberFormat="1" applyFont="1" applyFill="1" applyBorder="1" applyAlignment="1">
      <alignment horizontal="right" vertical="center"/>
    </xf>
    <xf numFmtId="37" fontId="23" fillId="0" borderId="2" xfId="7" applyNumberFormat="1" applyFont="1" applyFill="1" applyBorder="1" applyAlignment="1">
      <alignment horizontal="right" vertical="center"/>
    </xf>
    <xf numFmtId="37" fontId="22" fillId="0" borderId="26" xfId="7" applyNumberFormat="1" applyFont="1" applyFill="1" applyBorder="1" applyAlignment="1">
      <alignment horizontal="right" vertical="center"/>
    </xf>
    <xf numFmtId="37" fontId="2" fillId="0" borderId="0" xfId="3" applyNumberFormat="1" applyAlignment="1">
      <alignment horizontal="center" vertical="center"/>
    </xf>
    <xf numFmtId="170" fontId="23" fillId="5" borderId="0" xfId="7" applyNumberFormat="1" applyFont="1" applyFill="1" applyBorder="1" applyAlignment="1">
      <alignment horizontal="center" vertical="center"/>
    </xf>
    <xf numFmtId="170" fontId="2" fillId="0" borderId="26" xfId="3" applyNumberFormat="1" applyBorder="1" applyAlignment="1">
      <alignment vertical="center"/>
    </xf>
    <xf numFmtId="37" fontId="50" fillId="0" borderId="0" xfId="7" applyNumberFormat="1" applyFont="1" applyBorder="1" applyAlignment="1">
      <alignment horizontal="right" vertical="center"/>
    </xf>
    <xf numFmtId="37" fontId="23" fillId="0" borderId="12" xfId="7" applyNumberFormat="1" applyFont="1" applyFill="1" applyBorder="1" applyAlignment="1">
      <alignment horizontal="right" vertical="center"/>
    </xf>
    <xf numFmtId="0" fontId="2" fillId="0" borderId="28" xfId="3" applyBorder="1" applyAlignment="1">
      <alignment vertical="center"/>
    </xf>
    <xf numFmtId="0" fontId="2" fillId="0" borderId="2" xfId="3" applyBorder="1" applyAlignment="1">
      <alignment horizontal="center" vertical="center"/>
    </xf>
    <xf numFmtId="0" fontId="2" fillId="0" borderId="2" xfId="3" applyBorder="1" applyAlignment="1">
      <alignment vertical="center"/>
    </xf>
    <xf numFmtId="37" fontId="2" fillId="0" borderId="2" xfId="3" applyNumberFormat="1" applyBorder="1" applyAlignment="1">
      <alignment horizontal="center" vertical="center"/>
    </xf>
    <xf numFmtId="170" fontId="23" fillId="5" borderId="2" xfId="7" applyNumberFormat="1" applyFont="1" applyFill="1" applyBorder="1" applyAlignment="1">
      <alignment horizontal="center" vertical="center"/>
    </xf>
    <xf numFmtId="170" fontId="23" fillId="5" borderId="12" xfId="7" applyNumberFormat="1" applyFont="1" applyFill="1" applyBorder="1" applyAlignment="1">
      <alignment horizontal="center" vertical="center"/>
    </xf>
    <xf numFmtId="169" fontId="20" fillId="0" borderId="9" xfId="3" applyNumberFormat="1" applyFont="1" applyBorder="1" applyAlignment="1">
      <alignment vertical="center"/>
    </xf>
    <xf numFmtId="170" fontId="2" fillId="0" borderId="12" xfId="3" applyNumberFormat="1" applyBorder="1" applyAlignment="1">
      <alignment vertical="center"/>
    </xf>
    <xf numFmtId="169" fontId="1" fillId="0" borderId="25" xfId="3" applyNumberFormat="1" applyFont="1" applyBorder="1" applyAlignment="1">
      <alignment vertical="center"/>
    </xf>
    <xf numFmtId="37" fontId="50" fillId="0" borderId="26" xfId="7" applyNumberFormat="1" applyFont="1" applyBorder="1" applyAlignment="1">
      <alignment horizontal="right" vertical="center"/>
    </xf>
    <xf numFmtId="169" fontId="22" fillId="0" borderId="9" xfId="7" applyNumberFormat="1" applyFont="1" applyFill="1" applyBorder="1" applyAlignment="1">
      <alignment horizontal="right" vertical="center"/>
    </xf>
    <xf numFmtId="169" fontId="32" fillId="0" borderId="16" xfId="3" applyNumberFormat="1" applyFont="1" applyBorder="1" applyAlignment="1">
      <alignment horizontal="left" vertical="center"/>
    </xf>
    <xf numFmtId="37" fontId="33" fillId="0" borderId="0" xfId="7" applyNumberFormat="1" applyFont="1" applyFill="1" applyBorder="1" applyAlignment="1">
      <alignment horizontal="right" vertical="center"/>
    </xf>
    <xf numFmtId="37" fontId="52" fillId="0" borderId="4" xfId="7" applyNumberFormat="1" applyFont="1" applyFill="1" applyBorder="1" applyAlignment="1">
      <alignment horizontal="right" vertical="center"/>
    </xf>
    <xf numFmtId="37" fontId="52" fillId="0" borderId="12" xfId="7" applyNumberFormat="1" applyFont="1" applyFill="1" applyBorder="1" applyAlignment="1">
      <alignment horizontal="right" vertical="center"/>
    </xf>
    <xf numFmtId="37" fontId="33" fillId="0" borderId="28" xfId="7" applyNumberFormat="1" applyFont="1" applyFill="1" applyBorder="1" applyAlignment="1">
      <alignment horizontal="right" vertical="center"/>
    </xf>
    <xf numFmtId="37" fontId="33" fillId="0" borderId="27" xfId="7" applyNumberFormat="1" applyFont="1" applyFill="1" applyBorder="1" applyAlignment="1">
      <alignment horizontal="right" vertical="center"/>
    </xf>
    <xf numFmtId="169" fontId="23" fillId="0" borderId="0" xfId="7" applyNumberFormat="1" applyFont="1" applyFill="1" applyBorder="1" applyAlignment="1">
      <alignment horizontal="right" vertical="center"/>
    </xf>
    <xf numFmtId="169" fontId="20" fillId="0" borderId="28" xfId="3" applyNumberFormat="1" applyFont="1" applyBorder="1" applyAlignment="1">
      <alignment vertical="center"/>
    </xf>
    <xf numFmtId="169" fontId="20" fillId="0" borderId="2" xfId="3" applyNumberFormat="1" applyFont="1" applyBorder="1" applyAlignment="1">
      <alignment vertical="center"/>
    </xf>
    <xf numFmtId="37" fontId="23" fillId="0" borderId="2" xfId="7" applyNumberFormat="1" applyFont="1" applyBorder="1" applyAlignment="1">
      <alignment horizontal="right" vertical="center"/>
    </xf>
    <xf numFmtId="37" fontId="23" fillId="0" borderId="27" xfId="7" applyNumberFormat="1" applyFont="1" applyBorder="1" applyAlignment="1">
      <alignment horizontal="right" vertical="center"/>
    </xf>
    <xf numFmtId="170" fontId="23" fillId="5" borderId="21" xfId="7" applyNumberFormat="1" applyFont="1" applyFill="1" applyBorder="1" applyAlignment="1">
      <alignment horizontal="center" vertical="center"/>
    </xf>
    <xf numFmtId="37" fontId="50" fillId="0" borderId="12" xfId="7" applyNumberFormat="1" applyFont="1" applyBorder="1" applyAlignment="1">
      <alignment horizontal="right" vertical="center"/>
    </xf>
    <xf numFmtId="0" fontId="2" fillId="0" borderId="17" xfId="3" applyBorder="1" applyAlignment="1">
      <alignment vertical="center"/>
    </xf>
    <xf numFmtId="0" fontId="2" fillId="0" borderId="18" xfId="3" applyBorder="1" applyAlignment="1">
      <alignment horizontal="center" vertical="center"/>
    </xf>
    <xf numFmtId="0" fontId="2" fillId="0" borderId="18" xfId="3" applyBorder="1" applyAlignment="1">
      <alignment vertical="center"/>
    </xf>
    <xf numFmtId="170" fontId="23" fillId="5" borderId="29" xfId="7" applyNumberFormat="1" applyFont="1" applyFill="1" applyBorder="1" applyAlignment="1">
      <alignment horizontal="center" vertical="center"/>
    </xf>
    <xf numFmtId="0" fontId="2" fillId="0" borderId="0" xfId="3" quotePrefix="1" applyAlignment="1">
      <alignment vertical="center"/>
    </xf>
    <xf numFmtId="37" fontId="2" fillId="0" borderId="0" xfId="3" applyNumberFormat="1" applyAlignment="1">
      <alignment vertical="center"/>
    </xf>
    <xf numFmtId="168" fontId="18" fillId="0" borderId="0" xfId="3" applyNumberFormat="1" applyFont="1" applyAlignment="1">
      <alignment horizontal="right" vertical="center"/>
    </xf>
    <xf numFmtId="164" fontId="22" fillId="0" borderId="0" xfId="8" applyNumberFormat="1" applyFont="1" applyFill="1" applyBorder="1" applyAlignment="1">
      <alignment vertical="center"/>
    </xf>
    <xf numFmtId="164" fontId="28" fillId="0" borderId="0" xfId="8" applyNumberFormat="1" applyFont="1" applyFill="1" applyBorder="1" applyAlignment="1">
      <alignment horizontal="center" vertical="center"/>
    </xf>
    <xf numFmtId="164" fontId="28" fillId="0" borderId="0" xfId="8" applyNumberFormat="1" applyFont="1" applyFill="1" applyBorder="1" applyAlignment="1">
      <alignment vertical="center"/>
    </xf>
    <xf numFmtId="164" fontId="22" fillId="0" borderId="0" xfId="8" applyNumberFormat="1" applyFont="1" applyFill="1" applyBorder="1" applyAlignment="1">
      <alignment horizontal="center" vertical="center"/>
    </xf>
    <xf numFmtId="37" fontId="1" fillId="0" borderId="9" xfId="7" applyNumberFormat="1" applyFont="1" applyFill="1" applyBorder="1" applyAlignment="1">
      <alignment horizontal="right" vertical="center"/>
    </xf>
    <xf numFmtId="37" fontId="1" fillId="0" borderId="26" xfId="7" applyNumberFormat="1" applyFont="1" applyFill="1" applyBorder="1" applyAlignment="1">
      <alignment horizontal="right" vertical="center"/>
    </xf>
    <xf numFmtId="37" fontId="51" fillId="0" borderId="0" xfId="7" applyNumberFormat="1" applyFont="1" applyFill="1" applyBorder="1" applyAlignment="1">
      <alignment horizontal="right" vertical="center"/>
    </xf>
    <xf numFmtId="37" fontId="51" fillId="0" borderId="12" xfId="7" applyNumberFormat="1" applyFont="1" applyFill="1" applyBorder="1" applyAlignment="1">
      <alignment horizontal="right" vertical="center"/>
    </xf>
    <xf numFmtId="37" fontId="23" fillId="0" borderId="30" xfId="7" applyNumberFormat="1" applyFont="1" applyFill="1" applyBorder="1" applyAlignment="1">
      <alignment horizontal="right" vertical="center"/>
    </xf>
    <xf numFmtId="37" fontId="23" fillId="0" borderId="31" xfId="7" applyNumberFormat="1" applyFont="1" applyFill="1" applyBorder="1" applyAlignment="1">
      <alignment horizontal="right" vertical="center"/>
    </xf>
    <xf numFmtId="169" fontId="19" fillId="0" borderId="20" xfId="3" applyNumberFormat="1" applyFont="1" applyBorder="1" applyAlignment="1">
      <alignment vertical="center"/>
    </xf>
    <xf numFmtId="169" fontId="19" fillId="0" borderId="11" xfId="3" applyNumberFormat="1" applyFont="1" applyBorder="1" applyAlignment="1">
      <alignment vertical="center"/>
    </xf>
    <xf numFmtId="37" fontId="22" fillId="0" borderId="11" xfId="7" applyNumberFormat="1" applyFont="1" applyBorder="1" applyAlignment="1">
      <alignment horizontal="right" vertical="center"/>
    </xf>
    <xf numFmtId="37" fontId="22" fillId="0" borderId="21" xfId="7" applyNumberFormat="1" applyFont="1" applyBorder="1" applyAlignment="1">
      <alignment horizontal="right" vertical="center"/>
    </xf>
    <xf numFmtId="37" fontId="23" fillId="0" borderId="20" xfId="7" applyNumberFormat="1" applyFont="1" applyFill="1" applyBorder="1" applyAlignment="1">
      <alignment horizontal="right" vertical="center"/>
    </xf>
    <xf numFmtId="37" fontId="23" fillId="0" borderId="37" xfId="7" applyNumberFormat="1" applyFont="1" applyFill="1" applyBorder="1" applyAlignment="1">
      <alignment horizontal="right" vertical="center"/>
    </xf>
    <xf numFmtId="37" fontId="23" fillId="0" borderId="21" xfId="7" applyNumberFormat="1" applyFont="1" applyFill="1" applyBorder="1" applyAlignment="1">
      <alignment horizontal="right" vertical="center"/>
    </xf>
    <xf numFmtId="164" fontId="23" fillId="0" borderId="0" xfId="8" applyNumberFormat="1" applyFont="1" applyFill="1" applyBorder="1" applyAlignment="1">
      <alignment horizontal="center" vertical="center"/>
    </xf>
    <xf numFmtId="164" fontId="23" fillId="0" borderId="0" xfId="8" applyNumberFormat="1" applyFont="1" applyFill="1" applyBorder="1" applyAlignment="1">
      <alignment vertical="center"/>
    </xf>
    <xf numFmtId="37" fontId="1" fillId="0" borderId="13" xfId="7" applyNumberFormat="1" applyFont="1" applyFill="1" applyBorder="1" applyAlignment="1">
      <alignment horizontal="right" vertical="center"/>
    </xf>
    <xf numFmtId="37" fontId="1" fillId="0" borderId="14" xfId="7" applyNumberFormat="1" applyFont="1" applyFill="1" applyBorder="1" applyAlignment="1">
      <alignment horizontal="right" vertical="center"/>
    </xf>
    <xf numFmtId="37" fontId="1" fillId="0" borderId="15" xfId="7" applyNumberFormat="1" applyFont="1" applyFill="1" applyBorder="1" applyAlignment="1">
      <alignment horizontal="right" vertical="center"/>
    </xf>
    <xf numFmtId="169" fontId="27" fillId="0" borderId="0" xfId="7" applyNumberFormat="1" applyFont="1" applyFill="1" applyBorder="1" applyAlignment="1">
      <alignment horizontal="right" vertical="center"/>
    </xf>
    <xf numFmtId="37" fontId="1" fillId="0" borderId="16" xfId="7" applyNumberFormat="1" applyFont="1" applyFill="1" applyBorder="1" applyAlignment="1">
      <alignment horizontal="right" vertical="center"/>
    </xf>
    <xf numFmtId="0" fontId="20" fillId="0" borderId="20" xfId="3" applyFont="1" applyBorder="1" applyAlignment="1">
      <alignment vertical="center"/>
    </xf>
    <xf numFmtId="37" fontId="1" fillId="0" borderId="0" xfId="7" applyNumberFormat="1" applyFont="1" applyFill="1" applyBorder="1" applyAlignment="1">
      <alignment horizontal="right" vertical="center"/>
    </xf>
    <xf numFmtId="37" fontId="1" fillId="0" borderId="12" xfId="7" applyNumberFormat="1" applyFont="1" applyFill="1" applyBorder="1" applyAlignment="1">
      <alignment horizontal="right" vertical="center"/>
    </xf>
    <xf numFmtId="0" fontId="18" fillId="0" borderId="0" xfId="3" applyFont="1" applyAlignment="1">
      <alignment horizontal="left" vertical="center"/>
    </xf>
    <xf numFmtId="0" fontId="18" fillId="0" borderId="0" xfId="3" applyFont="1" applyAlignment="1">
      <alignment horizontal="right" vertical="center"/>
    </xf>
    <xf numFmtId="37" fontId="27" fillId="0" borderId="0" xfId="7" applyNumberFormat="1" applyFont="1" applyBorder="1" applyAlignment="1">
      <alignment horizontal="right" vertical="center"/>
    </xf>
    <xf numFmtId="37" fontId="1" fillId="0" borderId="16" xfId="7" applyNumberFormat="1" applyFont="1" applyBorder="1" applyAlignment="1">
      <alignment horizontal="right" vertical="center"/>
    </xf>
    <xf numFmtId="37" fontId="1" fillId="0" borderId="0" xfId="7" applyNumberFormat="1" applyFont="1" applyBorder="1" applyAlignment="1">
      <alignment horizontal="right" vertical="center"/>
    </xf>
    <xf numFmtId="37" fontId="1" fillId="0" borderId="12" xfId="7" applyNumberFormat="1" applyFont="1" applyBorder="1" applyAlignment="1">
      <alignment horizontal="right" vertical="center"/>
    </xf>
    <xf numFmtId="37" fontId="27" fillId="0" borderId="12" xfId="7" applyNumberFormat="1" applyFont="1" applyBorder="1" applyAlignment="1">
      <alignment horizontal="right" vertical="center"/>
    </xf>
    <xf numFmtId="169" fontId="27" fillId="0" borderId="0" xfId="7" applyNumberFormat="1" applyFont="1" applyBorder="1" applyAlignment="1">
      <alignment horizontal="right" vertical="center"/>
    </xf>
    <xf numFmtId="168" fontId="18" fillId="0" borderId="0" xfId="3" applyNumberFormat="1" applyFont="1" applyAlignment="1">
      <alignment horizontal="center" vertical="center"/>
    </xf>
    <xf numFmtId="169" fontId="20" fillId="7" borderId="30" xfId="3" applyNumberFormat="1" applyFont="1" applyFill="1" applyBorder="1" applyAlignment="1">
      <alignment vertical="center"/>
    </xf>
    <xf numFmtId="0" fontId="20" fillId="7" borderId="4" xfId="3" applyFont="1" applyFill="1" applyBorder="1" applyAlignment="1">
      <alignment vertical="center"/>
    </xf>
    <xf numFmtId="37" fontId="23" fillId="7" borderId="4" xfId="7" applyNumberFormat="1" applyFont="1" applyFill="1" applyBorder="1" applyAlignment="1">
      <alignment horizontal="right" vertical="center"/>
    </xf>
    <xf numFmtId="37" fontId="20" fillId="7" borderId="4" xfId="7" applyNumberFormat="1" applyFont="1" applyFill="1" applyBorder="1" applyAlignment="1">
      <alignment horizontal="right" vertical="center"/>
    </xf>
    <xf numFmtId="37" fontId="23" fillId="7" borderId="30" xfId="7" applyNumberFormat="1" applyFont="1" applyFill="1" applyBorder="1" applyAlignment="1">
      <alignment horizontal="right" vertical="center"/>
    </xf>
    <xf numFmtId="37" fontId="23" fillId="7" borderId="31" xfId="7" applyNumberFormat="1" applyFont="1" applyFill="1" applyBorder="1" applyAlignment="1">
      <alignment horizontal="right" vertical="center"/>
    </xf>
    <xf numFmtId="1" fontId="19" fillId="0" borderId="0" xfId="3" applyNumberFormat="1" applyFont="1" applyAlignment="1">
      <alignment horizontal="center" vertical="center"/>
    </xf>
    <xf numFmtId="1" fontId="19" fillId="0" borderId="0" xfId="3" applyNumberFormat="1" applyFont="1" applyAlignment="1">
      <alignment vertical="center"/>
    </xf>
    <xf numFmtId="170" fontId="28" fillId="0" borderId="0" xfId="6" applyNumberFormat="1" applyFont="1" applyFill="1" applyBorder="1" applyAlignment="1">
      <alignment horizontal="right" vertical="center"/>
    </xf>
    <xf numFmtId="170" fontId="28" fillId="0" borderId="0" xfId="3" applyNumberFormat="1" applyFont="1" applyAlignment="1">
      <alignment vertical="center"/>
    </xf>
    <xf numFmtId="169" fontId="20" fillId="7" borderId="30" xfId="3" applyNumberFormat="1" applyFont="1" applyFill="1" applyBorder="1" applyAlignment="1">
      <alignment horizontal="left" vertical="center"/>
    </xf>
    <xf numFmtId="0" fontId="25" fillId="7" borderId="4" xfId="3" applyFont="1" applyFill="1" applyBorder="1" applyAlignment="1">
      <alignment vertical="center"/>
    </xf>
    <xf numFmtId="37" fontId="22" fillId="0" borderId="16" xfId="7" applyNumberFormat="1" applyFont="1" applyBorder="1" applyAlignment="1">
      <alignment horizontal="right" vertical="center"/>
    </xf>
    <xf numFmtId="1" fontId="20" fillId="0" borderId="0" xfId="3" applyNumberFormat="1" applyFont="1" applyAlignment="1">
      <alignment horizontal="center" vertical="center"/>
    </xf>
    <xf numFmtId="164" fontId="29" fillId="0" borderId="0" xfId="8" applyNumberFormat="1" applyFont="1" applyFill="1" applyBorder="1" applyAlignment="1">
      <alignment vertical="center"/>
    </xf>
    <xf numFmtId="1" fontId="20" fillId="0" borderId="0" xfId="3" applyNumberFormat="1" applyFont="1" applyAlignment="1">
      <alignment vertical="center"/>
    </xf>
    <xf numFmtId="164" fontId="20" fillId="0" borderId="0" xfId="3" applyNumberFormat="1" applyFont="1" applyAlignment="1">
      <alignment vertical="center"/>
    </xf>
    <xf numFmtId="170" fontId="29" fillId="0" borderId="0" xfId="3" applyNumberFormat="1" applyFont="1" applyAlignment="1">
      <alignment vertical="center"/>
    </xf>
    <xf numFmtId="0" fontId="30" fillId="0" borderId="0" xfId="3" applyFont="1" applyAlignment="1">
      <alignment vertical="center"/>
    </xf>
    <xf numFmtId="0" fontId="22" fillId="0" borderId="0" xfId="3" applyFont="1" applyAlignment="1">
      <alignment vertical="center"/>
    </xf>
    <xf numFmtId="37" fontId="22" fillId="0" borderId="20" xfId="7" applyNumberFormat="1" applyFont="1" applyBorder="1" applyAlignment="1">
      <alignment horizontal="right" vertical="center"/>
    </xf>
    <xf numFmtId="165" fontId="22" fillId="0" borderId="12" xfId="4" applyNumberFormat="1" applyFont="1" applyBorder="1" applyAlignment="1">
      <alignment horizontal="right" vertical="center"/>
    </xf>
    <xf numFmtId="165" fontId="22" fillId="0" borderId="0" xfId="7" applyNumberFormat="1" applyFont="1" applyBorder="1" applyAlignment="1">
      <alignment horizontal="right" vertical="center"/>
    </xf>
    <xf numFmtId="173" fontId="22" fillId="0" borderId="0" xfId="7" applyNumberFormat="1" applyFont="1" applyBorder="1" applyAlignment="1">
      <alignment horizontal="right" vertical="center"/>
    </xf>
    <xf numFmtId="165" fontId="22" fillId="0" borderId="0" xfId="2" applyNumberFormat="1" applyFont="1" applyBorder="1" applyAlignment="1">
      <alignment horizontal="right" vertical="center"/>
    </xf>
    <xf numFmtId="165" fontId="22" fillId="0" borderId="12" xfId="2" applyNumberFormat="1" applyFont="1" applyBorder="1" applyAlignment="1">
      <alignment horizontal="right" vertical="center"/>
    </xf>
    <xf numFmtId="165" fontId="22" fillId="0" borderId="13" xfId="7" applyNumberFormat="1" applyFont="1" applyBorder="1" applyAlignment="1">
      <alignment horizontal="right" vertical="center"/>
    </xf>
    <xf numFmtId="165" fontId="22" fillId="0" borderId="14" xfId="7" applyNumberFormat="1" applyFont="1" applyBorder="1" applyAlignment="1">
      <alignment horizontal="right" vertical="center"/>
    </xf>
    <xf numFmtId="165" fontId="22" fillId="0" borderId="15" xfId="7" applyNumberFormat="1" applyFont="1" applyBorder="1" applyAlignment="1">
      <alignment horizontal="right" vertical="center"/>
    </xf>
    <xf numFmtId="165" fontId="22" fillId="0" borderId="12" xfId="7" applyNumberFormat="1" applyFont="1" applyBorder="1" applyAlignment="1">
      <alignment horizontal="right" vertical="center"/>
    </xf>
    <xf numFmtId="165" fontId="22" fillId="0" borderId="16" xfId="7" applyNumberFormat="1" applyFont="1" applyBorder="1" applyAlignment="1">
      <alignment horizontal="right" vertical="center"/>
    </xf>
    <xf numFmtId="165" fontId="22" fillId="0" borderId="16" xfId="2" applyNumberFormat="1" applyFont="1" applyBorder="1" applyAlignment="1">
      <alignment horizontal="right" vertical="center"/>
    </xf>
    <xf numFmtId="170" fontId="22" fillId="0" borderId="0" xfId="9" applyNumberFormat="1" applyFont="1" applyBorder="1" applyAlignment="1">
      <alignment horizontal="right" vertical="center"/>
    </xf>
    <xf numFmtId="170" fontId="22" fillId="0" borderId="12" xfId="9" applyNumberFormat="1" applyFont="1" applyBorder="1" applyAlignment="1">
      <alignment horizontal="right" vertical="center"/>
    </xf>
    <xf numFmtId="170" fontId="22" fillId="0" borderId="16" xfId="9" applyNumberFormat="1" applyFont="1" applyBorder="1" applyAlignment="1">
      <alignment horizontal="right" vertical="center"/>
    </xf>
    <xf numFmtId="43" fontId="22" fillId="0" borderId="0" xfId="1" applyFont="1" applyBorder="1" applyAlignment="1">
      <alignment horizontal="right" vertical="center"/>
    </xf>
    <xf numFmtId="43" fontId="22" fillId="0" borderId="12" xfId="1" applyFont="1" applyBorder="1" applyAlignment="1">
      <alignment horizontal="right" vertical="center"/>
    </xf>
    <xf numFmtId="43" fontId="22" fillId="0" borderId="16" xfId="1" applyFont="1" applyBorder="1" applyAlignment="1">
      <alignment horizontal="right" vertical="center"/>
    </xf>
    <xf numFmtId="165" fontId="22" fillId="0" borderId="0" xfId="9" applyFont="1" applyBorder="1" applyAlignment="1">
      <alignment horizontal="right" vertical="center"/>
    </xf>
    <xf numFmtId="165" fontId="22" fillId="0" borderId="12" xfId="9" applyFont="1" applyBorder="1" applyAlignment="1">
      <alignment horizontal="right" vertical="center"/>
    </xf>
    <xf numFmtId="165" fontId="22" fillId="0" borderId="16" xfId="9" applyFont="1" applyBorder="1" applyAlignment="1">
      <alignment horizontal="right" vertical="center"/>
    </xf>
    <xf numFmtId="0" fontId="4" fillId="0" borderId="0" xfId="3" applyFont="1" applyAlignment="1">
      <alignment vertical="center"/>
    </xf>
    <xf numFmtId="165" fontId="22" fillId="0" borderId="0" xfId="4" applyNumberFormat="1" applyFont="1" applyBorder="1" applyAlignment="1">
      <alignment horizontal="right" vertical="center"/>
    </xf>
    <xf numFmtId="165" fontId="22" fillId="0" borderId="16" xfId="4" applyNumberFormat="1" applyFont="1" applyBorder="1" applyAlignment="1">
      <alignment horizontal="right" vertical="center"/>
    </xf>
    <xf numFmtId="170" fontId="23" fillId="0" borderId="0" xfId="7" applyNumberFormat="1" applyFont="1" applyBorder="1" applyAlignment="1">
      <alignment horizontal="right" vertical="center"/>
    </xf>
    <xf numFmtId="170" fontId="23" fillId="0" borderId="12" xfId="7" applyNumberFormat="1" applyFont="1" applyBorder="1" applyAlignment="1">
      <alignment horizontal="right" vertical="center"/>
    </xf>
    <xf numFmtId="170" fontId="23" fillId="0" borderId="16" xfId="7" applyNumberFormat="1" applyFont="1" applyBorder="1" applyAlignment="1">
      <alignment horizontal="right" vertical="center"/>
    </xf>
    <xf numFmtId="165" fontId="2" fillId="0" borderId="0" xfId="2" applyNumberFormat="1" applyFont="1" applyFill="1" applyBorder="1" applyAlignment="1">
      <alignment vertical="center"/>
    </xf>
    <xf numFmtId="165" fontId="22" fillId="0" borderId="11" xfId="4" applyNumberFormat="1" applyFont="1" applyBorder="1" applyAlignment="1">
      <alignment horizontal="right" vertical="center"/>
    </xf>
    <xf numFmtId="170" fontId="23" fillId="0" borderId="11" xfId="7" applyNumberFormat="1" applyFont="1" applyBorder="1" applyAlignment="1">
      <alignment horizontal="right" vertical="center"/>
    </xf>
    <xf numFmtId="170" fontId="23" fillId="0" borderId="21" xfId="7" applyNumberFormat="1" applyFont="1" applyBorder="1" applyAlignment="1">
      <alignment horizontal="right" vertical="center"/>
    </xf>
    <xf numFmtId="170" fontId="23" fillId="0" borderId="20" xfId="7" applyNumberFormat="1" applyFont="1" applyBorder="1" applyAlignment="1">
      <alignment horizontal="right" vertical="center"/>
    </xf>
    <xf numFmtId="164" fontId="22" fillId="0" borderId="0" xfId="12" applyNumberFormat="1" applyFont="1" applyFill="1" applyBorder="1" applyAlignment="1">
      <alignment horizontal="center" vertical="center"/>
    </xf>
    <xf numFmtId="10" fontId="37" fillId="0" borderId="0" xfId="12" applyNumberFormat="1" applyFont="1" applyFill="1" applyBorder="1" applyAlignment="1">
      <alignment horizontal="center" vertical="center"/>
    </xf>
    <xf numFmtId="37" fontId="22" fillId="0" borderId="0" xfId="12" applyNumberFormat="1" applyFont="1" applyFill="1" applyBorder="1" applyAlignment="1">
      <alignment horizontal="center" vertical="center"/>
    </xf>
    <xf numFmtId="0" fontId="19" fillId="0" borderId="11" xfId="11" applyFont="1" applyBorder="1" applyAlignment="1">
      <alignment vertical="center"/>
    </xf>
    <xf numFmtId="164" fontId="22" fillId="0" borderId="11" xfId="12" applyNumberFormat="1" applyFont="1" applyFill="1" applyBorder="1" applyAlignment="1">
      <alignment horizontal="center" vertical="center"/>
    </xf>
    <xf numFmtId="10" fontId="37" fillId="0" borderId="11" xfId="12" applyNumberFormat="1" applyFont="1" applyFill="1" applyBorder="1" applyAlignment="1">
      <alignment horizontal="center" vertical="center"/>
    </xf>
    <xf numFmtId="0" fontId="19" fillId="0" borderId="11" xfId="11" applyFont="1" applyBorder="1" applyAlignment="1">
      <alignment horizontal="left" vertical="center"/>
    </xf>
    <xf numFmtId="1" fontId="19" fillId="0" borderId="11" xfId="11" applyNumberFormat="1" applyFont="1" applyBorder="1" applyAlignment="1">
      <alignment horizontal="center" vertical="center"/>
    </xf>
    <xf numFmtId="37" fontId="22" fillId="0" borderId="11" xfId="12" applyNumberFormat="1" applyFont="1" applyFill="1" applyBorder="1" applyAlignment="1">
      <alignment horizontal="center" vertical="center"/>
    </xf>
    <xf numFmtId="0" fontId="2" fillId="0" borderId="11" xfId="11" applyBorder="1" applyAlignment="1">
      <alignment horizontal="center" vertical="center"/>
    </xf>
    <xf numFmtId="0" fontId="19" fillId="0" borderId="11" xfId="11" applyFont="1" applyBorder="1" applyAlignment="1">
      <alignment horizontal="center" vertical="center"/>
    </xf>
    <xf numFmtId="172" fontId="19" fillId="0" borderId="11" xfId="11" applyNumberFormat="1" applyFont="1" applyBorder="1" applyAlignment="1">
      <alignment horizontal="center" vertical="center"/>
    </xf>
    <xf numFmtId="0" fontId="2" fillId="0" borderId="21" xfId="3" applyBorder="1" applyAlignment="1">
      <alignment vertical="center"/>
    </xf>
    <xf numFmtId="9" fontId="22" fillId="0" borderId="0" xfId="4" applyFont="1" applyFill="1" applyBorder="1" applyAlignment="1">
      <alignment vertical="center"/>
    </xf>
    <xf numFmtId="164" fontId="22" fillId="0" borderId="0" xfId="12" applyNumberFormat="1" applyFont="1" applyBorder="1" applyAlignment="1">
      <alignment horizontal="center" vertical="center"/>
    </xf>
    <xf numFmtId="10" fontId="37" fillId="0" borderId="0" xfId="12" applyNumberFormat="1" applyFont="1" applyBorder="1" applyAlignment="1">
      <alignment horizontal="center" vertical="center"/>
    </xf>
    <xf numFmtId="37" fontId="22" fillId="0" borderId="0" xfId="12" applyNumberFormat="1" applyFont="1" applyBorder="1" applyAlignment="1">
      <alignment horizontal="center" vertical="center"/>
    </xf>
    <xf numFmtId="0" fontId="19" fillId="0" borderId="13" xfId="3" applyFont="1" applyBorder="1" applyAlignment="1">
      <alignment vertical="center"/>
    </xf>
    <xf numFmtId="0" fontId="19" fillId="0" borderId="14" xfId="3" applyFont="1" applyBorder="1" applyAlignment="1">
      <alignment horizontal="center" vertical="center"/>
    </xf>
    <xf numFmtId="164" fontId="28" fillId="0" borderId="14" xfId="8" applyNumberFormat="1" applyFont="1" applyFill="1" applyBorder="1" applyAlignment="1">
      <alignment horizontal="center" vertical="center"/>
    </xf>
    <xf numFmtId="164" fontId="28" fillId="0" borderId="14" xfId="8" applyNumberFormat="1" applyFont="1" applyFill="1" applyBorder="1" applyAlignment="1">
      <alignment vertical="center"/>
    </xf>
    <xf numFmtId="0" fontId="0" fillId="0" borderId="15" xfId="0" applyBorder="1"/>
    <xf numFmtId="3" fontId="0" fillId="0" borderId="12" xfId="0" applyNumberFormat="1" applyBorder="1"/>
    <xf numFmtId="3" fontId="5" fillId="0" borderId="12" xfId="0" applyNumberFormat="1" applyFont="1" applyBorder="1"/>
    <xf numFmtId="0" fontId="19" fillId="0" borderId="11" xfId="3" applyFont="1" applyBorder="1" applyAlignment="1">
      <alignment horizontal="center" vertical="center"/>
    </xf>
    <xf numFmtId="164" fontId="28" fillId="0" borderId="11" xfId="8" applyNumberFormat="1" applyFont="1" applyFill="1" applyBorder="1" applyAlignment="1">
      <alignment horizontal="center" vertical="center"/>
    </xf>
    <xf numFmtId="164" fontId="28" fillId="0" borderId="11" xfId="8" applyNumberFormat="1" applyFont="1" applyFill="1" applyBorder="1" applyAlignment="1">
      <alignment vertical="center"/>
    </xf>
    <xf numFmtId="3" fontId="5" fillId="0" borderId="21" xfId="0" applyNumberFormat="1" applyFont="1" applyBorder="1"/>
    <xf numFmtId="0" fontId="5" fillId="0" borderId="16" xfId="0" applyFont="1" applyBorder="1" applyAlignment="1">
      <alignment vertical="center"/>
    </xf>
    <xf numFmtId="164" fontId="23" fillId="0" borderId="0" xfId="3" applyNumberFormat="1" applyFont="1" applyAlignment="1">
      <alignment horizontal="center" vertical="center"/>
    </xf>
    <xf numFmtId="0" fontId="0" fillId="0" borderId="16" xfId="0" applyBorder="1" applyAlignment="1">
      <alignment vertical="center"/>
    </xf>
    <xf numFmtId="3" fontId="0" fillId="0" borderId="0" xfId="0" applyNumberFormat="1" applyAlignment="1">
      <alignment horizontal="right" vertical="center"/>
    </xf>
    <xf numFmtId="170" fontId="2" fillId="0" borderId="0" xfId="3" applyNumberFormat="1" applyAlignment="1">
      <alignment vertical="center"/>
    </xf>
    <xf numFmtId="164" fontId="19" fillId="0" borderId="0" xfId="3" applyNumberFormat="1" applyFont="1" applyAlignment="1">
      <alignment vertical="center"/>
    </xf>
    <xf numFmtId="37" fontId="0" fillId="0" borderId="19" xfId="0" applyNumberFormat="1" applyBorder="1"/>
    <xf numFmtId="0" fontId="2" fillId="0" borderId="0" xfId="3" applyAlignment="1">
      <alignment horizontal="right" vertical="center"/>
    </xf>
    <xf numFmtId="37" fontId="22" fillId="0" borderId="28" xfId="7" applyNumberFormat="1" applyFont="1" applyFill="1" applyBorder="1" applyAlignment="1">
      <alignment horizontal="right" vertical="center"/>
    </xf>
    <xf numFmtId="164" fontId="48" fillId="0" borderId="32" xfId="0" applyNumberFormat="1" applyFont="1" applyBorder="1" applyAlignment="1">
      <alignment vertical="center"/>
    </xf>
    <xf numFmtId="37" fontId="22" fillId="0" borderId="27" xfId="7" applyNumberFormat="1" applyFont="1" applyFill="1" applyBorder="1" applyAlignment="1">
      <alignment horizontal="right" vertical="center"/>
    </xf>
    <xf numFmtId="37" fontId="22" fillId="0" borderId="2" xfId="7" applyNumberFormat="1" applyFont="1" applyFill="1" applyBorder="1" applyAlignment="1">
      <alignment horizontal="right" vertical="center"/>
    </xf>
    <xf numFmtId="37" fontId="23" fillId="7" borderId="2" xfId="7" applyNumberFormat="1" applyFont="1" applyFill="1" applyBorder="1" applyAlignment="1">
      <alignment horizontal="right" vertical="center"/>
    </xf>
    <xf numFmtId="37" fontId="22" fillId="0" borderId="2" xfId="7" applyNumberFormat="1" applyFont="1" applyBorder="1" applyAlignment="1">
      <alignment horizontal="right" vertical="center"/>
    </xf>
    <xf numFmtId="10" fontId="0" fillId="0" borderId="0" xfId="0" applyNumberFormat="1" applyAlignment="1">
      <alignment horizontal="center" vertical="center"/>
    </xf>
    <xf numFmtId="0" fontId="1" fillId="0" borderId="0" xfId="3" applyFont="1" applyAlignment="1">
      <alignment horizontal="center" vertical="center"/>
    </xf>
    <xf numFmtId="10" fontId="1" fillId="0" borderId="0" xfId="3" applyNumberFormat="1" applyFont="1" applyAlignment="1">
      <alignment horizontal="center" vertical="center"/>
    </xf>
    <xf numFmtId="37" fontId="22" fillId="0" borderId="0" xfId="3" applyNumberFormat="1" applyFont="1" applyAlignment="1">
      <alignment horizontal="center" vertical="center"/>
    </xf>
    <xf numFmtId="170" fontId="19" fillId="0" borderId="0" xfId="3" applyNumberFormat="1" applyFont="1" applyAlignment="1">
      <alignment horizontal="center" vertical="center"/>
    </xf>
    <xf numFmtId="170" fontId="20" fillId="0" borderId="0" xfId="3" applyNumberFormat="1" applyFont="1" applyAlignment="1">
      <alignment horizontal="center" vertical="center"/>
    </xf>
    <xf numFmtId="0" fontId="20" fillId="0" borderId="0" xfId="3" applyFont="1" applyAlignment="1">
      <alignment horizontal="center" vertical="center"/>
    </xf>
    <xf numFmtId="37" fontId="19" fillId="0" borderId="0" xfId="3" applyNumberFormat="1" applyFont="1" applyAlignment="1">
      <alignment horizontal="center" vertical="center"/>
    </xf>
    <xf numFmtId="0" fontId="18" fillId="5" borderId="0" xfId="3" applyFont="1" applyFill="1" applyAlignment="1">
      <alignment horizontal="center" vertical="center"/>
    </xf>
    <xf numFmtId="171" fontId="23" fillId="5" borderId="11" xfId="7" applyNumberFormat="1" applyFont="1" applyFill="1" applyBorder="1" applyAlignment="1">
      <alignment horizontal="center" vertical="center"/>
    </xf>
    <xf numFmtId="3" fontId="56" fillId="0" borderId="0" xfId="0" applyNumberFormat="1" applyFont="1" applyAlignment="1">
      <alignment horizontal="right" vertical="center"/>
    </xf>
    <xf numFmtId="165" fontId="56" fillId="0" borderId="0" xfId="2" applyNumberFormat="1" applyFont="1" applyBorder="1" applyAlignment="1">
      <alignment horizontal="right" vertical="center"/>
    </xf>
    <xf numFmtId="43" fontId="56" fillId="0" borderId="0" xfId="1" applyFont="1" applyBorder="1" applyAlignment="1">
      <alignment horizontal="right" vertical="center"/>
    </xf>
    <xf numFmtId="43" fontId="0" fillId="0" borderId="0" xfId="0" applyNumberFormat="1" applyAlignment="1">
      <alignment horizontal="right" vertical="center"/>
    </xf>
    <xf numFmtId="3" fontId="48" fillId="0" borderId="0" xfId="0" applyNumberFormat="1" applyFont="1" applyAlignment="1">
      <alignment horizontal="right" vertical="center"/>
    </xf>
    <xf numFmtId="165" fontId="48" fillId="0" borderId="0" xfId="2" applyNumberFormat="1" applyFont="1" applyBorder="1" applyAlignment="1">
      <alignment horizontal="right" vertical="center"/>
    </xf>
    <xf numFmtId="43" fontId="48" fillId="0" borderId="0" xfId="1" applyFont="1" applyBorder="1" applyAlignment="1">
      <alignment horizontal="right" vertical="center"/>
    </xf>
    <xf numFmtId="2" fontId="48" fillId="0" borderId="0" xfId="0" applyNumberFormat="1" applyFont="1" applyAlignment="1">
      <alignment horizontal="right" vertical="center"/>
    </xf>
    <xf numFmtId="10" fontId="49" fillId="7" borderId="32" xfId="2" applyNumberFormat="1" applyFont="1" applyFill="1" applyBorder="1" applyAlignment="1">
      <alignment horizontal="right" vertical="center"/>
    </xf>
    <xf numFmtId="164" fontId="0" fillId="0" borderId="36" xfId="1" applyNumberFormat="1" applyFont="1" applyBorder="1" applyAlignment="1">
      <alignment horizontal="right" vertical="center"/>
    </xf>
    <xf numFmtId="164" fontId="5" fillId="0" borderId="34" xfId="1" applyNumberFormat="1" applyFont="1" applyBorder="1" applyAlignment="1">
      <alignment horizontal="right" vertical="center"/>
    </xf>
    <xf numFmtId="10" fontId="0" fillId="10" borderId="32" xfId="0" applyNumberFormat="1" applyFill="1" applyBorder="1" applyAlignment="1">
      <alignment horizontal="right" vertical="center"/>
    </xf>
    <xf numFmtId="165" fontId="0" fillId="0" borderId="32" xfId="2" applyNumberFormat="1" applyFont="1" applyBorder="1" applyAlignment="1">
      <alignment horizontal="right" vertical="center"/>
    </xf>
    <xf numFmtId="43" fontId="0" fillId="0" borderId="32" xfId="1" applyFont="1" applyBorder="1" applyAlignment="1">
      <alignment horizontal="right" vertical="center"/>
    </xf>
    <xf numFmtId="164" fontId="0" fillId="0" borderId="0" xfId="1" applyNumberFormat="1" applyFont="1" applyBorder="1" applyAlignment="1">
      <alignment horizontal="right" vertical="center"/>
    </xf>
    <xf numFmtId="0" fontId="5" fillId="10" borderId="3" xfId="0" applyFont="1" applyFill="1" applyBorder="1" applyAlignment="1">
      <alignment horizontal="right" vertical="center"/>
    </xf>
    <xf numFmtId="164" fontId="5" fillId="10" borderId="3" xfId="0" applyNumberFormat="1" applyFont="1" applyFill="1" applyBorder="1" applyAlignment="1">
      <alignment horizontal="right" vertical="center"/>
    </xf>
    <xf numFmtId="0" fontId="25" fillId="10" borderId="32" xfId="0" applyFont="1" applyFill="1" applyBorder="1" applyAlignment="1">
      <alignment horizontal="right" vertical="center"/>
    </xf>
    <xf numFmtId="10" fontId="25" fillId="10" borderId="32" xfId="2" applyNumberFormat="1" applyFont="1" applyFill="1" applyBorder="1" applyAlignment="1">
      <alignment horizontal="right" vertical="center"/>
    </xf>
    <xf numFmtId="10" fontId="25" fillId="0" borderId="32" xfId="2" applyNumberFormat="1" applyFont="1" applyBorder="1" applyAlignment="1">
      <alignment horizontal="right" vertical="center"/>
    </xf>
    <xf numFmtId="164" fontId="57" fillId="0" borderId="32" xfId="1" applyNumberFormat="1" applyFont="1" applyBorder="1" applyAlignment="1">
      <alignment horizontal="right" vertical="center"/>
    </xf>
    <xf numFmtId="0" fontId="54" fillId="0" borderId="0" xfId="0" applyFont="1" applyAlignment="1">
      <alignment horizontal="right" vertical="center"/>
    </xf>
    <xf numFmtId="164" fontId="58" fillId="0" borderId="32" xfId="1" applyNumberFormat="1" applyFont="1" applyBorder="1" applyAlignment="1">
      <alignment horizontal="right" vertical="center"/>
    </xf>
    <xf numFmtId="164" fontId="58" fillId="7" borderId="32" xfId="1" applyNumberFormat="1" applyFont="1" applyFill="1" applyBorder="1" applyAlignment="1">
      <alignment horizontal="right" vertical="center"/>
    </xf>
    <xf numFmtId="164" fontId="58" fillId="0" borderId="32" xfId="1" applyNumberFormat="1" applyFont="1" applyFill="1" applyBorder="1" applyAlignment="1">
      <alignment horizontal="right" vertical="center"/>
    </xf>
    <xf numFmtId="167" fontId="0" fillId="0" borderId="0" xfId="0" applyNumberFormat="1" applyAlignment="1">
      <alignment horizontal="right" vertical="center"/>
    </xf>
    <xf numFmtId="3" fontId="5" fillId="11" borderId="32" xfId="3" applyNumberFormat="1" applyFont="1" applyFill="1" applyBorder="1" applyAlignment="1">
      <alignment horizontal="right" vertical="center"/>
    </xf>
    <xf numFmtId="164" fontId="0" fillId="10" borderId="0" xfId="1" applyNumberFormat="1" applyFont="1" applyFill="1" applyAlignment="1">
      <alignment horizontal="right" vertical="center"/>
    </xf>
    <xf numFmtId="164" fontId="5" fillId="10" borderId="3" xfId="1" applyNumberFormat="1" applyFont="1" applyFill="1" applyBorder="1" applyAlignment="1">
      <alignment horizontal="right" vertical="center"/>
    </xf>
    <xf numFmtId="164" fontId="0" fillId="10" borderId="3" xfId="1" applyNumberFormat="1" applyFont="1" applyFill="1" applyBorder="1" applyAlignment="1">
      <alignment horizontal="right" vertical="center"/>
    </xf>
    <xf numFmtId="2" fontId="0" fillId="0" borderId="32" xfId="1" applyNumberFormat="1" applyFont="1" applyBorder="1" applyAlignment="1">
      <alignment horizontal="right" vertical="center"/>
    </xf>
    <xf numFmtId="2" fontId="0" fillId="0" borderId="0" xfId="1" applyNumberFormat="1" applyFont="1" applyFill="1" applyBorder="1" applyAlignment="1">
      <alignment horizontal="right" vertical="center"/>
    </xf>
    <xf numFmtId="2" fontId="2" fillId="0" borderId="32" xfId="1" applyNumberFormat="1" applyFont="1" applyFill="1" applyBorder="1" applyAlignment="1">
      <alignment horizontal="right" vertical="center"/>
    </xf>
    <xf numFmtId="0" fontId="68" fillId="13" borderId="32" xfId="0" applyFont="1" applyFill="1" applyBorder="1" applyAlignment="1">
      <alignment horizontal="right" vertical="center"/>
    </xf>
    <xf numFmtId="0" fontId="3" fillId="8" borderId="32" xfId="0" applyFont="1" applyFill="1" applyBorder="1" applyAlignment="1">
      <alignment horizontal="right" vertical="center" wrapText="1"/>
    </xf>
    <xf numFmtId="0" fontId="0" fillId="7" borderId="32" xfId="0" applyFill="1" applyBorder="1" applyAlignment="1">
      <alignment horizontal="center" vertical="center"/>
    </xf>
    <xf numFmtId="0" fontId="5" fillId="7" borderId="3" xfId="0" applyFont="1" applyFill="1" applyBorder="1" applyAlignment="1">
      <alignment horizontal="left" vertical="center" wrapText="1"/>
    </xf>
    <xf numFmtId="0" fontId="5" fillId="7" borderId="4" xfId="0" applyFont="1" applyFill="1" applyBorder="1" applyAlignment="1">
      <alignment horizontal="right" vertical="center"/>
    </xf>
    <xf numFmtId="0" fontId="5" fillId="7" borderId="5" xfId="0" applyFont="1" applyFill="1" applyBorder="1" applyAlignment="1">
      <alignment vertical="center"/>
    </xf>
    <xf numFmtId="167" fontId="48" fillId="0" borderId="32" xfId="0" applyNumberFormat="1" applyFont="1" applyBorder="1" applyAlignment="1">
      <alignment horizontal="right" vertical="center"/>
    </xf>
    <xf numFmtId="164" fontId="0" fillId="0" borderId="32" xfId="2" applyNumberFormat="1" applyFont="1" applyFill="1" applyBorder="1" applyAlignment="1">
      <alignment horizontal="right" vertical="center"/>
    </xf>
    <xf numFmtId="3" fontId="0" fillId="10" borderId="32" xfId="0" applyNumberFormat="1" applyFill="1" applyBorder="1" applyAlignment="1">
      <alignment horizontal="right" vertical="center" wrapText="1"/>
    </xf>
    <xf numFmtId="164" fontId="48" fillId="0" borderId="32" xfId="1" applyNumberFormat="1" applyFont="1" applyBorder="1" applyAlignment="1">
      <alignment horizontal="right" vertical="center"/>
    </xf>
    <xf numFmtId="165" fontId="48" fillId="0" borderId="32" xfId="2" applyNumberFormat="1" applyFont="1" applyBorder="1" applyAlignment="1">
      <alignment horizontal="right" vertical="center"/>
    </xf>
    <xf numFmtId="10" fontId="0" fillId="0" borderId="32" xfId="0" applyNumberFormat="1" applyBorder="1" applyAlignment="1">
      <alignment horizontal="right" vertical="center"/>
    </xf>
    <xf numFmtId="2" fontId="48" fillId="0" borderId="32" xfId="0" applyNumberFormat="1" applyFont="1" applyBorder="1" applyAlignment="1">
      <alignment horizontal="right" vertical="center"/>
    </xf>
    <xf numFmtId="0" fontId="0" fillId="0" borderId="0" xfId="0" applyAlignment="1">
      <alignment horizontal="right" vertical="center" wrapText="1"/>
    </xf>
    <xf numFmtId="165" fontId="48" fillId="0" borderId="32" xfId="2" applyNumberFormat="1" applyFont="1" applyFill="1" applyBorder="1" applyAlignment="1">
      <alignment horizontal="right" vertical="center"/>
    </xf>
    <xf numFmtId="9" fontId="0" fillId="0" borderId="32" xfId="2" applyFont="1" applyFill="1" applyBorder="1" applyAlignment="1">
      <alignment horizontal="right" vertical="center"/>
    </xf>
    <xf numFmtId="9" fontId="48" fillId="0" borderId="32" xfId="0" applyNumberFormat="1" applyFont="1" applyBorder="1" applyAlignment="1">
      <alignment horizontal="right" vertical="center"/>
    </xf>
    <xf numFmtId="2" fontId="0" fillId="10" borderId="32" xfId="0" applyNumberFormat="1" applyFill="1" applyBorder="1" applyAlignment="1">
      <alignment horizontal="right" vertical="center" wrapText="1"/>
    </xf>
    <xf numFmtId="174" fontId="48" fillId="0" borderId="32" xfId="1" applyNumberFormat="1" applyFont="1" applyFill="1" applyBorder="1" applyAlignment="1">
      <alignment horizontal="right" vertical="center"/>
    </xf>
    <xf numFmtId="174" fontId="0" fillId="0" borderId="32" xfId="0" applyNumberFormat="1" applyBorder="1" applyAlignment="1">
      <alignment horizontal="right" vertical="center"/>
    </xf>
    <xf numFmtId="1" fontId="0" fillId="0" borderId="0" xfId="0" applyNumberFormat="1" applyAlignment="1">
      <alignment horizontal="right" vertical="center"/>
    </xf>
    <xf numFmtId="164" fontId="0" fillId="10" borderId="32" xfId="0" applyNumberFormat="1" applyFill="1" applyBorder="1" applyAlignment="1">
      <alignment horizontal="right" vertical="center" wrapText="1"/>
    </xf>
    <xf numFmtId="43" fontId="48" fillId="0" borderId="32" xfId="1" applyFont="1" applyFill="1" applyBorder="1" applyAlignment="1">
      <alignment horizontal="right" vertical="center"/>
    </xf>
    <xf numFmtId="43" fontId="48" fillId="0" borderId="32" xfId="0" applyNumberFormat="1" applyFont="1" applyBorder="1" applyAlignment="1">
      <alignment horizontal="right" vertical="center"/>
    </xf>
    <xf numFmtId="3" fontId="53" fillId="0" borderId="0" xfId="0" applyNumberFormat="1" applyFont="1" applyAlignment="1">
      <alignment horizontal="right" vertical="center"/>
    </xf>
    <xf numFmtId="10" fontId="2" fillId="0" borderId="32" xfId="2" applyNumberFormat="1" applyFont="1" applyBorder="1" applyAlignment="1">
      <alignment horizontal="right" vertical="center"/>
    </xf>
    <xf numFmtId="10" fontId="48" fillId="0" borderId="32" xfId="2" applyNumberFormat="1" applyFont="1" applyBorder="1" applyAlignment="1">
      <alignment horizontal="right" vertical="center"/>
    </xf>
    <xf numFmtId="10" fontId="0" fillId="0" borderId="32" xfId="2" applyNumberFormat="1" applyFont="1" applyBorder="1" applyAlignment="1">
      <alignment horizontal="right" vertical="center"/>
    </xf>
    <xf numFmtId="10" fontId="48" fillId="0" borderId="32" xfId="0" applyNumberFormat="1" applyFont="1" applyBorder="1" applyAlignment="1">
      <alignment horizontal="right" vertical="center"/>
    </xf>
    <xf numFmtId="9" fontId="0" fillId="0" borderId="32" xfId="0" applyNumberFormat="1" applyBorder="1" applyAlignment="1">
      <alignment horizontal="right" vertical="center"/>
    </xf>
    <xf numFmtId="9" fontId="0" fillId="0" borderId="32" xfId="2" applyFont="1" applyBorder="1" applyAlignment="1">
      <alignment horizontal="right" vertical="center"/>
    </xf>
    <xf numFmtId="9" fontId="48" fillId="0" borderId="32" xfId="2" applyFont="1" applyBorder="1" applyAlignment="1">
      <alignment horizontal="right" vertical="center"/>
    </xf>
    <xf numFmtId="10" fontId="0" fillId="10" borderId="3" xfId="2" applyNumberFormat="1" applyFont="1" applyFill="1" applyBorder="1" applyAlignment="1">
      <alignment horizontal="right" vertical="center" wrapText="1"/>
    </xf>
    <xf numFmtId="167" fontId="0" fillId="10" borderId="32" xfId="0" applyNumberFormat="1" applyFill="1" applyBorder="1" applyAlignment="1">
      <alignment horizontal="right" vertical="center" wrapText="1"/>
    </xf>
    <xf numFmtId="10" fontId="2" fillId="0" borderId="32" xfId="2" applyNumberFormat="1" applyFont="1" applyFill="1" applyBorder="1" applyAlignment="1">
      <alignment horizontal="right" vertical="center"/>
    </xf>
    <xf numFmtId="0" fontId="59" fillId="0" borderId="32" xfId="0" applyFont="1" applyBorder="1" applyAlignment="1">
      <alignment horizontal="right" vertical="center"/>
    </xf>
    <xf numFmtId="173" fontId="59" fillId="0" borderId="32" xfId="0" applyNumberFormat="1" applyFont="1" applyBorder="1" applyAlignment="1">
      <alignment horizontal="right" vertical="center"/>
    </xf>
    <xf numFmtId="167" fontId="59" fillId="0" borderId="32" xfId="0" applyNumberFormat="1" applyFont="1" applyBorder="1" applyAlignment="1">
      <alignment horizontal="right" vertical="center"/>
    </xf>
    <xf numFmtId="164" fontId="59" fillId="0" borderId="32" xfId="1" applyNumberFormat="1" applyFont="1" applyFill="1" applyBorder="1" applyAlignment="1">
      <alignment horizontal="right" vertical="center"/>
    </xf>
    <xf numFmtId="10" fontId="49" fillId="0" borderId="32" xfId="2" applyNumberFormat="1" applyFont="1" applyBorder="1" applyAlignment="1">
      <alignment horizontal="right"/>
    </xf>
    <xf numFmtId="9" fontId="0" fillId="0" borderId="0" xfId="0" applyNumberFormat="1" applyAlignment="1">
      <alignment horizontal="right" vertical="center"/>
    </xf>
    <xf numFmtId="176" fontId="0" fillId="0" borderId="0" xfId="0" applyNumberFormat="1" applyAlignment="1">
      <alignment horizontal="center" vertical="center"/>
    </xf>
    <xf numFmtId="165" fontId="0" fillId="0" borderId="32" xfId="0" applyNumberFormat="1" applyBorder="1" applyAlignment="1">
      <alignment horizontal="right" vertical="center"/>
    </xf>
    <xf numFmtId="0" fontId="8" fillId="0" borderId="0" xfId="3" applyFont="1" applyAlignment="1">
      <alignment horizontal="right" vertical="center"/>
    </xf>
    <xf numFmtId="0" fontId="8" fillId="0" borderId="1" xfId="3" applyFont="1" applyBorder="1" applyAlignment="1">
      <alignment horizontal="right" vertical="center"/>
    </xf>
    <xf numFmtId="9" fontId="8" fillId="0" borderId="0" xfId="4" applyFont="1" applyBorder="1" applyAlignment="1">
      <alignment horizontal="right" vertical="center"/>
    </xf>
    <xf numFmtId="9" fontId="8" fillId="0" borderId="0" xfId="4" applyFont="1" applyFill="1" applyBorder="1" applyAlignment="1">
      <alignment horizontal="right" vertical="center"/>
    </xf>
    <xf numFmtId="9" fontId="2" fillId="0" borderId="0" xfId="4" applyFont="1" applyAlignment="1">
      <alignment horizontal="right" vertical="center"/>
    </xf>
    <xf numFmtId="9" fontId="2" fillId="0" borderId="6" xfId="4" applyFont="1" applyBorder="1" applyAlignment="1">
      <alignment horizontal="right" vertical="center"/>
    </xf>
    <xf numFmtId="0" fontId="5" fillId="0" borderId="0" xfId="3" applyFont="1" applyAlignment="1">
      <alignment horizontal="right" vertical="center"/>
    </xf>
    <xf numFmtId="0" fontId="5" fillId="0" borderId="8" xfId="3" applyFont="1" applyBorder="1" applyAlignment="1">
      <alignment horizontal="right" vertical="center"/>
    </xf>
    <xf numFmtId="0" fontId="14" fillId="3" borderId="14" xfId="3" applyFont="1" applyFill="1" applyBorder="1" applyAlignment="1">
      <alignment horizontal="right" vertical="center"/>
    </xf>
    <xf numFmtId="0" fontId="14" fillId="3" borderId="15" xfId="3" applyFont="1" applyFill="1" applyBorder="1" applyAlignment="1">
      <alignment horizontal="right" vertical="center"/>
    </xf>
    <xf numFmtId="0" fontId="12" fillId="3" borderId="11" xfId="3" applyFont="1" applyFill="1" applyBorder="1" applyAlignment="1">
      <alignment horizontal="right" vertical="center"/>
    </xf>
    <xf numFmtId="0" fontId="12" fillId="3" borderId="21" xfId="3" applyFont="1" applyFill="1" applyBorder="1" applyAlignment="1">
      <alignment horizontal="right" vertical="center"/>
    </xf>
    <xf numFmtId="9" fontId="2" fillId="0" borderId="0" xfId="4" applyFont="1" applyBorder="1" applyAlignment="1">
      <alignment horizontal="right" vertical="center"/>
    </xf>
    <xf numFmtId="165" fontId="2" fillId="0" borderId="0" xfId="4" applyNumberFormat="1" applyFont="1" applyBorder="1" applyAlignment="1">
      <alignment horizontal="right" vertical="center"/>
    </xf>
    <xf numFmtId="43" fontId="2" fillId="0" borderId="0" xfId="6" applyFont="1" applyBorder="1" applyAlignment="1">
      <alignment horizontal="right" vertical="center"/>
    </xf>
    <xf numFmtId="168" fontId="22" fillId="0" borderId="0" xfId="7" applyNumberFormat="1" applyFont="1" applyBorder="1" applyAlignment="1">
      <alignment horizontal="right" vertical="center"/>
    </xf>
    <xf numFmtId="168" fontId="22" fillId="0" borderId="12" xfId="7" applyNumberFormat="1" applyFont="1" applyBorder="1" applyAlignment="1">
      <alignment horizontal="right" vertical="center"/>
    </xf>
    <xf numFmtId="0" fontId="19" fillId="7" borderId="12" xfId="3" applyFont="1" applyFill="1" applyBorder="1" applyAlignment="1">
      <alignment horizontal="right" vertical="center"/>
    </xf>
    <xf numFmtId="167" fontId="50" fillId="0" borderId="12" xfId="3" applyNumberFormat="1" applyFont="1" applyBorder="1" applyAlignment="1">
      <alignment horizontal="right" vertical="center"/>
    </xf>
    <xf numFmtId="37" fontId="22" fillId="0" borderId="0" xfId="12" applyNumberFormat="1" applyFont="1" applyFill="1" applyBorder="1" applyAlignment="1">
      <alignment horizontal="right" vertical="center"/>
    </xf>
    <xf numFmtId="2" fontId="36" fillId="0" borderId="11" xfId="11" applyNumberFormat="1" applyFont="1" applyBorder="1" applyAlignment="1">
      <alignment horizontal="right" vertical="center"/>
    </xf>
    <xf numFmtId="37" fontId="22" fillId="0" borderId="11" xfId="12" applyNumberFormat="1" applyFont="1" applyFill="1" applyBorder="1" applyAlignment="1">
      <alignment horizontal="right" vertical="center"/>
    </xf>
    <xf numFmtId="0" fontId="22" fillId="0" borderId="11" xfId="11" applyFont="1" applyBorder="1" applyAlignment="1">
      <alignment horizontal="right" vertical="center"/>
    </xf>
    <xf numFmtId="0" fontId="14" fillId="3" borderId="13" xfId="3" applyFont="1" applyFill="1" applyBorder="1" applyAlignment="1">
      <alignment horizontal="left" vertical="center"/>
    </xf>
    <xf numFmtId="167" fontId="18" fillId="2" borderId="12" xfId="3" applyNumberFormat="1" applyFont="1" applyFill="1" applyBorder="1" applyAlignment="1">
      <alignment horizontal="right" vertical="center"/>
    </xf>
    <xf numFmtId="168" fontId="22" fillId="0" borderId="12" xfId="7" applyNumberFormat="1" applyFont="1" applyFill="1" applyBorder="1" applyAlignment="1">
      <alignment vertical="center"/>
    </xf>
    <xf numFmtId="0" fontId="2" fillId="2" borderId="15" xfId="3" applyFill="1" applyBorder="1" applyAlignment="1">
      <alignment vertical="center"/>
    </xf>
    <xf numFmtId="0" fontId="2" fillId="7" borderId="12" xfId="3" applyFill="1" applyBorder="1" applyAlignment="1">
      <alignment vertical="center"/>
    </xf>
    <xf numFmtId="164" fontId="22" fillId="0" borderId="12" xfId="1" applyNumberFormat="1" applyFont="1" applyBorder="1" applyAlignment="1">
      <alignment horizontal="right" vertical="center"/>
    </xf>
    <xf numFmtId="0" fontId="0" fillId="0" borderId="12" xfId="0" applyBorder="1" applyAlignment="1">
      <alignment vertical="center"/>
    </xf>
    <xf numFmtId="164" fontId="0" fillId="0" borderId="12" xfId="0" applyNumberFormat="1" applyBorder="1" applyAlignment="1">
      <alignment vertical="center"/>
    </xf>
    <xf numFmtId="0" fontId="5" fillId="6" borderId="17" xfId="0" applyFont="1" applyFill="1" applyBorder="1" applyAlignment="1">
      <alignment vertical="center"/>
    </xf>
    <xf numFmtId="0" fontId="5" fillId="6" borderId="18" xfId="0" applyFont="1" applyFill="1" applyBorder="1" applyAlignment="1">
      <alignment vertical="center"/>
    </xf>
    <xf numFmtId="164" fontId="5" fillId="6" borderId="18" xfId="0" applyNumberFormat="1" applyFont="1" applyFill="1" applyBorder="1" applyAlignment="1">
      <alignment vertical="center"/>
    </xf>
    <xf numFmtId="164" fontId="5" fillId="6" borderId="19" xfId="0" applyNumberFormat="1" applyFont="1" applyFill="1" applyBorder="1" applyAlignment="1">
      <alignment vertical="center"/>
    </xf>
    <xf numFmtId="164" fontId="5" fillId="7" borderId="19" xfId="0" applyNumberFormat="1" applyFont="1" applyFill="1" applyBorder="1" applyAlignment="1">
      <alignment vertical="center"/>
    </xf>
    <xf numFmtId="0" fontId="20" fillId="7" borderId="32" xfId="0" applyFont="1" applyFill="1" applyBorder="1" applyAlignment="1">
      <alignment vertical="center" wrapText="1"/>
    </xf>
    <xf numFmtId="0" fontId="1" fillId="0" borderId="32" xfId="0" applyFont="1" applyBorder="1" applyAlignment="1">
      <alignment vertical="center" wrapText="1"/>
    </xf>
    <xf numFmtId="14" fontId="16" fillId="0" borderId="17" xfId="3" applyNumberFormat="1" applyFont="1" applyBorder="1" applyAlignment="1">
      <alignment horizontal="center" vertical="center"/>
    </xf>
    <xf numFmtId="14" fontId="16" fillId="0" borderId="18" xfId="3" applyNumberFormat="1" applyFont="1" applyBorder="1" applyAlignment="1">
      <alignment horizontal="center" vertical="center"/>
    </xf>
    <xf numFmtId="14" fontId="16" fillId="0" borderId="19" xfId="3" applyNumberFormat="1" applyFont="1" applyBorder="1" applyAlignment="1">
      <alignment horizontal="center" vertical="center"/>
    </xf>
    <xf numFmtId="0" fontId="5" fillId="6" borderId="3" xfId="0" applyFont="1" applyFill="1" applyBorder="1" applyAlignment="1">
      <alignment horizontal="center"/>
    </xf>
    <xf numFmtId="0" fontId="5" fillId="6" borderId="4" xfId="0" applyFont="1" applyFill="1" applyBorder="1" applyAlignment="1">
      <alignment horizontal="center"/>
    </xf>
    <xf numFmtId="0" fontId="25" fillId="0" borderId="0" xfId="0" applyFont="1" applyAlignment="1">
      <alignment horizontal="left" vertical="top" wrapText="1"/>
    </xf>
    <xf numFmtId="0" fontId="25" fillId="0" borderId="0" xfId="0" applyFont="1" applyAlignment="1">
      <alignment wrapText="1"/>
    </xf>
    <xf numFmtId="0" fontId="25" fillId="0" borderId="0" xfId="0" applyFont="1" applyAlignment="1">
      <alignment horizontal="left" wrapText="1"/>
    </xf>
    <xf numFmtId="0" fontId="5" fillId="6" borderId="3" xfId="0" applyFont="1" applyFill="1" applyBorder="1"/>
    <xf numFmtId="0" fontId="5" fillId="6" borderId="4" xfId="0" applyFont="1" applyFill="1" applyBorder="1"/>
    <xf numFmtId="0" fontId="5" fillId="6" borderId="5" xfId="0" applyFont="1" applyFill="1" applyBorder="1"/>
    <xf numFmtId="0" fontId="0" fillId="0" borderId="0" xfId="0" applyAlignment="1">
      <alignment horizontal="center" vertical="center"/>
    </xf>
    <xf numFmtId="0" fontId="0" fillId="0" borderId="32" xfId="0" applyBorder="1" applyAlignment="1">
      <alignment horizontal="center" vertical="center"/>
    </xf>
    <xf numFmtId="0" fontId="0" fillId="7" borderId="33" xfId="0" applyFill="1" applyBorder="1" applyAlignment="1">
      <alignment horizontal="center" vertical="center"/>
    </xf>
    <xf numFmtId="0" fontId="0" fillId="7" borderId="35" xfId="0" applyFill="1" applyBorder="1" applyAlignment="1">
      <alignment horizontal="center" vertical="center"/>
    </xf>
    <xf numFmtId="0" fontId="0" fillId="7" borderId="34" xfId="0" applyFill="1" applyBorder="1" applyAlignment="1">
      <alignment horizontal="center" vertical="center"/>
    </xf>
    <xf numFmtId="0" fontId="3" fillId="2" borderId="38" xfId="0" applyFont="1" applyFill="1" applyBorder="1" applyAlignment="1">
      <alignment horizontal="center" vertical="center" wrapText="1"/>
    </xf>
    <xf numFmtId="0" fontId="6" fillId="2" borderId="38" xfId="0" applyFont="1" applyFill="1" applyBorder="1" applyAlignment="1">
      <alignment horizontal="center" vertical="center"/>
    </xf>
    <xf numFmtId="0" fontId="0" fillId="0" borderId="33" xfId="0" applyBorder="1" applyAlignment="1">
      <alignment horizontal="left" vertical="center" wrapText="1"/>
    </xf>
    <xf numFmtId="0" fontId="0" fillId="0" borderId="35" xfId="0" applyBorder="1" applyAlignment="1">
      <alignment horizontal="left" vertical="center" wrapText="1"/>
    </xf>
    <xf numFmtId="0" fontId="0" fillId="0" borderId="34" xfId="0" applyBorder="1" applyAlignment="1">
      <alignment horizontal="left" vertical="center" wrapText="1"/>
    </xf>
    <xf numFmtId="0" fontId="0" fillId="0" borderId="32" xfId="0" applyBorder="1" applyAlignment="1">
      <alignment horizontal="left" vertical="center" wrapText="1"/>
    </xf>
    <xf numFmtId="37" fontId="0" fillId="10" borderId="33" xfId="0" applyNumberFormat="1" applyFill="1" applyBorder="1" applyAlignment="1">
      <alignment horizontal="center" vertical="center" wrapText="1"/>
    </xf>
    <xf numFmtId="37" fontId="0" fillId="10" borderId="35" xfId="0" applyNumberFormat="1" applyFill="1" applyBorder="1" applyAlignment="1">
      <alignment horizontal="center" vertical="center" wrapText="1"/>
    </xf>
    <xf numFmtId="37" fontId="0" fillId="10" borderId="34" xfId="0" applyNumberFormat="1" applyFill="1" applyBorder="1" applyAlignment="1">
      <alignment horizontal="center" vertical="center" wrapText="1"/>
    </xf>
    <xf numFmtId="0" fontId="3" fillId="2" borderId="9" xfId="0" applyFont="1" applyFill="1" applyBorder="1" applyAlignment="1">
      <alignment horizontal="right" vertical="center" wrapText="1"/>
    </xf>
    <xf numFmtId="0" fontId="6" fillId="2" borderId="9" xfId="0" applyFont="1" applyFill="1" applyBorder="1" applyAlignment="1">
      <alignment horizontal="right" vertical="center"/>
    </xf>
    <xf numFmtId="0" fontId="49" fillId="0" borderId="32" xfId="0" applyFont="1" applyBorder="1" applyAlignment="1">
      <alignment horizontal="left" vertical="center" wrapText="1"/>
    </xf>
    <xf numFmtId="0" fontId="64" fillId="0" borderId="0" xfId="0" applyFont="1" applyAlignment="1">
      <alignment horizontal="center" wrapText="1"/>
    </xf>
    <xf numFmtId="165" fontId="0" fillId="0" borderId="32" xfId="0" applyNumberFormat="1" applyBorder="1"/>
    <xf numFmtId="174" fontId="0" fillId="0" borderId="32" xfId="1" applyNumberFormat="1" applyFont="1" applyBorder="1"/>
    <xf numFmtId="0" fontId="3" fillId="14" borderId="32" xfId="0" applyFont="1" applyFill="1" applyBorder="1"/>
    <xf numFmtId="0" fontId="3" fillId="14" borderId="32" xfId="0" applyFont="1" applyFill="1" applyBorder="1" applyAlignment="1">
      <alignment horizontal="right"/>
    </xf>
    <xf numFmtId="10" fontId="0" fillId="0" borderId="32" xfId="0" applyNumberFormat="1" applyBorder="1" applyAlignment="1">
      <alignment horizontal="right"/>
    </xf>
    <xf numFmtId="0" fontId="0" fillId="0" borderId="32" xfId="0" applyBorder="1" applyAlignment="1">
      <alignment horizontal="left"/>
    </xf>
    <xf numFmtId="0" fontId="3" fillId="14" borderId="32" xfId="0" applyFont="1" applyFill="1" applyBorder="1" applyAlignment="1">
      <alignment horizontal="left"/>
    </xf>
    <xf numFmtId="164" fontId="0" fillId="15" borderId="32" xfId="1" applyNumberFormat="1" applyFont="1" applyFill="1" applyBorder="1" applyAlignment="1">
      <alignment vertical="center"/>
    </xf>
    <xf numFmtId="0" fontId="3" fillId="14" borderId="32" xfId="0" applyFont="1" applyFill="1" applyBorder="1" applyAlignment="1">
      <alignment horizontal="left" vertical="center"/>
    </xf>
    <xf numFmtId="0" fontId="3" fillId="14" borderId="32" xfId="0" applyFont="1" applyFill="1" applyBorder="1" applyAlignment="1">
      <alignment horizontal="right" vertical="center"/>
    </xf>
    <xf numFmtId="0" fontId="69" fillId="14" borderId="32" xfId="0" applyFont="1" applyFill="1" applyBorder="1"/>
    <xf numFmtId="0" fontId="69" fillId="14" borderId="32" xfId="0" applyFont="1" applyFill="1" applyBorder="1" applyAlignment="1">
      <alignment horizontal="right" vertical="center"/>
    </xf>
    <xf numFmtId="0" fontId="70" fillId="0" borderId="0" xfId="0" applyFont="1"/>
    <xf numFmtId="0" fontId="71" fillId="14" borderId="32" xfId="0" applyFont="1" applyFill="1" applyBorder="1" applyAlignment="1">
      <alignment vertical="center"/>
    </xf>
    <xf numFmtId="0" fontId="70" fillId="0" borderId="32" xfId="0" applyFont="1" applyBorder="1" applyAlignment="1">
      <alignment vertical="center"/>
    </xf>
    <xf numFmtId="0" fontId="70" fillId="0" borderId="32" xfId="0" applyFont="1" applyBorder="1" applyAlignment="1">
      <alignment horizontal="right" vertical="center"/>
    </xf>
    <xf numFmtId="0" fontId="72" fillId="0" borderId="32" xfId="0" applyFont="1" applyBorder="1" applyAlignment="1">
      <alignment vertical="center"/>
    </xf>
    <xf numFmtId="0" fontId="72" fillId="0" borderId="32" xfId="0" applyFont="1" applyBorder="1" applyAlignment="1">
      <alignment horizontal="right" vertical="center"/>
    </xf>
    <xf numFmtId="43" fontId="0" fillId="0" borderId="32" xfId="1" applyFont="1" applyBorder="1"/>
    <xf numFmtId="164" fontId="70" fillId="0" borderId="32" xfId="1" applyNumberFormat="1" applyFont="1" applyBorder="1" applyAlignment="1">
      <alignment horizontal="right" vertical="center"/>
    </xf>
    <xf numFmtId="37" fontId="70" fillId="0" borderId="32" xfId="0" applyNumberFormat="1" applyFont="1" applyBorder="1" applyAlignment="1">
      <alignment horizontal="right" vertical="center"/>
    </xf>
    <xf numFmtId="164" fontId="5" fillId="10" borderId="32" xfId="1" applyNumberFormat="1" applyFont="1" applyFill="1" applyBorder="1" applyAlignment="1">
      <alignment vertical="center"/>
    </xf>
    <xf numFmtId="0" fontId="3" fillId="7" borderId="18" xfId="0" applyFont="1" applyFill="1" applyBorder="1" applyAlignment="1">
      <alignment horizontal="center"/>
    </xf>
    <xf numFmtId="0" fontId="5" fillId="0" borderId="0" xfId="0" applyFont="1" applyBorder="1" applyAlignment="1">
      <alignment horizontal="right" vertical="center"/>
    </xf>
    <xf numFmtId="0" fontId="0" fillId="0" borderId="0" xfId="0" applyBorder="1" applyAlignment="1">
      <alignment vertical="center"/>
    </xf>
    <xf numFmtId="164" fontId="0" fillId="0" borderId="0" xfId="0" applyNumberFormat="1" applyBorder="1" applyAlignment="1">
      <alignment vertical="center"/>
    </xf>
    <xf numFmtId="164" fontId="0" fillId="0" borderId="0" xfId="1" applyNumberFormat="1" applyFont="1" applyFill="1" applyBorder="1" applyAlignment="1">
      <alignment horizontal="right" vertical="center" wrapText="1"/>
    </xf>
    <xf numFmtId="37" fontId="0" fillId="0" borderId="0" xfId="0" applyNumberFormat="1" applyBorder="1" applyAlignment="1">
      <alignment horizontal="right" vertical="center"/>
    </xf>
    <xf numFmtId="37" fontId="0" fillId="0" borderId="0" xfId="0" applyNumberFormat="1" applyBorder="1" applyAlignment="1">
      <alignment vertical="center" wrapText="1"/>
    </xf>
    <xf numFmtId="0" fontId="0" fillId="0" borderId="0" xfId="0" applyBorder="1" applyAlignment="1">
      <alignment horizontal="right" vertical="center"/>
    </xf>
    <xf numFmtId="164" fontId="5" fillId="7" borderId="32" xfId="1" applyNumberFormat="1" applyFont="1" applyFill="1" applyBorder="1" applyAlignment="1">
      <alignment horizontal="right"/>
    </xf>
    <xf numFmtId="175" fontId="6" fillId="0" borderId="0" xfId="0" applyNumberFormat="1" applyFont="1"/>
    <xf numFmtId="37" fontId="19" fillId="0" borderId="0" xfId="3" applyNumberFormat="1" applyFont="1" applyBorder="1" applyAlignment="1">
      <alignment vertical="center"/>
    </xf>
    <xf numFmtId="37" fontId="20" fillId="0" borderId="0" xfId="3" applyNumberFormat="1" applyFont="1" applyBorder="1" applyAlignment="1">
      <alignment vertical="center"/>
    </xf>
    <xf numFmtId="0" fontId="48" fillId="0" borderId="0" xfId="3" applyFont="1" applyBorder="1" applyAlignment="1">
      <alignment horizontal="right" vertical="center"/>
    </xf>
    <xf numFmtId="0" fontId="19" fillId="0" borderId="0" xfId="3" applyFont="1" applyBorder="1" applyAlignment="1">
      <alignment vertical="center"/>
    </xf>
    <xf numFmtId="169" fontId="20" fillId="0" borderId="0" xfId="3" applyNumberFormat="1" applyFont="1" applyBorder="1" applyAlignment="1">
      <alignment vertical="center"/>
    </xf>
    <xf numFmtId="169" fontId="19" fillId="0" borderId="0" xfId="3" applyNumberFormat="1" applyFont="1" applyBorder="1" applyAlignment="1">
      <alignment vertical="center"/>
    </xf>
    <xf numFmtId="169" fontId="32" fillId="0" borderId="0" xfId="3" applyNumberFormat="1" applyFont="1" applyBorder="1" applyAlignment="1">
      <alignment vertical="center"/>
    </xf>
    <xf numFmtId="0" fontId="6" fillId="0" borderId="0" xfId="3" applyFont="1" applyBorder="1" applyAlignment="1">
      <alignment vertical="center"/>
    </xf>
    <xf numFmtId="37" fontId="20" fillId="7" borderId="31" xfId="7" applyNumberFormat="1" applyFont="1" applyFill="1" applyBorder="1" applyAlignment="1">
      <alignment horizontal="right" vertical="center"/>
    </xf>
    <xf numFmtId="0" fontId="2" fillId="0" borderId="0" xfId="3" applyBorder="1" applyAlignment="1">
      <alignment vertical="center"/>
    </xf>
    <xf numFmtId="0" fontId="19" fillId="0" borderId="20" xfId="3" applyFont="1" applyBorder="1" applyAlignment="1">
      <alignment vertical="center"/>
    </xf>
    <xf numFmtId="37" fontId="22" fillId="0" borderId="21" xfId="7" applyNumberFormat="1" applyFont="1" applyFill="1" applyBorder="1" applyAlignment="1">
      <alignment horizontal="right" vertical="center"/>
    </xf>
    <xf numFmtId="37" fontId="23" fillId="7" borderId="28" xfId="7" applyNumberFormat="1" applyFont="1" applyFill="1" applyBorder="1" applyAlignment="1">
      <alignment horizontal="right" vertical="center"/>
    </xf>
    <xf numFmtId="37" fontId="23" fillId="7" borderId="27" xfId="7" applyNumberFormat="1" applyFont="1" applyFill="1" applyBorder="1" applyAlignment="1">
      <alignment horizontal="right" vertical="center"/>
    </xf>
    <xf numFmtId="37" fontId="22" fillId="0" borderId="28" xfId="7" applyNumberFormat="1" applyFont="1" applyBorder="1" applyAlignment="1">
      <alignment horizontal="right" vertical="center"/>
    </xf>
    <xf numFmtId="37" fontId="22" fillId="0" borderId="27" xfId="7" applyNumberFormat="1" applyFont="1" applyBorder="1" applyAlignment="1">
      <alignment horizontal="right" vertical="center"/>
    </xf>
    <xf numFmtId="169" fontId="73" fillId="0" borderId="14" xfId="3" applyNumberFormat="1" applyFont="1" applyBorder="1" applyAlignment="1">
      <alignment vertical="center"/>
    </xf>
    <xf numFmtId="170" fontId="73" fillId="0" borderId="14" xfId="7" applyNumberFormat="1" applyFont="1" applyBorder="1" applyAlignment="1">
      <alignment horizontal="right" vertical="center"/>
    </xf>
    <xf numFmtId="170" fontId="73" fillId="0" borderId="0" xfId="7" applyNumberFormat="1" applyFont="1" applyBorder="1" applyAlignment="1">
      <alignment horizontal="right" vertical="center"/>
    </xf>
    <xf numFmtId="0" fontId="75" fillId="0" borderId="20" xfId="3" applyFont="1" applyBorder="1" applyAlignment="1">
      <alignment vertical="center"/>
    </xf>
    <xf numFmtId="165" fontId="25" fillId="0" borderId="11" xfId="2" applyNumberFormat="1" applyFont="1" applyFill="1" applyBorder="1" applyAlignment="1">
      <alignment horizontal="center" vertical="center"/>
    </xf>
    <xf numFmtId="165" fontId="25" fillId="0" borderId="11" xfId="2" applyNumberFormat="1" applyFont="1" applyFill="1" applyBorder="1" applyAlignment="1">
      <alignment vertical="center"/>
    </xf>
    <xf numFmtId="165" fontId="25" fillId="0" borderId="21" xfId="2" applyNumberFormat="1" applyFont="1" applyFill="1" applyBorder="1" applyAlignment="1">
      <alignment vertical="center"/>
    </xf>
    <xf numFmtId="0" fontId="75" fillId="0" borderId="0" xfId="3" applyFont="1" applyBorder="1" applyAlignment="1">
      <alignment vertical="center"/>
    </xf>
    <xf numFmtId="165" fontId="25" fillId="0" borderId="0" xfId="2" applyNumberFormat="1" applyFont="1" applyFill="1" applyBorder="1" applyAlignment="1">
      <alignment horizontal="center" vertical="center"/>
    </xf>
    <xf numFmtId="165" fontId="25" fillId="0" borderId="0" xfId="2" applyNumberFormat="1" applyFont="1" applyFill="1" applyBorder="1" applyAlignment="1">
      <alignment vertical="center"/>
    </xf>
    <xf numFmtId="10" fontId="0" fillId="0" borderId="32" xfId="2" applyNumberFormat="1" applyFont="1" applyFill="1" applyBorder="1" applyAlignment="1">
      <alignment horizontal="right" vertical="center"/>
    </xf>
    <xf numFmtId="10" fontId="0" fillId="0" borderId="32" xfId="0" applyNumberFormat="1" applyFill="1" applyBorder="1" applyAlignment="1">
      <alignment horizontal="right" vertical="center"/>
    </xf>
    <xf numFmtId="0" fontId="25" fillId="0" borderId="0" xfId="3" applyFont="1" applyBorder="1" applyAlignment="1">
      <alignment vertical="center"/>
    </xf>
    <xf numFmtId="0" fontId="3" fillId="0" borderId="0" xfId="3" applyFont="1" applyBorder="1" applyAlignment="1">
      <alignment vertical="center"/>
    </xf>
    <xf numFmtId="0" fontId="5" fillId="0" borderId="0" xfId="3" applyFont="1" applyBorder="1" applyAlignment="1">
      <alignment vertical="center"/>
    </xf>
    <xf numFmtId="0" fontId="9" fillId="0" borderId="0" xfId="3" applyFont="1" applyBorder="1" applyAlignment="1">
      <alignment vertical="center"/>
    </xf>
    <xf numFmtId="0" fontId="2" fillId="0" borderId="0" xfId="3" applyBorder="1" applyAlignment="1">
      <alignment horizontal="right" vertical="center"/>
    </xf>
    <xf numFmtId="0" fontId="2" fillId="0" borderId="39" xfId="3" applyBorder="1" applyAlignment="1">
      <alignment vertical="center"/>
    </xf>
    <xf numFmtId="0" fontId="9" fillId="0" borderId="40" xfId="3" applyFont="1" applyBorder="1" applyAlignment="1">
      <alignment vertical="center"/>
    </xf>
    <xf numFmtId="0" fontId="2" fillId="0" borderId="40" xfId="3" applyBorder="1" applyAlignment="1">
      <alignment vertical="center"/>
    </xf>
    <xf numFmtId="0" fontId="2" fillId="0" borderId="40" xfId="3" applyBorder="1" applyAlignment="1">
      <alignment horizontal="right" vertical="center"/>
    </xf>
    <xf numFmtId="0" fontId="2" fillId="0" borderId="41" xfId="3" applyBorder="1" applyAlignment="1">
      <alignment vertical="center"/>
    </xf>
    <xf numFmtId="0" fontId="2" fillId="0" borderId="42" xfId="3" applyBorder="1" applyAlignment="1">
      <alignment vertical="center"/>
    </xf>
    <xf numFmtId="0" fontId="11" fillId="0" borderId="0" xfId="3" applyFont="1" applyBorder="1" applyAlignment="1">
      <alignment vertical="center"/>
    </xf>
    <xf numFmtId="0" fontId="2" fillId="0" borderId="43" xfId="3" applyBorder="1" applyAlignment="1">
      <alignment vertical="center"/>
    </xf>
    <xf numFmtId="166" fontId="19" fillId="0" borderId="0" xfId="3" applyNumberFormat="1" applyFont="1" applyBorder="1" applyAlignment="1">
      <alignment vertical="center"/>
    </xf>
    <xf numFmtId="0" fontId="20" fillId="4" borderId="45" xfId="3" applyFont="1" applyFill="1" applyBorder="1" applyAlignment="1">
      <alignment horizontal="centerContinuous" vertical="center"/>
    </xf>
    <xf numFmtId="0" fontId="2" fillId="0" borderId="46" xfId="3" applyBorder="1" applyAlignment="1">
      <alignment vertical="center"/>
    </xf>
    <xf numFmtId="167" fontId="19" fillId="0" borderId="0" xfId="3" applyNumberFormat="1" applyFont="1" applyBorder="1" applyAlignment="1">
      <alignment vertical="center"/>
    </xf>
    <xf numFmtId="167" fontId="18" fillId="2" borderId="0" xfId="3" applyNumberFormat="1" applyFont="1" applyFill="1" applyBorder="1" applyAlignment="1">
      <alignment horizontal="center" vertical="center"/>
    </xf>
    <xf numFmtId="167" fontId="19" fillId="0" borderId="0" xfId="3" applyNumberFormat="1" applyFont="1" applyBorder="1" applyAlignment="1">
      <alignment horizontal="center" vertical="center"/>
    </xf>
    <xf numFmtId="167" fontId="18" fillId="2" borderId="43" xfId="3" applyNumberFormat="1" applyFont="1" applyFill="1" applyBorder="1" applyAlignment="1">
      <alignment horizontal="center" vertical="center"/>
    </xf>
    <xf numFmtId="168" fontId="22" fillId="0" borderId="43" xfId="7" applyNumberFormat="1" applyFont="1" applyBorder="1" applyAlignment="1">
      <alignment vertical="center"/>
    </xf>
    <xf numFmtId="169" fontId="22" fillId="2" borderId="43" xfId="7" applyNumberFormat="1" applyFont="1" applyFill="1" applyBorder="1" applyAlignment="1">
      <alignment vertical="center"/>
    </xf>
    <xf numFmtId="169" fontId="19" fillId="7" borderId="0" xfId="3" applyNumberFormat="1" applyFont="1" applyFill="1" applyBorder="1" applyAlignment="1">
      <alignment vertical="center"/>
    </xf>
    <xf numFmtId="0" fontId="2" fillId="7" borderId="0" xfId="3" applyFill="1" applyBorder="1" applyAlignment="1">
      <alignment vertical="center"/>
    </xf>
    <xf numFmtId="0" fontId="2" fillId="7" borderId="0" xfId="3" applyFill="1" applyBorder="1" applyAlignment="1">
      <alignment horizontal="right" vertical="center"/>
    </xf>
    <xf numFmtId="164" fontId="20" fillId="0" borderId="0" xfId="1" applyNumberFormat="1" applyFont="1" applyBorder="1" applyAlignment="1">
      <alignment vertical="center"/>
    </xf>
    <xf numFmtId="164" fontId="22" fillId="0" borderId="43" xfId="1" applyNumberFormat="1" applyFont="1" applyFill="1" applyBorder="1" applyAlignment="1">
      <alignment horizontal="right" vertical="center"/>
    </xf>
    <xf numFmtId="169" fontId="20" fillId="0" borderId="0" xfId="3" applyNumberFormat="1" applyFont="1" applyBorder="1" applyAlignment="1">
      <alignment horizontal="left" vertical="center"/>
    </xf>
    <xf numFmtId="169" fontId="1" fillId="0" borderId="0" xfId="3" applyNumberFormat="1" applyFont="1" applyBorder="1" applyAlignment="1">
      <alignment horizontal="left" vertical="center"/>
    </xf>
    <xf numFmtId="37" fontId="22" fillId="0" borderId="43" xfId="7" applyNumberFormat="1" applyFont="1" applyBorder="1" applyAlignment="1">
      <alignment horizontal="right" vertical="center"/>
    </xf>
    <xf numFmtId="37" fontId="22" fillId="0" borderId="43" xfId="7" applyNumberFormat="1" applyFont="1" applyFill="1" applyBorder="1" applyAlignment="1">
      <alignment horizontal="right" vertical="center"/>
    </xf>
    <xf numFmtId="0" fontId="5" fillId="0" borderId="42" xfId="3" applyFont="1" applyBorder="1" applyAlignment="1">
      <alignment vertical="center"/>
    </xf>
    <xf numFmtId="167" fontId="19" fillId="0" borderId="0" xfId="3" applyNumberFormat="1" applyFont="1" applyBorder="1" applyAlignment="1">
      <alignment horizontal="right" vertical="center"/>
    </xf>
    <xf numFmtId="37" fontId="23" fillId="6" borderId="43" xfId="7" applyNumberFormat="1" applyFont="1" applyFill="1" applyBorder="1" applyAlignment="1">
      <alignment horizontal="right" vertical="center"/>
    </xf>
    <xf numFmtId="37" fontId="23" fillId="0" borderId="43" xfId="7" applyNumberFormat="1" applyFont="1" applyBorder="1" applyAlignment="1">
      <alignment horizontal="right" vertical="center"/>
    </xf>
    <xf numFmtId="37" fontId="22" fillId="0" borderId="47" xfId="7" applyNumberFormat="1" applyFont="1" applyFill="1" applyBorder="1" applyAlignment="1">
      <alignment horizontal="right" vertical="center"/>
    </xf>
    <xf numFmtId="37" fontId="23" fillId="0" borderId="43" xfId="7" applyNumberFormat="1" applyFont="1" applyFill="1" applyBorder="1" applyAlignment="1">
      <alignment horizontal="right" vertical="center"/>
    </xf>
    <xf numFmtId="37" fontId="44" fillId="0" borderId="0" xfId="3" applyNumberFormat="1" applyFont="1" applyBorder="1" applyAlignment="1">
      <alignment vertical="center"/>
    </xf>
    <xf numFmtId="37" fontId="22" fillId="0" borderId="0" xfId="3" applyNumberFormat="1" applyFont="1" applyBorder="1" applyAlignment="1">
      <alignment vertical="center"/>
    </xf>
    <xf numFmtId="37" fontId="27" fillId="0" borderId="0" xfId="3" applyNumberFormat="1" applyFont="1" applyBorder="1" applyAlignment="1">
      <alignment vertical="center"/>
    </xf>
    <xf numFmtId="169" fontId="22" fillId="2" borderId="48" xfId="7" applyNumberFormat="1" applyFont="1" applyFill="1" applyBorder="1" applyAlignment="1">
      <alignment vertical="center"/>
    </xf>
    <xf numFmtId="37" fontId="27" fillId="0" borderId="43" xfId="7" applyNumberFormat="1" applyFont="1" applyFill="1" applyBorder="1" applyAlignment="1">
      <alignment horizontal="right" vertical="center"/>
    </xf>
    <xf numFmtId="0" fontId="20" fillId="0" borderId="0" xfId="3" applyFont="1" applyBorder="1" applyAlignment="1">
      <alignment vertical="center"/>
    </xf>
    <xf numFmtId="37" fontId="27" fillId="0" borderId="43" xfId="7" applyNumberFormat="1" applyFont="1" applyBorder="1" applyAlignment="1">
      <alignment horizontal="right" vertical="center"/>
    </xf>
    <xf numFmtId="169" fontId="19" fillId="0" borderId="0" xfId="3" applyNumberFormat="1" applyFont="1" applyBorder="1" applyAlignment="1">
      <alignment horizontal="right" vertical="center"/>
    </xf>
    <xf numFmtId="169" fontId="22" fillId="2" borderId="49" xfId="7" applyNumberFormat="1" applyFont="1" applyFill="1" applyBorder="1" applyAlignment="1">
      <alignment vertical="center"/>
    </xf>
    <xf numFmtId="165" fontId="22" fillId="0" borderId="43" xfId="7" applyNumberFormat="1" applyFont="1" applyBorder="1" applyAlignment="1">
      <alignment horizontal="right" vertical="center"/>
    </xf>
    <xf numFmtId="170" fontId="22" fillId="0" borderId="43" xfId="9" applyNumberFormat="1" applyFont="1" applyBorder="1" applyAlignment="1">
      <alignment horizontal="right" vertical="center"/>
    </xf>
    <xf numFmtId="165" fontId="33" fillId="0" borderId="43" xfId="7" applyNumberFormat="1" applyFont="1" applyBorder="1" applyAlignment="1">
      <alignment horizontal="right" vertical="center"/>
    </xf>
    <xf numFmtId="165" fontId="22" fillId="0" borderId="43" xfId="9" applyFont="1" applyBorder="1" applyAlignment="1">
      <alignment horizontal="right" vertical="center"/>
    </xf>
    <xf numFmtId="165" fontId="22" fillId="0" borderId="43" xfId="4" applyNumberFormat="1" applyFont="1" applyBorder="1" applyAlignment="1">
      <alignment horizontal="right" vertical="center"/>
    </xf>
    <xf numFmtId="0" fontId="25" fillId="0" borderId="42" xfId="3" applyFont="1" applyBorder="1" applyAlignment="1">
      <alignment vertical="center"/>
    </xf>
    <xf numFmtId="170" fontId="74" fillId="0" borderId="43" xfId="7" applyNumberFormat="1" applyFont="1" applyBorder="1" applyAlignment="1">
      <alignment horizontal="right" vertical="center"/>
    </xf>
    <xf numFmtId="0" fontId="2" fillId="0" borderId="50" xfId="3" applyBorder="1" applyAlignment="1">
      <alignment vertical="center"/>
    </xf>
    <xf numFmtId="0" fontId="2" fillId="0" borderId="48" xfId="3" applyBorder="1" applyAlignment="1">
      <alignment vertical="center"/>
    </xf>
    <xf numFmtId="0" fontId="19" fillId="0" borderId="0" xfId="11" applyFont="1" applyBorder="1" applyAlignment="1">
      <alignment vertical="center"/>
    </xf>
    <xf numFmtId="0" fontId="19" fillId="0" borderId="0" xfId="11" applyFont="1" applyBorder="1" applyAlignment="1">
      <alignment horizontal="left" vertical="center"/>
    </xf>
    <xf numFmtId="1" fontId="19" fillId="0" borderId="0" xfId="11" applyNumberFormat="1" applyFont="1" applyBorder="1" applyAlignment="1">
      <alignment horizontal="center" vertical="center"/>
    </xf>
    <xf numFmtId="2" fontId="36" fillId="0" borderId="0" xfId="11" applyNumberFormat="1" applyFont="1" applyBorder="1" applyAlignment="1">
      <alignment horizontal="right" vertical="center"/>
    </xf>
    <xf numFmtId="0" fontId="22" fillId="0" borderId="0" xfId="11" applyFont="1" applyBorder="1" applyAlignment="1">
      <alignment horizontal="right" vertical="center"/>
    </xf>
    <xf numFmtId="0" fontId="2" fillId="0" borderId="0" xfId="11" applyBorder="1" applyAlignment="1">
      <alignment horizontal="center" vertical="center"/>
    </xf>
    <xf numFmtId="0" fontId="19" fillId="0" borderId="0" xfId="11" applyFont="1" applyBorder="1" applyAlignment="1">
      <alignment horizontal="center" vertical="center"/>
    </xf>
    <xf numFmtId="172" fontId="19" fillId="0" borderId="0" xfId="11" applyNumberFormat="1" applyFont="1" applyBorder="1" applyAlignment="1">
      <alignment horizontal="center" vertical="center"/>
    </xf>
    <xf numFmtId="0" fontId="4" fillId="0" borderId="0" xfId="3" applyFont="1" applyBorder="1" applyAlignment="1">
      <alignment vertical="center"/>
    </xf>
    <xf numFmtId="0" fontId="18" fillId="0" borderId="0" xfId="3" applyFont="1" applyBorder="1" applyAlignment="1">
      <alignment horizontal="center" vertical="center"/>
    </xf>
    <xf numFmtId="0" fontId="35" fillId="0" borderId="0" xfId="11" applyFont="1" applyBorder="1" applyAlignment="1">
      <alignment vertical="center"/>
    </xf>
    <xf numFmtId="0" fontId="4" fillId="0" borderId="43" xfId="3" applyFont="1" applyBorder="1" applyAlignment="1">
      <alignment vertical="center"/>
    </xf>
    <xf numFmtId="0" fontId="2" fillId="0" borderId="51" xfId="3" applyBorder="1" applyAlignment="1">
      <alignment vertical="center"/>
    </xf>
    <xf numFmtId="0" fontId="2" fillId="0" borderId="52" xfId="3" applyBorder="1" applyAlignment="1">
      <alignment vertical="center"/>
    </xf>
    <xf numFmtId="0" fontId="2" fillId="0" borderId="52" xfId="3" applyBorder="1" applyAlignment="1">
      <alignment horizontal="right" vertical="center"/>
    </xf>
    <xf numFmtId="0" fontId="2" fillId="0" borderId="53" xfId="3" applyBorder="1" applyAlignment="1">
      <alignment vertical="center"/>
    </xf>
    <xf numFmtId="0" fontId="2" fillId="16" borderId="14" xfId="3" applyFill="1" applyBorder="1" applyAlignment="1">
      <alignment vertical="center"/>
    </xf>
    <xf numFmtId="0" fontId="12" fillId="16" borderId="13" xfId="3" applyFont="1" applyFill="1" applyBorder="1" applyAlignment="1">
      <alignment vertical="center"/>
    </xf>
    <xf numFmtId="0" fontId="13" fillId="16" borderId="14" xfId="3" applyFont="1" applyFill="1" applyBorder="1" applyAlignment="1">
      <alignment vertical="center"/>
    </xf>
    <xf numFmtId="0" fontId="6" fillId="16" borderId="14" xfId="3" applyFont="1" applyFill="1" applyBorder="1" applyAlignment="1">
      <alignment vertical="center"/>
    </xf>
    <xf numFmtId="0" fontId="15" fillId="16" borderId="0" xfId="3" applyFont="1" applyFill="1" applyBorder="1" applyAlignment="1">
      <alignment horizontal="center" vertical="center"/>
    </xf>
    <xf numFmtId="0" fontId="15" fillId="16" borderId="43" xfId="3" applyFont="1" applyFill="1" applyBorder="1" applyAlignment="1">
      <alignment horizontal="center" vertical="center"/>
    </xf>
    <xf numFmtId="0" fontId="15" fillId="16" borderId="0" xfId="3" applyFont="1" applyFill="1" applyAlignment="1">
      <alignment horizontal="center" vertical="center"/>
    </xf>
    <xf numFmtId="0" fontId="15" fillId="16" borderId="20" xfId="5" applyFont="1" applyFill="1" applyBorder="1" applyAlignment="1">
      <alignment horizontal="left" vertical="center"/>
    </xf>
    <xf numFmtId="0" fontId="15" fillId="16" borderId="20" xfId="5" applyFont="1" applyFill="1" applyBorder="1" applyAlignment="1">
      <alignment horizontal="left" vertical="center"/>
    </xf>
    <xf numFmtId="0" fontId="2" fillId="16" borderId="11" xfId="3" applyFill="1" applyBorder="1" applyAlignment="1">
      <alignment vertical="center"/>
    </xf>
    <xf numFmtId="0" fontId="15" fillId="16" borderId="22" xfId="3" applyFont="1" applyFill="1" applyBorder="1" applyAlignment="1">
      <alignment horizontal="center" vertical="center"/>
    </xf>
    <xf numFmtId="0" fontId="15" fillId="16" borderId="23" xfId="3" applyFont="1" applyFill="1" applyBorder="1" applyAlignment="1">
      <alignment horizontal="center" vertical="center"/>
    </xf>
    <xf numFmtId="0" fontId="15" fillId="16" borderId="44" xfId="3" applyFont="1" applyFill="1" applyBorder="1" applyAlignment="1">
      <alignment horizontal="center" vertical="center"/>
    </xf>
    <xf numFmtId="0" fontId="15" fillId="16" borderId="24" xfId="3" applyFont="1" applyFill="1" applyBorder="1" applyAlignment="1">
      <alignment horizontal="center" vertical="center"/>
    </xf>
    <xf numFmtId="0" fontId="18" fillId="16" borderId="13" xfId="3" applyFont="1" applyFill="1" applyBorder="1" applyAlignment="1">
      <alignment horizontal="left" vertical="center"/>
    </xf>
    <xf numFmtId="0" fontId="18" fillId="16" borderId="14" xfId="3" applyFont="1" applyFill="1" applyBorder="1" applyAlignment="1">
      <alignment horizontal="left" vertical="center"/>
    </xf>
    <xf numFmtId="167" fontId="18" fillId="16" borderId="14" xfId="3" applyNumberFormat="1" applyFont="1" applyFill="1" applyBorder="1" applyAlignment="1">
      <alignment horizontal="center" vertical="center"/>
    </xf>
    <xf numFmtId="167" fontId="18" fillId="16" borderId="14" xfId="3" applyNumberFormat="1" applyFont="1" applyFill="1" applyBorder="1" applyAlignment="1">
      <alignment horizontal="right" vertical="center"/>
    </xf>
    <xf numFmtId="167" fontId="18" fillId="16" borderId="15" xfId="3" applyNumberFormat="1" applyFont="1" applyFill="1" applyBorder="1" applyAlignment="1">
      <alignment horizontal="right" vertical="center"/>
    </xf>
    <xf numFmtId="167" fontId="18" fillId="16" borderId="16" xfId="3" applyNumberFormat="1" applyFont="1" applyFill="1" applyBorder="1" applyAlignment="1">
      <alignment horizontal="center" vertical="center"/>
    </xf>
    <xf numFmtId="167" fontId="18" fillId="16" borderId="0" xfId="3" applyNumberFormat="1" applyFont="1" applyFill="1" applyBorder="1" applyAlignment="1">
      <alignment horizontal="center" vertical="center"/>
    </xf>
    <xf numFmtId="0" fontId="18" fillId="16" borderId="14" xfId="3" applyFont="1" applyFill="1" applyBorder="1" applyAlignment="1">
      <alignment horizontal="center" vertical="center"/>
    </xf>
    <xf numFmtId="168" fontId="18" fillId="16" borderId="14" xfId="3" applyNumberFormat="1" applyFont="1" applyFill="1" applyBorder="1" applyAlignment="1">
      <alignment horizontal="center" vertical="center"/>
    </xf>
    <xf numFmtId="0" fontId="18" fillId="16" borderId="15" xfId="3" applyFont="1" applyFill="1" applyBorder="1" applyAlignment="1">
      <alignment horizontal="center" vertical="center"/>
    </xf>
    <xf numFmtId="169" fontId="18" fillId="16" borderId="13" xfId="3" applyNumberFormat="1" applyFont="1" applyFill="1" applyBorder="1" applyAlignment="1">
      <alignment vertical="center"/>
    </xf>
    <xf numFmtId="169" fontId="19" fillId="16" borderId="14" xfId="3" applyNumberFormat="1" applyFont="1" applyFill="1" applyBorder="1" applyAlignment="1">
      <alignment vertical="center"/>
    </xf>
    <xf numFmtId="169" fontId="22" fillId="16" borderId="14" xfId="7" applyNumberFormat="1" applyFont="1" applyFill="1" applyBorder="1" applyAlignment="1">
      <alignment vertical="center"/>
    </xf>
    <xf numFmtId="0" fontId="2" fillId="16" borderId="14" xfId="3" applyFill="1" applyBorder="1" applyAlignment="1">
      <alignment horizontal="right" vertical="center"/>
    </xf>
    <xf numFmtId="0" fontId="19" fillId="16" borderId="15" xfId="3" applyFont="1" applyFill="1" applyBorder="1" applyAlignment="1">
      <alignment horizontal="right" vertical="center"/>
    </xf>
    <xf numFmtId="169" fontId="22" fillId="16" borderId="13" xfId="7" applyNumberFormat="1" applyFont="1" applyFill="1" applyBorder="1" applyAlignment="1">
      <alignment vertical="center"/>
    </xf>
    <xf numFmtId="169" fontId="22" fillId="16" borderId="15" xfId="7" applyNumberFormat="1" applyFont="1" applyFill="1" applyBorder="1" applyAlignment="1">
      <alignment vertical="center"/>
    </xf>
    <xf numFmtId="167" fontId="18" fillId="16" borderId="13" xfId="3" applyNumberFormat="1" applyFont="1" applyFill="1" applyBorder="1" applyAlignment="1">
      <alignment horizontal="right" vertical="center"/>
    </xf>
    <xf numFmtId="0" fontId="2" fillId="16" borderId="18" xfId="3" applyFill="1" applyBorder="1" applyAlignment="1">
      <alignment vertical="center"/>
    </xf>
    <xf numFmtId="168" fontId="18" fillId="16" borderId="14" xfId="3" applyNumberFormat="1" applyFont="1" applyFill="1" applyBorder="1" applyAlignment="1">
      <alignment horizontal="right" vertical="center"/>
    </xf>
    <xf numFmtId="168" fontId="18" fillId="16" borderId="15" xfId="3" applyNumberFormat="1" applyFont="1" applyFill="1" applyBorder="1" applyAlignment="1">
      <alignment horizontal="right" vertical="center"/>
    </xf>
    <xf numFmtId="169" fontId="18" fillId="16" borderId="17" xfId="3" applyNumberFormat="1" applyFont="1" applyFill="1" applyBorder="1" applyAlignment="1">
      <alignment vertical="center"/>
    </xf>
    <xf numFmtId="169" fontId="19" fillId="16" borderId="18" xfId="3" applyNumberFormat="1" applyFont="1" applyFill="1" applyBorder="1" applyAlignment="1">
      <alignment vertical="center"/>
    </xf>
    <xf numFmtId="169" fontId="22" fillId="16" borderId="18" xfId="7" applyNumberFormat="1" applyFont="1" applyFill="1" applyBorder="1" applyAlignment="1">
      <alignment vertical="center"/>
    </xf>
    <xf numFmtId="167" fontId="18" fillId="16" borderId="13" xfId="3" applyNumberFormat="1" applyFont="1" applyFill="1" applyBorder="1" applyAlignment="1">
      <alignment horizontal="center" vertical="center"/>
    </xf>
    <xf numFmtId="167" fontId="18" fillId="16" borderId="15" xfId="3" applyNumberFormat="1" applyFont="1" applyFill="1" applyBorder="1" applyAlignment="1">
      <alignment horizontal="center" vertical="center"/>
    </xf>
    <xf numFmtId="0" fontId="3" fillId="16" borderId="13" xfId="0" applyFont="1" applyFill="1" applyBorder="1" applyAlignment="1">
      <alignment horizontal="right" vertical="center"/>
    </xf>
    <xf numFmtId="0" fontId="3" fillId="16" borderId="14" xfId="0" applyFont="1" applyFill="1" applyBorder="1" applyAlignment="1">
      <alignment horizontal="right" vertical="center"/>
    </xf>
    <xf numFmtId="0" fontId="18" fillId="16" borderId="13" xfId="3" applyFont="1" applyFill="1" applyBorder="1" applyAlignment="1">
      <alignment horizontal="center" vertical="center"/>
    </xf>
    <xf numFmtId="0" fontId="5" fillId="12" borderId="34" xfId="0" applyFont="1" applyFill="1" applyBorder="1" applyAlignment="1">
      <alignment vertical="center"/>
    </xf>
    <xf numFmtId="0" fontId="5" fillId="12" borderId="34" xfId="0" applyFont="1" applyFill="1" applyBorder="1" applyAlignment="1">
      <alignment horizontal="right" vertical="center"/>
    </xf>
    <xf numFmtId="0" fontId="3" fillId="16" borderId="54" xfId="0" applyFont="1" applyFill="1" applyBorder="1" applyAlignment="1">
      <alignment horizontal="center" vertical="center"/>
    </xf>
    <xf numFmtId="0" fontId="3" fillId="16" borderId="55" xfId="0" applyFont="1" applyFill="1" applyBorder="1" applyAlignment="1">
      <alignment horizontal="center" vertical="center"/>
    </xf>
    <xf numFmtId="0" fontId="3" fillId="16" borderId="56" xfId="0" applyFont="1" applyFill="1" applyBorder="1" applyAlignment="1">
      <alignment horizontal="center" vertical="center"/>
    </xf>
    <xf numFmtId="0" fontId="3" fillId="16" borderId="0" xfId="0" applyFont="1" applyFill="1"/>
    <xf numFmtId="0" fontId="6" fillId="16" borderId="0" xfId="0" applyFont="1" applyFill="1"/>
    <xf numFmtId="0" fontId="0" fillId="0" borderId="0" xfId="0" applyBorder="1" applyAlignment="1">
      <alignment horizontal="left" vertical="center"/>
    </xf>
    <xf numFmtId="0" fontId="0" fillId="0" borderId="0" xfId="0" applyBorder="1" applyAlignment="1">
      <alignment horizontal="center" vertical="center"/>
    </xf>
    <xf numFmtId="0" fontId="3" fillId="16" borderId="32" xfId="0" applyFont="1" applyFill="1" applyBorder="1" applyAlignment="1">
      <alignment vertical="center" wrapText="1"/>
    </xf>
    <xf numFmtId="0" fontId="5" fillId="16" borderId="32" xfId="0" applyFont="1" applyFill="1" applyBorder="1" applyAlignment="1">
      <alignment horizontal="right"/>
    </xf>
    <xf numFmtId="0" fontId="3" fillId="16" borderId="32" xfId="0" applyFont="1" applyFill="1" applyBorder="1" applyAlignment="1">
      <alignment horizontal="right" vertical="center"/>
    </xf>
    <xf numFmtId="0" fontId="3" fillId="16" borderId="32" xfId="0" applyFont="1" applyFill="1" applyBorder="1" applyAlignment="1">
      <alignment horizontal="right"/>
    </xf>
    <xf numFmtId="0" fontId="3" fillId="16" borderId="32" xfId="0" applyFont="1" applyFill="1" applyBorder="1" applyAlignment="1">
      <alignment horizontal="left" indent="2"/>
    </xf>
    <xf numFmtId="0" fontId="5" fillId="16" borderId="32" xfId="0" applyFont="1" applyFill="1" applyBorder="1"/>
    <xf numFmtId="0" fontId="76" fillId="16" borderId="0" xfId="0" applyFont="1" applyFill="1"/>
    <xf numFmtId="10" fontId="76" fillId="16" borderId="0" xfId="0" applyNumberFormat="1" applyFont="1" applyFill="1"/>
    <xf numFmtId="0" fontId="76" fillId="0" borderId="0" xfId="0" applyFont="1" applyAlignment="1">
      <alignment vertical="center" wrapText="1"/>
    </xf>
    <xf numFmtId="164" fontId="6"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vertical="center"/>
    </xf>
    <xf numFmtId="37" fontId="6" fillId="0" borderId="0" xfId="0" applyNumberFormat="1" applyFont="1" applyAlignment="1">
      <alignment horizontal="right" vertical="center"/>
    </xf>
    <xf numFmtId="0" fontId="5" fillId="7" borderId="57" xfId="0" applyFont="1" applyFill="1" applyBorder="1" applyAlignment="1">
      <alignment vertical="top" wrapText="1"/>
    </xf>
    <xf numFmtId="0" fontId="5" fillId="7" borderId="57" xfId="0" applyFont="1" applyFill="1" applyBorder="1" applyAlignment="1">
      <alignment horizontal="center" vertical="top" wrapText="1"/>
    </xf>
    <xf numFmtId="0" fontId="41" fillId="0" borderId="57" xfId="0" applyFont="1" applyBorder="1" applyAlignment="1">
      <alignment vertical="center"/>
    </xf>
    <xf numFmtId="0" fontId="0" fillId="0" borderId="57" xfId="0" applyBorder="1" applyAlignment="1">
      <alignment vertical="center"/>
    </xf>
    <xf numFmtId="0" fontId="62" fillId="0" borderId="57" xfId="0" applyFont="1" applyBorder="1" applyAlignment="1">
      <alignment vertical="center"/>
    </xf>
    <xf numFmtId="0" fontId="5" fillId="0" borderId="57" xfId="0" applyFont="1" applyBorder="1" applyAlignment="1">
      <alignment vertical="center"/>
    </xf>
    <xf numFmtId="0" fontId="49" fillId="0" borderId="33" xfId="0" applyFont="1" applyBorder="1" applyAlignment="1">
      <alignment vertical="top" wrapText="1"/>
    </xf>
    <xf numFmtId="0" fontId="49" fillId="0" borderId="0" xfId="0" applyFont="1" applyBorder="1" applyAlignment="1">
      <alignment vertical="top" wrapText="1"/>
    </xf>
    <xf numFmtId="0" fontId="49" fillId="0" borderId="57" xfId="0" applyFont="1" applyBorder="1" applyAlignment="1">
      <alignment vertical="top" wrapText="1"/>
    </xf>
  </cellXfs>
  <cellStyles count="13">
    <cellStyle name="Comma" xfId="1" builtinId="3"/>
    <cellStyle name="Comma 3 2" xfId="8" xr:uid="{FF4170EA-06A2-4485-BFDD-E6985738228A}"/>
    <cellStyle name="Comma 4 2" xfId="7" xr:uid="{93AF13C8-5D1A-4B38-BE42-5F10DDAA982F}"/>
    <cellStyle name="Comma 4 6 8" xfId="12" xr:uid="{5DAAFD00-DC94-4BCF-8C58-22266CA9035B}"/>
    <cellStyle name="Comma 62" xfId="6" xr:uid="{0D7828AF-341E-43C0-8B14-F749028346A4}"/>
    <cellStyle name="Normal" xfId="0" builtinId="0"/>
    <cellStyle name="Normal 2 2" xfId="5" xr:uid="{AD9C9C4D-6C1E-4D40-8E9F-125EB94446DD}"/>
    <cellStyle name="Normal 2 2 2 12" xfId="10" xr:uid="{897FB5EF-80BB-4093-95BD-9E07031E75F3}"/>
    <cellStyle name="Normal 5 2" xfId="3" xr:uid="{9ABDEAD0-E854-4475-93DC-3C88F7AD629B}"/>
    <cellStyle name="Normal 5 6" xfId="11" xr:uid="{16F5537C-9F01-4896-921E-5D12CD9456EB}"/>
    <cellStyle name="Per cent" xfId="2" builtinId="5"/>
    <cellStyle name="Percent 2 2" xfId="9" xr:uid="{0FCFC708-F6D3-4261-93D1-0D7EB2DE23FE}"/>
    <cellStyle name="Percent 62" xfId="4" xr:uid="{D16FC2AC-A02C-4E10-B975-F30917491DC5}"/>
  </cellStyles>
  <dxfs count="8">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0.xml"/><Relationship Id="rId21" Type="http://schemas.openxmlformats.org/officeDocument/2006/relationships/externalLink" Target="externalLinks/externalLink4.xml"/><Relationship Id="rId42" Type="http://schemas.openxmlformats.org/officeDocument/2006/relationships/externalLink" Target="externalLinks/externalLink25.xml"/><Relationship Id="rId63" Type="http://schemas.openxmlformats.org/officeDocument/2006/relationships/externalLink" Target="externalLinks/externalLink46.xml"/><Relationship Id="rId84" Type="http://schemas.openxmlformats.org/officeDocument/2006/relationships/externalLink" Target="externalLinks/externalLink67.xml"/><Relationship Id="rId138" Type="http://schemas.openxmlformats.org/officeDocument/2006/relationships/externalLink" Target="externalLinks/externalLink121.xml"/><Relationship Id="rId107" Type="http://schemas.openxmlformats.org/officeDocument/2006/relationships/externalLink" Target="externalLinks/externalLink90.xml"/><Relationship Id="rId11" Type="http://schemas.openxmlformats.org/officeDocument/2006/relationships/worksheet" Target="worksheets/sheet11.xml"/><Relationship Id="rId32" Type="http://schemas.openxmlformats.org/officeDocument/2006/relationships/externalLink" Target="externalLinks/externalLink15.xml"/><Relationship Id="rId53" Type="http://schemas.openxmlformats.org/officeDocument/2006/relationships/externalLink" Target="externalLinks/externalLink36.xml"/><Relationship Id="rId74" Type="http://schemas.openxmlformats.org/officeDocument/2006/relationships/externalLink" Target="externalLinks/externalLink57.xml"/><Relationship Id="rId128" Type="http://schemas.openxmlformats.org/officeDocument/2006/relationships/externalLink" Target="externalLinks/externalLink111.xml"/><Relationship Id="rId149" Type="http://schemas.openxmlformats.org/officeDocument/2006/relationships/styles" Target="styles.xml"/><Relationship Id="rId5" Type="http://schemas.openxmlformats.org/officeDocument/2006/relationships/worksheet" Target="worksheets/sheet5.xml"/><Relationship Id="rId95" Type="http://schemas.openxmlformats.org/officeDocument/2006/relationships/externalLink" Target="externalLinks/externalLink78.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43" Type="http://schemas.openxmlformats.org/officeDocument/2006/relationships/externalLink" Target="externalLinks/externalLink26.xml"/><Relationship Id="rId48" Type="http://schemas.openxmlformats.org/officeDocument/2006/relationships/externalLink" Target="externalLinks/externalLink31.xml"/><Relationship Id="rId64" Type="http://schemas.openxmlformats.org/officeDocument/2006/relationships/externalLink" Target="externalLinks/externalLink47.xml"/><Relationship Id="rId69" Type="http://schemas.openxmlformats.org/officeDocument/2006/relationships/externalLink" Target="externalLinks/externalLink52.xml"/><Relationship Id="rId113" Type="http://schemas.openxmlformats.org/officeDocument/2006/relationships/externalLink" Target="externalLinks/externalLink96.xml"/><Relationship Id="rId118" Type="http://schemas.openxmlformats.org/officeDocument/2006/relationships/externalLink" Target="externalLinks/externalLink101.xml"/><Relationship Id="rId134" Type="http://schemas.openxmlformats.org/officeDocument/2006/relationships/externalLink" Target="externalLinks/externalLink117.xml"/><Relationship Id="rId139" Type="http://schemas.openxmlformats.org/officeDocument/2006/relationships/externalLink" Target="externalLinks/externalLink122.xml"/><Relationship Id="rId80" Type="http://schemas.openxmlformats.org/officeDocument/2006/relationships/externalLink" Target="externalLinks/externalLink63.xml"/><Relationship Id="rId85" Type="http://schemas.openxmlformats.org/officeDocument/2006/relationships/externalLink" Target="externalLinks/externalLink68.xml"/><Relationship Id="rId150" Type="http://schemas.openxmlformats.org/officeDocument/2006/relationships/sharedStrings" Target="sharedString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externalLink" Target="externalLinks/externalLink16.xml"/><Relationship Id="rId38" Type="http://schemas.openxmlformats.org/officeDocument/2006/relationships/externalLink" Target="externalLinks/externalLink21.xml"/><Relationship Id="rId59" Type="http://schemas.openxmlformats.org/officeDocument/2006/relationships/externalLink" Target="externalLinks/externalLink42.xml"/><Relationship Id="rId103" Type="http://schemas.openxmlformats.org/officeDocument/2006/relationships/externalLink" Target="externalLinks/externalLink86.xml"/><Relationship Id="rId108" Type="http://schemas.openxmlformats.org/officeDocument/2006/relationships/externalLink" Target="externalLinks/externalLink91.xml"/><Relationship Id="rId124" Type="http://schemas.openxmlformats.org/officeDocument/2006/relationships/externalLink" Target="externalLinks/externalLink107.xml"/><Relationship Id="rId129" Type="http://schemas.openxmlformats.org/officeDocument/2006/relationships/externalLink" Target="externalLinks/externalLink112.xml"/><Relationship Id="rId54" Type="http://schemas.openxmlformats.org/officeDocument/2006/relationships/externalLink" Target="externalLinks/externalLink37.xml"/><Relationship Id="rId70" Type="http://schemas.openxmlformats.org/officeDocument/2006/relationships/externalLink" Target="externalLinks/externalLink53.xml"/><Relationship Id="rId75" Type="http://schemas.openxmlformats.org/officeDocument/2006/relationships/externalLink" Target="externalLinks/externalLink58.xml"/><Relationship Id="rId91" Type="http://schemas.openxmlformats.org/officeDocument/2006/relationships/externalLink" Target="externalLinks/externalLink74.xml"/><Relationship Id="rId96" Type="http://schemas.openxmlformats.org/officeDocument/2006/relationships/externalLink" Target="externalLinks/externalLink79.xml"/><Relationship Id="rId140" Type="http://schemas.openxmlformats.org/officeDocument/2006/relationships/externalLink" Target="externalLinks/externalLink123.xml"/><Relationship Id="rId145" Type="http://schemas.openxmlformats.org/officeDocument/2006/relationships/externalLink" Target="externalLinks/externalLink128.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49" Type="http://schemas.openxmlformats.org/officeDocument/2006/relationships/externalLink" Target="externalLinks/externalLink32.xml"/><Relationship Id="rId114" Type="http://schemas.openxmlformats.org/officeDocument/2006/relationships/externalLink" Target="externalLinks/externalLink97.xml"/><Relationship Id="rId119" Type="http://schemas.openxmlformats.org/officeDocument/2006/relationships/externalLink" Target="externalLinks/externalLink102.xml"/><Relationship Id="rId44" Type="http://schemas.openxmlformats.org/officeDocument/2006/relationships/externalLink" Target="externalLinks/externalLink27.xml"/><Relationship Id="rId60" Type="http://schemas.openxmlformats.org/officeDocument/2006/relationships/externalLink" Target="externalLinks/externalLink43.xml"/><Relationship Id="rId65" Type="http://schemas.openxmlformats.org/officeDocument/2006/relationships/externalLink" Target="externalLinks/externalLink48.xml"/><Relationship Id="rId81" Type="http://schemas.openxmlformats.org/officeDocument/2006/relationships/externalLink" Target="externalLinks/externalLink64.xml"/><Relationship Id="rId86" Type="http://schemas.openxmlformats.org/officeDocument/2006/relationships/externalLink" Target="externalLinks/externalLink69.xml"/><Relationship Id="rId130" Type="http://schemas.openxmlformats.org/officeDocument/2006/relationships/externalLink" Target="externalLinks/externalLink113.xml"/><Relationship Id="rId135" Type="http://schemas.openxmlformats.org/officeDocument/2006/relationships/externalLink" Target="externalLinks/externalLink118.xml"/><Relationship Id="rId151" Type="http://schemas.microsoft.com/office/2017/10/relationships/person" Target="persons/person.xml"/><Relationship Id="rId13" Type="http://schemas.openxmlformats.org/officeDocument/2006/relationships/worksheet" Target="worksheets/sheet13.xml"/><Relationship Id="rId18" Type="http://schemas.openxmlformats.org/officeDocument/2006/relationships/externalLink" Target="externalLinks/externalLink1.xml"/><Relationship Id="rId39" Type="http://schemas.openxmlformats.org/officeDocument/2006/relationships/externalLink" Target="externalLinks/externalLink22.xml"/><Relationship Id="rId109" Type="http://schemas.openxmlformats.org/officeDocument/2006/relationships/externalLink" Target="externalLinks/externalLink92.xml"/><Relationship Id="rId34" Type="http://schemas.openxmlformats.org/officeDocument/2006/relationships/externalLink" Target="externalLinks/externalLink17.xml"/><Relationship Id="rId50" Type="http://schemas.openxmlformats.org/officeDocument/2006/relationships/externalLink" Target="externalLinks/externalLink33.xml"/><Relationship Id="rId55" Type="http://schemas.openxmlformats.org/officeDocument/2006/relationships/externalLink" Target="externalLinks/externalLink38.xml"/><Relationship Id="rId76" Type="http://schemas.openxmlformats.org/officeDocument/2006/relationships/externalLink" Target="externalLinks/externalLink59.xml"/><Relationship Id="rId97" Type="http://schemas.openxmlformats.org/officeDocument/2006/relationships/externalLink" Target="externalLinks/externalLink80.xml"/><Relationship Id="rId104" Type="http://schemas.openxmlformats.org/officeDocument/2006/relationships/externalLink" Target="externalLinks/externalLink87.xml"/><Relationship Id="rId120" Type="http://schemas.openxmlformats.org/officeDocument/2006/relationships/externalLink" Target="externalLinks/externalLink103.xml"/><Relationship Id="rId125" Type="http://schemas.openxmlformats.org/officeDocument/2006/relationships/externalLink" Target="externalLinks/externalLink108.xml"/><Relationship Id="rId141" Type="http://schemas.openxmlformats.org/officeDocument/2006/relationships/externalLink" Target="externalLinks/externalLink124.xml"/><Relationship Id="rId146" Type="http://schemas.openxmlformats.org/officeDocument/2006/relationships/externalLink" Target="externalLinks/externalLink129.xml"/><Relationship Id="rId7" Type="http://schemas.openxmlformats.org/officeDocument/2006/relationships/worksheet" Target="worksheets/sheet7.xml"/><Relationship Id="rId71" Type="http://schemas.openxmlformats.org/officeDocument/2006/relationships/externalLink" Target="externalLinks/externalLink54.xml"/><Relationship Id="rId92" Type="http://schemas.openxmlformats.org/officeDocument/2006/relationships/externalLink" Target="externalLinks/externalLink75.xml"/><Relationship Id="rId2" Type="http://schemas.openxmlformats.org/officeDocument/2006/relationships/worksheet" Target="worksheets/sheet2.xml"/><Relationship Id="rId29" Type="http://schemas.openxmlformats.org/officeDocument/2006/relationships/externalLink" Target="externalLinks/externalLink12.xml"/><Relationship Id="rId24" Type="http://schemas.openxmlformats.org/officeDocument/2006/relationships/externalLink" Target="externalLinks/externalLink7.xml"/><Relationship Id="rId40" Type="http://schemas.openxmlformats.org/officeDocument/2006/relationships/externalLink" Target="externalLinks/externalLink23.xml"/><Relationship Id="rId45" Type="http://schemas.openxmlformats.org/officeDocument/2006/relationships/externalLink" Target="externalLinks/externalLink28.xml"/><Relationship Id="rId66" Type="http://schemas.openxmlformats.org/officeDocument/2006/relationships/externalLink" Target="externalLinks/externalLink49.xml"/><Relationship Id="rId87" Type="http://schemas.openxmlformats.org/officeDocument/2006/relationships/externalLink" Target="externalLinks/externalLink70.xml"/><Relationship Id="rId110" Type="http://schemas.openxmlformats.org/officeDocument/2006/relationships/externalLink" Target="externalLinks/externalLink93.xml"/><Relationship Id="rId115" Type="http://schemas.openxmlformats.org/officeDocument/2006/relationships/externalLink" Target="externalLinks/externalLink98.xml"/><Relationship Id="rId131" Type="http://schemas.openxmlformats.org/officeDocument/2006/relationships/externalLink" Target="externalLinks/externalLink114.xml"/><Relationship Id="rId136" Type="http://schemas.openxmlformats.org/officeDocument/2006/relationships/externalLink" Target="externalLinks/externalLink119.xml"/><Relationship Id="rId61" Type="http://schemas.openxmlformats.org/officeDocument/2006/relationships/externalLink" Target="externalLinks/externalLink44.xml"/><Relationship Id="rId82" Type="http://schemas.openxmlformats.org/officeDocument/2006/relationships/externalLink" Target="externalLinks/externalLink65.xml"/><Relationship Id="rId152" Type="http://schemas.openxmlformats.org/officeDocument/2006/relationships/calcChain" Target="calcChain.xml"/><Relationship Id="rId19" Type="http://schemas.openxmlformats.org/officeDocument/2006/relationships/externalLink" Target="externalLinks/externalLink2.xml"/><Relationship Id="rId14" Type="http://schemas.openxmlformats.org/officeDocument/2006/relationships/worksheet" Target="worksheets/sheet14.xml"/><Relationship Id="rId30" Type="http://schemas.openxmlformats.org/officeDocument/2006/relationships/externalLink" Target="externalLinks/externalLink13.xml"/><Relationship Id="rId35" Type="http://schemas.openxmlformats.org/officeDocument/2006/relationships/externalLink" Target="externalLinks/externalLink18.xml"/><Relationship Id="rId56" Type="http://schemas.openxmlformats.org/officeDocument/2006/relationships/externalLink" Target="externalLinks/externalLink39.xml"/><Relationship Id="rId77" Type="http://schemas.openxmlformats.org/officeDocument/2006/relationships/externalLink" Target="externalLinks/externalLink60.xml"/><Relationship Id="rId100" Type="http://schemas.openxmlformats.org/officeDocument/2006/relationships/externalLink" Target="externalLinks/externalLink83.xml"/><Relationship Id="rId105" Type="http://schemas.openxmlformats.org/officeDocument/2006/relationships/externalLink" Target="externalLinks/externalLink88.xml"/><Relationship Id="rId126" Type="http://schemas.openxmlformats.org/officeDocument/2006/relationships/externalLink" Target="externalLinks/externalLink109.xml"/><Relationship Id="rId147" Type="http://schemas.openxmlformats.org/officeDocument/2006/relationships/externalLink" Target="externalLinks/externalLink130.xml"/><Relationship Id="rId8" Type="http://schemas.openxmlformats.org/officeDocument/2006/relationships/worksheet" Target="worksheets/sheet8.xml"/><Relationship Id="rId51" Type="http://schemas.openxmlformats.org/officeDocument/2006/relationships/externalLink" Target="externalLinks/externalLink34.xml"/><Relationship Id="rId72" Type="http://schemas.openxmlformats.org/officeDocument/2006/relationships/externalLink" Target="externalLinks/externalLink55.xml"/><Relationship Id="rId93" Type="http://schemas.openxmlformats.org/officeDocument/2006/relationships/externalLink" Target="externalLinks/externalLink76.xml"/><Relationship Id="rId98" Type="http://schemas.openxmlformats.org/officeDocument/2006/relationships/externalLink" Target="externalLinks/externalLink81.xml"/><Relationship Id="rId121" Type="http://schemas.openxmlformats.org/officeDocument/2006/relationships/externalLink" Target="externalLinks/externalLink104.xml"/><Relationship Id="rId142" Type="http://schemas.openxmlformats.org/officeDocument/2006/relationships/externalLink" Target="externalLinks/externalLink125.xml"/><Relationship Id="rId3" Type="http://schemas.openxmlformats.org/officeDocument/2006/relationships/worksheet" Target="worksheets/sheet3.xml"/><Relationship Id="rId25" Type="http://schemas.openxmlformats.org/officeDocument/2006/relationships/externalLink" Target="externalLinks/externalLink8.xml"/><Relationship Id="rId46" Type="http://schemas.openxmlformats.org/officeDocument/2006/relationships/externalLink" Target="externalLinks/externalLink29.xml"/><Relationship Id="rId67" Type="http://schemas.openxmlformats.org/officeDocument/2006/relationships/externalLink" Target="externalLinks/externalLink50.xml"/><Relationship Id="rId116" Type="http://schemas.openxmlformats.org/officeDocument/2006/relationships/externalLink" Target="externalLinks/externalLink99.xml"/><Relationship Id="rId137" Type="http://schemas.openxmlformats.org/officeDocument/2006/relationships/externalLink" Target="externalLinks/externalLink120.xml"/><Relationship Id="rId20" Type="http://schemas.openxmlformats.org/officeDocument/2006/relationships/externalLink" Target="externalLinks/externalLink3.xml"/><Relationship Id="rId41" Type="http://schemas.openxmlformats.org/officeDocument/2006/relationships/externalLink" Target="externalLinks/externalLink24.xml"/><Relationship Id="rId62" Type="http://schemas.openxmlformats.org/officeDocument/2006/relationships/externalLink" Target="externalLinks/externalLink45.xml"/><Relationship Id="rId83" Type="http://schemas.openxmlformats.org/officeDocument/2006/relationships/externalLink" Target="externalLinks/externalLink66.xml"/><Relationship Id="rId88" Type="http://schemas.openxmlformats.org/officeDocument/2006/relationships/externalLink" Target="externalLinks/externalLink71.xml"/><Relationship Id="rId111" Type="http://schemas.openxmlformats.org/officeDocument/2006/relationships/externalLink" Target="externalLinks/externalLink94.xml"/><Relationship Id="rId132" Type="http://schemas.openxmlformats.org/officeDocument/2006/relationships/externalLink" Target="externalLinks/externalLink115.xml"/><Relationship Id="rId15" Type="http://schemas.openxmlformats.org/officeDocument/2006/relationships/worksheet" Target="worksheets/sheet15.xml"/><Relationship Id="rId36" Type="http://schemas.openxmlformats.org/officeDocument/2006/relationships/externalLink" Target="externalLinks/externalLink19.xml"/><Relationship Id="rId57" Type="http://schemas.openxmlformats.org/officeDocument/2006/relationships/externalLink" Target="externalLinks/externalLink40.xml"/><Relationship Id="rId106" Type="http://schemas.openxmlformats.org/officeDocument/2006/relationships/externalLink" Target="externalLinks/externalLink89.xml"/><Relationship Id="rId127" Type="http://schemas.openxmlformats.org/officeDocument/2006/relationships/externalLink" Target="externalLinks/externalLink110.xml"/><Relationship Id="rId10" Type="http://schemas.openxmlformats.org/officeDocument/2006/relationships/worksheet" Target="worksheets/sheet10.xml"/><Relationship Id="rId31" Type="http://schemas.openxmlformats.org/officeDocument/2006/relationships/externalLink" Target="externalLinks/externalLink14.xml"/><Relationship Id="rId52" Type="http://schemas.openxmlformats.org/officeDocument/2006/relationships/externalLink" Target="externalLinks/externalLink35.xml"/><Relationship Id="rId73" Type="http://schemas.openxmlformats.org/officeDocument/2006/relationships/externalLink" Target="externalLinks/externalLink56.xml"/><Relationship Id="rId78" Type="http://schemas.openxmlformats.org/officeDocument/2006/relationships/externalLink" Target="externalLinks/externalLink61.xml"/><Relationship Id="rId94" Type="http://schemas.openxmlformats.org/officeDocument/2006/relationships/externalLink" Target="externalLinks/externalLink77.xml"/><Relationship Id="rId99" Type="http://schemas.openxmlformats.org/officeDocument/2006/relationships/externalLink" Target="externalLinks/externalLink82.xml"/><Relationship Id="rId101" Type="http://schemas.openxmlformats.org/officeDocument/2006/relationships/externalLink" Target="externalLinks/externalLink84.xml"/><Relationship Id="rId122" Type="http://schemas.openxmlformats.org/officeDocument/2006/relationships/externalLink" Target="externalLinks/externalLink105.xml"/><Relationship Id="rId143" Type="http://schemas.openxmlformats.org/officeDocument/2006/relationships/externalLink" Target="externalLinks/externalLink126.xml"/><Relationship Id="rId148"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externalLink" Target="externalLinks/externalLink9.xml"/><Relationship Id="rId47" Type="http://schemas.openxmlformats.org/officeDocument/2006/relationships/externalLink" Target="externalLinks/externalLink30.xml"/><Relationship Id="rId68" Type="http://schemas.openxmlformats.org/officeDocument/2006/relationships/externalLink" Target="externalLinks/externalLink51.xml"/><Relationship Id="rId89" Type="http://schemas.openxmlformats.org/officeDocument/2006/relationships/externalLink" Target="externalLinks/externalLink72.xml"/><Relationship Id="rId112" Type="http://schemas.openxmlformats.org/officeDocument/2006/relationships/externalLink" Target="externalLinks/externalLink95.xml"/><Relationship Id="rId133" Type="http://schemas.openxmlformats.org/officeDocument/2006/relationships/externalLink" Target="externalLinks/externalLink116.xml"/><Relationship Id="rId16" Type="http://schemas.openxmlformats.org/officeDocument/2006/relationships/worksheet" Target="worksheets/sheet16.xml"/><Relationship Id="rId37" Type="http://schemas.openxmlformats.org/officeDocument/2006/relationships/externalLink" Target="externalLinks/externalLink20.xml"/><Relationship Id="rId58" Type="http://schemas.openxmlformats.org/officeDocument/2006/relationships/externalLink" Target="externalLinks/externalLink41.xml"/><Relationship Id="rId79" Type="http://schemas.openxmlformats.org/officeDocument/2006/relationships/externalLink" Target="externalLinks/externalLink62.xml"/><Relationship Id="rId102" Type="http://schemas.openxmlformats.org/officeDocument/2006/relationships/externalLink" Target="externalLinks/externalLink85.xml"/><Relationship Id="rId123" Type="http://schemas.openxmlformats.org/officeDocument/2006/relationships/externalLink" Target="externalLinks/externalLink106.xml"/><Relationship Id="rId144" Type="http://schemas.openxmlformats.org/officeDocument/2006/relationships/externalLink" Target="externalLinks/externalLink127.xml"/><Relationship Id="rId90" Type="http://schemas.openxmlformats.org/officeDocument/2006/relationships/externalLink" Target="externalLinks/externalLink7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FY25 Revenue mix</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dPt>
          <c:dPt>
            <c:idx val="1"/>
            <c:bubble3D val="0"/>
            <c:spPr>
              <a:solidFill>
                <a:schemeClr val="accent2"/>
              </a:solidFill>
              <a:ln w="19050">
                <a:solidFill>
                  <a:schemeClr val="lt1"/>
                </a:solidFill>
              </a:ln>
              <a:effectLst/>
            </c:spPr>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Sheet1!$B$3:$B$4</c:f>
              <c:strCache>
                <c:ptCount val="2"/>
                <c:pt idx="0">
                  <c:v>SiriusXM</c:v>
                </c:pt>
                <c:pt idx="1">
                  <c:v>Pandora and Off-platform</c:v>
                </c:pt>
              </c:strCache>
            </c:strRef>
          </c:cat>
          <c:val>
            <c:numRef>
              <c:f>Sheet1!$C$3:$C$4</c:f>
              <c:numCache>
                <c:formatCode>General</c:formatCode>
                <c:ptCount val="2"/>
                <c:pt idx="0">
                  <c:v>6417</c:v>
                </c:pt>
                <c:pt idx="1">
                  <c:v>2141</c:v>
                </c:pt>
              </c:numCache>
            </c:numRef>
          </c:val>
          <c:extLst>
            <c:ext xmlns:c16="http://schemas.microsoft.com/office/drawing/2014/chart" uri="{C3380CC4-5D6E-409C-BE32-E72D297353CC}">
              <c16:uniqueId val="{00000000-B28A-5E48-BC54-C662F84220D8}"/>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image" Target="../media/image10.png"/><Relationship Id="rId4" Type="http://schemas.openxmlformats.org/officeDocument/2006/relationships/image" Target="../media/image13.png"/></Relationships>
</file>

<file path=xl/drawings/_rels/drawing5.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_rels/drawing6.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image" Target="../media/image10.png"/><Relationship Id="rId4" Type="http://schemas.openxmlformats.org/officeDocument/2006/relationships/image" Target="../media/image13.png"/></Relationships>
</file>

<file path=xl/drawings/_rels/drawing7.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7</xdr:col>
      <xdr:colOff>158750</xdr:colOff>
      <xdr:row>0</xdr:row>
      <xdr:rowOff>0</xdr:rowOff>
    </xdr:from>
    <xdr:to>
      <xdr:col>12</xdr:col>
      <xdr:colOff>603250</xdr:colOff>
      <xdr:row>13</xdr:row>
      <xdr:rowOff>76200</xdr:rowOff>
    </xdr:to>
    <xdr:graphicFrame macro="">
      <xdr:nvGraphicFramePr>
        <xdr:cNvPr id="2" name="Chart 1">
          <a:extLst>
            <a:ext uri="{FF2B5EF4-FFF2-40B4-BE49-F238E27FC236}">
              <a16:creationId xmlns:a16="http://schemas.microsoft.com/office/drawing/2014/main" id="{3B79EE80-3148-C246-2E48-B2219164122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228606</xdr:colOff>
      <xdr:row>7</xdr:row>
      <xdr:rowOff>5444</xdr:rowOff>
    </xdr:from>
    <xdr:to>
      <xdr:col>12</xdr:col>
      <xdr:colOff>705764</xdr:colOff>
      <xdr:row>22</xdr:row>
      <xdr:rowOff>36288</xdr:rowOff>
    </xdr:to>
    <xdr:pic>
      <xdr:nvPicPr>
        <xdr:cNvPr id="2" name="Picture 1">
          <a:extLst>
            <a:ext uri="{FF2B5EF4-FFF2-40B4-BE49-F238E27FC236}">
              <a16:creationId xmlns:a16="http://schemas.microsoft.com/office/drawing/2014/main" id="{9CB994A0-5029-2E45-4E19-B1C73E2EE434}"/>
            </a:ext>
          </a:extLst>
        </xdr:cNvPr>
        <xdr:cNvPicPr>
          <a:picLocks noChangeAspect="1"/>
        </xdr:cNvPicPr>
      </xdr:nvPicPr>
      <xdr:blipFill rotWithShape="1">
        <a:blip xmlns:r="http://schemas.openxmlformats.org/officeDocument/2006/relationships" r:embed="rId1"/>
        <a:srcRect l="27077" t="27639" r="7330" b="12978"/>
        <a:stretch>
          <a:fillRect/>
        </a:stretch>
      </xdr:blipFill>
      <xdr:spPr>
        <a:xfrm>
          <a:off x="8153406" y="2824844"/>
          <a:ext cx="5099958" cy="28883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63499</xdr:colOff>
      <xdr:row>0</xdr:row>
      <xdr:rowOff>127000</xdr:rowOff>
    </xdr:from>
    <xdr:to>
      <xdr:col>24</xdr:col>
      <xdr:colOff>244584</xdr:colOff>
      <xdr:row>34</xdr:row>
      <xdr:rowOff>94473</xdr:rowOff>
    </xdr:to>
    <xdr:pic>
      <xdr:nvPicPr>
        <xdr:cNvPr id="2" name="Picture 1">
          <a:extLst>
            <a:ext uri="{FF2B5EF4-FFF2-40B4-BE49-F238E27FC236}">
              <a16:creationId xmlns:a16="http://schemas.microsoft.com/office/drawing/2014/main" id="{5780362D-7B56-C9ED-B3C6-33965968A7DF}"/>
            </a:ext>
          </a:extLst>
        </xdr:cNvPr>
        <xdr:cNvPicPr>
          <a:picLocks noChangeAspect="1"/>
        </xdr:cNvPicPr>
      </xdr:nvPicPr>
      <xdr:blipFill rotWithShape="1">
        <a:blip xmlns:r="http://schemas.openxmlformats.org/officeDocument/2006/relationships" r:embed="rId1"/>
        <a:srcRect l="22642" t="20354" r="1728" b="1400"/>
        <a:stretch>
          <a:fillRect/>
        </a:stretch>
      </xdr:blipFill>
      <xdr:spPr>
        <a:xfrm>
          <a:off x="11284856" y="127000"/>
          <a:ext cx="10087085" cy="6522358"/>
        </a:xfrm>
        <a:prstGeom prst="rect">
          <a:avLst/>
        </a:prstGeom>
      </xdr:spPr>
    </xdr:pic>
    <xdr:clientData/>
  </xdr:twoCellAnchor>
  <xdr:twoCellAnchor editAs="oneCell">
    <xdr:from>
      <xdr:col>24</xdr:col>
      <xdr:colOff>789216</xdr:colOff>
      <xdr:row>0</xdr:row>
      <xdr:rowOff>0</xdr:rowOff>
    </xdr:from>
    <xdr:to>
      <xdr:col>35</xdr:col>
      <xdr:colOff>526144</xdr:colOff>
      <xdr:row>34</xdr:row>
      <xdr:rowOff>154992</xdr:rowOff>
    </xdr:to>
    <xdr:pic>
      <xdr:nvPicPr>
        <xdr:cNvPr id="4" name="Picture 3">
          <a:extLst>
            <a:ext uri="{FF2B5EF4-FFF2-40B4-BE49-F238E27FC236}">
              <a16:creationId xmlns:a16="http://schemas.microsoft.com/office/drawing/2014/main" id="{0AC5FF6C-33CC-D341-A848-4D10714AE9FF}"/>
            </a:ext>
          </a:extLst>
        </xdr:cNvPr>
        <xdr:cNvPicPr>
          <a:picLocks noChangeAspect="1"/>
        </xdr:cNvPicPr>
      </xdr:nvPicPr>
      <xdr:blipFill rotWithShape="1">
        <a:blip xmlns:r="http://schemas.openxmlformats.org/officeDocument/2006/relationships" r:embed="rId2"/>
        <a:srcRect l="33030" t="23716" r="11415" b="8683"/>
        <a:stretch>
          <a:fillRect/>
        </a:stretch>
      </xdr:blipFill>
      <xdr:spPr>
        <a:xfrm>
          <a:off x="22034502" y="0"/>
          <a:ext cx="8917213" cy="7018306"/>
        </a:xfrm>
        <a:prstGeom prst="rect">
          <a:avLst/>
        </a:prstGeom>
      </xdr:spPr>
    </xdr:pic>
    <xdr:clientData/>
  </xdr:twoCellAnchor>
  <xdr:twoCellAnchor editAs="oneCell">
    <xdr:from>
      <xdr:col>35</xdr:col>
      <xdr:colOff>634999</xdr:colOff>
      <xdr:row>1</xdr:row>
      <xdr:rowOff>0</xdr:rowOff>
    </xdr:from>
    <xdr:to>
      <xdr:col>46</xdr:col>
      <xdr:colOff>264506</xdr:colOff>
      <xdr:row>33</xdr:row>
      <xdr:rowOff>121686</xdr:rowOff>
    </xdr:to>
    <xdr:pic>
      <xdr:nvPicPr>
        <xdr:cNvPr id="5" name="Picture 4">
          <a:extLst>
            <a:ext uri="{FF2B5EF4-FFF2-40B4-BE49-F238E27FC236}">
              <a16:creationId xmlns:a16="http://schemas.microsoft.com/office/drawing/2014/main" id="{01FF1A03-CF76-CDF4-B516-B0A878CC051C}"/>
            </a:ext>
          </a:extLst>
        </xdr:cNvPr>
        <xdr:cNvPicPr>
          <a:picLocks noChangeAspect="1"/>
        </xdr:cNvPicPr>
      </xdr:nvPicPr>
      <xdr:blipFill rotWithShape="1">
        <a:blip xmlns:r="http://schemas.openxmlformats.org/officeDocument/2006/relationships" r:embed="rId3"/>
        <a:srcRect l="32546" t="23747" r="11904" b="9924"/>
        <a:stretch>
          <a:fillRect/>
        </a:stretch>
      </xdr:blipFill>
      <xdr:spPr>
        <a:xfrm>
          <a:off x="30835599" y="190500"/>
          <a:ext cx="8710007" cy="6299200"/>
        </a:xfrm>
        <a:prstGeom prst="rect">
          <a:avLst/>
        </a:prstGeom>
      </xdr:spPr>
    </xdr:pic>
    <xdr:clientData/>
  </xdr:twoCellAnchor>
  <xdr:twoCellAnchor editAs="oneCell">
    <xdr:from>
      <xdr:col>46</xdr:col>
      <xdr:colOff>228600</xdr:colOff>
      <xdr:row>0</xdr:row>
      <xdr:rowOff>165100</xdr:rowOff>
    </xdr:from>
    <xdr:to>
      <xdr:col>57</xdr:col>
      <xdr:colOff>0</xdr:colOff>
      <xdr:row>33</xdr:row>
      <xdr:rowOff>163859</xdr:rowOff>
    </xdr:to>
    <xdr:pic>
      <xdr:nvPicPr>
        <xdr:cNvPr id="6" name="Picture 5">
          <a:extLst>
            <a:ext uri="{FF2B5EF4-FFF2-40B4-BE49-F238E27FC236}">
              <a16:creationId xmlns:a16="http://schemas.microsoft.com/office/drawing/2014/main" id="{02BDD54C-B2AE-346F-B23C-C100A725E10F}"/>
            </a:ext>
          </a:extLst>
        </xdr:cNvPr>
        <xdr:cNvPicPr>
          <a:picLocks noChangeAspect="1"/>
        </xdr:cNvPicPr>
      </xdr:nvPicPr>
      <xdr:blipFill rotWithShape="1">
        <a:blip xmlns:r="http://schemas.openxmlformats.org/officeDocument/2006/relationships" r:embed="rId4"/>
        <a:srcRect l="32353" t="28052" r="11765" b="7714"/>
        <a:stretch>
          <a:fillRect/>
        </a:stretch>
      </xdr:blipFill>
      <xdr:spPr>
        <a:xfrm>
          <a:off x="39535100" y="165100"/>
          <a:ext cx="8851900" cy="6354073"/>
        </a:xfrm>
        <a:prstGeom prst="rect">
          <a:avLst/>
        </a:prstGeom>
      </xdr:spPr>
    </xdr:pic>
    <xdr:clientData/>
  </xdr:twoCellAnchor>
  <xdr:twoCellAnchor editAs="oneCell">
    <xdr:from>
      <xdr:col>12</xdr:col>
      <xdr:colOff>290286</xdr:colOff>
      <xdr:row>37</xdr:row>
      <xdr:rowOff>90715</xdr:rowOff>
    </xdr:from>
    <xdr:to>
      <xdr:col>20</xdr:col>
      <xdr:colOff>798285</xdr:colOff>
      <xdr:row>73</xdr:row>
      <xdr:rowOff>127375</xdr:rowOff>
    </xdr:to>
    <xdr:pic>
      <xdr:nvPicPr>
        <xdr:cNvPr id="7" name="Picture 6">
          <a:extLst>
            <a:ext uri="{FF2B5EF4-FFF2-40B4-BE49-F238E27FC236}">
              <a16:creationId xmlns:a16="http://schemas.microsoft.com/office/drawing/2014/main" id="{67320F64-943D-1AF5-9D71-9048427262A8}"/>
            </a:ext>
          </a:extLst>
        </xdr:cNvPr>
        <xdr:cNvPicPr>
          <a:picLocks noChangeAspect="1"/>
        </xdr:cNvPicPr>
      </xdr:nvPicPr>
      <xdr:blipFill rotWithShape="1">
        <a:blip xmlns:r="http://schemas.openxmlformats.org/officeDocument/2006/relationships" r:embed="rId5"/>
        <a:srcRect t="23156" r="50980"/>
        <a:stretch>
          <a:fillRect/>
        </a:stretch>
      </xdr:blipFill>
      <xdr:spPr>
        <a:xfrm>
          <a:off x="11711215" y="6767286"/>
          <a:ext cx="7111999" cy="6968068"/>
        </a:xfrm>
        <a:prstGeom prst="rect">
          <a:avLst/>
        </a:prstGeom>
      </xdr:spPr>
    </xdr:pic>
    <xdr:clientData/>
  </xdr:twoCellAnchor>
  <xdr:twoCellAnchor editAs="oneCell">
    <xdr:from>
      <xdr:col>21</xdr:col>
      <xdr:colOff>326570</xdr:colOff>
      <xdr:row>38</xdr:row>
      <xdr:rowOff>90715</xdr:rowOff>
    </xdr:from>
    <xdr:to>
      <xdr:col>31</xdr:col>
      <xdr:colOff>649843</xdr:colOff>
      <xdr:row>73</xdr:row>
      <xdr:rowOff>91229</xdr:rowOff>
    </xdr:to>
    <xdr:pic>
      <xdr:nvPicPr>
        <xdr:cNvPr id="8" name="Picture 7">
          <a:extLst>
            <a:ext uri="{FF2B5EF4-FFF2-40B4-BE49-F238E27FC236}">
              <a16:creationId xmlns:a16="http://schemas.microsoft.com/office/drawing/2014/main" id="{2CC35A30-3BF0-326F-37C6-252A5686B45B}"/>
            </a:ext>
          </a:extLst>
        </xdr:cNvPr>
        <xdr:cNvPicPr>
          <a:picLocks noChangeAspect="1"/>
        </xdr:cNvPicPr>
      </xdr:nvPicPr>
      <xdr:blipFill rotWithShape="1">
        <a:blip xmlns:r="http://schemas.openxmlformats.org/officeDocument/2006/relationships" r:embed="rId6"/>
        <a:srcRect l="30346" t="20168" r="9197" b="3828"/>
        <a:stretch>
          <a:fillRect/>
        </a:stretch>
      </xdr:blipFill>
      <xdr:spPr>
        <a:xfrm>
          <a:off x="19176999" y="6957786"/>
          <a:ext cx="8578273" cy="6740071"/>
        </a:xfrm>
        <a:prstGeom prst="rect">
          <a:avLst/>
        </a:prstGeom>
      </xdr:spPr>
    </xdr:pic>
    <xdr:clientData/>
  </xdr:twoCellAnchor>
  <xdr:twoCellAnchor editAs="oneCell">
    <xdr:from>
      <xdr:col>32</xdr:col>
      <xdr:colOff>18141</xdr:colOff>
      <xdr:row>39</xdr:row>
      <xdr:rowOff>145143</xdr:rowOff>
    </xdr:from>
    <xdr:to>
      <xdr:col>42</xdr:col>
      <xdr:colOff>67186</xdr:colOff>
      <xdr:row>73</xdr:row>
      <xdr:rowOff>127386</xdr:rowOff>
    </xdr:to>
    <xdr:pic>
      <xdr:nvPicPr>
        <xdr:cNvPr id="9" name="Picture 8">
          <a:extLst>
            <a:ext uri="{FF2B5EF4-FFF2-40B4-BE49-F238E27FC236}">
              <a16:creationId xmlns:a16="http://schemas.microsoft.com/office/drawing/2014/main" id="{5202AFB0-7858-C1F0-69A0-D847970C4A96}"/>
            </a:ext>
          </a:extLst>
        </xdr:cNvPr>
        <xdr:cNvPicPr>
          <a:picLocks noChangeAspect="1"/>
        </xdr:cNvPicPr>
      </xdr:nvPicPr>
      <xdr:blipFill rotWithShape="1">
        <a:blip xmlns:r="http://schemas.openxmlformats.org/officeDocument/2006/relationships" r:embed="rId7"/>
        <a:srcRect l="30346" t="20915" r="8497" b="2335"/>
        <a:stretch>
          <a:fillRect/>
        </a:stretch>
      </xdr:blipFill>
      <xdr:spPr>
        <a:xfrm>
          <a:off x="27949070" y="7202714"/>
          <a:ext cx="8304045" cy="6513286"/>
        </a:xfrm>
        <a:prstGeom prst="rect">
          <a:avLst/>
        </a:prstGeom>
      </xdr:spPr>
    </xdr:pic>
    <xdr:clientData/>
  </xdr:twoCellAnchor>
  <xdr:twoCellAnchor editAs="oneCell">
    <xdr:from>
      <xdr:col>42</xdr:col>
      <xdr:colOff>342270</xdr:colOff>
      <xdr:row>42</xdr:row>
      <xdr:rowOff>54043</xdr:rowOff>
    </xdr:from>
    <xdr:to>
      <xdr:col>50</xdr:col>
      <xdr:colOff>684539</xdr:colOff>
      <xdr:row>73</xdr:row>
      <xdr:rowOff>43031</xdr:rowOff>
    </xdr:to>
    <xdr:pic>
      <xdr:nvPicPr>
        <xdr:cNvPr id="10" name="Picture 9">
          <a:extLst>
            <a:ext uri="{FF2B5EF4-FFF2-40B4-BE49-F238E27FC236}">
              <a16:creationId xmlns:a16="http://schemas.microsoft.com/office/drawing/2014/main" id="{1E3CCAD5-850C-C307-E0EC-52EA1466192E}"/>
            </a:ext>
          </a:extLst>
        </xdr:cNvPr>
        <xdr:cNvPicPr>
          <a:picLocks noChangeAspect="1"/>
        </xdr:cNvPicPr>
      </xdr:nvPicPr>
      <xdr:blipFill rotWithShape="1">
        <a:blip xmlns:r="http://schemas.openxmlformats.org/officeDocument/2006/relationships" r:embed="rId8"/>
        <a:srcRect l="31753" t="19283" r="11927" b="5067"/>
        <a:stretch>
          <a:fillRect/>
        </a:stretch>
      </xdr:blipFill>
      <xdr:spPr>
        <a:xfrm>
          <a:off x="36631844" y="7638015"/>
          <a:ext cx="6971489" cy="58526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263585</xdr:colOff>
      <xdr:row>42</xdr:row>
      <xdr:rowOff>0</xdr:rowOff>
    </xdr:from>
    <xdr:to>
      <xdr:col>32</xdr:col>
      <xdr:colOff>429258</xdr:colOff>
      <xdr:row>49</xdr:row>
      <xdr:rowOff>525392</xdr:rowOff>
    </xdr:to>
    <xdr:pic>
      <xdr:nvPicPr>
        <xdr:cNvPr id="3" name="Picture 2">
          <a:extLst>
            <a:ext uri="{FF2B5EF4-FFF2-40B4-BE49-F238E27FC236}">
              <a16:creationId xmlns:a16="http://schemas.microsoft.com/office/drawing/2014/main" id="{4B64E168-3481-28F7-235B-EAD5606F8BD9}"/>
            </a:ext>
          </a:extLst>
        </xdr:cNvPr>
        <xdr:cNvPicPr>
          <a:picLocks noChangeAspect="1"/>
        </xdr:cNvPicPr>
      </xdr:nvPicPr>
      <xdr:blipFill rotWithShape="1">
        <a:blip xmlns:r="http://schemas.openxmlformats.org/officeDocument/2006/relationships" r:embed="rId1"/>
        <a:srcRect l="452" t="42069" r="728" b="20829"/>
        <a:stretch>
          <a:fillRect/>
        </a:stretch>
      </xdr:blipFill>
      <xdr:spPr>
        <a:xfrm>
          <a:off x="14664906" y="19972547"/>
          <a:ext cx="15215571" cy="3570378"/>
        </a:xfrm>
        <a:prstGeom prst="rect">
          <a:avLst/>
        </a:prstGeom>
      </xdr:spPr>
    </xdr:pic>
    <xdr:clientData/>
  </xdr:twoCellAnchor>
  <xdr:twoCellAnchor editAs="oneCell">
    <xdr:from>
      <xdr:col>13</xdr:col>
      <xdr:colOff>359434</xdr:colOff>
      <xdr:row>49</xdr:row>
      <xdr:rowOff>0</xdr:rowOff>
    </xdr:from>
    <xdr:to>
      <xdr:col>30</xdr:col>
      <xdr:colOff>53952</xdr:colOff>
      <xdr:row>56</xdr:row>
      <xdr:rowOff>50467</xdr:rowOff>
    </xdr:to>
    <xdr:pic>
      <xdr:nvPicPr>
        <xdr:cNvPr id="4" name="Picture 3">
          <a:extLst>
            <a:ext uri="{FF2B5EF4-FFF2-40B4-BE49-F238E27FC236}">
              <a16:creationId xmlns:a16="http://schemas.microsoft.com/office/drawing/2014/main" id="{24123AED-C0E7-A50E-EA23-6AD2766DD88D}"/>
            </a:ext>
          </a:extLst>
        </xdr:cNvPr>
        <xdr:cNvPicPr>
          <a:picLocks noChangeAspect="1"/>
        </xdr:cNvPicPr>
      </xdr:nvPicPr>
      <xdr:blipFill rotWithShape="1">
        <a:blip xmlns:r="http://schemas.openxmlformats.org/officeDocument/2006/relationships" r:embed="rId2"/>
        <a:srcRect l="155" t="47108" r="1806" b="31076"/>
        <a:stretch>
          <a:fillRect/>
        </a:stretch>
      </xdr:blipFill>
      <xdr:spPr>
        <a:xfrm>
          <a:off x="14760755" y="24669152"/>
          <a:ext cx="13094869" cy="1821132"/>
        </a:xfrm>
        <a:prstGeom prst="rect">
          <a:avLst/>
        </a:prstGeom>
      </xdr:spPr>
    </xdr:pic>
    <xdr:clientData/>
  </xdr:twoCellAnchor>
  <xdr:twoCellAnchor editAs="oneCell">
    <xdr:from>
      <xdr:col>13</xdr:col>
      <xdr:colOff>340882</xdr:colOff>
      <xdr:row>50</xdr:row>
      <xdr:rowOff>307890</xdr:rowOff>
    </xdr:from>
    <xdr:to>
      <xdr:col>29</xdr:col>
      <xdr:colOff>801480</xdr:colOff>
      <xdr:row>54</xdr:row>
      <xdr:rowOff>108576</xdr:rowOff>
    </xdr:to>
    <xdr:pic>
      <xdr:nvPicPr>
        <xdr:cNvPr id="5" name="Picture 4">
          <a:extLst>
            <a:ext uri="{FF2B5EF4-FFF2-40B4-BE49-F238E27FC236}">
              <a16:creationId xmlns:a16="http://schemas.microsoft.com/office/drawing/2014/main" id="{38F414DC-F3E8-02D9-4885-C57F7A3D6509}"/>
            </a:ext>
          </a:extLst>
        </xdr:cNvPr>
        <xdr:cNvPicPr>
          <a:picLocks noChangeAspect="1"/>
        </xdr:cNvPicPr>
      </xdr:nvPicPr>
      <xdr:blipFill rotWithShape="1">
        <a:blip xmlns:r="http://schemas.openxmlformats.org/officeDocument/2006/relationships" r:embed="rId3"/>
        <a:srcRect l="-147" t="70651" r="874" b="20946"/>
        <a:stretch>
          <a:fillRect/>
        </a:stretch>
      </xdr:blipFill>
      <xdr:spPr>
        <a:xfrm>
          <a:off x="14753458" y="26015769"/>
          <a:ext cx="13041294" cy="684683"/>
        </a:xfrm>
        <a:prstGeom prst="rect">
          <a:avLst/>
        </a:prstGeom>
      </xdr:spPr>
    </xdr:pic>
    <xdr:clientData/>
  </xdr:twoCellAnchor>
  <xdr:twoCellAnchor editAs="oneCell">
    <xdr:from>
      <xdr:col>13</xdr:col>
      <xdr:colOff>471438</xdr:colOff>
      <xdr:row>53</xdr:row>
      <xdr:rowOff>57733</xdr:rowOff>
    </xdr:from>
    <xdr:to>
      <xdr:col>26</xdr:col>
      <xdr:colOff>67349</xdr:colOff>
      <xdr:row>72</xdr:row>
      <xdr:rowOff>57015</xdr:rowOff>
    </xdr:to>
    <xdr:pic>
      <xdr:nvPicPr>
        <xdr:cNvPr id="6" name="Picture 5">
          <a:extLst>
            <a:ext uri="{FF2B5EF4-FFF2-40B4-BE49-F238E27FC236}">
              <a16:creationId xmlns:a16="http://schemas.microsoft.com/office/drawing/2014/main" id="{294E4044-5C1D-7D3A-246F-ED4F20B50E0C}"/>
            </a:ext>
          </a:extLst>
        </xdr:cNvPr>
        <xdr:cNvPicPr>
          <a:picLocks noChangeAspect="1"/>
        </xdr:cNvPicPr>
      </xdr:nvPicPr>
      <xdr:blipFill rotWithShape="1">
        <a:blip xmlns:r="http://schemas.openxmlformats.org/officeDocument/2006/relationships" r:embed="rId4"/>
        <a:srcRect l="-124" t="20995" r="27213" b="35037"/>
        <a:stretch>
          <a:fillRect/>
        </a:stretch>
      </xdr:blipFill>
      <xdr:spPr>
        <a:xfrm>
          <a:off x="14884014" y="26554551"/>
          <a:ext cx="9698183" cy="365534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237308</xdr:colOff>
      <xdr:row>18</xdr:row>
      <xdr:rowOff>20320</xdr:rowOff>
    </xdr:from>
    <xdr:to>
      <xdr:col>10</xdr:col>
      <xdr:colOff>101599</xdr:colOff>
      <xdr:row>51</xdr:row>
      <xdr:rowOff>178526</xdr:rowOff>
    </xdr:to>
    <xdr:pic>
      <xdr:nvPicPr>
        <xdr:cNvPr id="2" name="Picture 1">
          <a:extLst>
            <a:ext uri="{FF2B5EF4-FFF2-40B4-BE49-F238E27FC236}">
              <a16:creationId xmlns:a16="http://schemas.microsoft.com/office/drawing/2014/main" id="{48A6A348-0D5F-0AC7-48D6-C11618D3DBBD}"/>
            </a:ext>
          </a:extLst>
        </xdr:cNvPr>
        <xdr:cNvPicPr>
          <a:picLocks noChangeAspect="1"/>
        </xdr:cNvPicPr>
      </xdr:nvPicPr>
      <xdr:blipFill rotWithShape="1">
        <a:blip xmlns:r="http://schemas.openxmlformats.org/officeDocument/2006/relationships" r:embed="rId1"/>
        <a:srcRect l="28128" t="28946" r="10737" b="247"/>
        <a:stretch>
          <a:fillRect/>
        </a:stretch>
      </xdr:blipFill>
      <xdr:spPr>
        <a:xfrm>
          <a:off x="237308" y="9964420"/>
          <a:ext cx="9262291" cy="6673306"/>
        </a:xfrm>
        <a:prstGeom prst="rect">
          <a:avLst/>
        </a:prstGeom>
      </xdr:spPr>
    </xdr:pic>
    <xdr:clientData/>
  </xdr:twoCellAnchor>
  <xdr:twoCellAnchor editAs="oneCell">
    <xdr:from>
      <xdr:col>1</xdr:col>
      <xdr:colOff>0</xdr:colOff>
      <xdr:row>54</xdr:row>
      <xdr:rowOff>0</xdr:rowOff>
    </xdr:from>
    <xdr:to>
      <xdr:col>11</xdr:col>
      <xdr:colOff>76200</xdr:colOff>
      <xdr:row>89</xdr:row>
      <xdr:rowOff>168639</xdr:rowOff>
    </xdr:to>
    <xdr:pic>
      <xdr:nvPicPr>
        <xdr:cNvPr id="4" name="Picture 3">
          <a:extLst>
            <a:ext uri="{FF2B5EF4-FFF2-40B4-BE49-F238E27FC236}">
              <a16:creationId xmlns:a16="http://schemas.microsoft.com/office/drawing/2014/main" id="{B2AE416E-C117-A04D-BD73-0161A50883A3}"/>
            </a:ext>
          </a:extLst>
        </xdr:cNvPr>
        <xdr:cNvPicPr>
          <a:picLocks noChangeAspect="1"/>
        </xdr:cNvPicPr>
      </xdr:nvPicPr>
      <xdr:blipFill rotWithShape="1">
        <a:blip xmlns:r="http://schemas.openxmlformats.org/officeDocument/2006/relationships" r:embed="rId2"/>
        <a:srcRect l="28245" t="19607" r="10013" b="2148"/>
        <a:stretch>
          <a:fillRect/>
        </a:stretch>
      </xdr:blipFill>
      <xdr:spPr>
        <a:xfrm>
          <a:off x="292100" y="17030700"/>
          <a:ext cx="9525000" cy="68361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263585</xdr:colOff>
      <xdr:row>41</xdr:row>
      <xdr:rowOff>0</xdr:rowOff>
    </xdr:from>
    <xdr:to>
      <xdr:col>32</xdr:col>
      <xdr:colOff>429257</xdr:colOff>
      <xdr:row>48</xdr:row>
      <xdr:rowOff>121301</xdr:rowOff>
    </xdr:to>
    <xdr:pic>
      <xdr:nvPicPr>
        <xdr:cNvPr id="2" name="Picture 1">
          <a:extLst>
            <a:ext uri="{FF2B5EF4-FFF2-40B4-BE49-F238E27FC236}">
              <a16:creationId xmlns:a16="http://schemas.microsoft.com/office/drawing/2014/main" id="{3C1EA1F2-BA4D-D941-98D2-67ABD1CE90C0}"/>
            </a:ext>
          </a:extLst>
        </xdr:cNvPr>
        <xdr:cNvPicPr>
          <a:picLocks noChangeAspect="1"/>
        </xdr:cNvPicPr>
      </xdr:nvPicPr>
      <xdr:blipFill rotWithShape="1">
        <a:blip xmlns:r="http://schemas.openxmlformats.org/officeDocument/2006/relationships" r:embed="rId1"/>
        <a:srcRect l="452" t="42069" r="728" b="20829"/>
        <a:stretch>
          <a:fillRect/>
        </a:stretch>
      </xdr:blipFill>
      <xdr:spPr>
        <a:xfrm>
          <a:off x="21497985" y="15189200"/>
          <a:ext cx="15189773" cy="3573392"/>
        </a:xfrm>
        <a:prstGeom prst="rect">
          <a:avLst/>
        </a:prstGeom>
      </xdr:spPr>
    </xdr:pic>
    <xdr:clientData/>
  </xdr:twoCellAnchor>
  <xdr:twoCellAnchor editAs="oneCell">
    <xdr:from>
      <xdr:col>13</xdr:col>
      <xdr:colOff>359434</xdr:colOff>
      <xdr:row>47</xdr:row>
      <xdr:rowOff>0</xdr:rowOff>
    </xdr:from>
    <xdr:to>
      <xdr:col>30</xdr:col>
      <xdr:colOff>53952</xdr:colOff>
      <xdr:row>53</xdr:row>
      <xdr:rowOff>15831</xdr:rowOff>
    </xdr:to>
    <xdr:pic>
      <xdr:nvPicPr>
        <xdr:cNvPr id="3" name="Picture 2">
          <a:extLst>
            <a:ext uri="{FF2B5EF4-FFF2-40B4-BE49-F238E27FC236}">
              <a16:creationId xmlns:a16="http://schemas.microsoft.com/office/drawing/2014/main" id="{15CBD460-F00C-FB4E-BA5E-64D30A331A4A}"/>
            </a:ext>
          </a:extLst>
        </xdr:cNvPr>
        <xdr:cNvPicPr>
          <a:picLocks noChangeAspect="1"/>
        </xdr:cNvPicPr>
      </xdr:nvPicPr>
      <xdr:blipFill rotWithShape="1">
        <a:blip xmlns:r="http://schemas.openxmlformats.org/officeDocument/2006/relationships" r:embed="rId2"/>
        <a:srcRect l="155" t="47108" r="1806" b="31076"/>
        <a:stretch>
          <a:fillRect/>
        </a:stretch>
      </xdr:blipFill>
      <xdr:spPr>
        <a:xfrm>
          <a:off x="21593834" y="18237200"/>
          <a:ext cx="13067618" cy="1803067"/>
        </a:xfrm>
        <a:prstGeom prst="rect">
          <a:avLst/>
        </a:prstGeom>
      </xdr:spPr>
    </xdr:pic>
    <xdr:clientData/>
  </xdr:twoCellAnchor>
  <xdr:twoCellAnchor editAs="oneCell">
    <xdr:from>
      <xdr:col>13</xdr:col>
      <xdr:colOff>340882</xdr:colOff>
      <xdr:row>48</xdr:row>
      <xdr:rowOff>0</xdr:rowOff>
    </xdr:from>
    <xdr:to>
      <xdr:col>29</xdr:col>
      <xdr:colOff>801479</xdr:colOff>
      <xdr:row>50</xdr:row>
      <xdr:rowOff>76623</xdr:rowOff>
    </xdr:to>
    <xdr:pic>
      <xdr:nvPicPr>
        <xdr:cNvPr id="4" name="Picture 3">
          <a:extLst>
            <a:ext uri="{FF2B5EF4-FFF2-40B4-BE49-F238E27FC236}">
              <a16:creationId xmlns:a16="http://schemas.microsoft.com/office/drawing/2014/main" id="{381DF3F6-6E7C-DB4E-81F6-8EF490654B16}"/>
            </a:ext>
          </a:extLst>
        </xdr:cNvPr>
        <xdr:cNvPicPr>
          <a:picLocks noChangeAspect="1"/>
        </xdr:cNvPicPr>
      </xdr:nvPicPr>
      <xdr:blipFill rotWithShape="1">
        <a:blip xmlns:r="http://schemas.openxmlformats.org/officeDocument/2006/relationships" r:embed="rId3"/>
        <a:srcRect l="-147" t="70651" r="874" b="20946"/>
        <a:stretch>
          <a:fillRect/>
        </a:stretch>
      </xdr:blipFill>
      <xdr:spPr>
        <a:xfrm>
          <a:off x="21575282" y="19230890"/>
          <a:ext cx="13008198" cy="676986"/>
        </a:xfrm>
        <a:prstGeom prst="rect">
          <a:avLst/>
        </a:prstGeom>
      </xdr:spPr>
    </xdr:pic>
    <xdr:clientData/>
  </xdr:twoCellAnchor>
  <xdr:twoCellAnchor editAs="oneCell">
    <xdr:from>
      <xdr:col>13</xdr:col>
      <xdr:colOff>471438</xdr:colOff>
      <xdr:row>50</xdr:row>
      <xdr:rowOff>57733</xdr:rowOff>
    </xdr:from>
    <xdr:to>
      <xdr:col>26</xdr:col>
      <xdr:colOff>67348</xdr:colOff>
      <xdr:row>69</xdr:row>
      <xdr:rowOff>57015</xdr:rowOff>
    </xdr:to>
    <xdr:pic>
      <xdr:nvPicPr>
        <xdr:cNvPr id="5" name="Picture 4">
          <a:extLst>
            <a:ext uri="{FF2B5EF4-FFF2-40B4-BE49-F238E27FC236}">
              <a16:creationId xmlns:a16="http://schemas.microsoft.com/office/drawing/2014/main" id="{D69E2342-CF28-F84D-BEC1-DB1B40F04FDA}"/>
            </a:ext>
          </a:extLst>
        </xdr:cNvPr>
        <xdr:cNvPicPr>
          <a:picLocks noChangeAspect="1"/>
        </xdr:cNvPicPr>
      </xdr:nvPicPr>
      <xdr:blipFill rotWithShape="1">
        <a:blip xmlns:r="http://schemas.openxmlformats.org/officeDocument/2006/relationships" r:embed="rId4"/>
        <a:srcRect l="-124" t="20995" r="27213" b="35037"/>
        <a:stretch>
          <a:fillRect/>
        </a:stretch>
      </xdr:blipFill>
      <xdr:spPr>
        <a:xfrm>
          <a:off x="21705838" y="19666533"/>
          <a:ext cx="9667011" cy="361878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237309</xdr:colOff>
      <xdr:row>18</xdr:row>
      <xdr:rowOff>20320</xdr:rowOff>
    </xdr:from>
    <xdr:to>
      <xdr:col>9</xdr:col>
      <xdr:colOff>80626</xdr:colOff>
      <xdr:row>49</xdr:row>
      <xdr:rowOff>140426</xdr:rowOff>
    </xdr:to>
    <xdr:pic>
      <xdr:nvPicPr>
        <xdr:cNvPr id="2" name="Picture 1">
          <a:extLst>
            <a:ext uri="{FF2B5EF4-FFF2-40B4-BE49-F238E27FC236}">
              <a16:creationId xmlns:a16="http://schemas.microsoft.com/office/drawing/2014/main" id="{761E47DD-E3CC-0C42-9094-9D5848299376}"/>
            </a:ext>
          </a:extLst>
        </xdr:cNvPr>
        <xdr:cNvPicPr>
          <a:picLocks noChangeAspect="1"/>
        </xdr:cNvPicPr>
      </xdr:nvPicPr>
      <xdr:blipFill rotWithShape="1">
        <a:blip xmlns:r="http://schemas.openxmlformats.org/officeDocument/2006/relationships" r:embed="rId1"/>
        <a:srcRect l="28128" t="28946" r="10737" b="247"/>
        <a:stretch>
          <a:fillRect/>
        </a:stretch>
      </xdr:blipFill>
      <xdr:spPr>
        <a:xfrm>
          <a:off x="237309" y="11056620"/>
          <a:ext cx="8231052" cy="6673306"/>
        </a:xfrm>
        <a:prstGeom prst="rect">
          <a:avLst/>
        </a:prstGeom>
      </xdr:spPr>
    </xdr:pic>
    <xdr:clientData/>
  </xdr:twoCellAnchor>
  <xdr:twoCellAnchor editAs="oneCell">
    <xdr:from>
      <xdr:col>1</xdr:col>
      <xdr:colOff>0</xdr:colOff>
      <xdr:row>54</xdr:row>
      <xdr:rowOff>0</xdr:rowOff>
    </xdr:from>
    <xdr:to>
      <xdr:col>9</xdr:col>
      <xdr:colOff>488641</xdr:colOff>
      <xdr:row>89</xdr:row>
      <xdr:rowOff>168639</xdr:rowOff>
    </xdr:to>
    <xdr:pic>
      <xdr:nvPicPr>
        <xdr:cNvPr id="3" name="Picture 2">
          <a:extLst>
            <a:ext uri="{FF2B5EF4-FFF2-40B4-BE49-F238E27FC236}">
              <a16:creationId xmlns:a16="http://schemas.microsoft.com/office/drawing/2014/main" id="{7B2FF900-C5F3-6045-B4E3-608CC6D0FBF6}"/>
            </a:ext>
          </a:extLst>
        </xdr:cNvPr>
        <xdr:cNvPicPr>
          <a:picLocks noChangeAspect="1"/>
        </xdr:cNvPicPr>
      </xdr:nvPicPr>
      <xdr:blipFill rotWithShape="1">
        <a:blip xmlns:r="http://schemas.openxmlformats.org/officeDocument/2006/relationships" r:embed="rId2"/>
        <a:srcRect l="28245" t="19607" r="10013" b="2148"/>
        <a:stretch>
          <a:fillRect/>
        </a:stretch>
      </xdr:blipFill>
      <xdr:spPr>
        <a:xfrm>
          <a:off x="292100" y="18542000"/>
          <a:ext cx="8589193" cy="68361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esktop%20Folder/Corporate%20Reports/Lodging%20Econometrics/Sales%20Comp%20Information/Excel%20Files/1996%20D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Lodging%20Econometrics/Lodging%20Econometrics/Sales%20Comps%20Charts/2002%20Sales%20Charts/2Q%2002%20Sales/2Q02%20Sales%20Chart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sch-nyc-19b4/GameLodg/DANDERS/COMPANY/HET/HET_VDF.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MERGER"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Chart%202" TargetMode="External"/></Relationships>
</file>

<file path=xl/externalLinks/_rels/externalLink6.xml.rels><?xml version="1.0" encoding="UTF-8" standalone="yes"?>
<Relationships xmlns="http://schemas.openxmlformats.org/package/2006/relationships"><Relationship Id="rId2" Type="http://schemas.microsoft.com/office/2019/04/relationships/externalLinkLongPath" Target="file:///acntnyc039/DOCUME~1/knybkel/LOCALS~1/Temp/Lodging%20Econometrics/Beige%20Book%20Files/Monthly%20Reports/May%202003%20/BEAR%20STEARNS/Yosemite%20SharedDesktop%20Folder/Lodging%20Econometrics/Sales%20Comp%20Information/Excel%20Files/REIT%20DB?2F797A73" TargetMode="External"/><Relationship Id="rId1" Type="http://schemas.openxmlformats.org/officeDocument/2006/relationships/externalLinkPath" Target="file:///2F797A73/REIT%20D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acntnyc039/dept/Lodging%20Econometrics/Lodging%20Econometrics/Beige%20Book%20Files/Q2%202004%20Margarita%20Book/BEAR%20STEARNS/Yosemite%20SharedDesktop%20Folder/Lodging%20Econometrics/Sales%20Comp%20Information/Excel%20Files/REIT%20DB"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naeast.AD.JPMORGANCHASE.COM/Home/temp/notes1E7C81/Other%20Models/Delhaize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acntnyc039/dept/Lodging%20Econometrics/Beige%20Book%20Files/Monthly%20Reports/May%202003%20/BEAR%20STEARNS/Yosemite%20SharedDesktop%20Folder/Lodging%20Econometrics/Sales%20Comp%20Information/Excel%20Files/REIT%20DB"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Desktop%20Folder/Corporate%20Reports/Lodging%20Econometrics/Sales%20Comp%20Information/Excel%20Files/MSTRDB12.XLS"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Startup" Target="chwang/EM/OLD/OLD_2008/BF%202Q08/Copy%20of%20KS055550.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Startup" Target="chwang/EM/KS086790.xl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Startup" Target="chwang/EM/OLD/OLD_2007/Copy%20of%20KS005270.xls"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Startup" Target="chwang/EM/OLD/OLD_2008/BF%202Q08/Copy%20of%20KS004940.xls"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Startup" Target="chwang/EM/Open%20Platform/OPCh%20WFH.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internal.leerink.com/bos/Industry%20Data/HCIT%20Industry%20Model.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naeast.AD.JPMORGANCHASE.COM/Home/Tunick/AEOS/AEOSQTR.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internal.leerink.com/BOS/Documents%20and%20Settings/seamusf/Desktop/Models/bmyQ2-06.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acntnyc039/dept/FIRES/Credit%20Research/HY%20TM/Cable/Charter/Equity%20Valuation%20Model/T&amp;t/Urlocker/Shaw/SJRb.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naeast.AD.JPMORGANCHASE.COM/Home/HLTHCARE/iMany.com/Model/imany%20model%20final.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naeast.AD.JPMORGANCHASE.COM/Home/Retail_FoodDrug/Reports/Initiation/Tables/Drug%20Retailing/Drug%20Retail%20Fed%20Funds%20GDP%20Analysis%207_26_0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naeast.AD.JPMORGANCHASE.COM/Home/RETAIL/HARDLINE/C%20E/Industry/Economic%20Data.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naeast.AD.JPMORGANCHASE.COM/Home/Retail_FoodDrug/Reports/Initiation/Tables/Drug%20Retailing/GD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naeast.AD.JPMORGANCHASE.COM/Home/March/HAND1&amp;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naeast.AD.JPMORGANCHASE.COM/Home/CAPGOOD/WK/TRUCK/NUMX.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naeast.AD.JPMORGANCHASE.COM/Home/INSURE/Giordano/Met/Model/Met2000-14.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H:/Excel/BMats/Clyde's%20Bldg%20Mats%20Models/WlyC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acntnyc039/dept/FIRES/Credit%20Research/HY%20TM/Cable/Charter/Equity%20Valuation%20Model/Documents%20and%20Settings/steinjo/Local%20Settings/Temporary%20Internet%20Files/OLKFD/RCI0505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naeast.AD.JPMORGANCHASE.COM/Home/temp/C.Program%20Files.Notedat5/Other%20Models/Delhaize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acntnyc039/dept/DOCUME~1/sald/LOCALS~1/Temp/IGT_VDF.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acntnyc039/dept/TEMP/inpres99a.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acntnyc039/dept/Documents%20and%20Settings/jgreff/Local%20Settings/Temporary%20Internet%20Files/OLKB4C/IGT_CURR3.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acntnyc039/dept/JGreff/New%20Shared%20Drive/Gaming%20Industry/ASCA/Model/ASCA%20Model.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acntnyc039/dept/WINDOWS/Temporary%20Internet%20Files/OLK1D/HWD/Model/HWD%20Model%205.1.02.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Documents%20and%20Settings/sm28351/Local%20Settings/Temp/restore/nov23/HUM_epsWIP.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acntnyc039/dept/FIRES/Credit%20Research/Credit%20Model/AB_Credit_Model.xlsm"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acntnyc039/dept/FIRES/$%20AB%20Fixed%20Income%20Tearsheet/$%20Company%20Tearsheet%20-%20NM.xlsm"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192.168.1.2/i%20drive/Documents%20and%20Settings/arunn/Local%20Settings/Temporary%20Internet%20Files/OLK1850/SPRM.SI.A.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Desktop%20Folder/Corporate%20Reports/Lodging%20Econometrics/Beige%20Book%20Excel%20Charts/Lodging%20Econometric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Desktop%20Folder/Corporate%20Reports/Lodging%20Econometrics/Sales%20Comp%20Information/Excel%20Files/1991-1995%20Sale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D:/Lodging%20Econometrics/Beige%20Book%20Files/reference%20charts/Top%2025%20Markets-National"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ManagedCare/Boorady/Current%20Models/WLP_eps%20-%20In%20Prog%204Q02.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naeast.AD.JPMORGANCHASE.COM/Home/LEISURE/Ivankoe/models/ASSTRAIN.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D:/UserHome/Book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naeast.AD.JPMORGANCHASE.COM/Home/shared/shcomeae/REPORTS/DUANEREA/Relative%20valuation.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Lodging%20Econometrics/Beige%20Book%20Files/Q4%202001%20Purple%20Book/Pivots/Pivot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acntnyc039/dept/Lodging/Analysts/Kamaldeep/NAV%20Report/NAV%20Travel/NAV%20Report%20Previous/Paula's%20HDDesktop%20Folder/Park%20Inn/Hote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D:/EXCEL/LODGING.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gpny-fsvr02/FulcrumResearch/CONSUMER/GAMING/IN_PRES/inpres99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acntnyc039/dept/HLTHCARE/Drug%20Retail/WBA/Walgreens%20Model%20070721.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internal.leerink.com/bos/Documents%20and%20Settings/susannam/Local%20Settings/Temp/apog.xls" TargetMode="External"/></Relationships>
</file>

<file path=xl/externalLinks/_rels/externalLink52.xml.rels><?xml version="1.0" encoding="UTF-8" standalone="yes"?>
<Relationships xmlns="http://schemas.openxmlformats.org/package/2006/relationships"><Relationship Id="rId1" Type="http://schemas.microsoft.com/office/2006/relationships/xlExternalLinkPath/xlPathMissing" Target="Master"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naeast.AD.JPMORGANCHASE.COM/Home/Arthur--working/Administrative%20&amp;%20Misc/Sent%20to%20Website/EQ2000--08web.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acntnyc039/dept/TEMP/TEMP/FS%20Model%2011-11-99.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acntnyc039/dept/Lodging%20Models/In%20Progress/FS/FS%20Model%2009-13-99.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naeast.AD.JPMORGANCHASE.COM/Home/Models-Start/CVS.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D:/DOCUME~1/STEPHE~1/LOCALS~1/Temp/HUM_ep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G:/BPCO/New%20Deals/AECOM/Excel/Model/AECOM%20Model_v24.08.xlsx"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internal.leerink.com/bos/Phamra%20Share/Models/LLY/LLY-post1Q07working.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acntnyc039/dept/FIRES/Credit%20Research/HY%20Pharma%20&amp;%20Healthcare/US%20Radiology%20Specialists/2024/US%20Radiology%20Specialists%20-%20F3Q23%20Model.xlsx"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D:/Documents%20and%20Settings/kmanaktala/Desktop/Relaunch%20Drafts/LodgingRelaunchCharts_KM_2004.12.15.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naeast.AD.JPMORGANCHASE.COM/Home/TEMP/Food%20Outlook%20PCE%20GDP%20Charts.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D:/Lodging%20Econometrics/LE%20Sales%20Presentation%20Sample/3Q%2001%20Samples/Samples%20Chapter%205"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internal.leerink.com/BOS/Documents%20and%20Settings/FernandS/Desktop/ROIC%2010-K's/llyQ1-06.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D:/TEMP/Temporary%20Internet%20Files/OLK9/Phsy_eps.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acntnyc039/dept/Lodging/Analysts/Kamaldeep/NAV%20Report/NAV%20Travel/NAV%20Report%20Previous/Paula's%20HDLodging%20Econometrics/Lodging%20Econometrics/Beige%20Book%20Files/Q3%202001%20Orange%20Book/CL,BS,DKW%20%20COMPANY%20REPORT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naeast.AD.JPMORGANCHASE.COM/Home/BACKUP/Chris/Analyst%20Information/Information%20Packet/Historic%20Comp%20Sales%20Figures%20-%20Monthly.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gpny-fsvr02/FulcrumResearch/USERS/AACC%20Research/Greff/New%20Shared%20Drive/Lodging%20Industry/FS/Model/Fs.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D:/Lodging%20Econometrics/Lodging%20Econometrics/Beige%20Book%20Files/Q3%202001%20Orange%20Book/Q3%20Projects/Devp%20Q3"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naeast.AD.JPMORGANCHASE.COM/Home/temp/C.Program%20Files.Notedat5/Archives/Fleming/Simrell%20Report%20April%202001.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D:/Lodging%20Econometrics/Beige%20Book%20Files/1999,%20Q2%20BT%20Alex%20Deutsche/BT%20Q299"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Nyp17w2/sys2/GAMING/IN_PRES/INPRES99.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A:/HLTHCARE/AAS/model/aas0001.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naeast.AD.JPMORGANCHASE.COM/Home/HLTHCARE/Bi-Monthly/Capital%20IQ%20-%20All_PEs-other%20new%20v4.xlsx"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internal.leerink.com/BOS/Documents%20and%20Settings/FernandS/Desktop/mrk1-05a.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acntnyc039/dept/Lodging/Analysts/Kamaldeep/NAV%20Report/NAV%20Travel/NAV%20Report%20Previous/Paula's%20HDDesktop%20Folder/Devp%201999%20Q1%20LE"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internal.leerink.com/BOS/Research/Research%20Reports/Research%20Notes%20For%20Editor/Models/MRK.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acntnyc039/dept/FIRES/Credit%20Research/HY%20Pharma%20&amp;%20Healthcare/WBA/2024/Walgreens+Boots+Alliance_WBA.OQ_2024_Jun_27.xlsx"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D:/Lodging%20Econometrics/Lodging%20Econometrics/Beige%20Book%20Files/Q3%202001%20Orange%20Book/MARKET%20TREND%20REPORTS/PIVOT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D:/Lodging%20Econometrics/Lodging%20Econometrics/Beige%20Book%20Files/Q1%202002%20Green%20Book/GENERAL%20STUFF/q1%20prelim%20package"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D:/Lodging%20Econometrics/Lodging%20Econometrics/Beige%20Book%20Files/Q4%202001%20Purple%20Book/%20%20%20Lead%20Charts/top%20companies" TargetMode="External"/></Relationships>
</file>

<file path=xl/externalLinks/_rels/externalLink82.xml.rels><?xml version="1.0" encoding="UTF-8" standalone="yes"?>
<Relationships xmlns="http://schemas.openxmlformats.org/package/2006/relationships"><Relationship Id="rId1" Type="http://schemas.microsoft.com/office/2006/relationships/xlExternalLinkPath/xlStartup" Target="Beige%20Book%20Files/Q3%202000%20Beige%20Book/Marriott%203q%2000/Marriott%2011/00%20"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D:/Lodging%20Econometrics/Lodging%20Econometrics/Beige%20Book%20Files/Q4%202001%20Purple%20Book/Pivots/Pivot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D:/Lodging%20Econometrics/Beige%20Book%20Files/Q4%202000%20Beige%20Book/CREDIT%20LYONNAIS/CL%204q%2000%20%232" TargetMode="External"/></Relationships>
</file>

<file path=xl/externalLinks/_rels/externalLink85.xml.rels><?xml version="1.0" encoding="UTF-8" standalone="yes"?>
<Relationships xmlns="http://schemas.openxmlformats.org/package/2006/relationships"><Relationship Id="rId1" Type="http://schemas.microsoft.com/office/2006/relationships/xlExternalLinkPath/xlStartup" Target="Beige%20Book%20Files/Q3%202000%20Beige%20Book/top%20companies-not%20marriott/CENDANT" TargetMode="External"/></Relationships>
</file>

<file path=xl/externalLinks/_rels/externalLink86.xml.rels><?xml version="1.0" encoding="UTF-8" standalone="yes"?>
<Relationships xmlns="http://schemas.openxmlformats.org/package/2006/relationships"><Relationship Id="rId1" Type="http://schemas.microsoft.com/office/2006/relationships/xlExternalLinkPath/xlStartup" Target="Beige%20Book%20Files/reference%20charts/Top%2010%20Companie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D:/Lodging%20Econometrics/Lodging%20Econometrics/Beige%20Book%20Files/Q1%202002%20Green%20Book/MARKET%20TREND%20REPORTS/PIVOT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D:/Lodging%20Econometrics/Lodging%20Econometrics/Beige%20Book%20Files/Projects%20Files/1997-3q01%20ALL%20OPENS" TargetMode="External"/></Relationships>
</file>

<file path=xl/externalLinks/_rels/externalLink89.xml.rels><?xml version="1.0" encoding="UTF-8" standalone="yes"?>
<Relationships xmlns="http://schemas.openxmlformats.org/package/2006/relationships"><Relationship Id="rId1" Type="http://schemas.microsoft.com/office/2006/relationships/xlExternalLinkPath/xlStartup" Target="Beige%20Book%20Files/Q1%202001%20Beige%20Book/DRILLDOWNS/Marriott"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D:/Lodging%20Econometrics/Lodging%20Econometrics/Beige%20Book%20Files/Q1%202002%20Green%20Book/%20%20Guidance%20Memo%20Charts/Conversion%20Lead%20Charts%201Q" TargetMode="External"/></Relationships>
</file>

<file path=xl/externalLinks/_rels/externalLink91.xml.rels><?xml version="1.0" encoding="UTF-8" standalone="yes"?>
<Relationships xmlns="http://schemas.openxmlformats.org/package/2006/relationships"><Relationship Id="rId1" Type="http://schemas.microsoft.com/office/2006/relationships/xlExternalLinkPath/xlStartup" Target="Beige%20Book%20Files/Q1%202001%20Beige%20Book/Cendant/Cendant%201q%2001"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acntnyc039/dept/Lodging/Analysts/Kamaldeep/NAV%20Report/NAV%20Travel/NAV%20Report%20Previous/Zip%20100reference%20charts/openings/starts/historical%20opens" TargetMode="External"/></Relationships>
</file>

<file path=xl/externalLinks/_rels/externalLink93.xml.rels><?xml version="1.0" encoding="UTF-8" standalone="yes"?>
<Relationships xmlns="http://schemas.openxmlformats.org/package/2006/relationships"><Relationship Id="rId1" Type="http://schemas.microsoft.com/office/2006/relationships/xlExternalLinkPath/xlStartup" Target="Beige%20Book%20Files/Q1%202001%20Beige%20Book/top%2025%20markets/PIVOT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D:/Lodging%20Econometrics/Lodging%20Econometrics/Beige%20Book%20Files/Q1%202002%20Green%20Book/%20%20Guidance%20Memo%20Charts/Guidance%20Chart%201Q%2002"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D:/Lodging%20Econometrics/LE%20Sales%20Presentation%20Sample/Quarterly%20Sample%20Books/3Q%2001%20Samples/Samples%20Chapter%202-q3" TargetMode="External"/></Relationships>
</file>

<file path=xl/externalLinks/_rels/externalLink96.xml.rels><?xml version="1.0" encoding="UTF-8" standalone="yes"?>
<Relationships xmlns="http://schemas.openxmlformats.org/package/2006/relationships"><Relationship Id="rId1" Type="http://schemas.microsoft.com/office/2006/relationships/xlExternalLinkPath/xlStartup" Target="Beige%20Book%20Files/Q1%202001%20Beige%20Book/top%2025%20markets/LE,%20HPT,%20CORNERSTONE" TargetMode="External"/></Relationships>
</file>

<file path=xl/externalLinks/_rels/externalLink97.xml.rels><?xml version="1.0" encoding="UTF-8" standalone="yes"?>
<Relationships xmlns="http://schemas.openxmlformats.org/package/2006/relationships"><Relationship Id="rId1" Type="http://schemas.microsoft.com/office/2006/relationships/xlExternalLinkPath/xlStartup" Target="Beige%20Book%20Files/Q3%202000%20Beige%20Book/Cendant/Cendant.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D:/Lodging%20Econometrics/LE%20Sales%20Presentation%20Sample/1Q01%20Samples/Excel%20Sample%201Q01"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acntnyc039/dept/Lodging/Analysts/Keiser/European%20Charts/Stats%20updated.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acntnyc039/dept/Lodging/Analysts/Kamaldeep/NAV%20Report/NAV%20Travel/NAV%20Report%20Previous/Lodging%20EconometricsLodging%20Econometrics/Beige%20Book%20Files/Q3%202000%20Beige%20Book/Q3%20projects/Devp%20Q3" TargetMode="External"/></Relationships>
</file>

<file path=xl/externalLinks/_rels/externalLink101.xml.rels><?xml version="1.0" encoding="UTF-8" standalone="yes"?>
<Relationships xmlns="http://schemas.openxmlformats.org/package/2006/relationships"><Relationship Id="rId1" Type="http://schemas.microsoft.com/office/2006/relationships/xlExternalLinkPath/xlStartup" Target="Beige%20Book%20Files/Q2%202001%20Beige%20Book/LE%20Sales%20Presentation%202Q01/Top%20Cos%20v2" TargetMode="External"/></Relationships>
</file>

<file path=xl/externalLinks/_rels/externalLink102.xml.rels><?xml version="1.0" encoding="UTF-8" standalone="yes"?>
<Relationships xmlns="http://schemas.openxmlformats.org/package/2006/relationships"><Relationship Id="rId1" Type="http://schemas.microsoft.com/office/2006/relationships/xlExternalLinkPath/xlStartup" Target="Beige%20Book%20Files/Q4%202000%20Beige%20Book/Marriott/Marriott%204q%2000%20"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D:/Lodging%20Econometrics/LE%20Sales%20Presentation%20Sample/Quarterly%20Sample%20Books/2001%20Samples/3Q%2001%20Samples/Samples%20Chapter%202-q3" TargetMode="External"/></Relationships>
</file>

<file path=xl/externalLinks/_rels/externalLink104.xml.rels><?xml version="1.0" encoding="UTF-8" standalone="yes"?>
<Relationships xmlns="http://schemas.openxmlformats.org/package/2006/relationships"><Relationship Id="rId1" Type="http://schemas.microsoft.com/office/2006/relationships/xlExternalLinkPath/xlStartup" Target="Beige%20Book%20Files/Q4%202000%20Beige%20Book/DRILLDOWNS/Marriott"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acntnyc039/dept/Lodging/Analysts/Kamaldeep/NAV%20Report/NAV%20Travel/NAV%20Report%20Previous/Macintosh%20HDbackups%20of%20big%20time%20stuff/Q1%202001%20Beige%20Book/top%2025%20markets/PIVOT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D:/Lodging%20Econometrics/Lodging%20Econometrics/Beige%20Book%20Files/Q1%202002%20Green%20Book/Pivots/Pivot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naeast.AD.JPMORGANCHASE.COM/Home/Documents%20and%20Settings/u403965/Local%20Settings/Temp/c.data.u403965.notes_cdi/ACT.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D:/Lodging%20Econometrics/Beige%20Book%20Files/Q3%202001%20Orange%20Book/DRILLDOWNS/PIVOTS" TargetMode="External"/></Relationships>
</file>

<file path=xl/externalLinks/_rels/externalLink109.xml.rels><?xml version="1.0" encoding="UTF-8" standalone="yes"?>
<Relationships xmlns="http://schemas.openxmlformats.org/package/2006/relationships"><Relationship Id="rId1" Type="http://schemas.microsoft.com/office/2006/relationships/xlExternalLinkPath/xlPathMissing" Target="CVS-Q%20(old)%20(2)"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D:/Lodging%20Econometrics/Lodging%20Econometrics/Beige%20Book%20Files/Q2%202001%20Beige%20Book/CREDIT%20LYONNAIS/CL%202q%2001"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naeast.AD.JPMORGANCHASE.COM/Home/TEMP/revisewofina1.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acntnyc039/dept/Lodging/Lodging%20Models%20(Old)/Current%20Published/PDQ%20current.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acntnyc039/dept/DOCUME~1/knybkel/LOCALS~1/Temp/WINDOWS/Temporary%20Internet%20Files/OLK142/MGM_Approved%20(2).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internal.leerink.com/BOS/Documents%20and%20Settings/FernandS/Desktop/ROIC%2010-K's/TARO1.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internal.leerink.com/bos/Phamra%20Share/Seamus'%20Stuff/USB%20Disk%201/ROIC%2010-K's/WYEQ2-06.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naeast.AD.JPMORGANCHASE.COM/Home/temp/notes1E7C81/Archives/Fleming/Simrell%20Report%20April%202001.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acntnyc039/dept/balsheet/2001%20Fiscal%20Year/0009/Closing/StmtOpResultsP9.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acntnyc039/dept/Gaming/Models/In%20Progress/WYNN%20Model.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acntnyc039/dept/temp/temp/OLKCC/UBS-ATT%20Comcast%20Email%20Model.xls" TargetMode="External"/></Relationships>
</file>

<file path=xl/externalLinks/_rels/externalLink120.xml.rels><?xml version="1.0" encoding="UTF-8" standalone="yes"?>
<Relationships xmlns="http://schemas.openxmlformats.org/package/2006/relationships"><Relationship Id="rId1" Type="http://schemas.microsoft.com/office/2006/relationships/xlExternalLinkPath/xlStartup" Target="Beige%20Book%20Files/Q3%202000%20Beige%20Book/Brand%20Census%20from%20DBAB"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acntnyc039/dept/Lodging/Analysts/Kamaldeep/NAV%20Report/NAV%20Travel/NAV%20Report%20Previous/PaulEDITOR/bscsegments/1999/%201Q99%20Chronicle/LE%20folder/Paula's%20HDDesktop%20Folder/Devp%201999%20Q1%20LE"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D8B319F3/MSTRDB12.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acntnyc039/dept/Lodging/Analysts/Kamaldeep/NAV%20Report/NAV%20Travel/NAV%20Report%20Previous/Zip%20100Lodging%20Econometrics/Beige%20Book%20Files/Q2%202000%20Beige%20Book/BEAR%20STEARNS/BS%20Q2%2000%20no-msa"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Csc06keyteaf02s/share$/Public/Automotive%20Team/Industry/Data/Ward's%20Auto/2002/Ssor0102.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acntnyc039/dept/New%20Shared%20Drive/Gaming%20Industry/STN/Model/STN%20Model.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Nyp6w8/sys2/CONSUMER/GAMING/IN_PRES/Inpres99.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Csc06keyteaf02s/share$/Public/Automotive%20Team/Industry/Data/Ward's%20Auto/2002/USSales0209.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Csc06keyteaf02s/share$/Public/Hoselton/Industry/Compare.xls" TargetMode="External"/></Relationships>
</file>

<file path=xl/externalLinks/_rels/externalLink129.xml.rels><?xml version="1.0" encoding="UTF-8" standalone="yes"?>
<Relationships xmlns="http://schemas.openxmlformats.org/package/2006/relationships"><Relationship Id="rId2" Type="http://schemas.openxmlformats.org/officeDocument/2006/relationships/externalLinkPath" Target="/acntnyc039/dept/FIRES/Credit%20Research/HY%20Pharma%20&amp;%20Healthcare/WBA/2024/WBA_25july_v2_pk_BBG.xlsx" TargetMode="External"/><Relationship Id="rId1" Type="http://schemas.openxmlformats.org/officeDocument/2006/relationships/externalLinkPath" Target="/acntnyc039/dept/FIRES/Credit%20Research/HY%20Pharma%20&amp;%20Healthcare/WBA/2024/WBA_25july_v2_pk_BBG.xlsx"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acntnyc039/dept/FIRES/Credit%20Research/HY%20Pharma%20&amp;%20Healthcare/US%20Radiology%20Specialists/2024/USRS_BBG_27mar2024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s"/>
      <sheetName val="1995"/>
      <sheetName val="1996 Q1-Q2"/>
      <sheetName val="Combined"/>
      <sheetName val="By Mkt Segment"/>
      <sheetName val="Segment Charts"/>
      <sheetName val="Combined_NE"/>
      <sheetName val="NE By State"/>
      <sheetName val="NE|MA Region"/>
      <sheetName val="NE|MA Segment 95-9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r Lookups"/>
      <sheetName val="Brand Lookups"/>
      <sheetName val="97 cat pivots"/>
      <sheetName val="Yr Pivots"/>
      <sheetName val="Qtr Pivots"/>
      <sheetName val="Lookups"/>
      <sheetName val="Sales"/>
      <sheetName val="Natl Roll4 brand"/>
      <sheetName val="Natl Roll4 Category"/>
      <sheetName val="2002"/>
      <sheetName val="2001"/>
      <sheetName val="2000"/>
      <sheetName val="cat 2002"/>
      <sheetName val="cat 2001"/>
      <sheetName val="cat 2000"/>
      <sheetName val="97-01"/>
      <sheetName val="97-01 Cat"/>
      <sheetName val="Natl Roll4 brand LEC"/>
      <sheetName val="Natl Roll4 Category LEC"/>
    </sheetNames>
    <sheetDataSet>
      <sheetData sheetId="0" refreshError="1"/>
      <sheetData sheetId="1" refreshError="1"/>
      <sheetData sheetId="2" refreshError="1"/>
      <sheetData sheetId="3" refreshError="1"/>
      <sheetData sheetId="4" refreshError="1"/>
      <sheetData sheetId="5" refreshError="1">
        <row r="3">
          <cell r="B3" t="str">
            <v>A</v>
          </cell>
        </row>
        <row r="4">
          <cell r="B4" t="str">
            <v>Adam's Mark</v>
          </cell>
          <cell r="C4" t="str">
            <v>First Class (Upscale)</v>
          </cell>
          <cell r="F4" t="str">
            <v>Budget</v>
          </cell>
          <cell r="G4" t="str">
            <v>g</v>
          </cell>
          <cell r="H4" t="str">
            <v>e</v>
          </cell>
          <cell r="I4" t="str">
            <v>e</v>
          </cell>
          <cell r="K4" t="str">
            <v>AK</v>
          </cell>
          <cell r="L4" t="str">
            <v>Alaska</v>
          </cell>
          <cell r="M4" t="str">
            <v>M/P</v>
          </cell>
          <cell r="N4" t="str">
            <v>P</v>
          </cell>
          <cell r="S4" t="str">
            <v>ENC</v>
          </cell>
          <cell r="T4" t="str">
            <v>4ENC</v>
          </cell>
        </row>
        <row r="5">
          <cell r="B5" t="str">
            <v>AmericInn</v>
          </cell>
          <cell r="C5" t="str">
            <v>Limited-Service (Economy)</v>
          </cell>
          <cell r="F5" t="str">
            <v>Budget x</v>
          </cell>
          <cell r="G5" t="str">
            <v>gg</v>
          </cell>
          <cell r="K5" t="str">
            <v>AL</v>
          </cell>
          <cell r="L5" t="str">
            <v>Alabama</v>
          </cell>
          <cell r="M5" t="str">
            <v>SC</v>
          </cell>
          <cell r="N5" t="str">
            <v>ESC</v>
          </cell>
          <cell r="S5" t="str">
            <v>ESC</v>
          </cell>
          <cell r="T5" t="str">
            <v>6ESC</v>
          </cell>
        </row>
        <row r="6">
          <cell r="B6" t="str">
            <v>AmeriHost Inn</v>
          </cell>
          <cell r="C6" t="str">
            <v>Limited-Service (Mid-Market)</v>
          </cell>
          <cell r="F6" t="str">
            <v>Casino</v>
          </cell>
          <cell r="G6" t="str">
            <v>k</v>
          </cell>
          <cell r="H6" t="str">
            <v>k</v>
          </cell>
          <cell r="I6" t="str">
            <v>k</v>
          </cell>
          <cell r="K6" t="str">
            <v>AR</v>
          </cell>
          <cell r="L6" t="str">
            <v>Arkansas</v>
          </cell>
          <cell r="M6" t="str">
            <v>SC</v>
          </cell>
          <cell r="N6" t="str">
            <v>WSC</v>
          </cell>
          <cell r="S6" t="str">
            <v>M</v>
          </cell>
          <cell r="T6" t="str">
            <v>8M</v>
          </cell>
        </row>
        <row r="7">
          <cell r="B7" t="str">
            <v>AmeriSuites</v>
          </cell>
          <cell r="C7" t="str">
            <v>Limited-Service (Mid-Market)</v>
          </cell>
          <cell r="F7" t="str">
            <v>Extended-Stay (Lower Tier)</v>
          </cell>
          <cell r="G7" t="str">
            <v>j</v>
          </cell>
          <cell r="H7" t="str">
            <v>j</v>
          </cell>
          <cell r="I7" t="str">
            <v>j</v>
          </cell>
          <cell r="K7" t="str">
            <v>AZ</v>
          </cell>
          <cell r="L7" t="str">
            <v>Arizona</v>
          </cell>
          <cell r="M7" t="str">
            <v>M/P</v>
          </cell>
          <cell r="N7" t="str">
            <v>M</v>
          </cell>
          <cell r="S7" t="str">
            <v>MA</v>
          </cell>
          <cell r="T7" t="str">
            <v>2MA</v>
          </cell>
        </row>
        <row r="8">
          <cell r="B8" t="str">
            <v>Baymont Inn</v>
          </cell>
          <cell r="C8" t="str">
            <v>Limited-Service (Mid-Market)</v>
          </cell>
          <cell r="F8" t="str">
            <v>Extended-Stay (Lower Tier) x</v>
          </cell>
          <cell r="G8" t="str">
            <v>jj</v>
          </cell>
          <cell r="K8" t="str">
            <v>CA</v>
          </cell>
          <cell r="L8" t="str">
            <v>California</v>
          </cell>
          <cell r="M8" t="str">
            <v>M/P</v>
          </cell>
          <cell r="N8" t="str">
            <v>P</v>
          </cell>
          <cell r="S8" t="str">
            <v>NE</v>
          </cell>
          <cell r="T8" t="str">
            <v>1NE</v>
          </cell>
        </row>
        <row r="9">
          <cell r="B9" t="str">
            <v>Best Inn</v>
          </cell>
          <cell r="C9" t="str">
            <v>Budget</v>
          </cell>
          <cell r="F9" t="str">
            <v>Extended-Stay (Middle Tier)</v>
          </cell>
          <cell r="G9" t="str">
            <v>i</v>
          </cell>
          <cell r="H9" t="str">
            <v>i</v>
          </cell>
          <cell r="I9" t="str">
            <v>i</v>
          </cell>
          <cell r="K9" t="str">
            <v>CO</v>
          </cell>
          <cell r="L9" t="str">
            <v>Colorado</v>
          </cell>
          <cell r="M9" t="str">
            <v>M/P</v>
          </cell>
          <cell r="N9" t="str">
            <v>M</v>
          </cell>
          <cell r="S9" t="str">
            <v>P</v>
          </cell>
          <cell r="T9" t="str">
            <v>9P</v>
          </cell>
        </row>
        <row r="10">
          <cell r="B10" t="str">
            <v>Best Western</v>
          </cell>
          <cell r="C10" t="str">
            <v>Full-Service (Mid-Market)</v>
          </cell>
          <cell r="F10" t="str">
            <v>Extended-Stay (Middle Tier)x</v>
          </cell>
          <cell r="G10" t="str">
            <v>ii</v>
          </cell>
          <cell r="K10" t="str">
            <v>CT</v>
          </cell>
          <cell r="L10" t="str">
            <v>Connecticut</v>
          </cell>
          <cell r="M10" t="str">
            <v>NE/MA</v>
          </cell>
          <cell r="N10" t="str">
            <v>NE</v>
          </cell>
          <cell r="S10" t="str">
            <v>SA</v>
          </cell>
          <cell r="T10" t="str">
            <v>3SA</v>
          </cell>
        </row>
        <row r="11">
          <cell r="B11" t="str">
            <v>Bradford Suites</v>
          </cell>
          <cell r="C11" t="str">
            <v>Extended-Stay (Lower Tier)</v>
          </cell>
          <cell r="F11" t="str">
            <v>Extended-Stay (Upper Tier)</v>
          </cell>
          <cell r="G11" t="str">
            <v>h</v>
          </cell>
          <cell r="H11" t="str">
            <v>h</v>
          </cell>
          <cell r="I11" t="str">
            <v>h</v>
          </cell>
          <cell r="K11" t="str">
            <v>DC</v>
          </cell>
          <cell r="L11" t="str">
            <v>District of Columbia</v>
          </cell>
          <cell r="M11" t="str">
            <v>SA</v>
          </cell>
          <cell r="N11" t="str">
            <v>SA</v>
          </cell>
          <cell r="S11" t="str">
            <v>WNC</v>
          </cell>
          <cell r="T11" t="str">
            <v>5WNC</v>
          </cell>
        </row>
        <row r="12">
          <cell r="B12" t="str">
            <v>Budget Suites of America</v>
          </cell>
          <cell r="C12" t="str">
            <v>Full-Service (Mid-Market)</v>
          </cell>
          <cell r="F12" t="str">
            <v>Extended-Stay (Upper Tier) x</v>
          </cell>
          <cell r="G12" t="str">
            <v>hh</v>
          </cell>
          <cell r="K12" t="str">
            <v>DE</v>
          </cell>
          <cell r="L12" t="str">
            <v>Delaware</v>
          </cell>
          <cell r="M12" t="str">
            <v>SA</v>
          </cell>
          <cell r="N12" t="str">
            <v>SA</v>
          </cell>
          <cell r="S12" t="str">
            <v>WSC</v>
          </cell>
          <cell r="T12" t="str">
            <v>7WSC</v>
          </cell>
        </row>
        <row r="13">
          <cell r="B13" t="str">
            <v>Budgetel Inn</v>
          </cell>
          <cell r="C13" t="str">
            <v>Limited-Service (Economy)</v>
          </cell>
          <cell r="F13" t="str">
            <v>First Class (Upscale)</v>
          </cell>
          <cell r="G13" t="str">
            <v>b</v>
          </cell>
          <cell r="H13" t="str">
            <v>b</v>
          </cell>
          <cell r="I13" t="str">
            <v>b</v>
          </cell>
          <cell r="K13" t="str">
            <v>FL</v>
          </cell>
          <cell r="L13" t="str">
            <v>Florida</v>
          </cell>
          <cell r="M13" t="str">
            <v>SA</v>
          </cell>
          <cell r="N13" t="str">
            <v>SA</v>
          </cell>
        </row>
        <row r="14">
          <cell r="B14" t="str">
            <v>Candlewood Suites</v>
          </cell>
          <cell r="C14" t="str">
            <v>Extended-Stay (Lower Tier)</v>
          </cell>
          <cell r="F14" t="str">
            <v>First Class (Upscale) x</v>
          </cell>
          <cell r="G14" t="str">
            <v>bb</v>
          </cell>
          <cell r="K14" t="str">
            <v>GA</v>
          </cell>
          <cell r="L14" t="str">
            <v>Georgia</v>
          </cell>
          <cell r="M14" t="str">
            <v>SA</v>
          </cell>
          <cell r="N14" t="str">
            <v>SA</v>
          </cell>
        </row>
        <row r="15">
          <cell r="B15" t="str">
            <v>Clarion</v>
          </cell>
          <cell r="C15" t="str">
            <v>Full-Service (Mid-Market)</v>
          </cell>
          <cell r="F15" t="str">
            <v>Full-Service (Economy)</v>
          </cell>
          <cell r="G15" t="str">
            <v>e</v>
          </cell>
          <cell r="H15" t="str">
            <v>d</v>
          </cell>
          <cell r="I15" t="str">
            <v>d</v>
          </cell>
          <cell r="K15" t="str">
            <v>HI</v>
          </cell>
          <cell r="L15" t="str">
            <v>Hawaii</v>
          </cell>
          <cell r="M15" t="str">
            <v>M/P</v>
          </cell>
          <cell r="N15" t="str">
            <v>P</v>
          </cell>
        </row>
        <row r="16">
          <cell r="B16" t="str">
            <v>Club Hotel by Doubletree</v>
          </cell>
          <cell r="C16" t="str">
            <v>Full-Service (Mid-Market)</v>
          </cell>
          <cell r="F16" t="str">
            <v>Full-Service (Economy) x</v>
          </cell>
          <cell r="G16" t="str">
            <v>ee</v>
          </cell>
          <cell r="K16" t="str">
            <v>IA</v>
          </cell>
          <cell r="L16" t="str">
            <v>Iowa</v>
          </cell>
          <cell r="M16" t="str">
            <v>NC</v>
          </cell>
          <cell r="N16" t="str">
            <v>WNC</v>
          </cell>
        </row>
        <row r="17">
          <cell r="B17" t="str">
            <v>ClubHouse Inn</v>
          </cell>
          <cell r="C17" t="str">
            <v>Full-Service (Mid-Market)</v>
          </cell>
          <cell r="F17" t="str">
            <v>Full-Service (Mid-Market)</v>
          </cell>
          <cell r="G17" t="str">
            <v>c</v>
          </cell>
          <cell r="H17" t="str">
            <v>c</v>
          </cell>
          <cell r="I17" t="str">
            <v>c</v>
          </cell>
          <cell r="K17" t="str">
            <v>ID</v>
          </cell>
          <cell r="L17" t="str">
            <v>Idaho</v>
          </cell>
          <cell r="M17" t="str">
            <v>M/P</v>
          </cell>
          <cell r="N17" t="str">
            <v>M</v>
          </cell>
        </row>
        <row r="18">
          <cell r="B18" t="str">
            <v>Comfort Inn</v>
          </cell>
          <cell r="C18" t="str">
            <v>Limited-Service (Mid-Market)</v>
          </cell>
          <cell r="F18" t="str">
            <v>Full-Service (Mid-Market) x</v>
          </cell>
          <cell r="G18" t="str">
            <v>cc</v>
          </cell>
          <cell r="K18" t="str">
            <v>IL</v>
          </cell>
          <cell r="L18" t="str">
            <v>Illinois</v>
          </cell>
          <cell r="M18" t="str">
            <v>NC</v>
          </cell>
          <cell r="N18" t="str">
            <v>ENC</v>
          </cell>
          <cell r="S18" t="str">
            <v>Airport</v>
          </cell>
          <cell r="T18" t="str">
            <v>3Airport</v>
          </cell>
        </row>
        <row r="19">
          <cell r="B19" t="str">
            <v>Comfort Suites</v>
          </cell>
          <cell r="C19" t="str">
            <v>Limited-Service (Mid-Market)</v>
          </cell>
          <cell r="F19" t="str">
            <v>Limited-Service (Economy)</v>
          </cell>
          <cell r="G19" t="str">
            <v>f</v>
          </cell>
          <cell r="H19" t="str">
            <v>d</v>
          </cell>
          <cell r="I19" t="str">
            <v>d</v>
          </cell>
          <cell r="K19" t="str">
            <v>IN</v>
          </cell>
          <cell r="L19" t="str">
            <v>Indiana</v>
          </cell>
          <cell r="M19" t="str">
            <v>NC</v>
          </cell>
          <cell r="N19" t="str">
            <v>ENC</v>
          </cell>
          <cell r="S19" t="str">
            <v>CBD</v>
          </cell>
          <cell r="T19" t="str">
            <v>1CBD</v>
          </cell>
        </row>
        <row r="20">
          <cell r="B20" t="str">
            <v>Country Hearth Inn</v>
          </cell>
          <cell r="C20" t="str">
            <v>Limited-Service (Mid-Market)</v>
          </cell>
          <cell r="F20" t="str">
            <v>Limited-Service (Economy) x</v>
          </cell>
          <cell r="G20" t="str">
            <v>ff</v>
          </cell>
          <cell r="K20" t="str">
            <v>KS</v>
          </cell>
          <cell r="L20" t="str">
            <v>Kansas</v>
          </cell>
          <cell r="M20" t="str">
            <v>NC</v>
          </cell>
          <cell r="N20" t="str">
            <v>WNC</v>
          </cell>
          <cell r="S20" t="str">
            <v>Highway</v>
          </cell>
          <cell r="T20" t="str">
            <v>5Highway</v>
          </cell>
        </row>
        <row r="21">
          <cell r="B21" t="str">
            <v>Country Inn &amp; Suites</v>
          </cell>
          <cell r="C21" t="str">
            <v>Limited-Service (Mid-Market)</v>
          </cell>
          <cell r="F21" t="str">
            <v>Limited-Service (Mid-Market)</v>
          </cell>
          <cell r="G21" t="str">
            <v>d</v>
          </cell>
          <cell r="H21" t="str">
            <v>c</v>
          </cell>
          <cell r="I21" t="str">
            <v>c</v>
          </cell>
          <cell r="K21" t="str">
            <v>KY</v>
          </cell>
          <cell r="L21" t="str">
            <v>Kentucky</v>
          </cell>
          <cell r="M21" t="str">
            <v>SC</v>
          </cell>
          <cell r="N21" t="str">
            <v>ESC</v>
          </cell>
          <cell r="S21" t="str">
            <v>Resort</v>
          </cell>
          <cell r="T21" t="str">
            <v>4Resort</v>
          </cell>
        </row>
        <row r="22">
          <cell r="B22" t="str">
            <v>Courtyard by Marriott</v>
          </cell>
          <cell r="C22" t="str">
            <v>Full-Service (Mid-Market)</v>
          </cell>
          <cell r="F22" t="str">
            <v>Limited-Service (Mid-Market) x</v>
          </cell>
          <cell r="G22" t="str">
            <v>dd</v>
          </cell>
          <cell r="K22" t="str">
            <v>LA</v>
          </cell>
          <cell r="L22" t="str">
            <v>Louisiana</v>
          </cell>
          <cell r="M22" t="str">
            <v>SC</v>
          </cell>
          <cell r="N22" t="str">
            <v>WSC</v>
          </cell>
          <cell r="S22" t="str">
            <v>Suburban</v>
          </cell>
          <cell r="T22" t="str">
            <v>2Suburban</v>
          </cell>
        </row>
        <row r="23">
          <cell r="B23" t="str">
            <v>Crestwood Suites</v>
          </cell>
          <cell r="C23" t="str">
            <v>Limited-Service (Mid-Market)</v>
          </cell>
          <cell r="F23" t="str">
            <v>Luxury</v>
          </cell>
          <cell r="G23" t="str">
            <v>a</v>
          </cell>
          <cell r="H23" t="str">
            <v>a</v>
          </cell>
          <cell r="I23" t="str">
            <v>a</v>
          </cell>
          <cell r="K23" t="str">
            <v>MA</v>
          </cell>
          <cell r="L23" t="str">
            <v>Massachusetts</v>
          </cell>
          <cell r="M23" t="str">
            <v>NE/MA</v>
          </cell>
          <cell r="N23" t="str">
            <v>NE</v>
          </cell>
        </row>
        <row r="24">
          <cell r="B24" t="str">
            <v>Crossland Economy Studios</v>
          </cell>
          <cell r="C24" t="str">
            <v>Extended-Stay (Lower Tier)</v>
          </cell>
          <cell r="F24" t="str">
            <v>Luxury x</v>
          </cell>
          <cell r="G24" t="str">
            <v>aa</v>
          </cell>
          <cell r="K24" t="str">
            <v>MD</v>
          </cell>
          <cell r="L24" t="str">
            <v>Maryland</v>
          </cell>
          <cell r="M24" t="str">
            <v>SA</v>
          </cell>
          <cell r="N24" t="str">
            <v>SA</v>
          </cell>
        </row>
        <row r="25">
          <cell r="B25" t="str">
            <v>Crowne Plaza</v>
          </cell>
          <cell r="C25" t="str">
            <v>First Class (Upscale)</v>
          </cell>
          <cell r="K25" t="str">
            <v>ME</v>
          </cell>
          <cell r="L25" t="str">
            <v>Maine</v>
          </cell>
          <cell r="M25" t="str">
            <v>NE/MA</v>
          </cell>
          <cell r="N25" t="str">
            <v>NE</v>
          </cell>
        </row>
        <row r="26">
          <cell r="B26" t="str">
            <v>Crystal Inn</v>
          </cell>
          <cell r="C26" t="str">
            <v>Limited-Service (Mid-Market)</v>
          </cell>
          <cell r="F26">
            <v>1</v>
          </cell>
          <cell r="G26">
            <v>1</v>
          </cell>
          <cell r="K26" t="str">
            <v>MI</v>
          </cell>
          <cell r="L26" t="str">
            <v>Michigan</v>
          </cell>
          <cell r="M26" t="str">
            <v>NC</v>
          </cell>
          <cell r="N26" t="str">
            <v>ENC</v>
          </cell>
        </row>
        <row r="27">
          <cell r="B27" t="str">
            <v>Days Inn</v>
          </cell>
          <cell r="C27" t="str">
            <v>Full-Service (Economy)</v>
          </cell>
          <cell r="F27">
            <v>1000000</v>
          </cell>
          <cell r="G27">
            <v>2</v>
          </cell>
          <cell r="K27" t="str">
            <v>MN</v>
          </cell>
          <cell r="L27" t="str">
            <v>Minnesota</v>
          </cell>
          <cell r="M27" t="str">
            <v>NC</v>
          </cell>
          <cell r="N27" t="str">
            <v>WNC</v>
          </cell>
        </row>
        <row r="28">
          <cell r="B28" t="str">
            <v>Doubletree Guest Suites</v>
          </cell>
          <cell r="C28" t="str">
            <v>First Class (Upscale)</v>
          </cell>
          <cell r="F28">
            <v>2500000</v>
          </cell>
          <cell r="G28">
            <v>3</v>
          </cell>
          <cell r="K28" t="str">
            <v>MO</v>
          </cell>
          <cell r="L28" t="str">
            <v>Missouri</v>
          </cell>
          <cell r="M28" t="str">
            <v>NC</v>
          </cell>
          <cell r="N28" t="str">
            <v>WNC</v>
          </cell>
        </row>
        <row r="29">
          <cell r="B29" t="str">
            <v>Doubletree Hotel</v>
          </cell>
          <cell r="C29" t="str">
            <v>First Class (Upscale)</v>
          </cell>
          <cell r="F29">
            <v>5000000</v>
          </cell>
          <cell r="G29">
            <v>4</v>
          </cell>
          <cell r="K29" t="str">
            <v>MS</v>
          </cell>
          <cell r="L29" t="str">
            <v>Mississippi</v>
          </cell>
          <cell r="M29" t="str">
            <v>SC</v>
          </cell>
          <cell r="N29" t="str">
            <v>ESC</v>
          </cell>
        </row>
        <row r="30">
          <cell r="B30" t="str">
            <v>Drury Inn</v>
          </cell>
          <cell r="C30" t="str">
            <v>Full-Service (Mid-Market)</v>
          </cell>
          <cell r="F30">
            <v>10000000</v>
          </cell>
          <cell r="G30">
            <v>5</v>
          </cell>
          <cell r="K30" t="str">
            <v>MT</v>
          </cell>
          <cell r="L30" t="str">
            <v>Montana</v>
          </cell>
          <cell r="M30" t="str">
            <v>M/P</v>
          </cell>
          <cell r="N30" t="str">
            <v>M</v>
          </cell>
        </row>
        <row r="31">
          <cell r="B31" t="str">
            <v>Econo Lodge</v>
          </cell>
          <cell r="C31" t="str">
            <v>Limited-Service (Economy)</v>
          </cell>
          <cell r="F31">
            <v>20000000</v>
          </cell>
          <cell r="G31">
            <v>6</v>
          </cell>
          <cell r="K31" t="str">
            <v>NC</v>
          </cell>
          <cell r="L31" t="str">
            <v>North Carolina</v>
          </cell>
          <cell r="M31" t="str">
            <v>SA</v>
          </cell>
          <cell r="N31" t="str">
            <v>SA</v>
          </cell>
        </row>
        <row r="32">
          <cell r="B32" t="str">
            <v>Embassy Suites</v>
          </cell>
          <cell r="C32" t="str">
            <v>First Class (Upscale)</v>
          </cell>
          <cell r="F32">
            <v>999999999</v>
          </cell>
          <cell r="G32">
            <v>6</v>
          </cell>
          <cell r="K32" t="str">
            <v>ND</v>
          </cell>
          <cell r="L32" t="str">
            <v>North Dakota</v>
          </cell>
          <cell r="M32" t="str">
            <v>NC</v>
          </cell>
          <cell r="N32" t="str">
            <v>WNC</v>
          </cell>
        </row>
        <row r="33">
          <cell r="B33" t="str">
            <v>Extended Stay America</v>
          </cell>
          <cell r="C33" t="str">
            <v>Extended-Stay (Lower Tier)</v>
          </cell>
          <cell r="K33" t="str">
            <v>NE</v>
          </cell>
          <cell r="L33" t="str">
            <v>Nebraska</v>
          </cell>
          <cell r="M33" t="str">
            <v>NC</v>
          </cell>
          <cell r="N33" t="str">
            <v>WNC</v>
          </cell>
        </row>
        <row r="34">
          <cell r="B34" t="str">
            <v>Fairfield Inn</v>
          </cell>
          <cell r="C34" t="str">
            <v>Limited-Service (Economy)</v>
          </cell>
          <cell r="K34" t="str">
            <v>NH</v>
          </cell>
          <cell r="L34" t="str">
            <v>New Hampshire</v>
          </cell>
          <cell r="M34" t="str">
            <v>NE/MA</v>
          </cell>
          <cell r="N34" t="str">
            <v>NE</v>
          </cell>
        </row>
        <row r="35">
          <cell r="B35" t="str">
            <v>Fairfield Suites</v>
          </cell>
          <cell r="C35" t="str">
            <v>Limited-Service (Economy)</v>
          </cell>
          <cell r="K35" t="str">
            <v>NJ</v>
          </cell>
          <cell r="L35" t="str">
            <v>New Jersey</v>
          </cell>
          <cell r="M35" t="str">
            <v>NE/MA</v>
          </cell>
          <cell r="N35" t="str">
            <v>MA</v>
          </cell>
        </row>
        <row r="36">
          <cell r="B36" t="str">
            <v>Fairmont Hotel</v>
          </cell>
          <cell r="C36" t="str">
            <v>Luxury</v>
          </cell>
          <cell r="K36" t="str">
            <v>NM</v>
          </cell>
          <cell r="L36" t="str">
            <v>New Mexico</v>
          </cell>
          <cell r="M36" t="str">
            <v>M/P</v>
          </cell>
          <cell r="N36" t="str">
            <v>M</v>
          </cell>
        </row>
        <row r="37">
          <cell r="B37" t="str">
            <v>Four Points Hotel</v>
          </cell>
          <cell r="C37" t="str">
            <v>Full-Service (Mid-Market)</v>
          </cell>
          <cell r="F37">
            <v>1</v>
          </cell>
          <cell r="G37">
            <v>1</v>
          </cell>
          <cell r="K37" t="str">
            <v>NV</v>
          </cell>
          <cell r="L37" t="str">
            <v>Nevada</v>
          </cell>
          <cell r="M37" t="str">
            <v>M/P</v>
          </cell>
          <cell r="N37" t="str">
            <v>M</v>
          </cell>
        </row>
        <row r="38">
          <cell r="B38" t="str">
            <v>Four Seasons</v>
          </cell>
          <cell r="C38" t="str">
            <v>Luxury</v>
          </cell>
          <cell r="F38">
            <v>75</v>
          </cell>
          <cell r="G38">
            <v>2</v>
          </cell>
          <cell r="K38" t="str">
            <v>NY</v>
          </cell>
          <cell r="L38" t="str">
            <v>New York</v>
          </cell>
          <cell r="M38" t="str">
            <v>NE/MA</v>
          </cell>
          <cell r="N38" t="str">
            <v>MA</v>
          </cell>
        </row>
        <row r="39">
          <cell r="B39" t="str">
            <v>French Quarter Suites</v>
          </cell>
          <cell r="C39" t="str">
            <v>Full-Service (Mid-Market)</v>
          </cell>
          <cell r="F39">
            <v>150</v>
          </cell>
          <cell r="G39">
            <v>3</v>
          </cell>
          <cell r="K39" t="str">
            <v>OH</v>
          </cell>
          <cell r="L39" t="str">
            <v>Ohio</v>
          </cell>
          <cell r="M39" t="str">
            <v>NC</v>
          </cell>
          <cell r="N39" t="str">
            <v>ENC</v>
          </cell>
        </row>
        <row r="40">
          <cell r="B40" t="str">
            <v>Friendship Inn</v>
          </cell>
          <cell r="C40" t="str">
            <v>Budget</v>
          </cell>
          <cell r="F40">
            <v>300</v>
          </cell>
          <cell r="G40">
            <v>4</v>
          </cell>
          <cell r="K40" t="str">
            <v>OK</v>
          </cell>
          <cell r="L40" t="str">
            <v>Oklahoma</v>
          </cell>
          <cell r="M40" t="str">
            <v>SC</v>
          </cell>
          <cell r="N40" t="str">
            <v>WSC</v>
          </cell>
        </row>
        <row r="41">
          <cell r="B41" t="str">
            <v>Grand Bay Hotel</v>
          </cell>
          <cell r="C41" t="str">
            <v>First Class (Upscale)</v>
          </cell>
          <cell r="F41">
            <v>500</v>
          </cell>
          <cell r="G41">
            <v>5</v>
          </cell>
          <cell r="K41" t="str">
            <v>OR</v>
          </cell>
          <cell r="L41" t="str">
            <v>Oregon</v>
          </cell>
          <cell r="M41" t="str">
            <v>M/P</v>
          </cell>
          <cell r="N41" t="str">
            <v>P</v>
          </cell>
        </row>
        <row r="42">
          <cell r="B42" t="str">
            <v>GuestHouse Inn</v>
          </cell>
          <cell r="C42" t="str">
            <v>Limited-Service (Mid-Market)</v>
          </cell>
          <cell r="F42">
            <v>9999</v>
          </cell>
          <cell r="G42">
            <v>5</v>
          </cell>
          <cell r="K42" t="str">
            <v>PA</v>
          </cell>
          <cell r="L42" t="str">
            <v>Pennsylvania</v>
          </cell>
          <cell r="M42" t="str">
            <v>NE/MA</v>
          </cell>
          <cell r="N42" t="str">
            <v>MA</v>
          </cell>
        </row>
        <row r="43">
          <cell r="B43" t="str">
            <v>Hampton Inn</v>
          </cell>
          <cell r="C43" t="str">
            <v>Limited-Service (Mid-Market)</v>
          </cell>
          <cell r="K43" t="str">
            <v>RI</v>
          </cell>
          <cell r="L43" t="str">
            <v>Rhode Island</v>
          </cell>
          <cell r="M43" t="str">
            <v>NE/MA</v>
          </cell>
          <cell r="N43" t="str">
            <v>NE</v>
          </cell>
        </row>
        <row r="44">
          <cell r="B44" t="str">
            <v>Hampton Inn &amp; Suites</v>
          </cell>
          <cell r="C44" t="str">
            <v>Limited-Service (Mid-Market)</v>
          </cell>
          <cell r="K44" t="str">
            <v>SC</v>
          </cell>
          <cell r="L44" t="str">
            <v>South Carolina</v>
          </cell>
          <cell r="M44" t="str">
            <v>SA</v>
          </cell>
          <cell r="N44" t="str">
            <v>SA</v>
          </cell>
        </row>
        <row r="45">
          <cell r="B45" t="str">
            <v>Harley Hotel</v>
          </cell>
          <cell r="C45" t="str">
            <v>Full-Service (Mid-Market)</v>
          </cell>
          <cell r="K45" t="str">
            <v>SD</v>
          </cell>
          <cell r="L45" t="str">
            <v>South Dakota</v>
          </cell>
          <cell r="M45" t="str">
            <v>NC</v>
          </cell>
          <cell r="N45" t="str">
            <v>WNC</v>
          </cell>
        </row>
        <row r="46">
          <cell r="B46" t="str">
            <v>Hawthorn Suites</v>
          </cell>
          <cell r="C46" t="str">
            <v>Extended-Stay (Upper Tier)</v>
          </cell>
          <cell r="K46" t="str">
            <v>TN</v>
          </cell>
          <cell r="L46" t="str">
            <v>Tennessee</v>
          </cell>
          <cell r="M46" t="str">
            <v>SC</v>
          </cell>
          <cell r="N46" t="str">
            <v>ESC</v>
          </cell>
        </row>
        <row r="47">
          <cell r="B47" t="str">
            <v>Hawthorn Suites Ltd.</v>
          </cell>
          <cell r="C47" t="str">
            <v>Extended-Stay (Middle Tier)</v>
          </cell>
          <cell r="K47" t="str">
            <v>TX</v>
          </cell>
          <cell r="L47" t="str">
            <v>Texas</v>
          </cell>
          <cell r="M47" t="str">
            <v>SC</v>
          </cell>
          <cell r="N47" t="str">
            <v>WSC</v>
          </cell>
        </row>
        <row r="48">
          <cell r="B48" t="str">
            <v>Hearthside Inn</v>
          </cell>
          <cell r="C48" t="str">
            <v>Extended-Stay (Lower Tier)</v>
          </cell>
          <cell r="K48" t="str">
            <v>UT</v>
          </cell>
          <cell r="L48" t="str">
            <v>Utah</v>
          </cell>
          <cell r="M48" t="str">
            <v>M/P</v>
          </cell>
          <cell r="N48" t="str">
            <v>M</v>
          </cell>
        </row>
        <row r="49">
          <cell r="B49" t="str">
            <v>Hilton Garden Inn</v>
          </cell>
          <cell r="C49" t="str">
            <v>Full-Service (Mid-Market)</v>
          </cell>
          <cell r="K49" t="str">
            <v>VA</v>
          </cell>
          <cell r="L49" t="str">
            <v>Virginia</v>
          </cell>
          <cell r="M49" t="str">
            <v>SA</v>
          </cell>
          <cell r="N49" t="str">
            <v>SA</v>
          </cell>
        </row>
        <row r="50">
          <cell r="B50" t="str">
            <v>Hilton Hotel</v>
          </cell>
          <cell r="C50" t="str">
            <v>First Class (Upscale)</v>
          </cell>
          <cell r="K50" t="str">
            <v>VT</v>
          </cell>
          <cell r="L50" t="str">
            <v>Vermont</v>
          </cell>
          <cell r="M50" t="str">
            <v>NE/MA</v>
          </cell>
          <cell r="N50" t="str">
            <v>NE</v>
          </cell>
        </row>
        <row r="51">
          <cell r="B51" t="str">
            <v>Hilton Inn</v>
          </cell>
          <cell r="C51" t="str">
            <v>First Class (Upscale)</v>
          </cell>
          <cell r="K51" t="str">
            <v>WA</v>
          </cell>
          <cell r="L51" t="str">
            <v>Washington</v>
          </cell>
          <cell r="M51" t="str">
            <v>M/P</v>
          </cell>
          <cell r="N51" t="str">
            <v>P</v>
          </cell>
        </row>
        <row r="52">
          <cell r="B52" t="str">
            <v>Holiday Inn</v>
          </cell>
          <cell r="C52" t="str">
            <v>Full-Service (Mid-Market)</v>
          </cell>
          <cell r="K52" t="str">
            <v>WI</v>
          </cell>
          <cell r="L52" t="str">
            <v>Wisconsin</v>
          </cell>
          <cell r="M52" t="str">
            <v>NC</v>
          </cell>
          <cell r="N52" t="str">
            <v>ENC</v>
          </cell>
        </row>
        <row r="53">
          <cell r="B53" t="str">
            <v>Holiday Inn Express</v>
          </cell>
          <cell r="C53" t="str">
            <v>Limited-Service (Mid-Market)</v>
          </cell>
          <cell r="K53" t="str">
            <v>WV</v>
          </cell>
          <cell r="L53" t="str">
            <v>West Virginia</v>
          </cell>
          <cell r="M53" t="str">
            <v>SA</v>
          </cell>
          <cell r="N53" t="str">
            <v>SA</v>
          </cell>
        </row>
        <row r="54">
          <cell r="B54" t="str">
            <v>Holiday Inn Select</v>
          </cell>
          <cell r="C54" t="str">
            <v>Full-Service (Mid-Market)</v>
          </cell>
          <cell r="K54" t="str">
            <v>WY</v>
          </cell>
          <cell r="L54" t="str">
            <v>Wyoming</v>
          </cell>
          <cell r="M54" t="str">
            <v>M/P</v>
          </cell>
          <cell r="N54" t="str">
            <v>M</v>
          </cell>
        </row>
        <row r="55">
          <cell r="B55" t="str">
            <v>Holiday Inn Sunspree</v>
          </cell>
          <cell r="C55" t="str">
            <v>First Class (Upscale)</v>
          </cell>
        </row>
        <row r="56">
          <cell r="B56" t="str">
            <v>Homegate Studios &amp; Suites</v>
          </cell>
          <cell r="C56" t="str">
            <v>Extended-Stay (Lower Tier)</v>
          </cell>
        </row>
        <row r="57">
          <cell r="B57" t="str">
            <v>Homestead Studio Suites</v>
          </cell>
          <cell r="C57" t="str">
            <v>Extended-Stay (Lower Tier)</v>
          </cell>
        </row>
        <row r="58">
          <cell r="B58" t="str">
            <v>Homewood Suites by Hilton</v>
          </cell>
          <cell r="C58" t="str">
            <v>Extended-Stay (Upper Tier)</v>
          </cell>
        </row>
        <row r="59">
          <cell r="B59" t="str">
            <v>Hotel Novotel</v>
          </cell>
          <cell r="C59" t="str">
            <v>First Class (Upscale)</v>
          </cell>
        </row>
        <row r="60">
          <cell r="B60" t="str">
            <v>Hotel Sofitel</v>
          </cell>
          <cell r="C60" t="str">
            <v>First Class (Upscale)</v>
          </cell>
        </row>
        <row r="61">
          <cell r="B61" t="str">
            <v>Howard Johnson</v>
          </cell>
          <cell r="C61" t="str">
            <v>Full-Service (Economy)</v>
          </cell>
        </row>
        <row r="62">
          <cell r="B62" t="str">
            <v>Howard Johnson Express Inn</v>
          </cell>
          <cell r="C62" t="str">
            <v>Limited-Service (Economy)</v>
          </cell>
        </row>
        <row r="63">
          <cell r="B63" t="str">
            <v>Howard Johnson Hotel</v>
          </cell>
          <cell r="C63" t="str">
            <v>Full-Service (Mid-Market)</v>
          </cell>
        </row>
        <row r="64">
          <cell r="B64" t="str">
            <v>Howard Johnson Inn</v>
          </cell>
          <cell r="C64" t="str">
            <v>Limited-Service (Economy)</v>
          </cell>
        </row>
        <row r="65">
          <cell r="B65" t="str">
            <v>Howard Johnson Plaza</v>
          </cell>
          <cell r="C65" t="str">
            <v>Full-Service (Mid-Market)</v>
          </cell>
        </row>
        <row r="66">
          <cell r="B66" t="str">
            <v>Hyatt Hotel</v>
          </cell>
          <cell r="C66" t="str">
            <v>First Class (Upscale)</v>
          </cell>
        </row>
        <row r="67">
          <cell r="B67" t="str">
            <v>Hyatt Regency</v>
          </cell>
          <cell r="C67" t="str">
            <v>First Class (Upscale)</v>
          </cell>
        </row>
        <row r="68">
          <cell r="B68" t="str">
            <v>InnSuites</v>
          </cell>
          <cell r="C68" t="str">
            <v>Extended-Stay (Lower Tier)</v>
          </cell>
        </row>
        <row r="69">
          <cell r="B69" t="str">
            <v>Inter-Continental</v>
          </cell>
          <cell r="C69" t="str">
            <v>First Class (Upscale)</v>
          </cell>
        </row>
        <row r="70">
          <cell r="B70" t="str">
            <v>Intown Suites</v>
          </cell>
          <cell r="C70" t="str">
            <v>Limited-Service (Economy)</v>
          </cell>
        </row>
        <row r="71">
          <cell r="B71" t="str">
            <v>Jameson Inn</v>
          </cell>
          <cell r="C71" t="str">
            <v>Limited-Service (Mid-Market)</v>
          </cell>
        </row>
        <row r="72">
          <cell r="B72" t="str">
            <v>Key West Inn</v>
          </cell>
          <cell r="C72" t="str">
            <v>Limited-Service (Mid-Market)</v>
          </cell>
        </row>
        <row r="73">
          <cell r="B73" t="str">
            <v>Knights Inn</v>
          </cell>
          <cell r="C73" t="str">
            <v>Limited-Service (Economy)</v>
          </cell>
        </row>
        <row r="74">
          <cell r="B74" t="str">
            <v>La Quinta</v>
          </cell>
          <cell r="C74" t="str">
            <v>Limited-Service (Mid-Market)</v>
          </cell>
        </row>
        <row r="75">
          <cell r="B75" t="str">
            <v>La Quinta Motor Inn</v>
          </cell>
          <cell r="C75" t="str">
            <v>Limited-Service (Mid-Market)</v>
          </cell>
        </row>
        <row r="76">
          <cell r="B76" t="str">
            <v xml:space="preserve">Le Meridien </v>
          </cell>
          <cell r="C76" t="str">
            <v>Luxury</v>
          </cell>
        </row>
        <row r="77">
          <cell r="B77" t="str">
            <v>Loews Hotel</v>
          </cell>
          <cell r="C77" t="str">
            <v>First Class (Upscale)</v>
          </cell>
        </row>
        <row r="78">
          <cell r="B78" t="str">
            <v>MainStay Suites</v>
          </cell>
          <cell r="C78" t="str">
            <v>Extended-Stay (Lower Tier)</v>
          </cell>
        </row>
        <row r="79">
          <cell r="B79" t="str">
            <v>Marriott Hotel</v>
          </cell>
          <cell r="C79" t="str">
            <v>First Class (Upscale)</v>
          </cell>
        </row>
        <row r="80">
          <cell r="B80" t="str">
            <v>Microtel Inn</v>
          </cell>
          <cell r="C80" t="str">
            <v>Budget</v>
          </cell>
        </row>
        <row r="81">
          <cell r="B81" t="str">
            <v>Motel 6</v>
          </cell>
          <cell r="C81" t="str">
            <v>Budget</v>
          </cell>
        </row>
        <row r="82">
          <cell r="B82" t="str">
            <v>Omni Hotel</v>
          </cell>
          <cell r="C82" t="str">
            <v>First Class (Upscale)</v>
          </cell>
        </row>
        <row r="83">
          <cell r="B83" t="str">
            <v>Park Inn</v>
          </cell>
          <cell r="C83" t="str">
            <v>Full-Service (Economy)</v>
          </cell>
        </row>
        <row r="84">
          <cell r="B84" t="str">
            <v>Platinum Suites</v>
          </cell>
          <cell r="C84" t="str">
            <v>Limited-Service (Mid-Market)</v>
          </cell>
        </row>
        <row r="85">
          <cell r="B85" t="str">
            <v>Quality Inn</v>
          </cell>
          <cell r="C85" t="str">
            <v>Full-Service (Mid-Market)</v>
          </cell>
        </row>
        <row r="86">
          <cell r="B86" t="str">
            <v>Quality Suites</v>
          </cell>
          <cell r="C86" t="str">
            <v>Full-Service (Mid-Market)</v>
          </cell>
        </row>
        <row r="87">
          <cell r="B87" t="str">
            <v>Radisson Hotel</v>
          </cell>
          <cell r="C87" t="str">
            <v>First Class (Upscale)</v>
          </cell>
        </row>
        <row r="88">
          <cell r="B88" t="str">
            <v>Radisson Inn</v>
          </cell>
          <cell r="C88" t="str">
            <v>Full-Service (Mid-Market)</v>
          </cell>
        </row>
        <row r="89">
          <cell r="B89" t="str">
            <v>Ramada</v>
          </cell>
          <cell r="C89" t="str">
            <v>Full-Service (Mid-Market)</v>
          </cell>
        </row>
        <row r="90">
          <cell r="B90" t="str">
            <v>Ramada Limited</v>
          </cell>
          <cell r="C90" t="str">
            <v>Limited-Service (Mid-Market)</v>
          </cell>
        </row>
        <row r="91">
          <cell r="B91" t="str">
            <v>Ramada Plaza</v>
          </cell>
          <cell r="C91" t="str">
            <v>Full-Service (Mid-Market)</v>
          </cell>
        </row>
        <row r="92">
          <cell r="B92" t="str">
            <v>Red Lion</v>
          </cell>
          <cell r="C92" t="str">
            <v>First Class (Upscale)</v>
          </cell>
        </row>
        <row r="93">
          <cell r="B93" t="str">
            <v>Red Roof Inn</v>
          </cell>
          <cell r="C93" t="str">
            <v>Limited-Service (Economy)</v>
          </cell>
        </row>
        <row r="94">
          <cell r="B94" t="str">
            <v>Renaissance Hotel</v>
          </cell>
          <cell r="C94" t="str">
            <v>First Class (Upscale)</v>
          </cell>
        </row>
        <row r="95">
          <cell r="B95" t="str">
            <v>Residence Inn</v>
          </cell>
          <cell r="C95" t="str">
            <v>Extended-Stay (Upper Tier)</v>
          </cell>
        </row>
        <row r="96">
          <cell r="B96" t="str">
            <v>Ritz-Carlton</v>
          </cell>
          <cell r="C96" t="str">
            <v>Luxury</v>
          </cell>
        </row>
        <row r="97">
          <cell r="B97" t="str">
            <v>Rodeway Inn</v>
          </cell>
          <cell r="C97" t="str">
            <v>Full-Service (Economy)</v>
          </cell>
        </row>
        <row r="98">
          <cell r="B98" t="str">
            <v>Sheraton Hotel</v>
          </cell>
          <cell r="C98" t="str">
            <v>First Class (Upscale)</v>
          </cell>
        </row>
        <row r="99">
          <cell r="B99" t="str">
            <v>Sheraton Inn</v>
          </cell>
          <cell r="C99" t="str">
            <v>Full-Service (Mid-Market)</v>
          </cell>
        </row>
        <row r="100">
          <cell r="B100" t="str">
            <v>Sheraton Luxury Hotel</v>
          </cell>
          <cell r="C100" t="str">
            <v>Luxury</v>
          </cell>
        </row>
        <row r="101">
          <cell r="B101" t="str">
            <v>Sheraton Inn</v>
          </cell>
          <cell r="C101" t="str">
            <v>Full-Service (Mid-Market)</v>
          </cell>
        </row>
        <row r="102">
          <cell r="B102" t="str">
            <v>Shoney's Inn</v>
          </cell>
          <cell r="C102" t="str">
            <v>Limited-Service (Mid-Market)</v>
          </cell>
        </row>
        <row r="103">
          <cell r="B103" t="str">
            <v>Sierra Suites</v>
          </cell>
          <cell r="C103" t="str">
            <v>Extended-Stay (Lower Tier)</v>
          </cell>
        </row>
        <row r="104">
          <cell r="B104" t="str">
            <v>Signature Inns</v>
          </cell>
          <cell r="C104" t="str">
            <v>Limited-Service (Mid-Market)</v>
          </cell>
        </row>
        <row r="105">
          <cell r="B105" t="str">
            <v>Sleep Inn</v>
          </cell>
          <cell r="C105" t="str">
            <v>Limited-Service (Economy)</v>
          </cell>
        </row>
        <row r="106">
          <cell r="B106" t="str">
            <v>Sofitel</v>
          </cell>
          <cell r="C106" t="str">
            <v>First Class (Upscale)</v>
          </cell>
        </row>
        <row r="107">
          <cell r="B107" t="str">
            <v>SpringHill Suites</v>
          </cell>
          <cell r="C107" t="str">
            <v>Limited-Service (Mid-Market)</v>
          </cell>
        </row>
        <row r="108">
          <cell r="B108" t="str">
            <v>Starwood Hotel</v>
          </cell>
          <cell r="C108" t="str">
            <v>First Class (Upscale)</v>
          </cell>
        </row>
        <row r="109">
          <cell r="B109" t="str">
            <v>Staybridge Suites</v>
          </cell>
          <cell r="C109" t="str">
            <v>Extended-Stay (Lower Tier)</v>
          </cell>
        </row>
        <row r="110">
          <cell r="B110" t="str">
            <v>StudioPlus Hotel</v>
          </cell>
          <cell r="C110" t="str">
            <v>Extended-Stay (Lower Tier)</v>
          </cell>
        </row>
        <row r="111">
          <cell r="B111" t="str">
            <v>Suburban Extended Stay Hotel</v>
          </cell>
          <cell r="C111" t="str">
            <v>Extended-Stay (Lower Tier)</v>
          </cell>
        </row>
        <row r="112">
          <cell r="B112" t="str">
            <v>Suite Carolina</v>
          </cell>
          <cell r="C112" t="str">
            <v>Limited-Service (Economy)</v>
          </cell>
        </row>
        <row r="113">
          <cell r="B113" t="str">
            <v>Summerfield Suites by Wyndham</v>
          </cell>
          <cell r="C113" t="str">
            <v>Extended-Stay (Upper Tier)</v>
          </cell>
        </row>
        <row r="114">
          <cell r="B114" t="str">
            <v>Sumner Suites</v>
          </cell>
          <cell r="C114" t="str">
            <v>Limited-Service (Mid-Market)</v>
          </cell>
        </row>
        <row r="115">
          <cell r="B115" t="str">
            <v>Sun Suites</v>
          </cell>
          <cell r="C115" t="str">
            <v>Limited-Service (Economy)</v>
          </cell>
        </row>
        <row r="116">
          <cell r="B116" t="str">
            <v>Sun Suites</v>
          </cell>
          <cell r="C116" t="str">
            <v>Limited-Service (Mid-Market)</v>
          </cell>
        </row>
        <row r="117">
          <cell r="B117" t="str">
            <v>Sunspree Resort</v>
          </cell>
          <cell r="C117" t="str">
            <v>First Class (Upscale)</v>
          </cell>
        </row>
        <row r="118">
          <cell r="B118" t="str">
            <v>Super 8</v>
          </cell>
          <cell r="C118" t="str">
            <v>Limited-Service (Economy)</v>
          </cell>
        </row>
        <row r="119">
          <cell r="B119" t="str">
            <v>Susse Chalet</v>
          </cell>
          <cell r="C119" t="str">
            <v>Limited-Service (Economy)</v>
          </cell>
        </row>
        <row r="120">
          <cell r="B120" t="str">
            <v>Swissotel</v>
          </cell>
          <cell r="C120" t="str">
            <v>First Class (Upscale)</v>
          </cell>
        </row>
        <row r="121">
          <cell r="B121" t="str">
            <v>TownePlace Suites</v>
          </cell>
          <cell r="C121" t="str">
            <v>Extended-Stay (Lower Tier)</v>
          </cell>
        </row>
        <row r="122">
          <cell r="B122" t="str">
            <v>Travelodge</v>
          </cell>
          <cell r="C122" t="str">
            <v>Limited-Service (Economy)</v>
          </cell>
        </row>
        <row r="123">
          <cell r="B123" t="str">
            <v>Vagabond Inn</v>
          </cell>
          <cell r="C123" t="str">
            <v>Limited-Service (Economy)</v>
          </cell>
        </row>
        <row r="124">
          <cell r="B124" t="str">
            <v>Villager Lodge</v>
          </cell>
          <cell r="C124" t="str">
            <v>Limited-Service (Economy)</v>
          </cell>
        </row>
        <row r="125">
          <cell r="B125" t="str">
            <v>W Hotel</v>
          </cell>
          <cell r="C125" t="str">
            <v>First Class (Upscale)</v>
          </cell>
        </row>
        <row r="126">
          <cell r="B126" t="str">
            <v>Wellesley Inn</v>
          </cell>
          <cell r="C126" t="str">
            <v>Limited-Service (Mid-Market)</v>
          </cell>
        </row>
        <row r="127">
          <cell r="B127" t="str">
            <v>Wellesley Inn &amp; Suites</v>
          </cell>
          <cell r="C127" t="str">
            <v>Limited-Service (Mid-Market)</v>
          </cell>
        </row>
        <row r="128">
          <cell r="B128" t="str">
            <v>Westin  Hotel</v>
          </cell>
          <cell r="C128" t="str">
            <v>First Class (Upscale)</v>
          </cell>
        </row>
        <row r="129">
          <cell r="B129" t="str">
            <v>Wingate Inn</v>
          </cell>
          <cell r="C129" t="str">
            <v>Limited-Service (Mid-Market)</v>
          </cell>
        </row>
        <row r="130">
          <cell r="B130" t="str">
            <v>Woodfield Suites</v>
          </cell>
          <cell r="C130" t="str">
            <v>First Class (Upscale)</v>
          </cell>
        </row>
        <row r="131">
          <cell r="B131" t="str">
            <v>Wyndham Garden</v>
          </cell>
          <cell r="C131" t="str">
            <v>Full-Service (Mid-Market)</v>
          </cell>
        </row>
        <row r="132">
          <cell r="B132" t="str">
            <v>Wyndham Hotel</v>
          </cell>
          <cell r="C132" t="str">
            <v>First Class (Upscale)</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ested capital_VDF"/>
      <sheetName val="NOPAT_VDF"/>
      <sheetName val="Earnings Model "/>
    </sheetNames>
    <sheetDataSet>
      <sheetData sheetId="0" refreshError="1">
        <row r="13">
          <cell r="T13">
            <v>0</v>
          </cell>
        </row>
        <row r="28">
          <cell r="T28">
            <v>837.7509249206081</v>
          </cell>
        </row>
        <row r="29">
          <cell r="T29">
            <v>817.72377756204344</v>
          </cell>
        </row>
        <row r="30">
          <cell r="T30">
            <v>837.7509249206081</v>
          </cell>
        </row>
        <row r="31">
          <cell r="T31">
            <v>817.72377756204344</v>
          </cell>
        </row>
        <row r="32">
          <cell r="T32">
            <v>0</v>
          </cell>
        </row>
        <row r="79">
          <cell r="T79">
            <v>0</v>
          </cell>
        </row>
      </sheetData>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RGER"/>
      <sheetName val="Rollforward"/>
      <sheetName val="IBC"/>
      <sheetName val="Ann"/>
      <sheetName val="Magenta"/>
      <sheetName val="Magenta Data"/>
      <sheetName val="Blue"/>
      <sheetName val="Blue Data"/>
      <sheetName val="Red"/>
      <sheetName val="Red Data"/>
      <sheetName val="Cyan"/>
      <sheetName val="Cyan Data"/>
      <sheetName val="Green"/>
      <sheetName val="Green Data"/>
      <sheetName val="Yellow"/>
      <sheetName val="Yellow Data"/>
      <sheetName val="IS"/>
      <sheetName val="LBO"/>
      <sheetName val="Sheet1"/>
      <sheetName val="Changes"/>
      <sheetName val="GLA"/>
      <sheetName val="Rec"/>
      <sheetName val="LAR"/>
      <sheetName val="OFA"/>
      <sheetName val="JCT Fcst"/>
      <sheetName val="Brazil Relief"/>
      <sheetName val="Hoja1"/>
      <sheetName val="LAR Brazil"/>
      <sheetName val="JCT"/>
      <sheetName val="GLA Mar Billing"/>
      <sheetName val="GLA Feb Billing"/>
      <sheetName val="GLA Feb Billing Adj"/>
      <sheetName val="Syndication Sport Summary"/>
      <sheetName val="PCTV "/>
      <sheetName val="Big Deals"/>
      <sheetName val="Valuation DCF"/>
      <sheetName val="qtrfcst"/>
      <sheetName val="Inputs"/>
      <sheetName val="Summary Analysis"/>
      <sheetName val="Impact model"/>
      <sheetName val="Rev. Royalty Sch. + Proj."/>
      <sheetName val="Stand Alone Model"/>
      <sheetName val="Edge 10797 Drilling Inventory"/>
      <sheetName val="Nicks excl B&amp;C"/>
      <sheetName val="V1B"/>
      <sheetName val="V1C"/>
      <sheetName val="Nicks"/>
      <sheetName val="Stock"/>
      <sheetName val="Existing cap structure"/>
      <sheetName val="Long-Term Care Comps"/>
      <sheetName val="2 YR Reg"/>
      <sheetName val="Synergy DCF"/>
      <sheetName val="BELO Cash Flow"/>
      <sheetName val="FxdChg"/>
      <sheetName val="Transaction"/>
      <sheetName val="SHTCOMPS"/>
      <sheetName val="Transaction Summary"/>
      <sheetName val="DCF"/>
      <sheetName val="Magen_x0005_G"/>
      <sheetName val="Tab#1 Dispositions"/>
      <sheetName val="RCN-Building - Office"/>
      <sheetName val="Scenarios"/>
      <sheetName val="18"/>
      <sheetName val="lbo-sum"/>
      <sheetName val="PXMODEL"/>
      <sheetName val="Roundy's Projection Model"/>
      <sheetName val="Summary #2 wo CLSC"/>
      <sheetName val="Insight"/>
      <sheetName val="Link"/>
      <sheetName val="Results from Nov 98"/>
      <sheetName val="1994 PE Dots"/>
      <sheetName val="Detail By Dept"/>
      <sheetName val="Actuals"/>
      <sheetName val="1098 loc"/>
      <sheetName val="Ref"/>
      <sheetName val="PremiumsInputs"/>
      <sheetName val="PERF_INCENTIVE"/>
      <sheetName val="AACLIENT"/>
      <sheetName val="Company summary items"/>
      <sheetName val="Dashboard"/>
      <sheetName val="Cash Work"/>
      <sheetName val="p"/>
      <sheetName val="Summary"/>
      <sheetName val="Switchboard"/>
      <sheetName val="Deal Summary"/>
      <sheetName val="#REF"/>
      <sheetName val="Preamble"/>
      <sheetName val="Revenue Sum"/>
      <sheetName val="Accretion Analysis"/>
      <sheetName val="Rev Sen"/>
      <sheetName val="Internet IS"/>
      <sheetName val="financials"/>
      <sheetName val="Actuals98"/>
      <sheetName val="Actuals99"/>
      <sheetName val="__FDSCACHE__"/>
      <sheetName val="CoverPage"/>
      <sheetName val="Contents"/>
      <sheetName val="Target"/>
      <sheetName val="Acquirer"/>
      <sheetName val="Opening BS"/>
      <sheetName val="Combined"/>
      <sheetName val="KeyOutputs"/>
      <sheetName val="Sensitivities"/>
      <sheetName val="Combined Ratios"/>
      <sheetName val="AVP"/>
      <sheetName val="PFOut1"/>
      <sheetName val="PFOut2"/>
      <sheetName val="EarningsContribution"/>
      <sheetName val="ValueContribution"/>
      <sheetName val="CombGrSumm"/>
      <sheetName val="SideBySideSumm"/>
      <sheetName val="CombSumm"/>
      <sheetName val="AcqSumm"/>
      <sheetName val="TgtSummAcqCurr"/>
      <sheetName val="TgtSummTgtCurr"/>
      <sheetName val="Input Page"/>
      <sheetName val="pg 2    1997 Mthly Forecast"/>
      <sheetName val="Cashflow Model"/>
      <sheetName val="Consolidated"/>
      <sheetName val="BILL"/>
      <sheetName val="Model"/>
      <sheetName val="InvestorSum"/>
      <sheetName val="Moodys"/>
      <sheetName val="Expenses"/>
      <sheetName val="Master"/>
      <sheetName val="Comp Inputs"/>
      <sheetName val="Import Data"/>
      <sheetName val="(A1) HOLDCO"/>
      <sheetName val="1994"/>
      <sheetName val="MERGER MODEL"/>
      <sheetName val="Dilution - No Synergies"/>
      <sheetName val="Dilution- Synergies"/>
      <sheetName val="MCD"/>
      <sheetName val="CEC"/>
      <sheetName val="Contribution"/>
      <sheetName val="Module1"/>
      <sheetName val="Module2"/>
      <sheetName val="SIlver Px"/>
      <sheetName val="BI-POLAR"/>
      <sheetName val="KION - RE Value Summary"/>
      <sheetName val="Exh A-6"/>
      <sheetName val="Exh A-1"/>
      <sheetName val="Exh A-4"/>
      <sheetName val="Exh A-8"/>
      <sheetName val="Exh A-3"/>
      <sheetName val="Exh A-5"/>
      <sheetName val="Exh A-2"/>
      <sheetName val="MTD"/>
      <sheetName val="Drop Down"/>
      <sheetName val="PrintMacro"/>
      <sheetName val="Total ISS"/>
      <sheetName val="References"/>
      <sheetName val="Rate Codes"/>
      <sheetName val="Drop-down"/>
      <sheetName val="DataBase"/>
      <sheetName val="Deleted Records"/>
      <sheetName val="Data Entry"/>
      <sheetName val="Reports"/>
      <sheetName val="Key Assumptions"/>
      <sheetName val="Cntmrs-Recruit"/>
      <sheetName val="Sensetivities"/>
      <sheetName val="AcqBS"/>
      <sheetName val="LCGRAPH"/>
      <sheetName val="synthgraph"/>
      <sheetName val="Size_Growth_Adj"/>
      <sheetName val="Budget after Changes"/>
      <sheetName val="Control"/>
      <sheetName val="OUTPUT"/>
      <sheetName val="PModel"/>
      <sheetName val="Yr to Yr Comparison Summary"/>
      <sheetName val="OON Net (Completion) 2009"/>
      <sheetName val="Aging"/>
      <sheetName val="Functional Cover"/>
      <sheetName val="Co. C"/>
      <sheetName val="YTD 2012 Bud Var"/>
      <sheetName val="WRKSHT"/>
      <sheetName val="Schedules"/>
      <sheetName val="Assumptions"/>
      <sheetName val="Lwsn Cos"/>
      <sheetName val="MIETTW"/>
      <sheetName val="RE COA"/>
      <sheetName val="Depreciation LW1"/>
      <sheetName val="FHLMC"/>
      <sheetName val="DataSheet"/>
      <sheetName val="Statistics"/>
      <sheetName val="proptax97"/>
      <sheetName val="INV"/>
      <sheetName val="THC JUNE"/>
      <sheetName val="Returns"/>
      <sheetName val="Accretion (Dilution) Output"/>
      <sheetName val="Cases"/>
      <sheetName val="Merger Cover"/>
      <sheetName val="Pro Forma Merger"/>
      <sheetName val="Merger Outputs&gt;"/>
      <sheetName val="Side by Side PMO"/>
      <sheetName val="Transaction Prem Matrix (Targ)"/>
      <sheetName val="PF Income Statement"/>
      <sheetName val="Financials (Albaugh)"/>
      <sheetName val="Financials (AVD)"/>
      <sheetName val="Doubts"/>
      <sheetName val="To be discussed &gt;&gt;"/>
      <sheetName val="Acc_Dil"/>
      <sheetName val="Syn Sensitivity"/>
      <sheetName val="Value Accretion"/>
      <sheetName val="DCF Output"/>
      <sheetName val="DCF Perp (Targ)"/>
      <sheetName val="DCF EBITDA (Targ)"/>
      <sheetName val="LBO Inputs"/>
      <sheetName val="LBO Cases"/>
      <sheetName val="LBO Cover"/>
      <sheetName val="LBO Outputs&gt;"/>
      <sheetName val="Projections"/>
      <sheetName val="Tran Value and S&amp;U"/>
      <sheetName val="Returns Summary"/>
      <sheetName val="PF_Credit"/>
      <sheetName val="PROFIT"/>
      <sheetName val="KeyMultInputs"/>
      <sheetName val="Spreads"/>
      <sheetName val="MLB 1998 Actuals"/>
      <sheetName val="Conclusion"/>
      <sheetName val="Sub N"/>
      <sheetName val="Charts"/>
      <sheetName val="SC-P-COL-T3_V2_Clases Demanda"/>
      <sheetName val="Bloomberg Corp Yields"/>
      <sheetName val="Covenants - Test"/>
      <sheetName val="Acct. Master"/>
      <sheetName val="Pull Down Tables"/>
      <sheetName val="Chart of Accounts"/>
      <sheetName val="Stock Analysis"/>
      <sheetName val="Stock Price"/>
      <sheetName val="Detail IS &amp; BS"/>
      <sheetName val="Prop Maint Budget"/>
      <sheetName val="Currency and Codes"/>
      <sheetName val="112012"/>
      <sheetName val="Nov BAM"/>
      <sheetName val="112068 P4 ACH+Wires ORGINAL"/>
      <sheetName val="Lookups"/>
      <sheetName val="Pg 2"/>
      <sheetName val="Pg 3"/>
      <sheetName val="Invoice Page 1"/>
      <sheetName val="Account Descriptions"/>
      <sheetName val="Customize Your Invoice"/>
      <sheetName val="Cust ID "/>
      <sheetName val="KSB1REPORT"/>
      <sheetName val="backend"/>
      <sheetName val="Income"/>
      <sheetName val="Index"/>
      <sheetName val="DATA"/>
      <sheetName val="Active Comm NEW"/>
      <sheetName val="Footnotes"/>
      <sheetName val="MERGER1"/>
      <sheetName val="Policy"/>
      <sheetName val="193011 Sep-13"/>
      <sheetName val="HR Set Up"/>
      <sheetName val="Cust ID"/>
      <sheetName val="OTHERSUM"/>
      <sheetName val="setup"/>
      <sheetName val="Commissions "/>
      <sheetName val="A"/>
      <sheetName val="June BV"/>
      <sheetName val="IC Data"/>
      <sheetName val="Prices"/>
      <sheetName val="Data Validation"/>
      <sheetName val="WACC"/>
      <sheetName val="Acquir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refreshError="1"/>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sheetData sheetId="131"/>
      <sheetData sheetId="132"/>
      <sheetData sheetId="133"/>
      <sheetData sheetId="134"/>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 2"/>
      <sheetName val="Notes"/>
      <sheetName val="Lookups"/>
      <sheetName val="Q2 99 Projects"/>
      <sheetName val="Pivots"/>
      <sheetName val="LE Brand Chart"/>
      <sheetName val="All Cat"/>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s"/>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y Out 2"/>
      <sheetName val="&lt;EuroCF&gt;"/>
      <sheetName val="Valuation Charts "/>
      <sheetName val="forex"/>
      <sheetName val="FDLN&amp;HRD Annual Used"/>
      <sheetName val="000 eur"/>
      <sheetName val="Delhaize America"/>
      <sheetName val="SuperDiscount"/>
      <sheetName val="Delvita"/>
      <sheetName val="Alfa Beta"/>
      <sheetName val="Delhaize Belgium"/>
      <sheetName val="P.G. Group"/>
      <sheetName val="Others (Asia)"/>
      <sheetName val="Mega Image"/>
      <sheetName val="Old Spreadsheet"/>
      <sheetName val="Goodwill"/>
      <sheetName val="Capex"/>
      <sheetName val="Div Quarterlies as reported"/>
      <sheetName val="(e)Spreadsheet"/>
      <sheetName val="Template"/>
      <sheetName val="DCF"/>
      <sheetName val="Minority interest"/>
      <sheetName val="FL_Quarterly"/>
      <sheetName val="Summary"/>
      <sheetName val="(e)Summary"/>
      <sheetName val="Datastream"/>
      <sheetName val="Roci"/>
      <sheetName val="(e)Roci"/>
      <sheetName val="WACC"/>
      <sheetName val="EVA"/>
      <sheetName val="Valuation ex-Food Lion"/>
    </sheetNames>
    <sheetDataSet>
      <sheetData sheetId="0" refreshError="1"/>
      <sheetData sheetId="1" refreshError="1">
        <row r="18">
          <cell r="B18">
            <v>2.4789352477323941E-2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4">
          <cell r="O4">
            <v>92.02131700000001</v>
          </cell>
        </row>
        <row r="5">
          <cell r="N5">
            <v>3855.7111996666667</v>
          </cell>
        </row>
        <row r="6">
          <cell r="N6">
            <v>4736.4014501528709</v>
          </cell>
        </row>
        <row r="7">
          <cell r="N7">
            <v>8592.1126498195372</v>
          </cell>
        </row>
      </sheetData>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
    </sheetNames>
    <sheetDataSet>
      <sheetData sheetId="0" refreshError="1">
        <row r="1">
          <cell r="A1" t="str">
            <v>source</v>
          </cell>
          <cell r="C1" t="str">
            <v>Name</v>
          </cell>
          <cell r="D1" t="str">
            <v>Addr</v>
          </cell>
          <cell r="E1" t="str">
            <v>City</v>
          </cell>
          <cell r="H1" t="str">
            <v>Rooms</v>
          </cell>
          <cell r="J1" t="str">
            <v>Date Sold</v>
          </cell>
          <cell r="L1" t="str">
            <v>Qtr</v>
          </cell>
          <cell r="M1" t="str">
            <v>Yr</v>
          </cell>
          <cell r="N1" t="str">
            <v>FB</v>
          </cell>
          <cell r="O1" t="str">
            <v>All Ste</v>
          </cell>
          <cell r="P1" t="str">
            <v>Franch Code</v>
          </cell>
          <cell r="Q1" t="str">
            <v>Franchise Name</v>
          </cell>
          <cell r="R1" t="str">
            <v>Market Segment</v>
          </cell>
          <cell r="T1" t="str">
            <v>name change</v>
          </cell>
          <cell r="U1" t="str">
            <v>Leasehold</v>
          </cell>
          <cell r="V1" t="str">
            <v>Lease type</v>
          </cell>
          <cell r="W1" t="str">
            <v>other RE</v>
          </cell>
          <cell r="X1" t="str">
            <v>open?</v>
          </cell>
          <cell r="Y1" t="str">
            <v>still a hotel</v>
          </cell>
          <cell r="Z1" t="str">
            <v>part owner</v>
          </cell>
          <cell r="AA1" t="str">
            <v>large city</v>
          </cell>
          <cell r="AB1" t="str">
            <v>city proximity</v>
          </cell>
          <cell r="AC1" t="str">
            <v>package deal</v>
          </cell>
          <cell r="AE1" t="str">
            <v>5 Region</v>
          </cell>
          <cell r="AF1" t="str">
            <v>Not  Top 40</v>
          </cell>
          <cell r="AG1" t="str">
            <v>Other</v>
          </cell>
          <cell r="AI1" t="str">
            <v>By Svc Type</v>
          </cell>
          <cell r="AJ1" t="str">
            <v>Master</v>
          </cell>
          <cell r="AK1" t="str">
            <v>Buyer name</v>
          </cell>
          <cell r="AL1" t="str">
            <v>Seller name</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IDUAL INCOME"/>
      <sheetName val="MAIN"/>
      <sheetName val="P&amp;L"/>
      <sheetName val="BS"/>
      <sheetName val="Update"/>
      <sheetName val="AFFILIATES (2)"/>
      <sheetName val="AFFILIATES"/>
      <sheetName val="Ratio"/>
      <sheetName val="Ace-In"/>
      <sheetName val="Ace-Out"/>
      <sheetName val="Cover"/>
      <sheetName val="Earnings Tables"/>
      <sheetName val="QQ"/>
      <sheetName val="Financial Tables"/>
      <sheetName val="Number of shares"/>
      <sheetName val="Earnings per share"/>
      <sheetName val="IS segment PY"/>
      <sheetName val="IS segment CY"/>
      <sheetName val="Monitor"/>
      <sheetName val="FCF"/>
      <sheetName val="Financial Statements"/>
      <sheetName val="RI Valuation"/>
      <sheetName val="EARNINGS"/>
      <sheetName val="Consolidated input"/>
      <sheetName val="Copy of KS055550"/>
      <sheetName val="EM"/>
      <sheetName val="Rent analysis"/>
      <sheetName val="Timeline"/>
      <sheetName val="store profile and sales mix"/>
      <sheetName val="reconciliation of note 2"/>
      <sheetName val="FY19"/>
      <sheetName val="Valuations"/>
      <sheetName val="6902"/>
      <sheetName val="P"/>
      <sheetName val="Model (Yue Yuen)"/>
      <sheetName val="CREDIT MODEL"/>
      <sheetName val="IS"/>
      <sheetName val="Revision"/>
      <sheetName val="2181 Persol"/>
    </sheetNames>
    <sheetDataSet>
      <sheetData sheetId="0" refreshError="1"/>
      <sheetData sheetId="1" refreshError="1"/>
      <sheetData sheetId="2" refreshError="1"/>
      <sheetData sheetId="3" refreshError="1"/>
      <sheetData sheetId="4" refreshError="1"/>
      <sheetData sheetId="5" refreshError="1">
        <row r="1">
          <cell r="A1" t="str">
            <v>SHINHAN FINANCIAL GROUP: KEY AFFILIATES</v>
          </cell>
        </row>
        <row r="2">
          <cell r="A2" t="str">
            <v>(Won billions)</v>
          </cell>
          <cell r="B2">
            <v>1996</v>
          </cell>
          <cell r="C2">
            <v>1997</v>
          </cell>
          <cell r="D2">
            <v>1998</v>
          </cell>
          <cell r="E2">
            <v>1999</v>
          </cell>
          <cell r="F2">
            <v>2000</v>
          </cell>
          <cell r="G2">
            <v>2001</v>
          </cell>
          <cell r="H2">
            <v>2002</v>
          </cell>
          <cell r="I2">
            <v>2003</v>
          </cell>
          <cell r="J2">
            <v>2004</v>
          </cell>
          <cell r="K2">
            <v>2005</v>
          </cell>
          <cell r="L2" t="str">
            <v>2006P</v>
          </cell>
          <cell r="M2" t="str">
            <v>2007E</v>
          </cell>
          <cell r="N2" t="str">
            <v>2008E</v>
          </cell>
          <cell r="O2" t="str">
            <v>2009E</v>
          </cell>
          <cell r="P2" t="str">
            <v>2010E</v>
          </cell>
          <cell r="Q2" t="str">
            <v>2011E</v>
          </cell>
          <cell r="AA2" t="str">
            <v>1Q02</v>
          </cell>
          <cell r="AB2" t="str">
            <v>2Q02</v>
          </cell>
          <cell r="AC2" t="str">
            <v>3Q02</v>
          </cell>
          <cell r="AD2" t="str">
            <v>4Q02</v>
          </cell>
          <cell r="AE2" t="str">
            <v>1Q03</v>
          </cell>
          <cell r="AF2" t="str">
            <v>2Q03</v>
          </cell>
          <cell r="AG2" t="str">
            <v>3Q03</v>
          </cell>
          <cell r="AH2" t="str">
            <v>4Q03</v>
          </cell>
          <cell r="AI2" t="str">
            <v>1Q04</v>
          </cell>
          <cell r="AJ2" t="str">
            <v>2Q04</v>
          </cell>
          <cell r="AK2" t="str">
            <v>3Q04</v>
          </cell>
          <cell r="AL2" t="str">
            <v>4Q04</v>
          </cell>
          <cell r="AM2" t="str">
            <v>1Q05</v>
          </cell>
          <cell r="AN2" t="str">
            <v>2Q05</v>
          </cell>
          <cell r="AO2" t="str">
            <v>3Q05</v>
          </cell>
          <cell r="AP2" t="str">
            <v>4Q05</v>
          </cell>
          <cell r="AQ2" t="str">
            <v>1Q06</v>
          </cell>
          <cell r="AR2" t="str">
            <v>2Q06</v>
          </cell>
          <cell r="AS2" t="str">
            <v>3Q06</v>
          </cell>
          <cell r="AT2" t="str">
            <v>4Q06</v>
          </cell>
          <cell r="AU2" t="str">
            <v>1Q07P</v>
          </cell>
          <cell r="AV2" t="str">
            <v>2Q07E</v>
          </cell>
          <cell r="AW2" t="str">
            <v>3Q07E</v>
          </cell>
          <cell r="AX2" t="str">
            <v>4Q07E</v>
          </cell>
          <cell r="AY2" t="str">
            <v>1Q08E</v>
          </cell>
          <cell r="AZ2" t="str">
            <v>2Q08E</v>
          </cell>
          <cell r="BA2" t="str">
            <v>3Q08E</v>
          </cell>
          <cell r="BB2" t="str">
            <v>4Q08E</v>
          </cell>
          <cell r="BC2" t="str">
            <v>1Q09E</v>
          </cell>
          <cell r="BD2" t="str">
            <v>2Q09E</v>
          </cell>
          <cell r="BE2" t="str">
            <v>3Q09E</v>
          </cell>
          <cell r="BF2" t="str">
            <v>4Q09E</v>
          </cell>
          <cell r="BG2" t="str">
            <v>1Q10E</v>
          </cell>
          <cell r="BH2" t="str">
            <v>2Q10E</v>
          </cell>
          <cell r="BI2" t="str">
            <v>3Q10E</v>
          </cell>
          <cell r="BJ2" t="str">
            <v>4Q10E</v>
          </cell>
          <cell r="BK2" t="str">
            <v>1Q11E</v>
          </cell>
          <cell r="BL2" t="str">
            <v>2Q11E</v>
          </cell>
          <cell r="BM2" t="str">
            <v>3Q11E</v>
          </cell>
          <cell r="BN2" t="str">
            <v>4Q11E</v>
          </cell>
        </row>
        <row r="3">
          <cell r="A3" t="str">
            <v>Shinhan Bank (excl. Chohung Bank)</v>
          </cell>
        </row>
        <row r="4">
          <cell r="A4" t="str">
            <v xml:space="preserve">   % ownership</v>
          </cell>
          <cell r="H4">
            <v>1</v>
          </cell>
        </row>
        <row r="5">
          <cell r="A5" t="str">
            <v>Net interest income</v>
          </cell>
          <cell r="H5">
            <v>1216.8511599999999</v>
          </cell>
          <cell r="I5">
            <v>1411.212</v>
          </cell>
          <cell r="J5">
            <v>1496.19</v>
          </cell>
          <cell r="K5">
            <v>1475.0719999999999</v>
          </cell>
        </row>
        <row r="6">
          <cell r="A6" t="str">
            <v xml:space="preserve">   % of parent comp</v>
          </cell>
          <cell r="H6" t="e">
            <v>#REF!</v>
          </cell>
          <cell r="I6" t="e">
            <v>#REF!</v>
          </cell>
          <cell r="J6" t="e">
            <v>#REF!</v>
          </cell>
          <cell r="K6" t="e">
            <v>#REF!</v>
          </cell>
        </row>
        <row r="7">
          <cell r="A7" t="str">
            <v>Non-interest income</v>
          </cell>
          <cell r="H7">
            <v>509.43027599999999</v>
          </cell>
          <cell r="I7">
            <v>363.82159999999999</v>
          </cell>
          <cell r="J7">
            <v>490.08434812800004</v>
          </cell>
          <cell r="K7">
            <v>473.73927897000004</v>
          </cell>
        </row>
        <row r="8">
          <cell r="A8" t="str">
            <v xml:space="preserve">   % of parent comp</v>
          </cell>
          <cell r="H8" t="e">
            <v>#REF!</v>
          </cell>
          <cell r="I8" t="e">
            <v>#REF!</v>
          </cell>
          <cell r="J8" t="e">
            <v>#REF!</v>
          </cell>
          <cell r="K8" t="e">
            <v>#REF!</v>
          </cell>
        </row>
        <row r="9">
          <cell r="A9" t="str">
            <v>Net operating revenue</v>
          </cell>
          <cell r="H9">
            <v>1726.281436</v>
          </cell>
          <cell r="I9">
            <v>1775.0336</v>
          </cell>
          <cell r="J9">
            <v>1986.2743481280002</v>
          </cell>
          <cell r="K9">
            <v>1948.8112789699999</v>
          </cell>
        </row>
        <row r="10">
          <cell r="A10" t="str">
            <v xml:space="preserve">   % of parent comp</v>
          </cell>
          <cell r="H10" t="e">
            <v>#REF!</v>
          </cell>
          <cell r="I10" t="e">
            <v>#REF!</v>
          </cell>
          <cell r="J10" t="e">
            <v>#REF!</v>
          </cell>
          <cell r="K10" t="e">
            <v>#REF!</v>
          </cell>
        </row>
        <row r="11">
          <cell r="A11" t="str">
            <v>SG&amp;A</v>
          </cell>
          <cell r="H11">
            <v>625.59020299999997</v>
          </cell>
          <cell r="I11">
            <v>668.62800000000004</v>
          </cell>
          <cell r="J11">
            <v>729.69299999999998</v>
          </cell>
          <cell r="K11">
            <v>834.63900000000001</v>
          </cell>
        </row>
        <row r="12">
          <cell r="A12" t="str">
            <v xml:space="preserve">   % of parent comp</v>
          </cell>
          <cell r="H12" t="e">
            <v>#REF!</v>
          </cell>
          <cell r="I12" t="e">
            <v>#REF!</v>
          </cell>
          <cell r="J12" t="e">
            <v>#REF!</v>
          </cell>
          <cell r="K12" t="e">
            <v>#REF!</v>
          </cell>
        </row>
        <row r="13">
          <cell r="A13" t="str">
            <v>PPOP</v>
          </cell>
          <cell r="H13">
            <v>1100.691233</v>
          </cell>
          <cell r="I13">
            <v>1106.4056</v>
          </cell>
          <cell r="J13">
            <v>1256.5813481280002</v>
          </cell>
          <cell r="K13">
            <v>1114.1722789699998</v>
          </cell>
        </row>
        <row r="14">
          <cell r="A14" t="str">
            <v xml:space="preserve">   % of parent comp</v>
          </cell>
          <cell r="H14" t="e">
            <v>#REF!</v>
          </cell>
          <cell r="I14" t="e">
            <v>#REF!</v>
          </cell>
          <cell r="J14" t="e">
            <v>#REF!</v>
          </cell>
          <cell r="K14" t="e">
            <v>#REF!</v>
          </cell>
        </row>
        <row r="15">
          <cell r="A15" t="str">
            <v>Provisioning</v>
          </cell>
          <cell r="H15">
            <v>168.284063</v>
          </cell>
          <cell r="I15">
            <v>435.05059999999997</v>
          </cell>
          <cell r="J15">
            <v>220.70334812799999</v>
          </cell>
          <cell r="K15">
            <v>173.60327896999999</v>
          </cell>
        </row>
        <row r="16">
          <cell r="A16" t="str">
            <v xml:space="preserve">   % of parent comp</v>
          </cell>
          <cell r="H16" t="e">
            <v>#REF!</v>
          </cell>
          <cell r="I16" t="e">
            <v>#REF!</v>
          </cell>
          <cell r="J16" t="e">
            <v>#REF!</v>
          </cell>
          <cell r="K16" t="e">
            <v>#REF!</v>
          </cell>
        </row>
        <row r="17">
          <cell r="A17" t="str">
            <v>OP profit</v>
          </cell>
          <cell r="H17">
            <v>932.40716999999995</v>
          </cell>
          <cell r="I17">
            <v>671.35500000000002</v>
          </cell>
          <cell r="J17">
            <v>1035.8780000000002</v>
          </cell>
          <cell r="K17">
            <v>940.56899999999973</v>
          </cell>
        </row>
        <row r="18">
          <cell r="A18" t="str">
            <v xml:space="preserve">   % of parent comp</v>
          </cell>
          <cell r="H18" t="e">
            <v>#REF!</v>
          </cell>
          <cell r="I18" t="e">
            <v>#REF!</v>
          </cell>
          <cell r="J18" t="e">
            <v>#REF!</v>
          </cell>
          <cell r="K18" t="e">
            <v>#REF!</v>
          </cell>
        </row>
        <row r="19">
          <cell r="A19" t="str">
            <v>Net profit</v>
          </cell>
          <cell r="H19">
            <v>595.86568699999998</v>
          </cell>
          <cell r="I19">
            <v>476.02300000000002</v>
          </cell>
          <cell r="J19">
            <v>844.11300000000006</v>
          </cell>
          <cell r="K19">
            <v>774.42200000000003</v>
          </cell>
        </row>
        <row r="20">
          <cell r="A20" t="str">
            <v xml:space="preserve">   % of parent comp</v>
          </cell>
          <cell r="H20" t="e">
            <v>#REF!</v>
          </cell>
          <cell r="I20" t="e">
            <v>#REF!</v>
          </cell>
          <cell r="J20" t="e">
            <v>#REF!</v>
          </cell>
          <cell r="K20" t="e">
            <v>#REF!</v>
          </cell>
        </row>
        <row r="24">
          <cell r="A24" t="str">
            <v>Total assets</v>
          </cell>
          <cell r="H24">
            <v>58889.402324000002</v>
          </cell>
          <cell r="I24">
            <v>70071.192999999999</v>
          </cell>
          <cell r="J24">
            <v>70096.962</v>
          </cell>
          <cell r="K24">
            <v>75641.967999999993</v>
          </cell>
        </row>
        <row r="25">
          <cell r="A25" t="str">
            <v xml:space="preserve">   % of parent comp</v>
          </cell>
          <cell r="H25" t="e">
            <v>#REF!</v>
          </cell>
          <cell r="I25" t="e">
            <v>#REF!</v>
          </cell>
          <cell r="J25" t="e">
            <v>#REF!</v>
          </cell>
          <cell r="K25" t="e">
            <v>#REF!</v>
          </cell>
        </row>
        <row r="26">
          <cell r="A26" t="str">
            <v>Loans (Net)</v>
          </cell>
          <cell r="H26">
            <v>40579.005663999997</v>
          </cell>
          <cell r="I26">
            <v>47783.925999999999</v>
          </cell>
          <cell r="J26">
            <v>50868.040999999997</v>
          </cell>
          <cell r="K26">
            <v>55191.023000000001</v>
          </cell>
        </row>
        <row r="27">
          <cell r="A27" t="str">
            <v xml:space="preserve">   % of parent comp</v>
          </cell>
          <cell r="H27" t="e">
            <v>#REF!</v>
          </cell>
          <cell r="I27" t="e">
            <v>#REF!</v>
          </cell>
          <cell r="J27" t="e">
            <v>#REF!</v>
          </cell>
          <cell r="K27" t="e">
            <v>#REF!</v>
          </cell>
        </row>
        <row r="28">
          <cell r="A28" t="str">
            <v>Total liabilities</v>
          </cell>
          <cell r="H28">
            <v>56028.923707000002</v>
          </cell>
          <cell r="I28">
            <v>66555.824999999997</v>
          </cell>
          <cell r="J28">
            <v>65971.959000000003</v>
          </cell>
          <cell r="K28">
            <v>71042.5</v>
          </cell>
        </row>
        <row r="29">
          <cell r="A29" t="str">
            <v xml:space="preserve">   % of parent comp</v>
          </cell>
          <cell r="H29" t="e">
            <v>#REF!</v>
          </cell>
          <cell r="I29" t="e">
            <v>#REF!</v>
          </cell>
          <cell r="J29" t="e">
            <v>#REF!</v>
          </cell>
          <cell r="K29" t="e">
            <v>#REF!</v>
          </cell>
        </row>
        <row r="30">
          <cell r="A30" t="str">
            <v>Deposits</v>
          </cell>
          <cell r="H30">
            <v>35183.536976000003</v>
          </cell>
          <cell r="I30">
            <v>41991.839</v>
          </cell>
          <cell r="J30">
            <v>40668.093999999997</v>
          </cell>
          <cell r="K30">
            <v>43996.904000000002</v>
          </cell>
        </row>
        <row r="31">
          <cell r="A31" t="str">
            <v xml:space="preserve">   % of parent comp</v>
          </cell>
          <cell r="H31" t="e">
            <v>#REF!</v>
          </cell>
          <cell r="I31" t="e">
            <v>#REF!</v>
          </cell>
          <cell r="J31" t="e">
            <v>#REF!</v>
          </cell>
          <cell r="K31" t="e">
            <v>#REF!</v>
          </cell>
        </row>
        <row r="32">
          <cell r="A32" t="str">
            <v>Total shareholders' equity</v>
          </cell>
          <cell r="H32">
            <v>2860.4786180000001</v>
          </cell>
          <cell r="I32">
            <v>3515.3679999999999</v>
          </cell>
          <cell r="J32">
            <v>4125.0029999999997</v>
          </cell>
          <cell r="K32">
            <v>4599.4679999999998</v>
          </cell>
        </row>
        <row r="33">
          <cell r="A33" t="str">
            <v xml:space="preserve">   % of parent comp</v>
          </cell>
          <cell r="H33" t="e">
            <v>#REF!</v>
          </cell>
          <cell r="I33" t="e">
            <v>#REF!</v>
          </cell>
          <cell r="J33" t="e">
            <v>#REF!</v>
          </cell>
          <cell r="K33" t="e">
            <v>#REF!</v>
          </cell>
        </row>
        <row r="35">
          <cell r="A35" t="str">
            <v>Chohung Bank</v>
          </cell>
        </row>
        <row r="36">
          <cell r="A36" t="str">
            <v xml:space="preserve">   % ownership</v>
          </cell>
          <cell r="H36">
            <v>1</v>
          </cell>
        </row>
        <row r="37">
          <cell r="A37" t="str">
            <v>Net interest income</v>
          </cell>
          <cell r="H37">
            <v>1211.9849999999999</v>
          </cell>
          <cell r="I37">
            <v>1330.527</v>
          </cell>
          <cell r="J37">
            <v>1399.374</v>
          </cell>
          <cell r="K37">
            <v>2091.491</v>
          </cell>
        </row>
        <row r="38">
          <cell r="A38" t="str">
            <v xml:space="preserve">   % of parent comp</v>
          </cell>
          <cell r="H38" t="str">
            <v>NM</v>
          </cell>
          <cell r="I38" t="e">
            <v>#REF!</v>
          </cell>
          <cell r="J38" t="e">
            <v>#REF!</v>
          </cell>
          <cell r="K38" t="e">
            <v>#REF!</v>
          </cell>
        </row>
        <row r="39">
          <cell r="A39" t="str">
            <v>Non-interest income</v>
          </cell>
          <cell r="H39">
            <v>1141.1569999999999</v>
          </cell>
          <cell r="I39">
            <v>1023.769</v>
          </cell>
          <cell r="J39">
            <v>914.46979999999996</v>
          </cell>
          <cell r="K39">
            <v>251.70500000000001</v>
          </cell>
        </row>
        <row r="40">
          <cell r="A40" t="str">
            <v xml:space="preserve">   % of parent comp</v>
          </cell>
          <cell r="H40" t="str">
            <v>NM</v>
          </cell>
          <cell r="I40" t="e">
            <v>#REF!</v>
          </cell>
          <cell r="J40" t="e">
            <v>#REF!</v>
          </cell>
          <cell r="K40" t="e">
            <v>#REF!</v>
          </cell>
        </row>
        <row r="41">
          <cell r="A41" t="str">
            <v>Net operating revenue</v>
          </cell>
          <cell r="H41">
            <v>2353.1419999999998</v>
          </cell>
          <cell r="I41">
            <v>2354.2960000000003</v>
          </cell>
          <cell r="J41">
            <v>2313.8438000000001</v>
          </cell>
          <cell r="K41">
            <v>2343.1959999999999</v>
          </cell>
        </row>
        <row r="42">
          <cell r="A42" t="str">
            <v xml:space="preserve">   % of parent comp</v>
          </cell>
          <cell r="H42" t="str">
            <v>NM</v>
          </cell>
          <cell r="I42" t="e">
            <v>#REF!</v>
          </cell>
          <cell r="J42" t="e">
            <v>#REF!</v>
          </cell>
          <cell r="K42" t="e">
            <v>#REF!</v>
          </cell>
        </row>
        <row r="43">
          <cell r="A43" t="str">
            <v>SG&amp;A</v>
          </cell>
          <cell r="H43">
            <v>856.32799999999997</v>
          </cell>
          <cell r="I43">
            <v>908.24900000000002</v>
          </cell>
          <cell r="J43">
            <v>960.85299999999995</v>
          </cell>
          <cell r="K43">
            <v>1038.9079999999999</v>
          </cell>
        </row>
        <row r="44">
          <cell r="A44" t="str">
            <v xml:space="preserve">   % of parent comp</v>
          </cell>
          <cell r="H44" t="str">
            <v>NM</v>
          </cell>
          <cell r="I44" t="e">
            <v>#REF!</v>
          </cell>
          <cell r="J44" t="e">
            <v>#REF!</v>
          </cell>
          <cell r="K44" t="e">
            <v>#REF!</v>
          </cell>
        </row>
        <row r="45">
          <cell r="A45" t="str">
            <v>PPOP</v>
          </cell>
          <cell r="H45">
            <v>1496.8139999999999</v>
          </cell>
          <cell r="I45">
            <v>1446.0470000000003</v>
          </cell>
          <cell r="J45">
            <v>1352.9908</v>
          </cell>
          <cell r="K45">
            <v>1304.288</v>
          </cell>
        </row>
        <row r="46">
          <cell r="A46" t="str">
            <v xml:space="preserve">   % of parent comp</v>
          </cell>
          <cell r="H46" t="str">
            <v>NM</v>
          </cell>
          <cell r="I46" t="e">
            <v>#REF!</v>
          </cell>
          <cell r="J46" t="e">
            <v>#REF!</v>
          </cell>
          <cell r="K46" t="e">
            <v>#REF!</v>
          </cell>
        </row>
        <row r="47">
          <cell r="A47" t="str">
            <v>Provisioning</v>
          </cell>
          <cell r="H47">
            <v>1631.5630000000001</v>
          </cell>
          <cell r="I47">
            <v>2133.1759999999999</v>
          </cell>
          <cell r="J47">
            <v>1030.1368</v>
          </cell>
          <cell r="K47">
            <v>660.70600000000002</v>
          </cell>
        </row>
        <row r="48">
          <cell r="A48" t="str">
            <v xml:space="preserve">   % of parent comp</v>
          </cell>
          <cell r="H48" t="str">
            <v>NM</v>
          </cell>
          <cell r="I48" t="e">
            <v>#REF!</v>
          </cell>
          <cell r="J48" t="e">
            <v>#REF!</v>
          </cell>
          <cell r="K48" t="e">
            <v>#REF!</v>
          </cell>
        </row>
        <row r="49">
          <cell r="A49" t="str">
            <v>OP profit</v>
          </cell>
          <cell r="H49">
            <v>-134.74900000000025</v>
          </cell>
          <cell r="I49">
            <v>-687.12899999999968</v>
          </cell>
          <cell r="J49">
            <v>322.85400000000004</v>
          </cell>
          <cell r="K49">
            <v>643.58199999999999</v>
          </cell>
        </row>
        <row r="50">
          <cell r="A50" t="str">
            <v xml:space="preserve">   % of parent comp</v>
          </cell>
          <cell r="H50" t="str">
            <v>NM</v>
          </cell>
          <cell r="I50" t="e">
            <v>#REF!</v>
          </cell>
          <cell r="J50" t="e">
            <v>#REF!</v>
          </cell>
          <cell r="K50" t="e">
            <v>#REF!</v>
          </cell>
        </row>
        <row r="51">
          <cell r="A51" t="str">
            <v>Net profit</v>
          </cell>
          <cell r="H51">
            <v>-586.04499999999996</v>
          </cell>
          <cell r="I51">
            <v>-968.94</v>
          </cell>
          <cell r="J51">
            <v>265.238</v>
          </cell>
          <cell r="K51">
            <v>756.505</v>
          </cell>
        </row>
        <row r="52">
          <cell r="A52" t="str">
            <v xml:space="preserve">   % of parent comp</v>
          </cell>
          <cell r="H52" t="str">
            <v>NM</v>
          </cell>
          <cell r="I52" t="e">
            <v>#REF!</v>
          </cell>
          <cell r="J52" t="e">
            <v>#REF!</v>
          </cell>
          <cell r="K52" t="e">
            <v>#REF!</v>
          </cell>
        </row>
        <row r="56">
          <cell r="A56" t="str">
            <v>Total assets</v>
          </cell>
          <cell r="H56">
            <v>66196.288</v>
          </cell>
          <cell r="I56">
            <v>59225.584999999999</v>
          </cell>
          <cell r="J56">
            <v>65389.1</v>
          </cell>
          <cell r="K56">
            <v>66609.525999999998</v>
          </cell>
        </row>
        <row r="57">
          <cell r="A57" t="str">
            <v xml:space="preserve">   % of parent comp</v>
          </cell>
          <cell r="H57" t="str">
            <v>NM</v>
          </cell>
          <cell r="I57" t="e">
            <v>#REF!</v>
          </cell>
          <cell r="J57" t="e">
            <v>#REF!</v>
          </cell>
          <cell r="K57" t="e">
            <v>#REF!</v>
          </cell>
        </row>
        <row r="58">
          <cell r="A58" t="str">
            <v>Loans (Net)</v>
          </cell>
          <cell r="H58">
            <v>45328.52</v>
          </cell>
          <cell r="I58">
            <v>42701.665999999997</v>
          </cell>
          <cell r="J58">
            <v>41586.845999999998</v>
          </cell>
          <cell r="K58">
            <v>44648.307999999997</v>
          </cell>
        </row>
        <row r="59">
          <cell r="A59" t="str">
            <v xml:space="preserve">   % of parent comp</v>
          </cell>
          <cell r="H59" t="str">
            <v>NM</v>
          </cell>
          <cell r="I59" t="e">
            <v>#REF!</v>
          </cell>
          <cell r="J59" t="e">
            <v>#REF!</v>
          </cell>
          <cell r="K59" t="e">
            <v>#REF!</v>
          </cell>
        </row>
        <row r="60">
          <cell r="A60" t="str">
            <v>Total liabilities</v>
          </cell>
          <cell r="H60">
            <v>63903.99</v>
          </cell>
          <cell r="I60">
            <v>57289.224000000002</v>
          </cell>
          <cell r="J60">
            <v>62778.171999999999</v>
          </cell>
          <cell r="K60">
            <v>62783.303999999996</v>
          </cell>
        </row>
        <row r="61">
          <cell r="A61" t="str">
            <v xml:space="preserve">   % of parent comp</v>
          </cell>
          <cell r="H61" t="str">
            <v>NM</v>
          </cell>
          <cell r="I61" t="e">
            <v>#REF!</v>
          </cell>
          <cell r="J61" t="e">
            <v>#REF!</v>
          </cell>
          <cell r="K61" t="e">
            <v>#REF!</v>
          </cell>
        </row>
        <row r="62">
          <cell r="A62" t="str">
            <v>Deposits</v>
          </cell>
          <cell r="H62">
            <v>45125.839</v>
          </cell>
          <cell r="I62">
            <v>40030.091</v>
          </cell>
          <cell r="J62">
            <v>41313.072999999997</v>
          </cell>
          <cell r="K62">
            <v>41404.813999999998</v>
          </cell>
        </row>
        <row r="63">
          <cell r="A63" t="str">
            <v xml:space="preserve">   % of parent comp</v>
          </cell>
          <cell r="H63" t="str">
            <v>NM</v>
          </cell>
          <cell r="I63" t="e">
            <v>#REF!</v>
          </cell>
          <cell r="J63" t="e">
            <v>#REF!</v>
          </cell>
          <cell r="K63" t="e">
            <v>#REF!</v>
          </cell>
        </row>
        <row r="64">
          <cell r="A64" t="str">
            <v>Total shareholders' equity</v>
          </cell>
          <cell r="H64">
            <v>2292.2979999999998</v>
          </cell>
          <cell r="I64">
            <v>1936.3610000000001</v>
          </cell>
          <cell r="J64">
            <v>2610.9279999999999</v>
          </cell>
          <cell r="K64">
            <v>3826.2220000000002</v>
          </cell>
        </row>
        <row r="65">
          <cell r="A65" t="str">
            <v xml:space="preserve">   % of parent comp</v>
          </cell>
          <cell r="H65" t="str">
            <v>NM</v>
          </cell>
          <cell r="I65" t="e">
            <v>#REF!</v>
          </cell>
          <cell r="J65" t="e">
            <v>#REF!</v>
          </cell>
          <cell r="K65" t="e">
            <v>#REF!</v>
          </cell>
        </row>
        <row r="67">
          <cell r="A67" t="str">
            <v>Shinhan Bank (Combined with Chohung)</v>
          </cell>
        </row>
        <row r="68">
          <cell r="A68" t="str">
            <v xml:space="preserve">   % ownership</v>
          </cell>
          <cell r="H68">
            <v>1</v>
          </cell>
        </row>
        <row r="69">
          <cell r="A69" t="str">
            <v>Net interest income</v>
          </cell>
        </row>
        <row r="70">
          <cell r="A70" t="str">
            <v xml:space="preserve">   % of parent comp</v>
          </cell>
        </row>
        <row r="71">
          <cell r="A71" t="str">
            <v>Non-interest income</v>
          </cell>
        </row>
        <row r="72">
          <cell r="A72" t="str">
            <v xml:space="preserve">   % of parent comp</v>
          </cell>
        </row>
        <row r="73">
          <cell r="A73" t="str">
            <v>Net operating revenue</v>
          </cell>
        </row>
        <row r="74">
          <cell r="A74" t="str">
            <v xml:space="preserve">   % of parent comp</v>
          </cell>
        </row>
        <row r="75">
          <cell r="A75" t="str">
            <v>SG&amp;A</v>
          </cell>
        </row>
        <row r="76">
          <cell r="A76" t="str">
            <v xml:space="preserve">   % of parent comp</v>
          </cell>
        </row>
        <row r="77">
          <cell r="A77" t="str">
            <v>PPOP</v>
          </cell>
        </row>
        <row r="78">
          <cell r="A78" t="str">
            <v xml:space="preserve">   % of parent comp</v>
          </cell>
        </row>
        <row r="79">
          <cell r="A79" t="str">
            <v>Provisioning</v>
          </cell>
        </row>
        <row r="80">
          <cell r="A80" t="str">
            <v xml:space="preserve">   % of parent comp</v>
          </cell>
        </row>
        <row r="81">
          <cell r="A81" t="str">
            <v>OP profit</v>
          </cell>
        </row>
        <row r="82">
          <cell r="A82" t="str">
            <v xml:space="preserve">   % of parent comp</v>
          </cell>
        </row>
        <row r="83">
          <cell r="A83" t="str">
            <v>Net profit</v>
          </cell>
        </row>
        <row r="84">
          <cell r="A84" t="str">
            <v xml:space="preserve">   % of parent comp</v>
          </cell>
        </row>
        <row r="85">
          <cell r="A85" t="str">
            <v xml:space="preserve">   Dividend</v>
          </cell>
        </row>
        <row r="86">
          <cell r="A86" t="str">
            <v xml:space="preserve">   Profits subject to equity method</v>
          </cell>
        </row>
        <row r="87">
          <cell r="A87" t="str">
            <v xml:space="preserve">   Contribution to equity method income</v>
          </cell>
        </row>
        <row r="88">
          <cell r="A88" t="str">
            <v>Total assets</v>
          </cell>
        </row>
        <row r="89">
          <cell r="A89" t="str">
            <v xml:space="preserve">   % of parent comp</v>
          </cell>
        </row>
        <row r="90">
          <cell r="A90" t="str">
            <v>Loans (Net)</v>
          </cell>
        </row>
        <row r="91">
          <cell r="A91" t="str">
            <v xml:space="preserve">   % of parent comp</v>
          </cell>
        </row>
        <row r="92">
          <cell r="A92" t="str">
            <v>Total liabilities</v>
          </cell>
        </row>
        <row r="93">
          <cell r="A93" t="str">
            <v xml:space="preserve">   % of parent comp</v>
          </cell>
        </row>
        <row r="94">
          <cell r="A94" t="str">
            <v>Deposits</v>
          </cell>
        </row>
        <row r="95">
          <cell r="A95" t="str">
            <v xml:space="preserve">   % of parent comp</v>
          </cell>
        </row>
        <row r="96">
          <cell r="A96" t="str">
            <v>Total shareholders' equity</v>
          </cell>
        </row>
        <row r="97">
          <cell r="A97" t="str">
            <v xml:space="preserve">   % of parent comp</v>
          </cell>
        </row>
        <row r="99">
          <cell r="H99" t="str">
            <v xml:space="preserve">   Fiscal year ends March 31</v>
          </cell>
        </row>
        <row r="100">
          <cell r="A100" t="str">
            <v>GMSH Securities</v>
          </cell>
          <cell r="G100" t="str">
            <v>Mar 01</v>
          </cell>
          <cell r="H100" t="str">
            <v>Mar 02</v>
          </cell>
          <cell r="I100" t="str">
            <v>Mar 03</v>
          </cell>
          <cell r="J100" t="str">
            <v>Mar 04</v>
          </cell>
          <cell r="K100" t="str">
            <v>Mar 05</v>
          </cell>
          <cell r="L100" t="str">
            <v>Mar 06</v>
          </cell>
        </row>
        <row r="101">
          <cell r="A101" t="str">
            <v xml:space="preserve">   % ownership</v>
          </cell>
          <cell r="H101">
            <v>1</v>
          </cell>
        </row>
        <row r="102">
          <cell r="A102" t="str">
            <v>Net profit</v>
          </cell>
          <cell r="G102">
            <v>11.525</v>
          </cell>
          <cell r="H102">
            <v>51.105604995999997</v>
          </cell>
          <cell r="I102">
            <v>10.878</v>
          </cell>
          <cell r="J102">
            <v>80.655000000000001</v>
          </cell>
          <cell r="K102">
            <v>30.311</v>
          </cell>
          <cell r="L102">
            <v>101.48099999999999</v>
          </cell>
        </row>
        <row r="103">
          <cell r="A103" t="str">
            <v xml:space="preserve">   % of parent comp</v>
          </cell>
          <cell r="G103" t="e">
            <v>#REF!</v>
          </cell>
          <cell r="H103" t="e">
            <v>#REF!</v>
          </cell>
          <cell r="I103" t="e">
            <v>#REF!</v>
          </cell>
          <cell r="J103" t="e">
            <v>#REF!</v>
          </cell>
          <cell r="K103" t="e">
            <v>#REF!</v>
          </cell>
          <cell r="L103" t="e">
            <v>#REF!</v>
          </cell>
        </row>
        <row r="107">
          <cell r="A107" t="str">
            <v>Total assets</v>
          </cell>
          <cell r="G107">
            <v>656.90499999999997</v>
          </cell>
          <cell r="H107">
            <v>1657.283922283</v>
          </cell>
          <cell r="I107">
            <v>1996.992</v>
          </cell>
          <cell r="J107">
            <v>2251.4490000000001</v>
          </cell>
          <cell r="K107">
            <v>2887.2280000000001</v>
          </cell>
          <cell r="L107">
            <v>3659.2370000000001</v>
          </cell>
        </row>
        <row r="108">
          <cell r="A108" t="str">
            <v xml:space="preserve">   % of parent comp</v>
          </cell>
          <cell r="G108" t="e">
            <v>#REF!</v>
          </cell>
          <cell r="H108" t="e">
            <v>#REF!</v>
          </cell>
          <cell r="I108" t="e">
            <v>#REF!</v>
          </cell>
          <cell r="J108" t="e">
            <v>#REF!</v>
          </cell>
          <cell r="K108" t="e">
            <v>#REF!</v>
          </cell>
          <cell r="L108" t="e">
            <v>#REF!</v>
          </cell>
        </row>
        <row r="109">
          <cell r="A109" t="str">
            <v>Total liabilities</v>
          </cell>
          <cell r="G109">
            <v>596.17700000000002</v>
          </cell>
          <cell r="H109">
            <v>967.72410040099999</v>
          </cell>
          <cell r="I109">
            <v>1429.3420000000001</v>
          </cell>
          <cell r="J109">
            <v>1595.278</v>
          </cell>
          <cell r="K109">
            <v>2197.2620000000002</v>
          </cell>
          <cell r="L109">
            <v>2878.7310000000002</v>
          </cell>
        </row>
        <row r="110">
          <cell r="A110" t="str">
            <v xml:space="preserve">   % of parent comp</v>
          </cell>
          <cell r="G110" t="e">
            <v>#REF!</v>
          </cell>
          <cell r="H110" t="e">
            <v>#REF!</v>
          </cell>
          <cell r="I110" t="e">
            <v>#REF!</v>
          </cell>
          <cell r="J110" t="e">
            <v>#REF!</v>
          </cell>
          <cell r="K110" t="e">
            <v>#REF!</v>
          </cell>
          <cell r="L110" t="e">
            <v>#REF!</v>
          </cell>
        </row>
        <row r="111">
          <cell r="A111" t="str">
            <v>Total shareholders' equity</v>
          </cell>
          <cell r="G111">
            <v>11.525</v>
          </cell>
          <cell r="H111">
            <v>689.55982188200005</v>
          </cell>
          <cell r="I111">
            <v>567.65</v>
          </cell>
          <cell r="J111">
            <v>656.17100000000005</v>
          </cell>
          <cell r="K111">
            <v>689.96600000000001</v>
          </cell>
          <cell r="L111">
            <v>780.50599999999997</v>
          </cell>
        </row>
        <row r="112">
          <cell r="A112" t="str">
            <v xml:space="preserve">   % of parent comp</v>
          </cell>
          <cell r="G112" t="e">
            <v>#REF!</v>
          </cell>
          <cell r="H112" t="e">
            <v>#REF!</v>
          </cell>
          <cell r="I112" t="e">
            <v>#REF!</v>
          </cell>
          <cell r="J112" t="e">
            <v>#REF!</v>
          </cell>
          <cell r="K112" t="e">
            <v>#REF!</v>
          </cell>
          <cell r="L112" t="e">
            <v>#REF!</v>
          </cell>
        </row>
        <row r="113">
          <cell r="H113" t="str">
            <v xml:space="preserve">   Fiscal year ends March 31</v>
          </cell>
        </row>
        <row r="114">
          <cell r="A114" t="str">
            <v>Shinhan Life</v>
          </cell>
          <cell r="G114" t="str">
            <v>Mar 01</v>
          </cell>
          <cell r="H114" t="str">
            <v>Mar 02</v>
          </cell>
          <cell r="I114" t="str">
            <v>Mar 03</v>
          </cell>
          <cell r="J114" t="str">
            <v>Mar 04</v>
          </cell>
          <cell r="K114" t="str">
            <v>Mar 05</v>
          </cell>
          <cell r="L114" t="str">
            <v>Mar 06</v>
          </cell>
        </row>
        <row r="115">
          <cell r="A115" t="str">
            <v xml:space="preserve">   % ownership</v>
          </cell>
          <cell r="H115">
            <v>1</v>
          </cell>
        </row>
        <row r="116">
          <cell r="A116" t="str">
            <v>Net profit</v>
          </cell>
          <cell r="G116">
            <v>7.431</v>
          </cell>
          <cell r="H116">
            <v>12.089124999999999</v>
          </cell>
          <cell r="I116">
            <v>86.332932</v>
          </cell>
          <cell r="J116">
            <v>96.704583</v>
          </cell>
          <cell r="K116">
            <v>92.984376999999995</v>
          </cell>
          <cell r="L116">
            <v>101.904</v>
          </cell>
        </row>
        <row r="117">
          <cell r="A117" t="str">
            <v xml:space="preserve">   % of parent comp</v>
          </cell>
          <cell r="G117" t="e">
            <v>#REF!</v>
          </cell>
          <cell r="H117" t="e">
            <v>#REF!</v>
          </cell>
          <cell r="I117" t="e">
            <v>#REF!</v>
          </cell>
          <cell r="J117" t="e">
            <v>#REF!</v>
          </cell>
          <cell r="K117" t="e">
            <v>#REF!</v>
          </cell>
          <cell r="L117" t="e">
            <v>#REF!</v>
          </cell>
        </row>
        <row r="118">
          <cell r="G118">
            <v>0</v>
          </cell>
        </row>
        <row r="119">
          <cell r="G119">
            <v>7.431</v>
          </cell>
        </row>
        <row r="120">
          <cell r="G120">
            <v>7.431</v>
          </cell>
        </row>
        <row r="121">
          <cell r="A121" t="str">
            <v>Total assets</v>
          </cell>
          <cell r="G121">
            <v>38.225999999999999</v>
          </cell>
          <cell r="H121">
            <v>2039.5316740000001</v>
          </cell>
          <cell r="I121">
            <v>2513.2254720000001</v>
          </cell>
          <cell r="J121">
            <v>3322.802216</v>
          </cell>
          <cell r="K121">
            <v>4216.1948659999998</v>
          </cell>
          <cell r="L121">
            <v>5298.5990000000002</v>
          </cell>
        </row>
        <row r="122">
          <cell r="A122" t="str">
            <v xml:space="preserve">   % of parent comp</v>
          </cell>
          <cell r="G122" t="e">
            <v>#REF!</v>
          </cell>
          <cell r="H122" t="e">
            <v>#REF!</v>
          </cell>
          <cell r="I122" t="e">
            <v>#REF!</v>
          </cell>
          <cell r="J122" t="e">
            <v>#REF!</v>
          </cell>
          <cell r="K122" t="e">
            <v>#REF!</v>
          </cell>
          <cell r="L122" t="e">
            <v>#REF!</v>
          </cell>
        </row>
        <row r="123">
          <cell r="A123" t="str">
            <v>Total liabilities</v>
          </cell>
          <cell r="G123">
            <v>0.83899999999999997</v>
          </cell>
          <cell r="H123">
            <v>2118.9046159999998</v>
          </cell>
          <cell r="I123">
            <v>2537.9890190000001</v>
          </cell>
          <cell r="J123">
            <v>3181.847323</v>
          </cell>
          <cell r="K123">
            <v>3963.8310280000001</v>
          </cell>
          <cell r="L123">
            <v>4943.634</v>
          </cell>
        </row>
        <row r="124">
          <cell r="A124" t="str">
            <v xml:space="preserve">   % of parent comp</v>
          </cell>
          <cell r="G124" t="e">
            <v>#REF!</v>
          </cell>
          <cell r="H124" t="e">
            <v>#REF!</v>
          </cell>
          <cell r="I124" t="e">
            <v>#REF!</v>
          </cell>
          <cell r="J124" t="e">
            <v>#REF!</v>
          </cell>
          <cell r="K124" t="e">
            <v>#REF!</v>
          </cell>
          <cell r="L124" t="e">
            <v>#REF!</v>
          </cell>
        </row>
        <row r="125">
          <cell r="A125" t="str">
            <v>Total shareholders' equity</v>
          </cell>
          <cell r="G125">
            <v>37.387</v>
          </cell>
          <cell r="H125">
            <v>-79.372941999999995</v>
          </cell>
          <cell r="I125">
            <v>-24.763546999999999</v>
          </cell>
          <cell r="J125">
            <v>140.954892</v>
          </cell>
          <cell r="K125">
            <v>252.36383799999999</v>
          </cell>
          <cell r="L125">
            <v>354.96499999999997</v>
          </cell>
        </row>
        <row r="126">
          <cell r="A126" t="str">
            <v xml:space="preserve">   % of parent comp</v>
          </cell>
          <cell r="G126" t="e">
            <v>#REF!</v>
          </cell>
          <cell r="H126" t="e">
            <v>#REF!</v>
          </cell>
          <cell r="I126" t="e">
            <v>#REF!</v>
          </cell>
          <cell r="J126" t="e">
            <v>#REF!</v>
          </cell>
          <cell r="K126" t="e">
            <v>#REF!</v>
          </cell>
          <cell r="L126" t="e">
            <v>#REF!</v>
          </cell>
        </row>
        <row r="128">
          <cell r="A128" t="str">
            <v>Shinhan Card</v>
          </cell>
        </row>
        <row r="129">
          <cell r="A129" t="str">
            <v xml:space="preserve">   % ownership</v>
          </cell>
          <cell r="H129">
            <v>1</v>
          </cell>
        </row>
        <row r="130">
          <cell r="A130" t="str">
            <v>Net profit</v>
          </cell>
          <cell r="C130">
            <v>3.7829999999999999</v>
          </cell>
          <cell r="D130">
            <v>9.0220000000000002</v>
          </cell>
          <cell r="E130">
            <v>1.7</v>
          </cell>
          <cell r="F130">
            <v>-15.581</v>
          </cell>
          <cell r="G130">
            <v>3.8639999999999999</v>
          </cell>
          <cell r="H130">
            <v>0.503965</v>
          </cell>
          <cell r="I130">
            <v>-89.823999999999998</v>
          </cell>
          <cell r="J130">
            <v>5.8220000000000001</v>
          </cell>
          <cell r="K130">
            <v>54.241</v>
          </cell>
        </row>
        <row r="131">
          <cell r="A131" t="str">
            <v xml:space="preserve">   % of parent comp</v>
          </cell>
          <cell r="C131" t="e">
            <v>#REF!</v>
          </cell>
          <cell r="D131" t="e">
            <v>#REF!</v>
          </cell>
          <cell r="E131" t="e">
            <v>#REF!</v>
          </cell>
          <cell r="F131" t="e">
            <v>#REF!</v>
          </cell>
          <cell r="G131" t="e">
            <v>#REF!</v>
          </cell>
          <cell r="H131" t="e">
            <v>#REF!</v>
          </cell>
          <cell r="I131" t="e">
            <v>#REF!</v>
          </cell>
          <cell r="J131" t="e">
            <v>#REF!</v>
          </cell>
          <cell r="K131" t="e">
            <v>#REF!</v>
          </cell>
        </row>
        <row r="132">
          <cell r="C132">
            <v>0</v>
          </cell>
          <cell r="D132">
            <v>0</v>
          </cell>
          <cell r="E132">
            <v>0</v>
          </cell>
          <cell r="F132">
            <v>0</v>
          </cell>
          <cell r="G132">
            <v>0</v>
          </cell>
        </row>
        <row r="133">
          <cell r="C133">
            <v>3.7829999999999999</v>
          </cell>
          <cell r="D133">
            <v>9.0220000000000002</v>
          </cell>
          <cell r="E133">
            <v>1.7</v>
          </cell>
          <cell r="F133">
            <v>-15.581</v>
          </cell>
          <cell r="G133">
            <v>3.8639999999999999</v>
          </cell>
        </row>
        <row r="134">
          <cell r="C134">
            <v>3.7829999999999999</v>
          </cell>
          <cell r="D134">
            <v>9.0220000000000002</v>
          </cell>
          <cell r="E134">
            <v>1.7</v>
          </cell>
          <cell r="F134">
            <v>-15.581</v>
          </cell>
          <cell r="G134">
            <v>3.8639999999999999</v>
          </cell>
        </row>
        <row r="135">
          <cell r="A135" t="str">
            <v>Total assets</v>
          </cell>
          <cell r="C135">
            <v>19.986999999999998</v>
          </cell>
          <cell r="D135">
            <v>29.673999999999999</v>
          </cell>
          <cell r="E135">
            <v>392.49799999999999</v>
          </cell>
          <cell r="F135">
            <v>317.10399999999998</v>
          </cell>
          <cell r="G135">
            <v>290.09699999999998</v>
          </cell>
          <cell r="H135">
            <v>2473.6940049999998</v>
          </cell>
          <cell r="I135">
            <v>1778.193</v>
          </cell>
          <cell r="J135">
            <v>1469.925</v>
          </cell>
          <cell r="K135">
            <v>1532.29</v>
          </cell>
        </row>
        <row r="136">
          <cell r="A136" t="str">
            <v xml:space="preserve">   % of parent comp</v>
          </cell>
          <cell r="C136" t="e">
            <v>#REF!</v>
          </cell>
          <cell r="D136" t="e">
            <v>#REF!</v>
          </cell>
          <cell r="E136" t="e">
            <v>#REF!</v>
          </cell>
          <cell r="F136" t="e">
            <v>#REF!</v>
          </cell>
          <cell r="G136" t="e">
            <v>#REF!</v>
          </cell>
          <cell r="H136" t="e">
            <v>#REF!</v>
          </cell>
          <cell r="I136" t="e">
            <v>#REF!</v>
          </cell>
          <cell r="J136" t="e">
            <v>#REF!</v>
          </cell>
          <cell r="K136" t="e">
            <v>#REF!</v>
          </cell>
        </row>
        <row r="137">
          <cell r="A137" t="str">
            <v>Total liabilities</v>
          </cell>
          <cell r="C137">
            <v>7.63</v>
          </cell>
          <cell r="D137">
            <v>9.7949999999999999</v>
          </cell>
          <cell r="E137">
            <v>370.96</v>
          </cell>
          <cell r="F137">
            <v>311.14699999999999</v>
          </cell>
          <cell r="G137">
            <v>211.28299999999999</v>
          </cell>
          <cell r="H137">
            <v>2226.2338669999999</v>
          </cell>
          <cell r="I137">
            <v>1620.557</v>
          </cell>
          <cell r="J137">
            <v>1306.4670000000001</v>
          </cell>
          <cell r="K137">
            <v>1314.5909999999999</v>
          </cell>
        </row>
        <row r="138">
          <cell r="A138" t="str">
            <v xml:space="preserve">   % of parent comp</v>
          </cell>
          <cell r="C138" t="e">
            <v>#REF!</v>
          </cell>
          <cell r="D138" t="e">
            <v>#REF!</v>
          </cell>
          <cell r="E138" t="e">
            <v>#REF!</v>
          </cell>
          <cell r="F138" t="e">
            <v>#REF!</v>
          </cell>
          <cell r="G138" t="e">
            <v>#REF!</v>
          </cell>
          <cell r="H138" t="e">
            <v>#REF!</v>
          </cell>
          <cell r="I138" t="e">
            <v>#REF!</v>
          </cell>
          <cell r="J138" t="e">
            <v>#REF!</v>
          </cell>
          <cell r="K138" t="e">
            <v>#REF!</v>
          </cell>
        </row>
        <row r="139">
          <cell r="A139" t="str">
            <v>Total shareholders' equity</v>
          </cell>
          <cell r="C139">
            <v>12.356999999999999</v>
          </cell>
          <cell r="D139">
            <v>19.879000000000001</v>
          </cell>
          <cell r="E139">
            <v>21.538</v>
          </cell>
          <cell r="F139">
            <v>5.9569999999999999</v>
          </cell>
          <cell r="G139">
            <v>78.813999999999993</v>
          </cell>
          <cell r="H139">
            <v>247.460138</v>
          </cell>
          <cell r="I139">
            <v>157.636</v>
          </cell>
          <cell r="J139">
            <v>163.458</v>
          </cell>
          <cell r="K139">
            <v>217.69900000000001</v>
          </cell>
        </row>
        <row r="140">
          <cell r="A140" t="str">
            <v xml:space="preserve">   % of parent comp</v>
          </cell>
          <cell r="C140" t="e">
            <v>#REF!</v>
          </cell>
          <cell r="D140" t="e">
            <v>#REF!</v>
          </cell>
          <cell r="E140" t="e">
            <v>#REF!</v>
          </cell>
          <cell r="F140" t="e">
            <v>#REF!</v>
          </cell>
          <cell r="G140" t="e">
            <v>#REF!</v>
          </cell>
          <cell r="H140" t="e">
            <v>#REF!</v>
          </cell>
          <cell r="I140" t="e">
            <v>#REF!</v>
          </cell>
          <cell r="J140" t="e">
            <v>#REF!</v>
          </cell>
          <cell r="K140" t="e">
            <v>#REF!</v>
          </cell>
        </row>
        <row r="142">
          <cell r="A142" t="str">
            <v>Shinhan Capital</v>
          </cell>
        </row>
        <row r="143">
          <cell r="A143" t="str">
            <v xml:space="preserve">   % ownership</v>
          </cell>
          <cell r="H143">
            <v>1</v>
          </cell>
        </row>
        <row r="144">
          <cell r="A144" t="str">
            <v>Net profit</v>
          </cell>
          <cell r="C144">
            <v>3.7829999999999999</v>
          </cell>
          <cell r="D144">
            <v>9.0220000000000002</v>
          </cell>
          <cell r="E144">
            <v>1.7</v>
          </cell>
          <cell r="F144">
            <v>-15.581</v>
          </cell>
          <cell r="G144">
            <v>3.8639999999999999</v>
          </cell>
          <cell r="H144">
            <v>3.8272050000000002</v>
          </cell>
          <cell r="I144">
            <v>15.754735999999999</v>
          </cell>
          <cell r="J144">
            <v>23.056000000000001</v>
          </cell>
          <cell r="K144">
            <v>36.741999999999997</v>
          </cell>
        </row>
        <row r="145">
          <cell r="A145" t="str">
            <v xml:space="preserve">   % of parent comp</v>
          </cell>
          <cell r="C145" t="e">
            <v>#REF!</v>
          </cell>
          <cell r="D145" t="e">
            <v>#REF!</v>
          </cell>
          <cell r="E145" t="e">
            <v>#REF!</v>
          </cell>
          <cell r="F145" t="e">
            <v>#REF!</v>
          </cell>
          <cell r="G145" t="e">
            <v>#REF!</v>
          </cell>
          <cell r="H145" t="e">
            <v>#REF!</v>
          </cell>
          <cell r="I145" t="e">
            <v>#REF!</v>
          </cell>
          <cell r="J145" t="e">
            <v>#REF!</v>
          </cell>
          <cell r="K145" t="e">
            <v>#REF!</v>
          </cell>
        </row>
        <row r="146">
          <cell r="C146">
            <v>0</v>
          </cell>
          <cell r="D146">
            <v>0</v>
          </cell>
          <cell r="E146">
            <v>0</v>
          </cell>
          <cell r="F146">
            <v>0</v>
          </cell>
          <cell r="G146">
            <v>0</v>
          </cell>
        </row>
        <row r="147">
          <cell r="C147">
            <v>3.7829999999999999</v>
          </cell>
          <cell r="D147">
            <v>9.0220000000000002</v>
          </cell>
          <cell r="E147">
            <v>1.7</v>
          </cell>
          <cell r="F147">
            <v>-15.581</v>
          </cell>
          <cell r="G147">
            <v>3.8639999999999999</v>
          </cell>
        </row>
        <row r="148">
          <cell r="C148">
            <v>3.7829999999999999</v>
          </cell>
          <cell r="D148">
            <v>9.0220000000000002</v>
          </cell>
          <cell r="E148">
            <v>1.7</v>
          </cell>
          <cell r="F148">
            <v>-15.581</v>
          </cell>
          <cell r="G148">
            <v>3.8639999999999999</v>
          </cell>
        </row>
        <row r="149">
          <cell r="A149" t="str">
            <v>Total assets</v>
          </cell>
          <cell r="C149">
            <v>19.986999999999998</v>
          </cell>
          <cell r="D149">
            <v>29.673999999999999</v>
          </cell>
          <cell r="E149">
            <v>392.49799999999999</v>
          </cell>
          <cell r="F149">
            <v>317.10399999999998</v>
          </cell>
          <cell r="G149">
            <v>290.09699999999998</v>
          </cell>
          <cell r="H149">
            <v>960.23438299999998</v>
          </cell>
          <cell r="I149">
            <v>1153.906982</v>
          </cell>
          <cell r="J149">
            <v>1320.9290000000001</v>
          </cell>
          <cell r="K149">
            <v>1400.829</v>
          </cell>
        </row>
        <row r="150">
          <cell r="A150" t="str">
            <v xml:space="preserve">   % of parent comp</v>
          </cell>
          <cell r="C150" t="e">
            <v>#REF!</v>
          </cell>
          <cell r="D150" t="e">
            <v>#REF!</v>
          </cell>
          <cell r="E150" t="e">
            <v>#REF!</v>
          </cell>
          <cell r="F150" t="e">
            <v>#REF!</v>
          </cell>
          <cell r="G150" t="e">
            <v>#REF!</v>
          </cell>
          <cell r="H150" t="e">
            <v>#REF!</v>
          </cell>
          <cell r="I150" t="e">
            <v>#REF!</v>
          </cell>
          <cell r="J150" t="e">
            <v>#REF!</v>
          </cell>
          <cell r="K150" t="e">
            <v>#REF!</v>
          </cell>
        </row>
        <row r="151">
          <cell r="A151" t="str">
            <v>Total liabilities</v>
          </cell>
          <cell r="C151">
            <v>7.63</v>
          </cell>
          <cell r="D151">
            <v>9.7949999999999999</v>
          </cell>
          <cell r="E151">
            <v>370.96</v>
          </cell>
          <cell r="F151">
            <v>311.14699999999999</v>
          </cell>
          <cell r="G151">
            <v>211.28299999999999</v>
          </cell>
          <cell r="H151">
            <v>876.55106899999998</v>
          </cell>
          <cell r="I151">
            <v>1051.682816</v>
          </cell>
          <cell r="J151">
            <v>1201.5820000000001</v>
          </cell>
          <cell r="K151">
            <v>1251.895</v>
          </cell>
        </row>
        <row r="152">
          <cell r="A152" t="str">
            <v xml:space="preserve">   % of parent comp</v>
          </cell>
          <cell r="C152" t="e">
            <v>#REF!</v>
          </cell>
          <cell r="D152" t="e">
            <v>#REF!</v>
          </cell>
          <cell r="E152" t="e">
            <v>#REF!</v>
          </cell>
          <cell r="F152" t="e">
            <v>#REF!</v>
          </cell>
          <cell r="G152" t="e">
            <v>#REF!</v>
          </cell>
          <cell r="H152" t="e">
            <v>#REF!</v>
          </cell>
          <cell r="I152" t="e">
            <v>#REF!</v>
          </cell>
          <cell r="J152" t="e">
            <v>#REF!</v>
          </cell>
          <cell r="K152" t="e">
            <v>#REF!</v>
          </cell>
        </row>
        <row r="153">
          <cell r="A153" t="str">
            <v>Total shareholders' equity</v>
          </cell>
          <cell r="C153">
            <v>12.356999999999999</v>
          </cell>
          <cell r="D153">
            <v>19.879000000000001</v>
          </cell>
          <cell r="E153">
            <v>21.538</v>
          </cell>
          <cell r="F153">
            <v>5.9569999999999999</v>
          </cell>
          <cell r="G153">
            <v>78.813999999999993</v>
          </cell>
          <cell r="H153">
            <v>83.683312999999998</v>
          </cell>
          <cell r="I153">
            <v>102.224166</v>
          </cell>
          <cell r="J153">
            <v>119.34699999999999</v>
          </cell>
          <cell r="K153">
            <v>148.934</v>
          </cell>
        </row>
        <row r="154">
          <cell r="A154" t="str">
            <v xml:space="preserve">   % of parent comp</v>
          </cell>
          <cell r="C154" t="e">
            <v>#REF!</v>
          </cell>
          <cell r="D154" t="e">
            <v>#REF!</v>
          </cell>
          <cell r="E154" t="e">
            <v>#REF!</v>
          </cell>
          <cell r="F154" t="e">
            <v>#REF!</v>
          </cell>
          <cell r="G154" t="e">
            <v>#REF!</v>
          </cell>
          <cell r="H154" t="e">
            <v>#REF!</v>
          </cell>
          <cell r="I154" t="e">
            <v>#REF!</v>
          </cell>
          <cell r="J154" t="e">
            <v>#REF!</v>
          </cell>
          <cell r="K154" t="e">
            <v>#REF!</v>
          </cell>
        </row>
        <row r="156">
          <cell r="A156" t="str">
            <v>LG CARD</v>
          </cell>
          <cell r="I156" t="str">
            <v>O/S Shrs</v>
          </cell>
          <cell r="J156">
            <v>125.36940300000001</v>
          </cell>
          <cell r="L156" t="str">
            <v>BV as of June 06</v>
          </cell>
        </row>
        <row r="157">
          <cell r="A157" t="str">
            <v xml:space="preserve">   % ownership</v>
          </cell>
          <cell r="H157">
            <v>0.85699999999999987</v>
          </cell>
          <cell r="I157" t="str">
            <v>Holdings</v>
          </cell>
          <cell r="J157">
            <v>107.44157837099999</v>
          </cell>
          <cell r="L157">
            <v>360.28160000000003</v>
          </cell>
        </row>
        <row r="158">
          <cell r="A158" t="str">
            <v>Balance sheet (Reported)</v>
          </cell>
        </row>
        <row r="159">
          <cell r="A159" t="str">
            <v>Total assets</v>
          </cell>
          <cell r="H159">
            <v>19425.709443093001</v>
          </cell>
          <cell r="I159">
            <v>10765.557619648</v>
          </cell>
          <cell r="J159">
            <v>8217.358097024</v>
          </cell>
          <cell r="K159">
            <v>9084.2337239293047</v>
          </cell>
          <cell r="L159">
            <v>9645.4817304675944</v>
          </cell>
          <cell r="M159">
            <v>10279.386422697202</v>
          </cell>
          <cell r="N159">
            <v>10921.808845689473</v>
          </cell>
          <cell r="O159">
            <v>11604.701841452086</v>
          </cell>
          <cell r="P159">
            <v>12330.631652978911</v>
          </cell>
          <cell r="Q159">
            <v>13102.328111846602</v>
          </cell>
          <cell r="AD159">
            <v>19425.709443093001</v>
          </cell>
          <cell r="AE159">
            <v>20572.790378876001</v>
          </cell>
          <cell r="AF159">
            <v>17823.092566519928</v>
          </cell>
          <cell r="AG159">
            <v>15802.597101133</v>
          </cell>
          <cell r="AH159">
            <v>10765.557619648</v>
          </cell>
          <cell r="AI159">
            <v>12129.43586263</v>
          </cell>
          <cell r="AJ159">
            <v>10952.712550952328</v>
          </cell>
          <cell r="AK159">
            <v>9950.2843554999999</v>
          </cell>
          <cell r="AL159">
            <v>8217.358097024</v>
          </cell>
          <cell r="AM159">
            <v>8454.1806877350009</v>
          </cell>
          <cell r="AN159">
            <v>8677.3351910402507</v>
          </cell>
          <cell r="AO159">
            <v>8717.4559219418243</v>
          </cell>
          <cell r="AP159">
            <v>9084.2337239293047</v>
          </cell>
          <cell r="AQ159">
            <v>9515.9031037324094</v>
          </cell>
          <cell r="AR159">
            <v>9382.089956343485</v>
          </cell>
          <cell r="AS159">
            <v>9851.1141169623425</v>
          </cell>
          <cell r="AT159">
            <v>9645.4817304675944</v>
          </cell>
          <cell r="AU159">
            <v>9868.3730752840002</v>
          </cell>
          <cell r="AV159">
            <v>9782.4861796053283</v>
          </cell>
          <cell r="AW159">
            <v>10030.936301151265</v>
          </cell>
          <cell r="AX159">
            <v>10279.386422697202</v>
          </cell>
          <cell r="AY159">
            <v>10439.992028445269</v>
          </cell>
          <cell r="AZ159">
            <v>10439.992028445269</v>
          </cell>
          <cell r="BA159">
            <v>10680.900437067372</v>
          </cell>
          <cell r="BB159">
            <v>10921.808845689473</v>
          </cell>
          <cell r="BC159">
            <v>11092.532094630125</v>
          </cell>
          <cell r="BD159">
            <v>11092.532094630127</v>
          </cell>
          <cell r="BE159">
            <v>11348.616968041108</v>
          </cell>
          <cell r="BF159">
            <v>11604.701841452086</v>
          </cell>
          <cell r="BG159">
            <v>11786.184294333792</v>
          </cell>
          <cell r="BH159">
            <v>11786.184294333792</v>
          </cell>
          <cell r="BI159">
            <v>12058.407973656351</v>
          </cell>
          <cell r="BJ159">
            <v>12330.631652978911</v>
          </cell>
          <cell r="BK159">
            <v>12523.555767695834</v>
          </cell>
          <cell r="BL159">
            <v>12523.555767695834</v>
          </cell>
          <cell r="BM159">
            <v>12812.941939771219</v>
          </cell>
          <cell r="BN159">
            <v>13102.328111846602</v>
          </cell>
        </row>
        <row r="160">
          <cell r="A160" t="str">
            <v xml:space="preserve">   Interest earning assets</v>
          </cell>
          <cell r="H160">
            <v>14680.647696916001</v>
          </cell>
          <cell r="I160">
            <v>12343.111356021</v>
          </cell>
          <cell r="J160">
            <v>7944.3332686909998</v>
          </cell>
          <cell r="K160">
            <v>8295.4130061840006</v>
          </cell>
          <cell r="L160">
            <v>9053.6907223479993</v>
          </cell>
          <cell r="M160">
            <v>9642.1806193006196</v>
          </cell>
          <cell r="N160">
            <v>10268.922359555161</v>
          </cell>
          <cell r="O160">
            <v>10936.402312926244</v>
          </cell>
          <cell r="P160">
            <v>11647.26846326645</v>
          </cell>
          <cell r="Q160">
            <v>12404.340913378768</v>
          </cell>
          <cell r="AD160">
            <v>14680.647696916001</v>
          </cell>
          <cell r="AE160">
            <v>14237.998182197</v>
          </cell>
          <cell r="AF160">
            <v>11653.273587998998</v>
          </cell>
          <cell r="AG160">
            <v>9926.4476954889979</v>
          </cell>
          <cell r="AH160">
            <v>12343.111356021</v>
          </cell>
          <cell r="AI160">
            <v>11982.908541015999</v>
          </cell>
          <cell r="AJ160">
            <v>10390.551977382001</v>
          </cell>
          <cell r="AK160">
            <v>9904.2797666099996</v>
          </cell>
          <cell r="AL160">
            <v>7944.3332686909998</v>
          </cell>
          <cell r="AM160">
            <v>7860.5700094140002</v>
          </cell>
          <cell r="AN160">
            <v>8499.440444934</v>
          </cell>
          <cell r="AO160">
            <v>8359.9178914820004</v>
          </cell>
          <cell r="AP160">
            <v>8295.4130061840006</v>
          </cell>
          <cell r="AQ160">
            <v>8669.5813392279997</v>
          </cell>
          <cell r="AR160">
            <v>8919.4556621419997</v>
          </cell>
          <cell r="AS160">
            <v>9082.7818368459994</v>
          </cell>
          <cell r="AT160">
            <v>9053.6907223479993</v>
          </cell>
          <cell r="AU160">
            <v>8889.2598809390001</v>
          </cell>
          <cell r="AV160">
            <v>9304.6643018018731</v>
          </cell>
          <cell r="AW160">
            <v>9473.4224605512463</v>
          </cell>
          <cell r="AX160">
            <v>9642.1806193006196</v>
          </cell>
          <cell r="AY160">
            <v>9798.8660543642545</v>
          </cell>
          <cell r="AZ160">
            <v>9798.8660543642545</v>
          </cell>
          <cell r="BA160">
            <v>10033.894206959707</v>
          </cell>
          <cell r="BB160">
            <v>10268.922359555161</v>
          </cell>
          <cell r="BC160">
            <v>10435.792347897932</v>
          </cell>
          <cell r="BD160">
            <v>10435.792347897932</v>
          </cell>
          <cell r="BE160">
            <v>10686.097330412089</v>
          </cell>
          <cell r="BF160">
            <v>10936.402312926244</v>
          </cell>
          <cell r="BG160">
            <v>11114.118850511295</v>
          </cell>
          <cell r="BH160">
            <v>11114.118850511295</v>
          </cell>
          <cell r="BI160">
            <v>11380.693656888872</v>
          </cell>
          <cell r="BJ160">
            <v>11647.26846326645</v>
          </cell>
          <cell r="BK160">
            <v>11836.536575794529</v>
          </cell>
          <cell r="BL160">
            <v>11836.536575794529</v>
          </cell>
          <cell r="BM160">
            <v>12120.438744586649</v>
          </cell>
          <cell r="BN160">
            <v>12404.340913378768</v>
          </cell>
        </row>
        <row r="161">
          <cell r="A161" t="str">
            <v xml:space="preserve">   LLR</v>
          </cell>
          <cell r="H161">
            <v>2278.197090484</v>
          </cell>
          <cell r="I161">
            <v>5022.842407227</v>
          </cell>
          <cell r="J161">
            <v>2324.3275268460002</v>
          </cell>
          <cell r="K161">
            <v>1195.924789046695</v>
          </cell>
          <cell r="L161">
            <v>1042.3483241374099</v>
          </cell>
          <cell r="M161">
            <v>1078.6404954732729</v>
          </cell>
          <cell r="N161">
            <v>1148.7521276790355</v>
          </cell>
          <cell r="O161">
            <v>1223.4210159781726</v>
          </cell>
          <cell r="P161">
            <v>1302.943382016754</v>
          </cell>
          <cell r="Q161">
            <v>1387.634701847843</v>
          </cell>
          <cell r="AD161">
            <v>2278.197090484</v>
          </cell>
          <cell r="AE161">
            <v>2522.8298856689999</v>
          </cell>
          <cell r="AF161">
            <v>2019.277092735</v>
          </cell>
          <cell r="AG161">
            <v>2088.4149246880002</v>
          </cell>
          <cell r="AH161">
            <v>5022.842407227</v>
          </cell>
          <cell r="AI161">
            <v>4280.200485286</v>
          </cell>
          <cell r="AJ161">
            <v>3766.2418246218622</v>
          </cell>
          <cell r="AK161">
            <v>3358.5596008490002</v>
          </cell>
          <cell r="AL161">
            <v>2324.3275268460002</v>
          </cell>
          <cell r="AM161">
            <v>1718.4799940959999</v>
          </cell>
          <cell r="AN161">
            <v>1475.91671779175</v>
          </cell>
          <cell r="AO161">
            <v>1298.3521681681768</v>
          </cell>
          <cell r="AP161">
            <v>1195.924789046695</v>
          </cell>
          <cell r="AQ161">
            <v>1061.9110909625938</v>
          </cell>
          <cell r="AR161">
            <v>1084.1693792235167</v>
          </cell>
          <cell r="AS161">
            <v>1074.5789342666601</v>
          </cell>
          <cell r="AT161">
            <v>1042.3483241374099</v>
          </cell>
          <cell r="AU161">
            <v>915.149902344</v>
          </cell>
          <cell r="AV161">
            <v>1096.8451885138343</v>
          </cell>
          <cell r="AW161">
            <v>1087.7428419935536</v>
          </cell>
          <cell r="AX161">
            <v>1078.6404954732729</v>
          </cell>
          <cell r="AY161">
            <v>1096.1684035247135</v>
          </cell>
          <cell r="AZ161">
            <v>1096.1684035247135</v>
          </cell>
          <cell r="BA161">
            <v>1122.4602656018747</v>
          </cell>
          <cell r="BB161">
            <v>1148.7521276790355</v>
          </cell>
          <cell r="BC161">
            <v>1167.4193497538199</v>
          </cell>
          <cell r="BD161">
            <v>1167.4193497538197</v>
          </cell>
          <cell r="BE161">
            <v>1195.4201828659961</v>
          </cell>
          <cell r="BF161">
            <v>1223.4210159781726</v>
          </cell>
          <cell r="BG161">
            <v>1243.3016074878178</v>
          </cell>
          <cell r="BH161">
            <v>1243.301607487818</v>
          </cell>
          <cell r="BI161">
            <v>1273.122494752286</v>
          </cell>
          <cell r="BJ161">
            <v>1302.943382016754</v>
          </cell>
          <cell r="BK161">
            <v>1324.1162119745263</v>
          </cell>
          <cell r="BL161">
            <v>1324.1162119745261</v>
          </cell>
          <cell r="BM161">
            <v>1355.8754569111845</v>
          </cell>
          <cell r="BN161">
            <v>1387.634701847843</v>
          </cell>
        </row>
        <row r="162">
          <cell r="A162" t="str">
            <v xml:space="preserve">   Other assets</v>
          </cell>
          <cell r="H162">
            <v>7023.2588366609998</v>
          </cell>
          <cell r="I162">
            <v>3445.288670854</v>
          </cell>
          <cell r="J162">
            <v>2597.3523551790004</v>
          </cell>
          <cell r="K162">
            <v>1984.7455067919991</v>
          </cell>
          <cell r="L162">
            <v>1634.139332257005</v>
          </cell>
          <cell r="M162">
            <v>1715.8462988698552</v>
          </cell>
          <cell r="N162">
            <v>1801.638613813348</v>
          </cell>
          <cell r="O162">
            <v>1891.7205445040154</v>
          </cell>
          <cell r="P162">
            <v>1986.3065717292163</v>
          </cell>
          <cell r="Q162">
            <v>2085.6219003156771</v>
          </cell>
          <cell r="AD162">
            <v>7023.2588366609998</v>
          </cell>
          <cell r="AE162">
            <v>8857.6220823480016</v>
          </cell>
          <cell r="AF162">
            <v>8189.0960712559308</v>
          </cell>
          <cell r="AG162">
            <v>7964.564330332003</v>
          </cell>
          <cell r="AH162">
            <v>3445.288670854</v>
          </cell>
          <cell r="AI162">
            <v>4426.7278069000013</v>
          </cell>
          <cell r="AJ162">
            <v>4328.4023981921891</v>
          </cell>
          <cell r="AK162">
            <v>3404.5641897390005</v>
          </cell>
          <cell r="AL162">
            <v>2597.3523551790004</v>
          </cell>
          <cell r="AM162">
            <v>2312.0906724170009</v>
          </cell>
          <cell r="AN162">
            <v>1653.8114638980007</v>
          </cell>
          <cell r="AO162">
            <v>1655.8901986280007</v>
          </cell>
          <cell r="AP162">
            <v>1984.7455067919991</v>
          </cell>
          <cell r="AQ162">
            <v>1908.2328554670034</v>
          </cell>
          <cell r="AR162">
            <v>1546.803673425002</v>
          </cell>
          <cell r="AS162">
            <v>1842.9112143830032</v>
          </cell>
          <cell r="AT162">
            <v>1634.139332257005</v>
          </cell>
          <cell r="AU162">
            <v>1894.2630966890001</v>
          </cell>
          <cell r="AV162">
            <v>1574.6670663172899</v>
          </cell>
          <cell r="AW162">
            <v>1645.2566825935719</v>
          </cell>
          <cell r="AX162">
            <v>1715.8462988698552</v>
          </cell>
          <cell r="AY162">
            <v>1737.2943776057291</v>
          </cell>
          <cell r="AZ162">
            <v>1737.2943776057291</v>
          </cell>
          <cell r="BA162">
            <v>1769.4664957095392</v>
          </cell>
          <cell r="BB162">
            <v>1801.638613813348</v>
          </cell>
          <cell r="BC162">
            <v>1824.1590964860134</v>
          </cell>
          <cell r="BD162">
            <v>1824.1590964860152</v>
          </cell>
          <cell r="BE162">
            <v>1857.9398204950157</v>
          </cell>
          <cell r="BF162">
            <v>1891.7205445040154</v>
          </cell>
          <cell r="BG162">
            <v>1915.3670513103152</v>
          </cell>
          <cell r="BH162">
            <v>1915.3670513103152</v>
          </cell>
          <cell r="BI162">
            <v>1950.8368115197645</v>
          </cell>
          <cell r="BJ162">
            <v>1986.3065717292163</v>
          </cell>
          <cell r="BK162">
            <v>2011.1354038758309</v>
          </cell>
          <cell r="BL162">
            <v>2011.1354038758309</v>
          </cell>
          <cell r="BM162">
            <v>2048.3786520957547</v>
          </cell>
          <cell r="BN162">
            <v>2085.6219003156771</v>
          </cell>
        </row>
        <row r="163">
          <cell r="A163" t="str">
            <v>Total liabilities</v>
          </cell>
          <cell r="H163">
            <v>17650.999812833001</v>
          </cell>
          <cell r="I163">
            <v>13978.745060193</v>
          </cell>
          <cell r="J163">
            <v>8787.1056658929992</v>
          </cell>
          <cell r="K163">
            <v>7277.7093378500003</v>
          </cell>
          <cell r="L163">
            <v>6624.9121166320001</v>
          </cell>
          <cell r="M163">
            <v>6088.736016965644</v>
          </cell>
          <cell r="N163">
            <v>5550.6085041349452</v>
          </cell>
          <cell r="O163">
            <v>5325.4618409270579</v>
          </cell>
          <cell r="P163">
            <v>5158.718818481344</v>
          </cell>
          <cell r="Q163">
            <v>5058.9434231833447</v>
          </cell>
          <cell r="AD163">
            <v>17650.999812833001</v>
          </cell>
          <cell r="AE163">
            <v>19199.939171094</v>
          </cell>
          <cell r="AF163">
            <v>16437.980328497</v>
          </cell>
          <cell r="AG163">
            <v>14671.190648964999</v>
          </cell>
          <cell r="AH163">
            <v>13978.745060193</v>
          </cell>
          <cell r="AI163">
            <v>12423.565754523999</v>
          </cell>
          <cell r="AJ163">
            <v>11784.193760699811</v>
          </cell>
          <cell r="AK163">
            <v>10841.57304420093</v>
          </cell>
          <cell r="AL163">
            <v>8787.1056658929992</v>
          </cell>
          <cell r="AM163">
            <v>7728.1017176309997</v>
          </cell>
          <cell r="AN163">
            <v>7468.2801931289996</v>
          </cell>
          <cell r="AO163">
            <v>7140.471698789207</v>
          </cell>
          <cell r="AP163">
            <v>7277.7093378500003</v>
          </cell>
          <cell r="AQ163">
            <v>7348.9114591369998</v>
          </cell>
          <cell r="AR163">
            <v>6923.5451695385</v>
          </cell>
          <cell r="AS163">
            <v>7081.7263953251504</v>
          </cell>
          <cell r="AT163">
            <v>6624.9121166320001</v>
          </cell>
          <cell r="AU163">
            <v>5985.5677121480003</v>
          </cell>
          <cell r="AV163">
            <v>5608.3306992873531</v>
          </cell>
          <cell r="AW163">
            <v>5563.0905420675235</v>
          </cell>
          <cell r="AX163">
            <v>6091.899736322719</v>
          </cell>
          <cell r="AY163">
            <v>5960.9095079225126</v>
          </cell>
          <cell r="AZ163">
            <v>5666.952573902593</v>
          </cell>
          <cell r="BA163">
            <v>5611.5429486331304</v>
          </cell>
          <cell r="BB163">
            <v>5553.7722234920202</v>
          </cell>
          <cell r="BC163">
            <v>5468.3038981449317</v>
          </cell>
          <cell r="BD163">
            <v>5249.2182433830976</v>
          </cell>
          <cell r="BE163">
            <v>5284.4577378976082</v>
          </cell>
          <cell r="BF163">
            <v>5328.6255602841329</v>
          </cell>
          <cell r="BG163">
            <v>5289.6178231746217</v>
          </cell>
          <cell r="BH163">
            <v>5067.3422875154592</v>
          </cell>
          <cell r="BI163">
            <v>5115.5050855109102</v>
          </cell>
          <cell r="BJ163">
            <v>5161.8825378384181</v>
          </cell>
          <cell r="BK163">
            <v>5134.3164625641239</v>
          </cell>
          <cell r="BL163">
            <v>4912.0409269049615</v>
          </cell>
          <cell r="BM163">
            <v>4977.3662176532389</v>
          </cell>
          <cell r="BN163">
            <v>5062.107142540418</v>
          </cell>
        </row>
        <row r="164">
          <cell r="A164" t="str">
            <v xml:space="preserve">   Interest bearing liabilities</v>
          </cell>
          <cell r="H164">
            <v>15431.588687936999</v>
          </cell>
          <cell r="I164">
            <v>12436.375434269999</v>
          </cell>
          <cell r="J164">
            <v>7741.8698959120002</v>
          </cell>
          <cell r="K164">
            <v>6073.6267917449995</v>
          </cell>
          <cell r="L164">
            <v>5136.2042644860003</v>
          </cell>
          <cell r="M164">
            <v>4525.5927722123442</v>
          </cell>
          <cell r="N164">
            <v>3909.3080971439804</v>
          </cell>
          <cell r="O164">
            <v>3602.0964135865452</v>
          </cell>
          <cell r="P164">
            <v>3349.1851197738051</v>
          </cell>
          <cell r="Q164">
            <v>3158.933039540429</v>
          </cell>
          <cell r="AD164">
            <v>15431.588687936999</v>
          </cell>
          <cell r="AE164">
            <v>16825.921807940998</v>
          </cell>
          <cell r="AF164">
            <v>14390.429907538</v>
          </cell>
          <cell r="AG164">
            <v>12645.649348079</v>
          </cell>
          <cell r="AH164">
            <v>12436.375434269999</v>
          </cell>
          <cell r="AI164">
            <v>11131.660050217999</v>
          </cell>
          <cell r="AJ164">
            <v>10485.684456307999</v>
          </cell>
          <cell r="AK164">
            <v>9550.5312251969299</v>
          </cell>
          <cell r="AL164">
            <v>7741.8698959120002</v>
          </cell>
          <cell r="AM164">
            <v>6519.9840691030013</v>
          </cell>
          <cell r="AN164">
            <v>6474.3224769599892</v>
          </cell>
          <cell r="AO164">
            <v>6125.9806272919623</v>
          </cell>
          <cell r="AP164">
            <v>6073.6267917449995</v>
          </cell>
          <cell r="AQ164">
            <v>5989.1297374360001</v>
          </cell>
          <cell r="AR164">
            <v>5620.5320697349998</v>
          </cell>
          <cell r="AS164">
            <v>5575.3522794759992</v>
          </cell>
          <cell r="AT164">
            <v>5136.2042644860003</v>
          </cell>
          <cell r="AU164">
            <v>4490.7603060679994</v>
          </cell>
          <cell r="AV164">
            <v>5147.8150865341149</v>
          </cell>
          <cell r="AW164">
            <v>4836.7039293732296</v>
          </cell>
          <cell r="AX164">
            <v>4525.5927722123442</v>
          </cell>
          <cell r="AY164">
            <v>4371.5216034452533</v>
          </cell>
          <cell r="AZ164">
            <v>4371.5216034452533</v>
          </cell>
          <cell r="BA164">
            <v>4140.4148502946173</v>
          </cell>
          <cell r="BB164">
            <v>3909.3080971439804</v>
          </cell>
          <cell r="BC164">
            <v>3832.5051762546218</v>
          </cell>
          <cell r="BD164">
            <v>3832.5051762546213</v>
          </cell>
          <cell r="BE164">
            <v>3717.300794920583</v>
          </cell>
          <cell r="BF164">
            <v>3602.0964135865452</v>
          </cell>
          <cell r="BG164">
            <v>3538.8685901333602</v>
          </cell>
          <cell r="BH164">
            <v>3538.8685901333602</v>
          </cell>
          <cell r="BI164">
            <v>3444.0268549535826</v>
          </cell>
          <cell r="BJ164">
            <v>3349.1851197738051</v>
          </cell>
          <cell r="BK164">
            <v>3301.622099715461</v>
          </cell>
          <cell r="BL164">
            <v>3301.622099715461</v>
          </cell>
          <cell r="BM164">
            <v>3230.277569627945</v>
          </cell>
          <cell r="BN164">
            <v>3158.933039540429</v>
          </cell>
        </row>
        <row r="165">
          <cell r="A165" t="str">
            <v xml:space="preserve">   Other liabilities</v>
          </cell>
          <cell r="H165">
            <v>2219.4111248960016</v>
          </cell>
          <cell r="I165">
            <v>1542.3696259230001</v>
          </cell>
          <cell r="J165">
            <v>1045.2357699809991</v>
          </cell>
          <cell r="K165">
            <v>1204.0825461050008</v>
          </cell>
          <cell r="L165">
            <v>1488.7078521459998</v>
          </cell>
          <cell r="M165">
            <v>1563.1432447533</v>
          </cell>
          <cell r="N165">
            <v>1641.3004069909648</v>
          </cell>
          <cell r="O165">
            <v>1723.365427340513</v>
          </cell>
          <cell r="P165">
            <v>1809.5336987075386</v>
          </cell>
          <cell r="Q165">
            <v>1900.0103836429157</v>
          </cell>
          <cell r="AD165">
            <v>2219.4111248960016</v>
          </cell>
          <cell r="AE165">
            <v>2374.0173631530015</v>
          </cell>
          <cell r="AF165">
            <v>2047.5504209589999</v>
          </cell>
          <cell r="AG165">
            <v>2025.5413008859996</v>
          </cell>
          <cell r="AH165">
            <v>1542.3696259230001</v>
          </cell>
          <cell r="AI165">
            <v>1291.9057043060002</v>
          </cell>
          <cell r="AJ165">
            <v>1298.5093043918114</v>
          </cell>
          <cell r="AK165">
            <v>1291.041819004</v>
          </cell>
          <cell r="AL165">
            <v>1045.2357699809991</v>
          </cell>
          <cell r="AM165">
            <v>1208.1176485279984</v>
          </cell>
          <cell r="AN165">
            <v>993.95771616901038</v>
          </cell>
          <cell r="AO165">
            <v>1014.4910714972448</v>
          </cell>
          <cell r="AP165">
            <v>1204.0825461050008</v>
          </cell>
          <cell r="AQ165">
            <v>1359.7817217009997</v>
          </cell>
          <cell r="AR165">
            <v>1303.0130998035002</v>
          </cell>
          <cell r="AS165">
            <v>1506.3741158491512</v>
          </cell>
          <cell r="AT165">
            <v>1488.7078521459998</v>
          </cell>
          <cell r="AU165">
            <v>1494.8074060800009</v>
          </cell>
          <cell r="AV165">
            <v>460.5156127532382</v>
          </cell>
          <cell r="AW165">
            <v>726.38661269429394</v>
          </cell>
          <cell r="AX165">
            <v>1563.1432447533</v>
          </cell>
          <cell r="AY165">
            <v>1589.3879044772593</v>
          </cell>
          <cell r="AZ165">
            <v>1295.4309704573398</v>
          </cell>
          <cell r="BA165">
            <v>1471.1280983385132</v>
          </cell>
          <cell r="BB165">
            <v>1641.3004069909648</v>
          </cell>
          <cell r="BC165">
            <v>1635.7987218903099</v>
          </cell>
          <cell r="BD165">
            <v>1416.7130671284763</v>
          </cell>
          <cell r="BE165">
            <v>1567.1569429770252</v>
          </cell>
          <cell r="BF165">
            <v>1723.365427340513</v>
          </cell>
          <cell r="BG165">
            <v>1750.7492330412615</v>
          </cell>
          <cell r="BH165">
            <v>1528.4736973820991</v>
          </cell>
          <cell r="BI165">
            <v>1671.4782305573276</v>
          </cell>
          <cell r="BJ165">
            <v>1809.5336987075386</v>
          </cell>
          <cell r="BK165">
            <v>1832.6943628486629</v>
          </cell>
          <cell r="BL165">
            <v>1610.4188271895005</v>
          </cell>
          <cell r="BM165">
            <v>1747.0886480252939</v>
          </cell>
          <cell r="BN165">
            <v>1900.0103836429157</v>
          </cell>
        </row>
        <row r="166">
          <cell r="A166" t="str">
            <v>Total shareholders' equity</v>
          </cell>
          <cell r="H166">
            <v>1774.7096302599998</v>
          </cell>
          <cell r="I166">
            <v>-3213.1874405450003</v>
          </cell>
          <cell r="J166">
            <v>-569.74756886900013</v>
          </cell>
          <cell r="K166">
            <v>1806.5243860790001</v>
          </cell>
          <cell r="L166">
            <v>3020.569613836075</v>
          </cell>
          <cell r="M166">
            <v>4190.6504057315578</v>
          </cell>
          <cell r="N166">
            <v>5371.2003415545278</v>
          </cell>
          <cell r="O166">
            <v>6279.2400005250283</v>
          </cell>
          <cell r="P166">
            <v>7171.912834497567</v>
          </cell>
          <cell r="Q166">
            <v>8043.3846886632573</v>
          </cell>
          <cell r="AD166">
            <v>1774.7096302599998</v>
          </cell>
          <cell r="AE166">
            <v>1372.851207737586</v>
          </cell>
          <cell r="AF166">
            <v>1385.1122380229299</v>
          </cell>
          <cell r="AG166">
            <v>1131.406452168</v>
          </cell>
          <cell r="AH166">
            <v>-3213.1874405450003</v>
          </cell>
          <cell r="AI166">
            <v>-294.12989189399968</v>
          </cell>
          <cell r="AJ166">
            <v>-831.48120974748281</v>
          </cell>
          <cell r="AK166">
            <v>-891.2886887009297</v>
          </cell>
          <cell r="AL166">
            <v>-569.74756886900013</v>
          </cell>
          <cell r="AM166">
            <v>726.07897010399995</v>
          </cell>
          <cell r="AN166">
            <v>1209.05499791125</v>
          </cell>
          <cell r="AO166">
            <v>1576.9842231526156</v>
          </cell>
          <cell r="AP166">
            <v>1806.5243860790001</v>
          </cell>
          <cell r="AQ166">
            <v>2166.9916445950003</v>
          </cell>
          <cell r="AR166">
            <v>2458.5447868049846</v>
          </cell>
          <cell r="AS166">
            <v>2769.3877216368501</v>
          </cell>
          <cell r="AT166">
            <v>3020.569613836075</v>
          </cell>
          <cell r="AU166">
            <v>3882.8053631360003</v>
          </cell>
          <cell r="AV166">
            <v>4174.1554803179752</v>
          </cell>
          <cell r="AW166">
            <v>4467.8457590837415</v>
          </cell>
          <cell r="AX166">
            <v>4187.4866863744828</v>
          </cell>
          <cell r="AY166">
            <v>4479.0825205227566</v>
          </cell>
          <cell r="AZ166">
            <v>4773.0394545426761</v>
          </cell>
          <cell r="BA166">
            <v>5069.3574884342415</v>
          </cell>
          <cell r="BB166">
            <v>5368.0366221974527</v>
          </cell>
          <cell r="BC166">
            <v>5624.2281964851936</v>
          </cell>
          <cell r="BD166">
            <v>5843.3138512470296</v>
          </cell>
          <cell r="BE166">
            <v>6064.1592301434994</v>
          </cell>
          <cell r="BF166">
            <v>6276.0762811679533</v>
          </cell>
          <cell r="BG166">
            <v>6496.5664711591708</v>
          </cell>
          <cell r="BH166">
            <v>6718.8420068183332</v>
          </cell>
          <cell r="BI166">
            <v>6942.9028881454406</v>
          </cell>
          <cell r="BJ166">
            <v>7168.7491151404929</v>
          </cell>
          <cell r="BK166">
            <v>7389.2393051317104</v>
          </cell>
          <cell r="BL166">
            <v>7611.5148407908728</v>
          </cell>
          <cell r="BM166">
            <v>7835.5757221179801</v>
          </cell>
          <cell r="BN166">
            <v>8040.2209693061841</v>
          </cell>
        </row>
        <row r="167">
          <cell r="A167" t="str">
            <v xml:space="preserve">   Paid-in Capital</v>
          </cell>
          <cell r="H167">
            <v>370</v>
          </cell>
          <cell r="I167">
            <v>785.98911999999996</v>
          </cell>
          <cell r="J167">
            <v>2585.58961</v>
          </cell>
          <cell r="K167">
            <v>626.84701500000006</v>
          </cell>
          <cell r="L167">
            <v>626.84701500000006</v>
          </cell>
          <cell r="M167">
            <v>626.84701500000006</v>
          </cell>
          <cell r="N167">
            <v>626.84701500000006</v>
          </cell>
          <cell r="O167">
            <v>626.84701500000006</v>
          </cell>
          <cell r="P167">
            <v>626.84701500000006</v>
          </cell>
          <cell r="Q167">
            <v>626.84701500000006</v>
          </cell>
          <cell r="AD167">
            <v>370</v>
          </cell>
          <cell r="AE167">
            <v>370</v>
          </cell>
          <cell r="AF167">
            <v>595</v>
          </cell>
          <cell r="AG167">
            <v>595</v>
          </cell>
          <cell r="AH167">
            <v>785.98911999999996</v>
          </cell>
          <cell r="AI167">
            <v>1739.88912</v>
          </cell>
          <cell r="AJ167">
            <v>40.08961</v>
          </cell>
          <cell r="AK167">
            <v>2585.58961</v>
          </cell>
          <cell r="AL167">
            <v>2585.58961</v>
          </cell>
          <cell r="AM167">
            <v>626.84701500000006</v>
          </cell>
          <cell r="AN167">
            <v>626.84701500000006</v>
          </cell>
          <cell r="AO167">
            <v>626.84701500000006</v>
          </cell>
          <cell r="AP167">
            <v>626.84701500000006</v>
          </cell>
          <cell r="AQ167">
            <v>626.84701500000006</v>
          </cell>
          <cell r="AR167">
            <v>626.84701500000006</v>
          </cell>
          <cell r="AS167">
            <v>626.84701500000006</v>
          </cell>
          <cell r="AT167">
            <v>626.84701500000006</v>
          </cell>
          <cell r="AU167">
            <v>626.84701500000006</v>
          </cell>
          <cell r="AV167">
            <v>626.84701500000006</v>
          </cell>
          <cell r="AW167">
            <v>626.84701500000006</v>
          </cell>
          <cell r="AX167">
            <v>626.84701500000006</v>
          </cell>
          <cell r="AY167">
            <v>626.84701500000006</v>
          </cell>
          <cell r="AZ167">
            <v>626.84701500000006</v>
          </cell>
          <cell r="BA167">
            <v>626.84701500000006</v>
          </cell>
          <cell r="BB167">
            <v>626.84701500000006</v>
          </cell>
          <cell r="BC167">
            <v>626.84701500000006</v>
          </cell>
          <cell r="BD167">
            <v>626.84701500000006</v>
          </cell>
          <cell r="BE167">
            <v>626.84701500000006</v>
          </cell>
          <cell r="BF167">
            <v>626.84701500000006</v>
          </cell>
          <cell r="BG167">
            <v>626.84701500000006</v>
          </cell>
          <cell r="BH167">
            <v>626.84701500000006</v>
          </cell>
          <cell r="BI167">
            <v>626.84701500000006</v>
          </cell>
          <cell r="BJ167">
            <v>626.84701500000006</v>
          </cell>
          <cell r="BK167">
            <v>626.84701500000006</v>
          </cell>
          <cell r="BL167">
            <v>626.84701500000006</v>
          </cell>
          <cell r="BM167">
            <v>626.84701500000006</v>
          </cell>
          <cell r="BN167">
            <v>626.84701500000006</v>
          </cell>
        </row>
        <row r="168">
          <cell r="A168" t="str">
            <v xml:space="preserve">   Capital surplus</v>
          </cell>
          <cell r="H168">
            <v>260.152644802</v>
          </cell>
          <cell r="I168">
            <v>451.66445785600001</v>
          </cell>
          <cell r="J168">
            <v>1713.4845303029999</v>
          </cell>
          <cell r="K168">
            <v>2830.0516641889999</v>
          </cell>
          <cell r="L168">
            <v>1378.029722148</v>
          </cell>
          <cell r="M168">
            <v>1378.029722148</v>
          </cell>
          <cell r="N168">
            <v>1378.029722148</v>
          </cell>
          <cell r="O168">
            <v>1378.029722148</v>
          </cell>
          <cell r="P168">
            <v>1378.029722148</v>
          </cell>
          <cell r="Q168">
            <v>1378.029722148</v>
          </cell>
          <cell r="AD168">
            <v>260.152644802</v>
          </cell>
          <cell r="AE168">
            <v>260.152644802</v>
          </cell>
          <cell r="AF168">
            <v>421.21136038200001</v>
          </cell>
          <cell r="AG168">
            <v>430.86824440700002</v>
          </cell>
          <cell r="AH168">
            <v>451.66445785600001</v>
          </cell>
          <cell r="AI168">
            <v>13.685020303</v>
          </cell>
          <cell r="AJ168">
            <v>1713.4845303029999</v>
          </cell>
          <cell r="AK168">
            <v>1713.4845303029999</v>
          </cell>
          <cell r="AL168">
            <v>1713.4845303029999</v>
          </cell>
          <cell r="AM168">
            <v>2830.0516641889999</v>
          </cell>
          <cell r="AN168">
            <v>2830.0516641889999</v>
          </cell>
          <cell r="AO168">
            <v>2830.0516641889999</v>
          </cell>
          <cell r="AP168">
            <v>2830.0516641889999</v>
          </cell>
          <cell r="AQ168">
            <v>1378.029722148</v>
          </cell>
          <cell r="AR168">
            <v>1378.029722148</v>
          </cell>
          <cell r="AS168">
            <v>1378.029722148</v>
          </cell>
          <cell r="AT168">
            <v>1378.029722148</v>
          </cell>
          <cell r="AU168">
            <v>1378.029722148</v>
          </cell>
          <cell r="AV168">
            <v>1378.029722148</v>
          </cell>
          <cell r="AW168">
            <v>1378.029722148</v>
          </cell>
          <cell r="AX168">
            <v>1378.029722148</v>
          </cell>
          <cell r="AY168">
            <v>1378.029722148</v>
          </cell>
          <cell r="AZ168">
            <v>1378.029722148</v>
          </cell>
          <cell r="BA168">
            <v>1378.029722148</v>
          </cell>
          <cell r="BB168">
            <v>1378.029722148</v>
          </cell>
          <cell r="BC168">
            <v>1378.029722148</v>
          </cell>
          <cell r="BD168">
            <v>1378.029722148</v>
          </cell>
          <cell r="BE168">
            <v>1378.029722148</v>
          </cell>
          <cell r="BF168">
            <v>1378.029722148</v>
          </cell>
          <cell r="BG168">
            <v>1378.029722148</v>
          </cell>
          <cell r="BH168">
            <v>1378.029722148</v>
          </cell>
          <cell r="BI168">
            <v>1378.029722148</v>
          </cell>
          <cell r="BJ168">
            <v>1378.029722148</v>
          </cell>
          <cell r="BK168">
            <v>1378.029722148</v>
          </cell>
          <cell r="BL168">
            <v>1378.029722148</v>
          </cell>
          <cell r="BM168">
            <v>1378.029722148</v>
          </cell>
          <cell r="BN168">
            <v>1378.029722148</v>
          </cell>
        </row>
        <row r="169">
          <cell r="A169" t="str">
            <v xml:space="preserve">   Retained earnings</v>
          </cell>
          <cell r="H169">
            <v>1163.6129794149999</v>
          </cell>
          <cell r="I169">
            <v>-4435.1980536370002</v>
          </cell>
          <cell r="J169">
            <v>-4516.7985270469999</v>
          </cell>
          <cell r="K169">
            <v>-1449.4809161410001</v>
          </cell>
          <cell r="L169">
            <v>1193.679248018901</v>
          </cell>
          <cell r="M169">
            <v>2363.7600399143848</v>
          </cell>
          <cell r="N169">
            <v>3544.3099757373543</v>
          </cell>
          <cell r="O169">
            <v>4452.3496347078553</v>
          </cell>
          <cell r="P169">
            <v>5345.022468680394</v>
          </cell>
          <cell r="Q169">
            <v>6216.4943228460843</v>
          </cell>
          <cell r="AD169">
            <v>1163.6129794149999</v>
          </cell>
          <cell r="AE169">
            <v>779.09310576058601</v>
          </cell>
          <cell r="AF169">
            <v>416.7602947570121</v>
          </cell>
          <cell r="AG169">
            <v>146.810406164</v>
          </cell>
          <cell r="AH169">
            <v>-4435.1980536370002</v>
          </cell>
          <cell r="AI169">
            <v>-4314.1140299239996</v>
          </cell>
          <cell r="AJ169">
            <v>-4795.7987882844827</v>
          </cell>
          <cell r="AK169">
            <v>-4842.5866778189293</v>
          </cell>
          <cell r="AL169">
            <v>-4516.7985270469999</v>
          </cell>
          <cell r="AM169">
            <v>-2520.7832039469999</v>
          </cell>
          <cell r="AN169">
            <v>-2040.99148868775</v>
          </cell>
          <cell r="AO169">
            <v>-1677.5980877623845</v>
          </cell>
          <cell r="AP169">
            <v>-1449.4809161410001</v>
          </cell>
          <cell r="AQ169">
            <v>353.57640766700001</v>
          </cell>
          <cell r="AR169">
            <v>640.56436855498441</v>
          </cell>
          <cell r="AS169">
            <v>949.22887898385</v>
          </cell>
          <cell r="AT169">
            <v>1193.679248018901</v>
          </cell>
          <cell r="AU169">
            <v>1868.334677757</v>
          </cell>
          <cell r="AV169">
            <v>2159.6847949389753</v>
          </cell>
          <cell r="AW169">
            <v>2453.3750737047417</v>
          </cell>
          <cell r="AX169">
            <v>2173.0160009954834</v>
          </cell>
          <cell r="AY169">
            <v>2464.6118351437572</v>
          </cell>
          <cell r="AZ169">
            <v>2758.5687691636767</v>
          </cell>
          <cell r="BA169">
            <v>3054.8868030552421</v>
          </cell>
          <cell r="BB169">
            <v>3353.5659368184533</v>
          </cell>
          <cell r="BC169">
            <v>3609.7575111061938</v>
          </cell>
          <cell r="BD169">
            <v>3828.8431658680302</v>
          </cell>
          <cell r="BE169">
            <v>4049.6885447644995</v>
          </cell>
          <cell r="BF169">
            <v>4261.6055957889539</v>
          </cell>
          <cell r="BG169">
            <v>4482.0957857801714</v>
          </cell>
          <cell r="BH169">
            <v>4704.3713214393338</v>
          </cell>
          <cell r="BI169">
            <v>4928.4322027664412</v>
          </cell>
          <cell r="BJ169">
            <v>5154.2784297614935</v>
          </cell>
          <cell r="BK169">
            <v>5374.7686197527109</v>
          </cell>
          <cell r="BL169">
            <v>5597.0441554118734</v>
          </cell>
          <cell r="BM169">
            <v>5821.1050367389807</v>
          </cell>
          <cell r="BN169">
            <v>6025.7502839271847</v>
          </cell>
        </row>
        <row r="170">
          <cell r="A170" t="str">
            <v xml:space="preserve">   Capital adjustment</v>
          </cell>
          <cell r="H170">
            <v>-19.055993956999998</v>
          </cell>
          <cell r="I170">
            <v>-15.642964764</v>
          </cell>
          <cell r="J170">
            <v>-352.02318212500001</v>
          </cell>
          <cell r="K170">
            <v>-200.893376969</v>
          </cell>
          <cell r="L170">
            <v>-177.98637133082656</v>
          </cell>
          <cell r="M170">
            <v>-177.98637133082656</v>
          </cell>
          <cell r="N170">
            <v>-177.98637133082656</v>
          </cell>
          <cell r="O170">
            <v>-177.98637133082656</v>
          </cell>
          <cell r="P170">
            <v>-177.98637133082656</v>
          </cell>
          <cell r="Q170">
            <v>-177.98637133082656</v>
          </cell>
          <cell r="AD170">
            <v>-19.055993956999998</v>
          </cell>
          <cell r="AE170">
            <v>-36.394542825000002</v>
          </cell>
          <cell r="AF170">
            <v>-47.859417116082362</v>
          </cell>
          <cell r="AG170">
            <v>-41.272198402999997</v>
          </cell>
          <cell r="AH170">
            <v>-15.642964764</v>
          </cell>
          <cell r="AI170">
            <v>2266.4099977269998</v>
          </cell>
          <cell r="AJ170">
            <v>2210.7434382340002</v>
          </cell>
          <cell r="AK170">
            <v>-347.776151185</v>
          </cell>
          <cell r="AL170">
            <v>-352.02318212500001</v>
          </cell>
          <cell r="AM170">
            <v>-210.036505138</v>
          </cell>
          <cell r="AN170">
            <v>-206.85219258999999</v>
          </cell>
          <cell r="AO170">
            <v>-202.31636827400001</v>
          </cell>
          <cell r="AP170">
            <v>-200.893376969</v>
          </cell>
          <cell r="AQ170">
            <v>-191.46150022</v>
          </cell>
          <cell r="AR170">
            <v>-186.896318898</v>
          </cell>
          <cell r="AS170">
            <v>-184.717894495</v>
          </cell>
          <cell r="AT170">
            <v>-177.98637133082656</v>
          </cell>
          <cell r="AU170">
            <v>9.5939482310000006</v>
          </cell>
          <cell r="AV170">
            <v>9.5939482310000006</v>
          </cell>
          <cell r="AW170">
            <v>9.5939482310000006</v>
          </cell>
          <cell r="AX170">
            <v>9.5939482310000006</v>
          </cell>
          <cell r="AY170">
            <v>9.5939482310000006</v>
          </cell>
          <cell r="AZ170">
            <v>9.5939482310000006</v>
          </cell>
          <cell r="BA170">
            <v>9.5939482310000006</v>
          </cell>
          <cell r="BB170">
            <v>9.5939482310000006</v>
          </cell>
          <cell r="BC170">
            <v>9.5939482310000006</v>
          </cell>
          <cell r="BD170">
            <v>9.5939482310000006</v>
          </cell>
          <cell r="BE170">
            <v>9.5939482310000006</v>
          </cell>
          <cell r="BF170">
            <v>9.5939482310000006</v>
          </cell>
          <cell r="BG170">
            <v>9.5939482310000006</v>
          </cell>
          <cell r="BH170">
            <v>9.5939482310000006</v>
          </cell>
          <cell r="BI170">
            <v>9.5939482310000006</v>
          </cell>
          <cell r="BJ170">
            <v>9.5939482310000006</v>
          </cell>
          <cell r="BK170">
            <v>9.5939482310000006</v>
          </cell>
          <cell r="BL170">
            <v>9.5939482310000006</v>
          </cell>
          <cell r="BM170">
            <v>9.5939482310000006</v>
          </cell>
          <cell r="BN170">
            <v>9.5939482310000006</v>
          </cell>
        </row>
        <row r="172">
          <cell r="A172" t="str">
            <v>Balance sheet (Managed)</v>
          </cell>
        </row>
        <row r="173">
          <cell r="A173" t="str">
            <v>Total assets</v>
          </cell>
          <cell r="H173">
            <v>33784.023648237999</v>
          </cell>
          <cell r="I173">
            <v>17488.753342242999</v>
          </cell>
          <cell r="J173">
            <v>12372.647515225</v>
          </cell>
          <cell r="K173">
            <v>11938.167895600509</v>
          </cell>
          <cell r="L173">
            <v>12336.656306016757</v>
          </cell>
          <cell r="M173">
            <v>13149.198569444059</v>
          </cell>
          <cell r="N173">
            <v>13980.072612782911</v>
          </cell>
          <cell r="O173">
            <v>14863.76227575504</v>
          </cell>
          <cell r="P173">
            <v>15803.641013977418</v>
          </cell>
          <cell r="Q173">
            <v>16803.298579699167</v>
          </cell>
          <cell r="AD173">
            <v>33784.023648237999</v>
          </cell>
          <cell r="AE173">
            <v>34084.649993316591</v>
          </cell>
          <cell r="AF173">
            <v>29913.593266764543</v>
          </cell>
          <cell r="AG173">
            <v>26054.161063340001</v>
          </cell>
          <cell r="AH173">
            <v>17488.753342242999</v>
          </cell>
          <cell r="AI173">
            <v>17224.177455721001</v>
          </cell>
          <cell r="AJ173">
            <v>15492.807988232602</v>
          </cell>
          <cell r="AK173">
            <v>13583.160505000467</v>
          </cell>
          <cell r="AL173">
            <v>12372.647515225</v>
          </cell>
          <cell r="AM173">
            <v>11852.102733154001</v>
          </cell>
          <cell r="AN173">
            <v>11428.82305093025</v>
          </cell>
          <cell r="AO173">
            <v>11467.023444456001</v>
          </cell>
          <cell r="AP173">
            <v>11938.167895600509</v>
          </cell>
          <cell r="AQ173">
            <v>12243.7056119836</v>
          </cell>
          <cell r="AR173">
            <v>12132.138458926496</v>
          </cell>
          <cell r="AS173">
            <v>12656.720870173276</v>
          </cell>
          <cell r="AT173">
            <v>12336.656306016757</v>
          </cell>
          <cell r="AU173">
            <v>12533.661963597</v>
          </cell>
          <cell r="AV173">
            <v>12541.835174632444</v>
          </cell>
          <cell r="AW173">
            <v>12845.516872038252</v>
          </cell>
          <cell r="AX173">
            <v>13149.198569444059</v>
          </cell>
          <cell r="AY173">
            <v>13356.917080278772</v>
          </cell>
          <cell r="AZ173">
            <v>13356.917080278772</v>
          </cell>
          <cell r="BA173">
            <v>13668.494846530841</v>
          </cell>
          <cell r="BB173">
            <v>13980.072612782911</v>
          </cell>
          <cell r="BC173">
            <v>14200.995028525944</v>
          </cell>
          <cell r="BD173">
            <v>14200.995028525944</v>
          </cell>
          <cell r="BE173">
            <v>14532.378652140491</v>
          </cell>
          <cell r="BF173">
            <v>14863.76227575504</v>
          </cell>
          <cell r="BG173">
            <v>15098.731960310633</v>
          </cell>
          <cell r="BH173">
            <v>15098.731960310635</v>
          </cell>
          <cell r="BI173">
            <v>15451.186487144027</v>
          </cell>
          <cell r="BJ173">
            <v>15803.641013977418</v>
          </cell>
          <cell r="BK173">
            <v>16053.555405407855</v>
          </cell>
          <cell r="BL173">
            <v>16053.555405407855</v>
          </cell>
          <cell r="BM173">
            <v>16428.426992553512</v>
          </cell>
          <cell r="BN173">
            <v>16803.298579699167</v>
          </cell>
        </row>
        <row r="174">
          <cell r="A174" t="str">
            <v xml:space="preserve">   IEA</v>
          </cell>
          <cell r="H174">
            <v>33542.835446251003</v>
          </cell>
          <cell r="I174">
            <v>21129.175706642</v>
          </cell>
          <cell r="J174">
            <v>12191.570449344999</v>
          </cell>
          <cell r="K174">
            <v>11246.288696866</v>
          </cell>
          <cell r="L174">
            <v>11928.949069917</v>
          </cell>
          <cell r="M174">
            <v>12704.330759461605</v>
          </cell>
          <cell r="N174">
            <v>13530.11225882661</v>
          </cell>
          <cell r="O174">
            <v>14409.569555650338</v>
          </cell>
          <cell r="P174">
            <v>15346.191576767609</v>
          </cell>
          <cell r="Q174">
            <v>16343.694029257504</v>
          </cell>
          <cell r="AD174">
            <v>33542.835446251003</v>
          </cell>
          <cell r="AE174">
            <v>32293.532561083</v>
          </cell>
          <cell r="AF174">
            <v>27839.229362406</v>
          </cell>
          <cell r="AG174">
            <v>24862.888205915002</v>
          </cell>
          <cell r="AH174">
            <v>21129.175706642</v>
          </cell>
          <cell r="AI174">
            <v>17481.811230675743</v>
          </cell>
          <cell r="AJ174">
            <v>15389.262216839807</v>
          </cell>
          <cell r="AK174">
            <v>13828.691387755744</v>
          </cell>
          <cell r="AL174">
            <v>12191.570449344999</v>
          </cell>
          <cell r="AM174">
            <v>11002.361199977</v>
          </cell>
          <cell r="AN174">
            <v>10711.834970256999</v>
          </cell>
          <cell r="AO174">
            <v>10695.290453112</v>
          </cell>
          <cell r="AP174">
            <v>11246.288696866</v>
          </cell>
          <cell r="AQ174">
            <v>11621.088525367</v>
          </cell>
          <cell r="AR174">
            <v>11868.824092519</v>
          </cell>
          <cell r="AS174">
            <v>12029.755763561001</v>
          </cell>
          <cell r="AT174">
            <v>11928.949069917</v>
          </cell>
          <cell r="AU174">
            <v>11692.806925130999</v>
          </cell>
          <cell r="AV174">
            <v>12266.123681360536</v>
          </cell>
          <cell r="AW174">
            <v>12485.22722041107</v>
          </cell>
          <cell r="AX174">
            <v>12704.330759461605</v>
          </cell>
          <cell r="AY174">
            <v>12910.776134302856</v>
          </cell>
          <cell r="AZ174">
            <v>12910.776134302856</v>
          </cell>
          <cell r="BA174">
            <v>13220.444196564733</v>
          </cell>
          <cell r="BB174">
            <v>13530.11225882661</v>
          </cell>
          <cell r="BC174">
            <v>13749.976583032541</v>
          </cell>
          <cell r="BD174">
            <v>13749.976583032541</v>
          </cell>
          <cell r="BE174">
            <v>14079.77306934144</v>
          </cell>
          <cell r="BF174">
            <v>14409.569555650338</v>
          </cell>
          <cell r="BG174">
            <v>14643.725060929655</v>
          </cell>
          <cell r="BH174">
            <v>14643.725060929655</v>
          </cell>
          <cell r="BI174">
            <v>14994.958318848632</v>
          </cell>
          <cell r="BJ174">
            <v>15346.191576767609</v>
          </cell>
          <cell r="BK174">
            <v>15595.567189890084</v>
          </cell>
          <cell r="BL174">
            <v>15595.567189890082</v>
          </cell>
          <cell r="BM174">
            <v>15969.630609573793</v>
          </cell>
          <cell r="BN174">
            <v>16343.694029257504</v>
          </cell>
        </row>
        <row r="175">
          <cell r="A175" t="str">
            <v xml:space="preserve">      Growth</v>
          </cell>
          <cell r="H175" t="str">
            <v>NA</v>
          </cell>
          <cell r="I175">
            <v>-0.37008379209624764</v>
          </cell>
          <cell r="J175">
            <v>-0.42299829304213921</v>
          </cell>
          <cell r="K175">
            <v>-7.7535683889665363E-2</v>
          </cell>
          <cell r="L175">
            <v>6.0700946903598174E-2</v>
          </cell>
          <cell r="M175">
            <v>6.4999999999999947E-2</v>
          </cell>
          <cell r="N175">
            <v>6.4999999999999947E-2</v>
          </cell>
          <cell r="O175">
            <v>6.4999999999999947E-2</v>
          </cell>
          <cell r="P175">
            <v>6.4999999999999947E-2</v>
          </cell>
          <cell r="Q175">
            <v>6.4999999999999947E-2</v>
          </cell>
          <cell r="Y175">
            <v>6.5000000000000002E-2</v>
          </cell>
          <cell r="AD175" t="str">
            <v>NA</v>
          </cell>
          <cell r="AE175">
            <v>7.5266659788124191E-2</v>
          </cell>
          <cell r="AF175">
            <v>-0.10835897069877676</v>
          </cell>
          <cell r="AG175">
            <v>-0.24673583523221954</v>
          </cell>
          <cell r="AH175">
            <v>-0.37008379209624764</v>
          </cell>
          <cell r="AI175">
            <v>-0.45865906129628231</v>
          </cell>
          <cell r="AJ175">
            <v>-0.44720947492815966</v>
          </cell>
          <cell r="AK175">
            <v>-0.44380189166977668</v>
          </cell>
          <cell r="AL175">
            <v>-0.42299829304213921</v>
          </cell>
          <cell r="AM175">
            <v>-0.37063951470480938</v>
          </cell>
          <cell r="AN175">
            <v>-0.30394096745355992</v>
          </cell>
          <cell r="AO175">
            <v>-0.22658694498151377</v>
          </cell>
          <cell r="AP175">
            <v>-7.7535683889665363E-2</v>
          </cell>
          <cell r="AQ175">
            <v>5.6235867387383509E-2</v>
          </cell>
          <cell r="AR175">
            <v>0.10801035728001351</v>
          </cell>
          <cell r="AS175">
            <v>0.12477130156485949</v>
          </cell>
          <cell r="AT175">
            <v>6.0700946903598174E-2</v>
          </cell>
          <cell r="AU175">
            <v>6.1714012080236191E-3</v>
          </cell>
          <cell r="AV175">
            <v>3.3474216632122467E-2</v>
          </cell>
          <cell r="AW175">
            <v>3.7862070170179729E-2</v>
          </cell>
          <cell r="AX175">
            <v>6.4999999999999947E-2</v>
          </cell>
          <cell r="AY175">
            <v>0.10416397165971425</v>
          </cell>
          <cell r="AZ175">
            <v>5.2555515474047132E-2</v>
          </cell>
          <cell r="BA175">
            <v>5.8886952009308713E-2</v>
          </cell>
          <cell r="BB175">
            <v>6.4999999999999947E-2</v>
          </cell>
          <cell r="BC175">
            <v>6.4999999999999947E-2</v>
          </cell>
          <cell r="BD175">
            <v>6.4999999999999947E-2</v>
          </cell>
          <cell r="BE175">
            <v>6.4999999999999947E-2</v>
          </cell>
          <cell r="BF175">
            <v>6.4999999999999947E-2</v>
          </cell>
          <cell r="BG175">
            <v>6.4999999999999947E-2</v>
          </cell>
          <cell r="BH175">
            <v>6.4999999999999947E-2</v>
          </cell>
          <cell r="BI175">
            <v>6.4999999999999947E-2</v>
          </cell>
          <cell r="BJ175">
            <v>6.4999999999999947E-2</v>
          </cell>
          <cell r="BK175">
            <v>6.5000000000000169E-2</v>
          </cell>
          <cell r="BL175">
            <v>6.4999999999999947E-2</v>
          </cell>
          <cell r="BM175">
            <v>6.4999999999999947E-2</v>
          </cell>
          <cell r="BN175">
            <v>6.4999999999999947E-2</v>
          </cell>
        </row>
        <row r="176">
          <cell r="A176" t="str">
            <v xml:space="preserve">      Avg. IEA</v>
          </cell>
          <cell r="H176">
            <v>31951.302205695501</v>
          </cell>
          <cell r="I176">
            <v>27336.0055764465</v>
          </cell>
          <cell r="J176">
            <v>16660.373077993499</v>
          </cell>
          <cell r="K176">
            <v>11718.929573105499</v>
          </cell>
          <cell r="L176">
            <v>11587.6188833915</v>
          </cell>
          <cell r="M176">
            <v>12316.639914689302</v>
          </cell>
          <cell r="N176">
            <v>13117.221509144107</v>
          </cell>
          <cell r="O176">
            <v>13969.840907238475</v>
          </cell>
          <cell r="P176">
            <v>14877.880566208973</v>
          </cell>
          <cell r="Q176">
            <v>15844.942803012556</v>
          </cell>
          <cell r="AD176">
            <v>33274.84996431</v>
          </cell>
          <cell r="AE176">
            <v>33542.835446251003</v>
          </cell>
          <cell r="AF176">
            <v>30066.3809617445</v>
          </cell>
          <cell r="AG176">
            <v>26351.058784160501</v>
          </cell>
          <cell r="AH176">
            <v>22996.031956278501</v>
          </cell>
          <cell r="AI176">
            <v>19305.493468658871</v>
          </cell>
          <cell r="AJ176">
            <v>16435.536723757774</v>
          </cell>
          <cell r="AK176">
            <v>14608.976802297775</v>
          </cell>
          <cell r="AL176">
            <v>13010.130918550371</v>
          </cell>
          <cell r="AM176">
            <v>11596.965824661</v>
          </cell>
          <cell r="AN176">
            <v>10857.098085116999</v>
          </cell>
          <cell r="AO176">
            <v>10703.562711684499</v>
          </cell>
          <cell r="AP176">
            <v>10970.789574989001</v>
          </cell>
          <cell r="AQ176">
            <v>11433.6886111165</v>
          </cell>
          <cell r="AR176">
            <v>11744.956308943001</v>
          </cell>
          <cell r="AS176">
            <v>11949.289928040002</v>
          </cell>
          <cell r="AT176">
            <v>11979.352416739001</v>
          </cell>
          <cell r="AU176">
            <v>11810.877997524</v>
          </cell>
          <cell r="AV176">
            <v>11979.465303245768</v>
          </cell>
          <cell r="AW176">
            <v>12375.675450885803</v>
          </cell>
          <cell r="AX176">
            <v>12594.778989936338</v>
          </cell>
          <cell r="AY176">
            <v>12807.55344688223</v>
          </cell>
          <cell r="AZ176">
            <v>12910.776134302856</v>
          </cell>
          <cell r="BA176">
            <v>13065.610165433794</v>
          </cell>
          <cell r="BB176">
            <v>13375.278227695671</v>
          </cell>
          <cell r="BC176">
            <v>13640.044420929575</v>
          </cell>
          <cell r="BD176">
            <v>13749.976583032541</v>
          </cell>
          <cell r="BE176">
            <v>13914.874826186991</v>
          </cell>
          <cell r="BF176">
            <v>14244.671312495888</v>
          </cell>
          <cell r="BG176">
            <v>14526.647308289997</v>
          </cell>
          <cell r="BH176">
            <v>14643.725060929655</v>
          </cell>
          <cell r="BI176">
            <v>14819.341689889145</v>
          </cell>
          <cell r="BJ176">
            <v>15170.57494780812</v>
          </cell>
          <cell r="BK176">
            <v>15470.879383328847</v>
          </cell>
          <cell r="BL176">
            <v>15595.567189890084</v>
          </cell>
          <cell r="BM176">
            <v>15782.598899731936</v>
          </cell>
          <cell r="BN176">
            <v>16156.662319415649</v>
          </cell>
        </row>
        <row r="177">
          <cell r="A177" t="str">
            <v xml:space="preserve">      LLR</v>
          </cell>
          <cell r="H177">
            <v>2278.197090484</v>
          </cell>
          <cell r="I177">
            <v>5022.842407227</v>
          </cell>
          <cell r="J177">
            <v>2494.0883880830002</v>
          </cell>
          <cell r="K177">
            <v>1312.1929442216951</v>
          </cell>
          <cell r="L177">
            <v>1104.91902898024</v>
          </cell>
          <cell r="M177">
            <v>1143.3897683515445</v>
          </cell>
          <cell r="N177">
            <v>1217.7101032943949</v>
          </cell>
          <cell r="O177">
            <v>1296.8612600085303</v>
          </cell>
          <cell r="P177">
            <v>1381.1572419090849</v>
          </cell>
          <cell r="Q177">
            <v>1470.9324626331752</v>
          </cell>
          <cell r="AD177">
            <v>2278.197090484</v>
          </cell>
          <cell r="AE177">
            <v>2522.8298856689999</v>
          </cell>
          <cell r="AF177">
            <v>2019.277092735</v>
          </cell>
          <cell r="AG177">
            <v>2088.4149246880002</v>
          </cell>
          <cell r="AH177">
            <v>5022.842407227</v>
          </cell>
          <cell r="AI177">
            <v>4280.200485286</v>
          </cell>
          <cell r="AJ177">
            <v>3766.2418246218622</v>
          </cell>
          <cell r="AK177">
            <v>3358.5596008490002</v>
          </cell>
          <cell r="AL177">
            <v>2494.0883880830002</v>
          </cell>
          <cell r="AM177">
            <v>1839.454195173</v>
          </cell>
          <cell r="AN177">
            <v>1600.13556830875</v>
          </cell>
          <cell r="AO177">
            <v>1428.602340935</v>
          </cell>
          <cell r="AP177">
            <v>1312.1929442216951</v>
          </cell>
          <cell r="AQ177">
            <v>1156.5126967455944</v>
          </cell>
          <cell r="AR177">
            <v>1147.8654559906133</v>
          </cell>
          <cell r="AS177">
            <v>1118.388093622</v>
          </cell>
          <cell r="AT177">
            <v>1104.91902898024</v>
          </cell>
          <cell r="AU177">
            <v>968.85839242600002</v>
          </cell>
          <cell r="AV177">
            <v>1163.0961542887549</v>
          </cell>
          <cell r="AW177">
            <v>1153.2429613201498</v>
          </cell>
          <cell r="AX177">
            <v>1143.3897683515445</v>
          </cell>
          <cell r="AY177">
            <v>1161.9698520872571</v>
          </cell>
          <cell r="AZ177">
            <v>1161.9698520872571</v>
          </cell>
          <cell r="BA177">
            <v>1189.8399776908259</v>
          </cell>
          <cell r="BB177">
            <v>1217.7101032943949</v>
          </cell>
          <cell r="BC177">
            <v>1237.4978924729287</v>
          </cell>
          <cell r="BD177">
            <v>1237.4978924729287</v>
          </cell>
          <cell r="BE177">
            <v>1267.1795762407296</v>
          </cell>
          <cell r="BF177">
            <v>1296.8612600085303</v>
          </cell>
          <cell r="BG177">
            <v>1317.9352554836689</v>
          </cell>
          <cell r="BH177">
            <v>1317.9352554836689</v>
          </cell>
          <cell r="BI177">
            <v>1349.546248696377</v>
          </cell>
          <cell r="BJ177">
            <v>1381.1572419090849</v>
          </cell>
          <cell r="BK177">
            <v>1403.6010470901074</v>
          </cell>
          <cell r="BL177">
            <v>1403.6010470901074</v>
          </cell>
          <cell r="BM177">
            <v>1437.2667548616414</v>
          </cell>
          <cell r="BN177">
            <v>1470.9324626331752</v>
          </cell>
        </row>
        <row r="178">
          <cell r="A178" t="str">
            <v xml:space="preserve">      LLR as % of IEA</v>
          </cell>
          <cell r="H178">
            <v>6.7919037260120121E-2</v>
          </cell>
          <cell r="I178">
            <v>0.23772069847703803</v>
          </cell>
          <cell r="J178">
            <v>0.20457482474843894</v>
          </cell>
          <cell r="K178">
            <v>0.11667786410172482</v>
          </cell>
          <cell r="L178">
            <v>9.262501017517781E-2</v>
          </cell>
          <cell r="M178">
            <v>0.09</v>
          </cell>
          <cell r="N178">
            <v>0.09</v>
          </cell>
          <cell r="O178">
            <v>0.09</v>
          </cell>
          <cell r="P178">
            <v>0.09</v>
          </cell>
          <cell r="Q178">
            <v>0.09</v>
          </cell>
          <cell r="Y178">
            <v>0.09</v>
          </cell>
          <cell r="AE178">
            <v>7.8121830768965395E-2</v>
          </cell>
          <cell r="AF178">
            <v>7.2533512564174091E-2</v>
          </cell>
          <cell r="AG178">
            <v>8.3997277685186875E-2</v>
          </cell>
          <cell r="AH178">
            <v>0.23772069847703803</v>
          </cell>
          <cell r="AI178">
            <v>0.24483735860134631</v>
          </cell>
          <cell r="AJ178">
            <v>0.24473179880583398</v>
          </cell>
          <cell r="AK178">
            <v>0.24286893869240223</v>
          </cell>
          <cell r="AL178">
            <v>0.20457482474843894</v>
          </cell>
          <cell r="AM178">
            <v>0.16718722115547754</v>
          </cell>
          <cell r="AN178">
            <v>0.14938015501095414</v>
          </cell>
          <cell r="AO178">
            <v>0.1335730289137983</v>
          </cell>
          <cell r="AP178">
            <v>0.11667786410172482</v>
          </cell>
          <cell r="AQ178">
            <v>9.951844822635246E-2</v>
          </cell>
          <cell r="AR178">
            <v>9.6712652158533599E-2</v>
          </cell>
          <cell r="AS178">
            <v>9.2968478795694115E-2</v>
          </cell>
          <cell r="AT178">
            <v>9.262501017517781E-2</v>
          </cell>
          <cell r="AU178">
            <v>8.2859350935117357E-2</v>
          </cell>
          <cell r="AV178">
            <v>9.4821818571435304E-2</v>
          </cell>
          <cell r="AW178">
            <v>9.2368600183327682E-2</v>
          </cell>
          <cell r="AX178">
            <v>0.09</v>
          </cell>
          <cell r="AY178">
            <v>9.0000000000000011E-2</v>
          </cell>
          <cell r="AZ178">
            <v>9.0000000000000011E-2</v>
          </cell>
          <cell r="BA178">
            <v>0.09</v>
          </cell>
          <cell r="BB178">
            <v>0.09</v>
          </cell>
          <cell r="BC178">
            <v>0.09</v>
          </cell>
          <cell r="BD178">
            <v>0.09</v>
          </cell>
          <cell r="BE178">
            <v>0.09</v>
          </cell>
          <cell r="BF178">
            <v>0.09</v>
          </cell>
          <cell r="BG178">
            <v>0.09</v>
          </cell>
          <cell r="BH178">
            <v>0.09</v>
          </cell>
          <cell r="BI178">
            <v>9.0000000000000011E-2</v>
          </cell>
          <cell r="BJ178">
            <v>0.09</v>
          </cell>
          <cell r="BK178">
            <v>0.09</v>
          </cell>
          <cell r="BL178">
            <v>0.09</v>
          </cell>
          <cell r="BM178">
            <v>0.09</v>
          </cell>
          <cell r="BN178">
            <v>0.09</v>
          </cell>
        </row>
        <row r="179">
          <cell r="A179" t="str">
            <v xml:space="preserve">   Other assets</v>
          </cell>
          <cell r="H179">
            <v>2519.3852924709954</v>
          </cell>
          <cell r="I179">
            <v>1382.4200428279992</v>
          </cell>
          <cell r="J179">
            <v>2675.1654539630013</v>
          </cell>
          <cell r="K179">
            <v>2004.0721429562036</v>
          </cell>
          <cell r="L179">
            <v>1512.6262650799972</v>
          </cell>
          <cell r="M179">
            <v>1588.2575783339971</v>
          </cell>
          <cell r="N179">
            <v>1667.6704572506972</v>
          </cell>
          <cell r="O179">
            <v>1751.053980113232</v>
          </cell>
          <cell r="P179">
            <v>1838.6066791188937</v>
          </cell>
          <cell r="Q179">
            <v>1930.5370130748383</v>
          </cell>
          <cell r="Y179">
            <v>0.05</v>
          </cell>
          <cell r="AD179">
            <v>2519.3852924709954</v>
          </cell>
          <cell r="AE179">
            <v>4313.9473179025899</v>
          </cell>
          <cell r="AF179">
            <v>4093.6409970935429</v>
          </cell>
          <cell r="AG179">
            <v>3279.6877821129997</v>
          </cell>
          <cell r="AH179">
            <v>1382.4200428279992</v>
          </cell>
          <cell r="AI179">
            <v>4022.566710331258</v>
          </cell>
          <cell r="AJ179">
            <v>3869.7875960146575</v>
          </cell>
          <cell r="AK179">
            <v>3113.0287180937239</v>
          </cell>
          <cell r="AL179">
            <v>2675.1654539630013</v>
          </cell>
          <cell r="AM179">
            <v>2689.1957283500005</v>
          </cell>
          <cell r="AN179">
            <v>2317.1236489820008</v>
          </cell>
          <cell r="AO179">
            <v>2200.3353322790008</v>
          </cell>
          <cell r="AP179">
            <v>2004.0721429562036</v>
          </cell>
          <cell r="AQ179">
            <v>1779.1297833621938</v>
          </cell>
          <cell r="AR179">
            <v>1411.1798223981093</v>
          </cell>
          <cell r="AS179">
            <v>1745.3532002342752</v>
          </cell>
          <cell r="AT179">
            <v>1512.6262650799972</v>
          </cell>
          <cell r="AU179">
            <v>1809.7134308920013</v>
          </cell>
          <cell r="AV179">
            <v>1438.8076475606636</v>
          </cell>
          <cell r="AW179">
            <v>1513.532612947331</v>
          </cell>
          <cell r="AX179">
            <v>1588.2575783339983</v>
          </cell>
          <cell r="AY179">
            <v>1608.1107980631732</v>
          </cell>
          <cell r="AZ179">
            <v>1608.1107980631732</v>
          </cell>
          <cell r="BA179">
            <v>1637.8906276569337</v>
          </cell>
          <cell r="BB179">
            <v>1667.6704572506962</v>
          </cell>
          <cell r="BC179">
            <v>1688.5163379663311</v>
          </cell>
          <cell r="BD179">
            <v>1688.5163379663311</v>
          </cell>
          <cell r="BE179">
            <v>1719.7851590397809</v>
          </cell>
          <cell r="BF179">
            <v>1751.0539801132322</v>
          </cell>
          <cell r="BG179">
            <v>1772.9421548646471</v>
          </cell>
          <cell r="BH179">
            <v>1772.942154864649</v>
          </cell>
          <cell r="BI179">
            <v>1805.7744169917714</v>
          </cell>
          <cell r="BJ179">
            <v>1838.6066791188937</v>
          </cell>
          <cell r="BK179">
            <v>1861.5892626078785</v>
          </cell>
          <cell r="BL179">
            <v>1861.5892626078803</v>
          </cell>
          <cell r="BM179">
            <v>1896.0631378413605</v>
          </cell>
          <cell r="BN179">
            <v>1930.5370130748386</v>
          </cell>
        </row>
        <row r="180">
          <cell r="A180" t="str">
            <v>Total liabilities</v>
          </cell>
          <cell r="H180">
            <v>32009.314017977998</v>
          </cell>
          <cell r="I180">
            <v>20701.940782787999</v>
          </cell>
          <cell r="J180">
            <v>12942.395084094</v>
          </cell>
          <cell r="K180">
            <v>10131.6435095214</v>
          </cell>
          <cell r="L180">
            <v>9316.0866921809393</v>
          </cell>
          <cell r="M180">
            <v>8958.5481637125013</v>
          </cell>
          <cell r="N180">
            <v>8608.8722712283834</v>
          </cell>
          <cell r="O180">
            <v>8584.5222752300106</v>
          </cell>
          <cell r="P180">
            <v>8631.728179479851</v>
          </cell>
          <cell r="Q180">
            <v>8759.9138910359106</v>
          </cell>
          <cell r="AD180">
            <v>32009.314017977998</v>
          </cell>
          <cell r="AE180">
            <v>32711.795107414997</v>
          </cell>
          <cell r="AF180">
            <v>28528.481028741615</v>
          </cell>
          <cell r="AG180">
            <v>24922.754611172</v>
          </cell>
          <cell r="AH180">
            <v>20701.940782787999</v>
          </cell>
          <cell r="AI180">
            <v>17518.307347614998</v>
          </cell>
          <cell r="AJ180">
            <v>16324.289197980082</v>
          </cell>
          <cell r="AK180">
            <v>14474.449193701465</v>
          </cell>
          <cell r="AL180">
            <v>12942.395084094</v>
          </cell>
          <cell r="AM180">
            <v>11126.02376305</v>
          </cell>
          <cell r="AN180">
            <v>10219.768053018999</v>
          </cell>
          <cell r="AO180">
            <v>9890.0392213032064</v>
          </cell>
          <cell r="AP180">
            <v>10131.6435095214</v>
          </cell>
          <cell r="AQ180">
            <v>10076.713967388099</v>
          </cell>
          <cell r="AR180">
            <v>9673.5936721215112</v>
          </cell>
          <cell r="AS180">
            <v>9887.3331485361505</v>
          </cell>
          <cell r="AT180">
            <v>9316.0866921809393</v>
          </cell>
          <cell r="AU180">
            <v>8650.8566004610002</v>
          </cell>
          <cell r="AV180">
            <v>8367.6796943144691</v>
          </cell>
          <cell r="AW180">
            <v>8377.671112954511</v>
          </cell>
          <cell r="AX180">
            <v>8961.7118830695763</v>
          </cell>
          <cell r="AY180">
            <v>8877.8345597560146</v>
          </cell>
          <cell r="AZ180">
            <v>8583.8776257360951</v>
          </cell>
          <cell r="BA180">
            <v>8599.1373580965992</v>
          </cell>
          <cell r="BB180">
            <v>8612.0359905854584</v>
          </cell>
          <cell r="BC180">
            <v>8576.7668320407502</v>
          </cell>
          <cell r="BD180">
            <v>8357.6811772789151</v>
          </cell>
          <cell r="BE180">
            <v>8468.2194219969915</v>
          </cell>
          <cell r="BF180">
            <v>8587.6859945870856</v>
          </cell>
          <cell r="BG180">
            <v>8602.1654891514627</v>
          </cell>
          <cell r="BH180">
            <v>8379.8899534923021</v>
          </cell>
          <cell r="BI180">
            <v>8508.283598998587</v>
          </cell>
          <cell r="BJ180">
            <v>8634.891898836926</v>
          </cell>
          <cell r="BK180">
            <v>8664.3161002761444</v>
          </cell>
          <cell r="BL180">
            <v>8442.040564616982</v>
          </cell>
          <cell r="BM180">
            <v>8592.8512704355308</v>
          </cell>
          <cell r="BN180">
            <v>8763.077610392982</v>
          </cell>
        </row>
        <row r="181">
          <cell r="A181" t="str">
            <v xml:space="preserve">   IBL</v>
          </cell>
          <cell r="H181">
            <v>30451.988687936999</v>
          </cell>
          <cell r="I181">
            <v>19731.47543427</v>
          </cell>
          <cell r="J181">
            <v>12013.334715540403</v>
          </cell>
          <cell r="K181">
            <v>9005.4867115049983</v>
          </cell>
          <cell r="L181">
            <v>7859.3292817990005</v>
          </cell>
          <cell r="M181">
            <v>7428.9528828114653</v>
          </cell>
          <cell r="N181">
            <v>7002.7972262822959</v>
          </cell>
          <cell r="O181">
            <v>6898.1434780366189</v>
          </cell>
          <cell r="P181">
            <v>6861.0304424267897</v>
          </cell>
          <cell r="Q181">
            <v>6900.6812671301959</v>
          </cell>
          <cell r="AD181">
            <v>30451.988687936999</v>
          </cell>
          <cell r="AE181">
            <v>31468.392807941</v>
          </cell>
          <cell r="AF181">
            <v>27321.440907538003</v>
          </cell>
          <cell r="AG181">
            <v>23474.983348079</v>
          </cell>
          <cell r="AH181">
            <v>19731.47543427</v>
          </cell>
          <cell r="AI181">
            <v>16568.972854265969</v>
          </cell>
          <cell r="AJ181">
            <v>15373.816305085</v>
          </cell>
          <cell r="AK181">
            <v>13415.375245137464</v>
          </cell>
          <cell r="AL181">
            <v>12013.334715540403</v>
          </cell>
          <cell r="AM181">
            <v>10037.190876352</v>
          </cell>
          <cell r="AN181">
            <v>9347.8210076299893</v>
          </cell>
          <cell r="AO181">
            <v>8950.4488214369612</v>
          </cell>
          <cell r="AP181">
            <v>9005.4867115049983</v>
          </cell>
          <cell r="AQ181">
            <v>8852.2686983999993</v>
          </cell>
          <cell r="AR181">
            <v>8397.8377707809996</v>
          </cell>
          <cell r="AS181">
            <v>8400.2627876879997</v>
          </cell>
          <cell r="AT181">
            <v>7859.3292817990005</v>
          </cell>
          <cell r="AU181">
            <v>7182.24485026</v>
          </cell>
          <cell r="AV181">
            <v>7941.5652926494886</v>
          </cell>
          <cell r="AW181">
            <v>7685.2590877304774</v>
          </cell>
          <cell r="AX181">
            <v>7428.9528828114653</v>
          </cell>
          <cell r="AY181">
            <v>7322.4139686791732</v>
          </cell>
          <cell r="AZ181">
            <v>7322.4139686791732</v>
          </cell>
          <cell r="BA181">
            <v>7162.605597480735</v>
          </cell>
          <cell r="BB181">
            <v>7002.7972262822959</v>
          </cell>
          <cell r="BC181">
            <v>6976.6337892208767</v>
          </cell>
          <cell r="BD181">
            <v>6976.6337892208767</v>
          </cell>
          <cell r="BE181">
            <v>6937.3886336287478</v>
          </cell>
          <cell r="BF181">
            <v>6898.1434780366189</v>
          </cell>
          <cell r="BG181">
            <v>6888.8652191341616</v>
          </cell>
          <cell r="BH181">
            <v>6888.8652191341616</v>
          </cell>
          <cell r="BI181">
            <v>6874.9478307804757</v>
          </cell>
          <cell r="BJ181">
            <v>6861.0304424267897</v>
          </cell>
          <cell r="BK181">
            <v>6870.9431486026415</v>
          </cell>
          <cell r="BL181">
            <v>6870.9431486026415</v>
          </cell>
          <cell r="BM181">
            <v>6885.8122078664182</v>
          </cell>
          <cell r="BN181">
            <v>6900.6812671301959</v>
          </cell>
        </row>
        <row r="182">
          <cell r="A182" t="str">
            <v xml:space="preserve">   Other liabilities</v>
          </cell>
          <cell r="H182">
            <v>1557.3253300409997</v>
          </cell>
          <cell r="I182">
            <v>970.46534851799879</v>
          </cell>
          <cell r="J182">
            <v>929.06036855359707</v>
          </cell>
          <cell r="K182">
            <v>1126.1567980164018</v>
          </cell>
          <cell r="L182">
            <v>1456.7574103819388</v>
          </cell>
          <cell r="M182">
            <v>1529.5952809010357</v>
          </cell>
          <cell r="N182">
            <v>1606.0750449460875</v>
          </cell>
          <cell r="O182">
            <v>1686.3787971933918</v>
          </cell>
          <cell r="P182">
            <v>1770.6977370530615</v>
          </cell>
          <cell r="Q182">
            <v>1859.2326239057147</v>
          </cell>
          <cell r="Y182">
            <v>0.05</v>
          </cell>
          <cell r="AD182">
            <v>1557.3253300409997</v>
          </cell>
          <cell r="AE182">
            <v>1243.4022994739971</v>
          </cell>
          <cell r="AF182">
            <v>1207.0401212036122</v>
          </cell>
          <cell r="AG182">
            <v>1447.771263093</v>
          </cell>
          <cell r="AH182">
            <v>970.46534851799879</v>
          </cell>
          <cell r="AI182">
            <v>949.3344933490298</v>
          </cell>
          <cell r="AJ182">
            <v>950.47289289508262</v>
          </cell>
          <cell r="AK182">
            <v>1059.0739485640006</v>
          </cell>
          <cell r="AL182">
            <v>929.06036855359707</v>
          </cell>
          <cell r="AM182">
            <v>1088.8328866979991</v>
          </cell>
          <cell r="AN182">
            <v>871.94704538900987</v>
          </cell>
          <cell r="AO182">
            <v>939.59039986624521</v>
          </cell>
          <cell r="AP182">
            <v>1126.1567980164018</v>
          </cell>
          <cell r="AQ182">
            <v>1224.4452689881</v>
          </cell>
          <cell r="AR182">
            <v>1275.7559013405116</v>
          </cell>
          <cell r="AS182">
            <v>1487.0703608481508</v>
          </cell>
          <cell r="AT182">
            <v>1456.7574103819388</v>
          </cell>
          <cell r="AU182">
            <v>1468.6117502010002</v>
          </cell>
          <cell r="AV182">
            <v>426.11440166498051</v>
          </cell>
          <cell r="AW182">
            <v>692.41202522403364</v>
          </cell>
          <cell r="AX182">
            <v>1532.759000258111</v>
          </cell>
          <cell r="AY182">
            <v>1555.4205910768414</v>
          </cell>
          <cell r="AZ182">
            <v>1261.4636570569219</v>
          </cell>
          <cell r="BA182">
            <v>1436.5317606158642</v>
          </cell>
          <cell r="BB182">
            <v>1609.2387643031625</v>
          </cell>
          <cell r="BC182">
            <v>1600.1330428198735</v>
          </cell>
          <cell r="BD182">
            <v>1381.0473880580385</v>
          </cell>
          <cell r="BE182">
            <v>1530.8307883682437</v>
          </cell>
          <cell r="BF182">
            <v>1689.5425165504666</v>
          </cell>
          <cell r="BG182">
            <v>1713.300270017301</v>
          </cell>
          <cell r="BH182">
            <v>1491.0247343581404</v>
          </cell>
          <cell r="BI182">
            <v>1633.3357682181113</v>
          </cell>
          <cell r="BJ182">
            <v>1773.8614564101363</v>
          </cell>
          <cell r="BK182">
            <v>1793.3729516735029</v>
          </cell>
          <cell r="BL182">
            <v>1571.0974160143405</v>
          </cell>
          <cell r="BM182">
            <v>1707.0390625691125</v>
          </cell>
          <cell r="BN182">
            <v>1862.3963432627861</v>
          </cell>
        </row>
        <row r="183">
          <cell r="A183" t="str">
            <v>Total shareholders' equity</v>
          </cell>
          <cell r="H183">
            <v>1774.7096302599998</v>
          </cell>
          <cell r="I183">
            <v>-3213.1874405449998</v>
          </cell>
          <cell r="J183">
            <v>-569.74756886899922</v>
          </cell>
          <cell r="K183">
            <v>1806.5243860791088</v>
          </cell>
          <cell r="L183">
            <v>3020.569613835818</v>
          </cell>
          <cell r="M183">
            <v>4190.6504057315578</v>
          </cell>
          <cell r="N183">
            <v>5371.2003415545278</v>
          </cell>
          <cell r="O183">
            <v>6279.2400005250283</v>
          </cell>
          <cell r="P183">
            <v>7171.912834497567</v>
          </cell>
          <cell r="Q183">
            <v>8043.3846886632573</v>
          </cell>
          <cell r="AD183">
            <v>1774.7096302599998</v>
          </cell>
          <cell r="AE183">
            <v>1372.8548859015937</v>
          </cell>
          <cell r="AF183">
            <v>1385.1122380229281</v>
          </cell>
          <cell r="AG183">
            <v>1131.4064521680011</v>
          </cell>
          <cell r="AH183">
            <v>-3213.1874405449998</v>
          </cell>
          <cell r="AI183">
            <v>-294.12989189399741</v>
          </cell>
          <cell r="AJ183">
            <v>-831.48120974748053</v>
          </cell>
          <cell r="AK183">
            <v>-891.28868870099723</v>
          </cell>
          <cell r="AL183">
            <v>-569.74756886899922</v>
          </cell>
          <cell r="AM183">
            <v>726.0789701040012</v>
          </cell>
          <cell r="AN183">
            <v>1209.0549979112511</v>
          </cell>
          <cell r="AO183">
            <v>1576.9842231527946</v>
          </cell>
          <cell r="AP183">
            <v>1806.5243860791088</v>
          </cell>
          <cell r="AQ183">
            <v>2166.9916445955005</v>
          </cell>
          <cell r="AR183">
            <v>2458.5447868049851</v>
          </cell>
          <cell r="AS183">
            <v>2769.3877216371257</v>
          </cell>
          <cell r="AT183">
            <v>3020.569613835818</v>
          </cell>
          <cell r="AU183">
            <v>3882.8053631359999</v>
          </cell>
          <cell r="AV183">
            <v>4174.1554803179752</v>
          </cell>
          <cell r="AW183">
            <v>4467.8457590837415</v>
          </cell>
          <cell r="AX183">
            <v>4187.4866863744828</v>
          </cell>
          <cell r="AY183">
            <v>4479.0825205227566</v>
          </cell>
          <cell r="AZ183">
            <v>4773.0394545426761</v>
          </cell>
          <cell r="BA183">
            <v>5069.3574884342415</v>
          </cell>
          <cell r="BB183">
            <v>5368.0366221974527</v>
          </cell>
          <cell r="BC183">
            <v>5624.2281964851936</v>
          </cell>
          <cell r="BD183">
            <v>5843.3138512470296</v>
          </cell>
          <cell r="BE183">
            <v>6064.1592301434994</v>
          </cell>
          <cell r="BF183">
            <v>6276.0762811679533</v>
          </cell>
          <cell r="BG183">
            <v>6496.5664711591708</v>
          </cell>
          <cell r="BH183">
            <v>6718.8420068183332</v>
          </cell>
          <cell r="BI183">
            <v>6942.9028881454406</v>
          </cell>
          <cell r="BJ183">
            <v>7168.7491151404929</v>
          </cell>
          <cell r="BK183">
            <v>7389.2393051317104</v>
          </cell>
          <cell r="BL183">
            <v>7611.5148407908728</v>
          </cell>
          <cell r="BM183">
            <v>7835.5757221179801</v>
          </cell>
          <cell r="BN183">
            <v>8040.2209693061841</v>
          </cell>
        </row>
        <row r="184">
          <cell r="A184" t="str">
            <v xml:space="preserve">   CAR</v>
          </cell>
          <cell r="H184" t="str">
            <v>NM</v>
          </cell>
          <cell r="I184" t="str">
            <v>NM</v>
          </cell>
          <cell r="J184" t="str">
            <v>NM</v>
          </cell>
          <cell r="K184">
            <v>0.25600000000000001</v>
          </cell>
          <cell r="L184">
            <v>0.34200000000000003</v>
          </cell>
          <cell r="M184">
            <v>0.37624227995898074</v>
          </cell>
          <cell r="N184">
            <v>0.4536485059892979</v>
          </cell>
          <cell r="O184">
            <v>0.49885336344883352</v>
          </cell>
          <cell r="P184">
            <v>0.53591963344723725</v>
          </cell>
          <cell r="Q184">
            <v>0.56531027887885943</v>
          </cell>
          <cell r="AD184" t="str">
            <v>NM</v>
          </cell>
          <cell r="AP184">
            <v>0.25600000000000001</v>
          </cell>
          <cell r="AQ184">
            <v>0.27</v>
          </cell>
          <cell r="AR184">
            <v>0.307</v>
          </cell>
          <cell r="AS184">
            <v>0.32700000000000001</v>
          </cell>
          <cell r="AT184">
            <v>0.34300000000000003</v>
          </cell>
          <cell r="AU184">
            <v>0.36599999999999999</v>
          </cell>
          <cell r="AV184">
            <v>0.39320675933071664</v>
          </cell>
          <cell r="AW184">
            <v>0.41092260247980866</v>
          </cell>
          <cell r="AX184">
            <v>0.37624227995898074</v>
          </cell>
          <cell r="AY184">
            <v>0.39618340108224986</v>
          </cell>
          <cell r="AZ184">
            <v>0.42218445316336439</v>
          </cell>
          <cell r="BA184">
            <v>0.4381730546478908</v>
          </cell>
          <cell r="BB184">
            <v>0.4536485059892979</v>
          </cell>
          <cell r="BC184">
            <v>0.46790490730581108</v>
          </cell>
          <cell r="BD184">
            <v>0.48613163093829687</v>
          </cell>
          <cell r="BE184">
            <v>0.49300046979998857</v>
          </cell>
          <cell r="BF184">
            <v>0.49885336344883352</v>
          </cell>
          <cell r="BG184">
            <v>0.5083430063862926</v>
          </cell>
          <cell r="BH184">
            <v>0.52573561131763891</v>
          </cell>
          <cell r="BI184">
            <v>0.53087551894083584</v>
          </cell>
          <cell r="BJ184">
            <v>0.53591963344723725</v>
          </cell>
          <cell r="BK184">
            <v>0.54380342992197916</v>
          </cell>
          <cell r="BL184">
            <v>0.56016156824824126</v>
          </cell>
          <cell r="BM184">
            <v>0.56349280082557307</v>
          </cell>
          <cell r="BN184">
            <v>0.56531027887885943</v>
          </cell>
        </row>
        <row r="186">
          <cell r="A186" t="str">
            <v>Income statement (Stated)</v>
          </cell>
        </row>
        <row r="187">
          <cell r="A187" t="str">
            <v>Opreating revenue</v>
          </cell>
          <cell r="H187">
            <v>5631.1537365149998</v>
          </cell>
          <cell r="I187">
            <v>4392.6345656619997</v>
          </cell>
          <cell r="J187">
            <v>3432.2684772969997</v>
          </cell>
          <cell r="K187">
            <v>2729.7121418010001</v>
          </cell>
          <cell r="L187">
            <v>2703.3975773309999</v>
          </cell>
          <cell r="M187">
            <v>2702.0648857544629</v>
          </cell>
          <cell r="N187">
            <v>2877.699103328503</v>
          </cell>
          <cell r="O187">
            <v>3064.7495450448559</v>
          </cell>
          <cell r="P187">
            <v>3263.958265472771</v>
          </cell>
          <cell r="Q187">
            <v>3476.1155527285009</v>
          </cell>
          <cell r="AE187">
            <v>1386.201805962</v>
          </cell>
          <cell r="AF187">
            <v>1233.4019875108575</v>
          </cell>
          <cell r="AG187">
            <v>1231.5669755401427</v>
          </cell>
          <cell r="AH187">
            <v>541.46379664899951</v>
          </cell>
          <cell r="AI187">
            <v>1121.7982115539999</v>
          </cell>
          <cell r="AJ187">
            <v>681.67165924000028</v>
          </cell>
          <cell r="AK187">
            <v>787.64507224299996</v>
          </cell>
          <cell r="AL187">
            <v>841.15353425999956</v>
          </cell>
          <cell r="AM187">
            <v>701.89217845299993</v>
          </cell>
          <cell r="AN187">
            <v>670.75253782100015</v>
          </cell>
          <cell r="AO187">
            <v>658.62592038599951</v>
          </cell>
          <cell r="AP187">
            <v>698.44150514100056</v>
          </cell>
          <cell r="AQ187">
            <v>677.29638000300008</v>
          </cell>
          <cell r="AR187">
            <v>692.79318837599988</v>
          </cell>
          <cell r="AS187">
            <v>674.5923107860001</v>
          </cell>
          <cell r="AT187">
            <v>658.71569816599981</v>
          </cell>
          <cell r="AU187">
            <v>633.31712340400009</v>
          </cell>
          <cell r="AV187">
            <v>672.81415655286128</v>
          </cell>
          <cell r="AW187">
            <v>678.2182863243703</v>
          </cell>
          <cell r="AX187">
            <v>717.71531947323149</v>
          </cell>
          <cell r="AY187">
            <v>710.79167852214027</v>
          </cell>
          <cell r="AZ187">
            <v>716.54707672879726</v>
          </cell>
          <cell r="BA187">
            <v>722.30247493545437</v>
          </cell>
          <cell r="BB187">
            <v>728.05787314211102</v>
          </cell>
          <cell r="BC187">
            <v>756.99313762607937</v>
          </cell>
          <cell r="BD187">
            <v>763.12263671616915</v>
          </cell>
          <cell r="BE187">
            <v>769.25213580625882</v>
          </cell>
          <cell r="BF187">
            <v>775.38163489634871</v>
          </cell>
          <cell r="BG187">
            <v>806.1976915717745</v>
          </cell>
          <cell r="BH187">
            <v>812.72560810272</v>
          </cell>
          <cell r="BI187">
            <v>819.25352463366562</v>
          </cell>
          <cell r="BJ187">
            <v>825.78144116461101</v>
          </cell>
          <cell r="BK187">
            <v>806.1976915717745</v>
          </cell>
          <cell r="BL187">
            <v>812.72560810272</v>
          </cell>
          <cell r="BM187">
            <v>819.25352463366562</v>
          </cell>
          <cell r="BN187">
            <v>1037.9387284203408</v>
          </cell>
        </row>
        <row r="188">
          <cell r="A188" t="str">
            <v xml:space="preserve">   ABS related revenue</v>
          </cell>
          <cell r="H188">
            <v>2230.5226477669999</v>
          </cell>
          <cell r="I188">
            <v>1896.601214994</v>
          </cell>
          <cell r="J188">
            <v>1437.833109423</v>
          </cell>
          <cell r="K188">
            <v>832.42513011699998</v>
          </cell>
          <cell r="L188">
            <v>596.73801920100004</v>
          </cell>
          <cell r="M188">
            <v>501.73266199073015</v>
          </cell>
          <cell r="N188">
            <v>534.34528502012756</v>
          </cell>
          <cell r="O188">
            <v>569.07772854643588</v>
          </cell>
          <cell r="P188">
            <v>606.06778090195405</v>
          </cell>
          <cell r="Q188">
            <v>645.4621866605811</v>
          </cell>
          <cell r="AE188">
            <v>655.56577849200005</v>
          </cell>
          <cell r="AF188">
            <v>620.47819148685733</v>
          </cell>
          <cell r="AG188">
            <v>696.23050514414263</v>
          </cell>
          <cell r="AH188">
            <v>-75.673260129000028</v>
          </cell>
          <cell r="AI188">
            <v>593.85810486499997</v>
          </cell>
          <cell r="AJ188">
            <v>218.12303151100002</v>
          </cell>
          <cell r="AK188">
            <v>310.31347039999991</v>
          </cell>
          <cell r="AL188">
            <v>315.53850264700009</v>
          </cell>
          <cell r="AM188">
            <v>243.084421948</v>
          </cell>
          <cell r="AN188">
            <v>197.26289387200001</v>
          </cell>
          <cell r="AO188">
            <v>197.653578837</v>
          </cell>
          <cell r="AP188">
            <v>194.42423545999998</v>
          </cell>
          <cell r="AQ188">
            <v>175.567875109</v>
          </cell>
          <cell r="AR188">
            <v>162.962107129</v>
          </cell>
          <cell r="AS188">
            <v>140.89295243499998</v>
          </cell>
          <cell r="AT188">
            <v>117.31508452800006</v>
          </cell>
          <cell r="AU188">
            <v>116.584330725</v>
          </cell>
          <cell r="AV188">
            <v>140.07937761683638</v>
          </cell>
          <cell r="AW188">
            <v>141.20451318002381</v>
          </cell>
          <cell r="AX188">
            <v>103.86444046886999</v>
          </cell>
          <cell r="AY188">
            <v>97.057522982114634</v>
          </cell>
          <cell r="AZ188">
            <v>97.843413856463741</v>
          </cell>
          <cell r="BA188">
            <v>98.629304730812834</v>
          </cell>
          <cell r="BB188">
            <v>240.81504345073631</v>
          </cell>
          <cell r="BC188">
            <v>252.88963346831144</v>
          </cell>
          <cell r="BD188">
            <v>254.93732280813583</v>
          </cell>
          <cell r="BE188">
            <v>256.98501214796022</v>
          </cell>
          <cell r="BF188">
            <v>-195.73423987797162</v>
          </cell>
          <cell r="BG188">
            <v>-203.51332202015737</v>
          </cell>
          <cell r="BH188">
            <v>-205.16120317011817</v>
          </cell>
          <cell r="BI188">
            <v>-206.80908432007897</v>
          </cell>
          <cell r="BJ188">
            <v>1221.5513904123086</v>
          </cell>
          <cell r="BK188">
            <v>1192.5817922207123</v>
          </cell>
          <cell r="BL188">
            <v>1202.2383249512443</v>
          </cell>
          <cell r="BM188">
            <v>1211.8948576817766</v>
          </cell>
          <cell r="BN188">
            <v>-2961.2527881931519</v>
          </cell>
        </row>
        <row r="189">
          <cell r="A189" t="str">
            <v xml:space="preserve">   Other revenue</v>
          </cell>
          <cell r="H189">
            <v>3400.6310887479999</v>
          </cell>
          <cell r="I189">
            <v>2496.0333506679999</v>
          </cell>
          <cell r="J189">
            <v>1994.4353678739997</v>
          </cell>
          <cell r="K189">
            <v>1897.2870116840002</v>
          </cell>
          <cell r="L189">
            <v>2106.6595581299998</v>
          </cell>
          <cell r="M189">
            <v>2200.3322237637326</v>
          </cell>
          <cell r="N189">
            <v>2343.3538183083756</v>
          </cell>
          <cell r="O189">
            <v>2495.67181649842</v>
          </cell>
          <cell r="P189">
            <v>2657.8904845708171</v>
          </cell>
          <cell r="Q189">
            <v>2830.6533660679197</v>
          </cell>
          <cell r="AE189">
            <v>730.63602746999993</v>
          </cell>
          <cell r="AF189">
            <v>612.92379602400013</v>
          </cell>
          <cell r="AG189">
            <v>535.3364703960001</v>
          </cell>
          <cell r="AH189">
            <v>617.13705677799976</v>
          </cell>
          <cell r="AI189">
            <v>527.94010668899989</v>
          </cell>
          <cell r="AJ189">
            <v>463.54862772900026</v>
          </cell>
          <cell r="AK189">
            <v>477.33160184300004</v>
          </cell>
          <cell r="AL189">
            <v>525.61503161299947</v>
          </cell>
          <cell r="AM189">
            <v>458.80775650499993</v>
          </cell>
          <cell r="AN189">
            <v>473.4896439490002</v>
          </cell>
          <cell r="AO189">
            <v>460.97234154899934</v>
          </cell>
          <cell r="AP189">
            <v>504.0172696810007</v>
          </cell>
          <cell r="AQ189">
            <v>501.72850489400008</v>
          </cell>
          <cell r="AR189">
            <v>529.83108124699993</v>
          </cell>
          <cell r="AS189">
            <v>533.69935835100011</v>
          </cell>
          <cell r="AT189">
            <v>541.40061363799975</v>
          </cell>
          <cell r="AU189">
            <v>516.73279267900011</v>
          </cell>
          <cell r="AV189">
            <v>532.7347789360249</v>
          </cell>
          <cell r="AW189">
            <v>537.01377314434649</v>
          </cell>
          <cell r="AX189">
            <v>613.8508790043611</v>
          </cell>
          <cell r="AY189">
            <v>613.73415554002565</v>
          </cell>
          <cell r="AZ189">
            <v>618.70366287233355</v>
          </cell>
          <cell r="BA189">
            <v>623.67317020464156</v>
          </cell>
          <cell r="BB189">
            <v>487.24282969137471</v>
          </cell>
          <cell r="BC189">
            <v>504.10350415776793</v>
          </cell>
          <cell r="BD189">
            <v>508.18531390803332</v>
          </cell>
          <cell r="BE189">
            <v>512.2671236582986</v>
          </cell>
          <cell r="BF189">
            <v>971.11587477432022</v>
          </cell>
          <cell r="BG189">
            <v>1009.7110135919319</v>
          </cell>
          <cell r="BH189">
            <v>1017.8868112728381</v>
          </cell>
          <cell r="BI189">
            <v>1026.0626089537445</v>
          </cell>
          <cell r="BJ189">
            <v>-395.76994924769724</v>
          </cell>
          <cell r="BK189">
            <v>-386.38410064893776</v>
          </cell>
          <cell r="BL189">
            <v>-389.51271684852429</v>
          </cell>
          <cell r="BM189">
            <v>-392.64133304811094</v>
          </cell>
          <cell r="BN189">
            <v>3999.1915166134927</v>
          </cell>
        </row>
        <row r="190">
          <cell r="A190" t="str">
            <v>Operating expenses</v>
          </cell>
          <cell r="H190">
            <v>2439.6186236009999</v>
          </cell>
          <cell r="I190">
            <v>2593.0075714750001</v>
          </cell>
          <cell r="J190">
            <v>1698.7087752350001</v>
          </cell>
          <cell r="K190">
            <v>1356.0185848840001</v>
          </cell>
          <cell r="L190">
            <v>1393.249190125</v>
          </cell>
          <cell r="M190">
            <v>1351.2267399484958</v>
          </cell>
          <cell r="N190">
            <v>1407.8939400697275</v>
          </cell>
          <cell r="O190">
            <v>1474.6813956000096</v>
          </cell>
          <cell r="P190">
            <v>1552.9231665684733</v>
          </cell>
          <cell r="Q190">
            <v>1638.8272282770195</v>
          </cell>
          <cell r="AE190">
            <v>654.87415488099998</v>
          </cell>
          <cell r="AF190">
            <v>610.74699420800005</v>
          </cell>
          <cell r="AG190">
            <v>641.97173513899997</v>
          </cell>
          <cell r="AH190">
            <v>685.41468724700007</v>
          </cell>
          <cell r="AI190">
            <v>478.606837025</v>
          </cell>
          <cell r="AJ190">
            <v>398.96007861999999</v>
          </cell>
          <cell r="AK190">
            <v>392.50340488092968</v>
          </cell>
          <cell r="AL190">
            <v>428.6384547090704</v>
          </cell>
          <cell r="AM190">
            <v>314.56119360899999</v>
          </cell>
          <cell r="AN190">
            <v>319.06418420900008</v>
          </cell>
          <cell r="AO190">
            <v>320.08751199499989</v>
          </cell>
          <cell r="AP190">
            <v>402.30569507100017</v>
          </cell>
          <cell r="AQ190">
            <v>353.36574320699998</v>
          </cell>
          <cell r="AR190">
            <v>336.139526698</v>
          </cell>
          <cell r="AS190">
            <v>325.70898270215025</v>
          </cell>
          <cell r="AT190">
            <v>378.03493751784981</v>
          </cell>
          <cell r="AU190">
            <v>331.43829403899997</v>
          </cell>
          <cell r="AV190">
            <v>336.45545824717544</v>
          </cell>
          <cell r="AW190">
            <v>339.15791172707242</v>
          </cell>
          <cell r="AX190">
            <v>344.17507593524789</v>
          </cell>
          <cell r="AY190">
            <v>347.74980319722266</v>
          </cell>
          <cell r="AZ190">
            <v>350.56559107736217</v>
          </cell>
          <cell r="BA190">
            <v>353.38137895750162</v>
          </cell>
          <cell r="BB190">
            <v>356.19716683764113</v>
          </cell>
          <cell r="BC190">
            <v>364.24630471320239</v>
          </cell>
          <cell r="BD190">
            <v>367.19566750440242</v>
          </cell>
          <cell r="BE190">
            <v>370.1450302956024</v>
          </cell>
          <cell r="BF190">
            <v>373.09439308680248</v>
          </cell>
          <cell r="BG190">
            <v>383.57202214241283</v>
          </cell>
          <cell r="BH190">
            <v>386.67786847554981</v>
          </cell>
          <cell r="BI190">
            <v>389.7837148086868</v>
          </cell>
          <cell r="BJ190">
            <v>392.88956114182372</v>
          </cell>
          <cell r="BK190">
            <v>383.57202214241283</v>
          </cell>
          <cell r="BL190">
            <v>386.67786847554981</v>
          </cell>
          <cell r="BM190">
            <v>389.7837148086868</v>
          </cell>
          <cell r="BN190">
            <v>478.79362285037007</v>
          </cell>
        </row>
        <row r="191">
          <cell r="A191" t="str">
            <v xml:space="preserve">   Interest expenses</v>
          </cell>
          <cell r="H191">
            <v>866.915562271</v>
          </cell>
          <cell r="I191">
            <v>1105.1195764879999</v>
          </cell>
          <cell r="J191">
            <v>736.30000774400003</v>
          </cell>
          <cell r="K191">
            <v>397.85756054400002</v>
          </cell>
          <cell r="L191">
            <v>325.96956768000001</v>
          </cell>
          <cell r="M191">
            <v>289.85391110095031</v>
          </cell>
          <cell r="N191">
            <v>253.04702608068973</v>
          </cell>
          <cell r="O191">
            <v>225.34213532191575</v>
          </cell>
          <cell r="P191">
            <v>208.5384460008105</v>
          </cell>
          <cell r="Q191">
            <v>195.243544779427</v>
          </cell>
          <cell r="AE191">
            <v>249.00295505400001</v>
          </cell>
          <cell r="AF191">
            <v>236.96825849500001</v>
          </cell>
          <cell r="AG191">
            <v>223.29431754400002</v>
          </cell>
          <cell r="AH191">
            <v>395.85404539499984</v>
          </cell>
          <cell r="AI191">
            <v>208.002661128</v>
          </cell>
          <cell r="AJ191">
            <v>196.129032994</v>
          </cell>
          <cell r="AK191">
            <v>175.79993669013913</v>
          </cell>
          <cell r="AL191">
            <v>156.36837693186089</v>
          </cell>
          <cell r="AM191">
            <v>115.494934122</v>
          </cell>
          <cell r="AN191">
            <v>97.64647944299999</v>
          </cell>
          <cell r="AO191">
            <v>92.43674818400001</v>
          </cell>
          <cell r="AP191">
            <v>92.27939879500002</v>
          </cell>
          <cell r="AQ191">
            <v>85.181193883000006</v>
          </cell>
          <cell r="AR191">
            <v>84.134670326000006</v>
          </cell>
          <cell r="AS191">
            <v>81.004171665000001</v>
          </cell>
          <cell r="AT191">
            <v>75.649531805999999</v>
          </cell>
          <cell r="AU191">
            <v>67.763388223999996</v>
          </cell>
          <cell r="AV191">
            <v>72.17362386413663</v>
          </cell>
          <cell r="AW191">
            <v>72.753331686338527</v>
          </cell>
          <cell r="AX191">
            <v>77.163567326475174</v>
          </cell>
          <cell r="AY191">
            <v>62.502615441930367</v>
          </cell>
          <cell r="AZ191">
            <v>63.008709494091747</v>
          </cell>
          <cell r="BA191">
            <v>63.51480354625312</v>
          </cell>
          <cell r="BB191">
            <v>64.020897598414507</v>
          </cell>
          <cell r="BC191">
            <v>55.659507424513187</v>
          </cell>
          <cell r="BD191">
            <v>56.11019169515702</v>
          </cell>
          <cell r="BE191">
            <v>56.560875965800854</v>
          </cell>
          <cell r="BF191">
            <v>57.011560236444694</v>
          </cell>
          <cell r="BG191">
            <v>51.508996162200191</v>
          </cell>
          <cell r="BH191">
            <v>51.926073054201815</v>
          </cell>
          <cell r="BI191">
            <v>52.343149946203432</v>
          </cell>
          <cell r="BJ191">
            <v>52.760226838205057</v>
          </cell>
          <cell r="BK191">
            <v>51.508996162200191</v>
          </cell>
          <cell r="BL191">
            <v>51.926073054201815</v>
          </cell>
          <cell r="BM191">
            <v>52.343149946203432</v>
          </cell>
          <cell r="BN191">
            <v>39.465325616821559</v>
          </cell>
        </row>
        <row r="192">
          <cell r="A192" t="str">
            <v xml:space="preserve">   SG&amp;A</v>
          </cell>
          <cell r="H192">
            <v>1572.7030613300001</v>
          </cell>
          <cell r="I192">
            <v>1487.887994987</v>
          </cell>
          <cell r="J192">
            <v>962.40876749100005</v>
          </cell>
          <cell r="K192">
            <v>958.16102434000004</v>
          </cell>
          <cell r="L192">
            <v>1067.2796224450001</v>
          </cell>
          <cell r="M192">
            <v>1061.3728288475454</v>
          </cell>
          <cell r="N192">
            <v>1154.8469139890378</v>
          </cell>
          <cell r="O192">
            <v>1249.3392602780939</v>
          </cell>
          <cell r="P192">
            <v>1344.3847205676627</v>
          </cell>
          <cell r="Q192">
            <v>1443.5836834975926</v>
          </cell>
          <cell r="AE192">
            <v>405.871199827</v>
          </cell>
          <cell r="AF192">
            <v>373.778735713</v>
          </cell>
          <cell r="AG192">
            <v>418.67741759500007</v>
          </cell>
          <cell r="AH192">
            <v>289.56064185199989</v>
          </cell>
          <cell r="AI192">
            <v>270.604175897</v>
          </cell>
          <cell r="AJ192">
            <v>202.83104562599999</v>
          </cell>
          <cell r="AK192">
            <v>216.70346819079066</v>
          </cell>
          <cell r="AL192">
            <v>272.27007777720939</v>
          </cell>
          <cell r="AM192">
            <v>199.066259487</v>
          </cell>
          <cell r="AN192">
            <v>221.41770476600001</v>
          </cell>
          <cell r="AO192">
            <v>227.65076381099999</v>
          </cell>
          <cell r="AP192">
            <v>310.02629627600004</v>
          </cell>
          <cell r="AQ192">
            <v>268.18454932399999</v>
          </cell>
          <cell r="AR192">
            <v>252.00485637200001</v>
          </cell>
          <cell r="AS192">
            <v>244.70481103715019</v>
          </cell>
          <cell r="AT192">
            <v>302.3854057118499</v>
          </cell>
          <cell r="AU192">
            <v>263.67490581499999</v>
          </cell>
          <cell r="AV192">
            <v>264.28183438303881</v>
          </cell>
          <cell r="AW192">
            <v>266.40458004073389</v>
          </cell>
          <cell r="AX192">
            <v>267.01150860877271</v>
          </cell>
          <cell r="AY192">
            <v>285.24718775529232</v>
          </cell>
          <cell r="AZ192">
            <v>287.55688158327041</v>
          </cell>
          <cell r="BA192">
            <v>289.8665754112485</v>
          </cell>
          <cell r="BB192">
            <v>292.1762692392266</v>
          </cell>
          <cell r="BC192">
            <v>308.58679728868918</v>
          </cell>
          <cell r="BD192">
            <v>311.08547580924539</v>
          </cell>
          <cell r="BE192">
            <v>313.58415432980155</v>
          </cell>
          <cell r="BF192">
            <v>316.08283285035782</v>
          </cell>
          <cell r="BG192">
            <v>332.06302598021267</v>
          </cell>
          <cell r="BH192">
            <v>334.75179542134799</v>
          </cell>
          <cell r="BI192">
            <v>337.44056486248337</v>
          </cell>
          <cell r="BJ192">
            <v>340.12933430361863</v>
          </cell>
          <cell r="BK192">
            <v>332.06302598021267</v>
          </cell>
          <cell r="BL192">
            <v>334.75179542134799</v>
          </cell>
          <cell r="BM192">
            <v>337.44056486248337</v>
          </cell>
          <cell r="BN192">
            <v>439.32829723354848</v>
          </cell>
        </row>
        <row r="193">
          <cell r="A193" t="str">
            <v>Provisioning expenses</v>
          </cell>
          <cell r="H193">
            <v>2697.4574824249999</v>
          </cell>
          <cell r="I193">
            <v>7134.3511772840002</v>
          </cell>
          <cell r="J193">
            <v>2580.442989316</v>
          </cell>
          <cell r="K193">
            <v>125.259430991</v>
          </cell>
          <cell r="L193">
            <v>118.966112426406</v>
          </cell>
          <cell r="M193">
            <v>307.91599786723259</v>
          </cell>
          <cell r="N193">
            <v>459.1027528200438</v>
          </cell>
          <cell r="O193">
            <v>488.94443175334663</v>
          </cell>
          <cell r="P193">
            <v>595.11522264835889</v>
          </cell>
          <cell r="Q193">
            <v>633.7977121205023</v>
          </cell>
          <cell r="AE193">
            <v>1108.4421188660001</v>
          </cell>
          <cell r="AF193">
            <v>993.23341886000003</v>
          </cell>
          <cell r="AG193">
            <v>807.68133218999992</v>
          </cell>
          <cell r="AH193">
            <v>4224.9943073680006</v>
          </cell>
          <cell r="AI193">
            <v>1259.2513831450001</v>
          </cell>
          <cell r="AJ193">
            <v>700.84298572900002</v>
          </cell>
          <cell r="AK193">
            <v>465.05056284299985</v>
          </cell>
          <cell r="AL193">
            <v>155.298057599</v>
          </cell>
          <cell r="AM193">
            <v>94.592368898999993</v>
          </cell>
          <cell r="AN193">
            <v>-3.2828218049999975</v>
          </cell>
          <cell r="AO193">
            <v>-22.769618886663352</v>
          </cell>
          <cell r="AP193">
            <v>56.719502783663359</v>
          </cell>
          <cell r="AQ193">
            <v>-18.211236221</v>
          </cell>
          <cell r="AR193">
            <v>70.375085078313106</v>
          </cell>
          <cell r="AS193">
            <v>61.564521177686885</v>
          </cell>
          <cell r="AT193">
            <v>5.2377423914060017</v>
          </cell>
          <cell r="AU193">
            <v>0</v>
          </cell>
          <cell r="AV193">
            <v>76.671083468940921</v>
          </cell>
          <cell r="AW193">
            <v>77.286915464675374</v>
          </cell>
          <cell r="AX193">
            <v>153.9579989336163</v>
          </cell>
          <cell r="AY193">
            <v>113.39837994655082</v>
          </cell>
          <cell r="AZ193">
            <v>114.31658545219091</v>
          </cell>
          <cell r="BA193">
            <v>115.234790957831</v>
          </cell>
          <cell r="BB193">
            <v>116.15299646347108</v>
          </cell>
          <cell r="BC193">
            <v>120.76927464307661</v>
          </cell>
          <cell r="BD193">
            <v>121.74716350658331</v>
          </cell>
          <cell r="BE193">
            <v>122.72505237009001</v>
          </cell>
          <cell r="BF193">
            <v>123.70294123359673</v>
          </cell>
          <cell r="BG193">
            <v>146.99345999414464</v>
          </cell>
          <cell r="BH193">
            <v>148.18369043944136</v>
          </cell>
          <cell r="BI193">
            <v>149.37392088473808</v>
          </cell>
          <cell r="BJ193">
            <v>150.5641513300348</v>
          </cell>
          <cell r="BK193">
            <v>146.99345999414464</v>
          </cell>
          <cell r="BL193">
            <v>148.18369043944136</v>
          </cell>
          <cell r="BM193">
            <v>149.37392088473808</v>
          </cell>
          <cell r="BN193">
            <v>189.24664080217821</v>
          </cell>
        </row>
        <row r="194">
          <cell r="A194" t="str">
            <v>Operating profits</v>
          </cell>
          <cell r="H194">
            <v>494.07763048900006</v>
          </cell>
          <cell r="I194">
            <v>-5334.7241830970006</v>
          </cell>
          <cell r="J194">
            <v>-846.88328725400038</v>
          </cell>
          <cell r="K194">
            <v>1248.434125926</v>
          </cell>
          <cell r="L194">
            <v>1191.1822747795939</v>
          </cell>
          <cell r="M194">
            <v>1042.9221479387345</v>
          </cell>
          <cell r="N194">
            <v>1010.7024104387317</v>
          </cell>
          <cell r="O194">
            <v>1101.1237176914997</v>
          </cell>
          <cell r="P194">
            <v>1115.9198762559388</v>
          </cell>
          <cell r="Q194">
            <v>1203.4906123309793</v>
          </cell>
          <cell r="AE194">
            <v>-377.1144677850001</v>
          </cell>
          <cell r="AF194">
            <v>-370.57842555714262</v>
          </cell>
          <cell r="AG194">
            <v>-218.08609178885717</v>
          </cell>
          <cell r="AH194">
            <v>-4368.9451979660007</v>
          </cell>
          <cell r="AI194">
            <v>-616.06000861600023</v>
          </cell>
          <cell r="AJ194">
            <v>-418.13140510899984</v>
          </cell>
          <cell r="AK194">
            <v>-69.908895480929459</v>
          </cell>
          <cell r="AL194">
            <v>257.21702195192915</v>
          </cell>
          <cell r="AM194">
            <v>292.73861594499994</v>
          </cell>
          <cell r="AN194">
            <v>354.9711754170001</v>
          </cell>
          <cell r="AO194">
            <v>361.30802727766297</v>
          </cell>
          <cell r="AP194">
            <v>239.41630728633697</v>
          </cell>
          <cell r="AQ194">
            <v>342.14187301700008</v>
          </cell>
          <cell r="AR194">
            <v>286.27857659968674</v>
          </cell>
          <cell r="AS194">
            <v>287.31880690616299</v>
          </cell>
          <cell r="AT194">
            <v>275.44301825674398</v>
          </cell>
          <cell r="AU194">
            <v>301.87882936500012</v>
          </cell>
          <cell r="AV194">
            <v>259.6876148367449</v>
          </cell>
          <cell r="AW194">
            <v>261.77345913262252</v>
          </cell>
          <cell r="AX194">
            <v>219.5822446043673</v>
          </cell>
          <cell r="AY194">
            <v>249.64349537836679</v>
          </cell>
          <cell r="AZ194">
            <v>251.66490019924419</v>
          </cell>
          <cell r="BA194">
            <v>253.68630502012175</v>
          </cell>
          <cell r="BB194">
            <v>255.7077098409988</v>
          </cell>
          <cell r="BC194">
            <v>271.9775582698004</v>
          </cell>
          <cell r="BD194">
            <v>274.17980570518341</v>
          </cell>
          <cell r="BE194">
            <v>276.38205314056643</v>
          </cell>
          <cell r="BF194">
            <v>278.5843005759495</v>
          </cell>
          <cell r="BG194">
            <v>275.63220943521702</v>
          </cell>
          <cell r="BH194">
            <v>277.86404918772882</v>
          </cell>
          <cell r="BI194">
            <v>280.09588894024074</v>
          </cell>
          <cell r="BJ194">
            <v>282.32772869275249</v>
          </cell>
          <cell r="BK194">
            <v>275.63220943521702</v>
          </cell>
          <cell r="BL194">
            <v>277.86404918772882</v>
          </cell>
          <cell r="BM194">
            <v>280.09588894024074</v>
          </cell>
          <cell r="BN194">
            <v>369.89846476779252</v>
          </cell>
        </row>
        <row r="195">
          <cell r="A195" t="str">
            <v>Net non-op income</v>
          </cell>
          <cell r="H195">
            <v>6.9539340109999443</v>
          </cell>
          <cell r="I195">
            <v>-238.36101234099999</v>
          </cell>
          <cell r="J195">
            <v>53.344025035000001</v>
          </cell>
          <cell r="K195">
            <v>114.639048867</v>
          </cell>
          <cell r="L195">
            <v>-4.4052661692749025E-2</v>
          </cell>
          <cell r="M195">
            <v>127.15864395674907</v>
          </cell>
          <cell r="N195">
            <v>169.84752538423777</v>
          </cell>
          <cell r="O195">
            <v>112.47913377968803</v>
          </cell>
          <cell r="P195">
            <v>115.35299818894123</v>
          </cell>
          <cell r="Q195">
            <v>-1.4604686541645151</v>
          </cell>
          <cell r="AE195">
            <v>-23.53841091</v>
          </cell>
          <cell r="AF195">
            <v>8.2456145539999994</v>
          </cell>
          <cell r="AG195">
            <v>-51.863796805000007</v>
          </cell>
          <cell r="AH195">
            <v>-171.20441918</v>
          </cell>
          <cell r="AI195">
            <v>69.820089715999998</v>
          </cell>
          <cell r="AJ195">
            <v>-63.553354689323101</v>
          </cell>
          <cell r="AK195">
            <v>-21.493838811676895</v>
          </cell>
          <cell r="AL195">
            <v>68.571128819999998</v>
          </cell>
          <cell r="AM195">
            <v>-0.967728959</v>
          </cell>
          <cell r="AN195">
            <v>124.820539842</v>
          </cell>
          <cell r="AO195">
            <v>2.0853736480000009</v>
          </cell>
          <cell r="AP195">
            <v>-11.299135664000005</v>
          </cell>
          <cell r="AQ195">
            <v>11.43453465</v>
          </cell>
          <cell r="AR195">
            <v>0.70938428800000075</v>
          </cell>
          <cell r="AS195">
            <v>18.804677622</v>
          </cell>
          <cell r="AT195">
            <v>-30.992649221692748</v>
          </cell>
          <cell r="AU195">
            <v>43.540123170000001</v>
          </cell>
          <cell r="AV195">
            <v>31.662502345230518</v>
          </cell>
          <cell r="AW195">
            <v>31.916819633144019</v>
          </cell>
          <cell r="AX195">
            <v>20.039198808374536</v>
          </cell>
          <cell r="AY195">
            <v>41.952338769906731</v>
          </cell>
          <cell r="AZ195">
            <v>42.292033820675208</v>
          </cell>
          <cell r="BA195">
            <v>42.631728871443677</v>
          </cell>
          <cell r="BB195">
            <v>42.971423922212153</v>
          </cell>
          <cell r="BC195">
            <v>27.782346043582944</v>
          </cell>
          <cell r="BD195">
            <v>28.00730431114232</v>
          </cell>
          <cell r="BE195">
            <v>28.232262578701693</v>
          </cell>
          <cell r="BF195">
            <v>28.457220846261066</v>
          </cell>
          <cell r="BG195">
            <v>28.492190552668482</v>
          </cell>
          <cell r="BH195">
            <v>28.722896549046364</v>
          </cell>
          <cell r="BI195">
            <v>28.95360254542425</v>
          </cell>
          <cell r="BJ195">
            <v>29.184308541802139</v>
          </cell>
          <cell r="BK195">
            <v>28.492190552668482</v>
          </cell>
          <cell r="BL195">
            <v>28.722896549046364</v>
          </cell>
          <cell r="BM195">
            <v>28.95360254542425</v>
          </cell>
          <cell r="BN195">
            <v>-87.629158301303605</v>
          </cell>
        </row>
        <row r="196">
          <cell r="A196" t="str">
            <v>Pretax profits</v>
          </cell>
          <cell r="H196">
            <v>501.0315645</v>
          </cell>
          <cell r="I196">
            <v>-5556.9521903970008</v>
          </cell>
          <cell r="J196">
            <v>-81.600473410000404</v>
          </cell>
          <cell r="K196">
            <v>1363.0731747929999</v>
          </cell>
          <cell r="L196">
            <v>1191.138222117901</v>
          </cell>
          <cell r="M196">
            <v>1170.0807918954836</v>
          </cell>
          <cell r="N196">
            <v>1180.5499358229695</v>
          </cell>
          <cell r="O196">
            <v>1213.6028514711877</v>
          </cell>
          <cell r="P196">
            <v>1231.27287444488</v>
          </cell>
          <cell r="Q196">
            <v>1202.0301436768148</v>
          </cell>
          <cell r="AE196">
            <v>-384.51987365400009</v>
          </cell>
          <cell r="AF196">
            <v>-362.33281100314264</v>
          </cell>
          <cell r="AG196">
            <v>-269.94988859385717</v>
          </cell>
          <cell r="AH196">
            <v>-4540.1496171460012</v>
          </cell>
          <cell r="AI196">
            <v>121.08402371299974</v>
          </cell>
          <cell r="AJ196">
            <v>-481.68475979832283</v>
          </cell>
          <cell r="AK196">
            <v>-46.78788809660648</v>
          </cell>
          <cell r="AL196">
            <v>325.78815077192917</v>
          </cell>
          <cell r="AM196">
            <v>291.77088698599994</v>
          </cell>
          <cell r="AN196">
            <v>479.79171525900006</v>
          </cell>
          <cell r="AO196">
            <v>363.39340092566306</v>
          </cell>
          <cell r="AP196">
            <v>228.11717162233685</v>
          </cell>
          <cell r="AQ196">
            <v>353.57640766700013</v>
          </cell>
          <cell r="AR196">
            <v>286.98796088768665</v>
          </cell>
          <cell r="AS196">
            <v>306.12348452816309</v>
          </cell>
          <cell r="AT196">
            <v>244.45036903505115</v>
          </cell>
          <cell r="AU196">
            <v>345.41895253500013</v>
          </cell>
          <cell r="AV196">
            <v>291.35011718197541</v>
          </cell>
          <cell r="AW196">
            <v>293.69027876576655</v>
          </cell>
          <cell r="AX196">
            <v>239.62144341274183</v>
          </cell>
          <cell r="AY196">
            <v>291.59583414827352</v>
          </cell>
          <cell r="AZ196">
            <v>293.9569340199194</v>
          </cell>
          <cell r="BA196">
            <v>296.31803389156545</v>
          </cell>
          <cell r="BB196">
            <v>298.67913376321098</v>
          </cell>
          <cell r="BC196">
            <v>299.75990431338334</v>
          </cell>
          <cell r="BD196">
            <v>302.18711001632573</v>
          </cell>
          <cell r="BE196">
            <v>304.61431571926812</v>
          </cell>
          <cell r="BF196">
            <v>307.04152142221056</v>
          </cell>
          <cell r="BG196">
            <v>304.12439998788551</v>
          </cell>
          <cell r="BH196">
            <v>306.58694573677519</v>
          </cell>
          <cell r="BI196">
            <v>309.04949148566499</v>
          </cell>
          <cell r="BJ196">
            <v>311.51203723455461</v>
          </cell>
          <cell r="BK196">
            <v>304.12439998788551</v>
          </cell>
          <cell r="BL196">
            <v>306.58694573677519</v>
          </cell>
          <cell r="BM196">
            <v>309.04949148566499</v>
          </cell>
          <cell r="BN196">
            <v>282.2693064664889</v>
          </cell>
        </row>
        <row r="197">
          <cell r="A197" t="str">
            <v xml:space="preserve">   Income taxes</v>
          </cell>
          <cell r="H197">
            <v>150.63719141000001</v>
          </cell>
          <cell r="I197">
            <v>0</v>
          </cell>
          <cell r="J197">
            <v>0</v>
          </cell>
          <cell r="K197">
            <v>0</v>
          </cell>
          <cell r="L197">
            <v>-2.5410259009999998</v>
          </cell>
          <cell r="M197">
            <v>0</v>
          </cell>
          <cell r="N197">
            <v>0</v>
          </cell>
          <cell r="O197">
            <v>305.56319250068691</v>
          </cell>
          <cell r="P197">
            <v>338.60004047234219</v>
          </cell>
          <cell r="Q197">
            <v>330.55828951112409</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-2.5410259009999998</v>
          </cell>
          <cell r="AT197">
            <v>0</v>
          </cell>
          <cell r="AU197">
            <v>-519.98051612200004</v>
          </cell>
          <cell r="AV197">
            <v>0</v>
          </cell>
          <cell r="AW197">
            <v>0</v>
          </cell>
          <cell r="AX197">
            <v>519.98051612200004</v>
          </cell>
          <cell r="AY197">
            <v>0</v>
          </cell>
          <cell r="AZ197">
            <v>0</v>
          </cell>
          <cell r="BA197">
            <v>0</v>
          </cell>
          <cell r="BB197">
            <v>0</v>
          </cell>
          <cell r="BC197">
            <v>43.568330025642766</v>
          </cell>
          <cell r="BD197">
            <v>83.101455254489579</v>
          </cell>
          <cell r="BE197">
            <v>83.768936822798736</v>
          </cell>
          <cell r="BF197">
            <v>95.124470397755829</v>
          </cell>
          <cell r="BG197">
            <v>83.634209996668488</v>
          </cell>
          <cell r="BH197">
            <v>84.311410077613218</v>
          </cell>
          <cell r="BI197">
            <v>84.988610158557861</v>
          </cell>
          <cell r="BJ197">
            <v>85.665810239502633</v>
          </cell>
          <cell r="BK197">
            <v>83.634209996668488</v>
          </cell>
          <cell r="BL197">
            <v>84.311410077613218</v>
          </cell>
          <cell r="BM197">
            <v>84.988610158557861</v>
          </cell>
          <cell r="BN197">
            <v>77.624059278284534</v>
          </cell>
        </row>
        <row r="198">
          <cell r="A198" t="str">
            <v>Net profits</v>
          </cell>
          <cell r="H198">
            <v>350.39437308999999</v>
          </cell>
          <cell r="I198">
            <v>-5598.8110330510008</v>
          </cell>
          <cell r="J198">
            <v>-81.600473410000404</v>
          </cell>
          <cell r="K198">
            <v>1363.0731747929999</v>
          </cell>
          <cell r="L198">
            <v>1193.679248018901</v>
          </cell>
          <cell r="M198">
            <v>1170.0807918954836</v>
          </cell>
          <cell r="N198">
            <v>1180.5499358229695</v>
          </cell>
          <cell r="O198">
            <v>908.0396589705008</v>
          </cell>
          <cell r="P198">
            <v>892.67283397253777</v>
          </cell>
          <cell r="Q198">
            <v>871.47185416569073</v>
          </cell>
          <cell r="AE198">
            <v>-384.51987365400009</v>
          </cell>
          <cell r="AF198">
            <v>-362.33281100314264</v>
          </cell>
          <cell r="AG198">
            <v>-269.94988859385717</v>
          </cell>
          <cell r="AH198">
            <v>-4582.0084598000012</v>
          </cell>
          <cell r="AI198">
            <v>121.08402371299974</v>
          </cell>
          <cell r="AJ198">
            <v>-481.68475979832283</v>
          </cell>
          <cell r="AK198">
            <v>-46.78788809660648</v>
          </cell>
          <cell r="AL198">
            <v>325.78815077192917</v>
          </cell>
          <cell r="AM198">
            <v>291.77088698599994</v>
          </cell>
          <cell r="AN198">
            <v>479.79171525900006</v>
          </cell>
          <cell r="AO198">
            <v>363.39340092566306</v>
          </cell>
          <cell r="AP198">
            <v>228.11717162233685</v>
          </cell>
          <cell r="AQ198">
            <v>353.57640766700013</v>
          </cell>
          <cell r="AR198">
            <v>286.98796088768665</v>
          </cell>
          <cell r="AS198">
            <v>308.6645104291631</v>
          </cell>
          <cell r="AT198">
            <v>244.45036903505115</v>
          </cell>
          <cell r="AU198">
            <v>865.39946865700017</v>
          </cell>
          <cell r="AV198">
            <v>291.35011718197541</v>
          </cell>
          <cell r="AW198">
            <v>293.69027876576655</v>
          </cell>
          <cell r="AX198">
            <v>-280.35907270925821</v>
          </cell>
          <cell r="AY198">
            <v>291.59583414827352</v>
          </cell>
          <cell r="AZ198">
            <v>293.9569340199194</v>
          </cell>
          <cell r="BA198">
            <v>296.31803389156545</v>
          </cell>
          <cell r="BB198">
            <v>298.67913376321098</v>
          </cell>
          <cell r="BC198">
            <v>256.19157428774059</v>
          </cell>
          <cell r="BD198">
            <v>219.08565476183617</v>
          </cell>
          <cell r="BE198">
            <v>220.84537889646938</v>
          </cell>
          <cell r="BF198">
            <v>211.91705102445474</v>
          </cell>
          <cell r="BG198">
            <v>220.49018999121702</v>
          </cell>
          <cell r="BH198">
            <v>222.27553565916196</v>
          </cell>
          <cell r="BI198">
            <v>224.06088132710713</v>
          </cell>
          <cell r="BJ198">
            <v>225.84622699505198</v>
          </cell>
          <cell r="BK198">
            <v>220.49018999121702</v>
          </cell>
          <cell r="BL198">
            <v>222.27553565916196</v>
          </cell>
          <cell r="BM198">
            <v>224.06088132710713</v>
          </cell>
          <cell r="BN198">
            <v>204.64524718820437</v>
          </cell>
        </row>
        <row r="200">
          <cell r="A200" t="str">
            <v>Income statement (Adjusted)</v>
          </cell>
          <cell r="AU200">
            <v>0.247</v>
          </cell>
          <cell r="AV200">
            <v>0.249</v>
          </cell>
          <cell r="AW200">
            <v>0.251</v>
          </cell>
          <cell r="AX200">
            <v>0.253</v>
          </cell>
          <cell r="AY200">
            <v>0.247</v>
          </cell>
          <cell r="AZ200">
            <v>0.249</v>
          </cell>
          <cell r="BA200">
            <v>0.251</v>
          </cell>
          <cell r="BB200">
            <v>0.253</v>
          </cell>
          <cell r="BC200">
            <v>0.247</v>
          </cell>
          <cell r="BD200">
            <v>0.249</v>
          </cell>
          <cell r="BE200">
            <v>0.251</v>
          </cell>
          <cell r="BF200">
            <v>0.253</v>
          </cell>
          <cell r="BG200">
            <v>0.247</v>
          </cell>
          <cell r="BH200">
            <v>0.249</v>
          </cell>
          <cell r="BI200">
            <v>0.251</v>
          </cell>
          <cell r="BJ200">
            <v>0.253</v>
          </cell>
          <cell r="BK200">
            <v>0.247</v>
          </cell>
          <cell r="BL200">
            <v>0.249</v>
          </cell>
          <cell r="BM200">
            <v>0.251</v>
          </cell>
          <cell r="BN200">
            <v>0.253</v>
          </cell>
        </row>
        <row r="201">
          <cell r="A201" t="str">
            <v>Net interest income</v>
          </cell>
          <cell r="H201">
            <v>2466.328781235</v>
          </cell>
          <cell r="I201">
            <v>1295.5570329789998</v>
          </cell>
          <cell r="J201">
            <v>1096.2485332249998</v>
          </cell>
          <cell r="K201">
            <v>1258.873010435</v>
          </cell>
          <cell r="L201">
            <v>1586.3900235169999</v>
          </cell>
          <cell r="M201">
            <v>1673.2125797721546</v>
          </cell>
          <cell r="N201">
            <v>1837.6187866991672</v>
          </cell>
          <cell r="O201">
            <v>2001.2169552886319</v>
          </cell>
          <cell r="P201">
            <v>2162.7469854994224</v>
          </cell>
          <cell r="Q201">
            <v>2330.1754397683208</v>
          </cell>
          <cell r="AE201">
            <v>423.78943630499998</v>
          </cell>
          <cell r="AF201">
            <v>369.22774891500001</v>
          </cell>
          <cell r="AG201">
            <v>291.60989857899995</v>
          </cell>
          <cell r="AH201">
            <v>210.92994917999988</v>
          </cell>
          <cell r="AI201">
            <v>294.37467453300002</v>
          </cell>
          <cell r="AJ201">
            <v>255.00410349200007</v>
          </cell>
          <cell r="AK201">
            <v>287.02713966686088</v>
          </cell>
          <cell r="AL201">
            <v>259.84261553313877</v>
          </cell>
          <cell r="AM201">
            <v>282.76668578499994</v>
          </cell>
          <cell r="AN201">
            <v>315.89966258100003</v>
          </cell>
          <cell r="AO201">
            <v>306.43041332099978</v>
          </cell>
          <cell r="AP201">
            <v>353.77624874800028</v>
          </cell>
          <cell r="AQ201">
            <v>366.76667728699999</v>
          </cell>
          <cell r="AR201">
            <v>394.23812477599995</v>
          </cell>
          <cell r="AS201">
            <v>405.89680904700009</v>
          </cell>
          <cell r="AT201">
            <v>419.48841240699983</v>
          </cell>
          <cell r="AU201">
            <v>412.40661923600004</v>
          </cell>
          <cell r="AV201">
            <v>416.62993236326651</v>
          </cell>
          <cell r="AW201">
            <v>419.97635752281087</v>
          </cell>
          <cell r="AX201">
            <v>424.19967065007728</v>
          </cell>
          <cell r="AY201">
            <v>453.89184031469432</v>
          </cell>
          <cell r="AZ201">
            <v>457.56707788809257</v>
          </cell>
          <cell r="BA201">
            <v>461.24231546149099</v>
          </cell>
          <cell r="BB201">
            <v>464.91755303488901</v>
          </cell>
          <cell r="BC201">
            <v>494.30058795629202</v>
          </cell>
          <cell r="BD201">
            <v>498.30302186686936</v>
          </cell>
          <cell r="BE201">
            <v>502.30545577744658</v>
          </cell>
          <cell r="BF201">
            <v>506.30788968802403</v>
          </cell>
          <cell r="BG201">
            <v>534.19850541835729</v>
          </cell>
          <cell r="BH201">
            <v>538.52399938935616</v>
          </cell>
          <cell r="BI201">
            <v>542.84949336035504</v>
          </cell>
          <cell r="BJ201">
            <v>547.17498733135369</v>
          </cell>
          <cell r="BK201">
            <v>534.19850541835729</v>
          </cell>
          <cell r="BL201">
            <v>538.52399938935616</v>
          </cell>
          <cell r="BM201">
            <v>542.84949336035504</v>
          </cell>
          <cell r="BN201">
            <v>714.60344160025204</v>
          </cell>
        </row>
        <row r="202">
          <cell r="A202" t="str">
            <v xml:space="preserve">   Interest income</v>
          </cell>
          <cell r="H202">
            <v>3333.244343506</v>
          </cell>
          <cell r="I202">
            <v>2400.6766094669997</v>
          </cell>
          <cell r="J202">
            <v>1832.5485409689998</v>
          </cell>
          <cell r="K202">
            <v>1656.730570979</v>
          </cell>
          <cell r="L202">
            <v>1912.3595911969999</v>
          </cell>
          <cell r="M202">
            <v>1963.0664908731051</v>
          </cell>
          <cell r="N202">
            <v>2090.6658127798569</v>
          </cell>
          <cell r="O202">
            <v>2226.5590906105476</v>
          </cell>
          <cell r="P202">
            <v>2371.2854315002328</v>
          </cell>
          <cell r="Q202">
            <v>2525.4189845477476</v>
          </cell>
          <cell r="AE202">
            <v>672.79239135900002</v>
          </cell>
          <cell r="AF202">
            <v>606.19600740999999</v>
          </cell>
          <cell r="AG202">
            <v>514.90421612299997</v>
          </cell>
          <cell r="AH202">
            <v>606.78399457499972</v>
          </cell>
          <cell r="AI202">
            <v>502.37733566100002</v>
          </cell>
          <cell r="AJ202">
            <v>451.13313648600007</v>
          </cell>
          <cell r="AK202">
            <v>462.82707635700001</v>
          </cell>
          <cell r="AL202">
            <v>416.21099246499966</v>
          </cell>
          <cell r="AM202">
            <v>398.26161990699995</v>
          </cell>
          <cell r="AN202">
            <v>413.54614202400001</v>
          </cell>
          <cell r="AO202">
            <v>398.86716150499979</v>
          </cell>
          <cell r="AP202">
            <v>446.0556475430003</v>
          </cell>
          <cell r="AQ202">
            <v>451.94787116999998</v>
          </cell>
          <cell r="AR202">
            <v>478.37279510199994</v>
          </cell>
          <cell r="AS202">
            <v>486.90098071200009</v>
          </cell>
          <cell r="AT202">
            <v>495.13794421299986</v>
          </cell>
          <cell r="AU202">
            <v>480.17000746000002</v>
          </cell>
          <cell r="AV202">
            <v>488.80355622740313</v>
          </cell>
          <cell r="AW202">
            <v>492.7296892091494</v>
          </cell>
          <cell r="AX202">
            <v>501.36323797655245</v>
          </cell>
          <cell r="AY202">
            <v>516.39445575662467</v>
          </cell>
          <cell r="AZ202">
            <v>520.57578738218433</v>
          </cell>
          <cell r="BA202">
            <v>524.75711900774411</v>
          </cell>
          <cell r="BB202">
            <v>528.93845063330355</v>
          </cell>
          <cell r="BC202">
            <v>549.96009538080523</v>
          </cell>
          <cell r="BD202">
            <v>554.41321356202639</v>
          </cell>
          <cell r="BE202">
            <v>558.86633174324743</v>
          </cell>
          <cell r="BF202">
            <v>563.3194499244687</v>
          </cell>
          <cell r="BG202">
            <v>585.7075015805575</v>
          </cell>
          <cell r="BH202">
            <v>590.45007244355793</v>
          </cell>
          <cell r="BI202">
            <v>595.19264330655847</v>
          </cell>
          <cell r="BJ202">
            <v>599.93521416955878</v>
          </cell>
          <cell r="BK202">
            <v>585.7075015805575</v>
          </cell>
          <cell r="BL202">
            <v>590.45007244355793</v>
          </cell>
          <cell r="BM202">
            <v>595.19264330655847</v>
          </cell>
          <cell r="BN202">
            <v>754.06876721707363</v>
          </cell>
        </row>
        <row r="203">
          <cell r="A203" t="str">
            <v xml:space="preserve">      as % avg. IEA</v>
          </cell>
          <cell r="H203">
            <v>0.22705022369048625</v>
          </cell>
          <cell r="I203">
            <v>0.17767155226364328</v>
          </cell>
          <cell r="J203">
            <v>0.18065838994200234</v>
          </cell>
          <cell r="K203">
            <v>0.20403404621440149</v>
          </cell>
          <cell r="L203">
            <v>0.22045629804518035</v>
          </cell>
          <cell r="M203">
            <v>0.21</v>
          </cell>
          <cell r="N203">
            <v>0.21000000000000002</v>
          </cell>
          <cell r="O203">
            <v>0.21000000000000002</v>
          </cell>
          <cell r="P203">
            <v>0.21</v>
          </cell>
          <cell r="Q203">
            <v>0.21</v>
          </cell>
          <cell r="Y203">
            <v>0.21</v>
          </cell>
          <cell r="AE203">
            <v>0.18612002627548649</v>
          </cell>
          <cell r="AF203">
            <v>0.18730513133242233</v>
          </cell>
          <cell r="AG203">
            <v>0.19088447319919208</v>
          </cell>
          <cell r="AH203">
            <v>0.21797791080514689</v>
          </cell>
          <cell r="AI203">
            <v>0.16521480712007197</v>
          </cell>
          <cell r="AJ203">
            <v>0.16131009724312503</v>
          </cell>
          <cell r="AK203">
            <v>0.18244135539345419</v>
          </cell>
          <cell r="AL203">
            <v>0.18655163474800746</v>
          </cell>
          <cell r="AM203">
            <v>0.20158889321833359</v>
          </cell>
          <cell r="AN203">
            <v>0.2022229231102193</v>
          </cell>
          <cell r="AO203">
            <v>0.18926801532817616</v>
          </cell>
          <cell r="AP203">
            <v>0.21425243378647418</v>
          </cell>
          <cell r="AQ203">
            <v>0.21312019890756964</v>
          </cell>
          <cell r="AR203">
            <v>0.2175777082348464</v>
          </cell>
          <cell r="AS203">
            <v>0.21637353945113608</v>
          </cell>
          <cell r="AT203">
            <v>0.21840540054168248</v>
          </cell>
          <cell r="AU203">
            <v>0.21408742322326269</v>
          </cell>
          <cell r="AV203">
            <v>0.21493045758257787</v>
          </cell>
          <cell r="AW203">
            <v>0.20991688682448262</v>
          </cell>
          <cell r="AX203">
            <v>0.20982366536162153</v>
          </cell>
          <cell r="AY203">
            <v>0.21249656540607564</v>
          </cell>
          <cell r="AZ203">
            <v>0.21250450184501846</v>
          </cell>
          <cell r="BA203">
            <v>0.21167285323609847</v>
          </cell>
          <cell r="BB203">
            <v>0.20841973285841484</v>
          </cell>
          <cell r="BC203">
            <v>0.21249656540607559</v>
          </cell>
          <cell r="BD203">
            <v>0.21250450184501846</v>
          </cell>
          <cell r="BE203">
            <v>0.21167285323609844</v>
          </cell>
          <cell r="BF203">
            <v>0.208419732858415</v>
          </cell>
          <cell r="BG203">
            <v>0.21249656540607564</v>
          </cell>
          <cell r="BH203">
            <v>0.21250450184501843</v>
          </cell>
          <cell r="BI203">
            <v>0.21167285323609847</v>
          </cell>
          <cell r="BJ203">
            <v>0.20841973285841489</v>
          </cell>
          <cell r="BK203">
            <v>0.19952729146110387</v>
          </cell>
          <cell r="BL203">
            <v>0.19953474351644923</v>
          </cell>
          <cell r="BM203">
            <v>0.19875385280384833</v>
          </cell>
          <cell r="BN203">
            <v>0.24597775074310499</v>
          </cell>
        </row>
        <row r="204">
          <cell r="A204" t="str">
            <v xml:space="preserve">   Interest expenses</v>
          </cell>
          <cell r="H204">
            <v>866.915562271</v>
          </cell>
          <cell r="I204">
            <v>1105.1195764879999</v>
          </cell>
          <cell r="J204">
            <v>736.30000774400003</v>
          </cell>
          <cell r="K204">
            <v>397.85756054400002</v>
          </cell>
          <cell r="L204">
            <v>325.96956768000001</v>
          </cell>
          <cell r="M204">
            <v>289.85391110095031</v>
          </cell>
          <cell r="N204">
            <v>253.04702608068973</v>
          </cell>
          <cell r="O204">
            <v>225.34213532191575</v>
          </cell>
          <cell r="P204">
            <v>208.5384460008105</v>
          </cell>
          <cell r="Q204">
            <v>195.243544779427</v>
          </cell>
          <cell r="AE204">
            <v>249.00295505400001</v>
          </cell>
          <cell r="AF204">
            <v>236.96825849500001</v>
          </cell>
          <cell r="AG204">
            <v>223.29431754400002</v>
          </cell>
          <cell r="AH204">
            <v>395.85404539499984</v>
          </cell>
          <cell r="AI204">
            <v>208.002661128</v>
          </cell>
          <cell r="AJ204">
            <v>196.129032994</v>
          </cell>
          <cell r="AK204">
            <v>175.79993669013913</v>
          </cell>
          <cell r="AL204">
            <v>156.36837693186089</v>
          </cell>
          <cell r="AM204">
            <v>115.494934122</v>
          </cell>
          <cell r="AN204">
            <v>97.64647944299999</v>
          </cell>
          <cell r="AO204">
            <v>92.43674818400001</v>
          </cell>
          <cell r="AP204">
            <v>92.27939879500002</v>
          </cell>
          <cell r="AQ204">
            <v>85.181193883000006</v>
          </cell>
          <cell r="AR204">
            <v>84.134670326000006</v>
          </cell>
          <cell r="AS204">
            <v>81.004171665000001</v>
          </cell>
          <cell r="AT204">
            <v>75.649531805999999</v>
          </cell>
          <cell r="AU204">
            <v>67.763388223999996</v>
          </cell>
          <cell r="AV204">
            <v>72.17362386413663</v>
          </cell>
          <cell r="AW204">
            <v>72.753331686338527</v>
          </cell>
          <cell r="AX204">
            <v>77.163567326475174</v>
          </cell>
          <cell r="AY204">
            <v>62.502615441930367</v>
          </cell>
          <cell r="AZ204">
            <v>63.008709494091747</v>
          </cell>
          <cell r="BA204">
            <v>63.51480354625312</v>
          </cell>
          <cell r="BB204">
            <v>64.020897598414507</v>
          </cell>
          <cell r="BC204">
            <v>55.659507424513187</v>
          </cell>
          <cell r="BD204">
            <v>56.11019169515702</v>
          </cell>
          <cell r="BE204">
            <v>56.560875965800854</v>
          </cell>
          <cell r="BF204">
            <v>57.011560236444694</v>
          </cell>
          <cell r="BG204">
            <v>51.508996162200191</v>
          </cell>
          <cell r="BH204">
            <v>51.926073054201815</v>
          </cell>
          <cell r="BI204">
            <v>52.343149946203432</v>
          </cell>
          <cell r="BJ204">
            <v>52.760226838205057</v>
          </cell>
          <cell r="BK204">
            <v>51.508996162200191</v>
          </cell>
          <cell r="BL204">
            <v>51.926073054201815</v>
          </cell>
          <cell r="BM204">
            <v>52.343149946203432</v>
          </cell>
          <cell r="BN204">
            <v>39.465325616821559</v>
          </cell>
        </row>
        <row r="205">
          <cell r="A205" t="str">
            <v xml:space="preserve">      as % avg. IBL</v>
          </cell>
          <cell r="H205">
            <v>5.6177985287326579E-2</v>
          </cell>
          <cell r="I205">
            <v>7.9311109461876264E-2</v>
          </cell>
          <cell r="J205">
            <v>7.2979587243164806E-2</v>
          </cell>
          <cell r="K205">
            <v>5.7595838866865028E-2</v>
          </cell>
          <cell r="L205">
            <v>5.8157802030175891E-2</v>
          </cell>
          <cell r="M205">
            <v>0.06</v>
          </cell>
          <cell r="N205">
            <v>0.06</v>
          </cell>
          <cell r="O205">
            <v>0.06</v>
          </cell>
          <cell r="P205">
            <v>0.06</v>
          </cell>
          <cell r="Q205">
            <v>0.06</v>
          </cell>
          <cell r="Y205">
            <v>0.06</v>
          </cell>
          <cell r="AE205">
            <v>6.1753793451808668E-2</v>
          </cell>
          <cell r="AF205">
            <v>6.072926411256354E-2</v>
          </cell>
          <cell r="AG205">
            <v>6.6072988004755473E-2</v>
          </cell>
          <cell r="AH205">
            <v>0.126259039716307</v>
          </cell>
          <cell r="AI205">
            <v>7.0605006094768691E-2</v>
          </cell>
          <cell r="AJ205">
            <v>7.2582100150105355E-2</v>
          </cell>
          <cell r="AK205">
            <v>7.019287054387896E-2</v>
          </cell>
          <cell r="AL205">
            <v>7.2340851145758417E-2</v>
          </cell>
          <cell r="AM205">
            <v>6.4785369086131167E-2</v>
          </cell>
          <cell r="AN205">
            <v>6.0116469684230976E-2</v>
          </cell>
          <cell r="AO205">
            <v>5.8688587040613263E-2</v>
          </cell>
          <cell r="AP205">
            <v>6.0513028411718885E-2</v>
          </cell>
          <cell r="AQ205">
            <v>5.6492025634066835E-2</v>
          </cell>
          <cell r="AR205">
            <v>5.7975621838722027E-2</v>
          </cell>
          <cell r="AS205">
            <v>5.7881392224783786E-2</v>
          </cell>
          <cell r="AT205">
            <v>5.6499375414224291E-2</v>
          </cell>
          <cell r="AU205">
            <v>5.6311322413104464E-2</v>
          </cell>
          <cell r="AV205">
            <v>5.9903976199247852E-2</v>
          </cell>
          <cell r="AW205">
            <v>5.8292908508003526E-2</v>
          </cell>
          <cell r="AX205">
            <v>6.5935588060059627E-2</v>
          </cell>
          <cell r="AY205">
            <v>5.6200347935673883E-2</v>
          </cell>
          <cell r="AZ205">
            <v>5.7653801316625092E-2</v>
          </cell>
          <cell r="BA205">
            <v>5.9694809886271426E-2</v>
          </cell>
          <cell r="BB205">
            <v>6.3625442034658641E-2</v>
          </cell>
          <cell r="BC205">
            <v>5.7515732254367895E-2</v>
          </cell>
          <cell r="BD205">
            <v>5.8562417128935618E-2</v>
          </cell>
          <cell r="BE205">
            <v>5.9933594247849602E-2</v>
          </cell>
          <cell r="BF205">
            <v>6.2312847478950065E-2</v>
          </cell>
          <cell r="BG205">
            <v>5.7705361821958664E-2</v>
          </cell>
          <cell r="BH205">
            <v>5.8692287358706373E-2</v>
          </cell>
          <cell r="BI205">
            <v>5.9967273298392305E-2</v>
          </cell>
          <cell r="BJ205">
            <v>6.2132878567001969E-2</v>
          </cell>
          <cell r="BK205">
            <v>6.1958188787983794E-2</v>
          </cell>
          <cell r="BL205">
            <v>6.2909771604299461E-2</v>
          </cell>
          <cell r="BM205">
            <v>6.4107720688814596E-2</v>
          </cell>
          <cell r="BN205">
            <v>4.9414962856525281E-2</v>
          </cell>
        </row>
        <row r="206">
          <cell r="A206" t="str">
            <v>Non-interest come</v>
          </cell>
          <cell r="H206">
            <v>2297.9093930089998</v>
          </cell>
          <cell r="I206">
            <v>1991.957956195</v>
          </cell>
          <cell r="J206">
            <v>1599.7199363279999</v>
          </cell>
          <cell r="K206">
            <v>1072.9815708220001</v>
          </cell>
          <cell r="L206">
            <v>791.03798613399999</v>
          </cell>
          <cell r="M206">
            <v>738.99839488135808</v>
          </cell>
          <cell r="N206">
            <v>787.03329054864639</v>
          </cell>
          <cell r="O206">
            <v>838.19045443430844</v>
          </cell>
          <cell r="P206">
            <v>892.67283397253834</v>
          </cell>
          <cell r="Q206">
            <v>950.69656818075339</v>
          </cell>
          <cell r="AE206">
            <v>713.40941460299996</v>
          </cell>
          <cell r="AF206">
            <v>627.20598010085746</v>
          </cell>
          <cell r="AG206">
            <v>716.66275941714275</v>
          </cell>
          <cell r="AH206">
            <v>-65.320197926000219</v>
          </cell>
          <cell r="AI206">
            <v>619.4208758929999</v>
          </cell>
          <cell r="AJ206">
            <v>230.53852275400021</v>
          </cell>
          <cell r="AK206">
            <v>324.81799588599995</v>
          </cell>
          <cell r="AL206">
            <v>424.9425417949999</v>
          </cell>
          <cell r="AM206">
            <v>303.63055854599997</v>
          </cell>
          <cell r="AN206">
            <v>257.20639579700014</v>
          </cell>
          <cell r="AO206">
            <v>259.75875888099972</v>
          </cell>
          <cell r="AP206">
            <v>252.38585759800026</v>
          </cell>
          <cell r="AQ206">
            <v>225.3485088330001</v>
          </cell>
          <cell r="AR206">
            <v>214.42039327399993</v>
          </cell>
          <cell r="AS206">
            <v>187.69133007400001</v>
          </cell>
          <cell r="AT206">
            <v>163.57775395299996</v>
          </cell>
          <cell r="AU206">
            <v>153.14711594400006</v>
          </cell>
          <cell r="AV206">
            <v>184.01060032545817</v>
          </cell>
          <cell r="AW206">
            <v>185.48859711522087</v>
          </cell>
          <cell r="AX206">
            <v>216.35208149667903</v>
          </cell>
          <cell r="AY206">
            <v>194.39722276551566</v>
          </cell>
          <cell r="AZ206">
            <v>195.97128934661296</v>
          </cell>
          <cell r="BA206">
            <v>197.54535592771023</v>
          </cell>
          <cell r="BB206">
            <v>199.11942250880747</v>
          </cell>
          <cell r="BC206">
            <v>207.03304224527417</v>
          </cell>
          <cell r="BD206">
            <v>208.7094231541428</v>
          </cell>
          <cell r="BE206">
            <v>210.38580406301142</v>
          </cell>
          <cell r="BF206">
            <v>212.06218497188001</v>
          </cell>
          <cell r="BG206">
            <v>220.49018999121697</v>
          </cell>
          <cell r="BH206">
            <v>222.27553565916205</v>
          </cell>
          <cell r="BI206">
            <v>224.06088132710713</v>
          </cell>
          <cell r="BJ206">
            <v>225.84622699505223</v>
          </cell>
          <cell r="BK206">
            <v>220.49018999121697</v>
          </cell>
          <cell r="BL206">
            <v>222.27553565916205</v>
          </cell>
          <cell r="BM206">
            <v>224.06088132710713</v>
          </cell>
          <cell r="BN206">
            <v>283.86996120326728</v>
          </cell>
        </row>
        <row r="207">
          <cell r="A207" t="str">
            <v xml:space="preserve">   as % of managed IEA</v>
          </cell>
          <cell r="H207">
            <v>7.1919115478159892E-2</v>
          </cell>
          <cell r="I207">
            <v>7.2869386517514068E-2</v>
          </cell>
          <cell r="J207">
            <v>9.6019454596791232E-2</v>
          </cell>
          <cell r="K207">
            <v>9.155969102198995E-2</v>
          </cell>
          <cell r="L207">
            <v>6.8265792488894542E-2</v>
          </cell>
          <cell r="M207">
            <v>0.06</v>
          </cell>
          <cell r="N207">
            <v>0.06</v>
          </cell>
          <cell r="O207">
            <v>0.06</v>
          </cell>
          <cell r="P207">
            <v>0.06</v>
          </cell>
          <cell r="Q207">
            <v>0.06</v>
          </cell>
          <cell r="Y207">
            <v>0.06</v>
          </cell>
          <cell r="AE207">
            <v>8.5074431557363869E-2</v>
          </cell>
          <cell r="AF207">
            <v>8.3442830169536436E-2</v>
          </cell>
          <cell r="AG207">
            <v>0.10878693949829832</v>
          </cell>
          <cell r="AH207">
            <v>-1.1361994634585841E-2</v>
          </cell>
          <cell r="AI207">
            <v>0.1283408532185073</v>
          </cell>
          <cell r="AJ207">
            <v>5.6107330506768034E-2</v>
          </cell>
          <cell r="AK207">
            <v>8.8936549159256903E-2</v>
          </cell>
          <cell r="AL207">
            <v>0.13064973579600175</v>
          </cell>
          <cell r="AM207">
            <v>0.10472758586571955</v>
          </cell>
          <cell r="AN207">
            <v>9.4760641851280983E-2</v>
          </cell>
          <cell r="AO207">
            <v>9.7073756048510901E-2</v>
          </cell>
          <cell r="AP207">
            <v>9.202103672588334E-2</v>
          </cell>
          <cell r="AQ207">
            <v>7.8836678694888751E-2</v>
          </cell>
          <cell r="AR207">
            <v>7.3025522661411046E-2</v>
          </cell>
          <cell r="AS207">
            <v>6.2829283147132181E-2</v>
          </cell>
          <cell r="AT207">
            <v>5.4619898726555309E-2</v>
          </cell>
          <cell r="AU207">
            <v>5.1866462756149173E-2</v>
          </cell>
          <cell r="AV207">
            <v>6.1442007858431395E-2</v>
          </cell>
          <cell r="AW207">
            <v>5.9952637850387167E-2</v>
          </cell>
          <cell r="AX207">
            <v>6.8711672247540601E-2</v>
          </cell>
          <cell r="AY207">
            <v>6.0713304401735897E-2</v>
          </cell>
          <cell r="AZ207">
            <v>6.0715571955719555E-2</v>
          </cell>
          <cell r="BA207">
            <v>6.0477958067456691E-2</v>
          </cell>
          <cell r="BB207">
            <v>5.9548495102404252E-2</v>
          </cell>
          <cell r="BC207">
            <v>6.0713304401735897E-2</v>
          </cell>
          <cell r="BD207">
            <v>6.0715571955719555E-2</v>
          </cell>
          <cell r="BE207">
            <v>6.0477958067456698E-2</v>
          </cell>
          <cell r="BF207">
            <v>5.9548495102404272E-2</v>
          </cell>
          <cell r="BG207">
            <v>6.0713304401735883E-2</v>
          </cell>
          <cell r="BH207">
            <v>6.0715571955719555E-2</v>
          </cell>
          <cell r="BI207">
            <v>6.0477958067456691E-2</v>
          </cell>
          <cell r="BJ207">
            <v>5.9548495102404286E-2</v>
          </cell>
          <cell r="BK207">
            <v>5.7007797560315383E-2</v>
          </cell>
          <cell r="BL207">
            <v>5.7009926718985492E-2</v>
          </cell>
          <cell r="BM207">
            <v>5.6786815086813804E-2</v>
          </cell>
          <cell r="BN207">
            <v>7.0279357355172906E-2</v>
          </cell>
        </row>
        <row r="209">
          <cell r="A209" t="str">
            <v>LLPE</v>
          </cell>
          <cell r="H209">
            <v>2697.4574824249999</v>
          </cell>
          <cell r="I209">
            <v>7134.3511772840002</v>
          </cell>
          <cell r="J209">
            <v>2580.442989316</v>
          </cell>
          <cell r="K209">
            <v>125.259430991</v>
          </cell>
          <cell r="L209">
            <v>118.966112426406</v>
          </cell>
          <cell r="M209">
            <v>307.91599786723259</v>
          </cell>
          <cell r="N209">
            <v>459.1027528200438</v>
          </cell>
          <cell r="O209">
            <v>488.94443175334663</v>
          </cell>
          <cell r="P209">
            <v>595.11522264835889</v>
          </cell>
          <cell r="Q209">
            <v>633.7977121205023</v>
          </cell>
          <cell r="AE209">
            <v>1108.4421188660001</v>
          </cell>
          <cell r="AF209">
            <v>993.23341886000003</v>
          </cell>
          <cell r="AG209">
            <v>807.68133218999992</v>
          </cell>
          <cell r="AH209">
            <v>4224.9943073680006</v>
          </cell>
          <cell r="AI209">
            <v>1259.2513831450001</v>
          </cell>
          <cell r="AJ209">
            <v>700.84298572900002</v>
          </cell>
          <cell r="AK209">
            <v>465.05056284299985</v>
          </cell>
          <cell r="AL209">
            <v>155.298057599</v>
          </cell>
          <cell r="AM209">
            <v>94.592368898999993</v>
          </cell>
          <cell r="AN209">
            <v>-3.2828218049999975</v>
          </cell>
          <cell r="AO209">
            <v>-22.769618886663352</v>
          </cell>
          <cell r="AP209">
            <v>56.719502783663359</v>
          </cell>
          <cell r="AQ209">
            <v>-18.211236221</v>
          </cell>
          <cell r="AR209">
            <v>70.375085078313106</v>
          </cell>
          <cell r="AS209">
            <v>61.564521177686885</v>
          </cell>
          <cell r="AT209">
            <v>5.2377423914060017</v>
          </cell>
          <cell r="AU209">
            <v>0</v>
          </cell>
          <cell r="AV209">
            <v>76.671083468940921</v>
          </cell>
          <cell r="AW209">
            <v>77.286915464675374</v>
          </cell>
          <cell r="AX209">
            <v>153.9579989336163</v>
          </cell>
          <cell r="AY209">
            <v>113.39837994655082</v>
          </cell>
          <cell r="AZ209">
            <v>114.31658545219091</v>
          </cell>
          <cell r="BA209">
            <v>115.234790957831</v>
          </cell>
          <cell r="BB209">
            <v>116.15299646347108</v>
          </cell>
          <cell r="BC209">
            <v>120.76927464307661</v>
          </cell>
          <cell r="BD209">
            <v>121.74716350658331</v>
          </cell>
          <cell r="BE209">
            <v>122.72505237009001</v>
          </cell>
          <cell r="BF209">
            <v>123.70294123359673</v>
          </cell>
          <cell r="BG209">
            <v>146.99345999414464</v>
          </cell>
          <cell r="BH209">
            <v>148.18369043944136</v>
          </cell>
          <cell r="BI209">
            <v>149.37392088473808</v>
          </cell>
          <cell r="BJ209">
            <v>150.5641513300348</v>
          </cell>
          <cell r="BK209">
            <v>146.99345999414464</v>
          </cell>
          <cell r="BL209">
            <v>148.18369043944136</v>
          </cell>
          <cell r="BM209">
            <v>149.37392088473808</v>
          </cell>
          <cell r="BN209">
            <v>189.24664080217821</v>
          </cell>
        </row>
        <row r="210">
          <cell r="A210" t="str">
            <v xml:space="preserve">   as % of avg. IEA (managed)</v>
          </cell>
          <cell r="H210">
            <v>8.4424023317089175E-2</v>
          </cell>
          <cell r="I210">
            <v>0.26098733252495254</v>
          </cell>
          <cell r="J210">
            <v>0.15488506633290694</v>
          </cell>
          <cell r="K210">
            <v>1.0688640989742414E-2</v>
          </cell>
          <cell r="L210">
            <v>1.0266657336902905E-2</v>
          </cell>
          <cell r="M210">
            <v>2.5000000000000001E-2</v>
          </cell>
          <cell r="N210">
            <v>3.5000000000000003E-2</v>
          </cell>
          <cell r="O210">
            <v>3.5000000000000003E-2</v>
          </cell>
          <cell r="P210">
            <v>0.04</v>
          </cell>
          <cell r="Q210">
            <v>0.04</v>
          </cell>
          <cell r="AE210">
            <v>0.13218228025381651</v>
          </cell>
          <cell r="AF210">
            <v>0.13213873929473033</v>
          </cell>
          <cell r="AG210">
            <v>0.12260324547953169</v>
          </cell>
          <cell r="AH210">
            <v>0.73490840774631461</v>
          </cell>
          <cell r="AI210">
            <v>0.26091047818887558</v>
          </cell>
          <cell r="AJ210">
            <v>0.17056771494804249</v>
          </cell>
          <cell r="AK210">
            <v>0.12733282258887682</v>
          </cell>
          <cell r="AL210">
            <v>4.7746808566720804E-2</v>
          </cell>
          <cell r="AM210">
            <v>3.2626592275661934E-2</v>
          </cell>
          <cell r="AN210">
            <v>-1.2094656525209503E-3</v>
          </cell>
          <cell r="AO210">
            <v>-8.509173814362574E-3</v>
          </cell>
          <cell r="AP210">
            <v>2.0680189842660516E-2</v>
          </cell>
          <cell r="AQ210">
            <v>-6.3710800041533308E-3</v>
          </cell>
          <cell r="AR210">
            <v>2.3967763941268021E-2</v>
          </cell>
          <cell r="AS210">
            <v>2.0608595673361516E-2</v>
          </cell>
          <cell r="AT210">
            <v>1.7489233839008507E-3</v>
          </cell>
          <cell r="AU210">
            <v>0</v>
          </cell>
          <cell r="AV210">
            <v>2.5600836607679752E-2</v>
          </cell>
          <cell r="AW210">
            <v>2.4980265770994659E-2</v>
          </cell>
          <cell r="AX210">
            <v>4.889581597474129E-2</v>
          </cell>
          <cell r="AY210">
            <v>3.5416094234345948E-2</v>
          </cell>
          <cell r="AZ210">
            <v>3.5417416974169745E-2</v>
          </cell>
          <cell r="BA210">
            <v>3.527880887268308E-2</v>
          </cell>
          <cell r="BB210">
            <v>3.4736622143069162E-2</v>
          </cell>
          <cell r="BC210">
            <v>3.5416094234345941E-2</v>
          </cell>
          <cell r="BD210">
            <v>3.5417416974169745E-2</v>
          </cell>
          <cell r="BE210">
            <v>3.527880887268308E-2</v>
          </cell>
          <cell r="BF210">
            <v>3.4736622143069176E-2</v>
          </cell>
          <cell r="BG210">
            <v>4.0475536267823922E-2</v>
          </cell>
          <cell r="BH210">
            <v>4.0477047970479706E-2</v>
          </cell>
          <cell r="BI210">
            <v>4.0318638711637794E-2</v>
          </cell>
          <cell r="BJ210">
            <v>3.9698996734936182E-2</v>
          </cell>
          <cell r="BK210">
            <v>3.8005198373543589E-2</v>
          </cell>
          <cell r="BL210">
            <v>3.8006617812656997E-2</v>
          </cell>
          <cell r="BM210">
            <v>3.7857876724542536E-2</v>
          </cell>
          <cell r="BN210">
            <v>4.6852904903448608E-2</v>
          </cell>
        </row>
        <row r="211">
          <cell r="A211" t="str">
            <v>SG&amp;A</v>
          </cell>
          <cell r="H211">
            <v>1572.7030613300001</v>
          </cell>
          <cell r="I211">
            <v>1487.887994987</v>
          </cell>
          <cell r="J211">
            <v>962.40876749100005</v>
          </cell>
          <cell r="K211">
            <v>958.16102434000004</v>
          </cell>
          <cell r="L211">
            <v>1067.2796224450001</v>
          </cell>
          <cell r="M211">
            <v>1061.3728288475454</v>
          </cell>
          <cell r="N211">
            <v>1154.8469139890378</v>
          </cell>
          <cell r="O211">
            <v>1249.3392602780939</v>
          </cell>
          <cell r="P211">
            <v>1344.3847205676627</v>
          </cell>
          <cell r="Q211">
            <v>1443.5836834975926</v>
          </cell>
          <cell r="AE211">
            <v>405.871199827</v>
          </cell>
          <cell r="AF211">
            <v>373.778735713</v>
          </cell>
          <cell r="AG211">
            <v>418.67741759500007</v>
          </cell>
          <cell r="AH211">
            <v>289.56064185199989</v>
          </cell>
          <cell r="AI211">
            <v>270.604175897</v>
          </cell>
          <cell r="AJ211">
            <v>202.83104562599999</v>
          </cell>
          <cell r="AK211">
            <v>216.70346819079066</v>
          </cell>
          <cell r="AL211">
            <v>272.27007777720939</v>
          </cell>
          <cell r="AM211">
            <v>199.066259487</v>
          </cell>
          <cell r="AN211">
            <v>221.41770476600001</v>
          </cell>
          <cell r="AO211">
            <v>227.65076381099999</v>
          </cell>
          <cell r="AP211">
            <v>310.02629627600004</v>
          </cell>
          <cell r="AQ211">
            <v>268.18454932399999</v>
          </cell>
          <cell r="AR211">
            <v>252.00485637200001</v>
          </cell>
          <cell r="AS211">
            <v>244.70481103715019</v>
          </cell>
          <cell r="AT211">
            <v>302.3854057118499</v>
          </cell>
          <cell r="AU211">
            <v>263.67490581499999</v>
          </cell>
          <cell r="AV211">
            <v>264.28183438303881</v>
          </cell>
          <cell r="AW211">
            <v>266.40458004073389</v>
          </cell>
          <cell r="AX211">
            <v>267.01150860877271</v>
          </cell>
          <cell r="AY211">
            <v>285.24718775529232</v>
          </cell>
          <cell r="AZ211">
            <v>287.55688158327041</v>
          </cell>
          <cell r="BA211">
            <v>289.8665754112485</v>
          </cell>
          <cell r="BB211">
            <v>292.1762692392266</v>
          </cell>
          <cell r="BC211">
            <v>308.58679728868918</v>
          </cell>
          <cell r="BD211">
            <v>311.08547580924539</v>
          </cell>
          <cell r="BE211">
            <v>313.58415432980155</v>
          </cell>
          <cell r="BF211">
            <v>316.08283285035782</v>
          </cell>
          <cell r="BG211">
            <v>332.06302598021267</v>
          </cell>
          <cell r="BH211">
            <v>334.75179542134799</v>
          </cell>
          <cell r="BI211">
            <v>337.44056486248337</v>
          </cell>
          <cell r="BJ211">
            <v>340.12933430361863</v>
          </cell>
          <cell r="BK211">
            <v>332.06302598021267</v>
          </cell>
          <cell r="BL211">
            <v>334.75179542134799</v>
          </cell>
          <cell r="BM211">
            <v>337.44056486248337</v>
          </cell>
          <cell r="BN211">
            <v>439.32829723354848</v>
          </cell>
        </row>
        <row r="212">
          <cell r="A212" t="str">
            <v xml:space="preserve">   Cost / income ratio</v>
          </cell>
          <cell r="H212">
            <v>0.33010588551853004</v>
          </cell>
          <cell r="I212">
            <v>0.45258744063120981</v>
          </cell>
          <cell r="J212">
            <v>0.35698072079105975</v>
          </cell>
          <cell r="K212">
            <v>0.41090084778078129</v>
          </cell>
          <cell r="L212">
            <v>0.44892195183721834</v>
          </cell>
          <cell r="M212">
            <v>0.43999999999999995</v>
          </cell>
          <cell r="N212">
            <v>0.44</v>
          </cell>
          <cell r="O212">
            <v>0.44000000000000006</v>
          </cell>
          <cell r="P212">
            <v>0.44</v>
          </cell>
          <cell r="Q212">
            <v>0.44</v>
          </cell>
          <cell r="Y212">
            <v>0.44</v>
          </cell>
          <cell r="AE212">
            <v>0.35690433515908926</v>
          </cell>
          <cell r="AF212">
            <v>0.3751165028126538</v>
          </cell>
          <cell r="AG212">
            <v>0.41524226038925455</v>
          </cell>
          <cell r="AH212">
            <v>1.9886074892532044</v>
          </cell>
          <cell r="AI212">
            <v>0.2961320787465509</v>
          </cell>
          <cell r="AJ212">
            <v>0.41774096580191006</v>
          </cell>
          <cell r="AK212">
            <v>0.35418025836714101</v>
          </cell>
          <cell r="AL212">
            <v>0.39759926871011558</v>
          </cell>
          <cell r="AM212">
            <v>0.3394733884094352</v>
          </cell>
          <cell r="AN212">
            <v>0.38634682277248034</v>
          </cell>
          <cell r="AO212">
            <v>0.40207544578365928</v>
          </cell>
          <cell r="AP212">
            <v>0.51145773223084878</v>
          </cell>
          <cell r="AQ212">
            <v>0.45292631503230657</v>
          </cell>
          <cell r="AR212">
            <v>0.41403323686221438</v>
          </cell>
          <cell r="AS212">
            <v>0.41224680028060384</v>
          </cell>
          <cell r="AT212">
            <v>0.51861250602071385</v>
          </cell>
          <cell r="AU212">
            <v>0.46622432036644507</v>
          </cell>
          <cell r="AV212">
            <v>0.43999999999999995</v>
          </cell>
          <cell r="AW212">
            <v>0.43999999999999989</v>
          </cell>
          <cell r="AX212">
            <v>0.4168461138602863</v>
          </cell>
          <cell r="AY212">
            <v>0.43999999999999989</v>
          </cell>
          <cell r="AZ212">
            <v>0.43999999999999995</v>
          </cell>
          <cell r="BA212">
            <v>0.43999999999999995</v>
          </cell>
          <cell r="BB212">
            <v>0.44000000000000022</v>
          </cell>
          <cell r="BC212">
            <v>0.44000000000000011</v>
          </cell>
          <cell r="BD212">
            <v>0.44000000000000006</v>
          </cell>
          <cell r="BE212">
            <v>0.44000000000000006</v>
          </cell>
          <cell r="BF212">
            <v>0.44000000000000006</v>
          </cell>
          <cell r="BG212">
            <v>0.44</v>
          </cell>
          <cell r="BH212">
            <v>0.43999999999999995</v>
          </cell>
          <cell r="BI212">
            <v>0.44</v>
          </cell>
          <cell r="BJ212">
            <v>0.44000000000000006</v>
          </cell>
          <cell r="BK212">
            <v>0.44</v>
          </cell>
          <cell r="BL212">
            <v>0.43999999999999995</v>
          </cell>
          <cell r="BM212">
            <v>0.44</v>
          </cell>
          <cell r="BN212">
            <v>0.44</v>
          </cell>
        </row>
        <row r="213">
          <cell r="H213">
            <v>0</v>
          </cell>
          <cell r="I213">
            <v>0</v>
          </cell>
          <cell r="J213">
            <v>0</v>
          </cell>
          <cell r="K213">
            <v>4.0431524547803618E-2</v>
          </cell>
        </row>
        <row r="214">
          <cell r="A214" t="str">
            <v>Op profits</v>
          </cell>
          <cell r="H214">
            <v>494.07763048899938</v>
          </cell>
          <cell r="I214">
            <v>-5334.7241830970006</v>
          </cell>
          <cell r="J214">
            <v>-846.88328725400049</v>
          </cell>
          <cell r="K214">
            <v>1248.434125926</v>
          </cell>
          <cell r="L214">
            <v>1191.1822747795939</v>
          </cell>
          <cell r="M214">
            <v>1042.9221479387347</v>
          </cell>
          <cell r="N214">
            <v>1010.7024104387317</v>
          </cell>
          <cell r="O214">
            <v>1101.1237176914999</v>
          </cell>
          <cell r="P214">
            <v>1115.9198762559392</v>
          </cell>
          <cell r="Q214">
            <v>1203.4906123309793</v>
          </cell>
          <cell r="AE214">
            <v>-377.11446778500016</v>
          </cell>
          <cell r="AF214">
            <v>-370.57842555714257</v>
          </cell>
          <cell r="AG214">
            <v>-218.08609178885729</v>
          </cell>
          <cell r="AH214">
            <v>-4368.9451979660007</v>
          </cell>
          <cell r="AI214">
            <v>-616.06000861600023</v>
          </cell>
          <cell r="AJ214">
            <v>-418.13140510899973</v>
          </cell>
          <cell r="AK214">
            <v>-69.908895480929687</v>
          </cell>
          <cell r="AL214">
            <v>257.21702195192927</v>
          </cell>
          <cell r="AM214">
            <v>292.73861594499988</v>
          </cell>
          <cell r="AN214">
            <v>354.97117541700015</v>
          </cell>
          <cell r="AO214">
            <v>361.30802727766292</v>
          </cell>
          <cell r="AP214">
            <v>239.41630728633709</v>
          </cell>
          <cell r="AQ214">
            <v>342.14187301700014</v>
          </cell>
          <cell r="AR214">
            <v>286.2785765996868</v>
          </cell>
          <cell r="AS214">
            <v>287.31880690616299</v>
          </cell>
          <cell r="AT214">
            <v>275.44301825674393</v>
          </cell>
          <cell r="AU214">
            <v>301.87882936500012</v>
          </cell>
          <cell r="AV214">
            <v>259.68761483674496</v>
          </cell>
          <cell r="AW214">
            <v>261.77345913262241</v>
          </cell>
          <cell r="AX214">
            <v>219.58224460436736</v>
          </cell>
          <cell r="AY214">
            <v>249.64349537836688</v>
          </cell>
          <cell r="AZ214">
            <v>251.66490019924424</v>
          </cell>
          <cell r="BA214">
            <v>253.68630502012172</v>
          </cell>
          <cell r="BB214">
            <v>255.70770984099875</v>
          </cell>
          <cell r="BC214">
            <v>271.97755826980034</v>
          </cell>
          <cell r="BD214">
            <v>274.17980570518341</v>
          </cell>
          <cell r="BE214">
            <v>276.38205314056643</v>
          </cell>
          <cell r="BF214">
            <v>278.58430057594956</v>
          </cell>
          <cell r="BG214">
            <v>275.63220943521691</v>
          </cell>
          <cell r="BH214">
            <v>277.86404918772894</v>
          </cell>
          <cell r="BI214">
            <v>280.09588894024068</v>
          </cell>
          <cell r="BJ214">
            <v>282.32772869275254</v>
          </cell>
          <cell r="BK214">
            <v>275.63220943521691</v>
          </cell>
          <cell r="BL214">
            <v>277.86404918772894</v>
          </cell>
          <cell r="BM214">
            <v>280.09588894024068</v>
          </cell>
          <cell r="BN214">
            <v>369.89846476779258</v>
          </cell>
        </row>
        <row r="215">
          <cell r="A215" t="str">
            <v>Net non-op income</v>
          </cell>
          <cell r="H215">
            <v>6.9539340109999443</v>
          </cell>
          <cell r="I215">
            <v>-238.36101234099999</v>
          </cell>
          <cell r="J215">
            <v>53.344025035000001</v>
          </cell>
          <cell r="K215">
            <v>114.639048867</v>
          </cell>
          <cell r="L215">
            <v>-4.4052661692749025E-2</v>
          </cell>
          <cell r="M215">
            <v>127.15864395674907</v>
          </cell>
          <cell r="N215">
            <v>169.84752538423777</v>
          </cell>
          <cell r="O215">
            <v>112.47913377968803</v>
          </cell>
          <cell r="P215">
            <v>115.35299818894123</v>
          </cell>
          <cell r="Q215">
            <v>-1.4604686541645151</v>
          </cell>
          <cell r="AE215">
            <v>-23.53841091</v>
          </cell>
          <cell r="AF215">
            <v>8.2456145539999994</v>
          </cell>
          <cell r="AG215">
            <v>-51.863796805000007</v>
          </cell>
          <cell r="AH215">
            <v>-171.20441918</v>
          </cell>
          <cell r="AI215">
            <v>69.820089715999998</v>
          </cell>
          <cell r="AJ215">
            <v>-63.553354689323101</v>
          </cell>
          <cell r="AK215">
            <v>-21.493838811676895</v>
          </cell>
          <cell r="AL215">
            <v>68.571128819999998</v>
          </cell>
          <cell r="AM215">
            <v>-0.967728959</v>
          </cell>
          <cell r="AN215">
            <v>124.820539842</v>
          </cell>
          <cell r="AO215">
            <v>2.0853736480000009</v>
          </cell>
          <cell r="AP215">
            <v>-11.299135664000005</v>
          </cell>
          <cell r="AQ215">
            <v>11.43453465</v>
          </cell>
          <cell r="AR215">
            <v>0.70938428800000075</v>
          </cell>
          <cell r="AS215">
            <v>18.804677622</v>
          </cell>
          <cell r="AT215">
            <v>-30.992649221692748</v>
          </cell>
          <cell r="AU215">
            <v>43.540123170000001</v>
          </cell>
          <cell r="AV215">
            <v>31.662502345230518</v>
          </cell>
          <cell r="AW215">
            <v>31.916819633144019</v>
          </cell>
          <cell r="AX215">
            <v>20.039198808374536</v>
          </cell>
          <cell r="AY215">
            <v>41.952338769906731</v>
          </cell>
          <cell r="AZ215">
            <v>42.292033820675208</v>
          </cell>
          <cell r="BA215">
            <v>42.631728871443677</v>
          </cell>
          <cell r="BB215">
            <v>42.971423922212153</v>
          </cell>
          <cell r="BC215">
            <v>27.782346043582944</v>
          </cell>
          <cell r="BD215">
            <v>28.00730431114232</v>
          </cell>
          <cell r="BE215">
            <v>28.232262578701693</v>
          </cell>
          <cell r="BF215">
            <v>28.457220846261066</v>
          </cell>
          <cell r="BG215">
            <v>28.492190552668482</v>
          </cell>
          <cell r="BH215">
            <v>28.722896549046364</v>
          </cell>
          <cell r="BI215">
            <v>28.95360254542425</v>
          </cell>
          <cell r="BJ215">
            <v>29.184308541802139</v>
          </cell>
          <cell r="BK215">
            <v>28.492190552668482</v>
          </cell>
          <cell r="BL215">
            <v>28.722896549046364</v>
          </cell>
          <cell r="BM215">
            <v>28.95360254542425</v>
          </cell>
          <cell r="BN215">
            <v>-87.629158301303605</v>
          </cell>
        </row>
        <row r="216">
          <cell r="A216" t="str">
            <v>Pretax profits</v>
          </cell>
          <cell r="H216">
            <v>501.03156449999932</v>
          </cell>
          <cell r="I216">
            <v>-5573.0851954380005</v>
          </cell>
          <cell r="J216">
            <v>-793.53926221900053</v>
          </cell>
          <cell r="K216">
            <v>1363.0731747929999</v>
          </cell>
          <cell r="L216">
            <v>1191.138222117901</v>
          </cell>
          <cell r="M216">
            <v>1170.0807918954838</v>
          </cell>
          <cell r="N216">
            <v>1180.5499358229695</v>
          </cell>
          <cell r="O216">
            <v>1213.6028514711879</v>
          </cell>
          <cell r="P216">
            <v>1231.2728744448805</v>
          </cell>
          <cell r="Q216">
            <v>1202.0301436768148</v>
          </cell>
          <cell r="AE216">
            <v>-400.65287869500014</v>
          </cell>
          <cell r="AF216">
            <v>-362.33281100314258</v>
          </cell>
          <cell r="AG216">
            <v>-269.94988859385728</v>
          </cell>
          <cell r="AH216">
            <v>-4540.1496171460003</v>
          </cell>
          <cell r="AI216">
            <v>-546.23991890000025</v>
          </cell>
          <cell r="AJ216">
            <v>-481.68475979832283</v>
          </cell>
          <cell r="AK216">
            <v>-91.402734292606581</v>
          </cell>
          <cell r="AL216">
            <v>325.78815077192928</v>
          </cell>
          <cell r="AM216">
            <v>291.77088698599988</v>
          </cell>
          <cell r="AN216">
            <v>479.79171525900017</v>
          </cell>
          <cell r="AO216">
            <v>363.39340092566295</v>
          </cell>
          <cell r="AP216">
            <v>228.11717162233708</v>
          </cell>
          <cell r="AQ216">
            <v>353.57640766700013</v>
          </cell>
          <cell r="AR216">
            <v>286.98796088768682</v>
          </cell>
          <cell r="AS216">
            <v>306.12348452816298</v>
          </cell>
          <cell r="AT216">
            <v>244.45036903505118</v>
          </cell>
          <cell r="AU216">
            <v>345.41895253500013</v>
          </cell>
          <cell r="AV216">
            <v>291.35011718197546</v>
          </cell>
          <cell r="AW216">
            <v>293.69027876576644</v>
          </cell>
          <cell r="AX216">
            <v>239.62144341274188</v>
          </cell>
          <cell r="AY216">
            <v>291.59583414827364</v>
          </cell>
          <cell r="AZ216">
            <v>293.95693401991946</v>
          </cell>
          <cell r="BA216">
            <v>296.31803389156539</v>
          </cell>
          <cell r="BB216">
            <v>298.67913376321087</v>
          </cell>
          <cell r="BC216">
            <v>299.75990431338329</v>
          </cell>
          <cell r="BD216">
            <v>302.18711001632573</v>
          </cell>
          <cell r="BE216">
            <v>304.61431571926812</v>
          </cell>
          <cell r="BF216">
            <v>307.04152142221062</v>
          </cell>
          <cell r="BG216">
            <v>304.1243999878854</v>
          </cell>
          <cell r="BH216">
            <v>306.58694573677531</v>
          </cell>
          <cell r="BI216">
            <v>309.04949148566493</v>
          </cell>
          <cell r="BJ216">
            <v>311.51203723455467</v>
          </cell>
          <cell r="BK216">
            <v>304.1243999878854</v>
          </cell>
          <cell r="BL216">
            <v>306.58694573677531</v>
          </cell>
          <cell r="BM216">
            <v>309.04949148566493</v>
          </cell>
          <cell r="BN216">
            <v>282.26930646648896</v>
          </cell>
        </row>
        <row r="217">
          <cell r="A217" t="str">
            <v xml:space="preserve">   Income taxes</v>
          </cell>
          <cell r="H217">
            <v>150.63719141000001</v>
          </cell>
          <cell r="I217">
            <v>0</v>
          </cell>
          <cell r="J217">
            <v>0</v>
          </cell>
          <cell r="K217">
            <v>0</v>
          </cell>
          <cell r="L217">
            <v>-2.5410259009999998</v>
          </cell>
          <cell r="M217">
            <v>0</v>
          </cell>
          <cell r="N217">
            <v>0</v>
          </cell>
          <cell r="O217">
            <v>305.56319250068691</v>
          </cell>
          <cell r="P217">
            <v>338.60004047234219</v>
          </cell>
          <cell r="Q217">
            <v>330.55828951112409</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-2.5410259009999998</v>
          </cell>
          <cell r="AT217">
            <v>0</v>
          </cell>
          <cell r="AU217">
            <v>-519.98051612200004</v>
          </cell>
          <cell r="AV217">
            <v>0</v>
          </cell>
          <cell r="AW217">
            <v>0</v>
          </cell>
          <cell r="AX217">
            <v>519.98051612200004</v>
          </cell>
          <cell r="AY217">
            <v>0</v>
          </cell>
          <cell r="AZ217">
            <v>0</v>
          </cell>
          <cell r="BA217">
            <v>0</v>
          </cell>
          <cell r="BB217">
            <v>0</v>
          </cell>
          <cell r="BC217">
            <v>43.568330025642766</v>
          </cell>
          <cell r="BD217">
            <v>83.101455254489579</v>
          </cell>
          <cell r="BE217">
            <v>83.768936822798736</v>
          </cell>
          <cell r="BF217">
            <v>95.124470397755829</v>
          </cell>
          <cell r="BG217">
            <v>83.634209996668488</v>
          </cell>
          <cell r="BH217">
            <v>84.311410077613218</v>
          </cell>
          <cell r="BI217">
            <v>84.988610158557861</v>
          </cell>
          <cell r="BJ217">
            <v>85.665810239502633</v>
          </cell>
          <cell r="BK217">
            <v>83.634209996668488</v>
          </cell>
          <cell r="BL217">
            <v>84.311410077613218</v>
          </cell>
          <cell r="BM217">
            <v>84.988610158557861</v>
          </cell>
          <cell r="BN217">
            <v>77.624059278284534</v>
          </cell>
        </row>
        <row r="218">
          <cell r="A218" t="str">
            <v xml:space="preserve">   Effective tax rate</v>
          </cell>
          <cell r="M218">
            <v>0</v>
          </cell>
          <cell r="N218">
            <v>0</v>
          </cell>
          <cell r="O218">
            <v>0.27500000000000002</v>
          </cell>
          <cell r="P218">
            <v>0.27500000000000002</v>
          </cell>
          <cell r="Q218">
            <v>0.27500000000000002</v>
          </cell>
          <cell r="AV218">
            <v>0</v>
          </cell>
          <cell r="AW218">
            <v>0</v>
          </cell>
          <cell r="AX218">
            <v>0</v>
          </cell>
          <cell r="AY218">
            <v>0</v>
          </cell>
          <cell r="AZ218">
            <v>0</v>
          </cell>
          <cell r="BA218">
            <v>0</v>
          </cell>
          <cell r="BB218">
            <v>0</v>
          </cell>
          <cell r="BC218">
            <v>0.27500000000000002</v>
          </cell>
          <cell r="BD218">
            <v>0.27500000000000002</v>
          </cell>
          <cell r="BE218">
            <v>0.27500000000000002</v>
          </cell>
          <cell r="BF218">
            <v>0.27500000000000002</v>
          </cell>
          <cell r="BG218">
            <v>0.27500000000000002</v>
          </cell>
          <cell r="BH218">
            <v>0.27500000000000002</v>
          </cell>
          <cell r="BI218">
            <v>0.27500000000000002</v>
          </cell>
          <cell r="BJ218">
            <v>0.27500000000000002</v>
          </cell>
          <cell r="BK218">
            <v>0.27500000000000002</v>
          </cell>
          <cell r="BL218">
            <v>0.27500000000000002</v>
          </cell>
          <cell r="BM218">
            <v>0.27500000000000002</v>
          </cell>
          <cell r="BN218">
            <v>0.27500000000000002</v>
          </cell>
        </row>
        <row r="219">
          <cell r="A219" t="str">
            <v>Net profits</v>
          </cell>
          <cell r="H219">
            <v>350.39437308999931</v>
          </cell>
          <cell r="I219">
            <v>-5573.0851954380005</v>
          </cell>
          <cell r="J219">
            <v>-793.53926221900053</v>
          </cell>
          <cell r="K219">
            <v>1363.0731747929999</v>
          </cell>
          <cell r="L219">
            <v>1193.679248018901</v>
          </cell>
          <cell r="M219">
            <v>1170.0807918954838</v>
          </cell>
          <cell r="N219">
            <v>1180.5499358229695</v>
          </cell>
          <cell r="O219">
            <v>908.03965897050091</v>
          </cell>
          <cell r="P219">
            <v>892.67283397253834</v>
          </cell>
          <cell r="Q219">
            <v>871.47185416569062</v>
          </cell>
          <cell r="AE219">
            <v>-400.65287869500014</v>
          </cell>
          <cell r="AF219">
            <v>-362.33281100314258</v>
          </cell>
          <cell r="AG219">
            <v>-269.94988859385728</v>
          </cell>
          <cell r="AH219">
            <v>-4540.1496171460003</v>
          </cell>
          <cell r="AI219">
            <v>-546.23991890000025</v>
          </cell>
          <cell r="AJ219">
            <v>-481.68475979832283</v>
          </cell>
          <cell r="AK219">
            <v>-91.402734292606581</v>
          </cell>
          <cell r="AL219">
            <v>325.78815077192928</v>
          </cell>
          <cell r="AM219">
            <v>291.77088698599988</v>
          </cell>
          <cell r="AN219">
            <v>479.79171525900017</v>
          </cell>
          <cell r="AO219">
            <v>363.39340092566295</v>
          </cell>
          <cell r="AP219">
            <v>228.11717162233708</v>
          </cell>
          <cell r="AQ219">
            <v>353.57640766700013</v>
          </cell>
          <cell r="AR219">
            <v>286.98796088768682</v>
          </cell>
          <cell r="AS219">
            <v>308.66451042916299</v>
          </cell>
          <cell r="AT219">
            <v>244.45036903505118</v>
          </cell>
          <cell r="AU219">
            <v>865.39946865700017</v>
          </cell>
          <cell r="AV219">
            <v>291.35011718197546</v>
          </cell>
          <cell r="AW219">
            <v>293.69027876576644</v>
          </cell>
          <cell r="AX219">
            <v>-280.35907270925816</v>
          </cell>
          <cell r="AY219">
            <v>291.59583414827364</v>
          </cell>
          <cell r="AZ219">
            <v>293.95693401991946</v>
          </cell>
          <cell r="BA219">
            <v>296.31803389156539</v>
          </cell>
          <cell r="BB219">
            <v>298.67913376321087</v>
          </cell>
          <cell r="BC219">
            <v>256.19157428774054</v>
          </cell>
          <cell r="BD219">
            <v>219.08565476183617</v>
          </cell>
          <cell r="BE219">
            <v>220.84537889646938</v>
          </cell>
          <cell r="BF219">
            <v>211.91705102445479</v>
          </cell>
          <cell r="BG219">
            <v>220.49018999121691</v>
          </cell>
          <cell r="BH219">
            <v>222.27553565916207</v>
          </cell>
          <cell r="BI219">
            <v>224.06088132710707</v>
          </cell>
          <cell r="BJ219">
            <v>225.84622699505204</v>
          </cell>
          <cell r="BK219">
            <v>220.49018999121691</v>
          </cell>
          <cell r="BL219">
            <v>222.27553565916207</v>
          </cell>
          <cell r="BM219">
            <v>224.06088132710707</v>
          </cell>
          <cell r="BN219">
            <v>204.64524718820442</v>
          </cell>
        </row>
        <row r="220">
          <cell r="A220" t="str">
            <v xml:space="preserve">   Return on avg IEA</v>
          </cell>
          <cell r="H220">
            <v>1.0966513065233989E-2</v>
          </cell>
          <cell r="I220">
            <v>-0.20387342912455114</v>
          </cell>
          <cell r="J220">
            <v>-4.7630341679873761E-2</v>
          </cell>
          <cell r="K220">
            <v>0.11631379523955851</v>
          </cell>
          <cell r="L220">
            <v>0.1030133334579892</v>
          </cell>
          <cell r="M220">
            <v>9.5000000000000001E-2</v>
          </cell>
          <cell r="N220">
            <v>0.09</v>
          </cell>
          <cell r="O220">
            <v>6.5000000000000002E-2</v>
          </cell>
          <cell r="P220">
            <v>0.06</v>
          </cell>
          <cell r="Q220">
            <v>5.5E-2</v>
          </cell>
          <cell r="AE220">
            <v>-4.7778057324581971E-2</v>
          </cell>
          <cell r="AF220">
            <v>-4.8204379697598221E-2</v>
          </cell>
          <cell r="AG220">
            <v>-4.0977463684475995E-2</v>
          </cell>
          <cell r="AH220">
            <v>-0.78972748442479423</v>
          </cell>
          <cell r="AI220">
            <v>-0.11317813135142758</v>
          </cell>
          <cell r="AJ220">
            <v>-0.11723006504607579</v>
          </cell>
          <cell r="AK220">
            <v>-2.5026457507477264E-2</v>
          </cell>
          <cell r="AL220">
            <v>0.10016444963129691</v>
          </cell>
          <cell r="AM220">
            <v>0.10063697398005529</v>
          </cell>
          <cell r="AN220">
            <v>0.17676609771692223</v>
          </cell>
          <cell r="AO220">
            <v>0.13580278294776227</v>
          </cell>
          <cell r="AP220">
            <v>8.317256294565864E-2</v>
          </cell>
          <cell r="AQ220">
            <v>0.12369635720994972</v>
          </cell>
          <cell r="AR220">
            <v>9.7739984156148665E-2</v>
          </cell>
          <cell r="AS220">
            <v>0.10332480416425618</v>
          </cell>
          <cell r="AT220">
            <v>8.1623901036077889E-2</v>
          </cell>
          <cell r="AU220">
            <v>0.29308556699626231</v>
          </cell>
          <cell r="AV220">
            <v>9.7283179109183049E-2</v>
          </cell>
          <cell r="AW220">
            <v>9.4925009929779702E-2</v>
          </cell>
          <cell r="AX220">
            <v>-8.9039775269824012E-2</v>
          </cell>
          <cell r="AY220">
            <v>9.1069956602603891E-2</v>
          </cell>
          <cell r="AZ220">
            <v>9.1073357933579346E-2</v>
          </cell>
          <cell r="BA220">
            <v>9.0716937101185058E-2</v>
          </cell>
          <cell r="BB220">
            <v>8.9322742653606277E-2</v>
          </cell>
          <cell r="BC220">
            <v>7.5129249255122585E-2</v>
          </cell>
          <cell r="BD220">
            <v>6.3734117200515861E-2</v>
          </cell>
          <cell r="BE220">
            <v>6.348469006155949E-2</v>
          </cell>
          <cell r="BF220">
            <v>5.9507740508846781E-2</v>
          </cell>
          <cell r="BG220">
            <v>6.0713304401735869E-2</v>
          </cell>
          <cell r="BH220">
            <v>6.0715571955719562E-2</v>
          </cell>
          <cell r="BI220">
            <v>6.0477958067456677E-2</v>
          </cell>
          <cell r="BJ220">
            <v>5.9548495102404231E-2</v>
          </cell>
          <cell r="BK220">
            <v>5.7007797560315369E-2</v>
          </cell>
          <cell r="BL220">
            <v>5.7009926718985499E-2</v>
          </cell>
          <cell r="BM220">
            <v>5.678681508681379E-2</v>
          </cell>
          <cell r="BN220">
            <v>5.0665228533564102E-2</v>
          </cell>
        </row>
        <row r="221">
          <cell r="A221" t="str">
            <v xml:space="preserve">   ROA</v>
          </cell>
          <cell r="I221">
            <v>-0.21738963725224661</v>
          </cell>
          <cell r="J221">
            <v>-5.3148160463513242E-2</v>
          </cell>
          <cell r="K221">
            <v>0.11213718271136465</v>
          </cell>
          <cell r="L221">
            <v>9.8347097231655689E-2</v>
          </cell>
          <cell r="M221">
            <v>9.1821977140904301E-2</v>
          </cell>
          <cell r="N221">
            <v>8.7031452330085135E-2</v>
          </cell>
          <cell r="O221">
            <v>6.2962477942303044E-2</v>
          </cell>
          <cell r="P221">
            <v>5.8216395143661087E-2</v>
          </cell>
          <cell r="Q221">
            <v>5.3453152305940041E-2</v>
          </cell>
          <cell r="AE221">
            <v>-4.7226840566949126E-2</v>
          </cell>
          <cell r="AF221">
            <v>-4.5292844621458224E-2</v>
          </cell>
          <cell r="AG221">
            <v>-3.8586488498596583E-2</v>
          </cell>
          <cell r="AH221">
            <v>-0.83414712664504065</v>
          </cell>
          <cell r="AI221">
            <v>-0.12588736389427277</v>
          </cell>
          <cell r="AJ221">
            <v>-0.11778218641163776</v>
          </cell>
          <cell r="AK221">
            <v>-2.5148667859886831E-2</v>
          </cell>
          <cell r="AL221">
            <v>0.10041317936026228</v>
          </cell>
          <cell r="AM221">
            <v>9.6354640273089695E-2</v>
          </cell>
          <cell r="AN221">
            <v>0.16487032163884291</v>
          </cell>
          <cell r="AO221">
            <v>0.12697268947846604</v>
          </cell>
          <cell r="AP221">
            <v>7.7971478483725584E-2</v>
          </cell>
          <cell r="AQ221">
            <v>0.11697237852347832</v>
          </cell>
          <cell r="AR221">
            <v>9.4187658914400604E-2</v>
          </cell>
          <cell r="AS221">
            <v>9.9613945549102398E-2</v>
          </cell>
          <cell r="AT221">
            <v>7.8244846164423773E-2</v>
          </cell>
          <cell r="AU221">
            <v>0.27837181954018958</v>
          </cell>
          <cell r="AV221">
            <v>9.2951335106426489E-2</v>
          </cell>
          <cell r="AW221">
            <v>9.25469590450749E-2</v>
          </cell>
          <cell r="AX221">
            <v>-8.6281867048057556E-2</v>
          </cell>
          <cell r="AY221">
            <v>8.8008620501532533E-2</v>
          </cell>
          <cell r="AZ221">
            <v>8.8031371985962587E-2</v>
          </cell>
          <cell r="BA221">
            <v>8.771537978967521E-2</v>
          </cell>
          <cell r="BB221">
            <v>8.6421586710481724E-2</v>
          </cell>
          <cell r="BC221">
            <v>7.2727286999504703E-2</v>
          </cell>
          <cell r="BD221">
            <v>6.1709944781123453E-2</v>
          </cell>
          <cell r="BE221">
            <v>6.1488186204898765E-2</v>
          </cell>
          <cell r="BF221">
            <v>5.7672073771657735E-2</v>
          </cell>
          <cell r="BG221">
            <v>5.8870984038655691E-2</v>
          </cell>
          <cell r="BH221">
            <v>5.888588160739535E-2</v>
          </cell>
          <cell r="BI221">
            <v>5.8674037172960172E-2</v>
          </cell>
          <cell r="BJ221">
            <v>5.7807703974548832E-2</v>
          </cell>
          <cell r="BK221">
            <v>5.5369640715037298E-2</v>
          </cell>
          <cell r="BL221">
            <v>5.5383503540726083E-2</v>
          </cell>
          <cell r="BM221">
            <v>5.5184041067929297E-2</v>
          </cell>
          <cell r="BN221">
            <v>4.9265030608961459E-2</v>
          </cell>
        </row>
        <row r="223">
          <cell r="A223" t="str">
            <v>VALUE ADDITION TO PRICE TARGET</v>
          </cell>
          <cell r="Q223">
            <v>0.14300000000000013</v>
          </cell>
        </row>
        <row r="224">
          <cell r="A224" t="str">
            <v>Tax carried forward</v>
          </cell>
          <cell r="H224">
            <v>0.4</v>
          </cell>
          <cell r="I224">
            <v>0.3</v>
          </cell>
          <cell r="J224">
            <v>0.2</v>
          </cell>
          <cell r="K224">
            <v>0.1</v>
          </cell>
          <cell r="Q224">
            <v>115.92695400000011</v>
          </cell>
        </row>
        <row r="225">
          <cell r="H225">
            <v>2006</v>
          </cell>
          <cell r="I225">
            <v>2007</v>
          </cell>
          <cell r="J225">
            <v>2008</v>
          </cell>
          <cell r="K225">
            <v>2009</v>
          </cell>
        </row>
        <row r="226">
          <cell r="H226">
            <v>321.77221777125806</v>
          </cell>
          <cell r="I226">
            <v>324.65123235131665</v>
          </cell>
          <cell r="J226">
            <v>249.71090621688776</v>
          </cell>
          <cell r="K226">
            <v>38.865643660537643</v>
          </cell>
          <cell r="M226">
            <v>3400</v>
          </cell>
          <cell r="N226">
            <v>935.00000000000011</v>
          </cell>
          <cell r="Q226">
            <v>46392</v>
          </cell>
          <cell r="Y226">
            <v>46392</v>
          </cell>
        </row>
        <row r="227">
          <cell r="H227">
            <v>321.77221777125806</v>
          </cell>
          <cell r="I227">
            <v>289.86717174224697</v>
          </cell>
          <cell r="J227">
            <v>199.06800559381995</v>
          </cell>
          <cell r="K227">
            <v>27.663797476125204</v>
          </cell>
          <cell r="L227">
            <v>838.37119258345012</v>
          </cell>
          <cell r="Q227">
            <v>17.892081999999998</v>
          </cell>
          <cell r="Y227">
            <v>0</v>
          </cell>
        </row>
        <row r="228">
          <cell r="H228">
            <v>0.12</v>
          </cell>
          <cell r="P228">
            <v>5.5E-2</v>
          </cell>
          <cell r="Q228">
            <v>830.04946814399989</v>
          </cell>
          <cell r="Y228">
            <v>0</v>
          </cell>
        </row>
        <row r="229">
          <cell r="A229" t="str">
            <v>Written off assets</v>
          </cell>
          <cell r="H229">
            <v>9000</v>
          </cell>
          <cell r="Q229">
            <v>45.652720747919993</v>
          </cell>
          <cell r="Y229">
            <v>0</v>
          </cell>
        </row>
        <row r="230">
          <cell r="A230" t="str">
            <v xml:space="preserve">   Recovery ratio</v>
          </cell>
          <cell r="H230">
            <v>0.08</v>
          </cell>
        </row>
        <row r="231">
          <cell r="A231" t="str">
            <v xml:space="preserve">   Value of written off assets</v>
          </cell>
          <cell r="H231">
            <v>720</v>
          </cell>
          <cell r="L231">
            <v>1021.7894363041793</v>
          </cell>
          <cell r="Q231">
            <v>70.274233252080109</v>
          </cell>
          <cell r="Y231">
            <v>115.92695400000011</v>
          </cell>
          <cell r="Z231">
            <v>0.64963669662761747</v>
          </cell>
        </row>
        <row r="232">
          <cell r="L232">
            <v>-285.71428571428572</v>
          </cell>
          <cell r="Q232">
            <v>171.01657954187655</v>
          </cell>
          <cell r="Y232">
            <v>282.11522534401547</v>
          </cell>
          <cell r="Z232">
            <v>410.92058700000001</v>
          </cell>
          <cell r="AE232">
            <v>0</v>
          </cell>
        </row>
        <row r="233">
          <cell r="A233" t="str">
            <v>Value of excess capital</v>
          </cell>
          <cell r="H233">
            <v>1552.0468673972084</v>
          </cell>
          <cell r="L233">
            <v>-150</v>
          </cell>
          <cell r="Q233">
            <v>6480.0981195939867</v>
          </cell>
          <cell r="Y233">
            <v>6480.0981195939867</v>
          </cell>
        </row>
        <row r="234">
          <cell r="L234">
            <v>586.07515058989361</v>
          </cell>
          <cell r="Q234">
            <v>2.6391047849224799E-2</v>
          </cell>
          <cell r="Y234">
            <v>4.3535640994536592E-2</v>
          </cell>
        </row>
        <row r="235">
          <cell r="A235" t="str">
            <v>Value to SFG</v>
          </cell>
          <cell r="H235">
            <v>2048.5882774034239</v>
          </cell>
          <cell r="L235">
            <v>146.5187876474734</v>
          </cell>
        </row>
        <row r="236">
          <cell r="A236" t="str">
            <v xml:space="preserve">   # of shares</v>
          </cell>
          <cell r="H236">
            <v>410.92058700000001</v>
          </cell>
          <cell r="L236">
            <v>596.51878764747335</v>
          </cell>
        </row>
        <row r="237">
          <cell r="A237" t="str">
            <v xml:space="preserve">  Per share value</v>
          </cell>
          <cell r="H237">
            <v>4985.3629684497264</v>
          </cell>
        </row>
        <row r="239">
          <cell r="A239" t="str">
            <v>Goodwill creation</v>
          </cell>
          <cell r="H239">
            <v>3914.3974554892129</v>
          </cell>
        </row>
        <row r="240">
          <cell r="A240" t="str">
            <v xml:space="preserve">   Amortization</v>
          </cell>
          <cell r="M240">
            <v>293.57980916169095</v>
          </cell>
          <cell r="N240">
            <v>391.43974554892128</v>
          </cell>
          <cell r="O240">
            <v>391.43974554892128</v>
          </cell>
          <cell r="P240">
            <v>391.43974554892128</v>
          </cell>
          <cell r="Q240">
            <v>391.43974554892128</v>
          </cell>
          <cell r="AV240">
            <v>97.85993638723032</v>
          </cell>
          <cell r="AW240">
            <v>97.85993638723032</v>
          </cell>
          <cell r="AX240">
            <v>97.85993638723032</v>
          </cell>
          <cell r="AY240">
            <v>97.85993638723032</v>
          </cell>
          <cell r="AZ240">
            <v>97.85993638723032</v>
          </cell>
          <cell r="BA240">
            <v>97.85993638723032</v>
          </cell>
          <cell r="BB240">
            <v>97.85993638723032</v>
          </cell>
          <cell r="BC240">
            <v>97.85993638723032</v>
          </cell>
          <cell r="BD240">
            <v>97.85993638723032</v>
          </cell>
          <cell r="BE240">
            <v>97.85993638723032</v>
          </cell>
          <cell r="BF240">
            <v>97.85993638723032</v>
          </cell>
          <cell r="BG240">
            <v>97.85993638723032</v>
          </cell>
          <cell r="BH240">
            <v>97.85993638723032</v>
          </cell>
          <cell r="BI240">
            <v>97.85993638723032</v>
          </cell>
          <cell r="BJ240">
            <v>97.85993638723032</v>
          </cell>
          <cell r="BK240">
            <v>97.85993638723032</v>
          </cell>
          <cell r="BL240">
            <v>97.85993638723032</v>
          </cell>
          <cell r="BM240">
            <v>97.85993638723032</v>
          </cell>
          <cell r="BN240">
            <v>97.85993638723032</v>
          </cell>
        </row>
        <row r="241">
          <cell r="AU241">
            <v>3914.3974554892129</v>
          </cell>
          <cell r="AV241">
            <v>3816.5375191019825</v>
          </cell>
          <cell r="AW241">
            <v>3718.6775827147521</v>
          </cell>
          <cell r="AX241">
            <v>3620.8176463275217</v>
          </cell>
          <cell r="AY241">
            <v>3522.9577099402914</v>
          </cell>
          <cell r="AZ241">
            <v>3425.097773553061</v>
          </cell>
          <cell r="BA241">
            <v>3327.2378371658306</v>
          </cell>
          <cell r="BB241">
            <v>3229.3779007786002</v>
          </cell>
          <cell r="BC241">
            <v>3131.5179643913698</v>
          </cell>
          <cell r="BD241">
            <v>3033.6580280041394</v>
          </cell>
          <cell r="BE241">
            <v>2935.798091616909</v>
          </cell>
          <cell r="BF241">
            <v>2837.9381552296786</v>
          </cell>
          <cell r="BG241">
            <v>2740.0782188424482</v>
          </cell>
          <cell r="BH241">
            <v>2642.2182824552178</v>
          </cell>
          <cell r="BI241">
            <v>2544.3583460679874</v>
          </cell>
          <cell r="BJ241">
            <v>2446.498409680757</v>
          </cell>
          <cell r="BK241">
            <v>2348.6384732935267</v>
          </cell>
          <cell r="BL241">
            <v>2250.7785369062963</v>
          </cell>
          <cell r="BM241">
            <v>2152.9186005190659</v>
          </cell>
          <cell r="BN241">
            <v>2055.0586641318355</v>
          </cell>
        </row>
        <row r="243">
          <cell r="A243" t="str">
            <v>Funding cost</v>
          </cell>
        </row>
        <row r="244">
          <cell r="A244" t="str">
            <v xml:space="preserve">   CRPS</v>
          </cell>
          <cell r="M244">
            <v>20.742201821250003</v>
          </cell>
          <cell r="N244">
            <v>27.656269095000003</v>
          </cell>
          <cell r="O244">
            <v>27.656269095000003</v>
          </cell>
          <cell r="P244">
            <v>27.656269095000003</v>
          </cell>
          <cell r="Q244">
            <v>27.656269095000003</v>
          </cell>
          <cell r="AV244">
            <v>6.9140672737500006</v>
          </cell>
          <cell r="AW244">
            <v>6.9140672737500006</v>
          </cell>
          <cell r="AX244">
            <v>6.9140672737500006</v>
          </cell>
          <cell r="AY244">
            <v>6.9140672737500006</v>
          </cell>
          <cell r="AZ244">
            <v>6.9140672737500006</v>
          </cell>
          <cell r="BA244">
            <v>6.9140672737500006</v>
          </cell>
          <cell r="BB244">
            <v>6.9140672737500006</v>
          </cell>
          <cell r="BC244">
            <v>6.9140672737500006</v>
          </cell>
          <cell r="BD244">
            <v>6.9140672737500006</v>
          </cell>
          <cell r="BE244">
            <v>6.9140672737500006</v>
          </cell>
          <cell r="BF244">
            <v>6.9140672737500006</v>
          </cell>
          <cell r="BG244">
            <v>6.9140672737500006</v>
          </cell>
          <cell r="BH244">
            <v>6.9140672737500006</v>
          </cell>
          <cell r="BI244">
            <v>6.9140672737500006</v>
          </cell>
          <cell r="BJ244">
            <v>6.9140672737500006</v>
          </cell>
          <cell r="BK244">
            <v>6.9140672737500006</v>
          </cell>
          <cell r="BL244">
            <v>6.9140672737500006</v>
          </cell>
          <cell r="BM244">
            <v>6.9140672737500006</v>
          </cell>
          <cell r="BN244">
            <v>6.9140672737500006</v>
          </cell>
        </row>
        <row r="245">
          <cell r="A245" t="str">
            <v xml:space="preserve">   RPS</v>
          </cell>
          <cell r="M245">
            <v>152.19749999999999</v>
          </cell>
          <cell r="N245">
            <v>202.93</v>
          </cell>
          <cell r="O245">
            <v>202.93</v>
          </cell>
          <cell r="P245">
            <v>202.93</v>
          </cell>
          <cell r="Q245">
            <v>202.93</v>
          </cell>
          <cell r="AV245">
            <v>50.732499999999995</v>
          </cell>
          <cell r="AW245">
            <v>50.732499999999995</v>
          </cell>
          <cell r="AX245">
            <v>50.732499999999995</v>
          </cell>
          <cell r="AY245">
            <v>50.732500000000002</v>
          </cell>
          <cell r="AZ245">
            <v>50.732500000000002</v>
          </cell>
          <cell r="BA245">
            <v>50.732500000000002</v>
          </cell>
          <cell r="BB245">
            <v>50.732500000000002</v>
          </cell>
          <cell r="BC245">
            <v>50.732500000000002</v>
          </cell>
          <cell r="BD245">
            <v>50.732500000000002</v>
          </cell>
          <cell r="BE245">
            <v>50.732500000000002</v>
          </cell>
          <cell r="BF245">
            <v>50.732500000000002</v>
          </cell>
          <cell r="BG245">
            <v>50.732500000000002</v>
          </cell>
          <cell r="BH245">
            <v>50.732500000000002</v>
          </cell>
          <cell r="BI245">
            <v>50.732500000000002</v>
          </cell>
          <cell r="BJ245">
            <v>50.732500000000002</v>
          </cell>
          <cell r="BK245">
            <v>50.732500000000002</v>
          </cell>
          <cell r="BL245">
            <v>50.732500000000002</v>
          </cell>
          <cell r="BM245">
            <v>50.732500000000002</v>
          </cell>
          <cell r="BN245">
            <v>50.732500000000002</v>
          </cell>
        </row>
        <row r="255">
          <cell r="A255" t="str">
            <v>Tender Offer</v>
          </cell>
        </row>
        <row r="256">
          <cell r="A256" t="str">
            <v xml:space="preserve">   Price (Won)</v>
          </cell>
          <cell r="H256">
            <v>46392</v>
          </cell>
        </row>
        <row r="257">
          <cell r="A257" t="str">
            <v xml:space="preserve">   Period</v>
          </cell>
        </row>
      </sheetData>
      <sheetData sheetId="6" refreshError="1"/>
      <sheetData sheetId="7" refreshError="1"/>
      <sheetData sheetId="8" refreshError="1"/>
      <sheetData sheetId="9" refreshError="1">
        <row r="2">
          <cell r="B2" t="str">
            <v>SHINHAN FINANCIAL GROUP (055550.KS)</v>
          </cell>
          <cell r="O2" t="str">
            <v>Foreign exchange rate</v>
          </cell>
          <cell r="W2">
            <v>965.2</v>
          </cell>
        </row>
        <row r="3">
          <cell r="O3" t="str">
            <v>Current share price</v>
          </cell>
          <cell r="W3">
            <v>58900</v>
          </cell>
          <cell r="X3">
            <v>61.023622047244089</v>
          </cell>
        </row>
        <row r="5">
          <cell r="B5" t="str">
            <v>Profit and Loss Statements</v>
          </cell>
          <cell r="O5" t="str">
            <v>Per Share Data and Valuations</v>
          </cell>
        </row>
        <row r="6">
          <cell r="B6" t="str">
            <v>Won billions, Year ending Dec 31</v>
          </cell>
          <cell r="C6">
            <v>2000</v>
          </cell>
          <cell r="D6">
            <v>2001</v>
          </cell>
          <cell r="E6">
            <v>2002</v>
          </cell>
          <cell r="F6">
            <v>2003</v>
          </cell>
          <cell r="G6">
            <v>2004</v>
          </cell>
          <cell r="H6">
            <v>2005</v>
          </cell>
          <cell r="I6">
            <v>2006</v>
          </cell>
          <cell r="J6">
            <v>2007</v>
          </cell>
          <cell r="K6" t="str">
            <v>2008E</v>
          </cell>
          <cell r="L6" t="str">
            <v>2009E</v>
          </cell>
          <cell r="M6" t="str">
            <v>2010E</v>
          </cell>
          <cell r="O6" t="str">
            <v>Won billions, Year ending Dec 31</v>
          </cell>
          <cell r="P6">
            <v>2000</v>
          </cell>
          <cell r="Q6">
            <v>2001</v>
          </cell>
          <cell r="R6">
            <v>2002</v>
          </cell>
          <cell r="S6">
            <v>2003</v>
          </cell>
          <cell r="T6">
            <v>2004</v>
          </cell>
          <cell r="U6">
            <v>2005</v>
          </cell>
          <cell r="V6">
            <v>2006</v>
          </cell>
          <cell r="W6">
            <v>2007</v>
          </cell>
          <cell r="X6" t="str">
            <v>2008E</v>
          </cell>
          <cell r="Y6" t="str">
            <v>2009E</v>
          </cell>
          <cell r="Z6" t="str">
            <v>2010E</v>
          </cell>
        </row>
        <row r="7">
          <cell r="B7" t="str">
            <v>Avg Earning Assets</v>
          </cell>
          <cell r="C7">
            <v>0</v>
          </cell>
          <cell r="D7">
            <v>0</v>
          </cell>
          <cell r="E7">
            <v>49724.987999999998</v>
          </cell>
          <cell r="F7">
            <v>57957.267000000007</v>
          </cell>
          <cell r="G7">
            <v>112895.58162500002</v>
          </cell>
          <cell r="H7">
            <v>114974.23262499998</v>
          </cell>
          <cell r="I7">
            <v>120580.75200000001</v>
          </cell>
          <cell r="J7">
            <v>138812.614</v>
          </cell>
          <cell r="K7">
            <v>156516.76335599885</v>
          </cell>
          <cell r="L7">
            <v>168104.09170572687</v>
          </cell>
          <cell r="M7">
            <v>183115.62515496527</v>
          </cell>
          <cell r="O7" t="str">
            <v>Book Value Per Share (Won)</v>
          </cell>
          <cell r="P7" t="e">
            <v>#DIV/0!</v>
          </cell>
          <cell r="Q7">
            <v>0</v>
          </cell>
          <cell r="R7">
            <v>12451.998142403514</v>
          </cell>
          <cell r="S7">
            <v>12234.947540557414</v>
          </cell>
          <cell r="T7">
            <v>17506.335706253656</v>
          </cell>
          <cell r="U7">
            <v>22965.11908125148</v>
          </cell>
          <cell r="V7">
            <v>27798.766366076343</v>
          </cell>
          <cell r="W7">
            <v>35090.084731713381</v>
          </cell>
          <cell r="X7">
            <v>38673.070574065168</v>
          </cell>
          <cell r="Y7">
            <v>43296.866391284449</v>
          </cell>
          <cell r="Z7">
            <v>48332.025647816103</v>
          </cell>
        </row>
        <row r="8">
          <cell r="B8" t="str">
            <v>Net Interest Margin (%)</v>
          </cell>
          <cell r="C8" t="e">
            <v>#DIV/0!</v>
          </cell>
          <cell r="D8" t="e">
            <v>#DIV/0!</v>
          </cell>
          <cell r="E8">
            <v>2.5436245454699762</v>
          </cell>
          <cell r="F8">
            <v>2.0384052960951382</v>
          </cell>
          <cell r="G8">
            <v>3.1026550642394182</v>
          </cell>
          <cell r="H8">
            <v>2.9873692758946273</v>
          </cell>
          <cell r="I8">
            <v>2.5144859654814553</v>
          </cell>
          <cell r="J8">
            <v>2.3191199324291967</v>
          </cell>
          <cell r="K8">
            <v>2.1933726161836997</v>
          </cell>
          <cell r="L8">
            <v>2.1218156277862024</v>
          </cell>
          <cell r="M8">
            <v>2.0908781077618204</v>
          </cell>
          <cell r="O8" t="str">
            <v>Price/Book (x)</v>
          </cell>
          <cell r="P8" t="e">
            <v>#DIV/0!</v>
          </cell>
          <cell r="Q8" t="e">
            <v>#DIV/0!</v>
          </cell>
          <cell r="R8">
            <v>4.7301645347524106</v>
          </cell>
          <cell r="S8">
            <v>4.814078671343168</v>
          </cell>
          <cell r="T8">
            <v>3.3644962023068938</v>
          </cell>
          <cell r="U8">
            <v>2.5647591807214027</v>
          </cell>
          <cell r="V8">
            <v>2.1187990583595613</v>
          </cell>
          <cell r="W8">
            <v>1.6785368416841673</v>
          </cell>
          <cell r="X8">
            <v>1.5230236214938506</v>
          </cell>
          <cell r="Y8">
            <v>1.3603755862538915</v>
          </cell>
          <cell r="Z8">
            <v>1.2186536610153731</v>
          </cell>
        </row>
        <row r="9">
          <cell r="B9" t="str">
            <v xml:space="preserve">  Interest Income</v>
          </cell>
          <cell r="C9">
            <v>0</v>
          </cell>
          <cell r="D9">
            <v>0</v>
          </cell>
          <cell r="E9">
            <v>4093.9695122271314</v>
          </cell>
          <cell r="F9">
            <v>5645.5872263039464</v>
          </cell>
          <cell r="G9">
            <v>7980.9449999999997</v>
          </cell>
          <cell r="H9">
            <v>7884.7379999999994</v>
          </cell>
          <cell r="I9">
            <v>9262.9760000000006</v>
          </cell>
          <cell r="J9">
            <v>13320.949000000001</v>
          </cell>
          <cell r="K9">
            <v>15333.669285486485</v>
          </cell>
          <cell r="L9">
            <v>16380.001282212468</v>
          </cell>
          <cell r="M9">
            <v>17964.533621263272</v>
          </cell>
          <cell r="O9" t="str">
            <v>ROAA (%)</v>
          </cell>
          <cell r="P9" t="e">
            <v>#DIV/0!</v>
          </cell>
          <cell r="Q9" t="e">
            <v>#DIV/0!</v>
          </cell>
          <cell r="R9">
            <v>1.8406863534163227</v>
          </cell>
          <cell r="S9">
            <v>0.39444653993212997</v>
          </cell>
          <cell r="T9">
            <v>0.74210067252642919</v>
          </cell>
          <cell r="U9">
            <v>1.1322192125998027</v>
          </cell>
          <cell r="V9">
            <v>1.1205480808626735</v>
          </cell>
          <cell r="W9">
            <v>1.1246407990881466</v>
          </cell>
          <cell r="X9">
            <v>1.1471067263024362</v>
          </cell>
          <cell r="Y9">
            <v>1.1251049747283821</v>
          </cell>
          <cell r="Z9">
            <v>1.1350010193471678</v>
          </cell>
        </row>
        <row r="10">
          <cell r="B10" t="str">
            <v xml:space="preserve">  Interest Expense</v>
          </cell>
          <cell r="C10">
            <v>0</v>
          </cell>
          <cell r="D10">
            <v>0</v>
          </cell>
          <cell r="E10">
            <v>2352.14</v>
          </cell>
          <cell r="F10">
            <v>2996.8960000000002</v>
          </cell>
          <cell r="G10">
            <v>3985.7900000000004</v>
          </cell>
          <cell r="H10">
            <v>3841.9270000000001</v>
          </cell>
          <cell r="I10">
            <v>4782.1670000000004</v>
          </cell>
          <cell r="J10">
            <v>6867.6059999999998</v>
          </cell>
          <cell r="K10">
            <v>8503.8665613400481</v>
          </cell>
          <cell r="L10">
            <v>9051.3068073174618</v>
          </cell>
          <cell r="M10">
            <v>9932.789299601649</v>
          </cell>
          <cell r="O10" t="str">
            <v>ROAE (Reported, %)</v>
          </cell>
          <cell r="S10">
            <v>9.319788443136142</v>
          </cell>
          <cell r="T10">
            <v>18.493212606186336</v>
          </cell>
          <cell r="U10">
            <v>21.581550838516041</v>
          </cell>
          <cell r="V10">
            <v>17.903234941104078</v>
          </cell>
          <cell r="W10">
            <v>17.454531018625993</v>
          </cell>
          <cell r="X10">
            <v>14.580874080497095</v>
          </cell>
          <cell r="Y10">
            <v>14.129812046500506</v>
          </cell>
          <cell r="Z10">
            <v>13.97476780686093</v>
          </cell>
        </row>
        <row r="11">
          <cell r="B11" t="str">
            <v>Net Interest Income (NII)</v>
          </cell>
          <cell r="C11">
            <v>0</v>
          </cell>
          <cell r="D11">
            <v>0</v>
          </cell>
          <cell r="E11">
            <v>1741.8295122271315</v>
          </cell>
          <cell r="F11">
            <v>2648.6912263039462</v>
          </cell>
          <cell r="G11">
            <v>3995.1549999999993</v>
          </cell>
          <cell r="H11">
            <v>4042.8109999999992</v>
          </cell>
          <cell r="I11">
            <v>4480.8090000000002</v>
          </cell>
          <cell r="J11">
            <v>6453.3430000000008</v>
          </cell>
          <cell r="K11">
            <v>6829.802724146437</v>
          </cell>
          <cell r="L11">
            <v>7328.6944748950064</v>
          </cell>
          <cell r="M11">
            <v>8031.744321661623</v>
          </cell>
          <cell r="O11" t="str">
            <v>ROAE (ModelWare, %)</v>
          </cell>
          <cell r="T11">
            <v>20.174543848069664</v>
          </cell>
          <cell r="U11">
            <v>22.968598483969629</v>
          </cell>
          <cell r="V11">
            <v>19.550041310098013</v>
          </cell>
          <cell r="W11">
            <v>17.91244842551021</v>
          </cell>
          <cell r="X11">
            <v>17.570013356211028</v>
          </cell>
          <cell r="Y11">
            <v>16.819680463970368</v>
          </cell>
          <cell r="Z11">
            <v>16.381086815182027</v>
          </cell>
        </row>
        <row r="12">
          <cell r="B12" t="str">
            <v>Loan Loss Prov Exp (LLPE)</v>
          </cell>
          <cell r="C12">
            <v>0</v>
          </cell>
          <cell r="D12">
            <v>0</v>
          </cell>
          <cell r="E12">
            <v>210.54599999999999</v>
          </cell>
          <cell r="F12">
            <v>1096.3929999999998</v>
          </cell>
          <cell r="G12">
            <v>1384.81</v>
          </cell>
          <cell r="H12">
            <v>902.69299999999998</v>
          </cell>
          <cell r="I12">
            <v>584.55900000000008</v>
          </cell>
          <cell r="J12">
            <v>866.42300000000012</v>
          </cell>
          <cell r="K12">
            <v>640.41421074056257</v>
          </cell>
          <cell r="L12">
            <v>779.5551711577657</v>
          </cell>
          <cell r="M12">
            <v>974.64059532565352</v>
          </cell>
        </row>
        <row r="13">
          <cell r="B13" t="str">
            <v>NII After LLPE</v>
          </cell>
          <cell r="C13">
            <v>0</v>
          </cell>
          <cell r="D13">
            <v>0</v>
          </cell>
          <cell r="E13">
            <v>1531.2835122271315</v>
          </cell>
          <cell r="F13">
            <v>1552.2982263039464</v>
          </cell>
          <cell r="G13">
            <v>2610.3449999999993</v>
          </cell>
          <cell r="H13">
            <v>3140.1179999999995</v>
          </cell>
          <cell r="I13">
            <v>3896.25</v>
          </cell>
          <cell r="J13">
            <v>5586.920000000001</v>
          </cell>
          <cell r="K13">
            <v>6189.3885134058746</v>
          </cell>
          <cell r="L13">
            <v>6549.1393037372409</v>
          </cell>
          <cell r="M13">
            <v>7057.1037263359694</v>
          </cell>
          <cell r="O13" t="str">
            <v>MW EPS Growth (%)</v>
          </cell>
          <cell r="S13">
            <v>-43.00337837184518</v>
          </cell>
          <cell r="T13">
            <v>143.37954558801238</v>
          </cell>
          <cell r="U13">
            <v>56.245570769616073</v>
          </cell>
          <cell r="V13">
            <v>8.927047444434443</v>
          </cell>
          <cell r="W13">
            <v>9.9238632538054983</v>
          </cell>
          <cell r="X13">
            <v>18.800169290303479</v>
          </cell>
          <cell r="Y13">
            <v>6.3801906980504919</v>
          </cell>
          <cell r="Z13">
            <v>8.8686418581237056</v>
          </cell>
        </row>
        <row r="14">
          <cell r="O14" t="str">
            <v>Current P/MW EPS</v>
          </cell>
          <cell r="P14" t="e">
            <v>#DIV/0!</v>
          </cell>
          <cell r="Q14" t="e">
            <v>#DIV/0!</v>
          </cell>
          <cell r="R14">
            <v>28.023307521997893</v>
          </cell>
          <cell r="S14">
            <v>49.166611496417396</v>
          </cell>
          <cell r="T14">
            <v>20.201620221464939</v>
          </cell>
          <cell r="U14">
            <v>12.929403452499916</v>
          </cell>
          <cell r="V14">
            <v>11.869782350518062</v>
          </cell>
          <cell r="W14">
            <v>10.798185215808578</v>
          </cell>
          <cell r="X14">
            <v>9.0893685424149719</v>
          </cell>
          <cell r="Y14">
            <v>8.5442303522600689</v>
          </cell>
          <cell r="Z14">
            <v>7.8482014714529154</v>
          </cell>
        </row>
        <row r="15">
          <cell r="B15" t="str">
            <v>Non-interest Income</v>
          </cell>
        </row>
        <row r="16">
          <cell r="B16" t="str">
            <v>Fees and Commissions</v>
          </cell>
          <cell r="C16">
            <v>0</v>
          </cell>
          <cell r="D16">
            <v>0</v>
          </cell>
          <cell r="E16">
            <v>284.00548777286809</v>
          </cell>
          <cell r="F16">
            <v>560.02877369605358</v>
          </cell>
          <cell r="G16">
            <v>718.28499999999985</v>
          </cell>
          <cell r="H16">
            <v>943.00099999999998</v>
          </cell>
          <cell r="I16">
            <v>786.91399999999999</v>
          </cell>
          <cell r="J16">
            <v>590.197</v>
          </cell>
          <cell r="K16">
            <v>681.11272646689088</v>
          </cell>
          <cell r="L16">
            <v>767.98008956179763</v>
          </cell>
          <cell r="M16">
            <v>819.50997851175975</v>
          </cell>
          <cell r="O16" t="str">
            <v>Gross Dividends</v>
          </cell>
          <cell r="P16">
            <v>0</v>
          </cell>
          <cell r="Q16">
            <v>150.812285352</v>
          </cell>
          <cell r="R16">
            <v>157.49299999999999</v>
          </cell>
          <cell r="S16">
            <v>185.54912639999998</v>
          </cell>
          <cell r="T16">
            <v>266.29053524999995</v>
          </cell>
          <cell r="U16">
            <v>295.9627792</v>
          </cell>
          <cell r="V16">
            <v>335.32384230000002</v>
          </cell>
          <cell r="W16">
            <v>356.57962830000002</v>
          </cell>
          <cell r="X16">
            <v>452.01264570000001</v>
          </cell>
          <cell r="Y16">
            <v>534.1967631</v>
          </cell>
          <cell r="Z16">
            <v>616.38088049999999</v>
          </cell>
        </row>
        <row r="17">
          <cell r="B17" t="str">
            <v>Dividend Income</v>
          </cell>
          <cell r="C17">
            <v>0</v>
          </cell>
          <cell r="D17">
            <v>0</v>
          </cell>
          <cell r="E17">
            <v>16.09</v>
          </cell>
          <cell r="F17">
            <v>8.4960000000000004</v>
          </cell>
          <cell r="G17">
            <v>78.173000000000002</v>
          </cell>
          <cell r="H17">
            <v>90.212000000000003</v>
          </cell>
          <cell r="I17">
            <v>97.061000000000007</v>
          </cell>
          <cell r="J17">
            <v>106.523</v>
          </cell>
          <cell r="K17">
            <v>110.55519089680313</v>
          </cell>
          <cell r="L17">
            <v>117.63362409418171</v>
          </cell>
          <cell r="M17">
            <v>123.65242509085931</v>
          </cell>
          <cell r="O17" t="str">
            <v>Gross DPS (Won)</v>
          </cell>
          <cell r="P17">
            <v>0</v>
          </cell>
          <cell r="Q17">
            <v>574.58669542322627</v>
          </cell>
          <cell r="R17">
            <v>600.00201685832212</v>
          </cell>
          <cell r="S17">
            <v>600</v>
          </cell>
          <cell r="T17">
            <v>750</v>
          </cell>
          <cell r="U17">
            <v>800</v>
          </cell>
          <cell r="V17">
            <v>900</v>
          </cell>
          <cell r="W17">
            <v>900</v>
          </cell>
          <cell r="X17">
            <v>1100</v>
          </cell>
          <cell r="Y17">
            <v>1300</v>
          </cell>
          <cell r="Z17">
            <v>1500</v>
          </cell>
        </row>
        <row r="18">
          <cell r="B18" t="str">
            <v>Forex Income</v>
          </cell>
          <cell r="C18">
            <v>0</v>
          </cell>
          <cell r="D18">
            <v>0</v>
          </cell>
          <cell r="E18">
            <v>85.564000000000021</v>
          </cell>
          <cell r="F18">
            <v>120.42400000000001</v>
          </cell>
          <cell r="G18">
            <v>149.31499999999994</v>
          </cell>
          <cell r="H18">
            <v>53.08199999999988</v>
          </cell>
          <cell r="I18">
            <v>124.31200000000013</v>
          </cell>
          <cell r="J18">
            <v>158.28400000000011</v>
          </cell>
          <cell r="K18">
            <v>-24.557502560363901</v>
          </cell>
          <cell r="L18">
            <v>0</v>
          </cell>
          <cell r="M18">
            <v>0</v>
          </cell>
          <cell r="O18" t="str">
            <v>Dividend Yield (Current Price, %)</v>
          </cell>
          <cell r="P18">
            <v>0</v>
          </cell>
          <cell r="Q18">
            <v>0.97552919426693763</v>
          </cell>
          <cell r="R18">
            <v>1.0186791457696469</v>
          </cell>
          <cell r="S18">
            <v>1.0186757215619695</v>
          </cell>
          <cell r="T18">
            <v>1.2733446519524618</v>
          </cell>
          <cell r="U18">
            <v>1.3582342954159592</v>
          </cell>
          <cell r="V18">
            <v>1.5280135823429541</v>
          </cell>
          <cell r="W18">
            <v>1.5280135823429541</v>
          </cell>
          <cell r="X18">
            <v>1.8675721561969438</v>
          </cell>
          <cell r="Y18">
            <v>2.2071307300509337</v>
          </cell>
          <cell r="Z18">
            <v>2.5466893039049237</v>
          </cell>
        </row>
        <row r="19">
          <cell r="B19" t="str">
            <v>Other trading income</v>
          </cell>
          <cell r="C19">
            <v>0</v>
          </cell>
          <cell r="D19">
            <v>0</v>
          </cell>
          <cell r="E19">
            <v>70.039000000000172</v>
          </cell>
          <cell r="F19">
            <v>54.36600000000012</v>
          </cell>
          <cell r="G19">
            <v>258.37800000000004</v>
          </cell>
          <cell r="H19">
            <v>152.58600000000035</v>
          </cell>
          <cell r="I19">
            <v>266.34400000000062</v>
          </cell>
          <cell r="J19">
            <v>156.21800000000036</v>
          </cell>
          <cell r="K19">
            <v>251.36587948925239</v>
          </cell>
          <cell r="L19">
            <v>308.92084917054422</v>
          </cell>
          <cell r="M19">
            <v>330.7706676874318</v>
          </cell>
          <cell r="O19" t="str">
            <v>Dividend Payout Ratio (%)</v>
          </cell>
          <cell r="P19" t="e">
            <v>#DIV/0!</v>
          </cell>
          <cell r="Q19" t="e">
            <v>#DIV/0!</v>
          </cell>
          <cell r="R19">
            <v>26.154546194302881</v>
          </cell>
          <cell r="S19">
            <v>51.117151641376694</v>
          </cell>
          <cell r="T19">
            <v>27.369656976640123</v>
          </cell>
          <cell r="U19">
            <v>18.120936123595342</v>
          </cell>
          <cell r="V19">
            <v>19.339113261303069</v>
          </cell>
          <cell r="W19">
            <v>16.326040681605729</v>
          </cell>
          <cell r="X19">
            <v>20.455007142560472</v>
          </cell>
          <cell r="Y19">
            <v>22.448243362362387</v>
          </cell>
          <cell r="Z19">
            <v>23.194200838310451</v>
          </cell>
        </row>
        <row r="20">
          <cell r="B20" t="str">
            <v>Other Income</v>
          </cell>
          <cell r="C20">
            <v>0</v>
          </cell>
          <cell r="D20">
            <v>0</v>
          </cell>
          <cell r="E20">
            <v>-106.20799999999986</v>
          </cell>
          <cell r="F20">
            <v>-161.6880000000005</v>
          </cell>
          <cell r="G20">
            <v>-156.81999999999826</v>
          </cell>
          <cell r="H20">
            <v>-174.83300000000094</v>
          </cell>
          <cell r="I20">
            <v>226.38765746088018</v>
          </cell>
          <cell r="J20">
            <v>1059.8640000000009</v>
          </cell>
          <cell r="K20">
            <v>293.53675247954277</v>
          </cell>
          <cell r="L20">
            <v>242.73044249755469</v>
          </cell>
          <cell r="M20">
            <v>265.92746223075414</v>
          </cell>
        </row>
        <row r="21">
          <cell r="B21" t="str">
            <v>Total Non-interest Income</v>
          </cell>
          <cell r="C21">
            <v>0</v>
          </cell>
          <cell r="D21">
            <v>0</v>
          </cell>
          <cell r="E21">
            <v>349.49048777286839</v>
          </cell>
          <cell r="F21">
            <v>581.62677369605308</v>
          </cell>
          <cell r="G21">
            <v>1047.3310000000015</v>
          </cell>
          <cell r="H21">
            <v>1064.0479999999993</v>
          </cell>
          <cell r="I21">
            <v>1501.0186574608811</v>
          </cell>
          <cell r="J21">
            <v>2071.0860000000011</v>
          </cell>
          <cell r="K21">
            <v>1312.0130467721251</v>
          </cell>
          <cell r="L21">
            <v>1437.2650053240782</v>
          </cell>
          <cell r="M21">
            <v>1539.8605335208051</v>
          </cell>
          <cell r="O21" t="str">
            <v>Issued Shares (m)</v>
          </cell>
          <cell r="P21">
            <v>0</v>
          </cell>
          <cell r="Q21">
            <v>292.34419200000002</v>
          </cell>
          <cell r="R21">
            <v>292.36112500000002</v>
          </cell>
          <cell r="S21">
            <v>339.12190299999997</v>
          </cell>
          <cell r="T21">
            <v>364.03961399999997</v>
          </cell>
          <cell r="U21">
            <v>381.56761399999999</v>
          </cell>
          <cell r="V21">
            <v>381.56761399999999</v>
          </cell>
          <cell r="W21">
            <v>410.92058700000001</v>
          </cell>
          <cell r="X21">
            <v>410.92058700000001</v>
          </cell>
          <cell r="Y21">
            <v>410.92058700000001</v>
          </cell>
          <cell r="Z21">
            <v>410.92058700000001</v>
          </cell>
        </row>
        <row r="22">
          <cell r="O22" t="str">
            <v>Market Cap (Wonbn)</v>
          </cell>
          <cell r="P22">
            <v>0</v>
          </cell>
          <cell r="Q22">
            <v>17219.072908800001</v>
          </cell>
          <cell r="R22">
            <v>17220.070262499998</v>
          </cell>
          <cell r="S22">
            <v>19974.280086700001</v>
          </cell>
          <cell r="T22">
            <v>21441.933264599997</v>
          </cell>
          <cell r="U22">
            <v>22474.3324646</v>
          </cell>
          <cell r="V22">
            <v>22474.3324646</v>
          </cell>
          <cell r="W22">
            <v>24203.222574300002</v>
          </cell>
          <cell r="X22">
            <v>24203.222574300002</v>
          </cell>
          <cell r="Y22">
            <v>24203.222574300002</v>
          </cell>
          <cell r="Z22">
            <v>24203.222574300002</v>
          </cell>
        </row>
        <row r="23">
          <cell r="B23" t="str">
            <v>Non-interest Expense</v>
          </cell>
          <cell r="O23" t="str">
            <v>Market Cap (US$mn)</v>
          </cell>
          <cell r="P23">
            <v>0</v>
          </cell>
          <cell r="Q23">
            <v>17839.901480314962</v>
          </cell>
          <cell r="R23">
            <v>17840.934793307086</v>
          </cell>
          <cell r="S23">
            <v>20694.446836614174</v>
          </cell>
          <cell r="T23">
            <v>22215.015814960625</v>
          </cell>
          <cell r="U23">
            <v>23284.637862204723</v>
          </cell>
          <cell r="V23">
            <v>23284.637862204723</v>
          </cell>
          <cell r="W23">
            <v>25075.862592519687</v>
          </cell>
          <cell r="X23">
            <v>25075.862592519687</v>
          </cell>
          <cell r="Y23">
            <v>25075.862592519687</v>
          </cell>
          <cell r="Z23">
            <v>25075.862592519687</v>
          </cell>
        </row>
        <row r="24">
          <cell r="B24" t="str">
            <v>Salaries &amp; Benefits</v>
          </cell>
          <cell r="C24">
            <v>0</v>
          </cell>
          <cell r="D24">
            <v>0</v>
          </cell>
          <cell r="E24">
            <v>563.56799999999998</v>
          </cell>
          <cell r="F24">
            <v>739.86200000000008</v>
          </cell>
          <cell r="G24">
            <v>1249.345</v>
          </cell>
          <cell r="H24">
            <v>1458.665</v>
          </cell>
          <cell r="I24">
            <v>1705.1170000000002</v>
          </cell>
          <cell r="J24">
            <v>2079.808</v>
          </cell>
          <cell r="K24">
            <v>2208.3588068099407</v>
          </cell>
          <cell r="L24">
            <v>2412.8204672103607</v>
          </cell>
          <cell r="M24">
            <v>2571.928177527634</v>
          </cell>
        </row>
        <row r="25">
          <cell r="B25" t="str">
            <v>Net Occupancy &amp; Equipment</v>
          </cell>
          <cell r="C25">
            <v>0</v>
          </cell>
          <cell r="D25">
            <v>0</v>
          </cell>
          <cell r="E25">
            <v>30.073</v>
          </cell>
          <cell r="F25">
            <v>47.597999999999999</v>
          </cell>
          <cell r="G25">
            <v>77.260999999999996</v>
          </cell>
          <cell r="H25">
            <v>88.057999999999993</v>
          </cell>
          <cell r="I25">
            <v>117.727</v>
          </cell>
          <cell r="J25">
            <v>163.23599999999999</v>
          </cell>
          <cell r="K25">
            <v>184.0946179960942</v>
          </cell>
          <cell r="L25">
            <v>194.38932776474522</v>
          </cell>
          <cell r="M25">
            <v>204.65487740003638</v>
          </cell>
          <cell r="O25" t="str">
            <v>PERFORMANCE RATIOS</v>
          </cell>
        </row>
        <row r="26">
          <cell r="B26" t="str">
            <v>Other Expenses</v>
          </cell>
          <cell r="C26">
            <v>0</v>
          </cell>
          <cell r="D26">
            <v>0</v>
          </cell>
          <cell r="E26">
            <v>348.11599999999999</v>
          </cell>
          <cell r="F26">
            <v>560.67899999999997</v>
          </cell>
          <cell r="G26">
            <v>861.28100000000018</v>
          </cell>
          <cell r="H26">
            <v>881.26499999999976</v>
          </cell>
          <cell r="I26">
            <v>1150.1221496401095</v>
          </cell>
          <cell r="J26">
            <v>1723.6419999999998</v>
          </cell>
          <cell r="K26">
            <v>1645.2775116999671</v>
          </cell>
          <cell r="L26">
            <v>1708.8365000409808</v>
          </cell>
          <cell r="M26">
            <v>1812.9344399135971</v>
          </cell>
          <cell r="O26" t="str">
            <v>Won billions, Year ending Dec 31</v>
          </cell>
          <cell r="P26">
            <v>2000</v>
          </cell>
          <cell r="Q26">
            <v>2001</v>
          </cell>
          <cell r="R26">
            <v>2002</v>
          </cell>
          <cell r="S26">
            <v>2003</v>
          </cell>
          <cell r="T26">
            <v>2004</v>
          </cell>
          <cell r="U26">
            <v>2005</v>
          </cell>
          <cell r="V26">
            <v>2006</v>
          </cell>
          <cell r="W26">
            <v>2007</v>
          </cell>
          <cell r="X26" t="str">
            <v>2008E</v>
          </cell>
          <cell r="Y26" t="str">
            <v>2009E</v>
          </cell>
          <cell r="Z26" t="str">
            <v>2010E</v>
          </cell>
        </row>
        <row r="27">
          <cell r="B27" t="str">
            <v>Total Non-interest Expense</v>
          </cell>
          <cell r="C27">
            <v>0</v>
          </cell>
          <cell r="D27">
            <v>0</v>
          </cell>
          <cell r="E27">
            <v>941.75699999999995</v>
          </cell>
          <cell r="F27">
            <v>1348.1390000000001</v>
          </cell>
          <cell r="G27">
            <v>2187.8870000000002</v>
          </cell>
          <cell r="H27">
            <v>2427.9879999999998</v>
          </cell>
          <cell r="I27">
            <v>2972.9661496401095</v>
          </cell>
          <cell r="J27">
            <v>3966.6859999999997</v>
          </cell>
          <cell r="K27">
            <v>4037.7309365060019</v>
          </cell>
          <cell r="L27">
            <v>4316.0462950160872</v>
          </cell>
          <cell r="M27">
            <v>4589.5174948412678</v>
          </cell>
          <cell r="O27" t="str">
            <v>Growth (%)</v>
          </cell>
        </row>
        <row r="28">
          <cell r="O28" t="str">
            <v>Net Interest Income</v>
          </cell>
          <cell r="P28" t="e">
            <v>#DIV/0!</v>
          </cell>
          <cell r="Q28" t="e">
            <v>#DIV/0!</v>
          </cell>
          <cell r="R28" t="e">
            <v>#DIV/0!</v>
          </cell>
          <cell r="S28">
            <v>52.06374721009788</v>
          </cell>
          <cell r="T28">
            <v>50.83505998450957</v>
          </cell>
          <cell r="U28">
            <v>1.1928448333043296</v>
          </cell>
          <cell r="V28">
            <v>10.833996444553096</v>
          </cell>
          <cell r="W28">
            <v>44.02182730841686</v>
          </cell>
          <cell r="X28">
            <v>5.8335613672857001</v>
          </cell>
          <cell r="Y28">
            <v>7.3046290046528295</v>
          </cell>
          <cell r="Z28">
            <v>9.5931116950633832</v>
          </cell>
        </row>
        <row r="29">
          <cell r="B29" t="str">
            <v>Pre-tax Operating Profit</v>
          </cell>
          <cell r="C29">
            <v>0</v>
          </cell>
          <cell r="D29">
            <v>0</v>
          </cell>
          <cell r="E29">
            <v>939.01699999999994</v>
          </cell>
          <cell r="F29">
            <v>785.78599999999915</v>
          </cell>
          <cell r="G29">
            <v>1469.7890000000007</v>
          </cell>
          <cell r="H29">
            <v>1776.1779999999994</v>
          </cell>
          <cell r="I29">
            <v>2424.302507820772</v>
          </cell>
          <cell r="J29">
            <v>3691.3200000000024</v>
          </cell>
          <cell r="K29">
            <v>3463.6706236719974</v>
          </cell>
          <cell r="L29">
            <v>3670.3580140452323</v>
          </cell>
          <cell r="M29">
            <v>4007.4467650155075</v>
          </cell>
          <cell r="O29" t="str">
            <v>Non-interest Income</v>
          </cell>
          <cell r="P29" t="e">
            <v>#DIV/0!</v>
          </cell>
          <cell r="Q29" t="e">
            <v>#DIV/0!</v>
          </cell>
          <cell r="R29" t="e">
            <v>#DIV/0!</v>
          </cell>
          <cell r="S29">
            <v>66.421345943483459</v>
          </cell>
          <cell r="T29">
            <v>80.069255296578973</v>
          </cell>
          <cell r="U29">
            <v>1.5961525057501147</v>
          </cell>
          <cell r="V29">
            <v>41.066818175578732</v>
          </cell>
          <cell r="W29">
            <v>37.978697979906826</v>
          </cell>
          <cell r="X29">
            <v>-36.650962501213158</v>
          </cell>
          <cell r="Y29">
            <v>9.5465482496613685</v>
          </cell>
          <cell r="Z29">
            <v>7.1382471441718165</v>
          </cell>
        </row>
        <row r="30">
          <cell r="B30" t="str">
            <v>Associate Profit/Loss</v>
          </cell>
          <cell r="C30">
            <v>0</v>
          </cell>
          <cell r="D30">
            <v>0</v>
          </cell>
          <cell r="E30">
            <v>-86.700999999999993</v>
          </cell>
          <cell r="F30">
            <v>-154.80699999999999</v>
          </cell>
          <cell r="G30">
            <v>-136.00800000000001</v>
          </cell>
          <cell r="H30">
            <v>235.04500000000002</v>
          </cell>
          <cell r="I30">
            <v>89.374492179227758</v>
          </cell>
          <cell r="J30">
            <v>195.19999999999996</v>
          </cell>
          <cell r="K30">
            <v>115.26840718750049</v>
          </cell>
          <cell r="L30">
            <v>94.894787908159159</v>
          </cell>
          <cell r="M30">
            <v>94.929184250876901</v>
          </cell>
          <cell r="O30" t="str">
            <v>Non-interest Expense</v>
          </cell>
          <cell r="P30" t="e">
            <v>#DIV/0!</v>
          </cell>
          <cell r="Q30" t="e">
            <v>#DIV/0!</v>
          </cell>
          <cell r="R30" t="e">
            <v>#DIV/0!</v>
          </cell>
          <cell r="S30">
            <v>43.151471133211672</v>
          </cell>
          <cell r="T30">
            <v>62.289422678225307</v>
          </cell>
          <cell r="U30">
            <v>10.974104238473004</v>
          </cell>
          <cell r="V30">
            <v>22.445668991778778</v>
          </cell>
          <cell r="W30">
            <v>33.425198954255976</v>
          </cell>
          <cell r="X30">
            <v>1.7910400900399415</v>
          </cell>
          <cell r="Y30">
            <v>6.8928653961009667</v>
          </cell>
          <cell r="Z30">
            <v>6.3361507530854899</v>
          </cell>
        </row>
        <row r="31">
          <cell r="O31" t="str">
            <v>Recurrent Net Profit After Tax (FD)</v>
          </cell>
          <cell r="P31" t="e">
            <v>#DIV/0!</v>
          </cell>
          <cell r="Q31" t="e">
            <v>#DIV/0!</v>
          </cell>
          <cell r="R31" t="e">
            <v>#DIV/0!</v>
          </cell>
          <cell r="S31">
            <v>-28.701637719056571</v>
          </cell>
          <cell r="T31">
            <v>163.12278635744221</v>
          </cell>
          <cell r="U31">
            <v>24.921595152984001</v>
          </cell>
          <cell r="V31">
            <v>15.139496538870944</v>
          </cell>
          <cell r="W31">
            <v>79.030705112855856</v>
          </cell>
          <cell r="X31">
            <v>-24.880338826641513</v>
          </cell>
          <cell r="Y31">
            <v>6.2652160099088583</v>
          </cell>
          <cell r="Z31">
            <v>9.6678432295888239</v>
          </cell>
        </row>
        <row r="32">
          <cell r="B32" t="str">
            <v>Profit Before Tax</v>
          </cell>
          <cell r="C32">
            <v>0</v>
          </cell>
          <cell r="D32">
            <v>0</v>
          </cell>
          <cell r="E32">
            <v>852.31599999999992</v>
          </cell>
          <cell r="F32">
            <v>630.97899999999913</v>
          </cell>
          <cell r="G32">
            <v>1333.7810000000006</v>
          </cell>
          <cell r="H32">
            <v>2011.2229999999995</v>
          </cell>
          <cell r="I32">
            <v>2513.6769999999997</v>
          </cell>
          <cell r="J32">
            <v>3886.5200000000023</v>
          </cell>
          <cell r="K32">
            <v>3578.939030859498</v>
          </cell>
          <cell r="L32">
            <v>3765.2528019533916</v>
          </cell>
          <cell r="M32">
            <v>4102.3759492663839</v>
          </cell>
          <cell r="O32" t="str">
            <v>Net Profit</v>
          </cell>
          <cell r="P32" t="e">
            <v>#DIV/0!</v>
          </cell>
          <cell r="Q32" t="e">
            <v>#DIV/0!</v>
          </cell>
          <cell r="R32" t="e">
            <v>#DIV/0!</v>
          </cell>
          <cell r="S32">
            <v>-39.719311880670304</v>
          </cell>
          <cell r="T32">
            <v>168.03660485497454</v>
          </cell>
          <cell r="U32">
            <v>67.868840700506965</v>
          </cell>
          <cell r="V32">
            <v>6.1625666129573764</v>
          </cell>
          <cell r="W32">
            <v>25.96438673189747</v>
          </cell>
          <cell r="X32">
            <v>1.1754852330420285</v>
          </cell>
          <cell r="Y32">
            <v>7.688156084542408</v>
          </cell>
          <cell r="Z32">
            <v>10.556950206565352</v>
          </cell>
        </row>
        <row r="33">
          <cell r="B33" t="str">
            <v>Effective Tax</v>
          </cell>
          <cell r="C33" t="e">
            <v>#DIV/0!</v>
          </cell>
          <cell r="D33" t="e">
            <v>#DIV/0!</v>
          </cell>
          <cell r="E33">
            <v>254.57200000000012</v>
          </cell>
          <cell r="F33">
            <v>253.94699999999997</v>
          </cell>
          <cell r="G33">
            <v>212.6519999999999</v>
          </cell>
          <cell r="H33">
            <v>263.64200000000017</v>
          </cell>
          <cell r="I33">
            <v>671.16400000000021</v>
          </cell>
          <cell r="J33">
            <v>536.90699999999993</v>
          </cell>
          <cell r="K33">
            <v>1109.5656834863616</v>
          </cell>
          <cell r="L33">
            <v>1160.0239205371827</v>
          </cell>
          <cell r="M33">
            <v>1252.7327860482567</v>
          </cell>
        </row>
        <row r="34">
          <cell r="B34" t="str">
            <v xml:space="preserve">Minority Interests </v>
          </cell>
          <cell r="C34">
            <v>0</v>
          </cell>
          <cell r="D34">
            <v>0</v>
          </cell>
          <cell r="E34">
            <v>0</v>
          </cell>
          <cell r="F34">
            <v>0</v>
          </cell>
          <cell r="G34">
            <v>70.834000000000003</v>
          </cell>
          <cell r="H34">
            <v>15.513999999999999</v>
          </cell>
          <cell r="I34">
            <v>9.7949999999999999</v>
          </cell>
          <cell r="J34">
            <v>953.23599999999999</v>
          </cell>
          <cell r="K34">
            <v>8.2159999999999993</v>
          </cell>
          <cell r="L34">
            <v>8.2159999999999993</v>
          </cell>
          <cell r="M34">
            <v>8.2159999999999993</v>
          </cell>
          <cell r="O34" t="str">
            <v>Gross Customer Loans</v>
          </cell>
          <cell r="P34" t="e">
            <v>#DIV/0!</v>
          </cell>
          <cell r="Q34" t="e">
            <v>#DIV/0!</v>
          </cell>
          <cell r="R34" t="e">
            <v>#DIV/0!</v>
          </cell>
          <cell r="S34">
            <v>112.0591625455357</v>
          </cell>
          <cell r="T34">
            <v>1.4278304222505422</v>
          </cell>
          <cell r="U34">
            <v>9.3789743971032458</v>
          </cell>
          <cell r="V34">
            <v>14.628122186557135</v>
          </cell>
          <cell r="W34">
            <v>21.502643353002448</v>
          </cell>
          <cell r="X34">
            <v>11.999994187491092</v>
          </cell>
          <cell r="Y34">
            <v>10.744482349571459</v>
          </cell>
          <cell r="Z34">
            <v>9.6392354917727694</v>
          </cell>
        </row>
        <row r="35">
          <cell r="B35" t="str">
            <v>Preference Dividend</v>
          </cell>
          <cell r="C35">
            <v>0</v>
          </cell>
          <cell r="D35">
            <v>0</v>
          </cell>
          <cell r="E35">
            <v>0</v>
          </cell>
          <cell r="F35">
            <v>0</v>
          </cell>
          <cell r="G35">
            <v>77.354288769028159</v>
          </cell>
          <cell r="H35">
            <v>98.802707353298402</v>
          </cell>
          <cell r="I35">
            <v>98.802707353298402</v>
          </cell>
          <cell r="J35">
            <v>212.261235167</v>
          </cell>
          <cell r="K35">
            <v>251.36762425197904</v>
          </cell>
          <cell r="L35">
            <v>217.33107524131938</v>
          </cell>
          <cell r="M35">
            <v>210.52353369065969</v>
          </cell>
          <cell r="O35" t="str">
            <v>Total Deposits</v>
          </cell>
          <cell r="P35" t="e">
            <v>#DIV/0!</v>
          </cell>
          <cell r="Q35" t="e">
            <v>#DIV/0!</v>
          </cell>
          <cell r="R35" t="e">
            <v>#DIV/0!</v>
          </cell>
          <cell r="S35">
            <v>126.20694401396553</v>
          </cell>
          <cell r="T35">
            <v>-7.3687727405757908E-2</v>
          </cell>
          <cell r="U35">
            <v>4.5818232461681596</v>
          </cell>
          <cell r="V35">
            <v>8.9810159646481083</v>
          </cell>
          <cell r="W35">
            <v>11.087676311363271</v>
          </cell>
          <cell r="X35">
            <v>10.285917801372136</v>
          </cell>
          <cell r="Y35">
            <v>8.1412280812280144</v>
          </cell>
          <cell r="Z35">
            <v>8.198434245722396</v>
          </cell>
        </row>
        <row r="36">
          <cell r="B36" t="str">
            <v>Net Profit</v>
          </cell>
          <cell r="C36" t="e">
            <v>#DIV/0!</v>
          </cell>
          <cell r="D36" t="e">
            <v>#DIV/0!</v>
          </cell>
          <cell r="E36">
            <v>602.16299999999978</v>
          </cell>
          <cell r="F36">
            <v>362.98799999999915</v>
          </cell>
          <cell r="G36">
            <v>972.94071123097262</v>
          </cell>
          <cell r="H36">
            <v>1633.2642926467008</v>
          </cell>
          <cell r="I36">
            <v>1733.9152926467009</v>
          </cell>
          <cell r="J36">
            <v>2184.1157648330022</v>
          </cell>
          <cell r="K36">
            <v>2209.7897231211573</v>
          </cell>
          <cell r="L36">
            <v>2379.6818061748895</v>
          </cell>
          <cell r="M36">
            <v>2630.9036295274677</v>
          </cell>
          <cell r="O36" t="str">
            <v>Avg Earning Assets</v>
          </cell>
          <cell r="P36" t="e">
            <v>#DIV/0!</v>
          </cell>
          <cell r="Q36" t="e">
            <v>#DIV/0!</v>
          </cell>
          <cell r="R36" t="e">
            <v>#DIV/0!</v>
          </cell>
          <cell r="S36">
            <v>16.555617871642347</v>
          </cell>
          <cell r="T36">
            <v>94.791071885774073</v>
          </cell>
          <cell r="U36">
            <v>1.8412155463306989</v>
          </cell>
          <cell r="V36">
            <v>4.8763268490656264</v>
          </cell>
          <cell r="W36">
            <v>15.120043371432935</v>
          </cell>
          <cell r="X36">
            <v>12.753991763312555</v>
          </cell>
          <cell r="Y36">
            <v>7.4032506814446064</v>
          </cell>
          <cell r="Z36">
            <v>8.9299036667808807</v>
          </cell>
        </row>
        <row r="37">
          <cell r="B37" t="str">
            <v>EPS - Reported (Won)</v>
          </cell>
          <cell r="C37" t="e">
            <v>#DIV/0!</v>
          </cell>
          <cell r="D37" t="e">
            <v>#DIV/0!</v>
          </cell>
          <cell r="E37">
            <v>2059.6548190187723</v>
          </cell>
          <cell r="F37">
            <v>1070.37615910052</v>
          </cell>
          <cell r="G37">
            <v>2672.6231811436123</v>
          </cell>
          <cell r="H37">
            <v>4280.4059692725941</v>
          </cell>
          <cell r="I37">
            <v>4544.1888384340209</v>
          </cell>
          <cell r="J37">
            <v>5315.1772725200599</v>
          </cell>
          <cell r="K37">
            <v>5377.6563964685402</v>
          </cell>
          <cell r="L37">
            <v>5791.09901391942</v>
          </cell>
          <cell r="M37">
            <v>6402.4624532317912</v>
          </cell>
          <cell r="O37" t="str">
            <v>Total Interest-bearing Liab</v>
          </cell>
          <cell r="P37" t="e">
            <v>#DIV/0!</v>
          </cell>
          <cell r="Q37" t="e">
            <v>#DIV/0!</v>
          </cell>
          <cell r="R37" t="e">
            <v>#DIV/0!</v>
          </cell>
          <cell r="S37">
            <v>18.42290985145063</v>
          </cell>
          <cell r="T37">
            <v>87.310985986774554</v>
          </cell>
          <cell r="U37">
            <v>1.0543712250567827</v>
          </cell>
          <cell r="V37">
            <v>3.4256103458454756</v>
          </cell>
          <cell r="W37">
            <v>14.48919305119205</v>
          </cell>
          <cell r="X37">
            <v>13.378534846101765</v>
          </cell>
          <cell r="Y37">
            <v>7.8362534515066251</v>
          </cell>
          <cell r="Z37">
            <v>8.3293874291353589</v>
          </cell>
        </row>
        <row r="38">
          <cell r="B38" t="str">
            <v>EPS - ModelWare (Won)</v>
          </cell>
          <cell r="E38">
            <v>2101.8218478944482</v>
          </cell>
          <cell r="F38">
            <v>1197.9674459422904</v>
          </cell>
          <cell r="G38">
            <v>2915.6077262266645</v>
          </cell>
          <cell r="H38">
            <v>4555.5079332458772</v>
          </cell>
          <cell r="I38">
            <v>4962.1802877817117</v>
          </cell>
          <cell r="J38">
            <v>5454.6202739484606</v>
          </cell>
          <cell r="K38">
            <v>6480.0981195939867</v>
          </cell>
          <cell r="L38">
            <v>6893.5407370448675</v>
          </cell>
          <cell r="M38">
            <v>7504.9041763572377</v>
          </cell>
          <cell r="O38" t="str">
            <v>Risk-weighted Assets</v>
          </cell>
          <cell r="P38" t="e">
            <v>#DIV/0!</v>
          </cell>
          <cell r="Q38" t="e">
            <v>#DIV/0!</v>
          </cell>
          <cell r="R38" t="e">
            <v>#DIV/0!</v>
          </cell>
          <cell r="S38">
            <v>116.37673691113801</v>
          </cell>
          <cell r="T38">
            <v>2.0997881346845659</v>
          </cell>
          <cell r="U38">
            <v>11.323326356639729</v>
          </cell>
          <cell r="V38">
            <v>14.409505820219358</v>
          </cell>
          <cell r="W38">
            <v>19.319302295931418</v>
          </cell>
          <cell r="X38">
            <v>-1.2046334551493287</v>
          </cell>
          <cell r="Y38">
            <v>6.8887306472265042</v>
          </cell>
          <cell r="Z38">
            <v>8.8836818361297532</v>
          </cell>
        </row>
        <row r="40">
          <cell r="B40" t="str">
            <v>Selective Balance Sheet Data</v>
          </cell>
          <cell r="O40" t="str">
            <v>Revenue Breakdown (%)</v>
          </cell>
        </row>
        <row r="41">
          <cell r="B41" t="str">
            <v>Won billions, Year ending Dec 31</v>
          </cell>
          <cell r="C41">
            <v>2000</v>
          </cell>
          <cell r="D41">
            <v>2001</v>
          </cell>
          <cell r="E41">
            <v>2002</v>
          </cell>
          <cell r="F41">
            <v>2003</v>
          </cell>
          <cell r="G41">
            <v>2004</v>
          </cell>
          <cell r="H41">
            <v>2005</v>
          </cell>
          <cell r="I41">
            <v>2006</v>
          </cell>
          <cell r="J41">
            <v>2007</v>
          </cell>
          <cell r="K41" t="str">
            <v>2008E</v>
          </cell>
          <cell r="L41" t="str">
            <v>2009E</v>
          </cell>
          <cell r="M41" t="str">
            <v>2010E</v>
          </cell>
          <cell r="O41" t="str">
            <v>NII/Operating Income</v>
          </cell>
          <cell r="P41" t="e">
            <v>#DIV/0!</v>
          </cell>
          <cell r="Q41" t="e">
            <v>#DIV/0!</v>
          </cell>
          <cell r="R41">
            <v>83.288521710074576</v>
          </cell>
          <cell r="S41">
            <v>81.994751795456267</v>
          </cell>
          <cell r="T41">
            <v>79.229867965919951</v>
          </cell>
          <cell r="U41">
            <v>79.164335651326979</v>
          </cell>
          <cell r="V41">
            <v>74.907022679118413</v>
          </cell>
          <cell r="W41">
            <v>75.704108744409737</v>
          </cell>
          <cell r="X41">
            <v>83.885498226839601</v>
          </cell>
          <cell r="Y41">
            <v>83.60401951928533</v>
          </cell>
          <cell r="Z41">
            <v>83.912201174006199</v>
          </cell>
        </row>
        <row r="42">
          <cell r="B42" t="str">
            <v>Total Assets</v>
          </cell>
          <cell r="C42">
            <v>0</v>
          </cell>
          <cell r="D42">
            <v>0</v>
          </cell>
          <cell r="E42">
            <v>66767.594474691636</v>
          </cell>
          <cell r="F42">
            <v>139220.77600000001</v>
          </cell>
          <cell r="G42">
            <v>146831.17100000003</v>
          </cell>
          <cell r="H42">
            <v>160217.90100000001</v>
          </cell>
          <cell r="I42">
            <v>177725.16899999999</v>
          </cell>
          <cell r="J42">
            <v>220876.014</v>
          </cell>
          <cell r="K42">
            <v>243388.67246111063</v>
          </cell>
          <cell r="L42">
            <v>260155.0625328169</v>
          </cell>
          <cell r="M42">
            <v>283266.41056881676</v>
          </cell>
          <cell r="O42" t="str">
            <v>Non-interest Inc/Opg Income</v>
          </cell>
          <cell r="P42" t="e">
            <v>#DIV/0!</v>
          </cell>
          <cell r="Q42" t="e">
            <v>#DIV/0!</v>
          </cell>
          <cell r="R42">
            <v>16.711478289925427</v>
          </cell>
          <cell r="S42">
            <v>18.00524820454374</v>
          </cell>
          <cell r="T42">
            <v>20.770132034080042</v>
          </cell>
          <cell r="U42">
            <v>20.835664348673021</v>
          </cell>
          <cell r="V42">
            <v>25.092977320881587</v>
          </cell>
          <cell r="W42">
            <v>24.295891255590266</v>
          </cell>
          <cell r="X42">
            <v>16.114501773160406</v>
          </cell>
          <cell r="Y42">
            <v>16.39598048071467</v>
          </cell>
          <cell r="Z42">
            <v>16.087798825993811</v>
          </cell>
        </row>
        <row r="43">
          <cell r="B43" t="str">
            <v>RWA</v>
          </cell>
          <cell r="C43">
            <v>0</v>
          </cell>
          <cell r="D43">
            <v>0</v>
          </cell>
          <cell r="E43">
            <v>40358.226834557849</v>
          </cell>
          <cell r="F43">
            <v>87325.814299811536</v>
          </cell>
          <cell r="G43">
            <v>89159.471386995661</v>
          </cell>
          <cell r="H43">
            <v>99255.289309999993</v>
          </cell>
          <cell r="I43">
            <v>113557.486</v>
          </cell>
          <cell r="J43">
            <v>135496</v>
          </cell>
          <cell r="K43">
            <v>133863.76985361087</v>
          </cell>
          <cell r="L43">
            <v>143085.28439304931</v>
          </cell>
          <cell r="M43">
            <v>155796.52581284923</v>
          </cell>
          <cell r="O43" t="str">
            <v>Forex Income/Operating Income</v>
          </cell>
          <cell r="P43" t="e">
            <v>#DIV/0!</v>
          </cell>
          <cell r="Q43" t="e">
            <v>#DIV/0!</v>
          </cell>
          <cell r="R43">
            <v>4.0913872578084671</v>
          </cell>
          <cell r="S43">
            <v>3.7279301913929226</v>
          </cell>
          <cell r="T43">
            <v>2.9611386129778032</v>
          </cell>
          <cell r="U43">
            <v>1.0394256038790164</v>
          </cell>
          <cell r="V43">
            <v>2.0781608417780308</v>
          </cell>
          <cell r="W43">
            <v>1.8568281816881818</v>
          </cell>
          <cell r="X43">
            <v>-0.30162193853710006</v>
          </cell>
          <cell r="Y43">
            <v>0</v>
          </cell>
          <cell r="Z43">
            <v>0</v>
          </cell>
        </row>
        <row r="44">
          <cell r="B44" t="str">
            <v>Total Liquid Assets</v>
          </cell>
          <cell r="C44">
            <v>0</v>
          </cell>
          <cell r="D44">
            <v>0</v>
          </cell>
          <cell r="E44">
            <v>21689.015449180937</v>
          </cell>
          <cell r="F44">
            <v>40708.053</v>
          </cell>
          <cell r="G44">
            <v>40374.689000000006</v>
          </cell>
          <cell r="H44">
            <v>44036.509999999995</v>
          </cell>
          <cell r="I44">
            <v>46064.578000000001</v>
          </cell>
          <cell r="J44">
            <v>64514.883999999991</v>
          </cell>
          <cell r="K44">
            <v>71361.631428163935</v>
          </cell>
          <cell r="L44">
            <v>72253.458598232988</v>
          </cell>
          <cell r="M44">
            <v>79340.875471888838</v>
          </cell>
        </row>
        <row r="45">
          <cell r="B45" t="str">
            <v>Gross Customer Loans</v>
          </cell>
          <cell r="C45">
            <v>0</v>
          </cell>
          <cell r="D45">
            <v>0</v>
          </cell>
          <cell r="E45">
            <v>46048.02727117802</v>
          </cell>
          <cell r="F45">
            <v>97649.061000000002</v>
          </cell>
          <cell r="G45">
            <v>99043.323999999993</v>
          </cell>
          <cell r="H45">
            <v>108332.572</v>
          </cell>
          <cell r="I45">
            <v>124179.59299999999</v>
          </cell>
          <cell r="J45">
            <v>150881.48799999998</v>
          </cell>
          <cell r="K45">
            <v>168987.25779000006</v>
          </cell>
          <cell r="L45">
            <v>187144.06387627145</v>
          </cell>
          <cell r="M45">
            <v>205183.32090217891</v>
          </cell>
          <cell r="O45" t="str">
            <v>Efficiency (%)</v>
          </cell>
        </row>
        <row r="46">
          <cell r="B46" t="str">
            <v>Total Customer Deposits</v>
          </cell>
          <cell r="C46">
            <v>0</v>
          </cell>
          <cell r="D46">
            <v>0</v>
          </cell>
          <cell r="E46">
            <v>33851.352686086015</v>
          </cell>
          <cell r="F46">
            <v>75496.45</v>
          </cell>
          <cell r="G46">
            <v>74764.328999999998</v>
          </cell>
          <cell r="H46">
            <v>77204.725000000006</v>
          </cell>
          <cell r="I46">
            <v>82270.615999999995</v>
          </cell>
          <cell r="J46">
            <v>90349.616999999984</v>
          </cell>
          <cell r="K46">
            <v>99384.578699999984</v>
          </cell>
          <cell r="L46">
            <v>106341.49920899999</v>
          </cell>
          <cell r="M46">
            <v>113785.40415362999</v>
          </cell>
          <cell r="O46" t="str">
            <v>Cost/Income</v>
          </cell>
          <cell r="P46" t="e">
            <v>#DIV/0!</v>
          </cell>
          <cell r="Q46" t="e">
            <v>#DIV/0!</v>
          </cell>
          <cell r="R46">
            <v>45.031702465428538</v>
          </cell>
          <cell r="S46">
            <v>37.9</v>
          </cell>
          <cell r="T46">
            <v>43.389054525882663</v>
          </cell>
          <cell r="U46">
            <v>47.543666273143636</v>
          </cell>
          <cell r="V46">
            <v>49.699963286840173</v>
          </cell>
          <cell r="W46">
            <v>46.533157822066421</v>
          </cell>
          <cell r="X46">
            <v>49.592511672005863</v>
          </cell>
          <cell r="Y46">
            <v>49.236439031637161</v>
          </cell>
          <cell r="Z46">
            <v>47.949299665837437</v>
          </cell>
        </row>
        <row r="47">
          <cell r="B47" t="str">
            <v>Certificates of Deposits</v>
          </cell>
          <cell r="C47">
            <v>0</v>
          </cell>
          <cell r="D47">
            <v>0</v>
          </cell>
          <cell r="E47">
            <v>2776.6493348669974</v>
          </cell>
          <cell r="F47">
            <v>7163.7519999999931</v>
          </cell>
          <cell r="G47">
            <v>8061.3179999999993</v>
          </cell>
          <cell r="H47">
            <v>10686.451000000001</v>
          </cell>
          <cell r="I47">
            <v>13238.382000000012</v>
          </cell>
          <cell r="J47">
            <v>15842.782000000007</v>
          </cell>
          <cell r="K47">
            <v>17743.915840000009</v>
          </cell>
          <cell r="L47">
            <v>20228.064057600011</v>
          </cell>
          <cell r="M47">
            <v>23059.993025664015</v>
          </cell>
          <cell r="O47" t="str">
            <v>Expenses/Avg Assets</v>
          </cell>
          <cell r="P47" t="e">
            <v>#DIV/0!</v>
          </cell>
          <cell r="Q47" t="e">
            <v>#DIV/0!</v>
          </cell>
          <cell r="R47">
            <v>2.8210002394409295</v>
          </cell>
          <cell r="S47">
            <v>1.3089467108199069</v>
          </cell>
          <cell r="T47">
            <v>1.5297130629214</v>
          </cell>
          <cell r="U47">
            <v>1.5814983475996303</v>
          </cell>
          <cell r="V47">
            <v>1.7594479150823299</v>
          </cell>
          <cell r="W47">
            <v>1.9903031747901261</v>
          </cell>
          <cell r="X47">
            <v>1.7394090286228241</v>
          </cell>
          <cell r="Y47">
            <v>1.7142686901141315</v>
          </cell>
          <cell r="Z47">
            <v>1.689118933282532</v>
          </cell>
        </row>
        <row r="48">
          <cell r="B48" t="str">
            <v>Other Interest Bearing Liability</v>
          </cell>
          <cell r="C48">
            <v>0</v>
          </cell>
          <cell r="D48">
            <v>0</v>
          </cell>
          <cell r="E48">
            <v>19747.217395110012</v>
          </cell>
          <cell r="F48">
            <v>34957.455000000002</v>
          </cell>
          <cell r="G48">
            <v>35009.203999999998</v>
          </cell>
          <cell r="H48">
            <v>38756.544999999998</v>
          </cell>
          <cell r="I48">
            <v>46376.911000000007</v>
          </cell>
          <cell r="J48">
            <v>66791.438999999984</v>
          </cell>
          <cell r="K48">
            <v>75266.209151861054</v>
          </cell>
          <cell r="L48">
            <v>79599.477080950572</v>
          </cell>
          <cell r="M48">
            <v>88750.24193201735</v>
          </cell>
        </row>
        <row r="49">
          <cell r="B49" t="str">
            <v>EOP Shareholders' Equity</v>
          </cell>
          <cell r="C49">
            <v>0</v>
          </cell>
          <cell r="D49">
            <v>0</v>
          </cell>
          <cell r="E49">
            <v>3961.3668422400751</v>
          </cell>
          <cell r="F49">
            <v>6119.0149999999994</v>
          </cell>
          <cell r="G49">
            <v>7834.8869999999988</v>
          </cell>
          <cell r="H49">
            <v>10210.873</v>
          </cell>
          <cell r="I49">
            <v>11512.105</v>
          </cell>
          <cell r="J49">
            <v>18174.415000000001</v>
          </cell>
          <cell r="K49">
            <v>19242.199384163687</v>
          </cell>
          <cell r="L49">
            <v>20952.503752767178</v>
          </cell>
          <cell r="M49">
            <v>23011.554350099646</v>
          </cell>
          <cell r="O49" t="str">
            <v>Rev Per Employee</v>
          </cell>
          <cell r="P49">
            <v>0</v>
          </cell>
          <cell r="Q49">
            <v>0</v>
          </cell>
          <cell r="R49">
            <v>0.17988302081541371</v>
          </cell>
          <cell r="S49">
            <v>0.40897866683547501</v>
          </cell>
          <cell r="T49">
            <v>0.44308123544659733</v>
          </cell>
          <cell r="U49">
            <v>0.44566358320970406</v>
          </cell>
          <cell r="V49">
            <v>0.53764404614963879</v>
          </cell>
          <cell r="W49">
            <v>0.79589458942159585</v>
          </cell>
          <cell r="X49">
            <v>0.75067451326927548</v>
          </cell>
          <cell r="Y49">
            <v>0.77410451079292508</v>
          </cell>
          <cell r="Z49">
            <v>0.8269919522362561</v>
          </cell>
        </row>
        <row r="50">
          <cell r="O50" t="str">
            <v>Exp Per Employee</v>
          </cell>
          <cell r="P50">
            <v>0</v>
          </cell>
          <cell r="Q50">
            <v>0</v>
          </cell>
          <cell r="R50">
            <v>8.1004386719421978E-2</v>
          </cell>
          <cell r="S50">
            <v>0.17068291447743245</v>
          </cell>
          <cell r="T50">
            <v>0.19224875884187867</v>
          </cell>
          <cell r="U50">
            <v>0.21188480670215551</v>
          </cell>
          <cell r="V50">
            <v>0.26720889355025251</v>
          </cell>
          <cell r="W50">
            <v>0.37035488539283878</v>
          </cell>
          <cell r="X50">
            <v>0.37227834561183865</v>
          </cell>
          <cell r="Y50">
            <v>0.3811414954977117</v>
          </cell>
          <cell r="Z50">
            <v>0.39653684939012163</v>
          </cell>
        </row>
        <row r="51">
          <cell r="B51" t="str">
            <v>Avg Loans</v>
          </cell>
          <cell r="C51">
            <v>0</v>
          </cell>
          <cell r="D51">
            <v>0</v>
          </cell>
          <cell r="E51">
            <v>23024.01363558901</v>
          </cell>
          <cell r="F51">
            <v>71848.544135589007</v>
          </cell>
          <cell r="G51">
            <v>98346.192500000005</v>
          </cell>
          <cell r="H51">
            <v>103687.948</v>
          </cell>
          <cell r="I51">
            <v>116256.08249999999</v>
          </cell>
          <cell r="J51">
            <v>137530.5405</v>
          </cell>
          <cell r="K51">
            <v>159934.37289500004</v>
          </cell>
          <cell r="L51">
            <v>178065.66083313577</v>
          </cell>
          <cell r="M51">
            <v>196163.69238922518</v>
          </cell>
          <cell r="O51" t="str">
            <v>Rev Per Branch</v>
          </cell>
          <cell r="P51">
            <v>0</v>
          </cell>
          <cell r="Q51">
            <v>0</v>
          </cell>
          <cell r="R51">
            <v>2.8905597788527984</v>
          </cell>
          <cell r="S51">
            <v>5.7123218390804587</v>
          </cell>
          <cell r="T51">
            <v>6.1795171568627465</v>
          </cell>
          <cell r="U51">
            <v>6.1086830143540656</v>
          </cell>
          <cell r="V51">
            <v>6.7476905329507959</v>
          </cell>
          <cell r="W51">
            <v>9.316315846994538</v>
          </cell>
          <cell r="X51">
            <v>8.9274295733756155</v>
          </cell>
          <cell r="Y51">
            <v>9.6117976756788206</v>
          </cell>
          <cell r="Z51">
            <v>10.495180762261434</v>
          </cell>
        </row>
        <row r="52">
          <cell r="B52" t="str">
            <v>Avg Total Assets</v>
          </cell>
          <cell r="C52">
            <v>0</v>
          </cell>
          <cell r="D52">
            <v>0</v>
          </cell>
          <cell r="E52">
            <v>33383.797237345818</v>
          </cell>
          <cell r="F52">
            <v>102994.18523734582</v>
          </cell>
          <cell r="G52">
            <v>143025.97350000002</v>
          </cell>
          <cell r="H52">
            <v>153524.53600000002</v>
          </cell>
          <cell r="I52">
            <v>168971.535</v>
          </cell>
          <cell r="J52">
            <v>199300.59149999998</v>
          </cell>
          <cell r="K52">
            <v>232132.3432305553</v>
          </cell>
          <cell r="L52">
            <v>251771.86749696377</v>
          </cell>
          <cell r="M52">
            <v>271710.7365508168</v>
          </cell>
          <cell r="O52" t="str">
            <v>Exp Per Branch</v>
          </cell>
          <cell r="P52">
            <v>0</v>
          </cell>
          <cell r="Q52">
            <v>0</v>
          </cell>
          <cell r="R52">
            <v>1.3016682791983414</v>
          </cell>
          <cell r="S52">
            <v>2.3839770114942529</v>
          </cell>
          <cell r="T52">
            <v>2.6812340686274512</v>
          </cell>
          <cell r="U52">
            <v>2.904291866028708</v>
          </cell>
          <cell r="V52">
            <v>3.3535997175861358</v>
          </cell>
          <cell r="W52">
            <v>4.3351759562841528</v>
          </cell>
          <cell r="X52">
            <v>4.4273365531864055</v>
          </cell>
          <cell r="Y52">
            <v>4.73250690242992</v>
          </cell>
          <cell r="Z52">
            <v>5.0323656741680569</v>
          </cell>
        </row>
        <row r="53">
          <cell r="B53" t="str">
            <v>Avg Total Deposits</v>
          </cell>
          <cell r="C53">
            <v>0</v>
          </cell>
          <cell r="D53">
            <v>0</v>
          </cell>
          <cell r="E53">
            <v>0</v>
          </cell>
          <cell r="F53">
            <v>63157.468750182001</v>
          </cell>
          <cell r="G53">
            <v>87560.33249999999</v>
          </cell>
          <cell r="H53">
            <v>89533.250499999995</v>
          </cell>
          <cell r="I53">
            <v>95648.982000000004</v>
          </cell>
          <cell r="J53">
            <v>105290.0295</v>
          </cell>
          <cell r="K53">
            <v>116519.99062</v>
          </cell>
          <cell r="L53">
            <v>127194.52713829999</v>
          </cell>
          <cell r="M53">
            <v>137587.52828144701</v>
          </cell>
          <cell r="O53" t="str">
            <v>Net Profit Per Branch</v>
          </cell>
          <cell r="P53" t="e">
            <v>#DIV/0!</v>
          </cell>
          <cell r="Q53" t="e">
            <v>#DIV/0!</v>
          </cell>
          <cell r="R53">
            <v>0.83229163787145788</v>
          </cell>
          <cell r="S53">
            <v>0.64188859416445476</v>
          </cell>
          <cell r="T53">
            <v>1.1923293029791331</v>
          </cell>
          <cell r="U53">
            <v>1.9536654218261971</v>
          </cell>
          <cell r="V53">
            <v>1.955911215619516</v>
          </cell>
          <cell r="W53">
            <v>2.3870117648448113</v>
          </cell>
          <cell r="X53">
            <v>2.4230150472819707</v>
          </cell>
          <cell r="Y53">
            <v>2.609300226068958</v>
          </cell>
          <cell r="Z53">
            <v>2.8847627516748551</v>
          </cell>
        </row>
        <row r="54">
          <cell r="B54" t="str">
            <v>Avg Shareholders' Equity</v>
          </cell>
          <cell r="F54">
            <v>5040.1909211200373</v>
          </cell>
          <cell r="G54">
            <v>6976.9509999999991</v>
          </cell>
          <cell r="H54">
            <v>9022.8799999999992</v>
          </cell>
          <cell r="I54">
            <v>10861.489</v>
          </cell>
          <cell r="J54">
            <v>14843.26</v>
          </cell>
          <cell r="K54">
            <v>18708.307192081844</v>
          </cell>
          <cell r="L54">
            <v>20097.351568465434</v>
          </cell>
          <cell r="M54">
            <v>21982.029051433412</v>
          </cell>
        </row>
        <row r="55">
          <cell r="B55" t="str">
            <v>Avg Equity/Avg Assets (%)</v>
          </cell>
          <cell r="C55" t="e">
            <v>#DIV/0!</v>
          </cell>
          <cell r="D55" t="e">
            <v>#DIV/0!</v>
          </cell>
          <cell r="E55">
            <v>5.4524656969496359</v>
          </cell>
          <cell r="F55">
            <v>4.4487415305500964</v>
          </cell>
          <cell r="G55">
            <v>4.6392556104503626</v>
          </cell>
          <cell r="H55">
            <v>5.8245699566875739</v>
          </cell>
          <cell r="I55">
            <v>6.3615871750232946</v>
          </cell>
          <cell r="J55">
            <v>7.3605719830490317</v>
          </cell>
          <cell r="K55">
            <v>7.9627142581003385</v>
          </cell>
          <cell r="L55">
            <v>7.8823030411468666</v>
          </cell>
          <cell r="M55">
            <v>7.9975121069127617</v>
          </cell>
          <cell r="O55" t="str">
            <v>Net Interest Margin Analysis (%)</v>
          </cell>
        </row>
        <row r="56">
          <cell r="B56" t="str">
            <v>Avg EA/Avg Assets (%)</v>
          </cell>
          <cell r="C56" t="e">
            <v>#DIV/0!</v>
          </cell>
          <cell r="D56" t="e">
            <v>#DIV/0!</v>
          </cell>
          <cell r="E56">
            <v>148.94946685206202</v>
          </cell>
          <cell r="F56">
            <v>56.272368062759945</v>
          </cell>
          <cell r="G56">
            <v>78.933622238201366</v>
          </cell>
          <cell r="H56">
            <v>74.889809551354034</v>
          </cell>
          <cell r="I56">
            <v>71.361576966203216</v>
          </cell>
          <cell r="J56">
            <v>69.64987557500551</v>
          </cell>
          <cell r="K56">
            <v>67.425659508612895</v>
          </cell>
          <cell r="L56">
            <v>66.768417526932041</v>
          </cell>
          <cell r="M56">
            <v>67.393591979284182</v>
          </cell>
          <cell r="O56" t="str">
            <v>Int Income/Avg EA</v>
          </cell>
          <cell r="P56" t="e">
            <v>#DIV/0!</v>
          </cell>
          <cell r="Q56" t="e">
            <v>#DIV/0!</v>
          </cell>
          <cell r="R56">
            <v>6.8304571536548186</v>
          </cell>
          <cell r="S56">
            <v>5.812725779495433</v>
          </cell>
          <cell r="T56">
            <v>6.4593240724097365</v>
          </cell>
          <cell r="U56">
            <v>6.1475321376469747</v>
          </cell>
          <cell r="V56">
            <v>6.1167174392145096</v>
          </cell>
          <cell r="W56">
            <v>6.3407976741940768</v>
          </cell>
          <cell r="X56">
            <v>6.5572836374824899</v>
          </cell>
          <cell r="Y56">
            <v>6.4528461878514509</v>
          </cell>
          <cell r="Z56">
            <v>6.4544183387152829</v>
          </cell>
        </row>
        <row r="57">
          <cell r="B57" t="str">
            <v>Avg Loans/Avg EA (%)</v>
          </cell>
          <cell r="C57" t="e">
            <v>#DIV/0!</v>
          </cell>
          <cell r="D57" t="e">
            <v>#DIV/0!</v>
          </cell>
          <cell r="E57">
            <v>46.302703251711215</v>
          </cell>
          <cell r="F57">
            <v>123.96813696475542</v>
          </cell>
          <cell r="G57">
            <v>87.112525649295975</v>
          </cell>
          <cell r="H57">
            <v>90.183639962345879</v>
          </cell>
          <cell r="I57">
            <v>96.413466139272359</v>
          </cell>
          <cell r="J57">
            <v>99.076399858012905</v>
          </cell>
          <cell r="K57">
            <v>102.18354217511374</v>
          </cell>
          <cell r="L57">
            <v>105.92583382494165</v>
          </cell>
          <cell r="M57">
            <v>107.12558921349159</v>
          </cell>
          <cell r="O57" t="str">
            <v>Int Exp/Avg Int Bearing Liab.</v>
          </cell>
          <cell r="P57" t="e">
            <v>#DIV/0!</v>
          </cell>
          <cell r="Q57" t="e">
            <v>#DIV/0!</v>
          </cell>
          <cell r="R57">
            <v>4.313763861049023</v>
          </cell>
          <cell r="S57">
            <v>3.7381446179738971</v>
          </cell>
          <cell r="T57">
            <v>3.4572568134634758</v>
          </cell>
          <cell r="U57">
            <v>3.2802055377221655</v>
          </cell>
          <cell r="V57">
            <v>3.7915133097783258</v>
          </cell>
          <cell r="W57">
            <v>4.2563240606711652</v>
          </cell>
          <cell r="X57">
            <v>4.593084030785155</v>
          </cell>
          <cell r="Y57">
            <v>4.540172851023037</v>
          </cell>
          <cell r="Z57">
            <v>4.599609432165896</v>
          </cell>
        </row>
        <row r="58">
          <cell r="O58" t="str">
            <v xml:space="preserve">Net Interest Spread </v>
          </cell>
          <cell r="P58">
            <v>0</v>
          </cell>
          <cell r="Q58">
            <v>0</v>
          </cell>
          <cell r="R58">
            <v>2.5166932926057961</v>
          </cell>
          <cell r="S58">
            <v>2.0745811615215359</v>
          </cell>
          <cell r="T58">
            <v>3.0020672589462603</v>
          </cell>
          <cell r="U58">
            <v>2.8673265999248092</v>
          </cell>
          <cell r="V58">
            <v>2.3252041294361843</v>
          </cell>
          <cell r="W58">
            <v>2.0844736135229116</v>
          </cell>
          <cell r="X58">
            <v>1.9641996066973353</v>
          </cell>
          <cell r="Y58">
            <v>1.9126733368284139</v>
          </cell>
          <cell r="Z58">
            <v>1.8548089065493871</v>
          </cell>
        </row>
        <row r="59">
          <cell r="B59" t="str">
            <v>Asset Quality</v>
          </cell>
          <cell r="O59" t="str">
            <v>Contribution From Free Funds</v>
          </cell>
          <cell r="P59" t="e">
            <v>#DIV/0!</v>
          </cell>
          <cell r="Q59" t="e">
            <v>#DIV/0!</v>
          </cell>
          <cell r="R59">
            <v>2.6931252864180077E-2</v>
          </cell>
          <cell r="S59">
            <v>-3.6175865426397724E-2</v>
          </cell>
          <cell r="T59">
            <v>0.10058780529315792</v>
          </cell>
          <cell r="U59">
            <v>0.1200426759698181</v>
          </cell>
          <cell r="V59">
            <v>0.18928183604527105</v>
          </cell>
          <cell r="W59">
            <v>0.23464631890628507</v>
          </cell>
          <cell r="X59">
            <v>0.22917300948636443</v>
          </cell>
          <cell r="Y59">
            <v>0.20914229095778847</v>
          </cell>
          <cell r="Z59">
            <v>0.23606920121243324</v>
          </cell>
        </row>
        <row r="60">
          <cell r="B60" t="str">
            <v>Won billions, Year ending Dec 31</v>
          </cell>
          <cell r="C60">
            <v>2000</v>
          </cell>
          <cell r="D60">
            <v>2001</v>
          </cell>
          <cell r="E60">
            <v>2002</v>
          </cell>
          <cell r="F60">
            <v>2003</v>
          </cell>
          <cell r="G60">
            <v>2004</v>
          </cell>
          <cell r="H60">
            <v>2005</v>
          </cell>
          <cell r="I60">
            <v>2006</v>
          </cell>
          <cell r="J60">
            <v>2007</v>
          </cell>
          <cell r="K60" t="str">
            <v>2008E</v>
          </cell>
          <cell r="L60" t="str">
            <v>2009E</v>
          </cell>
          <cell r="M60" t="str">
            <v>2010E</v>
          </cell>
          <cell r="O60" t="str">
            <v>Net Interest Margin</v>
          </cell>
          <cell r="P60" t="e">
            <v>#DIV/0!</v>
          </cell>
          <cell r="Q60" t="e">
            <v>#DIV/0!</v>
          </cell>
          <cell r="R60">
            <v>2.5436245454699762</v>
          </cell>
          <cell r="S60">
            <v>2.0384052960951382</v>
          </cell>
          <cell r="T60">
            <v>3.1026550642394182</v>
          </cell>
          <cell r="U60">
            <v>2.9873692758946273</v>
          </cell>
          <cell r="V60">
            <v>2.5144859654814553</v>
          </cell>
          <cell r="W60">
            <v>2.3191199324291967</v>
          </cell>
          <cell r="X60">
            <v>2.1933726161836997</v>
          </cell>
          <cell r="Y60">
            <v>2.1218156277862024</v>
          </cell>
          <cell r="Z60">
            <v>2.0908781077618204</v>
          </cell>
        </row>
        <row r="61">
          <cell r="B61" t="str">
            <v>Non-performing Loans (NPL)</v>
          </cell>
          <cell r="C61">
            <v>0</v>
          </cell>
          <cell r="D61">
            <v>1015.9639100000001</v>
          </cell>
          <cell r="E61">
            <v>702.2805179363703</v>
          </cell>
          <cell r="F61">
            <v>3444.8</v>
          </cell>
          <cell r="G61">
            <v>1702.1000000000001</v>
          </cell>
          <cell r="H61">
            <v>1210.4462781789998</v>
          </cell>
          <cell r="I61">
            <v>1078.5999999999999</v>
          </cell>
          <cell r="J61">
            <v>1590.1569686790003</v>
          </cell>
          <cell r="K61">
            <v>2030.8519399963293</v>
          </cell>
          <cell r="L61">
            <v>2646.0640784072971</v>
          </cell>
          <cell r="M61">
            <v>3363.1542232852744</v>
          </cell>
        </row>
        <row r="62">
          <cell r="B62" t="str">
            <v>Gross NPL Ratio (%)</v>
          </cell>
          <cell r="C62">
            <v>0</v>
          </cell>
          <cell r="D62">
            <v>2.7610022100621237</v>
          </cell>
          <cell r="E62">
            <v>1.5289946470795288</v>
          </cell>
          <cell r="F62">
            <v>3.4854367065618042</v>
          </cell>
          <cell r="G62">
            <v>1.7078126332582488</v>
          </cell>
          <cell r="H62">
            <v>1.110445535649885</v>
          </cell>
          <cell r="I62">
            <v>0.84865317812196339</v>
          </cell>
          <cell r="J62">
            <v>0.99705310837549344</v>
          </cell>
          <cell r="K62">
            <v>1.1523761970019661</v>
          </cell>
          <cell r="L62">
            <v>1.3466089810653352</v>
          </cell>
          <cell r="M62">
            <v>1.5419310496906753</v>
          </cell>
          <cell r="O62" t="str">
            <v>Liquidity (%)</v>
          </cell>
        </row>
        <row r="63">
          <cell r="B63" t="str">
            <v>Loan Loss Reserve (LLR)</v>
          </cell>
          <cell r="C63">
            <v>0</v>
          </cell>
          <cell r="D63">
            <v>557</v>
          </cell>
          <cell r="E63">
            <v>2886.0508423473698</v>
          </cell>
          <cell r="F63">
            <v>2823.1096119999997</v>
          </cell>
          <cell r="G63">
            <v>1941.75</v>
          </cell>
          <cell r="H63">
            <v>1772.4233314994103</v>
          </cell>
          <cell r="I63">
            <v>1942.2000000000003</v>
          </cell>
          <cell r="J63">
            <v>3050.4851436695494</v>
          </cell>
          <cell r="K63">
            <v>3600.913511971065</v>
          </cell>
          <cell r="L63">
            <v>4691.8666988627001</v>
          </cell>
          <cell r="M63">
            <v>5959.2513421799431</v>
          </cell>
          <cell r="O63" t="str">
            <v>Avg Loans/Avg EA</v>
          </cell>
          <cell r="P63" t="e">
            <v>#DIV/0!</v>
          </cell>
          <cell r="Q63" t="e">
            <v>#DIV/0!</v>
          </cell>
          <cell r="R63">
            <v>46.302703251711215</v>
          </cell>
          <cell r="S63">
            <v>123.96813696475542</v>
          </cell>
          <cell r="T63">
            <v>87.112525649295975</v>
          </cell>
          <cell r="U63">
            <v>90.183639962345879</v>
          </cell>
          <cell r="V63">
            <v>96.413466139272359</v>
          </cell>
          <cell r="W63">
            <v>99.076399858012905</v>
          </cell>
          <cell r="X63">
            <v>102.18354217511374</v>
          </cell>
          <cell r="Y63">
            <v>105.92583382494165</v>
          </cell>
          <cell r="Z63">
            <v>107.12558921349159</v>
          </cell>
        </row>
        <row r="64">
          <cell r="B64" t="str">
            <v>LLR/NPL (%)</v>
          </cell>
          <cell r="C64" t="str">
            <v>na</v>
          </cell>
          <cell r="D64">
            <v>54.824782112585083</v>
          </cell>
          <cell r="E64">
            <v>410.95413707729517</v>
          </cell>
          <cell r="F64">
            <v>81.952787157454694</v>
          </cell>
          <cell r="G64">
            <v>114.07966629457729</v>
          </cell>
          <cell r="H64">
            <v>146.42726104010589</v>
          </cell>
          <cell r="I64">
            <v>180.06675319859079</v>
          </cell>
          <cell r="J64">
            <v>191.83547308563479</v>
          </cell>
          <cell r="K64">
            <v>177.31048931009582</v>
          </cell>
          <cell r="L64">
            <v>177.31493115188655</v>
          </cell>
          <cell r="M64">
            <v>177.19233037010977</v>
          </cell>
          <cell r="O64" t="str">
            <v>Avg Liquid Assets/AEA</v>
          </cell>
          <cell r="P64" t="e">
            <v>#DIV/0!</v>
          </cell>
          <cell r="Q64" t="e">
            <v>#DIV/0!</v>
          </cell>
          <cell r="R64">
            <v>21.808970018435136</v>
          </cell>
          <cell r="S64">
            <v>53.830237068615503</v>
          </cell>
          <cell r="T64">
            <v>35.910502799537696</v>
          </cell>
          <cell r="U64">
            <v>36.708746417693263</v>
          </cell>
          <cell r="V64">
            <v>37.361306222406036</v>
          </cell>
          <cell r="W64">
            <v>39.830480391356943</v>
          </cell>
          <cell r="X64">
            <v>43.406377858425145</v>
          </cell>
          <cell r="Y64">
            <v>42.716119687854189</v>
          </cell>
          <cell r="Z64">
            <v>41.393063519793046</v>
          </cell>
        </row>
        <row r="65">
          <cell r="B65" t="str">
            <v>LLR/Total Credit (%)</v>
          </cell>
          <cell r="C65" t="e">
            <v>#DIV/0!</v>
          </cell>
          <cell r="D65">
            <v>1.5137134457902177</v>
          </cell>
          <cell r="E65">
            <v>6.283466757863712</v>
          </cell>
          <cell r="F65">
            <v>2.8564125256363941</v>
          </cell>
          <cell r="G65">
            <v>1.9482669529576433</v>
          </cell>
          <cell r="H65">
            <v>1.6259949831942591</v>
          </cell>
          <cell r="I65">
            <v>1.5281422237608731</v>
          </cell>
          <cell r="J65">
            <v>1.9127015473671547</v>
          </cell>
          <cell r="K65">
            <v>2.0432838735972596</v>
          </cell>
          <cell r="L65">
            <v>2.3877387876611205</v>
          </cell>
          <cell r="M65">
            <v>2.7321835596472033</v>
          </cell>
          <cell r="O65" t="str">
            <v>Avg Loans/Avg Deposits</v>
          </cell>
          <cell r="P65" t="e">
            <v>#DIV/0!</v>
          </cell>
          <cell r="Q65" t="e">
            <v>#DIV/0!</v>
          </cell>
          <cell r="R65" t="e">
            <v>#DIV/0!</v>
          </cell>
          <cell r="S65">
            <v>113.7609621750111</v>
          </cell>
          <cell r="T65">
            <v>112.3182035655244</v>
          </cell>
          <cell r="U65">
            <v>115.80943104483849</v>
          </cell>
          <cell r="V65">
            <v>121.54450582652305</v>
          </cell>
          <cell r="W65">
            <v>130.62066859806512</v>
          </cell>
          <cell r="X65">
            <v>137.25917076030748</v>
          </cell>
          <cell r="Y65">
            <v>139.99475043413074</v>
          </cell>
          <cell r="Z65">
            <v>142.57374548364271</v>
          </cell>
        </row>
        <row r="66">
          <cell r="O66" t="str">
            <v>Avg Loans/Avg Depo &amp; Equity</v>
          </cell>
          <cell r="P66" t="e">
            <v>#DIV/0!</v>
          </cell>
          <cell r="Q66" t="e">
            <v>#DIV/0!</v>
          </cell>
          <cell r="R66">
            <v>122.82148869330368</v>
          </cell>
          <cell r="S66">
            <v>121.25140126636254</v>
          </cell>
          <cell r="T66">
            <v>120.2780095034925</v>
          </cell>
          <cell r="U66">
            <v>122.09114849209148</v>
          </cell>
          <cell r="V66">
            <v>128.47829745423377</v>
          </cell>
          <cell r="W66">
            <v>136.19611817336107</v>
          </cell>
          <cell r="X66">
            <v>141.09640424646136</v>
          </cell>
          <cell r="Y66">
            <v>145.11278201539329</v>
          </cell>
          <cell r="Z66">
            <v>148.84164763646658</v>
          </cell>
        </row>
        <row r="67">
          <cell r="B67" t="str">
            <v>Specific Reserve</v>
          </cell>
          <cell r="C67">
            <v>0</v>
          </cell>
          <cell r="D67">
            <v>173.31301500000001</v>
          </cell>
          <cell r="E67">
            <v>222.35739149480787</v>
          </cell>
          <cell r="F67">
            <v>462.04250000000002</v>
          </cell>
          <cell r="G67">
            <v>477.67849999999999</v>
          </cell>
          <cell r="H67">
            <v>528.22919854546501</v>
          </cell>
          <cell r="I67">
            <v>622.12099999999998</v>
          </cell>
          <cell r="J67">
            <v>780.54542193505972</v>
          </cell>
          <cell r="K67">
            <v>860.2492158058709</v>
          </cell>
          <cell r="L67">
            <v>957.20285274076321</v>
          </cell>
          <cell r="M67">
            <v>1060.269556984882</v>
          </cell>
          <cell r="O67" t="str">
            <v>Period-End Loans/Deposits</v>
          </cell>
          <cell r="P67" t="e">
            <v>#DIV/0!</v>
          </cell>
          <cell r="Q67" t="e">
            <v>#DIV/0!</v>
          </cell>
          <cell r="R67">
            <v>118.9185265911994</v>
          </cell>
          <cell r="S67">
            <v>111.48094179868266</v>
          </cell>
          <cell r="T67">
            <v>113.15608274649296</v>
          </cell>
          <cell r="U67">
            <v>118.34653378027269</v>
          </cell>
          <cell r="V67">
            <v>124.47893621143315</v>
          </cell>
          <cell r="W67">
            <v>136.1493938271513</v>
          </cell>
          <cell r="X67">
            <v>138.26544332463874</v>
          </cell>
          <cell r="Y67">
            <v>141.59386960465937</v>
          </cell>
          <cell r="Z67">
            <v>143.47937400388361</v>
          </cell>
        </row>
        <row r="68">
          <cell r="B68" t="str">
            <v>Specific Reserve/NPLs (%)</v>
          </cell>
          <cell r="C68" t="str">
            <v>na</v>
          </cell>
          <cell r="D68">
            <v>17.058973581059586</v>
          </cell>
          <cell r="E68">
            <v>31.662189939171064</v>
          </cell>
          <cell r="F68">
            <v>13.412752554575011</v>
          </cell>
          <cell r="G68">
            <v>28.064067916103635</v>
          </cell>
          <cell r="H68">
            <v>43.639210435686174</v>
          </cell>
          <cell r="I68">
            <v>57.678564806230305</v>
          </cell>
          <cell r="J68">
            <v>49.086061144233227</v>
          </cell>
          <cell r="K68">
            <v>42.35903163907782</v>
          </cell>
          <cell r="L68">
            <v>36.174590802688236</v>
          </cell>
          <cell r="M68">
            <v>31.526046282503362</v>
          </cell>
        </row>
        <row r="69">
          <cell r="B69" t="str">
            <v>General Reserve</v>
          </cell>
          <cell r="C69">
            <v>0</v>
          </cell>
          <cell r="D69">
            <v>383.68698499999999</v>
          </cell>
          <cell r="E69">
            <v>2663.6934508525619</v>
          </cell>
          <cell r="F69">
            <v>2361.0671119999997</v>
          </cell>
          <cell r="G69">
            <v>1464.0715</v>
          </cell>
          <cell r="H69">
            <v>1244.1941329539454</v>
          </cell>
          <cell r="I69">
            <v>1320.0790000000002</v>
          </cell>
          <cell r="J69">
            <v>2269.9397217344895</v>
          </cell>
          <cell r="K69">
            <v>2740.6642961651942</v>
          </cell>
          <cell r="L69">
            <v>3734.6638461219368</v>
          </cell>
          <cell r="M69">
            <v>4898.9817851950611</v>
          </cell>
          <cell r="O69" t="str">
            <v>Capital Information</v>
          </cell>
        </row>
        <row r="70">
          <cell r="B70" t="str">
            <v>General Reserve/NPLs (%)</v>
          </cell>
          <cell r="C70" t="e">
            <v>#DIV/0!</v>
          </cell>
          <cell r="D70">
            <v>37.765808531525494</v>
          </cell>
          <cell r="E70">
            <v>379.2919471381241</v>
          </cell>
          <cell r="F70">
            <v>68.5400346028797</v>
          </cell>
          <cell r="G70">
            <v>86.015598378473641</v>
          </cell>
          <cell r="H70">
            <v>102.78805060441971</v>
          </cell>
          <cell r="I70">
            <v>122.38818839236049</v>
          </cell>
          <cell r="J70">
            <v>142.74941194140155</v>
          </cell>
          <cell r="K70">
            <v>134.95145767101801</v>
          </cell>
          <cell r="L70">
            <v>141.14034034919831</v>
          </cell>
          <cell r="M70">
            <v>145.66628408760641</v>
          </cell>
          <cell r="O70" t="str">
            <v>Tier 1 Ratio (%)</v>
          </cell>
          <cell r="P70" t="e">
            <v>#DIV/0!</v>
          </cell>
          <cell r="Q70" t="e">
            <v>#DIV/0!</v>
          </cell>
          <cell r="R70">
            <v>6.8123756062686791</v>
          </cell>
          <cell r="S70">
            <v>5.4802843554934402</v>
          </cell>
          <cell r="T70">
            <v>6.3272080024969855</v>
          </cell>
          <cell r="U70">
            <v>7.4047330888788494</v>
          </cell>
          <cell r="V70">
            <v>7.8106308200588392</v>
          </cell>
          <cell r="W70">
            <v>7.6363877900454629</v>
          </cell>
          <cell r="X70">
            <v>8.376806047056176</v>
          </cell>
          <cell r="Y70">
            <v>8.3370969111653732</v>
          </cell>
          <cell r="Z70">
            <v>8.2206549611334463</v>
          </cell>
        </row>
        <row r="71">
          <cell r="B71" t="str">
            <v>Net Charge-offs (NCO)</v>
          </cell>
          <cell r="C71">
            <v>1255.2463950000001</v>
          </cell>
          <cell r="D71">
            <v>1785.11</v>
          </cell>
          <cell r="E71">
            <v>188.6</v>
          </cell>
          <cell r="F71">
            <v>565.9</v>
          </cell>
          <cell r="G71">
            <v>1817.79</v>
          </cell>
          <cell r="H71">
            <v>797.197</v>
          </cell>
          <cell r="I71">
            <v>371.4</v>
          </cell>
          <cell r="J71">
            <v>801.97596778499997</v>
          </cell>
          <cell r="K71">
            <v>415.98584243904645</v>
          </cell>
          <cell r="L71">
            <v>-7.3980157338691868</v>
          </cell>
          <cell r="M71">
            <v>11.25595200841002</v>
          </cell>
          <cell r="O71" t="str">
            <v>Tier 2 Ratio (%)</v>
          </cell>
          <cell r="P71" t="e">
            <v>#DIV/0!</v>
          </cell>
          <cell r="Q71" t="e">
            <v>#DIV/0!</v>
          </cell>
          <cell r="R71">
            <v>4.2299674289411904</v>
          </cell>
          <cell r="S71">
            <v>4.5561204744126327</v>
          </cell>
          <cell r="T71">
            <v>4.7180386173666893</v>
          </cell>
          <cell r="U71">
            <v>4.493840702100111</v>
          </cell>
          <cell r="V71">
            <v>4.3088458298557262</v>
          </cell>
          <cell r="W71">
            <v>4.5160004723386669</v>
          </cell>
          <cell r="X71">
            <v>4.7273270300430204</v>
          </cell>
          <cell r="Y71">
            <v>4.8051417324854695</v>
          </cell>
          <cell r="Z71">
            <v>4.8193828470378302</v>
          </cell>
        </row>
        <row r="72">
          <cell r="B72" t="str">
            <v>NCO/Avg Total Credit (%)</v>
          </cell>
          <cell r="C72" t="e">
            <v>#DIV/0!</v>
          </cell>
          <cell r="D72">
            <v>4.8512477723780529</v>
          </cell>
          <cell r="E72">
            <v>0.4559531752059679</v>
          </cell>
          <cell r="F72">
            <v>0.7818189808982986</v>
          </cell>
          <cell r="G72">
            <v>1.8315301391035548</v>
          </cell>
          <cell r="H72">
            <v>0.76407085603612723</v>
          </cell>
          <cell r="I72">
            <v>0.31461117143916567</v>
          </cell>
          <cell r="J72">
            <v>0.55968501273387472</v>
          </cell>
          <cell r="K72">
            <v>0.24781908015903414</v>
          </cell>
          <cell r="L72">
            <v>-3.9696378831054358E-3</v>
          </cell>
          <cell r="M72">
            <v>5.4296385876669157E-3</v>
          </cell>
          <cell r="O72" t="str">
            <v>Total CAR (%)</v>
          </cell>
          <cell r="P72" t="e">
            <v>#DIV/0!</v>
          </cell>
          <cell r="Q72" t="e">
            <v>#DIV/0!</v>
          </cell>
          <cell r="R72">
            <v>11.042343035209869</v>
          </cell>
          <cell r="S72">
            <v>10.036404829906072</v>
          </cell>
          <cell r="T72">
            <v>11.045246619863676</v>
          </cell>
          <cell r="U72">
            <v>11.898573790978961</v>
          </cell>
          <cell r="V72">
            <v>12.119476649914565</v>
          </cell>
          <cell r="W72">
            <v>12.152388262384129</v>
          </cell>
          <cell r="X72">
            <v>13.104133077099196</v>
          </cell>
          <cell r="Y72">
            <v>13.142238643650842</v>
          </cell>
          <cell r="Z72">
            <v>13.040037808171277</v>
          </cell>
        </row>
        <row r="73">
          <cell r="B73" t="str">
            <v>LLPE/Avg Loans (%)</v>
          </cell>
          <cell r="C73" t="e">
            <v>#DIV/0!</v>
          </cell>
          <cell r="D73" t="e">
            <v>#DIV/0!</v>
          </cell>
          <cell r="E73">
            <v>0.9144626272916716</v>
          </cell>
          <cell r="F73">
            <v>1.5259780322492567</v>
          </cell>
          <cell r="G73">
            <v>1.4080972173884616</v>
          </cell>
          <cell r="H73">
            <v>0.87058623245201072</v>
          </cell>
          <cell r="I73">
            <v>0.50282014276543352</v>
          </cell>
          <cell r="J73">
            <v>0.6299858902975809</v>
          </cell>
          <cell r="K73">
            <v>0.40042312302747241</v>
          </cell>
          <cell r="L73">
            <v>0.43779085058307904</v>
          </cell>
          <cell r="M73">
            <v>0.49685065745590967</v>
          </cell>
        </row>
        <row r="152">
          <cell r="O152">
            <v>3810988.7930000001</v>
          </cell>
          <cell r="P152">
            <v>0</v>
          </cell>
        </row>
        <row r="167">
          <cell r="C167">
            <v>2891795.6310000001</v>
          </cell>
          <cell r="D167">
            <v>3078048.412</v>
          </cell>
          <cell r="E167">
            <v>4094917.1359999999</v>
          </cell>
          <cell r="F167">
            <v>4859382.1409999998</v>
          </cell>
        </row>
        <row r="171">
          <cell r="A171" t="str">
            <v>Contra Account of Guarantee Issued</v>
          </cell>
        </row>
        <row r="188">
          <cell r="O188">
            <v>2791587</v>
          </cell>
          <cell r="P188">
            <v>0</v>
          </cell>
        </row>
        <row r="192">
          <cell r="O192">
            <v>2348914.6860000002</v>
          </cell>
        </row>
        <row r="203">
          <cell r="C203">
            <v>331599</v>
          </cell>
          <cell r="D203">
            <v>316714</v>
          </cell>
          <cell r="E203">
            <v>620630</v>
          </cell>
          <cell r="F203">
            <v>1055526</v>
          </cell>
        </row>
        <row r="207">
          <cell r="A207" t="str">
            <v xml:space="preserve">    Guarantee Payment</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IDUAL INCOME"/>
      <sheetName val="MAIN"/>
      <sheetName val="P&amp;L"/>
      <sheetName val="BS"/>
      <sheetName val="Update"/>
      <sheetName val="AFFILIATES"/>
      <sheetName val="Ratio"/>
      <sheetName val="Ace-In"/>
      <sheetName val="Ace-Out"/>
      <sheetName val="Results"/>
      <sheetName val="Cover"/>
      <sheetName val="AFFILIATES (2)"/>
      <sheetName val="Charts"/>
      <sheetName val="For report"/>
      <sheetName val="valuationExhibits"/>
      <sheetName val="Exhibits"/>
      <sheetName val="目標株価"/>
      <sheetName val="Annual"/>
      <sheetName val="CREDIT MOD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
          <cell r="B2" t="str">
            <v>HANA FINANCIAL GROUP (086790.KS)</v>
          </cell>
          <cell r="P2" t="str">
            <v>Foreign exchange rate</v>
          </cell>
          <cell r="X2">
            <v>1343</v>
          </cell>
        </row>
        <row r="3">
          <cell r="P3" t="str">
            <v>Current share price</v>
          </cell>
          <cell r="X3">
            <v>22050</v>
          </cell>
          <cell r="Y3">
            <v>16.418466120625464</v>
          </cell>
        </row>
        <row r="5">
          <cell r="B5" t="str">
            <v>Profit and Loss Statements</v>
          </cell>
          <cell r="P5" t="str">
            <v>Per Share Data and Valuations</v>
          </cell>
        </row>
        <row r="6">
          <cell r="B6" t="str">
            <v>Won billions, Year ending Dec 31</v>
          </cell>
          <cell r="C6">
            <v>2000</v>
          </cell>
          <cell r="D6">
            <v>2001</v>
          </cell>
          <cell r="E6">
            <v>2002</v>
          </cell>
          <cell r="F6">
            <v>2003</v>
          </cell>
          <cell r="G6">
            <v>2004</v>
          </cell>
          <cell r="H6">
            <v>2005</v>
          </cell>
          <cell r="I6">
            <v>2006</v>
          </cell>
          <cell r="J6">
            <v>2007</v>
          </cell>
          <cell r="K6">
            <v>2008</v>
          </cell>
          <cell r="L6" t="str">
            <v>2009E</v>
          </cell>
          <cell r="M6" t="str">
            <v>2010E</v>
          </cell>
          <cell r="N6" t="str">
            <v>2011E</v>
          </cell>
          <cell r="P6" t="str">
            <v>Won billions, Year ending Dec 31</v>
          </cell>
          <cell r="Q6">
            <v>2000</v>
          </cell>
          <cell r="R6">
            <v>2001</v>
          </cell>
          <cell r="S6">
            <v>2002</v>
          </cell>
          <cell r="T6">
            <v>2003</v>
          </cell>
          <cell r="U6">
            <v>2004</v>
          </cell>
          <cell r="V6">
            <v>2005</v>
          </cell>
          <cell r="W6">
            <v>2006</v>
          </cell>
          <cell r="X6">
            <v>2007</v>
          </cell>
          <cell r="Y6">
            <v>2008</v>
          </cell>
          <cell r="Z6" t="str">
            <v>2009E</v>
          </cell>
          <cell r="AA6" t="str">
            <v>2010E</v>
          </cell>
          <cell r="AB6" t="str">
            <v>2011E</v>
          </cell>
        </row>
        <row r="7">
          <cell r="B7" t="str">
            <v>Avg Earning Assets</v>
          </cell>
          <cell r="C7">
            <v>41630.420756499996</v>
          </cell>
          <cell r="D7">
            <v>57006.342904999998</v>
          </cell>
          <cell r="E7">
            <v>44447.248813375001</v>
          </cell>
          <cell r="F7">
            <v>66999.274650250009</v>
          </cell>
          <cell r="G7">
            <v>71044.64224999999</v>
          </cell>
          <cell r="H7">
            <v>76006.012629992125</v>
          </cell>
          <cell r="I7">
            <v>88759.657000000007</v>
          </cell>
          <cell r="J7">
            <v>99423.021999999997</v>
          </cell>
          <cell r="K7">
            <v>114830.74400000001</v>
          </cell>
          <cell r="L7">
            <v>123180.26802796163</v>
          </cell>
          <cell r="M7">
            <v>126804.02161527581</v>
          </cell>
          <cell r="N7">
            <v>131886.61177515215</v>
          </cell>
          <cell r="P7" t="str">
            <v>Book Value Per Share (Won)</v>
          </cell>
          <cell r="Q7">
            <v>9373.0969626120514</v>
          </cell>
          <cell r="R7">
            <v>10328.444430835849</v>
          </cell>
          <cell r="S7">
            <v>13830.078535870867</v>
          </cell>
          <cell r="T7">
            <v>16486.216283571532</v>
          </cell>
          <cell r="U7">
            <v>25270.053906182126</v>
          </cell>
          <cell r="V7">
            <v>30662.088049269507</v>
          </cell>
          <cell r="W7">
            <v>36739.657652704125</v>
          </cell>
          <cell r="X7">
            <v>44009.756395836928</v>
          </cell>
          <cell r="Y7">
            <v>42182.042973828371</v>
          </cell>
          <cell r="Z7">
            <v>43024.536958237666</v>
          </cell>
          <cell r="AA7">
            <v>44577.155484940078</v>
          </cell>
          <cell r="AB7">
            <v>46562.852459314177</v>
          </cell>
        </row>
        <row r="8">
          <cell r="B8" t="str">
            <v>Net Interest Margin (%)</v>
          </cell>
          <cell r="C8">
            <v>2.5959599671623828</v>
          </cell>
          <cell r="D8">
            <v>1.9422254990907144</v>
          </cell>
          <cell r="E8">
            <v>2.1527687372678668</v>
          </cell>
          <cell r="F8">
            <v>2.3246983017810745</v>
          </cell>
          <cell r="G8">
            <v>2.4383864498944683</v>
          </cell>
          <cell r="H8">
            <v>2.4167443290863639</v>
          </cell>
          <cell r="I8">
            <v>2.4020890481809785</v>
          </cell>
          <cell r="J8">
            <v>2.312278337305016</v>
          </cell>
          <cell r="K8">
            <v>2.0556045513386207</v>
          </cell>
          <cell r="L8">
            <v>1.6942136697422991</v>
          </cell>
          <cell r="M8">
            <v>1.8341097125864336</v>
          </cell>
          <cell r="N8">
            <v>1.8411394865284065</v>
          </cell>
          <cell r="P8" t="str">
            <v>Price/Book (x)</v>
          </cell>
          <cell r="Q8">
            <v>2.3524775309542094</v>
          </cell>
          <cell r="R8">
            <v>2.1348810217896057</v>
          </cell>
          <cell r="S8">
            <v>1.5943510329901054</v>
          </cell>
          <cell r="T8">
            <v>1.33748093684618</v>
          </cell>
          <cell r="U8">
            <v>0.87257431590225598</v>
          </cell>
          <cell r="V8">
            <v>0.71912910707740663</v>
          </cell>
          <cell r="W8">
            <v>0.60016890218292684</v>
          </cell>
          <cell r="X8">
            <v>0.50102526816271598</v>
          </cell>
          <cell r="Y8">
            <v>0.52273428325130689</v>
          </cell>
          <cell r="Z8">
            <v>0.51249825236708824</v>
          </cell>
          <cell r="AA8">
            <v>0.49464798191193154</v>
          </cell>
          <cell r="AB8">
            <v>0.47355346237146689</v>
          </cell>
        </row>
        <row r="9">
          <cell r="B9" t="str">
            <v xml:space="preserve">  Interest Income</v>
          </cell>
          <cell r="C9">
            <v>4431.0066329999991</v>
          </cell>
          <cell r="D9">
            <v>4190.6223290000007</v>
          </cell>
          <cell r="E9">
            <v>5124.4074480300005</v>
          </cell>
          <cell r="F9">
            <v>4338.7250000000004</v>
          </cell>
          <cell r="G9">
            <v>4424.4849299999996</v>
          </cell>
          <cell r="H9">
            <v>4480.9417508030001</v>
          </cell>
          <cell r="I9">
            <v>5786.2309999999998</v>
          </cell>
          <cell r="J9">
            <v>6967.6370000000006</v>
          </cell>
          <cell r="K9">
            <v>8617.6710000000003</v>
          </cell>
          <cell r="L9">
            <v>8465.5523646520851</v>
          </cell>
          <cell r="M9">
            <v>9093.7525957058497</v>
          </cell>
          <cell r="N9">
            <v>9585.4567269284453</v>
          </cell>
          <cell r="P9" t="str">
            <v>ROAA (%)</v>
          </cell>
          <cell r="Q9">
            <v>-1.0700583280595537</v>
          </cell>
          <cell r="R9">
            <v>0.66709903372522805</v>
          </cell>
          <cell r="S9">
            <v>0.87173232301160242</v>
          </cell>
          <cell r="T9">
            <v>0.72095581488141292</v>
          </cell>
          <cell r="U9">
            <v>1.6879745001747535</v>
          </cell>
          <cell r="V9">
            <v>1.0700503839549005</v>
          </cell>
          <cell r="W9">
            <v>1.0216945239813493</v>
          </cell>
          <cell r="X9">
            <v>1.0048569482589882</v>
          </cell>
          <cell r="Y9">
            <v>0.35849393984133643</v>
          </cell>
          <cell r="Z9">
            <v>3.851526571592942E-2</v>
          </cell>
          <cell r="AA9">
            <v>0.24799761331347236</v>
          </cell>
          <cell r="AB9">
            <v>0.29237241187453444</v>
          </cell>
        </row>
        <row r="10">
          <cell r="B10" t="str">
            <v xml:space="preserve">  Interest Expense</v>
          </cell>
          <cell r="C10">
            <v>3350.2975759999999</v>
          </cell>
          <cell r="D10">
            <v>3083.4306010000005</v>
          </cell>
          <cell r="E10">
            <v>3481.8585419999999</v>
          </cell>
          <cell r="F10">
            <v>2610.1930000000002</v>
          </cell>
          <cell r="G10">
            <v>2534.1690000000003</v>
          </cell>
          <cell r="H10">
            <v>2484.7829999999999</v>
          </cell>
          <cell r="I10">
            <v>3374.9969999999998</v>
          </cell>
          <cell r="J10">
            <v>4308.1169999999993</v>
          </cell>
          <cell r="K10">
            <v>5741.3739999999998</v>
          </cell>
          <cell r="L10">
            <v>5916.3122235986975</v>
          </cell>
          <cell r="M10">
            <v>6282.4635590898115</v>
          </cell>
          <cell r="N10">
            <v>6647.5463636071399</v>
          </cell>
          <cell r="P10" t="str">
            <v>ROAE (Reported, %)</v>
          </cell>
          <cell r="R10">
            <v>17.332831389844287</v>
          </cell>
          <cell r="S10">
            <v>22.954300184803195</v>
          </cell>
          <cell r="T10">
            <v>17.28037851266204</v>
          </cell>
          <cell r="U10">
            <v>32.819505718058295</v>
          </cell>
          <cell r="V10">
            <v>16.303057435303739</v>
          </cell>
          <cell r="W10">
            <v>14.619218084149038</v>
          </cell>
          <cell r="X10">
            <v>15.265262678924973</v>
          </cell>
          <cell r="Y10">
            <v>5.2951746096768195</v>
          </cell>
          <cell r="Z10">
            <v>0.28253815545441691</v>
          </cell>
          <cell r="AA10">
            <v>3.9959033986742982</v>
          </cell>
          <cell r="AB10">
            <v>4.7911296032005888</v>
          </cell>
        </row>
        <row r="11">
          <cell r="B11" t="str">
            <v>Net Interest Income (NII)</v>
          </cell>
          <cell r="C11">
            <v>1080.7090569999991</v>
          </cell>
          <cell r="D11">
            <v>1107.1917280000002</v>
          </cell>
          <cell r="E11">
            <v>1642.5489060300006</v>
          </cell>
          <cell r="F11">
            <v>1728.5320000000002</v>
          </cell>
          <cell r="G11">
            <v>1890.3159299999993</v>
          </cell>
          <cell r="H11">
            <v>1996.1587508030002</v>
          </cell>
          <cell r="I11">
            <v>2411.2339999999999</v>
          </cell>
          <cell r="J11">
            <v>2659.5200000000013</v>
          </cell>
          <cell r="K11">
            <v>2876.2970000000005</v>
          </cell>
          <cell r="L11">
            <v>2549.2401410533876</v>
          </cell>
          <cell r="M11">
            <v>2811.2890366160382</v>
          </cell>
          <cell r="N11">
            <v>2937.9103633213053</v>
          </cell>
          <cell r="P11" t="str">
            <v>ROAE (ModelWare, %)</v>
          </cell>
          <cell r="U11">
            <v>33.900054363817652</v>
          </cell>
          <cell r="V11">
            <v>17.155381375830554</v>
          </cell>
          <cell r="W11">
            <v>15.421409246407078</v>
          </cell>
          <cell r="X11">
            <v>14.235437974355611</v>
          </cell>
          <cell r="Y11">
            <v>5.5781010489121483</v>
          </cell>
          <cell r="Z11">
            <v>0.68742033471675812</v>
          </cell>
          <cell r="AA11">
            <v>4.4852467307741648</v>
          </cell>
          <cell r="AB11">
            <v>5.3233592181627225</v>
          </cell>
        </row>
        <row r="12">
          <cell r="B12" t="str">
            <v>Loan Loss Prov Exp (LLPE)</v>
          </cell>
          <cell r="C12">
            <v>1503.88949</v>
          </cell>
          <cell r="D12">
            <v>604.04272100000003</v>
          </cell>
          <cell r="E12">
            <v>356.85102099999995</v>
          </cell>
          <cell r="F12">
            <v>829.11900000000003</v>
          </cell>
          <cell r="G12">
            <v>353.24399999999997</v>
          </cell>
          <cell r="H12">
            <v>211.80599999999998</v>
          </cell>
          <cell r="I12">
            <v>322.286</v>
          </cell>
          <cell r="J12">
            <v>400.44299999999998</v>
          </cell>
          <cell r="K12">
            <v>1233.181</v>
          </cell>
          <cell r="L12">
            <v>1104.880062482757</v>
          </cell>
          <cell r="M12">
            <v>992.04354474518652</v>
          </cell>
          <cell r="N12">
            <v>960.10671873845263</v>
          </cell>
        </row>
        <row r="13">
          <cell r="B13" t="str">
            <v>NII After LLPE</v>
          </cell>
          <cell r="C13">
            <v>-423.1804330000009</v>
          </cell>
          <cell r="D13">
            <v>503.14900700000021</v>
          </cell>
          <cell r="E13">
            <v>1285.6978850300006</v>
          </cell>
          <cell r="F13">
            <v>899.41300000000012</v>
          </cell>
          <cell r="G13">
            <v>1537.0719299999994</v>
          </cell>
          <cell r="H13">
            <v>1784.3527508030002</v>
          </cell>
          <cell r="I13">
            <v>2088.9479999999999</v>
          </cell>
          <cell r="J13">
            <v>2259.0770000000011</v>
          </cell>
          <cell r="K13">
            <v>1643.1160000000004</v>
          </cell>
          <cell r="L13">
            <v>1444.3600785706305</v>
          </cell>
          <cell r="M13">
            <v>1819.2454918708518</v>
          </cell>
          <cell r="N13">
            <v>1977.8036445828527</v>
          </cell>
          <cell r="P13" t="str">
            <v>MW EPS Growth (%)</v>
          </cell>
          <cell r="T13">
            <v>-9.3836346492542013</v>
          </cell>
          <cell r="U13">
            <v>152.72110914950119</v>
          </cell>
          <cell r="V13">
            <v>-34.679647272624173</v>
          </cell>
          <cell r="W13">
            <v>9.4407569435800642</v>
          </cell>
          <cell r="X13">
            <v>12.423377316454175</v>
          </cell>
          <cell r="Y13">
            <v>-58.174406557708537</v>
          </cell>
          <cell r="Z13">
            <v>-87.81731026163429</v>
          </cell>
          <cell r="AA13">
            <v>570.81586674355322</v>
          </cell>
          <cell r="AB13">
            <v>23.479823560583334</v>
          </cell>
        </row>
        <row r="14">
          <cell r="P14" t="str">
            <v>Current P/MW EPS</v>
          </cell>
          <cell r="Q14" t="e">
            <v>#DIV/0!</v>
          </cell>
          <cell r="R14" t="e">
            <v>#DIV/0!</v>
          </cell>
          <cell r="S14">
            <v>7.0609115486004113</v>
          </cell>
          <cell r="T14">
            <v>7.7920930962856128</v>
          </cell>
          <cell r="U14">
            <v>3.0832775000508867</v>
          </cell>
          <cell r="V14">
            <v>4.7202401262580471</v>
          </cell>
          <cell r="W14">
            <v>4.3130550793718188</v>
          </cell>
          <cell r="X14">
            <v>3.8364396999311325</v>
          </cell>
          <cell r="Y14">
            <v>9.172469256711036</v>
          </cell>
          <cell r="Z14">
            <v>75.291002674270743</v>
          </cell>
          <cell r="AA14">
            <v>11.223795739920057</v>
          </cell>
          <cell r="AB14">
            <v>9.0895786989955383</v>
          </cell>
        </row>
        <row r="15">
          <cell r="B15" t="str">
            <v>Non-interest Income</v>
          </cell>
        </row>
        <row r="16">
          <cell r="B16" t="str">
            <v>Fees and Commissions</v>
          </cell>
          <cell r="C16">
            <v>443.29103599999996</v>
          </cell>
          <cell r="D16">
            <v>538.598837</v>
          </cell>
          <cell r="E16">
            <v>438.30765497000004</v>
          </cell>
          <cell r="F16">
            <v>270.185</v>
          </cell>
          <cell r="G16">
            <v>216.66806999999994</v>
          </cell>
          <cell r="H16">
            <v>258.62900000000002</v>
          </cell>
          <cell r="I16">
            <v>581.46600000000012</v>
          </cell>
          <cell r="J16">
            <v>620.41000000000008</v>
          </cell>
          <cell r="K16">
            <v>565.20400000000018</v>
          </cell>
          <cell r="L16">
            <v>486.45910292548109</v>
          </cell>
          <cell r="M16">
            <v>530.85512883276374</v>
          </cell>
          <cell r="N16">
            <v>539.64632580209764</v>
          </cell>
          <cell r="P16" t="str">
            <v>Gross Dividends</v>
          </cell>
          <cell r="Q16">
            <v>0</v>
          </cell>
          <cell r="R16">
            <v>0</v>
          </cell>
          <cell r="S16">
            <v>86.068103771932897</v>
          </cell>
          <cell r="T16">
            <v>84.962999999999965</v>
          </cell>
          <cell r="U16">
            <v>135.19027875</v>
          </cell>
          <cell r="V16">
            <v>75.806999999999988</v>
          </cell>
          <cell r="W16">
            <v>188.72295789999998</v>
          </cell>
          <cell r="X16">
            <v>275.40699999999998</v>
          </cell>
          <cell r="Y16">
            <v>42.0718216</v>
          </cell>
          <cell r="Z16">
            <v>0</v>
          </cell>
          <cell r="AA16">
            <v>41.8663186</v>
          </cell>
          <cell r="AB16">
            <v>41.8663186</v>
          </cell>
        </row>
        <row r="17">
          <cell r="B17" t="str">
            <v>Dividend Income</v>
          </cell>
          <cell r="C17">
            <v>8.3889549999999993</v>
          </cell>
          <cell r="D17">
            <v>6.6682290000000002</v>
          </cell>
          <cell r="E17">
            <v>7.1389420000000001</v>
          </cell>
          <cell r="F17">
            <v>93.081000000000003</v>
          </cell>
          <cell r="G17">
            <v>11.289</v>
          </cell>
          <cell r="H17">
            <v>13.642000000000001</v>
          </cell>
          <cell r="I17">
            <v>25.193000000000001</v>
          </cell>
          <cell r="J17">
            <v>57.429000000000002</v>
          </cell>
          <cell r="K17">
            <v>155.94200000000001</v>
          </cell>
          <cell r="L17">
            <v>33.313522691045925</v>
          </cell>
          <cell r="M17">
            <v>29.157752253437081</v>
          </cell>
          <cell r="N17">
            <v>22.79618953624977</v>
          </cell>
          <cell r="P17" t="str">
            <v>Gross DPS (Won)</v>
          </cell>
          <cell r="Q17">
            <v>0</v>
          </cell>
          <cell r="R17">
            <v>0</v>
          </cell>
          <cell r="S17">
            <v>511.19178775156371</v>
          </cell>
          <cell r="T17">
            <v>499.68769739459287</v>
          </cell>
          <cell r="U17">
            <v>750</v>
          </cell>
          <cell r="V17">
            <v>400</v>
          </cell>
          <cell r="W17">
            <v>900</v>
          </cell>
          <cell r="X17">
            <v>1300</v>
          </cell>
          <cell r="Y17">
            <v>200</v>
          </cell>
          <cell r="Z17">
            <v>0</v>
          </cell>
          <cell r="AA17">
            <v>200</v>
          </cell>
          <cell r="AB17">
            <v>200</v>
          </cell>
        </row>
        <row r="18">
          <cell r="B18" t="str">
            <v>Forex Income</v>
          </cell>
          <cell r="C18">
            <v>53.629543000000012</v>
          </cell>
          <cell r="D18">
            <v>44.452679999999987</v>
          </cell>
          <cell r="E18">
            <v>42.158178000000021</v>
          </cell>
          <cell r="F18">
            <v>36.711999999999989</v>
          </cell>
          <cell r="G18">
            <v>49.080999999999989</v>
          </cell>
          <cell r="H18">
            <v>-5.8139999999999645</v>
          </cell>
          <cell r="I18">
            <v>24.173000000000002</v>
          </cell>
          <cell r="J18">
            <v>49.385999999999967</v>
          </cell>
          <cell r="K18">
            <v>213.33300000000008</v>
          </cell>
          <cell r="L18">
            <v>-126.83634938645719</v>
          </cell>
          <cell r="M18">
            <v>0</v>
          </cell>
          <cell r="N18">
            <v>0</v>
          </cell>
          <cell r="P18" t="str">
            <v>Dividend Yield (Current Price, %)</v>
          </cell>
          <cell r="Q18">
            <v>0</v>
          </cell>
          <cell r="R18">
            <v>0</v>
          </cell>
          <cell r="S18">
            <v>2.3183301031816947</v>
          </cell>
          <cell r="T18">
            <v>2.2661573577986074</v>
          </cell>
          <cell r="U18">
            <v>3.4013605442176873</v>
          </cell>
          <cell r="V18">
            <v>1.8140589569160999</v>
          </cell>
          <cell r="W18">
            <v>4.0816326530612246</v>
          </cell>
          <cell r="X18">
            <v>5.895691609977324</v>
          </cell>
          <cell r="Y18">
            <v>0.90702947845804993</v>
          </cell>
          <cell r="Z18">
            <v>0</v>
          </cell>
          <cell r="AA18">
            <v>0.90702947845804993</v>
          </cell>
          <cell r="AB18">
            <v>0.90702947845804993</v>
          </cell>
        </row>
        <row r="19">
          <cell r="B19" t="str">
            <v>Other trading income</v>
          </cell>
          <cell r="C19">
            <v>-33.562145999999956</v>
          </cell>
          <cell r="D19">
            <v>55.459299000000016</v>
          </cell>
          <cell r="E19">
            <v>33.583663999999985</v>
          </cell>
          <cell r="F19">
            <v>37.261999999999944</v>
          </cell>
          <cell r="G19">
            <v>107.50399999999995</v>
          </cell>
          <cell r="H19">
            <v>57.330999999999996</v>
          </cell>
          <cell r="I19">
            <v>62.304000000000002</v>
          </cell>
          <cell r="J19">
            <v>123.79300000000043</v>
          </cell>
          <cell r="K19">
            <v>-1089.5950000000012</v>
          </cell>
          <cell r="L19">
            <v>181.54678016587911</v>
          </cell>
          <cell r="M19">
            <v>99.501461253457819</v>
          </cell>
          <cell r="N19">
            <v>119.74632637549075</v>
          </cell>
          <cell r="P19" t="str">
            <v>Dividend Payout Ratio (%)</v>
          </cell>
          <cell r="Q19">
            <v>0</v>
          </cell>
          <cell r="R19">
            <v>0</v>
          </cell>
          <cell r="S19">
            <v>14.030838929715959</v>
          </cell>
          <cell r="T19">
            <v>16.429050702792804</v>
          </cell>
          <cell r="U19">
            <v>10.15121126850458</v>
          </cell>
          <cell r="V19">
            <v>8.3602793266516073</v>
          </cell>
          <cell r="W19">
            <v>18.381008202756707</v>
          </cell>
          <cell r="X19">
            <v>21.092573672786958</v>
          </cell>
          <cell r="Y19">
            <v>8.7024862342433806</v>
          </cell>
          <cell r="Z19">
            <v>0</v>
          </cell>
          <cell r="AA19">
            <v>11.291081923139069</v>
          </cell>
          <cell r="AB19">
            <v>9.0514061898298479</v>
          </cell>
        </row>
        <row r="20">
          <cell r="B20" t="str">
            <v>Other Income</v>
          </cell>
          <cell r="C20">
            <v>-255.41181200000014</v>
          </cell>
          <cell r="D20">
            <v>0.33494699999985755</v>
          </cell>
          <cell r="E20">
            <v>-90.1765809999998</v>
          </cell>
          <cell r="F20">
            <v>-179.56100000000032</v>
          </cell>
          <cell r="G20">
            <v>-143.6659999999994</v>
          </cell>
          <cell r="H20">
            <v>-139.47475080300023</v>
          </cell>
          <cell r="I20">
            <v>-98.478999999999616</v>
          </cell>
          <cell r="J20">
            <v>162.35799999999929</v>
          </cell>
          <cell r="K20">
            <v>770.61999999999762</v>
          </cell>
          <cell r="L20">
            <v>-213.99433881707222</v>
          </cell>
          <cell r="M20">
            <v>-206.15842549332541</v>
          </cell>
          <cell r="N20">
            <v>-208.19256801537165</v>
          </cell>
        </row>
        <row r="21">
          <cell r="B21" t="str">
            <v>Total Non-interest Income</v>
          </cell>
          <cell r="C21">
            <v>216.33557599999986</v>
          </cell>
          <cell r="D21">
            <v>645.5139919999998</v>
          </cell>
          <cell r="E21">
            <v>431.01185797000016</v>
          </cell>
          <cell r="F21">
            <v>257.67899999999963</v>
          </cell>
          <cell r="G21">
            <v>240.87607000000051</v>
          </cell>
          <cell r="H21">
            <v>184.31324919699983</v>
          </cell>
          <cell r="I21">
            <v>594.65700000000049</v>
          </cell>
          <cell r="J21">
            <v>1013.3759999999997</v>
          </cell>
          <cell r="K21">
            <v>615.50399999999672</v>
          </cell>
          <cell r="L21">
            <v>360.48871757887667</v>
          </cell>
          <cell r="M21">
            <v>453.35591684633329</v>
          </cell>
          <cell r="N21">
            <v>473.99627369846655</v>
          </cell>
          <cell r="P21" t="str">
            <v>Issued Shares (m)</v>
          </cell>
          <cell r="Q21">
            <v>246.363</v>
          </cell>
          <cell r="R21">
            <v>253.108</v>
          </cell>
          <cell r="S21">
            <v>197.43220299999999</v>
          </cell>
          <cell r="T21">
            <v>197.43220299999999</v>
          </cell>
          <cell r="U21">
            <v>192.35344799999999</v>
          </cell>
          <cell r="V21">
            <v>204.25624300000001</v>
          </cell>
          <cell r="W21">
            <v>211.85159300000001</v>
          </cell>
          <cell r="X21">
            <v>211.85159300000001</v>
          </cell>
          <cell r="Y21">
            <v>211.85159300000001</v>
          </cell>
          <cell r="Z21">
            <v>211.85159300000001</v>
          </cell>
          <cell r="AA21">
            <v>211.85159300000001</v>
          </cell>
          <cell r="AB21">
            <v>211.85159300000001</v>
          </cell>
        </row>
        <row r="22">
          <cell r="P22" t="str">
            <v>Market Cap (Wonbn)</v>
          </cell>
          <cell r="Q22">
            <v>5432.3041499999999</v>
          </cell>
          <cell r="R22">
            <v>5581.0314000000008</v>
          </cell>
          <cell r="S22">
            <v>4353.3800761499997</v>
          </cell>
          <cell r="T22">
            <v>4353.3800761499997</v>
          </cell>
          <cell r="U22">
            <v>4241.393528399999</v>
          </cell>
          <cell r="V22">
            <v>4503.8501581500004</v>
          </cell>
          <cell r="W22">
            <v>4671.3276256499994</v>
          </cell>
          <cell r="X22">
            <v>4671.3276256499994</v>
          </cell>
          <cell r="Y22">
            <v>4671.3276256499994</v>
          </cell>
          <cell r="Z22">
            <v>4671.3276256499994</v>
          </cell>
          <cell r="AA22">
            <v>4671.3276256499994</v>
          </cell>
          <cell r="AB22">
            <v>4671.3276256499994</v>
          </cell>
        </row>
        <row r="23">
          <cell r="B23" t="str">
            <v>Non-interest Expense</v>
          </cell>
          <cell r="P23" t="str">
            <v>Market Cap (US$mn)</v>
          </cell>
          <cell r="Q23">
            <v>4044.9025688756519</v>
          </cell>
          <cell r="R23">
            <v>4155.6451228592714</v>
          </cell>
          <cell r="S23">
            <v>3241.533936075949</v>
          </cell>
          <cell r="T23">
            <v>3241.533936075949</v>
          </cell>
          <cell r="U23">
            <v>3158.1485691734915</v>
          </cell>
          <cell r="V23">
            <v>3353.5742056217427</v>
          </cell>
          <cell r="W23">
            <v>3478.2782022710344</v>
          </cell>
          <cell r="X23">
            <v>3478.2782022710344</v>
          </cell>
          <cell r="Y23">
            <v>3478.2782022710344</v>
          </cell>
          <cell r="Z23">
            <v>3478.2782022710344</v>
          </cell>
          <cell r="AA23">
            <v>3478.2782022710344</v>
          </cell>
          <cell r="AB23">
            <v>3478.2782022710344</v>
          </cell>
        </row>
        <row r="24">
          <cell r="B24" t="str">
            <v>Salaries &amp; Benefits</v>
          </cell>
          <cell r="C24">
            <v>421.96628399999997</v>
          </cell>
          <cell r="D24">
            <v>412.35855699999996</v>
          </cell>
          <cell r="E24">
            <v>434.26188100000002</v>
          </cell>
          <cell r="F24">
            <v>451.20699999999999</v>
          </cell>
          <cell r="G24">
            <v>487.63099999999997</v>
          </cell>
          <cell r="H24">
            <v>594.47199999999998</v>
          </cell>
          <cell r="I24">
            <v>796.83200000000011</v>
          </cell>
          <cell r="J24">
            <v>878.59899999999993</v>
          </cell>
          <cell r="K24">
            <v>917.33600000000001</v>
          </cell>
          <cell r="L24">
            <v>1027.1199059611799</v>
          </cell>
          <cell r="M24">
            <v>1012.5506193600037</v>
          </cell>
          <cell r="N24">
            <v>1052.8843644440062</v>
          </cell>
        </row>
        <row r="25">
          <cell r="B25" t="str">
            <v>Net Occupancy &amp; Equipment</v>
          </cell>
          <cell r="C25">
            <v>17.354278999999998</v>
          </cell>
          <cell r="D25">
            <v>20.735520999999999</v>
          </cell>
          <cell r="E25">
            <v>25.628824000000002</v>
          </cell>
          <cell r="F25">
            <v>38.527000000000001</v>
          </cell>
          <cell r="G25">
            <v>35.698999999999998</v>
          </cell>
          <cell r="H25">
            <v>37.822999999999993</v>
          </cell>
          <cell r="I25">
            <v>47.731000000000002</v>
          </cell>
          <cell r="J25">
            <v>60.82</v>
          </cell>
          <cell r="K25">
            <v>84.622</v>
          </cell>
          <cell r="L25">
            <v>90.507531535980704</v>
          </cell>
          <cell r="M25">
            <v>87.794604901773923</v>
          </cell>
          <cell r="N25">
            <v>85.751821183419111</v>
          </cell>
          <cell r="P25" t="str">
            <v>PERFORMANCE RATIOS</v>
          </cell>
        </row>
        <row r="26">
          <cell r="B26" t="str">
            <v>Other Expenses</v>
          </cell>
          <cell r="C26">
            <v>266.59823499999993</v>
          </cell>
          <cell r="D26">
            <v>319.07631100000015</v>
          </cell>
          <cell r="E26">
            <v>393.24414200000001</v>
          </cell>
          <cell r="F26">
            <v>392.26</v>
          </cell>
          <cell r="G26">
            <v>402.10500000000002</v>
          </cell>
          <cell r="H26">
            <v>408.57899999999995</v>
          </cell>
          <cell r="I26">
            <v>541.15600000000006</v>
          </cell>
          <cell r="J26">
            <v>657.49699999999984</v>
          </cell>
          <cell r="K26">
            <v>689.16600000000005</v>
          </cell>
          <cell r="L26">
            <v>705.42558679668764</v>
          </cell>
          <cell r="M26">
            <v>742.59184764250529</v>
          </cell>
          <cell r="N26">
            <v>767.12382766224027</v>
          </cell>
          <cell r="P26" t="str">
            <v>Won billions, Year ending Dec 31</v>
          </cell>
          <cell r="Q26">
            <v>2000</v>
          </cell>
          <cell r="R26">
            <v>2001</v>
          </cell>
          <cell r="S26">
            <v>2002</v>
          </cell>
          <cell r="T26">
            <v>2003</v>
          </cell>
          <cell r="U26">
            <v>2004</v>
          </cell>
          <cell r="V26">
            <v>2005</v>
          </cell>
          <cell r="W26">
            <v>2006</v>
          </cell>
          <cell r="X26">
            <v>2007</v>
          </cell>
          <cell r="Y26">
            <v>2008</v>
          </cell>
          <cell r="Z26" t="str">
            <v>2009E</v>
          </cell>
          <cell r="AA26" t="str">
            <v>2010E</v>
          </cell>
          <cell r="AB26" t="str">
            <v>2011E</v>
          </cell>
        </row>
        <row r="27">
          <cell r="B27" t="str">
            <v>Total Non-interest Expense</v>
          </cell>
          <cell r="C27">
            <v>705.91879799999992</v>
          </cell>
          <cell r="D27">
            <v>752.17038900000011</v>
          </cell>
          <cell r="E27">
            <v>853.13484700000004</v>
          </cell>
          <cell r="F27">
            <v>881.99399999999991</v>
          </cell>
          <cell r="G27">
            <v>925.43499999999995</v>
          </cell>
          <cell r="H27">
            <v>1040.8739999999998</v>
          </cell>
          <cell r="I27">
            <v>1385.7190000000001</v>
          </cell>
          <cell r="J27">
            <v>1596.9159999999997</v>
          </cell>
          <cell r="K27">
            <v>1691.124</v>
          </cell>
          <cell r="L27">
            <v>1823.0530242938482</v>
          </cell>
          <cell r="M27">
            <v>1842.9370719042827</v>
          </cell>
          <cell r="N27">
            <v>1905.7600132896655</v>
          </cell>
          <cell r="P27" t="str">
            <v>Growth (%)</v>
          </cell>
        </row>
        <row r="28">
          <cell r="P28" t="str">
            <v>Net Interest Income</v>
          </cell>
          <cell r="Q28">
            <v>106.65613880989694</v>
          </cell>
          <cell r="R28">
            <v>2.45049033580933</v>
          </cell>
          <cell r="S28">
            <v>48.352707529440679</v>
          </cell>
          <cell r="T28">
            <v>5.2347356997618055</v>
          </cell>
          <cell r="U28">
            <v>9.3596144011218296</v>
          </cell>
          <cell r="V28">
            <v>5.5992132914523429</v>
          </cell>
          <cell r="W28">
            <v>20.793699350316007</v>
          </cell>
          <cell r="X28">
            <v>10.297051219417174</v>
          </cell>
          <cell r="Y28">
            <v>8.1509821321140272</v>
          </cell>
          <cell r="Z28">
            <v>-11.370761049593025</v>
          </cell>
          <cell r="AA28">
            <v>10.27949039961249</v>
          </cell>
          <cell r="AB28">
            <v>4.5040308931621587</v>
          </cell>
        </row>
        <row r="29">
          <cell r="B29" t="str">
            <v>Pre-tax Operating Profit</v>
          </cell>
          <cell r="C29">
            <v>-912.76365500000099</v>
          </cell>
          <cell r="D29">
            <v>396.49261000000001</v>
          </cell>
          <cell r="E29">
            <v>863.57489600000076</v>
          </cell>
          <cell r="F29">
            <v>275.09799999999973</v>
          </cell>
          <cell r="G29">
            <v>852.51299999999992</v>
          </cell>
          <cell r="H29">
            <v>927.79200000000014</v>
          </cell>
          <cell r="I29">
            <v>1297.8860000000004</v>
          </cell>
          <cell r="J29">
            <v>1675.5370000000012</v>
          </cell>
          <cell r="K29">
            <v>567.49599999999714</v>
          </cell>
          <cell r="L29">
            <v>-18.204228144340959</v>
          </cell>
          <cell r="M29">
            <v>429.66433681290255</v>
          </cell>
          <cell r="N29">
            <v>546.03990499165366</v>
          </cell>
          <cell r="P29" t="str">
            <v>Non-interest Income</v>
          </cell>
          <cell r="Q29">
            <v>-14.398329944294208</v>
          </cell>
          <cell r="R29">
            <v>198.38550086648726</v>
          </cell>
          <cell r="S29">
            <v>-33.229664529099736</v>
          </cell>
          <cell r="T29">
            <v>-40.215333932196607</v>
          </cell>
          <cell r="U29">
            <v>-6.5208767497542119</v>
          </cell>
          <cell r="V29">
            <v>-23.48212539460668</v>
          </cell>
          <cell r="W29">
            <v>222.63388692389242</v>
          </cell>
          <cell r="X29">
            <v>70.41353250697442</v>
          </cell>
          <cell r="Y29">
            <v>-39.26203107237621</v>
          </cell>
          <cell r="Z29">
            <v>-41.431945595986605</v>
          </cell>
          <cell r="AA29">
            <v>25.761471785073773</v>
          </cell>
          <cell r="AB29">
            <v>4.5527930893045854</v>
          </cell>
        </row>
        <row r="30">
          <cell r="B30" t="str">
            <v>Associate Profit/Loss</v>
          </cell>
          <cell r="C30">
            <v>426.75069199999996</v>
          </cell>
          <cell r="D30">
            <v>140.88274299999995</v>
          </cell>
          <cell r="E30">
            <v>11.490430000000039</v>
          </cell>
          <cell r="F30">
            <v>217.70100000000002</v>
          </cell>
          <cell r="G30">
            <v>157.06899999999999</v>
          </cell>
          <cell r="H30">
            <v>240.27599999999995</v>
          </cell>
          <cell r="I30">
            <v>158.91</v>
          </cell>
          <cell r="J30">
            <v>81.469999999999956</v>
          </cell>
          <cell r="K30">
            <v>81.254999999999981</v>
          </cell>
          <cell r="L30">
            <v>48.462601086322643</v>
          </cell>
          <cell r="M30">
            <v>52.190825755326848</v>
          </cell>
          <cell r="N30">
            <v>53.441358901211217</v>
          </cell>
          <cell r="P30" t="str">
            <v>Non-interest Expense</v>
          </cell>
          <cell r="Q30">
            <v>136.11256364542524</v>
          </cell>
          <cell r="R30">
            <v>6.5519704434900516</v>
          </cell>
          <cell r="S30">
            <v>13.423083316830752</v>
          </cell>
          <cell r="T30">
            <v>3.3827188165483468</v>
          </cell>
          <cell r="U30">
            <v>4.9253169522695206</v>
          </cell>
          <cell r="V30">
            <v>12.474025728441207</v>
          </cell>
          <cell r="W30">
            <v>33.130330856568648</v>
          </cell>
          <cell r="X30">
            <v>15.240968767838181</v>
          </cell>
          <cell r="Y30">
            <v>5.8993710376751496</v>
          </cell>
          <cell r="Z30">
            <v>7.8012626095926851</v>
          </cell>
          <cell r="AA30">
            <v>1.0907004538793563</v>
          </cell>
          <cell r="AB30">
            <v>3.4088489695673019</v>
          </cell>
        </row>
        <row r="31">
          <cell r="P31" t="str">
            <v>Recurrent Net Profit After Tax (FD)</v>
          </cell>
          <cell r="Q31" t="str">
            <v>NM</v>
          </cell>
          <cell r="R31" t="str">
            <v>NM</v>
          </cell>
          <cell r="S31">
            <v>92.289899611111579</v>
          </cell>
          <cell r="T31">
            <v>-52.311149447730983</v>
          </cell>
          <cell r="U31">
            <v>289.53996825160164</v>
          </cell>
          <cell r="V31">
            <v>-35.955179788548044</v>
          </cell>
          <cell r="W31">
            <v>28.763167392692047</v>
          </cell>
          <cell r="X31">
            <v>36.061672010486603</v>
          </cell>
          <cell r="Y31">
            <v>-66.470062224641623</v>
          </cell>
          <cell r="Z31" t="str">
            <v>NM</v>
          </cell>
          <cell r="AA31" t="str">
            <v>NM</v>
          </cell>
          <cell r="AB31">
            <v>27.085228679201911</v>
          </cell>
        </row>
        <row r="32">
          <cell r="B32" t="str">
            <v>Profit Before Tax</v>
          </cell>
          <cell r="C32">
            <v>-486.01296300000104</v>
          </cell>
          <cell r="D32">
            <v>537.3753529999999</v>
          </cell>
          <cell r="E32">
            <v>875.06532600000082</v>
          </cell>
          <cell r="F32">
            <v>492.79899999999975</v>
          </cell>
          <cell r="G32">
            <v>1009.5819999999999</v>
          </cell>
          <cell r="H32">
            <v>1168.0680000000002</v>
          </cell>
          <cell r="I32">
            <v>1456.7960000000005</v>
          </cell>
          <cell r="J32">
            <v>1757.0070000000012</v>
          </cell>
          <cell r="K32">
            <v>648.75099999999713</v>
          </cell>
          <cell r="L32">
            <v>30.258372941981683</v>
          </cell>
          <cell r="M32">
            <v>481.85516256822939</v>
          </cell>
          <cell r="N32">
            <v>599.48126389286483</v>
          </cell>
          <cell r="P32" t="str">
            <v>Net Profit</v>
          </cell>
          <cell r="Q32" t="str">
            <v>NM</v>
          </cell>
          <cell r="R32" t="str">
            <v>NM</v>
          </cell>
          <cell r="S32">
            <v>43.765372177739323</v>
          </cell>
          <cell r="T32">
            <v>-15.693943919469033</v>
          </cell>
          <cell r="U32">
            <v>157.5195639184688</v>
          </cell>
          <cell r="V32">
            <v>-31.913513269983795</v>
          </cell>
          <cell r="W32">
            <v>13.231401750423522</v>
          </cell>
          <cell r="X32">
            <v>27.171558582214629</v>
          </cell>
          <cell r="Y32">
            <v>-62.974360231170209</v>
          </cell>
          <cell r="Z32">
            <v>-94.725224184289218</v>
          </cell>
          <cell r="AA32">
            <v>1354.0429599715058</v>
          </cell>
          <cell r="AB32">
            <v>24.743953440358467</v>
          </cell>
        </row>
        <row r="33">
          <cell r="B33" t="str">
            <v>Effective Tax</v>
          </cell>
          <cell r="C33">
            <v>13.252741000000006</v>
          </cell>
          <cell r="D33">
            <v>110.69337200000005</v>
          </cell>
          <cell r="E33">
            <v>261.64438800000005</v>
          </cell>
          <cell r="F33">
            <v>-24.351999999999972</v>
          </cell>
          <cell r="G33">
            <v>-322.18300000000005</v>
          </cell>
          <cell r="H33">
            <v>261.31600000000003</v>
          </cell>
          <cell r="I33">
            <v>415.85799999999995</v>
          </cell>
          <cell r="J33">
            <v>433.82999999999993</v>
          </cell>
          <cell r="K33">
            <v>165.084</v>
          </cell>
          <cell r="L33">
            <v>7.9436802519606671</v>
          </cell>
          <cell r="M33">
            <v>106.00813576501041</v>
          </cell>
          <cell r="N33">
            <v>131.88587805643027</v>
          </cell>
        </row>
        <row r="34">
          <cell r="B34" t="str">
            <v xml:space="preserve">Minority Interests </v>
          </cell>
          <cell r="C34">
            <v>0</v>
          </cell>
          <cell r="D34">
            <v>0</v>
          </cell>
          <cell r="E34">
            <v>0</v>
          </cell>
          <cell r="F34">
            <v>0</v>
          </cell>
          <cell r="G34">
            <v>0</v>
          </cell>
          <cell r="H34">
            <v>0</v>
          </cell>
          <cell r="I34">
            <v>14.21</v>
          </cell>
          <cell r="J34">
            <v>17.471</v>
          </cell>
          <cell r="K34">
            <v>0.22100000000000009</v>
          </cell>
          <cell r="L34">
            <v>-3.1859999999999991</v>
          </cell>
          <cell r="M34">
            <v>5.056</v>
          </cell>
          <cell r="N34">
            <v>5.056</v>
          </cell>
          <cell r="P34" t="str">
            <v>Gross Customer Loans</v>
          </cell>
          <cell r="Q34">
            <v>98.571347450617594</v>
          </cell>
          <cell r="R34">
            <v>18.111401357876588</v>
          </cell>
          <cell r="S34">
            <v>24.253726023955458</v>
          </cell>
          <cell r="T34">
            <v>8.5218154890679187</v>
          </cell>
          <cell r="U34">
            <v>6.1168569832166675</v>
          </cell>
          <cell r="V34">
            <v>12.339403243774028</v>
          </cell>
          <cell r="W34">
            <v>25.987519316939967</v>
          </cell>
          <cell r="X34">
            <v>5.6257915515370183</v>
          </cell>
          <cell r="Y34">
            <v>16.919757601310792</v>
          </cell>
          <cell r="Z34">
            <v>3.112279736774437</v>
          </cell>
          <cell r="AA34">
            <v>2.9666312698659603</v>
          </cell>
          <cell r="AB34">
            <v>4.9842277604434049</v>
          </cell>
        </row>
        <row r="35">
          <cell r="B35" t="str">
            <v>Preference Dividend</v>
          </cell>
          <cell r="C35">
            <v>0</v>
          </cell>
          <cell r="D35">
            <v>0</v>
          </cell>
          <cell r="E35">
            <v>0</v>
          </cell>
          <cell r="F35">
            <v>0</v>
          </cell>
          <cell r="G35">
            <v>0</v>
          </cell>
          <cell r="H35">
            <v>0</v>
          </cell>
          <cell r="I35">
            <v>0</v>
          </cell>
          <cell r="J35">
            <v>0</v>
          </cell>
          <cell r="K35">
            <v>0</v>
          </cell>
          <cell r="L35">
            <v>0</v>
          </cell>
          <cell r="M35">
            <v>0</v>
          </cell>
          <cell r="N35">
            <v>0</v>
          </cell>
          <cell r="P35" t="str">
            <v>Total Deposits</v>
          </cell>
          <cell r="Q35">
            <v>80.822132561453813</v>
          </cell>
          <cell r="R35">
            <v>17.588712031559051</v>
          </cell>
          <cell r="S35">
            <v>11.708149820740065</v>
          </cell>
          <cell r="T35">
            <v>5.3625104341374019</v>
          </cell>
          <cell r="U35">
            <v>-2.0612986597465577</v>
          </cell>
          <cell r="V35">
            <v>12.055952603807384</v>
          </cell>
          <cell r="W35">
            <v>24.206983569405228</v>
          </cell>
          <cell r="X35">
            <v>1.805147296187859</v>
          </cell>
          <cell r="Y35">
            <v>16.897689626140068</v>
          </cell>
          <cell r="Z35">
            <v>3.7894857993363118</v>
          </cell>
          <cell r="AA35">
            <v>4.2068846213306532</v>
          </cell>
          <cell r="AB35">
            <v>4.2104445396361045</v>
          </cell>
        </row>
        <row r="36">
          <cell r="B36" t="str">
            <v>Net Profit</v>
          </cell>
          <cell r="C36">
            <v>-499.26570400000105</v>
          </cell>
          <cell r="D36">
            <v>426.68198099999984</v>
          </cell>
          <cell r="E36">
            <v>613.42093800000077</v>
          </cell>
          <cell r="F36">
            <v>517.15099999999973</v>
          </cell>
          <cell r="G36">
            <v>1331.7649999999999</v>
          </cell>
          <cell r="H36">
            <v>906.75200000000018</v>
          </cell>
          <cell r="I36">
            <v>1026.7280000000005</v>
          </cell>
          <cell r="J36">
            <v>1305.7060000000013</v>
          </cell>
          <cell r="K36">
            <v>483.44599999999713</v>
          </cell>
          <cell r="L36">
            <v>25.500692690021015</v>
          </cell>
          <cell r="M36">
            <v>370.79102680321898</v>
          </cell>
          <cell r="N36">
            <v>462.53938583643458</v>
          </cell>
          <cell r="P36" t="str">
            <v>Avg Earning Assets</v>
          </cell>
          <cell r="Q36">
            <v>88.167259551365262</v>
          </cell>
          <cell r="R36">
            <v>36.93434240896849</v>
          </cell>
          <cell r="S36">
            <v>-22.031046812728349</v>
          </cell>
          <cell r="T36">
            <v>50.738856597325956</v>
          </cell>
          <cell r="U36">
            <v>6.03792745648013</v>
          </cell>
          <cell r="V36">
            <v>6.9834546601466485</v>
          </cell>
          <cell r="W36">
            <v>16.779783504884538</v>
          </cell>
          <cell r="X36">
            <v>12.013751923354077</v>
          </cell>
          <cell r="Y36">
            <v>15.497137071532595</v>
          </cell>
          <cell r="Z36">
            <v>7.2711573025788567</v>
          </cell>
          <cell r="AA36">
            <v>2.9418296008997036</v>
          </cell>
          <cell r="AB36">
            <v>4.0082247354085832</v>
          </cell>
        </row>
        <row r="37">
          <cell r="B37" t="str">
            <v>EPS - Reported (Won)</v>
          </cell>
          <cell r="C37">
            <v>-2026.5449925516457</v>
          </cell>
          <cell r="D37">
            <v>1685.7704260631817</v>
          </cell>
          <cell r="E37">
            <v>3106.995356780782</v>
          </cell>
          <cell r="F37">
            <v>2619.3852479070993</v>
          </cell>
          <cell r="G37">
            <v>6923.5306871130269</v>
          </cell>
          <cell r="H37">
            <v>4439.2865876809456</v>
          </cell>
          <cell r="I37">
            <v>4846.4492782926609</v>
          </cell>
          <cell r="J37">
            <v>6163.3050831012688</v>
          </cell>
          <cell r="K37">
            <v>2282.0031379230513</v>
          </cell>
          <cell r="L37">
            <v>120.37054963292636</v>
          </cell>
          <cell r="M37">
            <v>1750.2395028165729</v>
          </cell>
          <cell r="N37">
            <v>2183.3179504882673</v>
          </cell>
          <cell r="P37" t="str">
            <v>Total Interest-bearing Liab</v>
          </cell>
          <cell r="Q37" t="e">
            <v>#DIV/0!</v>
          </cell>
          <cell r="R37" t="e">
            <v>#DIV/0!</v>
          </cell>
          <cell r="S37" t="e">
            <v>#DIV/0!</v>
          </cell>
          <cell r="T37">
            <v>50.468167415994799</v>
          </cell>
          <cell r="U37">
            <v>6.4602573761064264</v>
          </cell>
          <cell r="V37">
            <v>5.2918044571224954</v>
          </cell>
          <cell r="W37">
            <v>14.958415408508486</v>
          </cell>
          <cell r="X37">
            <v>12.049283619728568</v>
          </cell>
          <cell r="Y37">
            <v>16.479162767203981</v>
          </cell>
          <cell r="Z37">
            <v>6.9575956644489789</v>
          </cell>
          <cell r="AA37">
            <v>4.0218286723957553</v>
          </cell>
          <cell r="AB37">
            <v>3.7208456411233382</v>
          </cell>
        </row>
        <row r="38">
          <cell r="B38" t="str">
            <v>EPS - ModelWare (Won)</v>
          </cell>
          <cell r="E38">
            <v>3122.8262595033743</v>
          </cell>
          <cell r="F38">
            <v>2829.7916525806068</v>
          </cell>
          <cell r="G38">
            <v>7151.4808510217081</v>
          </cell>
          <cell r="H38">
            <v>4671.3725171181186</v>
          </cell>
          <cell r="I38">
            <v>5112.3854423884386</v>
          </cell>
          <cell r="J38">
            <v>5747.5163757678292</v>
          </cell>
          <cell r="K38">
            <v>2403.9328323577774</v>
          </cell>
          <cell r="L38">
            <v>292.8636784848552</v>
          </cell>
          <cell r="M38">
            <v>1964.5760232052346</v>
          </cell>
          <cell r="N38">
            <v>2425.8550071673485</v>
          </cell>
          <cell r="P38" t="str">
            <v>Risk-weighted Assets</v>
          </cell>
          <cell r="Q38" t="e">
            <v>#DIV/0!</v>
          </cell>
          <cell r="R38" t="e">
            <v>#DIV/0!</v>
          </cell>
          <cell r="S38" t="e">
            <v>#DIV/0!</v>
          </cell>
          <cell r="T38">
            <v>5.3618152214711223</v>
          </cell>
          <cell r="U38">
            <v>8.5345539660518064</v>
          </cell>
          <cell r="V38">
            <v>11.382386358592678</v>
          </cell>
          <cell r="W38">
            <v>31.04489215718278</v>
          </cell>
          <cell r="X38">
            <v>9.2516041331763823</v>
          </cell>
          <cell r="Y38">
            <v>3.7383962970121143</v>
          </cell>
          <cell r="Z38">
            <v>2.3509569004365849</v>
          </cell>
          <cell r="AA38">
            <v>4.282723025312074</v>
          </cell>
          <cell r="AB38">
            <v>5.1759185747033198</v>
          </cell>
        </row>
        <row r="40">
          <cell r="B40" t="str">
            <v>Selective Balance Sheet Data</v>
          </cell>
          <cell r="P40" t="str">
            <v>Revenue Breakdown (%)</v>
          </cell>
        </row>
        <row r="41">
          <cell r="B41" t="str">
            <v>Won billions, Year ending Dec 31</v>
          </cell>
          <cell r="C41">
            <v>2000</v>
          </cell>
          <cell r="D41">
            <v>2001</v>
          </cell>
          <cell r="E41">
            <v>2002</v>
          </cell>
          <cell r="F41">
            <v>2003</v>
          </cell>
          <cell r="G41">
            <v>2004</v>
          </cell>
          <cell r="H41">
            <v>2005</v>
          </cell>
          <cell r="I41">
            <v>2006</v>
          </cell>
          <cell r="J41">
            <v>2007</v>
          </cell>
          <cell r="K41">
            <v>2008</v>
          </cell>
          <cell r="L41" t="str">
            <v>2009E</v>
          </cell>
          <cell r="M41" t="str">
            <v>2010E</v>
          </cell>
          <cell r="N41" t="str">
            <v>2011E</v>
          </cell>
          <cell r="P41" t="str">
            <v>NII/Operating Income</v>
          </cell>
          <cell r="Q41">
            <v>83.320884224344184</v>
          </cell>
          <cell r="R41">
            <v>63.170429317706592</v>
          </cell>
          <cell r="S41">
            <v>79.213926813576606</v>
          </cell>
          <cell r="T41">
            <v>87.026604927673873</v>
          </cell>
          <cell r="U41">
            <v>88.697589424134435</v>
          </cell>
          <cell r="V41">
            <v>91.547093968782917</v>
          </cell>
          <cell r="W41">
            <v>80.216947321110439</v>
          </cell>
          <cell r="X41">
            <v>72.40934673892211</v>
          </cell>
          <cell r="Y41">
            <v>82.372878637700225</v>
          </cell>
          <cell r="Z41">
            <v>87.610917199057283</v>
          </cell>
          <cell r="AA41">
            <v>86.113163198175059</v>
          </cell>
          <cell r="AB41">
            <v>86.107583702451706</v>
          </cell>
        </row>
        <row r="42">
          <cell r="B42" t="str">
            <v>Total Assets</v>
          </cell>
          <cell r="C42">
            <v>60913.659992000001</v>
          </cell>
          <cell r="D42">
            <v>67033.145632</v>
          </cell>
          <cell r="E42">
            <v>74420.016474000004</v>
          </cell>
          <cell r="F42">
            <v>80566.457999999999</v>
          </cell>
          <cell r="G42">
            <v>82423.207999999984</v>
          </cell>
          <cell r="H42">
            <v>95915.497224970997</v>
          </cell>
          <cell r="I42">
            <v>116098.363</v>
          </cell>
          <cell r="J42">
            <v>126248.67</v>
          </cell>
          <cell r="K42">
            <v>157871.61400000003</v>
          </cell>
          <cell r="L42">
            <v>164305.24582727591</v>
          </cell>
          <cell r="M42">
            <v>171341.98442211625</v>
          </cell>
          <cell r="N42">
            <v>180210.50602008583</v>
          </cell>
          <cell r="P42" t="str">
            <v>Non-interest Inc/Opg Income</v>
          </cell>
          <cell r="Q42">
            <v>16.679115775655813</v>
          </cell>
          <cell r="R42">
            <v>36.829570682293422</v>
          </cell>
          <cell r="S42">
            <v>20.786073186423391</v>
          </cell>
          <cell r="T42">
            <v>12.973395072326136</v>
          </cell>
          <cell r="U42">
            <v>11.302410575865549</v>
          </cell>
          <cell r="V42">
            <v>8.4529060312170863</v>
          </cell>
          <cell r="W42">
            <v>19.783052678889568</v>
          </cell>
          <cell r="X42">
            <v>27.59065326107789</v>
          </cell>
          <cell r="Y42">
            <v>17.627121362299778</v>
          </cell>
          <cell r="Z42">
            <v>12.389082800942717</v>
          </cell>
          <cell r="AA42">
            <v>13.88683680182494</v>
          </cell>
          <cell r="AB42">
            <v>13.892416297548287</v>
          </cell>
        </row>
        <row r="43">
          <cell r="B43" t="str">
            <v>RWA</v>
          </cell>
          <cell r="C43">
            <v>0</v>
          </cell>
          <cell r="D43">
            <v>0</v>
          </cell>
          <cell r="E43">
            <v>48529.675000000003</v>
          </cell>
          <cell r="F43">
            <v>51131.746501080474</v>
          </cell>
          <cell r="G43">
            <v>55495.612999999998</v>
          </cell>
          <cell r="H43">
            <v>61812.338083729388</v>
          </cell>
          <cell r="I43">
            <v>81001.911781656396</v>
          </cell>
          <cell r="J43">
            <v>88495.888000000006</v>
          </cell>
          <cell r="K43">
            <v>91804.214999999997</v>
          </cell>
          <cell r="L43">
            <v>93962.492527434137</v>
          </cell>
          <cell r="M43">
            <v>97986.645830063688</v>
          </cell>
          <cell r="N43">
            <v>103058.35483231071</v>
          </cell>
          <cell r="P43" t="str">
            <v>Forex Income/Operating Income</v>
          </cell>
          <cell r="Q43">
            <v>4.1347492318716563</v>
          </cell>
          <cell r="R43">
            <v>2.5362318096388701</v>
          </cell>
          <cell r="S43">
            <v>2.0331296160655943</v>
          </cell>
          <cell r="T43">
            <v>1.8483434035960928</v>
          </cell>
          <cell r="U43">
            <v>2.3029834946827874</v>
          </cell>
          <cell r="V43">
            <v>-0.2666395165817293</v>
          </cell>
          <cell r="W43">
            <v>0.80418751045862935</v>
          </cell>
          <cell r="X43">
            <v>1.3446065448082372</v>
          </cell>
          <cell r="Y43">
            <v>6.1095406066955205</v>
          </cell>
          <cell r="Z43">
            <v>-4.3590435930197762</v>
          </cell>
          <cell r="AA43">
            <v>0</v>
          </cell>
          <cell r="AB43">
            <v>0</v>
          </cell>
        </row>
        <row r="44">
          <cell r="B44" t="str">
            <v>Total Liquid Assets</v>
          </cell>
          <cell r="C44">
            <v>25970.409538</v>
          </cell>
          <cell r="D44">
            <v>25632.494008999998</v>
          </cell>
          <cell r="E44">
            <v>21427.787038999999</v>
          </cell>
          <cell r="F44">
            <v>22380.150999999998</v>
          </cell>
          <cell r="G44">
            <v>21344.007000000001</v>
          </cell>
          <cell r="H44">
            <v>29272.919657278002</v>
          </cell>
          <cell r="I44">
            <v>28502.98</v>
          </cell>
          <cell r="J44">
            <v>32248.152000000002</v>
          </cell>
          <cell r="K44">
            <v>37034.952000000005</v>
          </cell>
          <cell r="L44">
            <v>37956.005942415839</v>
          </cell>
          <cell r="M44">
            <v>39498.546464023035</v>
          </cell>
          <cell r="N44">
            <v>40536.405440138929</v>
          </cell>
        </row>
        <row r="45">
          <cell r="B45" t="str">
            <v>Gross Customer Loans</v>
          </cell>
          <cell r="C45">
            <v>35416.187191999998</v>
          </cell>
          <cell r="D45">
            <v>41830.555</v>
          </cell>
          <cell r="E45">
            <v>51976.023203999997</v>
          </cell>
          <cell r="F45">
            <v>56405.324000000001</v>
          </cell>
          <cell r="G45">
            <v>59855.556999999993</v>
          </cell>
          <cell r="H45">
            <v>67241.375542037</v>
          </cell>
          <cell r="I45">
            <v>84715.741000000009</v>
          </cell>
          <cell r="J45">
            <v>89481.671999999991</v>
          </cell>
          <cell r="K45">
            <v>104621.75399999999</v>
          </cell>
          <cell r="L45">
            <v>107877.87564999999</v>
          </cell>
          <cell r="M45">
            <v>111078.21444230001</v>
          </cell>
          <cell r="N45">
            <v>116614.60564233798</v>
          </cell>
          <cell r="P45" t="str">
            <v>Efficiency (%)</v>
          </cell>
        </row>
        <row r="46">
          <cell r="B46" t="str">
            <v>Total Customer Deposits</v>
          </cell>
          <cell r="C46">
            <v>37867.318066</v>
          </cell>
          <cell r="D46">
            <v>44748.851478999997</v>
          </cell>
          <cell r="E46">
            <v>48922.024000000005</v>
          </cell>
          <cell r="F46">
            <v>53861.928999999996</v>
          </cell>
          <cell r="G46">
            <v>53017.877</v>
          </cell>
          <cell r="H46">
            <v>57070.172606144006</v>
          </cell>
          <cell r="I46">
            <v>69649.535000000003</v>
          </cell>
          <cell r="J46">
            <v>69313.578000000009</v>
          </cell>
          <cell r="K46">
            <v>79464.37000000001</v>
          </cell>
          <cell r="L46">
            <v>82642.944800000012</v>
          </cell>
          <cell r="M46">
            <v>85948.662592000022</v>
          </cell>
          <cell r="N46">
            <v>89386.609095680033</v>
          </cell>
          <cell r="P46" t="str">
            <v>Cost/Income</v>
          </cell>
          <cell r="Q46">
            <v>54.425173971634663</v>
          </cell>
          <cell r="R46">
            <v>42.914813389209463</v>
          </cell>
          <cell r="S46">
            <v>41.143469813455617</v>
          </cell>
          <cell r="T46">
            <v>37.9</v>
          </cell>
          <cell r="U46">
            <v>43.423351814383686</v>
          </cell>
          <cell r="V46">
            <v>47.736178221962938</v>
          </cell>
          <cell r="W46">
            <v>46.100108087751678</v>
          </cell>
          <cell r="X46">
            <v>43.478388715607501</v>
          </cell>
          <cell r="Y46">
            <v>48.431282309616194</v>
          </cell>
          <cell r="Z46">
            <v>62.653708055491656</v>
          </cell>
          <cell r="AA46">
            <v>56.451378271616527</v>
          </cell>
          <cell r="AB46">
            <v>55.856159503658233</v>
          </cell>
        </row>
        <row r="47">
          <cell r="B47" t="str">
            <v>Certificates of Deposits</v>
          </cell>
          <cell r="C47">
            <v>2050.8671610000001</v>
          </cell>
          <cell r="D47">
            <v>2741.2278759999999</v>
          </cell>
          <cell r="E47">
            <v>4536.4353770000016</v>
          </cell>
          <cell r="F47">
            <v>2192.4790000000066</v>
          </cell>
          <cell r="G47">
            <v>1569.5350000000035</v>
          </cell>
          <cell r="H47">
            <v>3993.2857669409932</v>
          </cell>
          <cell r="I47">
            <v>6969.4489999999932</v>
          </cell>
          <cell r="J47">
            <v>8384.7350000000006</v>
          </cell>
          <cell r="K47">
            <v>9836.7279999999882</v>
          </cell>
          <cell r="L47">
            <v>10033.462559999989</v>
          </cell>
          <cell r="M47">
            <v>10635.470313599988</v>
          </cell>
          <cell r="N47">
            <v>11273.598532415988</v>
          </cell>
          <cell r="P47" t="str">
            <v>Expenses/Avg Assets</v>
          </cell>
          <cell r="Q47">
            <v>1.5133501595664849</v>
          </cell>
          <cell r="R47">
            <v>1.1757548542640748</v>
          </cell>
          <cell r="S47">
            <v>1.2062435852239075</v>
          </cell>
          <cell r="T47">
            <v>1.1381560913535849</v>
          </cell>
          <cell r="U47">
            <v>1.1355750615502214</v>
          </cell>
          <cell r="V47">
            <v>1.167300164803772</v>
          </cell>
          <cell r="W47">
            <v>1.3071966130229349</v>
          </cell>
          <cell r="X47">
            <v>1.3178754286626646</v>
          </cell>
          <cell r="Y47">
            <v>1.1904282061044258</v>
          </cell>
          <cell r="Z47">
            <v>1.1317094748960028</v>
          </cell>
          <cell r="AA47">
            <v>1.0981392997254564</v>
          </cell>
          <cell r="AB47">
            <v>1.0841965652938459</v>
          </cell>
        </row>
        <row r="48">
          <cell r="B48" t="str">
            <v>Other Interest Bearing Liability</v>
          </cell>
          <cell r="C48">
            <v>12510.805729</v>
          </cell>
          <cell r="D48">
            <v>9952.527562999996</v>
          </cell>
          <cell r="E48">
            <v>12105.286842000001</v>
          </cell>
          <cell r="F48">
            <v>13721.209999999992</v>
          </cell>
          <cell r="G48">
            <v>15615.631999999998</v>
          </cell>
          <cell r="H48">
            <v>20422.343376655008</v>
          </cell>
          <cell r="I48">
            <v>22728.152999999991</v>
          </cell>
          <cell r="J48">
            <v>27214.11</v>
          </cell>
          <cell r="K48">
            <v>34422.557000000001</v>
          </cell>
          <cell r="L48">
            <v>34502.425195289237</v>
          </cell>
          <cell r="M48">
            <v>34489.549009130031</v>
          </cell>
          <cell r="N48">
            <v>36124.470438170771</v>
          </cell>
        </row>
        <row r="49">
          <cell r="B49" t="str">
            <v>EOP Shareholders' Equity</v>
          </cell>
          <cell r="C49">
            <v>2309.1842869999932</v>
          </cell>
          <cell r="D49">
            <v>2614.2119130000001</v>
          </cell>
          <cell r="E49">
            <v>2730.5028729999995</v>
          </cell>
          <cell r="F49">
            <v>3254.91</v>
          </cell>
          <cell r="G49">
            <v>4860.7820000000002</v>
          </cell>
          <cell r="H49">
            <v>6629.1442996239894</v>
          </cell>
          <cell r="I49">
            <v>8006.2560000000103</v>
          </cell>
          <cell r="J49">
            <v>9569.4559999999929</v>
          </cell>
          <cell r="K49">
            <v>9300.2389999999996</v>
          </cell>
          <cell r="L49">
            <v>9481.8816926900254</v>
          </cell>
          <cell r="M49">
            <v>9810.8064008932433</v>
          </cell>
          <cell r="N49">
            <v>10231.479468129677</v>
          </cell>
          <cell r="P49" t="str">
            <v>Rev Per Employee</v>
          </cell>
          <cell r="Q49">
            <v>6.5454412242632168E-2</v>
          </cell>
          <cell r="R49">
            <v>9.1599243251718102E-2</v>
          </cell>
          <cell r="S49">
            <v>0.16006490130842571</v>
          </cell>
          <cell r="T49">
            <v>0.27943317388857625</v>
          </cell>
          <cell r="U49">
            <v>0.30981130978339877</v>
          </cell>
          <cell r="V49">
            <v>0.31418904899135447</v>
          </cell>
          <cell r="W49">
            <v>0.41320929273489593</v>
          </cell>
          <cell r="X49">
            <v>0.48368947125831319</v>
          </cell>
          <cell r="Y49">
            <v>0.42518124809741215</v>
          </cell>
          <cell r="Z49">
            <v>0.34491807238409961</v>
          </cell>
          <cell r="AA49">
            <v>0.39420937673879991</v>
          </cell>
          <cell r="AB49">
            <v>0.40975382957014084</v>
          </cell>
        </row>
        <row r="50">
          <cell r="P50" t="str">
            <v>Exp Per Employee</v>
          </cell>
          <cell r="Q50">
            <v>3.5623677735163499E-2</v>
          </cell>
          <cell r="R50">
            <v>3.9309644307402865E-2</v>
          </cell>
          <cell r="S50">
            <v>6.5856254351769658E-2</v>
          </cell>
          <cell r="T50">
            <v>0.12408469330332018</v>
          </cell>
          <cell r="U50">
            <v>0.13453045500799535</v>
          </cell>
          <cell r="V50">
            <v>0.14998184438040343</v>
          </cell>
          <cell r="W50">
            <v>0.19048993057942126</v>
          </cell>
          <cell r="X50">
            <v>0.210300388490156</v>
          </cell>
          <cell r="Y50">
            <v>0.2059207305936073</v>
          </cell>
          <cell r="Z50">
            <v>0.21610396210216315</v>
          </cell>
          <cell r="AA50">
            <v>0.22253662644500183</v>
          </cell>
          <cell r="AB50">
            <v>0.22887275261704582</v>
          </cell>
        </row>
        <row r="51">
          <cell r="B51" t="str">
            <v>Avg Loans</v>
          </cell>
          <cell r="C51">
            <v>26625.842215500001</v>
          </cell>
          <cell r="D51">
            <v>38623.371096000003</v>
          </cell>
          <cell r="E51">
            <v>46903.289101999995</v>
          </cell>
          <cell r="F51">
            <v>54190.673601999995</v>
          </cell>
          <cell r="G51">
            <v>58130.440499999997</v>
          </cell>
          <cell r="H51">
            <v>63548.466271018493</v>
          </cell>
          <cell r="I51">
            <v>75978.558271018497</v>
          </cell>
          <cell r="J51">
            <v>87098.7065</v>
          </cell>
          <cell r="K51">
            <v>97051.712999999989</v>
          </cell>
          <cell r="L51">
            <v>106249.81482499998</v>
          </cell>
          <cell r="M51">
            <v>109478.04504615</v>
          </cell>
          <cell r="N51">
            <v>113846.410042319</v>
          </cell>
          <cell r="P51" t="str">
            <v>Rev Per Branch</v>
          </cell>
          <cell r="Q51">
            <v>1.1362633666228639</v>
          </cell>
          <cell r="R51">
            <v>1.536113689745837</v>
          </cell>
          <cell r="S51">
            <v>2.4366166439482968</v>
          </cell>
          <cell r="T51">
            <v>3.5468053571428566</v>
          </cell>
          <cell r="U51">
            <v>3.8961462522851922</v>
          </cell>
          <cell r="V51">
            <v>3.9681019108280258</v>
          </cell>
          <cell r="W51">
            <v>5.2967242290748908</v>
          </cell>
          <cell r="X51">
            <v>6.1729344537815143</v>
          </cell>
          <cell r="Y51">
            <v>5.6228679549114284</v>
          </cell>
          <cell r="Z51">
            <v>4.5967280547113178</v>
          </cell>
          <cell r="AA51">
            <v>5.1574169880922138</v>
          </cell>
          <cell r="AB51">
            <v>5.3900578783882658</v>
          </cell>
        </row>
        <row r="52">
          <cell r="B52" t="str">
            <v>Avg Total Assets</v>
          </cell>
          <cell r="C52">
            <v>46646.097966000001</v>
          </cell>
          <cell r="D52">
            <v>63973.402812</v>
          </cell>
          <cell r="E52">
            <v>70726.581053000002</v>
          </cell>
          <cell r="F52">
            <v>77493.237236999994</v>
          </cell>
          <cell r="G52">
            <v>81494.832999999984</v>
          </cell>
          <cell r="H52">
            <v>89169.352612485498</v>
          </cell>
          <cell r="I52">
            <v>106006.9301124855</v>
          </cell>
          <cell r="J52">
            <v>121173.5165</v>
          </cell>
          <cell r="K52">
            <v>142060.14200000002</v>
          </cell>
          <cell r="L52">
            <v>161088.42991363799</v>
          </cell>
          <cell r="M52">
            <v>167823.61512469608</v>
          </cell>
          <cell r="N52">
            <v>175776.24522110104</v>
          </cell>
          <cell r="P52" t="str">
            <v>Exp Per Branch</v>
          </cell>
          <cell r="Q52">
            <v>0.61841331406044675</v>
          </cell>
          <cell r="R52">
            <v>0.65922032340052594</v>
          </cell>
          <cell r="S52">
            <v>1.0025086333725031</v>
          </cell>
          <cell r="T52">
            <v>1.5749892857142855</v>
          </cell>
          <cell r="U52">
            <v>1.6918372943327238</v>
          </cell>
          <cell r="V52">
            <v>1.8942202001819832</v>
          </cell>
          <cell r="W52">
            <v>2.4417955947136565</v>
          </cell>
          <cell r="X52">
            <v>2.6838924369747894</v>
          </cell>
          <cell r="Y52">
            <v>2.7232270531400968</v>
          </cell>
          <cell r="Z52">
            <v>2.8800205755037096</v>
          </cell>
          <cell r="AA52">
            <v>2.9114329729925479</v>
          </cell>
          <cell r="AB52">
            <v>3.0106793258920468</v>
          </cell>
        </row>
        <row r="53">
          <cell r="B53" t="str">
            <v>Avg Total Deposits</v>
          </cell>
          <cell r="C53">
            <v>32322.240476500003</v>
          </cell>
          <cell r="D53">
            <v>45285.3858415</v>
          </cell>
          <cell r="E53">
            <v>51811.351515000002</v>
          </cell>
          <cell r="F53">
            <v>56142.709453000003</v>
          </cell>
          <cell r="G53">
            <v>57014.987000000001</v>
          </cell>
          <cell r="H53">
            <v>59822.302157279497</v>
          </cell>
          <cell r="I53">
            <v>70875.595657279497</v>
          </cell>
          <cell r="J53">
            <v>79236.601500000004</v>
          </cell>
          <cell r="K53">
            <v>86699.833500000008</v>
          </cell>
          <cell r="L53">
            <v>95225.012599999987</v>
          </cell>
          <cell r="M53">
            <v>99035.9804496</v>
          </cell>
          <cell r="N53">
            <v>103204.10899632002</v>
          </cell>
          <cell r="P53" t="str">
            <v>Net Profit Per Branch</v>
          </cell>
          <cell r="Q53">
            <v>-0.43737687604029879</v>
          </cell>
          <cell r="R53">
            <v>0.37395440929009627</v>
          </cell>
          <cell r="S53">
            <v>0.72082366392479524</v>
          </cell>
          <cell r="T53">
            <v>0.92348392857142814</v>
          </cell>
          <cell r="U53">
            <v>2.4346709323583178</v>
          </cell>
          <cell r="V53">
            <v>1.6501401273885354</v>
          </cell>
          <cell r="W53">
            <v>1.809212334801763</v>
          </cell>
          <cell r="X53">
            <v>2.1944638655462207</v>
          </cell>
          <cell r="Y53">
            <v>0.77849597423510009</v>
          </cell>
          <cell r="Z53">
            <v>4.0285454486605081E-2</v>
          </cell>
          <cell r="AA53">
            <v>0.58576781485500629</v>
          </cell>
          <cell r="AB53">
            <v>0.73070993023133424</v>
          </cell>
        </row>
        <row r="54">
          <cell r="B54" t="str">
            <v>Avg Shareholders' Equity</v>
          </cell>
          <cell r="D54">
            <v>2461.6980999999969</v>
          </cell>
          <cell r="E54">
            <v>2672.3573929999998</v>
          </cell>
          <cell r="F54">
            <v>2992.7064364999997</v>
          </cell>
          <cell r="G54">
            <v>4057.846</v>
          </cell>
          <cell r="H54">
            <v>5744.9631498119943</v>
          </cell>
          <cell r="I54">
            <v>7317.7001498119998</v>
          </cell>
          <cell r="J54">
            <v>8787.8560000000016</v>
          </cell>
          <cell r="K54">
            <v>9434.8474999999962</v>
          </cell>
          <cell r="L54">
            <v>9391.0603463450134</v>
          </cell>
          <cell r="M54">
            <v>9646.3440467916334</v>
          </cell>
          <cell r="N54">
            <v>10021.142934511459</v>
          </cell>
        </row>
        <row r="55">
          <cell r="B55" t="str">
            <v>Avg Equity/Avg Assets (%)</v>
          </cell>
          <cell r="C55">
            <v>4.3677219356804979</v>
          </cell>
          <cell r="D55">
            <v>3.8480024381917617</v>
          </cell>
          <cell r="E55">
            <v>3.7784342933209647</v>
          </cell>
          <cell r="F55">
            <v>3.861893686732059</v>
          </cell>
          <cell r="G55">
            <v>4.9792678267099477</v>
          </cell>
          <cell r="H55">
            <v>6.442755253342038</v>
          </cell>
          <cell r="I55">
            <v>6.9030393975630471</v>
          </cell>
          <cell r="J55">
            <v>7.2522909739934818</v>
          </cell>
          <cell r="K55">
            <v>6.6414459166174806</v>
          </cell>
          <cell r="L55">
            <v>5.8297547200501656</v>
          </cell>
          <cell r="M55">
            <v>5.7479062405038883</v>
          </cell>
          <cell r="N55">
            <v>5.7010791884343153</v>
          </cell>
          <cell r="P55" t="str">
            <v>Net Interest Margin Analysis (%)</v>
          </cell>
        </row>
        <row r="56">
          <cell r="B56" t="str">
            <v>Avg EA/Avg Assets (%)</v>
          </cell>
          <cell r="C56">
            <v>89.247380963878484</v>
          </cell>
          <cell r="D56">
            <v>89.109442986057431</v>
          </cell>
          <cell r="E56">
            <v>62.843768427131806</v>
          </cell>
          <cell r="F56">
            <v>86.458221438528923</v>
          </cell>
          <cell r="G56">
            <v>87.176867090457137</v>
          </cell>
          <cell r="H56">
            <v>85.237820398114849</v>
          </cell>
          <cell r="I56">
            <v>83.730051333262693</v>
          </cell>
          <cell r="J56">
            <v>82.050125202069211</v>
          </cell>
          <cell r="K56">
            <v>80.832485722842648</v>
          </cell>
          <cell r="L56">
            <v>76.467483166854691</v>
          </cell>
          <cell r="M56">
            <v>75.557913301449304</v>
          </cell>
          <cell r="N56">
            <v>75.030964286020506</v>
          </cell>
          <cell r="P56" t="str">
            <v>Int Income/Avg EA</v>
          </cell>
          <cell r="Q56">
            <v>10.643674871597739</v>
          </cell>
          <cell r="R56">
            <v>7.3511509692589723</v>
          </cell>
          <cell r="S56">
            <v>6.7593665687715969</v>
          </cell>
          <cell r="T56">
            <v>6.3411313363885</v>
          </cell>
          <cell r="U56">
            <v>6.1076173974259129</v>
          </cell>
          <cell r="V56">
            <v>5.8021686014085239</v>
          </cell>
          <cell r="W56">
            <v>6.2075262413418288</v>
          </cell>
          <cell r="X56">
            <v>6.5828234430452133</v>
          </cell>
          <cell r="Y56">
            <v>6.8408134671669467</v>
          </cell>
          <cell r="Z56">
            <v>6.2134847638400847</v>
          </cell>
          <cell r="AA56">
            <v>6.4918681354455359</v>
          </cell>
          <cell r="AB56">
            <v>6.5820049613349196</v>
          </cell>
        </row>
        <row r="57">
          <cell r="B57" t="str">
            <v>Avg Loans/Avg EA (%)</v>
          </cell>
          <cell r="C57">
            <v>63.957658202007863</v>
          </cell>
          <cell r="D57">
            <v>67.752760706585107</v>
          </cell>
          <cell r="E57">
            <v>105.5257419844756</v>
          </cell>
          <cell r="F57">
            <v>80.882478034107763</v>
          </cell>
          <cell r="G57">
            <v>81.822412864637954</v>
          </cell>
          <cell r="H57">
            <v>83.609788320802053</v>
          </cell>
          <cell r="I57">
            <v>85.600328841985601</v>
          </cell>
          <cell r="J57">
            <v>87.604163249031004</v>
          </cell>
          <cell r="K57">
            <v>84.517185571836038</v>
          </cell>
          <cell r="L57">
            <v>86.255547683076585</v>
          </cell>
          <cell r="M57">
            <v>86.336413980864961</v>
          </cell>
          <cell r="N57">
            <v>86.321430591007115</v>
          </cell>
          <cell r="P57" t="str">
            <v>Int Exp/Avg Int Bearing Liab.</v>
          </cell>
          <cell r="Q57" t="e">
            <v>#DIV/0!</v>
          </cell>
          <cell r="R57" t="e">
            <v>#DIV/0!</v>
          </cell>
          <cell r="S57">
            <v>4.6313369340110055</v>
          </cell>
          <cell r="T57">
            <v>4.0452670229563381</v>
          </cell>
          <cell r="U57">
            <v>3.6809119629991809</v>
          </cell>
          <cell r="V57">
            <v>3.4507662002186983</v>
          </cell>
          <cell r="W57">
            <v>3.9403417237731766</v>
          </cell>
          <cell r="X57">
            <v>4.4205356988732829</v>
          </cell>
          <cell r="Y57">
            <v>4.9115149565837148</v>
          </cell>
          <cell r="Z57">
            <v>4.6521562826867413</v>
          </cell>
          <cell r="AA57">
            <v>4.7449349222804189</v>
          </cell>
          <cell r="AB57">
            <v>4.8429787934421542</v>
          </cell>
        </row>
        <row r="58">
          <cell r="P58" t="str">
            <v xml:space="preserve">Net Interest Spread </v>
          </cell>
          <cell r="Q58">
            <v>0</v>
          </cell>
          <cell r="R58">
            <v>0</v>
          </cell>
          <cell r="S58">
            <v>2.1280296347605914</v>
          </cell>
          <cell r="T58">
            <v>2.2958643134321619</v>
          </cell>
          <cell r="U58">
            <v>2.426705434426732</v>
          </cell>
          <cell r="V58">
            <v>2.351402401189826</v>
          </cell>
          <cell r="W58">
            <v>2.2671845175686522</v>
          </cell>
          <cell r="X58">
            <v>2.1622877441719299</v>
          </cell>
          <cell r="Y58">
            <v>1.9292985105832314</v>
          </cell>
          <cell r="Z58">
            <v>1.561328481153343</v>
          </cell>
          <cell r="AA58">
            <v>1.7469332131651174</v>
          </cell>
          <cell r="AB58">
            <v>1.7390261678927654</v>
          </cell>
        </row>
        <row r="59">
          <cell r="B59" t="str">
            <v>Asset Quality</v>
          </cell>
          <cell r="P59" t="str">
            <v>Contribution From Free Funds</v>
          </cell>
          <cell r="Q59">
            <v>2.5959599671623828</v>
          </cell>
          <cell r="R59">
            <v>1.9422254990907144</v>
          </cell>
          <cell r="S59">
            <v>2.4739102507275401E-2</v>
          </cell>
          <cell r="T59">
            <v>2.8833988348912598E-2</v>
          </cell>
          <cell r="U59">
            <v>1.1681015467736255E-2</v>
          </cell>
          <cell r="V59">
            <v>6.5341927896537921E-2</v>
          </cell>
          <cell r="W59">
            <v>0.13490453061232621</v>
          </cell>
          <cell r="X59">
            <v>0.14999059313308605</v>
          </cell>
          <cell r="Y59">
            <v>0.12630604075538931</v>
          </cell>
          <cell r="Z59">
            <v>0.13288518858895615</v>
          </cell>
          <cell r="AA59">
            <v>8.7176499421316223E-2</v>
          </cell>
          <cell r="AB59">
            <v>0.1021133186356411</v>
          </cell>
        </row>
        <row r="60">
          <cell r="B60" t="str">
            <v>Won billions, Year ending Dec 31</v>
          </cell>
          <cell r="C60">
            <v>2000</v>
          </cell>
          <cell r="D60">
            <v>2001</v>
          </cell>
          <cell r="E60">
            <v>2002</v>
          </cell>
          <cell r="F60">
            <v>2003</v>
          </cell>
          <cell r="G60">
            <v>2004</v>
          </cell>
          <cell r="H60">
            <v>2005</v>
          </cell>
          <cell r="I60">
            <v>2006</v>
          </cell>
          <cell r="J60">
            <v>2007</v>
          </cell>
          <cell r="K60">
            <v>2008</v>
          </cell>
          <cell r="L60" t="str">
            <v>2009E</v>
          </cell>
          <cell r="M60" t="str">
            <v>2010E</v>
          </cell>
          <cell r="N60" t="str">
            <v>2011E</v>
          </cell>
          <cell r="P60" t="str">
            <v>Net Interest Margin</v>
          </cell>
          <cell r="Q60">
            <v>2.5959599671623828</v>
          </cell>
          <cell r="R60">
            <v>1.9422254990907144</v>
          </cell>
          <cell r="S60">
            <v>2.1527687372678668</v>
          </cell>
          <cell r="T60">
            <v>2.3246983017810745</v>
          </cell>
          <cell r="U60">
            <v>2.4383864498944683</v>
          </cell>
          <cell r="V60">
            <v>2.4167443290863639</v>
          </cell>
          <cell r="W60">
            <v>2.4020890481809785</v>
          </cell>
          <cell r="X60">
            <v>2.312278337305016</v>
          </cell>
          <cell r="Y60">
            <v>2.0556045513386207</v>
          </cell>
          <cell r="Z60">
            <v>1.6942136697422991</v>
          </cell>
          <cell r="AA60">
            <v>1.8341097125864336</v>
          </cell>
          <cell r="AB60">
            <v>1.8411394865284065</v>
          </cell>
        </row>
        <row r="61">
          <cell r="B61" t="str">
            <v>Non-performing Loans (NPL)</v>
          </cell>
          <cell r="C61">
            <v>0</v>
          </cell>
          <cell r="D61">
            <v>0</v>
          </cell>
          <cell r="E61">
            <v>979.94100000000003</v>
          </cell>
          <cell r="F61">
            <v>1134.2430000000002</v>
          </cell>
          <cell r="G61">
            <v>862.82200000000012</v>
          </cell>
          <cell r="H61">
            <v>635.66500000000008</v>
          </cell>
          <cell r="I61">
            <v>573.048</v>
          </cell>
          <cell r="J61">
            <v>687.15685434600005</v>
          </cell>
          <cell r="K61">
            <v>1257.5650000000001</v>
          </cell>
          <cell r="L61">
            <v>1943.6494220151201</v>
          </cell>
          <cell r="M61">
            <v>2010.8178262311749</v>
          </cell>
          <cell r="N61">
            <v>1646.4485325195558</v>
          </cell>
        </row>
        <row r="62">
          <cell r="B62" t="str">
            <v>Gross NPL Ratio (%)</v>
          </cell>
          <cell r="C62">
            <v>0</v>
          </cell>
          <cell r="D62">
            <v>0</v>
          </cell>
          <cell r="E62">
            <v>1.7407534800600934</v>
          </cell>
          <cell r="F62">
            <v>1.9842182085651967</v>
          </cell>
          <cell r="G62">
            <v>1.4362584111901322</v>
          </cell>
          <cell r="H62">
            <v>0.97864373109768032</v>
          </cell>
          <cell r="I62">
            <v>0.68631426610592261</v>
          </cell>
          <cell r="J62">
            <v>0.77334405874766943</v>
          </cell>
          <cell r="K62">
            <v>1.1987012754904474</v>
          </cell>
          <cell r="L62">
            <v>1.790020931506711</v>
          </cell>
          <cell r="M62">
            <v>1.796198119035552</v>
          </cell>
          <cell r="N62">
            <v>1.4033577174790395</v>
          </cell>
          <cell r="P62" t="str">
            <v>Liquidity (%)</v>
          </cell>
        </row>
        <row r="63">
          <cell r="B63" t="str">
            <v>Loan Loss Reserve (LLR)</v>
          </cell>
          <cell r="C63">
            <v>2315.1305339999999</v>
          </cell>
          <cell r="D63">
            <v>0</v>
          </cell>
          <cell r="E63">
            <v>915.74700000000007</v>
          </cell>
          <cell r="F63">
            <v>1081.7809999999999</v>
          </cell>
          <cell r="G63">
            <v>953.59899999999993</v>
          </cell>
          <cell r="H63">
            <v>811.20899999999995</v>
          </cell>
          <cell r="I63">
            <v>990.77899999999977</v>
          </cell>
          <cell r="J63">
            <v>1161.7883185707453</v>
          </cell>
          <cell r="K63">
            <v>1595.05</v>
          </cell>
          <cell r="L63">
            <v>1857.0001307794321</v>
          </cell>
          <cell r="M63">
            <v>1935.5941774127398</v>
          </cell>
          <cell r="N63">
            <v>1926.4274624788422</v>
          </cell>
          <cell r="P63" t="str">
            <v>Avg Loans/Avg EA</v>
          </cell>
          <cell r="Q63">
            <v>63.957658202007863</v>
          </cell>
          <cell r="R63">
            <v>67.752760706585107</v>
          </cell>
          <cell r="S63">
            <v>105.5257419844756</v>
          </cell>
          <cell r="T63">
            <v>80.882478034107763</v>
          </cell>
          <cell r="U63">
            <v>81.822412864637954</v>
          </cell>
          <cell r="V63">
            <v>83.609788320802053</v>
          </cell>
          <cell r="W63">
            <v>85.600328841985601</v>
          </cell>
          <cell r="X63">
            <v>87.604163249031004</v>
          </cell>
          <cell r="Y63">
            <v>84.517185571836038</v>
          </cell>
          <cell r="Z63">
            <v>86.255547683076585</v>
          </cell>
          <cell r="AA63">
            <v>86.336413980864961</v>
          </cell>
          <cell r="AB63">
            <v>86.321430591007115</v>
          </cell>
        </row>
        <row r="64">
          <cell r="B64" t="str">
            <v>LLR/NPL (%)</v>
          </cell>
          <cell r="C64" t="str">
            <v>na</v>
          </cell>
          <cell r="D64" t="str">
            <v>na</v>
          </cell>
          <cell r="E64">
            <v>93.449197451683318</v>
          </cell>
          <cell r="F64">
            <v>95.374712473429398</v>
          </cell>
          <cell r="G64">
            <v>110.52094174696516</v>
          </cell>
          <cell r="H64">
            <v>127.61580392187706</v>
          </cell>
          <cell r="I64">
            <v>172.89633678156102</v>
          </cell>
          <cell r="J64">
            <v>169.07177905930587</v>
          </cell>
          <cell r="K64">
            <v>126.83638619077342</v>
          </cell>
          <cell r="L64">
            <v>95.541927970433449</v>
          </cell>
          <cell r="M64">
            <v>96.25905202166301</v>
          </cell>
          <cell r="N64">
            <v>117.00502168329766</v>
          </cell>
          <cell r="P64" t="str">
            <v>Avg Liquid Assets/AEA</v>
          </cell>
          <cell r="Q64">
            <v>47.761146864929366</v>
          </cell>
          <cell r="R64">
            <v>45.260668302293368</v>
          </cell>
          <cell r="S64">
            <v>52.939475788025248</v>
          </cell>
          <cell r="T64">
            <v>32.692845010402309</v>
          </cell>
          <cell r="U64">
            <v>30.772312038773059</v>
          </cell>
          <cell r="V64">
            <v>33.297975321826357</v>
          </cell>
          <cell r="W64">
            <v>32.546261223879</v>
          </cell>
          <cell r="X64">
            <v>30.551843415099572</v>
          </cell>
          <cell r="Y64">
            <v>30.167488943553305</v>
          </cell>
          <cell r="Z64">
            <v>30.439517279420546</v>
          </cell>
          <cell r="AA64">
            <v>30.541047286905641</v>
          </cell>
          <cell r="AB64">
            <v>30.34233377706682</v>
          </cell>
        </row>
        <row r="65">
          <cell r="B65" t="str">
            <v>LLR/Total Credit (%)</v>
          </cell>
          <cell r="C65">
            <v>3.0002086490841178</v>
          </cell>
          <cell r="D65">
            <v>0</v>
          </cell>
          <cell r="E65">
            <v>1.6267201567284058</v>
          </cell>
          <cell r="F65">
            <v>1.8924424112644882</v>
          </cell>
          <cell r="G65">
            <v>1.5873663219673337</v>
          </cell>
          <cell r="H65">
            <v>1.2489040649713576</v>
          </cell>
          <cell r="I65">
            <v>1.1866122249063951</v>
          </cell>
          <cell r="J65">
            <v>1.3075065583741283</v>
          </cell>
          <cell r="K65">
            <v>1.5203893790547909</v>
          </cell>
          <cell r="L65">
            <v>1.7102205090358233</v>
          </cell>
          <cell r="M65">
            <v>1.7290032818145646</v>
          </cell>
          <cell r="N65">
            <v>1.641999001630581</v>
          </cell>
          <cell r="P65" t="str">
            <v>Avg Loans/Avg Deposits</v>
          </cell>
          <cell r="Q65">
            <v>82.376227090007617</v>
          </cell>
          <cell r="R65">
            <v>85.288819733551094</v>
          </cell>
          <cell r="S65">
            <v>90.527051950036338</v>
          </cell>
          <cell r="T65">
            <v>96.523082213133733</v>
          </cell>
          <cell r="U65">
            <v>101.95642156333386</v>
          </cell>
          <cell r="V65">
            <v>106.22872069340042</v>
          </cell>
          <cell r="W65">
            <v>107.19988674016159</v>
          </cell>
          <cell r="X65">
            <v>109.92231475248215</v>
          </cell>
          <cell r="Y65">
            <v>111.93990701262418</v>
          </cell>
          <cell r="Z65">
            <v>111.57763272902943</v>
          </cell>
          <cell r="AA65">
            <v>110.54370800303637</v>
          </cell>
          <cell r="AB65">
            <v>110.31189663812557</v>
          </cell>
        </row>
        <row r="66">
          <cell r="P66" t="str">
            <v>Avg Loans/Avg Depo &amp; Equity</v>
          </cell>
          <cell r="Q66">
            <v>85.085608734411295</v>
          </cell>
          <cell r="R66">
            <v>88.24208977346008</v>
          </cell>
          <cell r="S66">
            <v>94.739200112771243</v>
          </cell>
          <cell r="T66">
            <v>99.643264750248647</v>
          </cell>
          <cell r="U66">
            <v>101.10037612081126</v>
          </cell>
          <cell r="V66">
            <v>104.53943783415723</v>
          </cell>
          <cell r="W66">
            <v>107.50026567369369</v>
          </cell>
          <cell r="X66">
            <v>111.28064427467115</v>
          </cell>
          <cell r="Y66">
            <v>115.78058750280189</v>
          </cell>
          <cell r="Z66">
            <v>117.47487025497811</v>
          </cell>
          <cell r="AA66">
            <v>116.53772846017398</v>
          </cell>
          <cell r="AB66">
            <v>116.53990505974896</v>
          </cell>
        </row>
        <row r="67">
          <cell r="B67" t="str">
            <v>Specific Reserve</v>
          </cell>
          <cell r="C67">
            <v>0</v>
          </cell>
          <cell r="D67">
            <v>0</v>
          </cell>
          <cell r="E67">
            <v>271.33365500000002</v>
          </cell>
          <cell r="F67">
            <v>272.97055499999999</v>
          </cell>
          <cell r="G67">
            <v>289.30635000000001</v>
          </cell>
          <cell r="H67">
            <v>316.29219499999999</v>
          </cell>
          <cell r="I67">
            <v>409.67789499999998</v>
          </cell>
          <cell r="J67">
            <v>435.00255018420506</v>
          </cell>
          <cell r="K67">
            <v>509.20642999999995</v>
          </cell>
          <cell r="L67">
            <v>512.72478065445353</v>
          </cell>
          <cell r="M67">
            <v>528.58508210394768</v>
          </cell>
          <cell r="N67">
            <v>565.71621933927167</v>
          </cell>
          <cell r="P67" t="str">
            <v>Period-End Loans/Deposits</v>
          </cell>
          <cell r="Q67">
            <v>85.084430804538599</v>
          </cell>
          <cell r="R67">
            <v>85.462636527256279</v>
          </cell>
          <cell r="S67">
            <v>95.060665147378742</v>
          </cell>
          <cell r="T67">
            <v>97.911068376076543</v>
          </cell>
          <cell r="U67">
            <v>106.08691658920026</v>
          </cell>
          <cell r="V67">
            <v>106.3552682804809</v>
          </cell>
          <cell r="W67">
            <v>107.87989557332733</v>
          </cell>
          <cell r="X67">
            <v>111.92851899008586</v>
          </cell>
          <cell r="Y67">
            <v>111.94964888397743</v>
          </cell>
          <cell r="Z67">
            <v>111.21919935585782</v>
          </cell>
          <cell r="AA67">
            <v>109.89548657767077</v>
          </cell>
          <cell r="AB67">
            <v>110.71148236323631</v>
          </cell>
        </row>
        <row r="68">
          <cell r="B68" t="str">
            <v>Specific Reserve/NPLs (%)</v>
          </cell>
          <cell r="C68" t="str">
            <v>na</v>
          </cell>
          <cell r="D68" t="str">
            <v>na</v>
          </cell>
          <cell r="E68">
            <v>27.688774630309375</v>
          </cell>
          <cell r="F68">
            <v>24.066320444560819</v>
          </cell>
          <cell r="G68">
            <v>33.530247258414825</v>
          </cell>
          <cell r="H68">
            <v>49.757686045322608</v>
          </cell>
          <cell r="I68">
            <v>71.491026057154016</v>
          </cell>
          <cell r="J68">
            <v>63.304694908154225</v>
          </cell>
          <cell r="K68">
            <v>40.491460083574204</v>
          </cell>
          <cell r="L68">
            <v>26.379488751776808</v>
          </cell>
          <cell r="M68">
            <v>26.287069629507982</v>
          </cell>
          <cell r="N68">
            <v>34.359787637792586</v>
          </cell>
        </row>
        <row r="69">
          <cell r="B69" t="str">
            <v>General Reserve</v>
          </cell>
          <cell r="C69">
            <v>2315.1305339999999</v>
          </cell>
          <cell r="D69">
            <v>0</v>
          </cell>
          <cell r="E69">
            <v>644.41334500000005</v>
          </cell>
          <cell r="F69">
            <v>808.81044499999996</v>
          </cell>
          <cell r="G69">
            <v>664.29264999999987</v>
          </cell>
          <cell r="H69">
            <v>494.91680499999995</v>
          </cell>
          <cell r="I69">
            <v>581.10110499999973</v>
          </cell>
          <cell r="J69">
            <v>726.78576838654021</v>
          </cell>
          <cell r="K69">
            <v>1085.84357</v>
          </cell>
          <cell r="L69">
            <v>1344.2753501249786</v>
          </cell>
          <cell r="M69">
            <v>1407.009095308792</v>
          </cell>
          <cell r="N69">
            <v>1360.7112431395706</v>
          </cell>
          <cell r="P69" t="str">
            <v>Capital Information</v>
          </cell>
        </row>
        <row r="70">
          <cell r="B70" t="str">
            <v>General Reserve/NPLs (%)</v>
          </cell>
          <cell r="C70" t="e">
            <v>#DIV/0!</v>
          </cell>
          <cell r="D70" t="e">
            <v>#DIV/0!</v>
          </cell>
          <cell r="E70">
            <v>65.760422821373936</v>
          </cell>
          <cell r="F70">
            <v>71.308392028868582</v>
          </cell>
          <cell r="G70">
            <v>76.990694488550332</v>
          </cell>
          <cell r="H70">
            <v>77.858117876554459</v>
          </cell>
          <cell r="I70">
            <v>101.40531072440699</v>
          </cell>
          <cell r="J70">
            <v>105.76708415115161</v>
          </cell>
          <cell r="K70">
            <v>86.344926107199228</v>
          </cell>
          <cell r="L70">
            <v>69.162439218656644</v>
          </cell>
          <cell r="M70">
            <v>69.971982392155013</v>
          </cell>
          <cell r="N70">
            <v>82.645234045505063</v>
          </cell>
          <cell r="P70" t="str">
            <v>Tier 1 Ratio (%)</v>
          </cell>
          <cell r="Q70" t="e">
            <v>#DIV/0!</v>
          </cell>
          <cell r="R70" t="e">
            <v>#DIV/0!</v>
          </cell>
          <cell r="S70">
            <v>5.7077502037031973</v>
          </cell>
          <cell r="T70">
            <v>6.2119320704425416</v>
          </cell>
          <cell r="U70">
            <v>7.5772079497527098</v>
          </cell>
          <cell r="V70">
            <v>9.2980198827211868</v>
          </cell>
          <cell r="W70">
            <v>7.932598629672249</v>
          </cell>
          <cell r="X70">
            <v>7.827630364023241</v>
          </cell>
          <cell r="Y70">
            <v>9.4265824287043909</v>
          </cell>
          <cell r="Z70">
            <v>9.4371844064279333</v>
          </cell>
          <cell r="AA70">
            <v>9.3639344054147635</v>
          </cell>
          <cell r="AB70">
            <v>9.3113055457209093</v>
          </cell>
        </row>
        <row r="71">
          <cell r="B71" t="str">
            <v>Net Charge-offs (NCO)</v>
          </cell>
          <cell r="C71">
            <v>1255.2463950000001</v>
          </cell>
          <cell r="D71">
            <v>1785.11</v>
          </cell>
          <cell r="E71">
            <v>0</v>
          </cell>
          <cell r="F71">
            <v>518.6</v>
          </cell>
          <cell r="G71">
            <v>362.79999999999995</v>
          </cell>
          <cell r="H71">
            <v>241.79999999999998</v>
          </cell>
          <cell r="I71">
            <v>101</v>
          </cell>
          <cell r="J71">
            <v>155.20000000000002</v>
          </cell>
          <cell r="K71">
            <v>280.79999999999995</v>
          </cell>
          <cell r="L71">
            <v>850.1833707658252</v>
          </cell>
          <cell r="M71">
            <v>887.31673532359741</v>
          </cell>
          <cell r="N71">
            <v>940.95577388195045</v>
          </cell>
          <cell r="P71" t="str">
            <v>Tier 2 Ratio (%)</v>
          </cell>
          <cell r="Q71" t="e">
            <v>#DIV/0!</v>
          </cell>
          <cell r="R71" t="e">
            <v>#DIV/0!</v>
          </cell>
          <cell r="S71">
            <v>4.6314151605852496</v>
          </cell>
          <cell r="T71">
            <v>5.0509747591367109</v>
          </cell>
          <cell r="U71">
            <v>4.3502069253654341</v>
          </cell>
          <cell r="V71">
            <v>4.2285330041382272</v>
          </cell>
          <cell r="W71">
            <v>3.6511106009102186</v>
          </cell>
          <cell r="X71">
            <v>3.9915990220924158</v>
          </cell>
          <cell r="Y71">
            <v>4.0834464953488245</v>
          </cell>
          <cell r="Z71">
            <v>3.8642036961024111</v>
          </cell>
          <cell r="AA71">
            <v>3.7124508741334834</v>
          </cell>
          <cell r="AB71">
            <v>3.52898392388565</v>
          </cell>
        </row>
        <row r="72">
          <cell r="B72" t="str">
            <v>NCO/Avg Total Credit (%)</v>
          </cell>
          <cell r="C72" t="e">
            <v>#DIV/0!</v>
          </cell>
          <cell r="D72" t="e">
            <v>#DIV/0!</v>
          </cell>
          <cell r="E72">
            <v>0</v>
          </cell>
          <cell r="F72">
            <v>0.91417660337207063</v>
          </cell>
          <cell r="G72">
            <v>0.61891456476394158</v>
          </cell>
          <cell r="H72">
            <v>0.38679349750221864</v>
          </cell>
          <cell r="I72">
            <v>0.13607265002314481</v>
          </cell>
          <cell r="J72">
            <v>0.18009685961682195</v>
          </cell>
          <cell r="K72">
            <v>0.28983430566297252</v>
          </cell>
          <cell r="L72">
            <v>0.79645036177194206</v>
          </cell>
          <cell r="M72">
            <v>0.80470911527782285</v>
          </cell>
          <cell r="N72">
            <v>0.82082535934199907</v>
          </cell>
          <cell r="P72" t="str">
            <v>Total CAR (%)</v>
          </cell>
          <cell r="Q72" t="e">
            <v>#DIV/0!</v>
          </cell>
          <cell r="R72" t="e">
            <v>#DIV/0!</v>
          </cell>
          <cell r="S72">
            <v>10.339165364288448</v>
          </cell>
          <cell r="T72">
            <v>11.262906829579252</v>
          </cell>
          <cell r="U72">
            <v>11.927414875118144</v>
          </cell>
          <cell r="V72">
            <v>13.526552886859413</v>
          </cell>
          <cell r="W72">
            <v>11.583709230582468</v>
          </cell>
          <cell r="X72">
            <v>11.819229386115657</v>
          </cell>
          <cell r="Y72">
            <v>13.510028924053216</v>
          </cell>
          <cell r="Z72">
            <v>13.301388102530344</v>
          </cell>
          <cell r="AA72">
            <v>13.076385279548248</v>
          </cell>
          <cell r="AB72">
            <v>12.84028946960656</v>
          </cell>
        </row>
        <row r="73">
          <cell r="B73" t="str">
            <v>LLPE/Avg Loans (%)</v>
          </cell>
          <cell r="C73">
            <v>5.6482325622906453</v>
          </cell>
          <cell r="D73">
            <v>1.5639306043447803</v>
          </cell>
          <cell r="E73">
            <v>0.76082302079916075</v>
          </cell>
          <cell r="F73">
            <v>1.530003125795063</v>
          </cell>
          <cell r="G73">
            <v>0.60767473454807208</v>
          </cell>
          <cell r="H73">
            <v>0.33329836647307864</v>
          </cell>
          <cell r="I73">
            <v>0.42418019943257312</v>
          </cell>
          <cell r="J73">
            <v>0.45975768882400109</v>
          </cell>
          <cell r="K73">
            <v>1.2706432085335786</v>
          </cell>
          <cell r="L73">
            <v>1.0398889299737253</v>
          </cell>
          <cell r="M73">
            <v>0.90615752622089185</v>
          </cell>
          <cell r="N73">
            <v>0.84333508485824171</v>
          </cell>
        </row>
        <row r="152">
          <cell r="P152">
            <v>3810988.7930000001</v>
          </cell>
          <cell r="Q152">
            <v>0</v>
          </cell>
        </row>
        <row r="167">
          <cell r="C167">
            <v>2891795.6310000001</v>
          </cell>
          <cell r="D167">
            <v>3078048.412</v>
          </cell>
          <cell r="E167">
            <v>4094917.1359999999</v>
          </cell>
          <cell r="F167">
            <v>4859382.1409999998</v>
          </cell>
        </row>
        <row r="171">
          <cell r="A171" t="str">
            <v>Contra Account of Guarantee Issued</v>
          </cell>
        </row>
        <row r="188">
          <cell r="P188">
            <v>2791587</v>
          </cell>
          <cell r="Q188">
            <v>0</v>
          </cell>
        </row>
        <row r="192">
          <cell r="P192">
            <v>2348914.6860000002</v>
          </cell>
        </row>
        <row r="203">
          <cell r="C203">
            <v>331599</v>
          </cell>
          <cell r="D203">
            <v>316714</v>
          </cell>
          <cell r="E203">
            <v>620630</v>
          </cell>
          <cell r="F203">
            <v>1055526</v>
          </cell>
        </row>
        <row r="207">
          <cell r="A207" t="str">
            <v xml:space="preserve">    Guarantee Payment</v>
          </cell>
        </row>
      </sheetData>
      <sheetData sheetId="9" refreshError="1">
        <row r="1">
          <cell r="A1" t="str">
            <v>Summary of 2Q06 results</v>
          </cell>
        </row>
        <row r="3">
          <cell r="A3" t="str">
            <v>(Won billions)</v>
          </cell>
          <cell r="B3" t="str">
            <v>2Q06A</v>
          </cell>
          <cell r="C3" t="str">
            <v>2Q05</v>
          </cell>
          <cell r="D3" t="str">
            <v>Change (y-y)</v>
          </cell>
          <cell r="E3" t="str">
            <v>1Q06</v>
          </cell>
          <cell r="F3" t="str">
            <v>Change (q-q)</v>
          </cell>
          <cell r="G3" t="str">
            <v>2Q06E</v>
          </cell>
          <cell r="H3" t="str">
            <v>Difference</v>
          </cell>
          <cell r="V3" t="str">
            <v>1Q05</v>
          </cell>
          <cell r="W3" t="str">
            <v>2Q05</v>
          </cell>
          <cell r="X3" t="str">
            <v>3Q05</v>
          </cell>
          <cell r="Y3" t="str">
            <v>4Q05</v>
          </cell>
        </row>
        <row r="4">
          <cell r="A4" t="str">
            <v>Income statement</v>
          </cell>
        </row>
        <row r="5">
          <cell r="A5" t="str">
            <v>Net operating revenue</v>
          </cell>
          <cell r="B5">
            <v>696.29200000000003</v>
          </cell>
          <cell r="C5">
            <v>522.69100000000026</v>
          </cell>
          <cell r="D5">
            <v>0.33212930775544192</v>
          </cell>
          <cell r="E5">
            <v>769.59800000000007</v>
          </cell>
          <cell r="F5">
            <v>-9.525232653931015E-2</v>
          </cell>
          <cell r="G5">
            <v>700.58100000000002</v>
          </cell>
          <cell r="H5">
            <v>-6.1220615460596539E-3</v>
          </cell>
          <cell r="K5" t="str">
            <v>Provisioning expenses</v>
          </cell>
          <cell r="V5">
            <v>505.05099999999993</v>
          </cell>
          <cell r="W5">
            <v>522.69100000000026</v>
          </cell>
          <cell r="X5">
            <v>573.55799999999988</v>
          </cell>
          <cell r="Y5">
            <v>579.17199999999991</v>
          </cell>
        </row>
        <row r="6">
          <cell r="A6" t="str">
            <v xml:space="preserve">   Net interest income</v>
          </cell>
          <cell r="B6">
            <v>591.87300000000005</v>
          </cell>
          <cell r="C6">
            <v>491.70000000000005</v>
          </cell>
          <cell r="D6">
            <v>0.20372788285539967</v>
          </cell>
          <cell r="E6">
            <v>581.80199999999991</v>
          </cell>
          <cell r="F6">
            <v>1.7310012684728093E-2</v>
          </cell>
          <cell r="G6">
            <v>591.87300000000005</v>
          </cell>
          <cell r="H6">
            <v>0</v>
          </cell>
          <cell r="V6">
            <v>450.30029676699996</v>
          </cell>
          <cell r="W6">
            <v>491.70000000000005</v>
          </cell>
          <cell r="X6">
            <v>510.80000000000007</v>
          </cell>
          <cell r="Y6">
            <v>543.35845403600013</v>
          </cell>
        </row>
        <row r="7">
          <cell r="A7" t="str">
            <v xml:space="preserve">   Non-interest income</v>
          </cell>
          <cell r="B7">
            <v>104.419</v>
          </cell>
          <cell r="C7">
            <v>30.991000000000167</v>
          </cell>
          <cell r="D7">
            <v>2.3693330321706121</v>
          </cell>
          <cell r="E7">
            <v>187.79600000000019</v>
          </cell>
          <cell r="F7">
            <v>-0.44397644252273805</v>
          </cell>
          <cell r="G7">
            <v>108.70800000000001</v>
          </cell>
          <cell r="H7">
            <v>-3.9454317989476517E-2</v>
          </cell>
          <cell r="K7" t="str">
            <v>Actual</v>
          </cell>
          <cell r="L7" t="str">
            <v>Expected</v>
          </cell>
          <cell r="V7">
            <v>54.750703232999982</v>
          </cell>
          <cell r="W7">
            <v>30.991000000000167</v>
          </cell>
          <cell r="X7">
            <v>62.757999999999853</v>
          </cell>
          <cell r="Y7">
            <v>35.8135459639998</v>
          </cell>
        </row>
        <row r="8">
          <cell r="A8" t="str">
            <v>Loan loss prov. Expenses</v>
          </cell>
          <cell r="B8">
            <v>59.65</v>
          </cell>
          <cell r="C8">
            <v>23.966999999999999</v>
          </cell>
          <cell r="D8">
            <v>1.4888388200442275</v>
          </cell>
          <cell r="E8">
            <v>43.924999999999997</v>
          </cell>
          <cell r="F8">
            <v>0.35799658508821852</v>
          </cell>
          <cell r="G8">
            <v>63.939000000000007</v>
          </cell>
          <cell r="H8">
            <v>-6.7079560205821287E-2</v>
          </cell>
          <cell r="J8" t="str">
            <v>Corp</v>
          </cell>
          <cell r="K8">
            <v>35.9</v>
          </cell>
          <cell r="L8">
            <v>36</v>
          </cell>
          <cell r="V8">
            <v>62.860999999999997</v>
          </cell>
          <cell r="W8">
            <v>23.966999999999999</v>
          </cell>
          <cell r="X8">
            <v>29.13</v>
          </cell>
          <cell r="Y8">
            <v>95.847999999999999</v>
          </cell>
        </row>
        <row r="9">
          <cell r="A9" t="str">
            <v>SG&amp;A expenses</v>
          </cell>
          <cell r="B9">
            <v>324.84399999999999</v>
          </cell>
          <cell r="C9">
            <v>245.69799999999995</v>
          </cell>
          <cell r="D9">
            <v>0.32212716424228138</v>
          </cell>
          <cell r="E9">
            <v>340.69400000000002</v>
          </cell>
          <cell r="F9">
            <v>-4.6522686046716499E-2</v>
          </cell>
          <cell r="G9">
            <v>324.84399999999999</v>
          </cell>
          <cell r="H9">
            <v>0</v>
          </cell>
          <cell r="J9" t="str">
            <v>Retail</v>
          </cell>
          <cell r="K9">
            <v>22.8</v>
          </cell>
          <cell r="L9">
            <v>22.8</v>
          </cell>
          <cell r="V9">
            <v>250.036</v>
          </cell>
          <cell r="W9">
            <v>245.69799999999995</v>
          </cell>
          <cell r="X9">
            <v>238.11399999999998</v>
          </cell>
          <cell r="Y9">
            <v>307.02600000000007</v>
          </cell>
        </row>
        <row r="10">
          <cell r="A10" t="str">
            <v>Operating profits</v>
          </cell>
          <cell r="B10">
            <v>311.79800000000006</v>
          </cell>
          <cell r="C10">
            <v>253.02600000000032</v>
          </cell>
          <cell r="D10">
            <v>0.23227652494209949</v>
          </cell>
          <cell r="E10">
            <v>384.9790000000001</v>
          </cell>
          <cell r="F10">
            <v>-0.19009088807441454</v>
          </cell>
          <cell r="G10">
            <v>311.79800000000006</v>
          </cell>
          <cell r="H10">
            <v>0</v>
          </cell>
          <cell r="J10" t="str">
            <v>C/C</v>
          </cell>
          <cell r="K10">
            <v>2.6</v>
          </cell>
          <cell r="L10">
            <v>2.6</v>
          </cell>
          <cell r="V10">
            <v>192.15399999999994</v>
          </cell>
          <cell r="W10">
            <v>253.02600000000032</v>
          </cell>
          <cell r="X10">
            <v>306.31399999999991</v>
          </cell>
          <cell r="Y10">
            <v>176.29799999999983</v>
          </cell>
        </row>
        <row r="11">
          <cell r="A11" t="str">
            <v>Non-operating income</v>
          </cell>
          <cell r="B11">
            <v>34.134999999999934</v>
          </cell>
          <cell r="C11">
            <v>45.23599999999999</v>
          </cell>
          <cell r="D11">
            <v>-0.24540189229817089</v>
          </cell>
          <cell r="E11">
            <v>30.067999999999998</v>
          </cell>
          <cell r="F11">
            <v>0.13526007715843869</v>
          </cell>
          <cell r="G11">
            <v>34.134999999999998</v>
          </cell>
          <cell r="H11">
            <v>-1.8873791418627661E-15</v>
          </cell>
          <cell r="V11">
            <v>72.852000000000004</v>
          </cell>
          <cell r="W11">
            <v>45.23599999999999</v>
          </cell>
          <cell r="X11">
            <v>16.148000000000003</v>
          </cell>
          <cell r="Y11">
            <v>106.03999999999996</v>
          </cell>
        </row>
        <row r="12">
          <cell r="A12" t="str">
            <v>Pretax profits</v>
          </cell>
          <cell r="B12">
            <v>345.93299999999999</v>
          </cell>
          <cell r="C12">
            <v>298.26200000000028</v>
          </cell>
          <cell r="D12">
            <v>0.15982927761498167</v>
          </cell>
          <cell r="E12">
            <v>415.04700000000008</v>
          </cell>
          <cell r="F12">
            <v>-0.16652090004264597</v>
          </cell>
          <cell r="G12">
            <v>345.93300000000005</v>
          </cell>
          <cell r="H12">
            <v>0</v>
          </cell>
          <cell r="V12">
            <v>265.00599999999997</v>
          </cell>
          <cell r="W12">
            <v>298.26200000000028</v>
          </cell>
          <cell r="X12">
            <v>322.46199999999993</v>
          </cell>
          <cell r="Y12">
            <v>282.33799999999979</v>
          </cell>
        </row>
        <row r="13">
          <cell r="A13" t="str">
            <v>Net profits</v>
          </cell>
          <cell r="B13">
            <v>244.09899999999999</v>
          </cell>
          <cell r="C13">
            <v>261.39100000000025</v>
          </cell>
          <cell r="D13">
            <v>-6.6153769640118654E-2</v>
          </cell>
          <cell r="E13">
            <v>288.28800000000012</v>
          </cell>
          <cell r="F13">
            <v>-0.15328074703074746</v>
          </cell>
          <cell r="G13">
            <v>244.09899999999999</v>
          </cell>
          <cell r="H13">
            <v>0</v>
          </cell>
          <cell r="V13">
            <v>204.90199999999999</v>
          </cell>
          <cell r="W13">
            <v>261.39100000000025</v>
          </cell>
          <cell r="X13">
            <v>235.19699999999995</v>
          </cell>
          <cell r="Y13">
            <v>205.26199999999977</v>
          </cell>
        </row>
        <row r="14">
          <cell r="A14" t="str">
            <v xml:space="preserve">   Net interest margin *</v>
          </cell>
          <cell r="B14">
            <v>2.46E-2</v>
          </cell>
          <cell r="C14">
            <v>2.4447579188013619E-2</v>
          </cell>
          <cell r="D14">
            <v>1.5242081198638124</v>
          </cell>
          <cell r="E14">
            <v>2.6724603208946176E-2</v>
          </cell>
          <cell r="F14">
            <v>-21.246032089461757</v>
          </cell>
          <cell r="G14">
            <v>2.4622077189826692E-2</v>
          </cell>
          <cell r="H14">
            <v>-0.22077189826691379</v>
          </cell>
          <cell r="V14">
            <v>2.2953968171109906E-2</v>
          </cell>
          <cell r="W14">
            <v>2.4447579188013619E-2</v>
          </cell>
          <cell r="X14">
            <v>2.4129847724601534E-2</v>
          </cell>
          <cell r="Y14">
            <v>2.5017312347218826E-2</v>
          </cell>
        </row>
        <row r="15">
          <cell r="A15" t="str">
            <v xml:space="preserve">   Cost / income</v>
          </cell>
          <cell r="B15">
            <v>0.46653415521074487</v>
          </cell>
          <cell r="C15">
            <v>0.47006357484632377</v>
          </cell>
          <cell r="E15">
            <v>0.44269085938373021</v>
          </cell>
          <cell r="G15">
            <v>0.46367800439920576</v>
          </cell>
        </row>
        <row r="16">
          <cell r="A16" t="str">
            <v xml:space="preserve">   LLPE / Avg. total credit (annualized)</v>
          </cell>
          <cell r="B16">
            <v>3.2501023574513922E-3</v>
          </cell>
          <cell r="C16">
            <v>1.5305366756734784E-3</v>
          </cell>
          <cell r="D16">
            <v>17.195656817779138</v>
          </cell>
          <cell r="E16">
            <v>2.6354667997069902E-3</v>
          </cell>
          <cell r="F16">
            <v>6.1463555774440195</v>
          </cell>
          <cell r="G16">
            <v>3.4837940542824112E-3</v>
          </cell>
          <cell r="H16">
            <v>-2.3369169683101894</v>
          </cell>
        </row>
        <row r="17">
          <cell r="A17" t="str">
            <v>Balance sheet</v>
          </cell>
        </row>
        <row r="18">
          <cell r="A18" t="str">
            <v>Total assets</v>
          </cell>
          <cell r="B18">
            <v>110710.629</v>
          </cell>
          <cell r="C18">
            <v>88273.888000000006</v>
          </cell>
          <cell r="D18">
            <v>0.2541718905595276</v>
          </cell>
          <cell r="E18">
            <v>97381.525999999998</v>
          </cell>
          <cell r="F18">
            <v>0.13687506806989247</v>
          </cell>
          <cell r="G18">
            <v>110710.62899999999</v>
          </cell>
          <cell r="H18">
            <v>0</v>
          </cell>
          <cell r="V18">
            <v>86033.645000000004</v>
          </cell>
          <cell r="W18">
            <v>88273.888000000006</v>
          </cell>
          <cell r="X18">
            <v>92580.868000000002</v>
          </cell>
          <cell r="Y18">
            <v>95915.497224970997</v>
          </cell>
        </row>
        <row r="19">
          <cell r="A19" t="str">
            <v xml:space="preserve">   Net loans</v>
          </cell>
          <cell r="B19">
            <v>80782.680999999997</v>
          </cell>
          <cell r="C19">
            <v>63077.800999999999</v>
          </cell>
          <cell r="D19">
            <v>0.28068321532007756</v>
          </cell>
          <cell r="E19">
            <v>67832.312999999995</v>
          </cell>
          <cell r="F19">
            <v>0.19091738770576794</v>
          </cell>
          <cell r="G19">
            <v>80782.680999999997</v>
          </cell>
          <cell r="H19">
            <v>0</v>
          </cell>
          <cell r="V19">
            <v>59929.012999999999</v>
          </cell>
          <cell r="W19">
            <v>63077.800999999999</v>
          </cell>
          <cell r="X19">
            <v>66676.78</v>
          </cell>
          <cell r="Y19">
            <v>66446.510872058003</v>
          </cell>
        </row>
        <row r="20">
          <cell r="A20" t="str">
            <v>Total liabilities</v>
          </cell>
          <cell r="B20">
            <v>103317.999</v>
          </cell>
          <cell r="C20">
            <v>82868.596000000005</v>
          </cell>
          <cell r="D20">
            <v>0.24676902936789213</v>
          </cell>
          <cell r="E20">
            <v>90348.698999999993</v>
          </cell>
          <cell r="F20">
            <v>0.14354716939532253</v>
          </cell>
          <cell r="G20">
            <v>103317.999</v>
          </cell>
          <cell r="H20">
            <v>0</v>
          </cell>
        </row>
        <row r="21">
          <cell r="A21" t="str">
            <v xml:space="preserve">   Deposits</v>
          </cell>
          <cell r="B21">
            <v>71485.498000000007</v>
          </cell>
          <cell r="C21">
            <v>59354.055</v>
          </cell>
          <cell r="D21">
            <v>0.20439114058845687</v>
          </cell>
          <cell r="E21">
            <v>62083.572</v>
          </cell>
          <cell r="F21">
            <v>0.15143983661249405</v>
          </cell>
          <cell r="G21">
            <v>71485.498000000007</v>
          </cell>
          <cell r="H21">
            <v>0</v>
          </cell>
          <cell r="V21">
            <v>57649.256000000001</v>
          </cell>
          <cell r="W21">
            <v>59354.055</v>
          </cell>
          <cell r="X21">
            <v>63542.572999999997</v>
          </cell>
          <cell r="Y21">
            <v>63223.361314558999</v>
          </cell>
        </row>
        <row r="22">
          <cell r="A22" t="str">
            <v>Shareholders' equity</v>
          </cell>
          <cell r="B22">
            <v>7392.63</v>
          </cell>
          <cell r="C22">
            <v>5405.2920000000004</v>
          </cell>
          <cell r="D22">
            <v>0.36766524361681108</v>
          </cell>
          <cell r="E22">
            <v>7032.8269999999993</v>
          </cell>
          <cell r="F22">
            <v>5.1160507716171644E-2</v>
          </cell>
          <cell r="G22">
            <v>7392.63</v>
          </cell>
          <cell r="H22">
            <v>0</v>
          </cell>
        </row>
        <row r="23">
          <cell r="A23" t="str">
            <v xml:space="preserve">   Tier 1 ratio</v>
          </cell>
          <cell r="B23" t="str">
            <v>NA</v>
          </cell>
          <cell r="C23">
            <v>8.3606358453860011E-2</v>
          </cell>
          <cell r="D23" t="str">
            <v>NA</v>
          </cell>
          <cell r="E23">
            <v>9.3579741492587729E-2</v>
          </cell>
          <cell r="F23" t="str">
            <v>NA</v>
          </cell>
          <cell r="G23">
            <v>8.4619620457365624E-2</v>
          </cell>
          <cell r="H23" t="str">
            <v>NA</v>
          </cell>
          <cell r="V23">
            <v>7.9892089447319251E-2</v>
          </cell>
          <cell r="W23">
            <v>8.3606358453860011E-2</v>
          </cell>
          <cell r="X23">
            <v>8.7889852683509823E-2</v>
          </cell>
          <cell r="Y23">
            <v>9.2980198827211868E-2</v>
          </cell>
        </row>
        <row r="24">
          <cell r="A24" t="str">
            <v xml:space="preserve">   BIS ratio</v>
          </cell>
          <cell r="B24" t="str">
            <v>NA</v>
          </cell>
          <cell r="C24">
            <v>0.11712397502112852</v>
          </cell>
          <cell r="D24" t="str">
            <v>NA</v>
          </cell>
          <cell r="E24">
            <v>0.1319079489647719</v>
          </cell>
          <cell r="F24" t="str">
            <v>NA</v>
          </cell>
          <cell r="G24">
            <v>0.11669748249537576</v>
          </cell>
          <cell r="H24" t="str">
            <v>NA</v>
          </cell>
          <cell r="V24">
            <v>0.11827261065988857</v>
          </cell>
          <cell r="W24">
            <v>0.11712397502112852</v>
          </cell>
          <cell r="X24">
            <v>0.13044302643290387</v>
          </cell>
          <cell r="Y24">
            <v>0.13464044330804373</v>
          </cell>
        </row>
        <row r="25">
          <cell r="A25" t="str">
            <v>Asset quality</v>
          </cell>
        </row>
        <row r="26">
          <cell r="A26" t="str">
            <v>Precautionary &amp; below</v>
          </cell>
          <cell r="B26">
            <v>1566.4</v>
          </cell>
          <cell r="C26">
            <v>1908.8370000000002</v>
          </cell>
          <cell r="D26">
            <v>-0.17939562152242439</v>
          </cell>
          <cell r="E26">
            <v>1649.21</v>
          </cell>
          <cell r="F26">
            <v>-5.0211919646376058E-2</v>
          </cell>
          <cell r="G26">
            <v>1566.3759179810002</v>
          </cell>
          <cell r="H26">
            <v>1.5374354727759609E-5</v>
          </cell>
          <cell r="V26">
            <v>2221.1600000000003</v>
          </cell>
          <cell r="W26">
            <v>1908.8370000000002</v>
          </cell>
          <cell r="X26">
            <v>1874.9870000000001</v>
          </cell>
          <cell r="Y26">
            <v>1695.2289999999998</v>
          </cell>
        </row>
        <row r="27">
          <cell r="A27" t="str">
            <v xml:space="preserve">   % of total credit</v>
          </cell>
          <cell r="B27">
            <v>1.9968181447336218E-2</v>
          </cell>
          <cell r="C27">
            <v>2.9904687705499693E-2</v>
          </cell>
          <cell r="D27">
            <v>-99.365062581634746</v>
          </cell>
          <cell r="E27">
            <v>2.4117835061594643E-2</v>
          </cell>
          <cell r="F27">
            <v>-41.496536142584247</v>
          </cell>
          <cell r="G27">
            <v>1.9967878177901553E-2</v>
          </cell>
          <cell r="H27">
            <v>3.0326943466565948E-3</v>
          </cell>
          <cell r="V27">
            <v>3.6149921691661924E-2</v>
          </cell>
          <cell r="W27">
            <v>2.9904687705499693E-2</v>
          </cell>
          <cell r="X27">
            <v>2.9374997091855124E-2</v>
          </cell>
          <cell r="Y27">
            <v>2.6099049556369932E-2</v>
          </cell>
        </row>
        <row r="28">
          <cell r="A28" t="str">
            <v xml:space="preserve">   Coverage ratio</v>
          </cell>
          <cell r="B28">
            <v>0.54973186925434114</v>
          </cell>
          <cell r="C28">
            <v>0.46288394451700166</v>
          </cell>
          <cell r="D28">
            <v>868.47924737339486</v>
          </cell>
          <cell r="E28">
            <v>0.50597013115370382</v>
          </cell>
          <cell r="F28">
            <v>437.61738100637325</v>
          </cell>
          <cell r="G28">
            <v>0.549738405778047</v>
          </cell>
          <cell r="H28">
            <v>-6.5365237058578884E-2</v>
          </cell>
          <cell r="V28">
            <v>0.4323758756685695</v>
          </cell>
          <cell r="W28">
            <v>0.46288394451700166</v>
          </cell>
          <cell r="X28">
            <v>0.46133546525922575</v>
          </cell>
          <cell r="Y28">
            <v>0.47852473028717657</v>
          </cell>
        </row>
        <row r="29">
          <cell r="A29" t="str">
            <v>Substandard &amp; below</v>
          </cell>
          <cell r="B29">
            <v>581.70000000000005</v>
          </cell>
          <cell r="C29">
            <v>698.13900000000001</v>
          </cell>
          <cell r="D29">
            <v>-0.16678483797639143</v>
          </cell>
          <cell r="E29">
            <v>627.81100000000004</v>
          </cell>
          <cell r="F29">
            <v>-7.3447263587289813E-2</v>
          </cell>
          <cell r="G29">
            <v>581.64281241800006</v>
          </cell>
          <cell r="H29">
            <v>9.832079203775379E-5</v>
          </cell>
          <cell r="V29">
            <v>849.53700000000003</v>
          </cell>
          <cell r="W29">
            <v>698.13900000000001</v>
          </cell>
          <cell r="X29">
            <v>684.29499999999985</v>
          </cell>
          <cell r="Y29">
            <v>635.66500000000008</v>
          </cell>
        </row>
        <row r="30">
          <cell r="A30" t="str">
            <v xml:space="preserve">   % of total credit</v>
          </cell>
          <cell r="B30">
            <v>7.4154054825813828E-3</v>
          </cell>
          <cell r="C30">
            <v>1.0937355452576542E-2</v>
          </cell>
          <cell r="D30">
            <v>-35.219499699951591</v>
          </cell>
          <cell r="E30">
            <v>9.1810273693797607E-3</v>
          </cell>
          <cell r="F30">
            <v>-17.656218867983778</v>
          </cell>
          <cell r="G30">
            <v>7.4146778484598412E-3</v>
          </cell>
          <cell r="H30">
            <v>7.2763412154158019E-3</v>
          </cell>
          <cell r="V30">
            <v>1.3826422240707285E-2</v>
          </cell>
          <cell r="W30">
            <v>1.0937355452576542E-2</v>
          </cell>
          <cell r="X30">
            <v>1.0720694935469418E-2</v>
          </cell>
          <cell r="Y30">
            <v>9.7864373109768036E-3</v>
          </cell>
        </row>
        <row r="31">
          <cell r="A31" t="str">
            <v xml:space="preserve">   Coverage ratio</v>
          </cell>
          <cell r="B31">
            <v>1.4803163142513323</v>
          </cell>
          <cell r="C31">
            <v>1.2656075652556296</v>
          </cell>
          <cell r="D31">
            <v>2147.0874899570267</v>
          </cell>
          <cell r="E31">
            <v>1.3291436435487749</v>
          </cell>
          <cell r="F31">
            <v>1511.7267070255734</v>
          </cell>
          <cell r="G31">
            <v>1.4804567023191699</v>
          </cell>
          <cell r="H31">
            <v>-1.4038806783767122</v>
          </cell>
          <cell r="V31">
            <v>1.1304698912466438</v>
          </cell>
          <cell r="W31">
            <v>1.2656075652556296</v>
          </cell>
          <cell r="X31">
            <v>1.2640717819069263</v>
          </cell>
          <cell r="Y31">
            <v>1.2761580392187706</v>
          </cell>
        </row>
        <row r="33">
          <cell r="B33">
            <v>861.1</v>
          </cell>
        </row>
        <row r="34">
          <cell r="B34">
            <v>78444.800000000003</v>
          </cell>
        </row>
        <row r="37">
          <cell r="A37" t="str">
            <v>In line bottom line, however…</v>
          </cell>
        </row>
        <row r="39">
          <cell r="A39" t="str">
            <v>XXX</v>
          </cell>
        </row>
        <row r="40">
          <cell r="A40" t="str">
            <v>XXX</v>
          </cell>
        </row>
        <row r="41">
          <cell r="A41" t="str">
            <v>XXX</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IDUAL INCOME"/>
      <sheetName val="MAIN"/>
      <sheetName val="P&amp;L"/>
      <sheetName val="BS"/>
      <sheetName val="Update"/>
      <sheetName val="AFFILIATES"/>
      <sheetName val="Ratio"/>
      <sheetName val="Ace-In"/>
      <sheetName val="Ace-Out"/>
      <sheetName val="Cover"/>
      <sheetName val="Intrinsic Value"/>
      <sheetName val="Charts"/>
      <sheetName val="Changes to the Model"/>
      <sheetName val="Acq"/>
      <sheetName val="Results"/>
      <sheetName val="MWA RR"/>
      <sheetName val="Financial Tables"/>
      <sheetName val="Valuation Summary"/>
      <sheetName val="Cash Flow Statement"/>
      <sheetName val="Segment Reporting"/>
      <sheetName val="Balance Sheet"/>
      <sheetName val="Annual"/>
      <sheetName val="CREDIT MODEL"/>
    </sheetNames>
    <sheetDataSet>
      <sheetData sheetId="0"/>
      <sheetData sheetId="1"/>
      <sheetData sheetId="2"/>
      <sheetData sheetId="3"/>
      <sheetData sheetId="4"/>
      <sheetData sheetId="5"/>
      <sheetData sheetId="6"/>
      <sheetData sheetId="7"/>
      <sheetData sheetId="8" refreshError="1">
        <row r="2">
          <cell r="B2" t="str">
            <v>DAEGU BANK (005270.KS)</v>
          </cell>
          <cell r="N2" t="str">
            <v>Foreign exchange rate</v>
          </cell>
          <cell r="U2">
            <v>950</v>
          </cell>
        </row>
        <row r="3">
          <cell r="N3" t="str">
            <v>Current share price</v>
          </cell>
          <cell r="U3">
            <v>15550</v>
          </cell>
          <cell r="V3">
            <v>16.368421052631579</v>
          </cell>
        </row>
        <row r="5">
          <cell r="B5" t="str">
            <v>Profit and Loss Statements</v>
          </cell>
          <cell r="N5" t="str">
            <v>Per Share Data and Valuations</v>
          </cell>
        </row>
        <row r="6">
          <cell r="B6" t="str">
            <v>Won billions, Year ending Dec 31</v>
          </cell>
          <cell r="C6">
            <v>2000</v>
          </cell>
          <cell r="D6">
            <v>2001</v>
          </cell>
          <cell r="E6">
            <v>2002</v>
          </cell>
          <cell r="F6">
            <v>2003</v>
          </cell>
          <cell r="G6">
            <v>2004</v>
          </cell>
          <cell r="H6">
            <v>2005</v>
          </cell>
          <cell r="I6">
            <v>2006</v>
          </cell>
          <cell r="J6" t="str">
            <v>2007E</v>
          </cell>
          <cell r="K6" t="str">
            <v>2008E</v>
          </cell>
          <cell r="L6" t="str">
            <v>2009E</v>
          </cell>
          <cell r="N6" t="str">
            <v>Won billions, Year ending Dec 31</v>
          </cell>
          <cell r="O6">
            <v>2000</v>
          </cell>
          <cell r="P6">
            <v>2001</v>
          </cell>
          <cell r="Q6">
            <v>2002</v>
          </cell>
          <cell r="R6">
            <v>2003</v>
          </cell>
          <cell r="S6">
            <v>2004</v>
          </cell>
          <cell r="T6">
            <v>2005</v>
          </cell>
          <cell r="U6">
            <v>2006</v>
          </cell>
          <cell r="V6" t="str">
            <v>2007E</v>
          </cell>
          <cell r="W6" t="str">
            <v>2008E</v>
          </cell>
          <cell r="X6" t="str">
            <v>2009E</v>
          </cell>
        </row>
        <row r="7">
          <cell r="B7" t="str">
            <v>Avg Earning Assets</v>
          </cell>
          <cell r="C7">
            <v>10876.642941</v>
          </cell>
          <cell r="D7">
            <v>12521.9778905</v>
          </cell>
          <cell r="E7">
            <v>0</v>
          </cell>
          <cell r="F7">
            <v>14850.105514125002</v>
          </cell>
          <cell r="G7">
            <v>15778.461823125001</v>
          </cell>
          <cell r="H7">
            <v>16905.104000000003</v>
          </cell>
          <cell r="I7">
            <v>17900.141749999999</v>
          </cell>
          <cell r="J7">
            <v>19424.187022748716</v>
          </cell>
          <cell r="K7">
            <v>20886.251253226379</v>
          </cell>
          <cell r="L7">
            <v>22978.112528650723</v>
          </cell>
          <cell r="N7" t="str">
            <v>Book Value Per Share (Won)</v>
          </cell>
          <cell r="O7">
            <v>4421.4323036040523</v>
          </cell>
          <cell r="P7">
            <v>4653.9481813652219</v>
          </cell>
          <cell r="Q7">
            <v>5390.1464522232745</v>
          </cell>
          <cell r="R7">
            <v>6340.5455439924317</v>
          </cell>
          <cell r="S7">
            <v>7183.136673604542</v>
          </cell>
          <cell r="T7">
            <v>8151.0177937559129</v>
          </cell>
          <cell r="U7">
            <v>9549.4567733737003</v>
          </cell>
          <cell r="V7">
            <v>11089.965393373248</v>
          </cell>
          <cell r="W7">
            <v>12521.100614957122</v>
          </cell>
          <cell r="X7">
            <v>13949.1718208866</v>
          </cell>
        </row>
        <row r="8">
          <cell r="B8" t="str">
            <v>Net Interest Margin (%)</v>
          </cell>
          <cell r="C8">
            <v>3.133845754144629</v>
          </cell>
          <cell r="D8">
            <v>2.7259491350720646</v>
          </cell>
          <cell r="E8">
            <v>0</v>
          </cell>
          <cell r="F8">
            <v>3.6148878531085753</v>
          </cell>
          <cell r="G8">
            <v>3.6718091186233002</v>
          </cell>
          <cell r="H8">
            <v>3.6994744309174301</v>
          </cell>
          <cell r="I8">
            <v>3.6095189022734968</v>
          </cell>
          <cell r="J8">
            <v>3.212361822242952</v>
          </cell>
          <cell r="K8">
            <v>3.198760314972767</v>
          </cell>
          <cell r="L8">
            <v>3.2055997459453631</v>
          </cell>
          <cell r="N8" t="str">
            <v>Price/Book (x)</v>
          </cell>
          <cell r="O8">
            <v>3.5169598745919264</v>
          </cell>
          <cell r="P8">
            <v>3.3412490629490534</v>
          </cell>
          <cell r="Q8">
            <v>2.8848937849520007</v>
          </cell>
          <cell r="R8">
            <v>2.4524703579699674</v>
          </cell>
          <cell r="S8">
            <v>2.164792444662885</v>
          </cell>
          <cell r="T8">
            <v>1.9077372168064799</v>
          </cell>
          <cell r="U8">
            <v>1.6283648765610763</v>
          </cell>
          <cell r="V8">
            <v>1.4021684873148317</v>
          </cell>
          <cell r="W8">
            <v>1.2419036056163222</v>
          </cell>
          <cell r="X8">
            <v>1.1147615213052593</v>
          </cell>
        </row>
        <row r="9">
          <cell r="B9" t="str">
            <v xml:space="preserve">  Interest Income</v>
          </cell>
          <cell r="C9">
            <v>962.41628200000002</v>
          </cell>
          <cell r="D9">
            <v>974.62154499999997</v>
          </cell>
          <cell r="E9">
            <v>1044.7103439201844</v>
          </cell>
          <cell r="F9">
            <v>1067.6685094039115</v>
          </cell>
          <cell r="G9">
            <v>1065.3353559889999</v>
          </cell>
          <cell r="H9">
            <v>1079.683486593</v>
          </cell>
          <cell r="I9">
            <v>1192.4292037959999</v>
          </cell>
          <cell r="J9">
            <v>1309.4957610066626</v>
          </cell>
          <cell r="K9">
            <v>1431.6881993266018</v>
          </cell>
          <cell r="L9">
            <v>1592.9042170498849</v>
          </cell>
          <cell r="N9" t="str">
            <v>ROAA (%)</v>
          </cell>
          <cell r="O9">
            <v>0.1408711340867197</v>
          </cell>
          <cell r="P9">
            <v>0.24070869709340612</v>
          </cell>
          <cell r="Q9">
            <v>0.87580725543439397</v>
          </cell>
          <cell r="R9">
            <v>0.68953083953879213</v>
          </cell>
          <cell r="S9">
            <v>0.71064558434927894</v>
          </cell>
          <cell r="T9">
            <v>0.94407916117783819</v>
          </cell>
          <cell r="U9">
            <v>1.196952139593618</v>
          </cell>
          <cell r="V9">
            <v>1.3215035069615046</v>
          </cell>
          <cell r="W9">
            <v>1.1811256691630632</v>
          </cell>
          <cell r="X9">
            <v>1.0991814697822027</v>
          </cell>
        </row>
        <row r="10">
          <cell r="B10" t="str">
            <v xml:space="preserve">  Interest Expense</v>
          </cell>
          <cell r="C10">
            <v>621.55906900000002</v>
          </cell>
          <cell r="D10">
            <v>633.27879700000005</v>
          </cell>
          <cell r="E10">
            <v>545.01550299999997</v>
          </cell>
          <cell r="F10">
            <v>493.19239600000003</v>
          </cell>
          <cell r="G10">
            <v>442.64955300000003</v>
          </cell>
          <cell r="H10">
            <v>412.93019300000003</v>
          </cell>
          <cell r="I10">
            <v>492.508482125</v>
          </cell>
          <cell r="J10">
            <v>631.86276332977968</v>
          </cell>
          <cell r="K10">
            <v>709.72075518826659</v>
          </cell>
          <cell r="L10">
            <v>797.55471412586621</v>
          </cell>
          <cell r="N10" t="str">
            <v>ROAE (Reported, %)</v>
          </cell>
          <cell r="P10">
            <v>5.6151531393231648</v>
          </cell>
          <cell r="Q10">
            <v>20.619111304862965</v>
          </cell>
          <cell r="R10">
            <v>14.164653812958742</v>
          </cell>
          <cell r="S10">
            <v>13.658188833718956</v>
          </cell>
          <cell r="T10">
            <v>17.302085635156715</v>
          </cell>
          <cell r="U10">
            <v>20.570191768106923</v>
          </cell>
          <cell r="V10">
            <v>21.019498350202458</v>
          </cell>
          <cell r="W10">
            <v>17.628473198538476</v>
          </cell>
          <cell r="X10">
            <v>16.078949608613247</v>
          </cell>
        </row>
        <row r="11">
          <cell r="B11" t="str">
            <v>Net Interest Income (NII)</v>
          </cell>
          <cell r="C11">
            <v>340.857213</v>
          </cell>
          <cell r="D11">
            <v>341.34274799999992</v>
          </cell>
          <cell r="E11">
            <v>499.69484092018445</v>
          </cell>
          <cell r="F11">
            <v>574.47611340391143</v>
          </cell>
          <cell r="G11">
            <v>622.68580298899997</v>
          </cell>
          <cell r="H11">
            <v>666.75329359299997</v>
          </cell>
          <cell r="I11">
            <v>699.92072167099991</v>
          </cell>
          <cell r="J11">
            <v>677.63299767688295</v>
          </cell>
          <cell r="K11">
            <v>721.96744413833517</v>
          </cell>
          <cell r="L11">
            <v>795.34950292401868</v>
          </cell>
          <cell r="N11" t="str">
            <v>ROAE (ModelWare, %)</v>
          </cell>
          <cell r="S11">
            <v>14.116520505741065</v>
          </cell>
          <cell r="T11">
            <v>17.804435270588858</v>
          </cell>
          <cell r="U11">
            <v>21.230659633058355</v>
          </cell>
          <cell r="V11">
            <v>21.68615959544616</v>
          </cell>
          <cell r="W11">
            <v>18.154805510269618</v>
          </cell>
          <cell r="X11">
            <v>16.499322831883184</v>
          </cell>
        </row>
        <row r="12">
          <cell r="B12" t="str">
            <v>Loan Loss Prov Exp (LLPE)</v>
          </cell>
          <cell r="C12">
            <v>147.41081100000002</v>
          </cell>
          <cell r="D12">
            <v>81.180222999999998</v>
          </cell>
          <cell r="E12">
            <v>156.232</v>
          </cell>
          <cell r="F12">
            <v>210.03299999999999</v>
          </cell>
          <cell r="G12">
            <v>205.31800000000001</v>
          </cell>
          <cell r="H12">
            <v>145.05799999999999</v>
          </cell>
          <cell r="I12">
            <v>45.858999999999995</v>
          </cell>
          <cell r="J12">
            <v>45.635595124963444</v>
          </cell>
          <cell r="K12">
            <v>54.008218881334287</v>
          </cell>
          <cell r="L12">
            <v>87.629025355635321</v>
          </cell>
        </row>
        <row r="13">
          <cell r="B13" t="str">
            <v>NII After LLPE</v>
          </cell>
          <cell r="C13">
            <v>193.44640199999998</v>
          </cell>
          <cell r="D13">
            <v>260.1625249999999</v>
          </cell>
          <cell r="E13">
            <v>343.46284092018448</v>
          </cell>
          <cell r="F13">
            <v>364.44311340391141</v>
          </cell>
          <cell r="G13">
            <v>417.36780298899998</v>
          </cell>
          <cell r="H13">
            <v>521.69529359299997</v>
          </cell>
          <cell r="I13">
            <v>654.06172167099987</v>
          </cell>
          <cell r="J13">
            <v>631.99740255191955</v>
          </cell>
          <cell r="K13">
            <v>667.95922525700087</v>
          </cell>
          <cell r="L13">
            <v>707.72047756838333</v>
          </cell>
          <cell r="N13" t="str">
            <v>MW EPS Growth (%)</v>
          </cell>
          <cell r="P13" t="e">
            <v>#DIV/0!</v>
          </cell>
          <cell r="Q13" t="e">
            <v>#DIV/0!</v>
          </cell>
          <cell r="R13">
            <v>-15.197789596206668</v>
          </cell>
          <cell r="S13">
            <v>11.088495224403317</v>
          </cell>
          <cell r="T13">
            <v>43.009673934216394</v>
          </cell>
          <cell r="U13">
            <v>37.644975038390818</v>
          </cell>
          <cell r="V13">
            <v>19.105491529498252</v>
          </cell>
          <cell r="W13">
            <v>-4.230545840138622</v>
          </cell>
          <cell r="X13">
            <v>1.8866622550749668</v>
          </cell>
        </row>
        <row r="14">
          <cell r="N14" t="str">
            <v>Current P/MW EPS</v>
          </cell>
          <cell r="O14" t="e">
            <v>#DIV/0!</v>
          </cell>
          <cell r="P14" t="e">
            <v>#DIV/0!</v>
          </cell>
          <cell r="Q14">
            <v>15.346665423621943</v>
          </cell>
          <cell r="R14">
            <v>18.097011092691357</v>
          </cell>
          <cell r="S14">
            <v>16.29062582595493</v>
          </cell>
          <cell r="T14">
            <v>11.391275413611895</v>
          </cell>
          <cell r="U14">
            <v>8.2758381920115376</v>
          </cell>
          <cell r="V14">
            <v>6.948326299431713</v>
          </cell>
          <cell r="W14">
            <v>7.2552635497257283</v>
          </cell>
          <cell r="X14">
            <v>7.1209159169058411</v>
          </cell>
        </row>
        <row r="15">
          <cell r="B15" t="str">
            <v>Non-interest Income</v>
          </cell>
        </row>
        <row r="16">
          <cell r="B16" t="str">
            <v>Fees and Commissions</v>
          </cell>
          <cell r="C16">
            <v>103.07806399999998</v>
          </cell>
          <cell r="D16">
            <v>133.91564500000001</v>
          </cell>
          <cell r="E16">
            <v>55.181206079815574</v>
          </cell>
          <cell r="F16">
            <v>62.822131596088454</v>
          </cell>
          <cell r="G16">
            <v>70.036566660999995</v>
          </cell>
          <cell r="H16">
            <v>68.159051552000008</v>
          </cell>
          <cell r="I16">
            <v>79.126403209999992</v>
          </cell>
          <cell r="J16">
            <v>100.50380461772258</v>
          </cell>
          <cell r="K16">
            <v>112.66122624755279</v>
          </cell>
          <cell r="L16">
            <v>126.58243507012459</v>
          </cell>
          <cell r="N16" t="str">
            <v>Gross Dividends</v>
          </cell>
          <cell r="O16">
            <v>0</v>
          </cell>
          <cell r="P16">
            <v>0</v>
          </cell>
          <cell r="Q16">
            <v>33.030999999999999</v>
          </cell>
          <cell r="R16">
            <v>33.030999999999999</v>
          </cell>
          <cell r="S16">
            <v>36.334000000000003</v>
          </cell>
          <cell r="T16">
            <v>52.85</v>
          </cell>
          <cell r="U16">
            <v>74.650625000000005</v>
          </cell>
          <cell r="V16">
            <v>85.881249999999994</v>
          </cell>
          <cell r="W16">
            <v>92.487499999999997</v>
          </cell>
          <cell r="X16">
            <v>99.09375</v>
          </cell>
        </row>
        <row r="17">
          <cell r="B17" t="str">
            <v>Dividend Income</v>
          </cell>
          <cell r="C17">
            <v>0.72631199999999996</v>
          </cell>
          <cell r="D17">
            <v>0.71033299999999999</v>
          </cell>
          <cell r="E17">
            <v>0.70518199999999998</v>
          </cell>
          <cell r="F17">
            <v>0.63218899999999989</v>
          </cell>
          <cell r="G17">
            <v>0.462148</v>
          </cell>
          <cell r="H17">
            <v>0.30597599999999997</v>
          </cell>
          <cell r="I17">
            <v>0.64043965999999997</v>
          </cell>
          <cell r="J17">
            <v>3.5075542206751638</v>
          </cell>
          <cell r="K17">
            <v>3.6432191430697647</v>
          </cell>
          <cell r="L17">
            <v>3.678517134913927</v>
          </cell>
          <cell r="N17" t="str">
            <v>Gross DPS (Won)</v>
          </cell>
          <cell r="O17">
            <v>0</v>
          </cell>
          <cell r="P17">
            <v>0</v>
          </cell>
          <cell r="Q17">
            <v>249.99810785241249</v>
          </cell>
          <cell r="R17">
            <v>249.99810785241249</v>
          </cell>
          <cell r="S17">
            <v>274.9971617786187</v>
          </cell>
          <cell r="T17">
            <v>400</v>
          </cell>
          <cell r="U17">
            <v>565</v>
          </cell>
          <cell r="V17">
            <v>650</v>
          </cell>
          <cell r="W17">
            <v>700</v>
          </cell>
          <cell r="X17">
            <v>750</v>
          </cell>
        </row>
        <row r="18">
          <cell r="B18" t="str">
            <v>Forex Income</v>
          </cell>
          <cell r="C18">
            <v>10.437694</v>
          </cell>
          <cell r="D18">
            <v>8.31785</v>
          </cell>
          <cell r="E18">
            <v>9.5970379999999977</v>
          </cell>
          <cell r="F18">
            <v>13.608292000000002</v>
          </cell>
          <cell r="G18">
            <v>7.1083060000000025</v>
          </cell>
          <cell r="H18">
            <v>4.5471849999999989</v>
          </cell>
          <cell r="I18">
            <v>15.406931695999987</v>
          </cell>
          <cell r="J18">
            <v>-3.8355512954730671</v>
          </cell>
          <cell r="K18">
            <v>0</v>
          </cell>
          <cell r="L18">
            <v>0</v>
          </cell>
          <cell r="N18" t="str">
            <v>Dividend Yield (Current Price, %)</v>
          </cell>
          <cell r="O18">
            <v>0</v>
          </cell>
          <cell r="P18">
            <v>0</v>
          </cell>
          <cell r="Q18">
            <v>1.607704873648955</v>
          </cell>
          <cell r="R18">
            <v>1.607704873648955</v>
          </cell>
          <cell r="S18">
            <v>1.768470493753175</v>
          </cell>
          <cell r="T18">
            <v>2.572347266881029</v>
          </cell>
          <cell r="U18">
            <v>3.6334405144694535</v>
          </cell>
          <cell r="V18">
            <v>4.180064308681672</v>
          </cell>
          <cell r="W18">
            <v>4.501607717041801</v>
          </cell>
          <cell r="X18">
            <v>4.823151125401929</v>
          </cell>
        </row>
        <row r="19">
          <cell r="B19" t="str">
            <v>Other trading income</v>
          </cell>
          <cell r="C19">
            <v>-11.660423000000002</v>
          </cell>
          <cell r="D19">
            <v>-2.2122909999999996</v>
          </cell>
          <cell r="E19">
            <v>-3.9779139999999988</v>
          </cell>
          <cell r="F19">
            <v>-3.9950099999999988</v>
          </cell>
          <cell r="G19">
            <v>2.0797100000000048</v>
          </cell>
          <cell r="H19">
            <v>1.5335300000000007</v>
          </cell>
          <cell r="I19">
            <v>-22.448308368000006</v>
          </cell>
          <cell r="J19">
            <v>-34.01717750433744</v>
          </cell>
          <cell r="K19">
            <v>9.3283227146442016</v>
          </cell>
          <cell r="L19">
            <v>8.0241691532975921</v>
          </cell>
          <cell r="N19" t="str">
            <v>Dividend Payout Ratio (%)</v>
          </cell>
          <cell r="O19">
            <v>0</v>
          </cell>
          <cell r="P19">
            <v>0</v>
          </cell>
          <cell r="Q19">
            <v>25.176150737817981</v>
          </cell>
          <cell r="R19">
            <v>30.091034636678405</v>
          </cell>
          <cell r="S19">
            <v>29.776259268029794</v>
          </cell>
          <cell r="T19">
            <v>30.153081116569329</v>
          </cell>
          <cell r="U19">
            <v>31.035246033502716</v>
          </cell>
          <cell r="V19">
            <v>29.965634015222548</v>
          </cell>
          <cell r="W19">
            <v>33.635488590080953</v>
          </cell>
          <cell r="X19">
            <v>35.243186961121928</v>
          </cell>
        </row>
        <row r="20">
          <cell r="B20" t="str">
            <v>Other Income</v>
          </cell>
          <cell r="C20">
            <v>-31.74471999999999</v>
          </cell>
          <cell r="D20">
            <v>-53.083737999999919</v>
          </cell>
          <cell r="E20">
            <v>-30.191082000000012</v>
          </cell>
          <cell r="F20">
            <v>-34.419654000000001</v>
          </cell>
          <cell r="G20">
            <v>-38.341280650000151</v>
          </cell>
          <cell r="H20">
            <v>-42.036997144999923</v>
          </cell>
          <cell r="I20">
            <v>-32.725466197999978</v>
          </cell>
          <cell r="J20">
            <v>78.425313035345653</v>
          </cell>
          <cell r="K20">
            <v>-4.3323700938881586</v>
          </cell>
          <cell r="L20">
            <v>-14.656612198602346</v>
          </cell>
        </row>
        <row r="21">
          <cell r="B21" t="str">
            <v>Total Non-interest Income</v>
          </cell>
          <cell r="C21">
            <v>70.836926999999989</v>
          </cell>
          <cell r="D21">
            <v>87.647799000000077</v>
          </cell>
          <cell r="E21">
            <v>31.314430079815562</v>
          </cell>
          <cell r="F21">
            <v>38.647948596088462</v>
          </cell>
          <cell r="G21">
            <v>41.345450010999848</v>
          </cell>
          <cell r="H21">
            <v>32.508745407000085</v>
          </cell>
          <cell r="I21">
            <v>39.999999999999986</v>
          </cell>
          <cell r="J21">
            <v>144.58394307393289</v>
          </cell>
          <cell r="K21">
            <v>121.3003980113786</v>
          </cell>
          <cell r="L21">
            <v>123.62850915973374</v>
          </cell>
          <cell r="N21" t="str">
            <v>Issued Shares (m)</v>
          </cell>
          <cell r="O21">
            <v>120.42</v>
          </cell>
          <cell r="P21">
            <v>120.42</v>
          </cell>
          <cell r="Q21">
            <v>132.125</v>
          </cell>
          <cell r="R21">
            <v>132.125</v>
          </cell>
          <cell r="S21">
            <v>132.125</v>
          </cell>
          <cell r="T21">
            <v>132.125</v>
          </cell>
          <cell r="U21">
            <v>132.125</v>
          </cell>
          <cell r="V21">
            <v>132.125</v>
          </cell>
          <cell r="W21">
            <v>132.125</v>
          </cell>
          <cell r="X21">
            <v>132.125</v>
          </cell>
        </row>
        <row r="22">
          <cell r="N22" t="str">
            <v>Market Cap (Wonbn)</v>
          </cell>
          <cell r="O22">
            <v>1872.5309999999999</v>
          </cell>
          <cell r="P22">
            <v>1872.5309999999999</v>
          </cell>
          <cell r="Q22">
            <v>2054.5437499999998</v>
          </cell>
          <cell r="R22">
            <v>2054.5437499999998</v>
          </cell>
          <cell r="S22">
            <v>2054.5437499999998</v>
          </cell>
          <cell r="T22">
            <v>2054.5437499999998</v>
          </cell>
          <cell r="U22">
            <v>2054.5437499999998</v>
          </cell>
          <cell r="V22">
            <v>2054.5437499999998</v>
          </cell>
          <cell r="W22">
            <v>2054.5437499999998</v>
          </cell>
          <cell r="X22">
            <v>2054.5437499999998</v>
          </cell>
        </row>
        <row r="23">
          <cell r="B23" t="str">
            <v>Non-interest Expense</v>
          </cell>
          <cell r="N23" t="str">
            <v>Market Cap (US$mn)</v>
          </cell>
          <cell r="O23">
            <v>1971.0852631578948</v>
          </cell>
          <cell r="P23">
            <v>1971.0852631578948</v>
          </cell>
          <cell r="Q23">
            <v>2162.6776315789475</v>
          </cell>
          <cell r="R23">
            <v>2162.6776315789475</v>
          </cell>
          <cell r="S23">
            <v>2162.6776315789475</v>
          </cell>
          <cell r="T23">
            <v>2162.6776315789475</v>
          </cell>
          <cell r="U23">
            <v>2162.6776315789475</v>
          </cell>
          <cell r="V23">
            <v>2162.6776315789475</v>
          </cell>
          <cell r="W23">
            <v>2162.6776315789475</v>
          </cell>
          <cell r="X23">
            <v>2162.6776315789475</v>
          </cell>
        </row>
        <row r="24">
          <cell r="B24" t="str">
            <v>Salaries &amp; Benefits</v>
          </cell>
          <cell r="C24">
            <v>107.16847300000001</v>
          </cell>
          <cell r="D24">
            <v>98.766052000000002</v>
          </cell>
          <cell r="E24">
            <v>132.53890000000001</v>
          </cell>
          <cell r="F24">
            <v>139.87535099999999</v>
          </cell>
          <cell r="G24">
            <v>158.067294</v>
          </cell>
          <cell r="H24">
            <v>169.01070299999998</v>
          </cell>
          <cell r="I24">
            <v>187.733122804</v>
          </cell>
          <cell r="J24">
            <v>203.09288603685599</v>
          </cell>
          <cell r="K24">
            <v>219.35530669151098</v>
          </cell>
          <cell r="L24">
            <v>236.59153547192719</v>
          </cell>
        </row>
        <row r="25">
          <cell r="B25" t="str">
            <v>Net Occupancy &amp; Equipment</v>
          </cell>
          <cell r="C25">
            <v>1.828999</v>
          </cell>
          <cell r="D25">
            <v>1.9287479999999999</v>
          </cell>
          <cell r="E25">
            <v>2.0369389999999998</v>
          </cell>
          <cell r="F25">
            <v>2.4119800000000002</v>
          </cell>
          <cell r="G25">
            <v>2.779687</v>
          </cell>
          <cell r="H25">
            <v>3.0314130000000001</v>
          </cell>
          <cell r="I25">
            <v>4.3649731559999996</v>
          </cell>
          <cell r="J25">
            <v>5.2695198666551688</v>
          </cell>
          <cell r="K25">
            <v>6.2981784696932053</v>
          </cell>
          <cell r="L25">
            <v>7.6112275624581436</v>
          </cell>
          <cell r="N25" t="str">
            <v>PERFORMANCE RATIOS</v>
          </cell>
        </row>
        <row r="26">
          <cell r="B26" t="str">
            <v>Other Expenses</v>
          </cell>
          <cell r="C26">
            <v>90.402039000000002</v>
          </cell>
          <cell r="D26">
            <v>91.705391000000006</v>
          </cell>
          <cell r="E26">
            <v>102.241602</v>
          </cell>
          <cell r="F26">
            <v>119.61654499999995</v>
          </cell>
          <cell r="G26">
            <v>135.650407</v>
          </cell>
          <cell r="H26">
            <v>149.20329899999996</v>
          </cell>
          <cell r="I26">
            <v>169.20190403999999</v>
          </cell>
          <cell r="J26">
            <v>181.58327820243341</v>
          </cell>
          <cell r="K26">
            <v>189.39679184728826</v>
          </cell>
          <cell r="L26">
            <v>204.83751875790622</v>
          </cell>
          <cell r="N26" t="str">
            <v>Won billions, Year ending Dec 31</v>
          </cell>
          <cell r="O26">
            <v>2000</v>
          </cell>
          <cell r="P26">
            <v>2001</v>
          </cell>
          <cell r="Q26">
            <v>2002</v>
          </cell>
          <cell r="R26">
            <v>2003</v>
          </cell>
          <cell r="S26">
            <v>2004</v>
          </cell>
          <cell r="T26">
            <v>2005</v>
          </cell>
          <cell r="U26">
            <v>2006</v>
          </cell>
          <cell r="V26" t="str">
            <v>2007E</v>
          </cell>
          <cell r="W26" t="str">
            <v>2008E</v>
          </cell>
          <cell r="X26" t="str">
            <v>2009E</v>
          </cell>
        </row>
        <row r="27">
          <cell r="B27" t="str">
            <v>Total Non-interest Expense</v>
          </cell>
          <cell r="C27">
            <v>199.39951100000002</v>
          </cell>
          <cell r="D27">
            <v>192.40019100000001</v>
          </cell>
          <cell r="E27">
            <v>236.817441</v>
          </cell>
          <cell r="F27">
            <v>261.90387599999997</v>
          </cell>
          <cell r="G27">
            <v>296.497388</v>
          </cell>
          <cell r="H27">
            <v>321.24541499999992</v>
          </cell>
          <cell r="I27">
            <v>361.29999999999995</v>
          </cell>
          <cell r="J27">
            <v>389.94568410594457</v>
          </cell>
          <cell r="K27">
            <v>415.05027700849246</v>
          </cell>
          <cell r="L27">
            <v>449.04028179229158</v>
          </cell>
          <cell r="N27" t="str">
            <v>Growth (%)</v>
          </cell>
        </row>
        <row r="28">
          <cell r="N28" t="str">
            <v>Net Interest Income</v>
          </cell>
          <cell r="O28">
            <v>19.194092588123702</v>
          </cell>
          <cell r="P28">
            <v>0.14244527663842543</v>
          </cell>
          <cell r="Q28">
            <v>46.390935166486848</v>
          </cell>
          <cell r="R28">
            <v>14.965388144896163</v>
          </cell>
          <cell r="S28">
            <v>8.3919397970151124</v>
          </cell>
          <cell r="T28">
            <v>7.0770026219432625</v>
          </cell>
          <cell r="U28">
            <v>4.9744678274129317</v>
          </cell>
          <cell r="V28">
            <v>-3.1843212101089091</v>
          </cell>
          <cell r="W28">
            <v>6.5425453915973986</v>
          </cell>
          <cell r="X28">
            <v>10.164178368633326</v>
          </cell>
        </row>
        <row r="29">
          <cell r="B29" t="str">
            <v>Pre-tax Operating Profit</v>
          </cell>
          <cell r="C29">
            <v>64.883817999999962</v>
          </cell>
          <cell r="D29">
            <v>155.41013299999997</v>
          </cell>
          <cell r="E29">
            <v>137.95983000000004</v>
          </cell>
          <cell r="F29">
            <v>141.18718599999988</v>
          </cell>
          <cell r="G29">
            <v>162.21586499999984</v>
          </cell>
          <cell r="H29">
            <v>232.95862400000016</v>
          </cell>
          <cell r="I29">
            <v>332.76172167099992</v>
          </cell>
          <cell r="J29">
            <v>386.6356615199079</v>
          </cell>
          <cell r="K29">
            <v>374.20934625988707</v>
          </cell>
          <cell r="L29">
            <v>382.30870493582552</v>
          </cell>
          <cell r="N29" t="str">
            <v>Non-interest Income</v>
          </cell>
          <cell r="O29">
            <v>21.880539673415122</v>
          </cell>
          <cell r="P29">
            <v>23.731791753191224</v>
          </cell>
          <cell r="Q29">
            <v>-64.272428472715518</v>
          </cell>
          <cell r="R29">
            <v>23.418974886596743</v>
          </cell>
          <cell r="S29">
            <v>6.979675540099417</v>
          </cell>
          <cell r="T29">
            <v>-21.372858686140273</v>
          </cell>
          <cell r="U29">
            <v>23.043813285353099</v>
          </cell>
          <cell r="V29">
            <v>261.45985768483234</v>
          </cell>
          <cell r="W29">
            <v>-16.103824925184295</v>
          </cell>
          <cell r="X29">
            <v>1.9192939071285942</v>
          </cell>
        </row>
        <row r="30">
          <cell r="B30" t="str">
            <v>Associate Profit/Loss</v>
          </cell>
          <cell r="C30">
            <v>-49.278655000000001</v>
          </cell>
          <cell r="D30">
            <v>-124.727327</v>
          </cell>
          <cell r="E30">
            <v>-6.7602659999999659</v>
          </cell>
          <cell r="F30">
            <v>-27.030004999999996</v>
          </cell>
          <cell r="G30">
            <v>8.7279590000001619</v>
          </cell>
          <cell r="H30">
            <v>10.438885999999876</v>
          </cell>
          <cell r="I30">
            <v>1.8062432330000284</v>
          </cell>
          <cell r="J30">
            <v>9.8666032890097899</v>
          </cell>
          <cell r="K30">
            <v>5.0596070528982828</v>
          </cell>
          <cell r="L30">
            <v>5.5138680725025155</v>
          </cell>
          <cell r="N30" t="str">
            <v>Non-interest Expense</v>
          </cell>
          <cell r="O30">
            <v>-1.5725118144990224</v>
          </cell>
          <cell r="P30">
            <v>-3.5101991799769361</v>
          </cell>
          <cell r="Q30">
            <v>23.085865855507382</v>
          </cell>
          <cell r="R30">
            <v>10.593153483150752</v>
          </cell>
          <cell r="S30">
            <v>13.208476532817738</v>
          </cell>
          <cell r="T30">
            <v>8.3467942726024766</v>
          </cell>
          <cell r="U30">
            <v>12.468531262928707</v>
          </cell>
          <cell r="V30">
            <v>7.9285037658302304</v>
          </cell>
          <cell r="W30">
            <v>6.4379717293465921</v>
          </cell>
          <cell r="X30">
            <v>8.1893704610402231</v>
          </cell>
        </row>
        <row r="31">
          <cell r="N31" t="str">
            <v>Recurrent Net Profit After Tax (FD)</v>
          </cell>
          <cell r="O31">
            <v>145.97713062876463</v>
          </cell>
          <cell r="P31">
            <v>139.52063517593874</v>
          </cell>
          <cell r="Q31">
            <v>-11.228549041908298</v>
          </cell>
          <cell r="R31">
            <v>-1.5934519963194727</v>
          </cell>
          <cell r="S31">
            <v>-14.708384897943461</v>
          </cell>
          <cell r="T31">
            <v>44.874840425669625</v>
          </cell>
          <cell r="U31">
            <v>42.610435609727901</v>
          </cell>
          <cell r="V31">
            <v>16.816410990975328</v>
          </cell>
          <cell r="W31">
            <v>-2.9218449036519822</v>
          </cell>
          <cell r="X31">
            <v>2.1643924067875853</v>
          </cell>
        </row>
        <row r="32">
          <cell r="B32" t="str">
            <v>Profit Before Tax</v>
          </cell>
          <cell r="C32">
            <v>15.605162999999962</v>
          </cell>
          <cell r="D32">
            <v>30.682805999999971</v>
          </cell>
          <cell r="E32">
            <v>131.19956400000007</v>
          </cell>
          <cell r="F32">
            <v>114.15718099999989</v>
          </cell>
          <cell r="G32">
            <v>170.94382400000001</v>
          </cell>
          <cell r="H32">
            <v>243.39751000000004</v>
          </cell>
          <cell r="I32">
            <v>334.56796490399995</v>
          </cell>
          <cell r="J32">
            <v>396.50226480891769</v>
          </cell>
          <cell r="K32">
            <v>379.26895331278536</v>
          </cell>
          <cell r="L32">
            <v>387.82257300832805</v>
          </cell>
          <cell r="N32" t="str">
            <v>Net Profit</v>
          </cell>
          <cell r="O32">
            <v>-49.275592820892655</v>
          </cell>
          <cell r="P32">
            <v>96.61958032735734</v>
          </cell>
          <cell r="Q32">
            <v>327.5996269702328</v>
          </cell>
          <cell r="R32">
            <v>-16.333382877003487</v>
          </cell>
          <cell r="S32">
            <v>11.162542960894672</v>
          </cell>
          <cell r="T32">
            <v>43.638288281194917</v>
          </cell>
          <cell r="U32">
            <v>37.235023144900211</v>
          </cell>
          <cell r="V32">
            <v>19.15070887583985</v>
          </cell>
          <cell r="W32">
            <v>-4.0576363289669848</v>
          </cell>
          <cell r="X32">
            <v>2.2552912968039518</v>
          </cell>
        </row>
        <row r="33">
          <cell r="B33" t="str">
            <v>Effective Tax</v>
          </cell>
          <cell r="C33">
            <v>0</v>
          </cell>
          <cell r="D33">
            <v>0</v>
          </cell>
          <cell r="E33">
            <v>-2.8421709430404007E-14</v>
          </cell>
          <cell r="F33">
            <v>4.3869441210790487</v>
          </cell>
          <cell r="G33">
            <v>48.920437271193769</v>
          </cell>
          <cell r="H33">
            <v>68.125206000000034</v>
          </cell>
          <cell r="I33">
            <v>94.032977943000049</v>
          </cell>
          <cell r="J33">
            <v>109.90312275047734</v>
          </cell>
          <cell r="K33">
            <v>104.29896216101602</v>
          </cell>
          <cell r="L33">
            <v>106.65120757729024</v>
          </cell>
        </row>
        <row r="34">
          <cell r="B34" t="str">
            <v xml:space="preserve">Minority Interests </v>
          </cell>
          <cell r="C34">
            <v>0</v>
          </cell>
          <cell r="D34">
            <v>0</v>
          </cell>
          <cell r="E34">
            <v>0</v>
          </cell>
          <cell r="F34">
            <v>0</v>
          </cell>
          <cell r="G34">
            <v>0</v>
          </cell>
          <cell r="H34">
            <v>0</v>
          </cell>
          <cell r="I34">
            <v>0</v>
          </cell>
          <cell r="J34">
            <v>0</v>
          </cell>
          <cell r="K34">
            <v>0</v>
          </cell>
          <cell r="L34">
            <v>0</v>
          </cell>
          <cell r="N34" t="str">
            <v>Gross Customer Loans</v>
          </cell>
          <cell r="O34">
            <v>16.874829523661859</v>
          </cell>
          <cell r="P34">
            <v>20.584814639195592</v>
          </cell>
          <cell r="Q34">
            <v>8.8731818019098121</v>
          </cell>
          <cell r="R34">
            <v>14.302398892121237</v>
          </cell>
          <cell r="S34">
            <v>11.831625407317304</v>
          </cell>
          <cell r="T34">
            <v>5.5445705283399871</v>
          </cell>
          <cell r="U34">
            <v>16.873281626857949</v>
          </cell>
          <cell r="V34">
            <v>13.046403006933804</v>
          </cell>
          <cell r="W34">
            <v>11.364094532789881</v>
          </cell>
          <cell r="X34">
            <v>12.402616335753702</v>
          </cell>
        </row>
        <row r="35">
          <cell r="B35" t="str">
            <v>Preference Dividend</v>
          </cell>
          <cell r="C35">
            <v>0</v>
          </cell>
          <cell r="D35">
            <v>0</v>
          </cell>
          <cell r="E35">
            <v>0</v>
          </cell>
          <cell r="F35">
            <v>0</v>
          </cell>
          <cell r="G35">
            <v>0</v>
          </cell>
          <cell r="H35">
            <v>0</v>
          </cell>
          <cell r="I35">
            <v>0</v>
          </cell>
          <cell r="J35">
            <v>0</v>
          </cell>
          <cell r="K35">
            <v>0</v>
          </cell>
          <cell r="L35">
            <v>0</v>
          </cell>
          <cell r="N35" t="str">
            <v>Total Deposits</v>
          </cell>
          <cell r="O35">
            <v>20.305498208291262</v>
          </cell>
          <cell r="P35">
            <v>15.389922871921913</v>
          </cell>
          <cell r="Q35">
            <v>12.258937954969706</v>
          </cell>
          <cell r="R35">
            <v>7.7654261897086796</v>
          </cell>
          <cell r="S35">
            <v>4.8546454824977658</v>
          </cell>
          <cell r="T35">
            <v>9.18769091004914</v>
          </cell>
          <cell r="U35">
            <v>5.172830838689757</v>
          </cell>
          <cell r="V35">
            <v>4.9417379524641092</v>
          </cell>
          <cell r="W35">
            <v>6.1302533287015626</v>
          </cell>
          <cell r="X35">
            <v>8.4709729103287437</v>
          </cell>
        </row>
        <row r="36">
          <cell r="B36" t="str">
            <v>Net Profit</v>
          </cell>
          <cell r="C36">
            <v>15.605162999999962</v>
          </cell>
          <cell r="D36">
            <v>30.682805999999971</v>
          </cell>
          <cell r="E36">
            <v>131.19956400000009</v>
          </cell>
          <cell r="F36">
            <v>109.77023687892084</v>
          </cell>
          <cell r="G36">
            <v>122.02338672880623</v>
          </cell>
          <cell r="H36">
            <v>175.27230400000002</v>
          </cell>
          <cell r="I36">
            <v>240.5349869609999</v>
          </cell>
          <cell r="J36">
            <v>286.59914205844035</v>
          </cell>
          <cell r="K36">
            <v>274.96999115176936</v>
          </cell>
          <cell r="L36">
            <v>281.17136543103783</v>
          </cell>
          <cell r="N36" t="str">
            <v>Avg Earning Assets</v>
          </cell>
          <cell r="O36">
            <v>15.97959103957065</v>
          </cell>
          <cell r="P36">
            <v>15.127231430001586</v>
          </cell>
          <cell r="Q36">
            <v>-100</v>
          </cell>
          <cell r="R36" t="e">
            <v>#DIV/0!</v>
          </cell>
          <cell r="T36">
            <v>7.1403802823402529</v>
          </cell>
          <cell r="U36">
            <v>5.8860196896747707</v>
          </cell>
          <cell r="V36">
            <v>8.5141519773088703</v>
          </cell>
          <cell r="W36">
            <v>7.5270292072731726</v>
          </cell>
          <cell r="X36">
            <v>10.015494164378612</v>
          </cell>
        </row>
        <row r="37">
          <cell r="B37" t="str">
            <v>EPS - Reported (Won)</v>
          </cell>
          <cell r="C37">
            <v>129.58946188340775</v>
          </cell>
          <cell r="D37">
            <v>254.79825610363704</v>
          </cell>
          <cell r="E37">
            <v>992.99575402081427</v>
          </cell>
          <cell r="F37">
            <v>830.8059555642069</v>
          </cell>
          <cell r="G37">
            <v>923.5450272757331</v>
          </cell>
          <cell r="H37">
            <v>1326.5642686849574</v>
          </cell>
          <cell r="I37">
            <v>1820.5107811617777</v>
          </cell>
          <cell r="J37">
            <v>2169.1515009153482</v>
          </cell>
          <cell r="K37">
            <v>2081.1352215838742</v>
          </cell>
          <cell r="L37">
            <v>2128.0708831109769</v>
          </cell>
          <cell r="N37" t="str">
            <v>Total Interest-bearing Liab</v>
          </cell>
          <cell r="O37" t="e">
            <v>#DIV/0!</v>
          </cell>
          <cell r="P37" t="e">
            <v>#DIV/0!</v>
          </cell>
          <cell r="Q37" t="e">
            <v>#DIV/0!</v>
          </cell>
          <cell r="R37" t="e">
            <v>#DIV/0!</v>
          </cell>
          <cell r="T37">
            <v>6.8990393616055412</v>
          </cell>
          <cell r="U37">
            <v>5.858411532772978</v>
          </cell>
          <cell r="V37">
            <v>8.0595637119371908</v>
          </cell>
          <cell r="W37">
            <v>9.5304438500316557</v>
          </cell>
          <cell r="X37">
            <v>9.6424978769059635</v>
          </cell>
        </row>
        <row r="38">
          <cell r="B38" t="str">
            <v>EPS - ModelWare (Won)</v>
          </cell>
          <cell r="E38">
            <v>1013.2494304635768</v>
          </cell>
          <cell r="F38">
            <v>859.25791393695999</v>
          </cell>
          <cell r="G38">
            <v>954.53668668916737</v>
          </cell>
          <cell r="H38">
            <v>1365.079803216651</v>
          </cell>
          <cell r="I38">
            <v>1878.9637543916738</v>
          </cell>
          <cell r="J38">
            <v>2237.9490153293173</v>
          </cell>
          <cell r="K38">
            <v>2143.2715563568795</v>
          </cell>
          <cell r="L38">
            <v>2183.7078518344224</v>
          </cell>
          <cell r="N38" t="str">
            <v>Risk-weighted Assets</v>
          </cell>
          <cell r="O38" t="e">
            <v>#DIV/0!</v>
          </cell>
          <cell r="P38" t="e">
            <v>#DIV/0!</v>
          </cell>
          <cell r="Q38" t="e">
            <v>#DIV/0!</v>
          </cell>
          <cell r="R38">
            <v>7.5781305462630622</v>
          </cell>
          <cell r="S38">
            <v>6.3495368218855486</v>
          </cell>
          <cell r="T38">
            <v>14.964237479913445</v>
          </cell>
          <cell r="U38">
            <v>15.931281422262543</v>
          </cell>
          <cell r="V38">
            <v>7.1373663922500885</v>
          </cell>
          <cell r="W38">
            <v>19.287010129767346</v>
          </cell>
          <cell r="X38">
            <v>9.5031871878697327</v>
          </cell>
        </row>
        <row r="40">
          <cell r="B40" t="str">
            <v>Selective Balance Sheet Data</v>
          </cell>
          <cell r="N40" t="str">
            <v>Revenue Breakdown (%)</v>
          </cell>
        </row>
        <row r="41">
          <cell r="B41" t="str">
            <v>Won billions, Year ending Dec 31</v>
          </cell>
          <cell r="C41">
            <v>2000</v>
          </cell>
          <cell r="D41">
            <v>2001</v>
          </cell>
          <cell r="E41">
            <v>2002</v>
          </cell>
          <cell r="F41">
            <v>2003</v>
          </cell>
          <cell r="G41">
            <v>2004</v>
          </cell>
          <cell r="H41">
            <v>2005</v>
          </cell>
          <cell r="I41">
            <v>2006</v>
          </cell>
          <cell r="J41" t="str">
            <v>2007E</v>
          </cell>
          <cell r="K41" t="str">
            <v>2008E</v>
          </cell>
          <cell r="L41" t="str">
            <v>2009E</v>
          </cell>
          <cell r="N41" t="str">
            <v>NII/Operating Income</v>
          </cell>
          <cell r="O41">
            <v>82.793797599353738</v>
          </cell>
          <cell r="P41">
            <v>79.568827422204222</v>
          </cell>
          <cell r="Q41">
            <v>94.102846825848445</v>
          </cell>
          <cell r="R41">
            <v>93.696553276669732</v>
          </cell>
          <cell r="S41">
            <v>93.773568664997782</v>
          </cell>
          <cell r="T41">
            <v>95.35099238999301</v>
          </cell>
          <cell r="U41">
            <v>94.594015435915082</v>
          </cell>
          <cell r="V41">
            <v>82.415353429484853</v>
          </cell>
          <cell r="W41">
            <v>85.615436525819405</v>
          </cell>
          <cell r="X41">
            <v>86.547174411778343</v>
          </cell>
        </row>
        <row r="42">
          <cell r="B42" t="str">
            <v>Total Assets</v>
          </cell>
          <cell r="C42">
            <v>13028.76828</v>
          </cell>
          <cell r="D42">
            <v>14551.469909000001</v>
          </cell>
          <cell r="E42">
            <v>16020.457914000001</v>
          </cell>
          <cell r="F42">
            <v>16909.019744999998</v>
          </cell>
          <cell r="G42">
            <v>18584.948699</v>
          </cell>
          <cell r="H42">
            <v>19623.959286000001</v>
          </cell>
          <cell r="I42">
            <v>21857.747097563002</v>
          </cell>
          <cell r="J42">
            <v>22892.646994126611</v>
          </cell>
          <cell r="K42">
            <v>25058.178523756134</v>
          </cell>
          <cell r="L42">
            <v>27439.504134739251</v>
          </cell>
          <cell r="N42" t="str">
            <v>Non-interest Inc/Opg Income</v>
          </cell>
          <cell r="O42">
            <v>17.206202400646266</v>
          </cell>
          <cell r="P42">
            <v>20.43117257779577</v>
          </cell>
          <cell r="Q42">
            <v>5.897153174151561</v>
          </cell>
          <cell r="R42">
            <v>6.3034467233302722</v>
          </cell>
          <cell r="S42">
            <v>6.2264313350022187</v>
          </cell>
          <cell r="T42">
            <v>4.6490076100069953</v>
          </cell>
          <cell r="U42">
            <v>5.4059845640849185</v>
          </cell>
          <cell r="V42">
            <v>17.584646570515144</v>
          </cell>
          <cell r="W42">
            <v>14.384563474180595</v>
          </cell>
          <cell r="X42">
            <v>13.452825588221653</v>
          </cell>
        </row>
        <row r="43">
          <cell r="B43" t="str">
            <v>RWA</v>
          </cell>
          <cell r="C43">
            <v>0</v>
          </cell>
          <cell r="D43">
            <v>0</v>
          </cell>
          <cell r="E43">
            <v>9000.9930000000004</v>
          </cell>
          <cell r="F43">
            <v>9683.1</v>
          </cell>
          <cell r="G43">
            <v>10297.932000000001</v>
          </cell>
          <cell r="H43">
            <v>11838.939</v>
          </cell>
          <cell r="I43">
            <v>13725.033689499996</v>
          </cell>
          <cell r="J43">
            <v>14704.63963137937</v>
          </cell>
          <cell r="K43">
            <v>17540.724966629292</v>
          </cell>
          <cell r="L43">
            <v>19207.652894317474</v>
          </cell>
          <cell r="N43" t="str">
            <v>Forex Income/Operating Income</v>
          </cell>
          <cell r="O43">
            <v>2.5353030286027392</v>
          </cell>
          <cell r="P43">
            <v>1.9389354982686833</v>
          </cell>
          <cell r="Q43">
            <v>1.8073202341508645</v>
          </cell>
          <cell r="R43">
            <v>2.2195005616987196</v>
          </cell>
          <cell r="S43">
            <v>1.0704776270522924</v>
          </cell>
          <cell r="T43">
            <v>0.65028340541735008</v>
          </cell>
          <cell r="U43">
            <v>2.0822408732121653</v>
          </cell>
          <cell r="V43">
            <v>-0.46648896481877328</v>
          </cell>
          <cell r="W43">
            <v>0</v>
          </cell>
          <cell r="X43">
            <v>0</v>
          </cell>
        </row>
        <row r="44">
          <cell r="B44" t="str">
            <v>Total Liquid Assets</v>
          </cell>
          <cell r="C44">
            <v>5962.1525149999998</v>
          </cell>
          <cell r="D44">
            <v>6459.7277969999996</v>
          </cell>
          <cell r="E44">
            <v>6806.4684619999998</v>
          </cell>
          <cell r="F44">
            <v>6392.2568350000001</v>
          </cell>
          <cell r="G44">
            <v>6306.6910909999997</v>
          </cell>
          <cell r="H44">
            <v>6990.019558</v>
          </cell>
          <cell r="I44">
            <v>6916.715082701</v>
          </cell>
          <cell r="J44">
            <v>6057.3941127551834</v>
          </cell>
          <cell r="K44">
            <v>6395.1286551307076</v>
          </cell>
          <cell r="L44">
            <v>6536.4936267440326</v>
          </cell>
        </row>
        <row r="45">
          <cell r="B45" t="str">
            <v>Gross Customer Loans</v>
          </cell>
          <cell r="C45">
            <v>6882.8090649999995</v>
          </cell>
          <cell r="D45">
            <v>8299.6225530000011</v>
          </cell>
          <cell r="E45">
            <v>9036.0631510000003</v>
          </cell>
          <cell r="F45">
            <v>10328.436947</v>
          </cell>
          <cell r="G45">
            <v>11550.458917</v>
          </cell>
          <cell r="H45">
            <v>12190.882258</v>
          </cell>
          <cell r="I45">
            <v>14247.884154190999</v>
          </cell>
          <cell r="J45">
            <v>16106.72054090782</v>
          </cell>
          <cell r="K45">
            <v>17937.103489308869</v>
          </cell>
          <cell r="L45">
            <v>20161.773616834937</v>
          </cell>
          <cell r="N45" t="str">
            <v>Efficiency (%)</v>
          </cell>
        </row>
        <row r="46">
          <cell r="B46" t="str">
            <v>Total Customer Deposits</v>
          </cell>
          <cell r="C46">
            <v>8873.0444650000009</v>
          </cell>
          <cell r="D46">
            <v>10182.091259999999</v>
          </cell>
          <cell r="E46">
            <v>11062.237114</v>
          </cell>
          <cell r="F46">
            <v>12168.536905000001</v>
          </cell>
          <cell r="G46">
            <v>12489.438663999999</v>
          </cell>
          <cell r="H46">
            <v>13424.226704999999</v>
          </cell>
          <cell r="I46">
            <v>13225.490707831001</v>
          </cell>
          <cell r="J46">
            <v>12431.96126536114</v>
          </cell>
          <cell r="K46">
            <v>12183.322040053918</v>
          </cell>
          <cell r="L46">
            <v>12426.988480854996</v>
          </cell>
          <cell r="N46" t="str">
            <v>Cost/Income</v>
          </cell>
          <cell r="O46">
            <v>48.433895852877576</v>
          </cell>
          <cell r="P46">
            <v>44.849517628182141</v>
          </cell>
          <cell r="Q46">
            <v>44.597609483168519</v>
          </cell>
          <cell r="R46">
            <v>37.9</v>
          </cell>
          <cell r="S46">
            <v>44.651119455668166</v>
          </cell>
          <cell r="T46">
            <v>45.940634137583992</v>
          </cell>
          <cell r="U46">
            <v>48.829555575097032</v>
          </cell>
          <cell r="V46">
            <v>47.426131082857722</v>
          </cell>
          <cell r="W46">
            <v>49.219270113564278</v>
          </cell>
          <cell r="X46">
            <v>48.863006066283077</v>
          </cell>
        </row>
        <row r="47">
          <cell r="B47" t="str">
            <v>Certificates of Deposits</v>
          </cell>
          <cell r="C47">
            <v>136.52538000000001</v>
          </cell>
          <cell r="D47">
            <v>225.59719999999999</v>
          </cell>
          <cell r="E47">
            <v>603.66183199999978</v>
          </cell>
          <cell r="F47">
            <v>432.89160899999843</v>
          </cell>
          <cell r="G47">
            <v>700.82924800000001</v>
          </cell>
          <cell r="H47">
            <v>976.23114500000156</v>
          </cell>
          <cell r="I47">
            <v>1899.911154224</v>
          </cell>
          <cell r="J47">
            <v>3419.8400776031999</v>
          </cell>
          <cell r="K47">
            <v>4616.7841047643205</v>
          </cell>
          <cell r="L47">
            <v>5770.9801309554005</v>
          </cell>
          <cell r="N47" t="str">
            <v>Expenses/Avg Assets</v>
          </cell>
          <cell r="O47">
            <v>1.639892993456421</v>
          </cell>
          <cell r="P47">
            <v>1.3952032588082299</v>
          </cell>
          <cell r="Q47">
            <v>1.5492476782693207</v>
          </cell>
          <cell r="R47">
            <v>1.5906955993176448</v>
          </cell>
          <cell r="S47">
            <v>1.6706916752224743</v>
          </cell>
          <cell r="T47">
            <v>1.6815210480556735</v>
          </cell>
          <cell r="U47">
            <v>1.7419726983225741</v>
          </cell>
          <cell r="V47">
            <v>1.7427586595415461</v>
          </cell>
          <cell r="W47">
            <v>1.7311496622876863</v>
          </cell>
          <cell r="X47">
            <v>1.710705155171744</v>
          </cell>
        </row>
        <row r="48">
          <cell r="B48" t="str">
            <v>Other Interest Bearing Liability</v>
          </cell>
          <cell r="C48">
            <v>2751.1073500000002</v>
          </cell>
          <cell r="D48">
            <v>2682.7817380000015</v>
          </cell>
          <cell r="E48">
            <v>2820.9569869999996</v>
          </cell>
          <cell r="F48">
            <v>2785.8668209999996</v>
          </cell>
          <cell r="G48">
            <v>3410.4945430000007</v>
          </cell>
          <cell r="H48">
            <v>3392.2359759999999</v>
          </cell>
          <cell r="I48">
            <v>4154.7991992440002</v>
          </cell>
          <cell r="J48">
            <v>4262.1623079020028</v>
          </cell>
          <cell r="K48">
            <v>5211.1648079020051</v>
          </cell>
          <cell r="L48">
            <v>5922.2201079020015</v>
          </cell>
        </row>
        <row r="49">
          <cell r="B49" t="str">
            <v>EOP Shareholders' Equity</v>
          </cell>
          <cell r="C49">
            <v>532.42887800000005</v>
          </cell>
          <cell r="D49">
            <v>560.42844000000002</v>
          </cell>
          <cell r="E49">
            <v>712.17310000000009</v>
          </cell>
          <cell r="F49">
            <v>837.74458000000004</v>
          </cell>
          <cell r="G49">
            <v>949.07193300000006</v>
          </cell>
          <cell r="H49">
            <v>1076.9532260000001</v>
          </cell>
          <cell r="I49">
            <v>1261.7219761820002</v>
          </cell>
          <cell r="J49">
            <v>1465.2616775994404</v>
          </cell>
          <cell r="K49">
            <v>1654.3504187512096</v>
          </cell>
          <cell r="L49">
            <v>1843.0343268346421</v>
          </cell>
          <cell r="N49" t="str">
            <v>Rev Per Employee</v>
          </cell>
          <cell r="O49">
            <v>2.0775844771901492E-2</v>
          </cell>
          <cell r="P49">
            <v>2.2419741670804044E-2</v>
          </cell>
          <cell r="Q49">
            <v>5.1016887255608399E-2</v>
          </cell>
          <cell r="R49">
            <v>0.29669686039196702</v>
          </cell>
          <cell r="S49">
            <v>0.32455095454545441</v>
          </cell>
          <cell r="T49">
            <v>0.35334110106114203</v>
          </cell>
          <cell r="U49">
            <v>0.38169756083105488</v>
          </cell>
          <cell r="V49">
            <v>0.42035630917730871</v>
          </cell>
          <cell r="W49">
            <v>0.427896724508951</v>
          </cell>
          <cell r="X49">
            <v>0.46286631176354937</v>
          </cell>
        </row>
        <row r="50">
          <cell r="N50" t="str">
            <v>Exp Per Employee</v>
          </cell>
          <cell r="O50">
            <v>1.0062551019378281E-2</v>
          </cell>
          <cell r="P50">
            <v>1.0055145992840159E-2</v>
          </cell>
          <cell r="Q50">
            <v>2.2752312148724599E-2</v>
          </cell>
          <cell r="R50">
            <v>0.12673790273409144</v>
          </cell>
          <cell r="S50">
            <v>0.14491563440860214</v>
          </cell>
          <cell r="T50">
            <v>0.16232714249621016</v>
          </cell>
          <cell r="U50">
            <v>0.18638122259478976</v>
          </cell>
          <cell r="V50">
            <v>0.19935873420549313</v>
          </cell>
          <cell r="W50">
            <v>0.2106076446431546</v>
          </cell>
          <cell r="X50">
            <v>0.22617039399580385</v>
          </cell>
        </row>
        <row r="51">
          <cell r="B51" t="str">
            <v>Avg Loans</v>
          </cell>
          <cell r="C51">
            <v>6385.9260744999992</v>
          </cell>
          <cell r="D51">
            <v>7591.2158090000003</v>
          </cell>
          <cell r="E51">
            <v>8667.8428520000016</v>
          </cell>
          <cell r="F51">
            <v>9682.2500490000002</v>
          </cell>
          <cell r="G51">
            <v>10939.447931999999</v>
          </cell>
          <cell r="H51">
            <v>11870.670587500001</v>
          </cell>
          <cell r="I51">
            <v>13219.383206095499</v>
          </cell>
          <cell r="J51">
            <v>15177.302347549408</v>
          </cell>
          <cell r="K51">
            <v>17021.912015108344</v>
          </cell>
          <cell r="L51">
            <v>19049.438553071901</v>
          </cell>
          <cell r="N51" t="str">
            <v>Rev Per Branch</v>
          </cell>
          <cell r="O51">
            <v>0.36066065703022337</v>
          </cell>
          <cell r="P51">
            <v>0.37597769237510953</v>
          </cell>
          <cell r="Q51">
            <v>0.82776191893998441</v>
          </cell>
          <cell r="R51">
            <v>3.9556391096774184</v>
          </cell>
          <cell r="S51">
            <v>4.2160714476190462</v>
          </cell>
          <cell r="T51">
            <v>4.3978744591194969</v>
          </cell>
          <cell r="U51">
            <v>4.3912209001246287</v>
          </cell>
          <cell r="V51">
            <v>4.5805957701995315</v>
          </cell>
          <cell r="W51">
            <v>4.5829774029875745</v>
          </cell>
          <cell r="X51">
            <v>4.9674487139662293</v>
          </cell>
        </row>
        <row r="52">
          <cell r="B52" t="str">
            <v>Avg Total Assets</v>
          </cell>
          <cell r="C52">
            <v>12159.300137</v>
          </cell>
          <cell r="D52">
            <v>13790.119094500002</v>
          </cell>
          <cell r="E52">
            <v>15285.963911500001</v>
          </cell>
          <cell r="F52">
            <v>16464.738829499998</v>
          </cell>
          <cell r="G52">
            <v>17746.984221999999</v>
          </cell>
          <cell r="H52">
            <v>19104.453992499999</v>
          </cell>
          <cell r="I52">
            <v>20740.853191781502</v>
          </cell>
          <cell r="J52">
            <v>22375.197045844805</v>
          </cell>
          <cell r="K52">
            <v>23975.412758941373</v>
          </cell>
          <cell r="L52">
            <v>26248.841329247691</v>
          </cell>
          <cell r="N52" t="str">
            <v>Exp Per Branch</v>
          </cell>
          <cell r="O52">
            <v>0.1746820070083224</v>
          </cell>
          <cell r="P52">
            <v>0.1686241814198072</v>
          </cell>
          <cell r="Q52">
            <v>0.36916202805923615</v>
          </cell>
          <cell r="R52">
            <v>1.6897024258064515</v>
          </cell>
          <cell r="S52">
            <v>1.8825230984126984</v>
          </cell>
          <cell r="T52">
            <v>2.0204114150943391</v>
          </cell>
          <cell r="U52">
            <v>2.1442136498516318</v>
          </cell>
          <cell r="V52">
            <v>2.1723993543506661</v>
          </cell>
          <cell r="W52">
            <v>2.2557080272200678</v>
          </cell>
          <cell r="X52">
            <v>2.4272447664448196</v>
          </cell>
        </row>
        <row r="53">
          <cell r="B53" t="str">
            <v>Avg Total Deposits</v>
          </cell>
          <cell r="C53">
            <v>8296.3607030000003</v>
          </cell>
          <cell r="D53">
            <v>9758.2770999999993</v>
          </cell>
          <cell r="E53">
            <v>11096.3880395</v>
          </cell>
          <cell r="F53">
            <v>12192.979877</v>
          </cell>
          <cell r="G53">
            <v>12955.728714000001</v>
          </cell>
          <cell r="H53">
            <v>13872.0239815</v>
          </cell>
          <cell r="I53">
            <v>14855.840814868501</v>
          </cell>
          <cell r="J53">
            <v>15606.71015915192</v>
          </cell>
          <cell r="K53">
            <v>16472.933281046091</v>
          </cell>
          <cell r="L53">
            <v>17681.292004386269</v>
          </cell>
          <cell r="N53" t="str">
            <v>Net Profit Per Branch</v>
          </cell>
          <cell r="O53">
            <v>1.3670751642575526E-2</v>
          </cell>
          <cell r="P53">
            <v>2.6891153374233104E-2</v>
          </cell>
          <cell r="Q53">
            <v>0.2045199750584569</v>
          </cell>
          <cell r="R53">
            <v>0.70819507663819892</v>
          </cell>
          <cell r="S53">
            <v>0.77475166177019827</v>
          </cell>
          <cell r="T53">
            <v>1.1023415345911951</v>
          </cell>
          <cell r="U53">
            <v>1.4275073410148362</v>
          </cell>
          <cell r="V53">
            <v>1.5966526019968821</v>
          </cell>
          <cell r="W53">
            <v>1.4944021258248334</v>
          </cell>
          <cell r="X53">
            <v>1.5198452185461504</v>
          </cell>
        </row>
        <row r="54">
          <cell r="B54" t="str">
            <v>Avg Shareholders' Equity</v>
          </cell>
          <cell r="D54">
            <v>546.42865900000004</v>
          </cell>
          <cell r="E54">
            <v>636.30077000000006</v>
          </cell>
          <cell r="F54">
            <v>774.95884000000001</v>
          </cell>
          <cell r="G54">
            <v>893.40825650000011</v>
          </cell>
          <cell r="H54">
            <v>1013.0125795000001</v>
          </cell>
          <cell r="I54">
            <v>1169.3376010910001</v>
          </cell>
          <cell r="J54">
            <v>1363.4918268907204</v>
          </cell>
          <cell r="K54">
            <v>1559.806048175325</v>
          </cell>
          <cell r="L54">
            <v>1748.6923727929259</v>
          </cell>
        </row>
        <row r="55">
          <cell r="B55" t="str">
            <v>Avg Equity/Avg Assets (%)</v>
          </cell>
          <cell r="C55">
            <v>4.2892668214757794</v>
          </cell>
          <cell r="D55">
            <v>3.96246511908614</v>
          </cell>
          <cell r="E55">
            <v>4.1626473389832848</v>
          </cell>
          <cell r="F55">
            <v>4.7067788200290206</v>
          </cell>
          <cell r="G55">
            <v>5.0341412677455875</v>
          </cell>
          <cell r="H55">
            <v>5.3024942764534764</v>
          </cell>
          <cell r="I55">
            <v>5.6378471525672174</v>
          </cell>
          <cell r="J55">
            <v>6.09376455589216</v>
          </cell>
          <cell r="K55">
            <v>6.5058569120717724</v>
          </cell>
          <cell r="L55">
            <v>6.6619792883751057</v>
          </cell>
          <cell r="N55" t="str">
            <v>Net Interest Margin Analysis (%)</v>
          </cell>
        </row>
        <row r="56">
          <cell r="B56" t="str">
            <v>Avg EA/Avg Assets (%)</v>
          </cell>
          <cell r="C56">
            <v>89.451225140031269</v>
          </cell>
          <cell r="D56">
            <v>90.803986569588204</v>
          </cell>
          <cell r="E56">
            <v>0</v>
          </cell>
          <cell r="F56">
            <v>90.19338641143797</v>
          </cell>
          <cell r="G56">
            <v>88.907848374403102</v>
          </cell>
          <cell r="H56">
            <v>88.487763150083154</v>
          </cell>
          <cell r="I56">
            <v>86.303786948807272</v>
          </cell>
          <cell r="J56">
            <v>86.811244535412442</v>
          </cell>
          <cell r="K56">
            <v>87.1152937520839</v>
          </cell>
          <cell r="L56">
            <v>87.539530756534518</v>
          </cell>
          <cell r="N56" t="str">
            <v>Int Income/Avg EA</v>
          </cell>
          <cell r="O56">
            <v>8.8484681093292874</v>
          </cell>
          <cell r="P56">
            <v>7.7832875406960449</v>
          </cell>
          <cell r="Q56" t="e">
            <v>#DIV/0!</v>
          </cell>
          <cell r="R56">
            <v>7.073698293959942</v>
          </cell>
          <cell r="S56">
            <v>6.6093197910558992</v>
          </cell>
          <cell r="T56">
            <v>6.2739572616648784</v>
          </cell>
          <cell r="U56">
            <v>6.4903620106807249</v>
          </cell>
          <cell r="V56">
            <v>6.573786887799991</v>
          </cell>
          <cell r="W56">
            <v>6.6962604360194078</v>
          </cell>
          <cell r="X56">
            <v>6.7695379261876809</v>
          </cell>
        </row>
        <row r="57">
          <cell r="B57" t="str">
            <v>Avg Loans/Avg EA (%)</v>
          </cell>
          <cell r="C57">
            <v>58.712289344609822</v>
          </cell>
          <cell r="D57">
            <v>60.623136978697254</v>
          </cell>
          <cell r="E57" t="e">
            <v>#DIV/0!</v>
          </cell>
          <cell r="F57">
            <v>65.199873763795935</v>
          </cell>
          <cell r="G57">
            <v>69.331523279202571</v>
          </cell>
          <cell r="H57">
            <v>70.219447259833473</v>
          </cell>
          <cell r="I57">
            <v>73.850718003925863</v>
          </cell>
          <cell r="J57">
            <v>78.136100778758205</v>
          </cell>
          <cell r="K57">
            <v>81.498167424749838</v>
          </cell>
          <cell r="L57">
            <v>82.902538358273432</v>
          </cell>
          <cell r="N57" t="str">
            <v>Int Exp/Avg Int Bearing Liab.</v>
          </cell>
          <cell r="O57" t="e">
            <v>#DIV/0!</v>
          </cell>
          <cell r="P57" t="e">
            <v>#DIV/0!</v>
          </cell>
          <cell r="Q57" t="e">
            <v>#DIV/0!</v>
          </cell>
          <cell r="R57">
            <v>3.4374982223136863</v>
          </cell>
          <cell r="S57">
            <v>2.9716624752967347</v>
          </cell>
          <cell r="T57">
            <v>2.6102938971449956</v>
          </cell>
          <cell r="U57">
            <v>2.9216774300978026</v>
          </cell>
          <cell r="V57">
            <v>3.4234127499754949</v>
          </cell>
          <cell r="W57">
            <v>3.4968448793650251</v>
          </cell>
          <cell r="X57">
            <v>3.5753924944599453</v>
          </cell>
        </row>
        <row r="58">
          <cell r="N58" t="str">
            <v xml:space="preserve">Net Interest Spread </v>
          </cell>
          <cell r="O58">
            <v>0</v>
          </cell>
          <cell r="P58">
            <v>0</v>
          </cell>
          <cell r="Q58">
            <v>0</v>
          </cell>
          <cell r="R58">
            <v>3.6362000716462552</v>
          </cell>
          <cell r="S58">
            <v>3.637657315759165</v>
          </cell>
          <cell r="T58">
            <v>3.6636633645198828</v>
          </cell>
          <cell r="U58">
            <v>3.5686845805829233</v>
          </cell>
          <cell r="V58">
            <v>3.1503741378244965</v>
          </cell>
          <cell r="W58">
            <v>3.1994155566543827</v>
          </cell>
          <cell r="X58">
            <v>3.194145431727736</v>
          </cell>
        </row>
        <row r="59">
          <cell r="B59" t="str">
            <v>Asset Quality</v>
          </cell>
          <cell r="N59" t="str">
            <v>Contribution From Free Funds</v>
          </cell>
          <cell r="O59">
            <v>3.133845754144629</v>
          </cell>
          <cell r="P59">
            <v>2.7259491350720646</v>
          </cell>
          <cell r="Q59">
            <v>0</v>
          </cell>
          <cell r="R59">
            <v>-2.131221853767995E-2</v>
          </cell>
          <cell r="S59">
            <v>3.4151802864135217E-2</v>
          </cell>
          <cell r="T59">
            <v>3.5811066397547275E-2</v>
          </cell>
          <cell r="U59">
            <v>4.083432169057355E-2</v>
          </cell>
          <cell r="V59">
            <v>6.198768441845548E-2</v>
          </cell>
          <cell r="W59">
            <v>-6.5524168161568141E-4</v>
          </cell>
          <cell r="X59">
            <v>1.1454314217627104E-2</v>
          </cell>
        </row>
        <row r="60">
          <cell r="B60" t="str">
            <v>Won billions, Year ending Dec 31</v>
          </cell>
          <cell r="C60">
            <v>2000</v>
          </cell>
          <cell r="D60">
            <v>2001</v>
          </cell>
          <cell r="E60">
            <v>2002</v>
          </cell>
          <cell r="F60">
            <v>2003</v>
          </cell>
          <cell r="G60">
            <v>2004</v>
          </cell>
          <cell r="H60">
            <v>2005</v>
          </cell>
          <cell r="I60">
            <v>2006</v>
          </cell>
          <cell r="J60" t="str">
            <v>2007E</v>
          </cell>
          <cell r="K60" t="str">
            <v>2008E</v>
          </cell>
          <cell r="L60" t="str">
            <v>2009E</v>
          </cell>
          <cell r="N60" t="str">
            <v>Net Interest Margin</v>
          </cell>
          <cell r="O60">
            <v>3.133845754144629</v>
          </cell>
          <cell r="P60">
            <v>2.7259491350720646</v>
          </cell>
          <cell r="Q60">
            <v>0</v>
          </cell>
          <cell r="R60">
            <v>3.6148878531085753</v>
          </cell>
          <cell r="S60">
            <v>3.6718091186233002</v>
          </cell>
          <cell r="T60">
            <v>3.6994744309174301</v>
          </cell>
          <cell r="U60">
            <v>3.6095189022734968</v>
          </cell>
          <cell r="V60">
            <v>3.212361822242952</v>
          </cell>
          <cell r="W60">
            <v>3.198760314972767</v>
          </cell>
          <cell r="X60">
            <v>3.2055997459453631</v>
          </cell>
        </row>
        <row r="61">
          <cell r="B61" t="str">
            <v>Non-performing Loans (NPL)</v>
          </cell>
          <cell r="C61">
            <v>0</v>
          </cell>
          <cell r="D61">
            <v>0</v>
          </cell>
          <cell r="E61">
            <v>217.649</v>
          </cell>
          <cell r="F61">
            <v>236.88145500000002</v>
          </cell>
          <cell r="G61">
            <v>159.47999999999999</v>
          </cell>
          <cell r="H61">
            <v>118.245</v>
          </cell>
          <cell r="I61">
            <v>105.184</v>
          </cell>
          <cell r="J61">
            <v>139.01811632209984</v>
          </cell>
          <cell r="K61">
            <v>186.72139276253719</v>
          </cell>
          <cell r="L61">
            <v>220.80719635920269</v>
          </cell>
        </row>
        <row r="62">
          <cell r="B62" t="str">
            <v>Gross NPL Ratio (%)</v>
          </cell>
          <cell r="C62">
            <v>0</v>
          </cell>
          <cell r="D62">
            <v>0</v>
          </cell>
          <cell r="E62">
            <v>2.2786147801066434</v>
          </cell>
          <cell r="F62">
            <v>2.2881009967990198</v>
          </cell>
          <cell r="G62">
            <v>1.4617314258233165</v>
          </cell>
          <cell r="H62">
            <v>0.9701441412097328</v>
          </cell>
          <cell r="I62">
            <v>0.74036252593246721</v>
          </cell>
          <cell r="J62">
            <v>0.8435448074458306</v>
          </cell>
          <cell r="K62">
            <v>1.0207228949849638</v>
          </cell>
          <cell r="L62">
            <v>1.0776770325315848</v>
          </cell>
          <cell r="N62" t="str">
            <v>Liquidity (%)</v>
          </cell>
        </row>
        <row r="63">
          <cell r="B63" t="str">
            <v>Loan Loss Reserve (LLR)</v>
          </cell>
          <cell r="C63">
            <v>289.37106899999998</v>
          </cell>
          <cell r="D63">
            <v>0</v>
          </cell>
          <cell r="E63">
            <v>154.84034800000003</v>
          </cell>
          <cell r="F63">
            <v>213.47799999999995</v>
          </cell>
          <cell r="G63">
            <v>168.25799999999995</v>
          </cell>
          <cell r="H63">
            <v>203.67199999999997</v>
          </cell>
          <cell r="I63">
            <v>199.94499999999999</v>
          </cell>
          <cell r="J63">
            <v>247.88861801459262</v>
          </cell>
          <cell r="K63">
            <v>323.02949627916291</v>
          </cell>
          <cell r="L63">
            <v>383.04120030021824</v>
          </cell>
          <cell r="N63" t="str">
            <v>Avg Loans/Avg EA</v>
          </cell>
          <cell r="O63">
            <v>58.712289344609822</v>
          </cell>
          <cell r="P63">
            <v>60.623136978697254</v>
          </cell>
          <cell r="Q63" t="e">
            <v>#DIV/0!</v>
          </cell>
          <cell r="R63">
            <v>65.199873763795935</v>
          </cell>
          <cell r="S63">
            <v>69.331523279202571</v>
          </cell>
          <cell r="T63">
            <v>70.219447259833473</v>
          </cell>
          <cell r="U63">
            <v>73.850718003925863</v>
          </cell>
          <cell r="V63">
            <v>78.136100778758205</v>
          </cell>
          <cell r="W63">
            <v>81.498167424749838</v>
          </cell>
          <cell r="X63">
            <v>82.902538358273432</v>
          </cell>
        </row>
        <row r="64">
          <cell r="B64" t="str">
            <v>LLR/NPL (%)</v>
          </cell>
          <cell r="C64" t="str">
            <v>na</v>
          </cell>
          <cell r="D64" t="str">
            <v>na</v>
          </cell>
          <cell r="E64">
            <v>71.142228082830627</v>
          </cell>
          <cell r="F64">
            <v>90.12018268800314</v>
          </cell>
          <cell r="G64">
            <v>105.50413844996235</v>
          </cell>
          <cell r="H64">
            <v>172.24576092012344</v>
          </cell>
          <cell r="I64">
            <v>190.09069820505019</v>
          </cell>
          <cell r="J64">
            <v>178.31389503238833</v>
          </cell>
          <cell r="K64">
            <v>173.00079626653999</v>
          </cell>
          <cell r="L64">
            <v>173.47315061104169</v>
          </cell>
          <cell r="N64" t="str">
            <v>Avg Liquid Assets/AEA</v>
          </cell>
          <cell r="O64">
            <v>50.307254156280393</v>
          </cell>
          <cell r="P64">
            <v>49.600312429173265</v>
          </cell>
          <cell r="Q64" t="e">
            <v>#DIV/0!</v>
          </cell>
          <cell r="R64">
            <v>44.439836755522528</v>
          </cell>
          <cell r="S64">
            <v>40.241400170542455</v>
          </cell>
          <cell r="T64">
            <v>39.327503246948368</v>
          </cell>
          <cell r="U64">
            <v>38.845319872120569</v>
          </cell>
          <cell r="V64">
            <v>33.396788190572671</v>
          </cell>
          <cell r="W64">
            <v>29.810334599805937</v>
          </cell>
          <cell r="X64">
            <v>28.139000245887662</v>
          </cell>
        </row>
        <row r="65">
          <cell r="B65" t="str">
            <v>LLR/Total Credit (%)</v>
          </cell>
          <cell r="C65">
            <v>3.0002086490841178</v>
          </cell>
          <cell r="D65">
            <v>0</v>
          </cell>
          <cell r="E65">
            <v>0</v>
          </cell>
          <cell r="F65">
            <v>2.0620407984012981</v>
          </cell>
          <cell r="G65">
            <v>1.5421871472672413</v>
          </cell>
          <cell r="H65">
            <v>1.6710321580487015</v>
          </cell>
          <cell r="I65">
            <v>1.4073602947935728</v>
          </cell>
          <cell r="J65">
            <v>1.5041576025001209</v>
          </cell>
          <cell r="K65">
            <v>1.7658587359988664</v>
          </cell>
          <cell r="L65">
            <v>1.8694803017441208</v>
          </cell>
          <cell r="N65" t="str">
            <v>Avg Loans/Avg Deposits</v>
          </cell>
          <cell r="O65">
            <v>76.972618514414648</v>
          </cell>
          <cell r="P65">
            <v>77.792582965285959</v>
          </cell>
          <cell r="Q65">
            <v>78.114092812408288</v>
          </cell>
          <cell r="R65">
            <v>79.408398493824564</v>
          </cell>
          <cell r="S65">
            <v>84.437148797186509</v>
          </cell>
          <cell r="T65">
            <v>85.572736922391115</v>
          </cell>
          <cell r="U65">
            <v>88.984416101610691</v>
          </cell>
          <cell r="V65">
            <v>97.248569319071365</v>
          </cell>
          <cell r="W65">
            <v>103.33261068138917</v>
          </cell>
          <cell r="X65">
            <v>107.7378199983702</v>
          </cell>
        </row>
        <row r="66">
          <cell r="N66" t="str">
            <v>Avg Loans/Avg Depo &amp; Equity</v>
          </cell>
          <cell r="O66">
            <v>74.465563103114533</v>
          </cell>
          <cell r="P66">
            <v>75.354560553984413</v>
          </cell>
          <cell r="Q66">
            <v>76.989561943884127</v>
          </cell>
          <cell r="R66">
            <v>78.143501130686502</v>
          </cell>
          <cell r="S66">
            <v>82.734232873368512</v>
          </cell>
          <cell r="T66">
            <v>84.973529507091044</v>
          </cell>
          <cell r="U66">
            <v>91.204665133790286</v>
          </cell>
          <cell r="V66">
            <v>106.94101899370862</v>
          </cell>
          <cell r="W66">
            <v>122.7472594976844</v>
          </cell>
          <cell r="X66">
            <v>135.54607286339422</v>
          </cell>
        </row>
        <row r="67">
          <cell r="B67" t="str">
            <v>Specific Reserve</v>
          </cell>
          <cell r="C67">
            <v>0</v>
          </cell>
          <cell r="D67">
            <v>0</v>
          </cell>
          <cell r="E67">
            <v>45.429604999999995</v>
          </cell>
          <cell r="F67">
            <v>49.084660000000007</v>
          </cell>
          <cell r="G67">
            <v>51.95835000000001</v>
          </cell>
          <cell r="H67">
            <v>59.055494999999993</v>
          </cell>
          <cell r="I67">
            <v>69.303245000000004</v>
          </cell>
          <cell r="J67">
            <v>80.388004878434941</v>
          </cell>
          <cell r="K67">
            <v>89.050561599431873</v>
          </cell>
          <cell r="L67">
            <v>99.538819781888293</v>
          </cell>
          <cell r="N67" t="str">
            <v>Period-End Loans/Deposits</v>
          </cell>
          <cell r="O67">
            <v>75.960525534395558</v>
          </cell>
          <cell r="P67">
            <v>79.380293040215051</v>
          </cell>
          <cell r="Q67">
            <v>76.9861646038636</v>
          </cell>
          <cell r="R67">
            <v>81.656089590686094</v>
          </cell>
          <cell r="S67">
            <v>87.089448267279749</v>
          </cell>
          <cell r="T67">
            <v>84.183650540723647</v>
          </cell>
          <cell r="U67">
            <v>93.549060337773042</v>
          </cell>
          <cell r="V67">
            <v>100.77386731153848</v>
          </cell>
          <cell r="W67">
            <v>105.74355693808555</v>
          </cell>
          <cell r="X67">
            <v>109.57634232999278</v>
          </cell>
        </row>
        <row r="68">
          <cell r="B68" t="str">
            <v>Specific Reserve/NPLs (%)</v>
          </cell>
          <cell r="C68" t="str">
            <v>na</v>
          </cell>
          <cell r="D68" t="str">
            <v>na</v>
          </cell>
          <cell r="E68">
            <v>20.872875593271733</v>
          </cell>
          <cell r="F68">
            <v>20.721191534390062</v>
          </cell>
          <cell r="G68">
            <v>32.579853273137701</v>
          </cell>
          <cell r="H68">
            <v>49.943333756184188</v>
          </cell>
          <cell r="I68">
            <v>65.887630247946461</v>
          </cell>
          <cell r="J68">
            <v>57.82556044147433</v>
          </cell>
          <cell r="K68">
            <v>47.691675968099631</v>
          </cell>
          <cell r="L68">
            <v>45.07951797909768</v>
          </cell>
        </row>
        <row r="69">
          <cell r="B69" t="str">
            <v>General Reserve</v>
          </cell>
          <cell r="C69">
            <v>289.37106899999998</v>
          </cell>
          <cell r="D69">
            <v>0</v>
          </cell>
          <cell r="E69">
            <v>109.41074300000004</v>
          </cell>
          <cell r="F69">
            <v>164.39333999999994</v>
          </cell>
          <cell r="G69">
            <v>116.29964999999994</v>
          </cell>
          <cell r="H69">
            <v>144.61650499999996</v>
          </cell>
          <cell r="I69">
            <v>130.64175499999999</v>
          </cell>
          <cell r="J69">
            <v>167.50061313615768</v>
          </cell>
          <cell r="K69">
            <v>233.97893467973103</v>
          </cell>
          <cell r="L69">
            <v>283.50238051832991</v>
          </cell>
          <cell r="N69" t="str">
            <v>Capital Information</v>
          </cell>
        </row>
        <row r="70">
          <cell r="B70" t="str">
            <v>General Reserve/NPLs (%)</v>
          </cell>
          <cell r="C70" t="e">
            <v>#DIV/0!</v>
          </cell>
          <cell r="D70" t="e">
            <v>#DIV/0!</v>
          </cell>
          <cell r="E70">
            <v>50.269352489558891</v>
          </cell>
          <cell r="F70">
            <v>69.398991153613068</v>
          </cell>
          <cell r="G70">
            <v>72.92428517682464</v>
          </cell>
          <cell r="H70">
            <v>122.30242716393924</v>
          </cell>
          <cell r="I70">
            <v>124.20306795710374</v>
          </cell>
          <cell r="J70">
            <v>120.48833459091399</v>
          </cell>
          <cell r="K70">
            <v>125.30912029844035</v>
          </cell>
          <cell r="L70">
            <v>128.393632631944</v>
          </cell>
          <cell r="N70" t="str">
            <v>Tier 1 Ratio (%)</v>
          </cell>
          <cell r="O70" t="e">
            <v>#DIV/0!</v>
          </cell>
          <cell r="P70" t="e">
            <v>#DIV/0!</v>
          </cell>
          <cell r="Q70">
            <v>7.8373241707887118</v>
          </cell>
          <cell r="R70">
            <v>8.216046514029598</v>
          </cell>
          <cell r="S70">
            <v>8.6523002870867654</v>
          </cell>
          <cell r="T70">
            <v>8.4983037753636523</v>
          </cell>
          <cell r="U70">
            <v>8.3964456923819952</v>
          </cell>
          <cell r="V70">
            <v>9.1468956970532549</v>
          </cell>
          <cell r="W70">
            <v>8.7207738728041839</v>
          </cell>
          <cell r="X70">
            <v>8.9232470121791341</v>
          </cell>
        </row>
        <row r="71">
          <cell r="B71" t="str">
            <v>Net Charge-offs (NCO)</v>
          </cell>
          <cell r="C71">
            <v>1255.2463950000001</v>
          </cell>
          <cell r="D71">
            <v>1785.11</v>
          </cell>
          <cell r="E71">
            <v>0</v>
          </cell>
          <cell r="F71">
            <v>194.10000000000002</v>
          </cell>
          <cell r="G71">
            <v>228.39999999999998</v>
          </cell>
          <cell r="H71">
            <v>119.703</v>
          </cell>
          <cell r="I71">
            <v>90.47</v>
          </cell>
          <cell r="J71">
            <v>9.9256817423708057</v>
          </cell>
          <cell r="K71">
            <v>-2.0443160381159666</v>
          </cell>
          <cell r="L71">
            <v>40.903874314268691</v>
          </cell>
          <cell r="N71" t="str">
            <v>Tier 2 Ratio (%)</v>
          </cell>
          <cell r="O71" t="e">
            <v>#DIV/0!</v>
          </cell>
          <cell r="P71" t="e">
            <v>#DIV/0!</v>
          </cell>
          <cell r="Q71">
            <v>3.0218999170424858</v>
          </cell>
          <cell r="R71">
            <v>2.3749315818281334</v>
          </cell>
          <cell r="S71">
            <v>2.016230054733319</v>
          </cell>
          <cell r="T71">
            <v>2.8430503780786434</v>
          </cell>
          <cell r="U71">
            <v>2.9330492668150629</v>
          </cell>
          <cell r="V71">
            <v>3.3622370699359112</v>
          </cell>
          <cell r="W71">
            <v>3.2036798405554903</v>
          </cell>
          <cell r="X71">
            <v>3.2063717469526436</v>
          </cell>
        </row>
        <row r="72">
          <cell r="B72" t="str">
            <v>NCO/Avg Total Credit (%)</v>
          </cell>
          <cell r="C72" t="e">
            <v>#DIV/0!</v>
          </cell>
          <cell r="D72" t="e">
            <v>#DIV/0!</v>
          </cell>
          <cell r="E72">
            <v>0</v>
          </cell>
          <cell r="F72">
            <v>1.9503063298600405</v>
          </cell>
          <cell r="G72">
            <v>2.1483224330350894</v>
          </cell>
          <cell r="H72">
            <v>1.0364459643346842</v>
          </cell>
          <cell r="I72">
            <v>0.68549591939743948</v>
          </cell>
          <cell r="J72">
            <v>6.4689133877418883E-2</v>
          </cell>
          <cell r="K72">
            <v>-1.1757969599729957E-2</v>
          </cell>
          <cell r="L72">
            <v>0.21094129416293961</v>
          </cell>
          <cell r="N72" t="str">
            <v>Total CAR (%)</v>
          </cell>
          <cell r="O72" t="e">
            <v>#DIV/0!</v>
          </cell>
          <cell r="P72" t="e">
            <v>#DIV/0!</v>
          </cell>
          <cell r="Q72">
            <v>10.859224087831198</v>
          </cell>
          <cell r="R72">
            <v>10.590978095857732</v>
          </cell>
          <cell r="S72">
            <v>10.668530341820084</v>
          </cell>
          <cell r="T72">
            <v>11.341354153442296</v>
          </cell>
          <cell r="U72">
            <v>11.329494959197058</v>
          </cell>
          <cell r="V72">
            <v>12.509132766989167</v>
          </cell>
          <cell r="W72">
            <v>11.924453713359675</v>
          </cell>
          <cell r="X72">
            <v>12.129618759131777</v>
          </cell>
        </row>
        <row r="73">
          <cell r="B73" t="str">
            <v>LLPE/Avg Loans (%)</v>
          </cell>
          <cell r="C73">
            <v>2.3083701452266165</v>
          </cell>
          <cell r="D73">
            <v>1.0693968534494078</v>
          </cell>
          <cell r="E73">
            <v>1.8024323083332243</v>
          </cell>
          <cell r="F73">
            <v>2.1692581676476386</v>
          </cell>
          <cell r="G73">
            <v>1.8768588805967545</v>
          </cell>
          <cell r="H73">
            <v>1.2219865670668033</v>
          </cell>
          <cell r="I73">
            <v>0.34690725947678308</v>
          </cell>
          <cell r="J73">
            <v>0.3006831786040815</v>
          </cell>
          <cell r="K73">
            <v>0.31728644134335532</v>
          </cell>
          <cell r="L73">
            <v>0.46000844125405632</v>
          </cell>
        </row>
        <row r="74">
          <cell r="B74" t="str">
            <v>*Note: we have applied accounting change about reclassification of credit card income, starting from 2004.</v>
          </cell>
        </row>
      </sheetData>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IDUAL INCOME"/>
      <sheetName val="MAIN"/>
      <sheetName val="P&amp;L"/>
      <sheetName val="BS"/>
      <sheetName val="Update"/>
      <sheetName val="AFFILIATES"/>
      <sheetName val="Ratio"/>
      <sheetName val="Ace-In"/>
      <sheetName val="Ace-Out"/>
      <sheetName val="Cover"/>
      <sheetName val="PS 1yr forward"/>
      <sheetName val="FIM"/>
      <sheetName val="Annu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
          <cell r="B2" t="str">
            <v>KOREA EXCHANGE BANK (004940.KS)</v>
          </cell>
          <cell r="O2" t="str">
            <v>Foreign exchange rate</v>
          </cell>
          <cell r="W2">
            <v>950</v>
          </cell>
        </row>
        <row r="3">
          <cell r="O3" t="str">
            <v>Current share price</v>
          </cell>
          <cell r="W3">
            <v>15400</v>
          </cell>
          <cell r="X3">
            <v>16.210526315789473</v>
          </cell>
        </row>
        <row r="5">
          <cell r="B5" t="str">
            <v>Profit and Loss Statements</v>
          </cell>
          <cell r="O5" t="str">
            <v>Per Share Data and Valuations</v>
          </cell>
        </row>
        <row r="6">
          <cell r="B6" t="str">
            <v>Won billions, Year ending Dec 31</v>
          </cell>
          <cell r="C6">
            <v>2000</v>
          </cell>
          <cell r="D6">
            <v>2001</v>
          </cell>
          <cell r="E6">
            <v>2002</v>
          </cell>
          <cell r="F6">
            <v>2003</v>
          </cell>
          <cell r="G6">
            <v>2004</v>
          </cell>
          <cell r="H6">
            <v>2005</v>
          </cell>
          <cell r="I6">
            <v>2006</v>
          </cell>
          <cell r="J6">
            <v>2007</v>
          </cell>
          <cell r="K6" t="str">
            <v>2008E</v>
          </cell>
          <cell r="L6" t="str">
            <v>2009E</v>
          </cell>
          <cell r="M6" t="str">
            <v>2010E</v>
          </cell>
          <cell r="O6" t="str">
            <v>Won billions, Year ending Dec 31</v>
          </cell>
          <cell r="P6">
            <v>2000</v>
          </cell>
          <cell r="Q6">
            <v>2001</v>
          </cell>
          <cell r="R6">
            <v>2002</v>
          </cell>
          <cell r="S6">
            <v>2003</v>
          </cell>
          <cell r="T6">
            <v>2004</v>
          </cell>
          <cell r="U6">
            <v>2005</v>
          </cell>
          <cell r="V6">
            <v>2006</v>
          </cell>
          <cell r="W6">
            <v>2007</v>
          </cell>
          <cell r="X6" t="str">
            <v>2008E</v>
          </cell>
          <cell r="Y6" t="str">
            <v>2009E</v>
          </cell>
          <cell r="Z6" t="str">
            <v>2010E</v>
          </cell>
        </row>
        <row r="7">
          <cell r="B7" t="str">
            <v>Avg Earning Assets</v>
          </cell>
          <cell r="C7">
            <v>36712.699999999997</v>
          </cell>
          <cell r="D7">
            <v>39616.114000000001</v>
          </cell>
          <cell r="E7">
            <v>42159.420999999988</v>
          </cell>
          <cell r="F7">
            <v>48507.203999999998</v>
          </cell>
          <cell r="G7">
            <v>52412.587125000005</v>
          </cell>
          <cell r="H7">
            <v>51063.144948590008</v>
          </cell>
          <cell r="I7">
            <v>52715.690999999999</v>
          </cell>
          <cell r="J7">
            <v>58382.284</v>
          </cell>
          <cell r="K7">
            <v>67320.65325039516</v>
          </cell>
          <cell r="L7">
            <v>72942.624488928326</v>
          </cell>
          <cell r="M7">
            <v>79616.158262276629</v>
          </cell>
          <cell r="O7" t="str">
            <v>Book Value Per Share (Won)</v>
          </cell>
          <cell r="P7">
            <v>6359.8039330548954</v>
          </cell>
          <cell r="Q7">
            <v>7538.6002932977171</v>
          </cell>
          <cell r="R7">
            <v>8307.7824833441719</v>
          </cell>
          <cell r="S7">
            <v>4816.0286043251181</v>
          </cell>
          <cell r="T7">
            <v>4542.3460907824228</v>
          </cell>
          <cell r="U7">
            <v>8772.8471337346327</v>
          </cell>
          <cell r="V7">
            <v>9891.6071947422679</v>
          </cell>
          <cell r="W7">
            <v>10312.806023858087</v>
          </cell>
          <cell r="X7">
            <v>11262.703535205859</v>
          </cell>
          <cell r="Y7">
            <v>11981.349850223576</v>
          </cell>
          <cell r="Z7">
            <v>12811.132848086339</v>
          </cell>
        </row>
        <row r="8">
          <cell r="B8" t="str">
            <v>Net Interest Margin (%)</v>
          </cell>
          <cell r="C8">
            <v>1.7274648827245072</v>
          </cell>
          <cell r="D8">
            <v>2.4421123182349485</v>
          </cell>
          <cell r="E8">
            <v>2.1296948077156954</v>
          </cell>
          <cell r="F8">
            <v>2.1372474900841527</v>
          </cell>
          <cell r="G8">
            <v>2.8145910761507742</v>
          </cell>
          <cell r="H8">
            <v>3.2338862044191377</v>
          </cell>
          <cell r="I8">
            <v>3.4415844041577679</v>
          </cell>
          <cell r="J8">
            <v>3.2179282331605927</v>
          </cell>
          <cell r="K8">
            <v>3.0440189665379207</v>
          </cell>
          <cell r="L8">
            <v>2.9635093415166738</v>
          </cell>
          <cell r="M8">
            <v>2.9265281265900103</v>
          </cell>
          <cell r="O8" t="str">
            <v>Price/Book (x)</v>
          </cell>
          <cell r="P8">
            <v>2.4214582968444907</v>
          </cell>
          <cell r="Q8">
            <v>2.0428195422022246</v>
          </cell>
          <cell r="R8">
            <v>1.8536835829386042</v>
          </cell>
          <cell r="S8">
            <v>3.1976554263340051</v>
          </cell>
          <cell r="T8">
            <v>3.3903185033061489</v>
          </cell>
          <cell r="U8">
            <v>1.7554164304062327</v>
          </cell>
          <cell r="V8">
            <v>1.5568754093051365</v>
          </cell>
          <cell r="W8">
            <v>1.4932890199207645</v>
          </cell>
          <cell r="X8">
            <v>1.3673448787727962</v>
          </cell>
          <cell r="Y8">
            <v>1.2853309679220017</v>
          </cell>
          <cell r="Z8">
            <v>1.2020794868504054</v>
          </cell>
        </row>
        <row r="9">
          <cell r="B9" t="str">
            <v xml:space="preserve">  Interest Income</v>
          </cell>
          <cell r="C9">
            <v>3111.239</v>
          </cell>
          <cell r="D9">
            <v>2959.779</v>
          </cell>
          <cell r="E9">
            <v>2599.154</v>
          </cell>
          <cell r="F9">
            <v>2831.2449999999999</v>
          </cell>
          <cell r="G9">
            <v>3359.31</v>
          </cell>
          <cell r="H9">
            <v>3266.5879999999997</v>
          </cell>
          <cell r="I9">
            <v>3609.8820000000001</v>
          </cell>
          <cell r="J9">
            <v>4078.7869999999998</v>
          </cell>
          <cell r="K9">
            <v>4788.2914624435434</v>
          </cell>
          <cell r="L9">
            <v>5158.4657635521817</v>
          </cell>
          <cell r="M9">
            <v>5676.5189149493581</v>
          </cell>
          <cell r="O9" t="str">
            <v>ROAA (%)</v>
          </cell>
          <cell r="P9">
            <v>-0.91066181346477848</v>
          </cell>
          <cell r="Q9">
            <v>0.48101006795323614</v>
          </cell>
          <cell r="R9">
            <v>0.22451613115945976</v>
          </cell>
          <cell r="S9">
            <v>-0.34188071471153847</v>
          </cell>
          <cell r="T9">
            <v>0.85745426182357098</v>
          </cell>
          <cell r="U9">
            <v>3.0874113818980442</v>
          </cell>
          <cell r="V9">
            <v>1.5338648722701225</v>
          </cell>
          <cell r="W9">
            <v>1.3082044746523063</v>
          </cell>
          <cell r="X9">
            <v>1.251713008399344</v>
          </cell>
          <cell r="Y9">
            <v>1.2017417618017612</v>
          </cell>
          <cell r="Z9">
            <v>1.1749769273126944</v>
          </cell>
        </row>
        <row r="10">
          <cell r="B10" t="str">
            <v xml:space="preserve">  Interest Expense</v>
          </cell>
          <cell r="C10">
            <v>2477.04</v>
          </cell>
          <cell r="D10">
            <v>1992.309</v>
          </cell>
          <cell r="E10">
            <v>1662.325</v>
          </cell>
          <cell r="F10">
            <v>1642.17</v>
          </cell>
          <cell r="G10">
            <v>1640.1219999999998</v>
          </cell>
          <cell r="H10">
            <v>1495.93</v>
          </cell>
          <cell r="I10">
            <v>1669.625</v>
          </cell>
          <cell r="J10">
            <v>2066.5829999999996</v>
          </cell>
          <cell r="K10">
            <v>2594.1063408462878</v>
          </cell>
          <cell r="L10">
            <v>2836.5251686426323</v>
          </cell>
          <cell r="M10">
            <v>3175.0606901004385</v>
          </cell>
          <cell r="O10" t="str">
            <v>ROAE (Reported, %)</v>
          </cell>
          <cell r="Q10">
            <v>14.414239945438242</v>
          </cell>
          <cell r="R10">
            <v>6.4194049483209126</v>
          </cell>
          <cell r="S10">
            <v>-8.913414810808213</v>
          </cell>
          <cell r="T10">
            <v>17.753594726566831</v>
          </cell>
          <cell r="U10">
            <v>44.935687527010096</v>
          </cell>
          <cell r="V10">
            <v>16.71813750047561</v>
          </cell>
          <cell r="W10">
            <v>14.749772140583046</v>
          </cell>
          <cell r="X10">
            <v>15.025195637855997</v>
          </cell>
          <cell r="Y10">
            <v>14.787836583571535</v>
          </cell>
          <cell r="Z10">
            <v>14.760788744948862</v>
          </cell>
        </row>
        <row r="11">
          <cell r="B11" t="str">
            <v>Net Interest Income (NII)</v>
          </cell>
          <cell r="C11">
            <v>634.19900000000007</v>
          </cell>
          <cell r="D11">
            <v>967.47</v>
          </cell>
          <cell r="E11">
            <v>936.82899999999995</v>
          </cell>
          <cell r="F11">
            <v>1189.0749999999998</v>
          </cell>
          <cell r="G11">
            <v>1719.1880000000001</v>
          </cell>
          <cell r="H11">
            <v>1770.6579999999997</v>
          </cell>
          <cell r="I11">
            <v>1940.2570000000001</v>
          </cell>
          <cell r="J11">
            <v>2012.2040000000002</v>
          </cell>
          <cell r="K11">
            <v>2194.1851215972556</v>
          </cell>
          <cell r="L11">
            <v>2321.9405949095494</v>
          </cell>
          <cell r="M11">
            <v>2501.4582248489196</v>
          </cell>
          <cell r="O11" t="str">
            <v>ROAE (ModelWare, %)</v>
          </cell>
          <cell r="T11">
            <v>18.064650838069586</v>
          </cell>
          <cell r="U11">
            <v>45.393143333474221</v>
          </cell>
          <cell r="V11">
            <v>17.125752991392908</v>
          </cell>
          <cell r="W11">
            <v>15.207179390518654</v>
          </cell>
          <cell r="X11">
            <v>15.44281068225439</v>
          </cell>
          <cell r="Y11">
            <v>15.116290010729566</v>
          </cell>
          <cell r="Z11">
            <v>15.031798864181194</v>
          </cell>
        </row>
        <row r="12">
          <cell r="B12" t="str">
            <v>Loan Loss Prov Exp (LLPE)</v>
          </cell>
          <cell r="C12">
            <v>1169.6400000000001</v>
          </cell>
          <cell r="D12">
            <v>931.84600000000012</v>
          </cell>
          <cell r="E12">
            <v>518.70100000000002</v>
          </cell>
          <cell r="F12">
            <v>849.34999999999991</v>
          </cell>
          <cell r="G12">
            <v>814.35199999999998</v>
          </cell>
          <cell r="H12">
            <v>162.88460000000001</v>
          </cell>
          <cell r="I12">
            <v>246.06132583857186</v>
          </cell>
          <cell r="J12">
            <v>364.06299999999999</v>
          </cell>
          <cell r="K12">
            <v>350.56392236240004</v>
          </cell>
          <cell r="L12">
            <v>427.2330230767999</v>
          </cell>
          <cell r="M12">
            <v>509.98397544685997</v>
          </cell>
        </row>
        <row r="13">
          <cell r="B13" t="str">
            <v>NII After LLPE</v>
          </cell>
          <cell r="C13">
            <v>-535.44100000000003</v>
          </cell>
          <cell r="D13">
            <v>35.62399999999991</v>
          </cell>
          <cell r="E13">
            <v>418.12799999999993</v>
          </cell>
          <cell r="F13">
            <v>339.72499999999991</v>
          </cell>
          <cell r="G13">
            <v>904.83600000000013</v>
          </cell>
          <cell r="H13">
            <v>1607.7733999999996</v>
          </cell>
          <cell r="I13">
            <v>1694.1956741614281</v>
          </cell>
          <cell r="J13">
            <v>1648.1410000000001</v>
          </cell>
          <cell r="K13">
            <v>1843.6211992348556</v>
          </cell>
          <cell r="L13">
            <v>1894.7075718327496</v>
          </cell>
          <cell r="M13">
            <v>1991.4742494020597</v>
          </cell>
          <cell r="O13" t="str">
            <v>MW EPS Growth (%)</v>
          </cell>
          <cell r="Q13" t="e">
            <v>#DIV/0!</v>
          </cell>
          <cell r="R13" t="e">
            <v>#DIV/0!</v>
          </cell>
          <cell r="S13">
            <v>-162.10772695683815</v>
          </cell>
          <cell r="T13">
            <v>-345.86801650534034</v>
          </cell>
          <cell r="U13">
            <v>266.88942685998438</v>
          </cell>
          <cell r="V13">
            <v>-47.115641231051541</v>
          </cell>
          <cell r="W13">
            <v>-3.8764198392573168</v>
          </cell>
          <cell r="X13">
            <v>8.4407462584529025</v>
          </cell>
          <cell r="Y13">
            <v>5.4556057905387201</v>
          </cell>
          <cell r="Z13">
            <v>6.0654393286062591</v>
          </cell>
        </row>
        <row r="14">
          <cell r="O14" t="str">
            <v>Current P/MW EPS</v>
          </cell>
          <cell r="P14" t="e">
            <v>#DIV/0!</v>
          </cell>
          <cell r="Q14" t="e">
            <v>#DIV/0!</v>
          </cell>
          <cell r="R14">
            <v>28.549325690683752</v>
          </cell>
          <cell r="S14">
            <v>-45.96742964128142</v>
          </cell>
          <cell r="T14">
            <v>18.695977742303459</v>
          </cell>
          <cell r="U14">
            <v>5.0958071761055104</v>
          </cell>
          <cell r="V14">
            <v>9.6357548710556742</v>
          </cell>
          <cell r="W14">
            <v>10.024340390716077</v>
          </cell>
          <cell r="X14">
            <v>9.2440717503220657</v>
          </cell>
          <cell r="Y14">
            <v>8.7658419683094984</v>
          </cell>
          <cell r="Z14">
            <v>8.2645600902586533</v>
          </cell>
        </row>
        <row r="15">
          <cell r="B15" t="str">
            <v>Non-interest Income</v>
          </cell>
        </row>
        <row r="16">
          <cell r="B16" t="str">
            <v>Fees and Commissions</v>
          </cell>
          <cell r="C16">
            <v>300.05799999999999</v>
          </cell>
          <cell r="D16">
            <v>288.27000000000004</v>
          </cell>
          <cell r="E16">
            <v>308.07400000000007</v>
          </cell>
          <cell r="F16">
            <v>346.94299999999998</v>
          </cell>
          <cell r="G16">
            <v>266.459</v>
          </cell>
          <cell r="H16">
            <v>228.35299999999995</v>
          </cell>
          <cell r="I16">
            <v>272.14499999999998</v>
          </cell>
          <cell r="J16">
            <v>363.66500000000008</v>
          </cell>
          <cell r="K16">
            <v>336.3796280184452</v>
          </cell>
          <cell r="L16">
            <v>382.77942428588051</v>
          </cell>
          <cell r="M16">
            <v>418.12875868838552</v>
          </cell>
          <cell r="O16" t="str">
            <v>Gross Dividends</v>
          </cell>
          <cell r="P16">
            <v>0</v>
          </cell>
          <cell r="Q16">
            <v>0</v>
          </cell>
          <cell r="R16">
            <v>0</v>
          </cell>
          <cell r="S16">
            <v>0</v>
          </cell>
          <cell r="T16">
            <v>0</v>
          </cell>
          <cell r="U16">
            <v>0</v>
          </cell>
          <cell r="V16">
            <v>644.90682600000002</v>
          </cell>
          <cell r="W16">
            <v>451.43477819999998</v>
          </cell>
          <cell r="X16">
            <v>644.90682600000002</v>
          </cell>
          <cell r="Y16">
            <v>644.90682600000002</v>
          </cell>
          <cell r="Z16">
            <v>644.90682600000002</v>
          </cell>
        </row>
        <row r="17">
          <cell r="B17" t="str">
            <v>Dividend Income</v>
          </cell>
          <cell r="C17">
            <v>25.46</v>
          </cell>
          <cell r="D17">
            <v>3.754</v>
          </cell>
          <cell r="E17">
            <v>50.933999999999997</v>
          </cell>
          <cell r="F17">
            <v>11.128</v>
          </cell>
          <cell r="G17">
            <v>5.4390000000000001</v>
          </cell>
          <cell r="H17">
            <v>9.3149999999999995</v>
          </cell>
          <cell r="I17">
            <v>3.891</v>
          </cell>
          <cell r="J17">
            <v>7.1130000000000004</v>
          </cell>
          <cell r="K17">
            <v>7.7253544957749467</v>
          </cell>
          <cell r="L17">
            <v>8.2536132997818683</v>
          </cell>
          <cell r="M17">
            <v>8.8948642476165141</v>
          </cell>
          <cell r="O17" t="str">
            <v>Gross DPS (Won)</v>
          </cell>
          <cell r="P17">
            <v>0</v>
          </cell>
          <cell r="Q17">
            <v>0</v>
          </cell>
          <cell r="R17">
            <v>0</v>
          </cell>
          <cell r="S17">
            <v>0</v>
          </cell>
          <cell r="T17">
            <v>0</v>
          </cell>
          <cell r="U17">
            <v>0</v>
          </cell>
          <cell r="V17">
            <v>1000</v>
          </cell>
          <cell r="W17">
            <v>700</v>
          </cell>
          <cell r="X17">
            <v>1000</v>
          </cell>
          <cell r="Y17">
            <v>1000</v>
          </cell>
          <cell r="Z17">
            <v>1000</v>
          </cell>
        </row>
        <row r="18">
          <cell r="B18" t="str">
            <v>Forex Income</v>
          </cell>
          <cell r="C18">
            <v>213.63</v>
          </cell>
          <cell r="D18">
            <v>227.596</v>
          </cell>
          <cell r="E18">
            <v>207.27100000000019</v>
          </cell>
          <cell r="F18">
            <v>247.04000000000019</v>
          </cell>
          <cell r="G18">
            <v>282.65700000000015</v>
          </cell>
          <cell r="H18">
            <v>244.29699999999957</v>
          </cell>
          <cell r="I18">
            <v>286.25700000000006</v>
          </cell>
          <cell r="J18">
            <v>314.47500000000036</v>
          </cell>
          <cell r="K18">
            <v>363.23129083726963</v>
          </cell>
          <cell r="L18">
            <v>390.64922521676272</v>
          </cell>
          <cell r="M18">
            <v>415.63567083762064</v>
          </cell>
          <cell r="O18" t="str">
            <v>Dividend Yield (Current Price, %)</v>
          </cell>
          <cell r="P18">
            <v>0</v>
          </cell>
          <cell r="Q18">
            <v>0</v>
          </cell>
          <cell r="R18">
            <v>0</v>
          </cell>
          <cell r="S18">
            <v>0</v>
          </cell>
          <cell r="T18">
            <v>0</v>
          </cell>
          <cell r="U18">
            <v>0</v>
          </cell>
          <cell r="V18">
            <v>6.4935064935064926</v>
          </cell>
          <cell r="W18">
            <v>4.5454545454545459</v>
          </cell>
          <cell r="X18">
            <v>6.4935064935064926</v>
          </cell>
          <cell r="Y18">
            <v>6.4935064935064926</v>
          </cell>
          <cell r="Z18">
            <v>6.4935064935064926</v>
          </cell>
        </row>
        <row r="19">
          <cell r="B19" t="str">
            <v>Other trading income</v>
          </cell>
          <cell r="C19">
            <v>17.533999999999999</v>
          </cell>
          <cell r="D19">
            <v>36.623999999999995</v>
          </cell>
          <cell r="E19">
            <v>46.17</v>
          </cell>
          <cell r="F19">
            <v>18.995000000000001</v>
          </cell>
          <cell r="G19">
            <v>23.856999999999996</v>
          </cell>
          <cell r="H19">
            <v>34.296999999999997</v>
          </cell>
          <cell r="I19">
            <v>25.743999999999993</v>
          </cell>
          <cell r="J19">
            <v>23.488</v>
          </cell>
          <cell r="K19">
            <v>7.8047569760000037</v>
          </cell>
          <cell r="L19">
            <v>0</v>
          </cell>
          <cell r="M19">
            <v>0</v>
          </cell>
          <cell r="O19" t="str">
            <v>Dividend Payout Ratio (%)</v>
          </cell>
          <cell r="P19">
            <v>0</v>
          </cell>
          <cell r="Q19">
            <v>0</v>
          </cell>
          <cell r="R19">
            <v>0</v>
          </cell>
          <cell r="S19">
            <v>0</v>
          </cell>
          <cell r="T19">
            <v>0</v>
          </cell>
          <cell r="U19">
            <v>0</v>
          </cell>
          <cell r="V19">
            <v>64.095391615654336</v>
          </cell>
          <cell r="W19">
            <v>46.978211885175519</v>
          </cell>
          <cell r="X19">
            <v>61.694833812592698</v>
          </cell>
          <cell r="Y19">
            <v>58.185328258751831</v>
          </cell>
          <cell r="Z19">
            <v>54.104776421922594</v>
          </cell>
        </row>
        <row r="20">
          <cell r="B20" t="str">
            <v>Other Income</v>
          </cell>
          <cell r="C20">
            <v>-69.750999999999891</v>
          </cell>
          <cell r="D20">
            <v>19.853999999999957</v>
          </cell>
          <cell r="E20">
            <v>44.792000000000193</v>
          </cell>
          <cell r="F20">
            <v>-81.884999999999906</v>
          </cell>
          <cell r="G20">
            <v>-128.6449999999999</v>
          </cell>
          <cell r="H20">
            <v>-89.99339999999988</v>
          </cell>
          <cell r="I20">
            <v>345.64955525057127</v>
          </cell>
          <cell r="J20">
            <v>204.27499999999935</v>
          </cell>
          <cell r="K20">
            <v>27.75348673244476</v>
          </cell>
          <cell r="L20">
            <v>14.03765699995688</v>
          </cell>
          <cell r="M20">
            <v>15.442879168910792</v>
          </cell>
        </row>
        <row r="21">
          <cell r="B21" t="str">
            <v>Total Non-interest Income</v>
          </cell>
          <cell r="C21">
            <v>486.93100000000004</v>
          </cell>
          <cell r="D21">
            <v>576.09800000000007</v>
          </cell>
          <cell r="E21">
            <v>657.24100000000033</v>
          </cell>
          <cell r="F21">
            <v>542.22100000000023</v>
          </cell>
          <cell r="G21">
            <v>449.76700000000028</v>
          </cell>
          <cell r="H21">
            <v>426.26859999999959</v>
          </cell>
          <cell r="I21">
            <v>933.68655525057147</v>
          </cell>
          <cell r="J21">
            <v>913.01599999999985</v>
          </cell>
          <cell r="K21">
            <v>742.89451705993463</v>
          </cell>
          <cell r="L21">
            <v>795.71991980238204</v>
          </cell>
          <cell r="M21">
            <v>858.10217294253357</v>
          </cell>
          <cell r="O21" t="str">
            <v>Issued Shares (m)</v>
          </cell>
          <cell r="P21">
            <v>222.17493099999999</v>
          </cell>
          <cell r="Q21">
            <v>222.17493099999999</v>
          </cell>
          <cell r="R21">
            <v>222.17493099999999</v>
          </cell>
          <cell r="S21">
            <v>612.92493100000002</v>
          </cell>
          <cell r="T21">
            <v>644.90682600000002</v>
          </cell>
          <cell r="U21">
            <v>644.90682600000002</v>
          </cell>
          <cell r="V21">
            <v>644.90682600000002</v>
          </cell>
          <cell r="W21">
            <v>644.90682600000002</v>
          </cell>
          <cell r="X21">
            <v>644.90682600000002</v>
          </cell>
          <cell r="Y21">
            <v>644.90682600000002</v>
          </cell>
          <cell r="Z21">
            <v>644.90682600000002</v>
          </cell>
        </row>
        <row r="22">
          <cell r="O22" t="str">
            <v>Market Cap (Wonbn)</v>
          </cell>
          <cell r="P22">
            <v>3421.4939373999996</v>
          </cell>
          <cell r="Q22">
            <v>3421.4939373999996</v>
          </cell>
          <cell r="R22">
            <v>3421.4939373999996</v>
          </cell>
          <cell r="S22">
            <v>9439.0439373999998</v>
          </cell>
          <cell r="T22">
            <v>9931.5651204000005</v>
          </cell>
          <cell r="U22">
            <v>9931.5651204000005</v>
          </cell>
          <cell r="V22">
            <v>9931.5651204000005</v>
          </cell>
          <cell r="W22">
            <v>9931.5651204000005</v>
          </cell>
          <cell r="X22">
            <v>9931.5651204000005</v>
          </cell>
          <cell r="Y22">
            <v>9931.5651204000005</v>
          </cell>
          <cell r="Z22">
            <v>9931.5651204000005</v>
          </cell>
        </row>
        <row r="23">
          <cell r="B23" t="str">
            <v>Non-interest Expense</v>
          </cell>
          <cell r="O23" t="str">
            <v>Market Cap (US$mn)</v>
          </cell>
          <cell r="P23">
            <v>3601.5725656842101</v>
          </cell>
          <cell r="Q23">
            <v>3601.5725656842101</v>
          </cell>
          <cell r="R23">
            <v>3601.5725656842101</v>
          </cell>
          <cell r="S23">
            <v>9935.8357235789463</v>
          </cell>
          <cell r="T23">
            <v>10454.279074105263</v>
          </cell>
          <cell r="U23">
            <v>10454.279074105263</v>
          </cell>
          <cell r="V23">
            <v>10454.279074105263</v>
          </cell>
          <cell r="W23">
            <v>10454.279074105263</v>
          </cell>
          <cell r="X23">
            <v>10454.279074105263</v>
          </cell>
          <cell r="Y23">
            <v>10454.279074105263</v>
          </cell>
          <cell r="Z23">
            <v>10454.279074105263</v>
          </cell>
        </row>
        <row r="24">
          <cell r="B24" t="str">
            <v>Salaries &amp; Benefits</v>
          </cell>
          <cell r="C24">
            <v>330.74399999999997</v>
          </cell>
          <cell r="D24">
            <v>296.346</v>
          </cell>
          <cell r="E24">
            <v>376.01400000000001</v>
          </cell>
          <cell r="F24">
            <v>442.40499999999997</v>
          </cell>
          <cell r="G24">
            <v>555.26600000000008</v>
          </cell>
          <cell r="H24">
            <v>665.81100000000004</v>
          </cell>
          <cell r="I24">
            <v>692.58600000000001</v>
          </cell>
          <cell r="J24">
            <v>701.49199999999996</v>
          </cell>
          <cell r="K24">
            <v>727.13532962544184</v>
          </cell>
          <cell r="L24">
            <v>752.58506616233217</v>
          </cell>
          <cell r="M24">
            <v>789.27358813774583</v>
          </cell>
        </row>
        <row r="25">
          <cell r="B25" t="str">
            <v>Net Occupancy &amp; Equipment</v>
          </cell>
          <cell r="C25">
            <v>23.614999999999998</v>
          </cell>
          <cell r="D25">
            <v>25.864999999999998</v>
          </cell>
          <cell r="E25">
            <v>26.241</v>
          </cell>
          <cell r="F25">
            <v>29.361000000000001</v>
          </cell>
          <cell r="G25">
            <v>34.643000000000001</v>
          </cell>
          <cell r="H25">
            <v>35.158999999999999</v>
          </cell>
          <cell r="I25">
            <v>36.457999999999998</v>
          </cell>
          <cell r="J25">
            <v>47.923000000000002</v>
          </cell>
          <cell r="K25">
            <v>60.657370346506099</v>
          </cell>
          <cell r="L25">
            <v>64.377390966839414</v>
          </cell>
          <cell r="M25">
            <v>68.638005840010834</v>
          </cell>
          <cell r="O25" t="str">
            <v>PERFORMANCE RATIOS</v>
          </cell>
        </row>
        <row r="26">
          <cell r="B26" t="str">
            <v>Other Expenses</v>
          </cell>
          <cell r="C26">
            <v>178.61800000000002</v>
          </cell>
          <cell r="D26">
            <v>180.05699999999999</v>
          </cell>
          <cell r="E26">
            <v>201.26600000000002</v>
          </cell>
          <cell r="F26">
            <v>229.78499999999997</v>
          </cell>
          <cell r="G26">
            <v>311.34099999999995</v>
          </cell>
          <cell r="H26">
            <v>354.70499999999998</v>
          </cell>
          <cell r="I26">
            <v>382.24900000000002</v>
          </cell>
          <cell r="J26">
            <v>400.09599999999995</v>
          </cell>
          <cell r="K26">
            <v>420.01546579579383</v>
          </cell>
          <cell r="L26">
            <v>434.28580151384733</v>
          </cell>
          <cell r="M26">
            <v>455.89147191915924</v>
          </cell>
          <cell r="O26" t="str">
            <v>Won billions, Year ending Dec 31</v>
          </cell>
          <cell r="P26">
            <v>2000</v>
          </cell>
          <cell r="Q26">
            <v>2001</v>
          </cell>
          <cell r="R26">
            <v>2002</v>
          </cell>
          <cell r="S26">
            <v>2003</v>
          </cell>
          <cell r="T26">
            <v>2004</v>
          </cell>
          <cell r="U26">
            <v>2005</v>
          </cell>
          <cell r="V26">
            <v>2006</v>
          </cell>
          <cell r="W26">
            <v>2007</v>
          </cell>
          <cell r="X26" t="str">
            <v>2008E</v>
          </cell>
          <cell r="Y26" t="str">
            <v>2009E</v>
          </cell>
          <cell r="Z26" t="str">
            <v>2010E</v>
          </cell>
        </row>
        <row r="27">
          <cell r="B27" t="str">
            <v>Total Non-interest Expense</v>
          </cell>
          <cell r="C27">
            <v>532.97699999999998</v>
          </cell>
          <cell r="D27">
            <v>502.26800000000003</v>
          </cell>
          <cell r="E27">
            <v>603.52099999999996</v>
          </cell>
          <cell r="F27">
            <v>701.55099999999993</v>
          </cell>
          <cell r="G27">
            <v>901.25</v>
          </cell>
          <cell r="H27">
            <v>1055.675</v>
          </cell>
          <cell r="I27">
            <v>1111.2930000000001</v>
          </cell>
          <cell r="J27">
            <v>1149.511</v>
          </cell>
          <cell r="K27">
            <v>1207.8081657677417</v>
          </cell>
          <cell r="L27">
            <v>1251.2482586430187</v>
          </cell>
          <cell r="M27">
            <v>1313.803065896916</v>
          </cell>
          <cell r="O27" t="str">
            <v>Growth (%)</v>
          </cell>
        </row>
        <row r="28">
          <cell r="O28" t="str">
            <v>Net Interest Income</v>
          </cell>
          <cell r="P28">
            <v>-19.021230465532881</v>
          </cell>
          <cell r="Q28">
            <v>52.54990941329141</v>
          </cell>
          <cell r="R28">
            <v>-3.1671266292494948</v>
          </cell>
          <cell r="S28">
            <v>26.92551148608764</v>
          </cell>
          <cell r="T28">
            <v>44.58196497277298</v>
          </cell>
          <cell r="U28">
            <v>2.9938552386358896</v>
          </cell>
          <cell r="V28">
            <v>9.5783036588658277</v>
          </cell>
          <cell r="W28">
            <v>3.7081170174878997</v>
          </cell>
          <cell r="X28">
            <v>9.0438703827870004</v>
          </cell>
          <cell r="Y28">
            <v>5.8224564579717031</v>
          </cell>
          <cell r="Z28">
            <v>7.7313618760502134</v>
          </cell>
        </row>
        <row r="29">
          <cell r="B29" t="str">
            <v>Pre-tax Operating Profit</v>
          </cell>
          <cell r="C29">
            <v>-581.48699999999997</v>
          </cell>
          <cell r="D29">
            <v>109.45399999999995</v>
          </cell>
          <cell r="E29">
            <v>471.84800000000018</v>
          </cell>
          <cell r="F29">
            <v>180.39500000000021</v>
          </cell>
          <cell r="G29">
            <v>453.35300000000052</v>
          </cell>
          <cell r="H29">
            <v>978.36699999999928</v>
          </cell>
          <cell r="I29">
            <v>1516.5892294119994</v>
          </cell>
          <cell r="J29">
            <v>1411.6460000000002</v>
          </cell>
          <cell r="K29">
            <v>1378.7075505270486</v>
          </cell>
          <cell r="L29">
            <v>1439.1792329921127</v>
          </cell>
          <cell r="M29">
            <v>1535.7733564476771</v>
          </cell>
          <cell r="O29" t="str">
            <v>Non-interest Income</v>
          </cell>
          <cell r="P29">
            <v>0.99893179013306188</v>
          </cell>
          <cell r="Q29">
            <v>18.312040104244765</v>
          </cell>
          <cell r="R29">
            <v>14.084929994549578</v>
          </cell>
          <cell r="S29">
            <v>-17.500429827110608</v>
          </cell>
          <cell r="T29">
            <v>-17.05098105753925</v>
          </cell>
          <cell r="U29">
            <v>-5.2245718338607912</v>
          </cell>
          <cell r="V29">
            <v>119.03714119467685</v>
          </cell>
          <cell r="W29">
            <v>-2.2138645067052876</v>
          </cell>
          <cell r="X29">
            <v>-18.63291365540859</v>
          </cell>
          <cell r="Y29">
            <v>7.1107541554497278</v>
          </cell>
          <cell r="Z29">
            <v>7.8397249569476912</v>
          </cell>
        </row>
        <row r="30">
          <cell r="B30" t="str">
            <v>Associate Profit/Loss</v>
          </cell>
          <cell r="C30">
            <v>188.476</v>
          </cell>
          <cell r="D30">
            <v>31.629000000000005</v>
          </cell>
          <cell r="E30">
            <v>-446.303</v>
          </cell>
          <cell r="F30">
            <v>-387.858</v>
          </cell>
          <cell r="G30">
            <v>78.16500000000002</v>
          </cell>
          <cell r="H30">
            <v>656.75900000000001</v>
          </cell>
          <cell r="I30">
            <v>77.203999999999922</v>
          </cell>
          <cell r="J30">
            <v>104.94300000000001</v>
          </cell>
          <cell r="K30">
            <v>71.022365429628763</v>
          </cell>
          <cell r="L30">
            <v>89.602477400537282</v>
          </cell>
          <cell r="M30">
            <v>91.867395856376376</v>
          </cell>
          <cell r="O30" t="str">
            <v>Non-interest Expense</v>
          </cell>
          <cell r="P30">
            <v>-0.18465698934195807</v>
          </cell>
          <cell r="Q30">
            <v>-5.7617870940021687</v>
          </cell>
          <cell r="R30">
            <v>20.159158059044159</v>
          </cell>
          <cell r="S30">
            <v>16.24301391335181</v>
          </cell>
          <cell r="T30">
            <v>28.465357472229403</v>
          </cell>
          <cell r="U30">
            <v>17.134535367545077</v>
          </cell>
          <cell r="V30">
            <v>5.2684775143865492</v>
          </cell>
          <cell r="W30">
            <v>3.4390570263647779</v>
          </cell>
          <cell r="X30">
            <v>5.0714752418847375</v>
          </cell>
          <cell r="Y30">
            <v>3.5966053307533663</v>
          </cell>
          <cell r="Z30">
            <v>4.9993921527401897</v>
          </cell>
        </row>
        <row r="31">
          <cell r="O31" t="str">
            <v>Recurrent Net Profit After Tax (FD)</v>
          </cell>
          <cell r="P31">
            <v>-27.359481325597923</v>
          </cell>
          <cell r="Q31" t="str">
            <v>NM</v>
          </cell>
          <cell r="R31">
            <v>1108.9476323263045</v>
          </cell>
          <cell r="S31">
            <v>-91.092826962034252</v>
          </cell>
          <cell r="T31">
            <v>139.50726165169326</v>
          </cell>
          <cell r="U31">
            <v>159.24575507574684</v>
          </cell>
          <cell r="V31">
            <v>-17.062728308573394</v>
          </cell>
          <cell r="W31">
            <v>-6.5777606027194739</v>
          </cell>
          <cell r="X31">
            <v>11.141638884176185</v>
          </cell>
          <cell r="Y31">
            <v>4.9589946197865054</v>
          </cell>
          <cell r="Z31">
            <v>6.8507188816630427</v>
          </cell>
        </row>
        <row r="32">
          <cell r="B32" t="str">
            <v>Profit Before Tax</v>
          </cell>
          <cell r="C32">
            <v>-393.01099999999997</v>
          </cell>
          <cell r="D32">
            <v>141.08299999999997</v>
          </cell>
          <cell r="E32">
            <v>25.545000000000186</v>
          </cell>
          <cell r="F32">
            <v>-207.46299999999979</v>
          </cell>
          <cell r="G32">
            <v>531.51800000000048</v>
          </cell>
          <cell r="H32">
            <v>1635.1259999999993</v>
          </cell>
          <cell r="I32">
            <v>1593.7932294119994</v>
          </cell>
          <cell r="J32">
            <v>1516.5890000000002</v>
          </cell>
          <cell r="K32">
            <v>1449.7299159566774</v>
          </cell>
          <cell r="L32">
            <v>1528.78171039265</v>
          </cell>
          <cell r="M32">
            <v>1627.6407523040534</v>
          </cell>
          <cell r="O32" t="str">
            <v>Net Profit</v>
          </cell>
          <cell r="P32">
            <v>-49.712064156814492</v>
          </cell>
          <cell r="Q32" t="str">
            <v>NM</v>
          </cell>
          <cell r="R32">
            <v>-49.222860788956858</v>
          </cell>
          <cell r="S32" t="str">
            <v>NM</v>
          </cell>
          <cell r="T32" t="str">
            <v>NM</v>
          </cell>
          <cell r="U32">
            <v>269.5554402021192</v>
          </cell>
          <cell r="V32">
            <v>-47.848797564539367</v>
          </cell>
          <cell r="W32">
            <v>-4.4945043020757751</v>
          </cell>
          <cell r="X32">
            <v>8.7801475702137477</v>
          </cell>
          <cell r="Y32">
            <v>6.0315987876428112</v>
          </cell>
          <cell r="Z32">
            <v>6.4665243729278066</v>
          </cell>
        </row>
        <row r="33">
          <cell r="B33" t="str">
            <v>Effective Tax</v>
          </cell>
          <cell r="C33">
            <v>10.69199999999995</v>
          </cell>
          <cell r="D33">
            <v>-81.464000000000027</v>
          </cell>
          <cell r="E33">
            <v>-87.457999999999998</v>
          </cell>
          <cell r="F33">
            <v>6.3540000000000028</v>
          </cell>
          <cell r="G33">
            <v>9.4510000000000218</v>
          </cell>
          <cell r="H33">
            <v>-294.20099999999996</v>
          </cell>
          <cell r="I33">
            <v>587.62600000000032</v>
          </cell>
          <cell r="J33">
            <v>555.64400000000001</v>
          </cell>
          <cell r="K33">
            <v>404.41252688808657</v>
          </cell>
          <cell r="L33">
            <v>420.41497035797869</v>
          </cell>
          <cell r="M33">
            <v>447.60120688361474</v>
          </cell>
        </row>
        <row r="34">
          <cell r="B34" t="str">
            <v xml:space="preserve">Minority Interests </v>
          </cell>
          <cell r="C34">
            <v>0</v>
          </cell>
          <cell r="D34">
            <v>0</v>
          </cell>
          <cell r="E34">
            <v>0</v>
          </cell>
          <cell r="F34">
            <v>0</v>
          </cell>
          <cell r="G34">
            <v>0</v>
          </cell>
          <cell r="H34">
            <v>0</v>
          </cell>
          <cell r="I34">
            <v>0</v>
          </cell>
          <cell r="J34">
            <v>0</v>
          </cell>
          <cell r="K34">
            <v>0</v>
          </cell>
          <cell r="L34">
            <v>0</v>
          </cell>
          <cell r="M34">
            <v>0</v>
          </cell>
          <cell r="O34" t="str">
            <v>Gross Customer Loans</v>
          </cell>
          <cell r="P34">
            <v>13.448626783246297</v>
          </cell>
          <cell r="Q34">
            <v>5.7941481376583948</v>
          </cell>
          <cell r="R34">
            <v>17.684877542684795</v>
          </cell>
          <cell r="S34">
            <v>17.756274392575744</v>
          </cell>
          <cell r="T34">
            <v>-0.31568364188870879</v>
          </cell>
          <cell r="U34">
            <v>3.2719110218174086</v>
          </cell>
          <cell r="V34">
            <v>10.909531874610678</v>
          </cell>
          <cell r="W34">
            <v>19.097687920258231</v>
          </cell>
          <cell r="X34">
            <v>11.333472398255573</v>
          </cell>
          <cell r="Y34">
            <v>10.339612266927967</v>
          </cell>
          <cell r="Z34">
            <v>9.5663345878443486</v>
          </cell>
        </row>
        <row r="35">
          <cell r="B35" t="str">
            <v>Preference Dividend</v>
          </cell>
          <cell r="C35">
            <v>0</v>
          </cell>
          <cell r="D35">
            <v>0</v>
          </cell>
          <cell r="E35">
            <v>0</v>
          </cell>
          <cell r="F35">
            <v>0</v>
          </cell>
          <cell r="G35">
            <v>0</v>
          </cell>
          <cell r="H35">
            <v>0</v>
          </cell>
          <cell r="I35">
            <v>0</v>
          </cell>
          <cell r="J35">
            <v>0</v>
          </cell>
          <cell r="K35">
            <v>0</v>
          </cell>
          <cell r="L35">
            <v>0</v>
          </cell>
          <cell r="M35">
            <v>0</v>
          </cell>
          <cell r="O35" t="str">
            <v>Total Deposits</v>
          </cell>
          <cell r="P35">
            <v>12.088390396324765</v>
          </cell>
          <cell r="Q35">
            <v>11.744805229395272</v>
          </cell>
          <cell r="R35">
            <v>16.749648408063344</v>
          </cell>
          <cell r="S35">
            <v>8.3814316502333508</v>
          </cell>
          <cell r="T35">
            <v>-9.6353438610853548</v>
          </cell>
          <cell r="U35">
            <v>-1.0224840454303497</v>
          </cell>
          <cell r="V35">
            <v>1.2634286137036987</v>
          </cell>
          <cell r="W35">
            <v>15.435961347716365</v>
          </cell>
          <cell r="X35">
            <v>5.5110926965369789</v>
          </cell>
          <cell r="Y35">
            <v>5.7602407114864418</v>
          </cell>
          <cell r="Z35">
            <v>4.9906026842223339</v>
          </cell>
        </row>
        <row r="36">
          <cell r="B36" t="str">
            <v>Net Profit</v>
          </cell>
          <cell r="C36">
            <v>-403.70299999999992</v>
          </cell>
          <cell r="D36">
            <v>222.547</v>
          </cell>
          <cell r="E36">
            <v>113.00300000000018</v>
          </cell>
          <cell r="F36">
            <v>-213.81699999999981</v>
          </cell>
          <cell r="G36">
            <v>522.06700000000046</v>
          </cell>
          <cell r="H36">
            <v>1929.3269999999993</v>
          </cell>
          <cell r="I36">
            <v>1006.1672294119991</v>
          </cell>
          <cell r="J36">
            <v>960.94500000000016</v>
          </cell>
          <cell r="K36">
            <v>1045.3173890685907</v>
          </cell>
          <cell r="L36">
            <v>1108.3667400346712</v>
          </cell>
          <cell r="M36">
            <v>1180.0395454204386</v>
          </cell>
          <cell r="O36" t="str">
            <v>Avg Earning Assets</v>
          </cell>
          <cell r="P36">
            <v>9.5607706148527214</v>
          </cell>
          <cell r="Q36">
            <v>7.9084730896937794</v>
          </cell>
          <cell r="R36">
            <v>6.4198800518394661</v>
          </cell>
          <cell r="S36">
            <v>15.056618068829764</v>
          </cell>
          <cell r="T36">
            <v>8.0511404553435195</v>
          </cell>
          <cell r="U36">
            <v>-2.5746528657165535</v>
          </cell>
          <cell r="V36">
            <v>3.2362794204582546</v>
          </cell>
          <cell r="W36">
            <v>10.74934785546111</v>
          </cell>
          <cell r="X36">
            <v>15.310071203098463</v>
          </cell>
          <cell r="Y36">
            <v>8.3510348861627559</v>
          </cell>
          <cell r="Z36">
            <v>9.1490179029152685</v>
          </cell>
        </row>
        <row r="37">
          <cell r="B37" t="str">
            <v>EPS - Reported (Won)</v>
          </cell>
          <cell r="D37">
            <v>1001.6746668866977</v>
          </cell>
          <cell r="E37">
            <v>508.62174004681106</v>
          </cell>
          <cell r="F37">
            <v>-348.84696181496952</v>
          </cell>
          <cell r="G37">
            <v>809.52314187476202</v>
          </cell>
          <cell r="H37">
            <v>2991.6368104933026</v>
          </cell>
          <cell r="I37">
            <v>1560.1745691741198</v>
          </cell>
          <cell r="J37">
            <v>1490.0524560426968</v>
          </cell>
          <cell r="K37">
            <v>1620.8812605568401</v>
          </cell>
          <cell r="L37">
            <v>1718.6463150177158</v>
          </cell>
          <cell r="M37">
            <v>1829.7829978627617</v>
          </cell>
          <cell r="O37" t="str">
            <v>Total Interest-bearing Liab</v>
          </cell>
          <cell r="P37" t="e">
            <v>#DIV/0!</v>
          </cell>
          <cell r="Q37" t="e">
            <v>#DIV/0!</v>
          </cell>
          <cell r="R37" t="e">
            <v>#DIV/0!</v>
          </cell>
          <cell r="S37">
            <v>14.011510950011207</v>
          </cell>
          <cell r="T37">
            <v>6.052874003043951</v>
          </cell>
          <cell r="U37">
            <v>-3.5528831625834978</v>
          </cell>
          <cell r="V37">
            <v>-2.1371974215340095</v>
          </cell>
          <cell r="W37">
            <v>10.634975277782498</v>
          </cell>
          <cell r="X37">
            <v>15.49524352248528</v>
          </cell>
          <cell r="Y37">
            <v>10.527607182868582</v>
          </cell>
          <cell r="Z37">
            <v>9.8009460860920115</v>
          </cell>
        </row>
        <row r="38">
          <cell r="B38" t="str">
            <v>EPS - ModelWare (Won)</v>
          </cell>
          <cell r="E38">
            <v>539.41729366397419</v>
          </cell>
          <cell r="F38">
            <v>-335.01981990678689</v>
          </cell>
          <cell r="G38">
            <v>823.7065861045802</v>
          </cell>
          <cell r="H38">
            <v>3022.0923727670379</v>
          </cell>
          <cell r="I38">
            <v>1598.2141727431476</v>
          </cell>
          <cell r="J38">
            <v>1536.26068147711</v>
          </cell>
          <cell r="K38">
            <v>1665.9325474689722</v>
          </cell>
          <cell r="L38">
            <v>1756.8192599951587</v>
          </cell>
          <cell r="M38">
            <v>1863.3780663234345</v>
          </cell>
          <cell r="O38" t="str">
            <v>Risk-weighted Assets</v>
          </cell>
          <cell r="P38" t="e">
            <v>#DIV/0!</v>
          </cell>
          <cell r="Q38" t="e">
            <v>#DIV/0!</v>
          </cell>
          <cell r="R38">
            <v>15.122834520216589</v>
          </cell>
          <cell r="S38">
            <v>1.9168163590650877</v>
          </cell>
          <cell r="T38">
            <v>-5.4836337671249069E-2</v>
          </cell>
          <cell r="U38">
            <v>7.837236120366331</v>
          </cell>
          <cell r="V38">
            <v>11.559078801496314</v>
          </cell>
          <cell r="W38">
            <v>19.566478925163388</v>
          </cell>
          <cell r="X38">
            <v>11.134951677655947</v>
          </cell>
          <cell r="Y38">
            <v>10.3510817812009</v>
          </cell>
          <cell r="Z38">
            <v>6.7873011392924676</v>
          </cell>
        </row>
        <row r="40">
          <cell r="B40" t="str">
            <v>Selective Balance Sheet Data</v>
          </cell>
          <cell r="O40" t="str">
            <v>Revenue Breakdown (%)</v>
          </cell>
        </row>
        <row r="41">
          <cell r="B41" t="str">
            <v>Won billions, Year ending Dec 31</v>
          </cell>
          <cell r="C41">
            <v>2000</v>
          </cell>
          <cell r="D41">
            <v>2001</v>
          </cell>
          <cell r="E41">
            <v>2002</v>
          </cell>
          <cell r="F41">
            <v>2003</v>
          </cell>
          <cell r="G41">
            <v>2004</v>
          </cell>
          <cell r="H41">
            <v>2005</v>
          </cell>
          <cell r="I41">
            <v>2006</v>
          </cell>
          <cell r="J41">
            <v>2007</v>
          </cell>
          <cell r="K41" t="str">
            <v>2008E</v>
          </cell>
          <cell r="L41" t="str">
            <v>2009E</v>
          </cell>
          <cell r="M41" t="str">
            <v>2010E</v>
          </cell>
          <cell r="O41" t="str">
            <v>NII/Operating Income</v>
          </cell>
          <cell r="P41">
            <v>56.567837806498801</v>
          </cell>
          <cell r="Q41">
            <v>62.677510806132275</v>
          </cell>
          <cell r="R41">
            <v>58.769627431668617</v>
          </cell>
          <cell r="S41">
            <v>68.681207604014546</v>
          </cell>
          <cell r="T41">
            <v>79.263424091325078</v>
          </cell>
          <cell r="U41">
            <v>80.597048622380015</v>
          </cell>
          <cell r="V41">
            <v>67.512007897832021</v>
          </cell>
          <cell r="W41">
            <v>68.788125337581448</v>
          </cell>
          <cell r="X41">
            <v>74.70635432277281</v>
          </cell>
          <cell r="Y41">
            <v>74.477018390955052</v>
          </cell>
          <cell r="Z41">
            <v>74.457903078431244</v>
          </cell>
        </row>
        <row r="42">
          <cell r="B42" t="str">
            <v>Total Assets</v>
          </cell>
          <cell r="C42">
            <v>45518.736999999994</v>
          </cell>
          <cell r="D42">
            <v>49236.868000000002</v>
          </cell>
          <cell r="E42">
            <v>57521.608</v>
          </cell>
          <cell r="F42">
            <v>62603.330999999998</v>
          </cell>
          <cell r="G42">
            <v>61301.587</v>
          </cell>
          <cell r="H42">
            <v>64950.975999999995</v>
          </cell>
          <cell r="I42">
            <v>69441.466</v>
          </cell>
          <cell r="J42">
            <v>82024.917000000001</v>
          </cell>
          <cell r="K42">
            <v>89639.236733160506</v>
          </cell>
          <cell r="L42">
            <v>98917.867435454245</v>
          </cell>
          <cell r="M42">
            <v>105631.72097886464</v>
          </cell>
          <cell r="O42" t="str">
            <v>Non-interest Inc/Opg Income</v>
          </cell>
          <cell r="P42">
            <v>43.432162193501199</v>
          </cell>
          <cell r="Q42">
            <v>37.32248919386771</v>
          </cell>
          <cell r="R42">
            <v>41.230372568331397</v>
          </cell>
          <cell r="S42">
            <v>31.318792395985444</v>
          </cell>
          <cell r="T42">
            <v>20.736575908674922</v>
          </cell>
          <cell r="U42">
            <v>19.402951377619974</v>
          </cell>
          <cell r="V42">
            <v>32.487992102167986</v>
          </cell>
          <cell r="W42">
            <v>31.211874662418541</v>
          </cell>
          <cell r="X42">
            <v>25.2936456772272</v>
          </cell>
          <cell r="Y42">
            <v>25.522981609044937</v>
          </cell>
          <cell r="Z42">
            <v>25.542096921568746</v>
          </cell>
        </row>
        <row r="43">
          <cell r="B43" t="str">
            <v>RWA</v>
          </cell>
          <cell r="C43">
            <v>0</v>
          </cell>
          <cell r="D43">
            <v>35863.819000000003</v>
          </cell>
          <cell r="E43">
            <v>41287.445</v>
          </cell>
          <cell r="F43">
            <v>42078.849499999997</v>
          </cell>
          <cell r="G43">
            <v>42055.775000000001</v>
          </cell>
          <cell r="H43">
            <v>45351.785388999997</v>
          </cell>
          <cell r="I43">
            <v>50594.034</v>
          </cell>
          <cell r="J43">
            <v>60493.504999999997</v>
          </cell>
          <cell r="K43">
            <v>67229.427549870379</v>
          </cell>
          <cell r="L43">
            <v>74188.400576590677</v>
          </cell>
          <cell r="M43">
            <v>79223.790734148482</v>
          </cell>
          <cell r="O43" t="str">
            <v>Forex Income/Operating Income</v>
          </cell>
          <cell r="P43">
            <v>19.054882127853144</v>
          </cell>
          <cell r="Q43">
            <v>14.744799062950253</v>
          </cell>
          <cell r="R43">
            <v>13.002628491847922</v>
          </cell>
          <cell r="S43">
            <v>14.269079348649807</v>
          </cell>
          <cell r="T43">
            <v>13.03194395457721</v>
          </cell>
          <cell r="U43">
            <v>11.119943652191186</v>
          </cell>
          <cell r="V43">
            <v>9.9604252657301071</v>
          </cell>
          <cell r="W43">
            <v>10.750473468662197</v>
          </cell>
          <cell r="X43">
            <v>12.367090291202867</v>
          </cell>
          <cell r="Y43">
            <v>12.530204086472137</v>
          </cell>
          <cell r="Z43">
            <v>12.371727893651087</v>
          </cell>
        </row>
        <row r="44">
          <cell r="B44" t="str">
            <v>Total Liquid Assets</v>
          </cell>
          <cell r="C44">
            <v>16606.396999999997</v>
          </cell>
          <cell r="D44">
            <v>15954.6</v>
          </cell>
          <cell r="E44">
            <v>15466.677999999998</v>
          </cell>
          <cell r="F44">
            <v>18651.778999999999</v>
          </cell>
          <cell r="G44">
            <v>17873.575999999997</v>
          </cell>
          <cell r="H44">
            <v>19002.956000000002</v>
          </cell>
          <cell r="I44">
            <v>18286.859</v>
          </cell>
          <cell r="J44">
            <v>19457.932000000001</v>
          </cell>
          <cell r="K44">
            <v>19043.650912419842</v>
          </cell>
          <cell r="L44">
            <v>21384.325970443093</v>
          </cell>
          <cell r="M44">
            <v>20975.087018708524</v>
          </cell>
        </row>
        <row r="45">
          <cell r="B45" t="str">
            <v>Gross Customer Loans</v>
          </cell>
          <cell r="C45">
            <v>27490.632999999998</v>
          </cell>
          <cell r="D45">
            <v>29083.481</v>
          </cell>
          <cell r="E45">
            <v>34226.858999999997</v>
          </cell>
          <cell r="F45">
            <v>40304.274000000005</v>
          </cell>
          <cell r="G45">
            <v>40177.040000000001</v>
          </cell>
          <cell r="H45">
            <v>41491.596999999994</v>
          </cell>
          <cell r="I45">
            <v>46018.135999999999</v>
          </cell>
          <cell r="J45">
            <v>54806.536</v>
          </cell>
          <cell r="K45">
            <v>61018.019630000003</v>
          </cell>
          <cell r="L45">
            <v>67327.046272699998</v>
          </cell>
          <cell r="M45">
            <v>73767.776787259267</v>
          </cell>
          <cell r="O45" t="str">
            <v>Efficiency (%)</v>
          </cell>
        </row>
        <row r="46">
          <cell r="B46" t="str">
            <v>Total Customer Deposits</v>
          </cell>
          <cell r="C46">
            <v>21442.289000000001</v>
          </cell>
          <cell r="D46">
            <v>24772.7</v>
          </cell>
          <cell r="E46">
            <v>31516.885999999999</v>
          </cell>
          <cell r="F46">
            <v>31035.050999999999</v>
          </cell>
          <cell r="G46">
            <v>27983.25</v>
          </cell>
          <cell r="H46">
            <v>27493.97</v>
          </cell>
          <cell r="I46">
            <v>26836.47</v>
          </cell>
          <cell r="J46">
            <v>29603.906999999999</v>
          </cell>
          <cell r="K46">
            <v>30195.985140000001</v>
          </cell>
          <cell r="L46">
            <v>31403.8245456</v>
          </cell>
          <cell r="M46">
            <v>32659.977527424002</v>
          </cell>
          <cell r="O46" t="str">
            <v>Cost/Income</v>
          </cell>
          <cell r="P46">
            <v>47.539268416686731</v>
          </cell>
          <cell r="Q46">
            <v>32.539415173157252</v>
          </cell>
          <cell r="R46">
            <v>37.860382542799243</v>
          </cell>
          <cell r="S46">
            <v>37.9</v>
          </cell>
          <cell r="T46">
            <v>41.552268258216507</v>
          </cell>
          <cell r="U46">
            <v>48.052356414638538</v>
          </cell>
          <cell r="V46">
            <v>38.667878426829766</v>
          </cell>
          <cell r="W46">
            <v>39.296565728389652</v>
          </cell>
          <cell r="X46">
            <v>41.122758466295529</v>
          </cell>
          <cell r="Y46">
            <v>40.134204886596919</v>
          </cell>
          <cell r="Z46">
            <v>39.106398169254497</v>
          </cell>
        </row>
        <row r="47">
          <cell r="B47" t="str">
            <v>Certificates of Deposits</v>
          </cell>
          <cell r="C47">
            <v>62.791999999997643</v>
          </cell>
          <cell r="D47">
            <v>566.82499999999709</v>
          </cell>
          <cell r="E47">
            <v>367.52400000000489</v>
          </cell>
          <cell r="F47">
            <v>2184.1050000000032</v>
          </cell>
          <cell r="G47">
            <v>3327.7129999999961</v>
          </cell>
          <cell r="H47">
            <v>2987.2459999999992</v>
          </cell>
          <cell r="I47">
            <v>3971.6579999999958</v>
          </cell>
          <cell r="J47">
            <v>5571.4760000000024</v>
          </cell>
          <cell r="K47">
            <v>7242.9188000000031</v>
          </cell>
          <cell r="L47">
            <v>8546.6441840000025</v>
          </cell>
          <cell r="M47">
            <v>9572.2414860800036</v>
          </cell>
          <cell r="O47" t="str">
            <v>Expenses/Avg Assets</v>
          </cell>
          <cell r="P47">
            <v>1.2165157423987281</v>
          </cell>
          <cell r="Q47">
            <v>1.0601335931526161</v>
          </cell>
          <cell r="R47">
            <v>1.1306287287203314</v>
          </cell>
          <cell r="S47">
            <v>1.1680355567131651</v>
          </cell>
          <cell r="T47">
            <v>1.4547445162749715</v>
          </cell>
          <cell r="U47">
            <v>1.672322485841337</v>
          </cell>
          <cell r="V47">
            <v>1.6538028232272173</v>
          </cell>
          <cell r="W47">
            <v>1.5178430714886746</v>
          </cell>
          <cell r="X47">
            <v>1.4071757434521734</v>
          </cell>
          <cell r="Y47">
            <v>1.3271823028466816</v>
          </cell>
          <cell r="Z47">
            <v>1.2845814807857585</v>
          </cell>
        </row>
        <row r="48">
          <cell r="B48" t="str">
            <v>Other Interest Bearing Liability</v>
          </cell>
          <cell r="C48">
            <v>9181.3920000000035</v>
          </cell>
          <cell r="D48">
            <v>8357.7680000000037</v>
          </cell>
          <cell r="E48">
            <v>9534.3839999999982</v>
          </cell>
          <cell r="F48">
            <v>10342.241000000002</v>
          </cell>
          <cell r="G48">
            <v>12714.219000000005</v>
          </cell>
          <cell r="H48">
            <v>12671.106</v>
          </cell>
          <cell r="I48">
            <v>13874.025999999998</v>
          </cell>
          <cell r="J48">
            <v>17405.954000000005</v>
          </cell>
          <cell r="K48">
            <v>19560.109398707296</v>
          </cell>
          <cell r="L48">
            <v>24988.28810153294</v>
          </cell>
          <cell r="M48">
            <v>27950.067377516527</v>
          </cell>
        </row>
        <row r="49">
          <cell r="B49" t="str">
            <v>EOP Shareholders' Equity</v>
          </cell>
          <cell r="C49">
            <v>1412.989</v>
          </cell>
          <cell r="D49">
            <v>1674.8879999999999</v>
          </cell>
          <cell r="E49">
            <v>1845.7809999999999</v>
          </cell>
          <cell r="F49">
            <v>2951.8639999999996</v>
          </cell>
          <cell r="G49">
            <v>2929.3900000000003</v>
          </cell>
          <cell r="H49">
            <v>5657.6689999999999</v>
          </cell>
          <cell r="I49">
            <v>6379.165</v>
          </cell>
          <cell r="J49">
            <v>6650.799</v>
          </cell>
          <cell r="K49">
            <v>7263.3943890685905</v>
          </cell>
          <cell r="L49">
            <v>7726.8543031032614</v>
          </cell>
          <cell r="M49">
            <v>8261.9870225237009</v>
          </cell>
          <cell r="O49" t="str">
            <v>Rev Per Employee</v>
          </cell>
          <cell r="P49">
            <v>5.6577008477997584E-2</v>
          </cell>
          <cell r="Q49">
            <v>8.0669366850453381E-2</v>
          </cell>
          <cell r="R49">
            <v>0.1320195453227877</v>
          </cell>
          <cell r="S49">
            <v>0.32132442464736455</v>
          </cell>
          <cell r="T49">
            <v>0.40746853278226569</v>
          </cell>
          <cell r="U49">
            <v>0.41451445283018856</v>
          </cell>
          <cell r="V49">
            <v>0.53015007475568554</v>
          </cell>
          <cell r="W49">
            <v>0.52105806911293195</v>
          </cell>
          <cell r="X49">
            <v>0.51401463749688314</v>
          </cell>
          <cell r="Y49">
            <v>0.54561787096813641</v>
          </cell>
          <cell r="Z49">
            <v>0.58795246723686623</v>
          </cell>
        </row>
        <row r="50">
          <cell r="O50" t="str">
            <v>Exp Per Employee</v>
          </cell>
          <cell r="P50">
            <v>2.6896295922486879E-2</v>
          </cell>
          <cell r="Q50">
            <v>2.6249340197026315E-2</v>
          </cell>
          <cell r="R50">
            <v>4.9983104890471648E-2</v>
          </cell>
          <cell r="S50">
            <v>0.1302061989606533</v>
          </cell>
          <cell r="T50">
            <v>0.16931241780950593</v>
          </cell>
          <cell r="U50">
            <v>0.19918396226415094</v>
          </cell>
          <cell r="V50">
            <v>0.20499778638627561</v>
          </cell>
          <cell r="W50">
            <v>0.20475792661204131</v>
          </cell>
          <cell r="X50">
            <v>0.21137699785924777</v>
          </cell>
          <cell r="Y50">
            <v>0.21897939423223989</v>
          </cell>
          <cell r="Z50">
            <v>0.22992703288360447</v>
          </cell>
        </row>
        <row r="51">
          <cell r="B51" t="str">
            <v>Avg Loans</v>
          </cell>
          <cell r="C51">
            <v>25861.211499999998</v>
          </cell>
          <cell r="D51">
            <v>28287.057000000001</v>
          </cell>
          <cell r="E51">
            <v>31655.17</v>
          </cell>
          <cell r="F51">
            <v>37265.566500000001</v>
          </cell>
          <cell r="G51">
            <v>40240.657000000007</v>
          </cell>
          <cell r="H51">
            <v>40834.318499999994</v>
          </cell>
          <cell r="I51">
            <v>43754.866499999996</v>
          </cell>
          <cell r="J51">
            <v>50412.335999999996</v>
          </cell>
          <cell r="K51">
            <v>57912.277815000001</v>
          </cell>
          <cell r="L51">
            <v>64172.532951350004</v>
          </cell>
          <cell r="M51">
            <v>70547.411529979639</v>
          </cell>
          <cell r="O51" t="str">
            <v>Rev Per Branch</v>
          </cell>
          <cell r="P51">
            <v>0.98215505913272017</v>
          </cell>
          <cell r="Q51">
            <v>1.3528203330411921</v>
          </cell>
          <cell r="R51">
            <v>2.2870444763271163</v>
          </cell>
          <cell r="S51">
            <v>6.533192452830189</v>
          </cell>
          <cell r="T51">
            <v>8.1234269662921363</v>
          </cell>
          <cell r="U51">
            <v>7.9454849909584064</v>
          </cell>
          <cell r="V51">
            <v>9.8760946915827201</v>
          </cell>
          <cell r="W51">
            <v>9.6224342105263165</v>
          </cell>
          <cell r="X51">
            <v>9.4137167905679178</v>
          </cell>
          <cell r="Y51">
            <v>9.9925016497177293</v>
          </cell>
          <cell r="Z51">
            <v>10.767821787793119</v>
          </cell>
        </row>
        <row r="52">
          <cell r="B52" t="str">
            <v>Avg Total Assets</v>
          </cell>
          <cell r="C52">
            <v>43811.763500000001</v>
          </cell>
          <cell r="D52">
            <v>47377.802499999998</v>
          </cell>
          <cell r="E52">
            <v>53379.237999999998</v>
          </cell>
          <cell r="F52">
            <v>60062.469499999999</v>
          </cell>
          <cell r="G52">
            <v>61952.459000000003</v>
          </cell>
          <cell r="H52">
            <v>63126.281499999997</v>
          </cell>
          <cell r="I52">
            <v>67196.22099999999</v>
          </cell>
          <cell r="J52">
            <v>75733.191500000001</v>
          </cell>
          <cell r="K52">
            <v>85832.076866580261</v>
          </cell>
          <cell r="L52">
            <v>94278.552084307375</v>
          </cell>
          <cell r="M52">
            <v>102274.79420715944</v>
          </cell>
          <cell r="O52" t="str">
            <v>Exp Per Branch</v>
          </cell>
          <cell r="P52">
            <v>0.4669093298291721</v>
          </cell>
          <cell r="Q52">
            <v>0.44019982471516217</v>
          </cell>
          <cell r="R52">
            <v>0.86588378766140595</v>
          </cell>
          <cell r="S52">
            <v>2.6473622641509431</v>
          </cell>
          <cell r="T52">
            <v>3.3754681647940075</v>
          </cell>
          <cell r="U52">
            <v>3.817992766726944</v>
          </cell>
          <cell r="V52">
            <v>3.8188762886597942</v>
          </cell>
          <cell r="W52">
            <v>3.7812861842105261</v>
          </cell>
          <cell r="X52">
            <v>3.8711800184863514</v>
          </cell>
          <cell r="Y52">
            <v>4.0104110853942911</v>
          </cell>
          <cell r="Z52">
            <v>4.2109072624901156</v>
          </cell>
        </row>
        <row r="53">
          <cell r="B53" t="str">
            <v>Avg Total Deposits</v>
          </cell>
          <cell r="C53">
            <v>28434.497499999998</v>
          </cell>
          <cell r="D53">
            <v>31820.137999999999</v>
          </cell>
          <cell r="E53">
            <v>36397.792000000001</v>
          </cell>
          <cell r="F53">
            <v>40853.684999999998</v>
          </cell>
          <cell r="G53">
            <v>40449.5245</v>
          </cell>
          <cell r="H53">
            <v>38205.835999999996</v>
          </cell>
          <cell r="I53">
            <v>38249.619500000001</v>
          </cell>
          <cell r="J53">
            <v>41460.361000000004</v>
          </cell>
          <cell r="K53">
            <v>45655.307549999998</v>
          </cell>
          <cell r="L53">
            <v>48229.8136964</v>
          </cell>
          <cell r="M53">
            <v>50817.173780384008</v>
          </cell>
          <cell r="O53" t="str">
            <v>Net Profit Per Branch</v>
          </cell>
          <cell r="P53">
            <v>-0.35366009636443269</v>
          </cell>
          <cell r="Q53">
            <v>0.19504557405784401</v>
          </cell>
          <cell r="R53">
            <v>0.16212769010043068</v>
          </cell>
          <cell r="S53">
            <v>-0.80685660377358415</v>
          </cell>
          <cell r="T53">
            <v>1.9553071161048707</v>
          </cell>
          <cell r="U53">
            <v>6.9776745027124747</v>
          </cell>
          <cell r="V53">
            <v>3.4576193450584163</v>
          </cell>
          <cell r="W53">
            <v>3.1610032894736846</v>
          </cell>
          <cell r="X53">
            <v>3.3503762470147138</v>
          </cell>
          <cell r="Y53">
            <v>3.5524575001111258</v>
          </cell>
          <cell r="Z53">
            <v>3.7821780301937133</v>
          </cell>
        </row>
        <row r="54">
          <cell r="B54" t="str">
            <v>Avg Shareholders' Equity</v>
          </cell>
          <cell r="D54">
            <v>1543.9385</v>
          </cell>
          <cell r="E54">
            <v>1760.3344999999999</v>
          </cell>
          <cell r="F54">
            <v>2398.8224999999998</v>
          </cell>
          <cell r="G54">
            <v>2940.627</v>
          </cell>
          <cell r="H54">
            <v>4293.5295000000006</v>
          </cell>
          <cell r="I54">
            <v>6018.4169999999995</v>
          </cell>
          <cell r="J54">
            <v>6514.982</v>
          </cell>
          <cell r="K54">
            <v>6957.0966945342952</v>
          </cell>
          <cell r="L54">
            <v>7495.1243460859259</v>
          </cell>
          <cell r="M54">
            <v>7994.4206628134816</v>
          </cell>
        </row>
        <row r="55">
          <cell r="B55" t="str">
            <v>Avg Equity/Avg Assets (%)</v>
          </cell>
          <cell r="C55">
            <v>3.2875428536447751</v>
          </cell>
          <cell r="D55">
            <v>3.2587803117293168</v>
          </cell>
          <cell r="E55">
            <v>3.2977887395095449</v>
          </cell>
          <cell r="F55">
            <v>3.9938792393476259</v>
          </cell>
          <cell r="G55">
            <v>4.7465864107185798</v>
          </cell>
          <cell r="H55">
            <v>6.8014928140508326</v>
          </cell>
          <cell r="I55">
            <v>8.9564813473662461</v>
          </cell>
          <cell r="J55">
            <v>8.6025451601362928</v>
          </cell>
          <cell r="K55">
            <v>8.1054740238298066</v>
          </cell>
          <cell r="L55">
            <v>7.9499782085998811</v>
          </cell>
          <cell r="M55">
            <v>7.8166088964409335</v>
          </cell>
          <cell r="O55" t="str">
            <v>Net Interest Margin Analysis (%)</v>
          </cell>
        </row>
        <row r="56">
          <cell r="B56" t="str">
            <v>Avg EA/Avg Assets (%)</v>
          </cell>
          <cell r="C56">
            <v>83.796444304279134</v>
          </cell>
          <cell r="D56">
            <v>83.61745777466146</v>
          </cell>
          <cell r="E56">
            <v>78.980934497416371</v>
          </cell>
          <cell r="F56">
            <v>80.761254746610106</v>
          </cell>
          <cell r="G56">
            <v>84.601302306660671</v>
          </cell>
          <cell r="H56">
            <v>80.890468653044309</v>
          </cell>
          <cell r="I56">
            <v>78.450380416482062</v>
          </cell>
          <cell r="J56">
            <v>77.089427823730361</v>
          </cell>
          <cell r="K56">
            <v>78.432977166613639</v>
          </cell>
          <cell r="L56">
            <v>77.369266791136468</v>
          </cell>
          <cell r="M56">
            <v>77.845337044641383</v>
          </cell>
          <cell r="O56" t="str">
            <v>Int Income/Avg EA</v>
          </cell>
          <cell r="P56">
            <v>8.4745578505530794</v>
          </cell>
          <cell r="Q56">
            <v>7.471149239927974</v>
          </cell>
          <cell r="R56">
            <v>6.1475867991640616</v>
          </cell>
          <cell r="S56">
            <v>5.655518714292417</v>
          </cell>
          <cell r="T56">
            <v>6.0519203000513961</v>
          </cell>
          <cell r="U56">
            <v>6.2765934281208029</v>
          </cell>
          <cell r="V56">
            <v>6.7143272389239854</v>
          </cell>
          <cell r="W56">
            <v>6.847465919627262</v>
          </cell>
          <cell r="X56">
            <v>6.9734438723616927</v>
          </cell>
          <cell r="Y56">
            <v>6.9264383358071431</v>
          </cell>
          <cell r="Z56">
            <v>6.9832119417846119</v>
          </cell>
        </row>
        <row r="57">
          <cell r="B57" t="str">
            <v>Avg Loans/Avg EA (%)</v>
          </cell>
          <cell r="C57">
            <v>70.442139913435952</v>
          </cell>
          <cell r="D57">
            <v>71.402906908032421</v>
          </cell>
          <cell r="E57">
            <v>75.084451468154668</v>
          </cell>
          <cell r="F57">
            <v>76.824808331562465</v>
          </cell>
          <cell r="G57">
            <v>76.776704237150355</v>
          </cell>
          <cell r="H57">
            <v>79.968279550959267</v>
          </cell>
          <cell r="I57">
            <v>83.001599087451964</v>
          </cell>
          <cell r="J57">
            <v>86.348687557341876</v>
          </cell>
          <cell r="K57">
            <v>86.024533362144794</v>
          </cell>
          <cell r="L57">
            <v>87.976726092561279</v>
          </cell>
          <cell r="M57">
            <v>88.609414307052916</v>
          </cell>
          <cell r="O57" t="str">
            <v>Int Exp/Avg Int Bearing Liab.</v>
          </cell>
          <cell r="P57" t="e">
            <v>#DIV/0!</v>
          </cell>
          <cell r="Q57" t="e">
            <v>#DIV/0!</v>
          </cell>
          <cell r="R57">
            <v>3.8461260756095093</v>
          </cell>
          <cell r="S57">
            <v>3.3987363606887526</v>
          </cell>
          <cell r="T57">
            <v>3.1862653599176936</v>
          </cell>
          <cell r="U57">
            <v>3.0250875783727933</v>
          </cell>
          <cell r="V57">
            <v>3.4324511330288514</v>
          </cell>
          <cell r="W57">
            <v>3.8105926627199742</v>
          </cell>
          <cell r="X57">
            <v>4.118825109340853</v>
          </cell>
          <cell r="Y57">
            <v>4.0721422890351553</v>
          </cell>
          <cell r="Z57">
            <v>4.143731085616758</v>
          </cell>
        </row>
        <row r="58">
          <cell r="O58" t="str">
            <v xml:space="preserve">Net Interest Spread </v>
          </cell>
          <cell r="P58">
            <v>0</v>
          </cell>
          <cell r="Q58">
            <v>0</v>
          </cell>
          <cell r="R58">
            <v>2.3014607235545519</v>
          </cell>
          <cell r="S58">
            <v>2.2567823536036649</v>
          </cell>
          <cell r="T58">
            <v>2.865654940133703</v>
          </cell>
          <cell r="U58">
            <v>3.2515058497480092</v>
          </cell>
          <cell r="V58">
            <v>3.281876105895134</v>
          </cell>
          <cell r="W58">
            <v>3.0368732569072874</v>
          </cell>
          <cell r="X58">
            <v>2.8546187630208393</v>
          </cell>
          <cell r="Y58">
            <v>2.8542960467719882</v>
          </cell>
          <cell r="Z58">
            <v>2.839480856167854</v>
          </cell>
        </row>
        <row r="59">
          <cell r="B59" t="str">
            <v>Asset Quality</v>
          </cell>
          <cell r="O59" t="str">
            <v>Contribution From Free Funds</v>
          </cell>
          <cell r="P59">
            <v>1.7274648827245072</v>
          </cell>
          <cell r="Q59">
            <v>2.4421123182349485</v>
          </cell>
          <cell r="R59">
            <v>-0.17176591583885648</v>
          </cell>
          <cell r="S59">
            <v>-0.11953486351951215</v>
          </cell>
          <cell r="T59">
            <v>-5.1063863982928837E-2</v>
          </cell>
          <cell r="U59">
            <v>-1.7619645328871503E-2</v>
          </cell>
          <cell r="V59">
            <v>0.15970829826263389</v>
          </cell>
          <cell r="W59">
            <v>0.18105497625330536</v>
          </cell>
          <cell r="X59">
            <v>0.18940020351708142</v>
          </cell>
          <cell r="Y59">
            <v>0.10921329474468555</v>
          </cell>
          <cell r="Z59">
            <v>8.704727042215632E-2</v>
          </cell>
        </row>
        <row r="60">
          <cell r="B60" t="str">
            <v>Won billions, Year ending Dec 31</v>
          </cell>
          <cell r="C60">
            <v>2000</v>
          </cell>
          <cell r="D60">
            <v>2001</v>
          </cell>
          <cell r="E60">
            <v>2002</v>
          </cell>
          <cell r="F60">
            <v>2003</v>
          </cell>
          <cell r="G60">
            <v>2004</v>
          </cell>
          <cell r="H60">
            <v>2005</v>
          </cell>
          <cell r="I60">
            <v>2006</v>
          </cell>
          <cell r="J60">
            <v>2007</v>
          </cell>
          <cell r="K60" t="str">
            <v>2008E</v>
          </cell>
          <cell r="L60" t="str">
            <v>2009E</v>
          </cell>
          <cell r="M60" t="str">
            <v>2010E</v>
          </cell>
          <cell r="O60" t="str">
            <v>Net Interest Margin</v>
          </cell>
          <cell r="P60">
            <v>1.7274648827245072</v>
          </cell>
          <cell r="Q60">
            <v>2.4421123182349485</v>
          </cell>
          <cell r="R60">
            <v>2.1296948077156954</v>
          </cell>
          <cell r="S60">
            <v>2.1372474900841527</v>
          </cell>
          <cell r="T60">
            <v>2.8145910761507742</v>
          </cell>
          <cell r="U60">
            <v>3.2338862044191377</v>
          </cell>
          <cell r="V60">
            <v>3.4415844041577679</v>
          </cell>
          <cell r="W60">
            <v>3.2179282331605927</v>
          </cell>
          <cell r="X60">
            <v>3.0440189665379207</v>
          </cell>
          <cell r="Y60">
            <v>2.9635093415166738</v>
          </cell>
          <cell r="Z60">
            <v>2.9265281265900103</v>
          </cell>
        </row>
        <row r="61">
          <cell r="B61" t="str">
            <v>Non-performing Loans (NPL)</v>
          </cell>
          <cell r="C61">
            <v>2621.0609999999997</v>
          </cell>
          <cell r="D61">
            <v>1188</v>
          </cell>
          <cell r="E61">
            <v>1117.3620000000001</v>
          </cell>
          <cell r="F61">
            <v>1080.202</v>
          </cell>
          <cell r="G61">
            <v>754.83500000000004</v>
          </cell>
          <cell r="H61">
            <v>389.233</v>
          </cell>
          <cell r="I61">
            <v>299.39999999999998</v>
          </cell>
          <cell r="J61">
            <v>360.3</v>
          </cell>
          <cell r="K61">
            <v>524.89139160000002</v>
          </cell>
          <cell r="L61">
            <v>651.06128652000007</v>
          </cell>
          <cell r="M61">
            <v>797.02930309680005</v>
          </cell>
        </row>
        <row r="62">
          <cell r="B62" t="str">
            <v>Gross NPL Ratio (%)</v>
          </cell>
          <cell r="C62">
            <v>9.6067267660159672</v>
          </cell>
          <cell r="D62">
            <v>3.5681033188166391</v>
          </cell>
          <cell r="E62">
            <v>2.8516664708748412</v>
          </cell>
          <cell r="F62">
            <v>2.5917830073643984</v>
          </cell>
          <cell r="G62">
            <v>1.8176115697603716</v>
          </cell>
          <cell r="H62">
            <v>0.89529316295070216</v>
          </cell>
          <cell r="I62">
            <v>0.61557693375249034</v>
          </cell>
          <cell r="J62">
            <v>0.61356902012874226</v>
          </cell>
          <cell r="K62">
            <v>0.8052776260474227</v>
          </cell>
          <cell r="L62">
            <v>0.90804081414053817</v>
          </cell>
          <cell r="M62">
            <v>1.0105669735114473</v>
          </cell>
          <cell r="O62" t="str">
            <v>Liquidity (%)</v>
          </cell>
        </row>
        <row r="63">
          <cell r="B63" t="str">
            <v>Loan Loss Reserve (LLR)</v>
          </cell>
          <cell r="C63">
            <v>1843.229</v>
          </cell>
          <cell r="D63">
            <v>987.57899999999995</v>
          </cell>
          <cell r="E63">
            <v>780.03599999999994</v>
          </cell>
          <cell r="F63">
            <v>885.29600000000005</v>
          </cell>
          <cell r="G63">
            <v>821.41100000000006</v>
          </cell>
          <cell r="H63">
            <v>612.08000000000004</v>
          </cell>
          <cell r="I63">
            <v>616.80770000000007</v>
          </cell>
          <cell r="J63">
            <v>733.08</v>
          </cell>
          <cell r="K63">
            <v>997.98632329199995</v>
          </cell>
          <cell r="L63">
            <v>1253.039100768</v>
          </cell>
          <cell r="M63">
            <v>1548.6860982810001</v>
          </cell>
          <cell r="O63" t="str">
            <v>Avg Loans/Avg EA</v>
          </cell>
          <cell r="P63">
            <v>70.442139913435952</v>
          </cell>
          <cell r="Q63">
            <v>71.402906908032421</v>
          </cell>
          <cell r="R63">
            <v>75.084451468154668</v>
          </cell>
          <cell r="S63">
            <v>76.824808331562465</v>
          </cell>
          <cell r="T63">
            <v>76.776704237150355</v>
          </cell>
          <cell r="U63">
            <v>79.968279550959267</v>
          </cell>
          <cell r="V63">
            <v>83.001599087451964</v>
          </cell>
          <cell r="W63">
            <v>86.348687557341876</v>
          </cell>
          <cell r="X63">
            <v>86.024533362144794</v>
          </cell>
          <cell r="Y63">
            <v>87.976726092561279</v>
          </cell>
          <cell r="Z63">
            <v>88.609414307052916</v>
          </cell>
        </row>
        <row r="64">
          <cell r="B64" t="str">
            <v>LLR/NPL (%)</v>
          </cell>
          <cell r="C64">
            <v>70.323773464257428</v>
          </cell>
          <cell r="D64">
            <v>83.12954545454545</v>
          </cell>
          <cell r="E64">
            <v>69.810500088601529</v>
          </cell>
          <cell r="F64">
            <v>81.956522946634053</v>
          </cell>
          <cell r="G64">
            <v>108.81994078176025</v>
          </cell>
          <cell r="H64">
            <v>157.25285368917847</v>
          </cell>
          <cell r="I64">
            <v>206.01459585838347</v>
          </cell>
          <cell r="J64">
            <v>203.46378018318069</v>
          </cell>
          <cell r="K64">
            <v>190.13196620540651</v>
          </cell>
          <cell r="L64">
            <v>192.46100585486244</v>
          </cell>
          <cell r="M64">
            <v>194.30729739341973</v>
          </cell>
          <cell r="O64" t="str">
            <v>Avg Liquid Assets/AEA</v>
          </cell>
          <cell r="P64">
            <v>44.391695516810259</v>
          </cell>
          <cell r="Q64">
            <v>41.095647341887187</v>
          </cell>
          <cell r="R64">
            <v>37.264835776563451</v>
          </cell>
          <cell r="S64">
            <v>35.168443227525543</v>
          </cell>
          <cell r="T64">
            <v>34.844068003063668</v>
          </cell>
          <cell r="U64">
            <v>36.108755186472571</v>
          </cell>
          <cell r="V64">
            <v>35.368800344474288</v>
          </cell>
          <cell r="W64">
            <v>32.325551874606347</v>
          </cell>
          <cell r="X64">
            <v>28.595669421994092</v>
          </cell>
          <cell r="Y64">
            <v>27.712175950701727</v>
          </cell>
          <cell r="Z64">
            <v>26.602271394211545</v>
          </cell>
        </row>
        <row r="65">
          <cell r="B65" t="str">
            <v>LLR/Total Credit (%)</v>
          </cell>
          <cell r="C65">
            <v>3.0002086490841178</v>
          </cell>
          <cell r="D65">
            <v>0</v>
          </cell>
          <cell r="E65">
            <v>1.9907626241767011</v>
          </cell>
          <cell r="F65">
            <v>2.1241352351575657</v>
          </cell>
          <cell r="G65">
            <v>1.9779238338556597</v>
          </cell>
          <cell r="H65">
            <v>1.4078740476240861</v>
          </cell>
          <cell r="I65">
            <v>1.2681783322676217</v>
          </cell>
          <cell r="J65">
            <v>1.2483907223868396</v>
          </cell>
          <cell r="K65">
            <v>1.5310901838161857</v>
          </cell>
          <cell r="L65">
            <v>1.7476244844675619</v>
          </cell>
          <cell r="M65">
            <v>1.9636053745805688</v>
          </cell>
          <cell r="O65" t="str">
            <v>Avg Loans/Avg Deposits</v>
          </cell>
          <cell r="P65">
            <v>90.950126690299342</v>
          </cell>
          <cell r="Q65">
            <v>88.896713772894387</v>
          </cell>
          <cell r="R65">
            <v>86.97002829182604</v>
          </cell>
          <cell r="S65">
            <v>91.217148465309805</v>
          </cell>
          <cell r="T65">
            <v>99.483634226652057</v>
          </cell>
          <cell r="U65">
            <v>106.87979318133492</v>
          </cell>
          <cell r="V65">
            <v>114.39294579126467</v>
          </cell>
          <cell r="W65">
            <v>121.59164750157383</v>
          </cell>
          <cell r="X65">
            <v>126.84675872915021</v>
          </cell>
          <cell r="Y65">
            <v>133.05573468582568</v>
          </cell>
          <cell r="Z65">
            <v>138.82592494195677</v>
          </cell>
        </row>
        <row r="66">
          <cell r="O66" t="str">
            <v>Avg Loans/Avg Depo &amp; Equity</v>
          </cell>
          <cell r="P66">
            <v>120.92938482629432</v>
          </cell>
          <cell r="Q66">
            <v>114.74812437881401</v>
          </cell>
          <cell r="R66">
            <v>105.85198140352352</v>
          </cell>
          <cell r="S66">
            <v>110.66309661728859</v>
          </cell>
          <cell r="T66">
            <v>124.0090382746076</v>
          </cell>
          <cell r="U66">
            <v>127.47921037244481</v>
          </cell>
          <cell r="V66">
            <v>131.85675367651834</v>
          </cell>
          <cell r="W66">
            <v>145.13340592354368</v>
          </cell>
          <cell r="X66">
            <v>157.12676186469881</v>
          </cell>
          <cell r="Y66">
            <v>167.57405415419896</v>
          </cell>
          <cell r="Z66">
            <v>176.25254716115595</v>
          </cell>
        </row>
        <row r="67">
          <cell r="B67" t="str">
            <v>Specific Reserve</v>
          </cell>
          <cell r="C67">
            <v>117.8972</v>
          </cell>
          <cell r="D67">
            <v>147.245</v>
          </cell>
          <cell r="E67">
            <v>184.59595000000002</v>
          </cell>
          <cell r="F67">
            <v>198.82147499999999</v>
          </cell>
          <cell r="G67">
            <v>200.22189500000005</v>
          </cell>
          <cell r="H67">
            <v>213.13979500000002</v>
          </cell>
          <cell r="I67">
            <v>239.61900000000003</v>
          </cell>
          <cell r="J67">
            <v>290.04899999999998</v>
          </cell>
          <cell r="K67">
            <v>321.61832923440005</v>
          </cell>
          <cell r="L67">
            <v>353.04437059704003</v>
          </cell>
          <cell r="M67">
            <v>387.66602589642002</v>
          </cell>
          <cell r="O67" t="str">
            <v>Period-End Loans/Deposits</v>
          </cell>
          <cell r="P67">
            <v>91.467213784833135</v>
          </cell>
          <cell r="Q67">
            <v>86.59638311621471</v>
          </cell>
          <cell r="R67">
            <v>87.290067949937352</v>
          </cell>
          <cell r="S67">
            <v>94.840537135839497</v>
          </cell>
          <cell r="T67">
            <v>104.62181245827711</v>
          </cell>
          <cell r="U67">
            <v>109.16109990163511</v>
          </cell>
          <cell r="V67">
            <v>119.55951575759258</v>
          </cell>
          <cell r="W67">
            <v>123.35204497239324</v>
          </cell>
          <cell r="X67">
            <v>130.15893536142923</v>
          </cell>
          <cell r="Y67">
            <v>135.79475958299747</v>
          </cell>
          <cell r="Z67">
            <v>141.71300748216854</v>
          </cell>
        </row>
        <row r="68">
          <cell r="B68" t="str">
            <v>Specific Reserve/NPLs (%)</v>
          </cell>
          <cell r="C68">
            <v>4.4980715824622175</v>
          </cell>
          <cell r="D68">
            <v>12.39436026936027</v>
          </cell>
          <cell r="E68">
            <v>16.520693383164993</v>
          </cell>
          <cell r="F68">
            <v>18.405953238375787</v>
          </cell>
          <cell r="G68">
            <v>26.525253201030697</v>
          </cell>
          <cell r="H68">
            <v>54.758922033846055</v>
          </cell>
          <cell r="I68">
            <v>80.033066132264537</v>
          </cell>
          <cell r="J68">
            <v>80.502081598667758</v>
          </cell>
          <cell r="K68">
            <v>61.273309942086698</v>
          </cell>
          <cell r="L68">
            <v>54.225981164400686</v>
          </cell>
          <cell r="M68">
            <v>48.63886740301411</v>
          </cell>
        </row>
        <row r="69">
          <cell r="B69" t="str">
            <v>General Reserve</v>
          </cell>
          <cell r="C69">
            <v>1725.3317999999999</v>
          </cell>
          <cell r="D69">
            <v>840.33399999999995</v>
          </cell>
          <cell r="E69">
            <v>595.44004999999993</v>
          </cell>
          <cell r="F69">
            <v>686.47452500000009</v>
          </cell>
          <cell r="G69">
            <v>621.18910500000004</v>
          </cell>
          <cell r="H69">
            <v>398.94020499999999</v>
          </cell>
          <cell r="I69">
            <v>377.18870000000004</v>
          </cell>
          <cell r="J69">
            <v>443.03100000000006</v>
          </cell>
          <cell r="K69">
            <v>676.36799405759984</v>
          </cell>
          <cell r="L69">
            <v>899.99473017096</v>
          </cell>
          <cell r="M69">
            <v>1161.0200723845801</v>
          </cell>
          <cell r="O69" t="str">
            <v>Capital Information</v>
          </cell>
        </row>
        <row r="70">
          <cell r="B70" t="str">
            <v>General Reserve/NPLs (%)</v>
          </cell>
          <cell r="C70">
            <v>65.825701881795212</v>
          </cell>
          <cell r="D70">
            <v>70.735185185185173</v>
          </cell>
          <cell r="E70">
            <v>53.289806705436547</v>
          </cell>
          <cell r="F70">
            <v>63.550569708258273</v>
          </cell>
          <cell r="G70">
            <v>82.294687580729558</v>
          </cell>
          <cell r="H70">
            <v>102.4939316553324</v>
          </cell>
          <cell r="I70">
            <v>125.98152972611894</v>
          </cell>
          <cell r="J70">
            <v>122.96169858451292</v>
          </cell>
          <cell r="K70">
            <v>128.85865626331977</v>
          </cell>
          <cell r="L70">
            <v>138.23502469046173</v>
          </cell>
          <cell r="M70">
            <v>145.66842999040563</v>
          </cell>
          <cell r="O70" t="str">
            <v>Tier 1 Ratio (%)</v>
          </cell>
          <cell r="P70" t="e">
            <v>#DIV/0!</v>
          </cell>
          <cell r="Q70">
            <v>5.367077611004003</v>
          </cell>
          <cell r="R70">
            <v>4.6556598501069759</v>
          </cell>
          <cell r="S70">
            <v>4.6784596617832905</v>
          </cell>
          <cell r="T70">
            <v>5.5075599011075163</v>
          </cell>
          <cell r="U70">
            <v>9.6463214457287858</v>
          </cell>
          <cell r="V70">
            <v>9.3748642379455269</v>
          </cell>
          <cell r="W70">
            <v>8.6485598743203926</v>
          </cell>
          <cell r="X70">
            <v>8.4146158366320947</v>
          </cell>
          <cell r="Y70">
            <v>8.252325222245867</v>
          </cell>
          <cell r="Z70">
            <v>8.4057772763387391</v>
          </cell>
        </row>
        <row r="71">
          <cell r="B71" t="str">
            <v>Net Charge-offs (NCO)</v>
          </cell>
          <cell r="C71">
            <v>1255.2463950000001</v>
          </cell>
          <cell r="D71">
            <v>1785.11</v>
          </cell>
          <cell r="E71">
            <v>726.24400000000003</v>
          </cell>
          <cell r="F71">
            <v>873.15700000000004</v>
          </cell>
          <cell r="G71">
            <v>2781.9</v>
          </cell>
          <cell r="H71">
            <v>580.1</v>
          </cell>
          <cell r="I71">
            <v>336.95100000000002</v>
          </cell>
          <cell r="J71">
            <v>355.73899999999998</v>
          </cell>
          <cell r="K71">
            <v>160.8769150704</v>
          </cell>
          <cell r="L71">
            <v>244.80404920079997</v>
          </cell>
          <cell r="M71">
            <v>284.22316189385998</v>
          </cell>
          <cell r="O71" t="str">
            <v>Tier 2 Ratio (%)</v>
          </cell>
          <cell r="P71" t="e">
            <v>#DIV/0!</v>
          </cell>
          <cell r="Q71">
            <v>5.367077611004003</v>
          </cell>
          <cell r="R71">
            <v>4.655659850106975</v>
          </cell>
          <cell r="S71">
            <v>4.6784596617832905</v>
          </cell>
          <cell r="T71">
            <v>4.2753890518008522</v>
          </cell>
          <cell r="U71">
            <v>4.489837572070277</v>
          </cell>
          <cell r="V71">
            <v>3.4492742760935018</v>
          </cell>
          <cell r="W71">
            <v>2.9715967028195838</v>
          </cell>
          <cell r="X71">
            <v>3.6014756844680487</v>
          </cell>
          <cell r="Y71">
            <v>3.628440546493465</v>
          </cell>
          <cell r="Z71">
            <v>3.7922678952171851</v>
          </cell>
        </row>
        <row r="72">
          <cell r="B72" t="str">
            <v>NCO/Avg Total Credit (%)</v>
          </cell>
          <cell r="C72">
            <v>4.7598647318587313</v>
          </cell>
          <cell r="D72">
            <v>5.8935332626780204</v>
          </cell>
          <cell r="E72">
            <v>2.0040461232162863</v>
          </cell>
          <cell r="F72">
            <v>2.159656699577825</v>
          </cell>
          <cell r="G72">
            <v>6.686705149292969</v>
          </cell>
          <cell r="H72">
            <v>1.3648700426554239</v>
          </cell>
          <cell r="I72">
            <v>0.73160532121601374</v>
          </cell>
          <cell r="J72">
            <v>0.66270737607268293</v>
          </cell>
          <cell r="K72">
            <v>0.25968115338608083</v>
          </cell>
          <cell r="L72">
            <v>0.35768891430191513</v>
          </cell>
          <cell r="M72">
            <v>0.377531909627565</v>
          </cell>
          <cell r="O72" t="str">
            <v>Total CAR (%)</v>
          </cell>
          <cell r="P72" t="e">
            <v>#DIV/0!</v>
          </cell>
          <cell r="Q72">
            <v>10.734155222008006</v>
          </cell>
          <cell r="R72">
            <v>9.3113197002139501</v>
          </cell>
          <cell r="S72">
            <v>9.3569193235665811</v>
          </cell>
          <cell r="T72">
            <v>9.7829489529083684</v>
          </cell>
          <cell r="U72">
            <v>14.136159017799063</v>
          </cell>
          <cell r="V72">
            <v>12.824138514039028</v>
          </cell>
          <cell r="W72">
            <v>11.620156577139976</v>
          </cell>
          <cell r="X72">
            <v>12.016091521100144</v>
          </cell>
          <cell r="Y72">
            <v>11.880765768739332</v>
          </cell>
          <cell r="Z72">
            <v>12.198045171555924</v>
          </cell>
        </row>
        <row r="73">
          <cell r="B73" t="str">
            <v>LLPE/Avg Loans (%)</v>
          </cell>
          <cell r="C73">
            <v>4.5227579535475373</v>
          </cell>
          <cell r="D73">
            <v>3.2942486735187759</v>
          </cell>
          <cell r="E73">
            <v>1.6385980552307888</v>
          </cell>
          <cell r="F73">
            <v>2.2791817749503416</v>
          </cell>
          <cell r="G73">
            <v>2.0237045334523236</v>
          </cell>
          <cell r="H73">
            <v>0.39889143735801552</v>
          </cell>
          <cell r="I73">
            <v>0.56236333354730239</v>
          </cell>
          <cell r="J73">
            <v>0.7221704624042814</v>
          </cell>
          <cell r="K73">
            <v>0.60533609726467985</v>
          </cell>
          <cell r="L73">
            <v>0.6657568330685818</v>
          </cell>
          <cell r="M73">
            <v>0.72289537544568661</v>
          </cell>
        </row>
        <row r="152">
          <cell r="P152">
            <v>0</v>
          </cell>
        </row>
        <row r="167">
          <cell r="C167">
            <v>2891795.6310000001</v>
          </cell>
          <cell r="D167">
            <v>3078048.412</v>
          </cell>
          <cell r="E167">
            <v>4094917.1359999999</v>
          </cell>
          <cell r="F167">
            <v>4859382.1409999998</v>
          </cell>
        </row>
        <row r="171">
          <cell r="A171" t="str">
            <v>Contra Account of Guarantee Issued</v>
          </cell>
        </row>
        <row r="188">
          <cell r="O188">
            <v>2791587</v>
          </cell>
          <cell r="P188">
            <v>0</v>
          </cell>
        </row>
        <row r="192">
          <cell r="O192">
            <v>2348914.6860000002</v>
          </cell>
        </row>
        <row r="203">
          <cell r="C203">
            <v>331599</v>
          </cell>
          <cell r="D203">
            <v>316714</v>
          </cell>
          <cell r="E203">
            <v>620630</v>
          </cell>
          <cell r="F203">
            <v>1055526</v>
          </cell>
        </row>
        <row r="207">
          <cell r="A207" t="str">
            <v xml:space="preserve">    Guarantee Payment</v>
          </cell>
        </row>
      </sheetData>
      <sheetData sheetId="9" refreshError="1"/>
      <sheetData sheetId="10" refreshError="1"/>
      <sheetData sheetId="11" refreshError="1"/>
      <sheetData sheetId="1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k-Reward_View_Chart"/>
      <sheetName val="Bear_to_Bull_Chart"/>
      <sheetName val="Bear_to_Bull_Data"/>
      <sheetName val="Comparative_Risk-Reward_Chart"/>
      <sheetName val="Comparative_Risk-Reward_Data"/>
      <sheetName val="Value_of_Growth_Chart"/>
      <sheetName val="Value_of_Growth_Data"/>
      <sheetName val="Ace-Out"/>
      <sheetName val="Sheet1"/>
      <sheetName val="RI Valuation"/>
    </sheetNames>
    <sheetDataSet>
      <sheetData sheetId="0" refreshError="1">
        <row r="26">
          <cell r="F26">
            <v>26000</v>
          </cell>
        </row>
        <row r="27">
          <cell r="F27">
            <v>33000</v>
          </cell>
        </row>
        <row r="28">
          <cell r="F28">
            <v>13000</v>
          </cell>
        </row>
      </sheetData>
      <sheetData sheetId="1" refreshError="1"/>
      <sheetData sheetId="2"/>
      <sheetData sheetId="3" refreshError="1"/>
      <sheetData sheetId="4"/>
      <sheetData sheetId="5" refreshError="1"/>
      <sheetData sheetId="6"/>
      <sheetData sheetId="7" refreshError="1"/>
      <sheetData sheetId="8" refreshError="1"/>
      <sheetData sheetId="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CIT Industry Model"/>
      <sheetName val="2002 detail"/>
      <sheetName val="Sheet1"/>
      <sheetName val="Sheet2"/>
      <sheetName val="Sheet3"/>
      <sheetName val="Sheet4"/>
      <sheetName val="Sheet5"/>
      <sheetName val="ROI"/>
      <sheetName val="Rev breakdown"/>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
      <sheetName val="EPS model"/>
      <sheetName val="BS"/>
      <sheetName val="CF"/>
      <sheetName val="workcap"/>
      <sheetName val="dep"/>
      <sheetName val="equity"/>
      <sheetName val="debt_interest"/>
      <sheetName val="shares"/>
      <sheetName val="Comp Table"/>
      <sheetName val="ROE"/>
      <sheetName val="ROIC"/>
      <sheetName val="Summary"/>
      <sheetName val="Operating Margins"/>
      <sheetName val="productivity"/>
      <sheetName val="SG&amp;A"/>
      <sheetName val="Operating Stats"/>
      <sheetName val="New Store Economics"/>
      <sheetName val="CF-historical"/>
      <sheetName val="Monthly Sales"/>
      <sheetName val="Am. Eagle Outfi-Retail"/>
      <sheetName val="AEOS DCF"/>
      <sheetName val="Val Data"/>
      <sheetName val="comps"/>
      <sheetName val="Balance sheet"/>
      <sheetName val="Cash Flow"/>
      <sheetName val="sales EPS seasonality"/>
      <sheetName val="charts"/>
      <sheetName val="AEOSQTR"/>
    </sheetNames>
    <definedNames>
      <definedName name="Macro4" refersTo="#REF!"/>
      <definedName name="Macro5"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MY"/>
      <sheetName val="ROIC"/>
      <sheetName val="DCF"/>
      <sheetName val="WACC"/>
      <sheetName val="EPS changes"/>
      <sheetName val="Abilify Share"/>
      <sheetName val="jongrossmargin"/>
      <sheetName val="Orzel"/>
      <sheetName val="valuation"/>
      <sheetName val="Glucophage Franchise"/>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sheetName val="CUS Image"/>
      <sheetName val="WIRE DATA"/>
      <sheetName val="Print"/>
      <sheetName val="Print IS and BS"/>
      <sheetName val="SJRCFM"/>
      <sheetName val="Cable"/>
      <sheetName val="DTH"/>
      <sheetName val="Q4 preview"/>
      <sheetName val="Preview Table"/>
      <sheetName val="Cable DCF"/>
      <sheetName val="DTH DCF"/>
      <sheetName val="Valuation"/>
      <sheetName val="Preview Tables"/>
      <sheetName val="Debt"/>
      <sheetName val="Share Price"/>
      <sheetName val="EV"/>
      <sheetName val="Charts"/>
      <sheetName val="CableSystems"/>
      <sheetName val="Q3 preview"/>
      <sheetName val="SJRb"/>
      <sheetName val="Qrtly Preview"/>
      <sheetName val="T_CFM"/>
      <sheetName val="Mobility"/>
      <sheetName val="Sheet1"/>
      <sheetName val="~#%%£-ML-RANGES"/>
      <sheetName val="Summary for Market model"/>
      <sheetName val="Restruct."/>
      <sheetName val="Q2 preview"/>
      <sheetName val="1997"/>
      <sheetName val="Income Statement"/>
      <sheetName val="BBPTACShadowWks0001"/>
      <sheetName val="Instructions"/>
      <sheetName val="----"/>
      <sheetName val="Control"/>
      <sheetName val="---"/>
      <sheetName val="Prism One Pager"/>
      <sheetName val="One Pager"/>
      <sheetName val="Model"/>
      <sheetName val="Worksheet"/>
      <sheetName val="-----"/>
      <sheetName val="Fins"/>
      <sheetName val="Generic"/>
      <sheetName val="Retail"/>
      <sheetName val="REIT"/>
      <sheetName val="Utes"/>
      <sheetName val="WBS"/>
      <sheetName val="------"/>
      <sheetName val="Financials"/>
      <sheetName val="Segments"/>
      <sheetName val="Company Industry Specific"/>
      <sheetName val="Bonds"/>
      <sheetName val="Misc Data"/>
      <sheetName val="Consensus 2"/>
      <sheetName val="Consensus"/>
      <sheetName val="Lookups"/>
      <sheetName val="Prism One Page"/>
      <sheetName val="Additional Information"/>
      <sheetName val="Financial One Pager"/>
      <sheetName val="Backup&gt;&gt;"/>
      <sheetName val="AB Model  - Walk"/>
      <sheetName val="Financials - Triage Consulting "/>
      <sheetName val="Financials- Rev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ense Assumptions"/>
      <sheetName val="Revenue"/>
      <sheetName val="Enterprise revenue"/>
      <sheetName val="e-commerce revenue"/>
      <sheetName val="Professional Services"/>
      <sheetName val="Quarterly"/>
      <sheetName val="Annual"/>
      <sheetName val="Debt"/>
      <sheetName val="Input"/>
      <sheetName val="NWI"/>
      <sheetName val="Balance Sheet"/>
      <sheetName val="Cash Flow"/>
    </sheetNames>
    <sheetDataSet>
      <sheetData sheetId="0"/>
      <sheetData sheetId="1"/>
      <sheetData sheetId="2"/>
      <sheetData sheetId="3"/>
      <sheetData sheetId="4"/>
      <sheetData sheetId="5"/>
      <sheetData sheetId="6"/>
      <sheetData sheetId="7"/>
      <sheetData sheetId="8">
        <row r="395">
          <cell r="B395">
            <v>0</v>
          </cell>
        </row>
        <row r="396">
          <cell r="B396">
            <v>1</v>
          </cell>
        </row>
        <row r="397">
          <cell r="B397">
            <v>2</v>
          </cell>
        </row>
        <row r="398">
          <cell r="B398">
            <v>3</v>
          </cell>
        </row>
        <row r="399">
          <cell r="B399">
            <v>4</v>
          </cell>
        </row>
        <row r="400">
          <cell r="B400">
            <v>5</v>
          </cell>
        </row>
        <row r="401">
          <cell r="B401">
            <v>6</v>
          </cell>
        </row>
        <row r="402">
          <cell r="B402">
            <v>7</v>
          </cell>
        </row>
        <row r="403">
          <cell r="B403">
            <v>99</v>
          </cell>
        </row>
        <row r="405">
          <cell r="B405" t="b">
            <v>1</v>
          </cell>
        </row>
        <row r="407">
          <cell r="B407" t="b">
            <v>0</v>
          </cell>
        </row>
        <row r="409">
          <cell r="B409" t="b">
            <v>0</v>
          </cell>
        </row>
        <row r="411">
          <cell r="B411" t="b">
            <v>0</v>
          </cell>
        </row>
        <row r="413">
          <cell r="B413">
            <v>2</v>
          </cell>
        </row>
        <row r="415">
          <cell r="B415" t="b">
            <v>0</v>
          </cell>
        </row>
        <row r="421">
          <cell r="B421" t="b">
            <v>0</v>
          </cell>
        </row>
        <row r="422">
          <cell r="D422">
            <v>2</v>
          </cell>
        </row>
        <row r="423">
          <cell r="D423">
            <v>1</v>
          </cell>
        </row>
        <row r="424">
          <cell r="D424">
            <v>1</v>
          </cell>
        </row>
        <row r="425">
          <cell r="D425">
            <v>1</v>
          </cell>
        </row>
        <row r="426">
          <cell r="D426">
            <v>0</v>
          </cell>
        </row>
        <row r="427">
          <cell r="D427">
            <v>1</v>
          </cell>
        </row>
        <row r="448">
          <cell r="C448">
            <v>0</v>
          </cell>
        </row>
        <row r="449">
          <cell r="C449">
            <v>0</v>
          </cell>
        </row>
        <row r="450">
          <cell r="C450">
            <v>0</v>
          </cell>
        </row>
        <row r="451">
          <cell r="C451">
            <v>0</v>
          </cell>
        </row>
        <row r="452">
          <cell r="C452">
            <v>0</v>
          </cell>
        </row>
      </sheetData>
      <sheetData sheetId="9"/>
      <sheetData sheetId="10"/>
      <sheetData sheetId="1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Fed Funds Base Drug"/>
      <sheetName val="Fed Funds Base Food"/>
      <sheetName val="GDP Level (3)"/>
      <sheetName val="Fed Funds Base (2)"/>
      <sheetName val="Fed Funds Base"/>
      <sheetName val="Retail Monthly"/>
      <sheetName val="Retail Monthly Base"/>
      <sheetName val="Fed Funds (2)"/>
      <sheetName val="Fed Funds"/>
      <sheetName val="Sheet2"/>
      <sheetName val="Sheet3"/>
      <sheetName val="Financi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
          <cell r="B2" t="str">
            <v>RATM</v>
          </cell>
        </row>
      </sheetData>
      <sheetData sheetId="10" refreshError="1"/>
      <sheetData sheetId="11" refreshError="1"/>
      <sheetData sheetId="1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Data Page"/>
      <sheetName val="Macro4"/>
      <sheetName val="Charts Econ. Section of Report"/>
      <sheetName val="Rev credit"/>
      <sheetName val="Real GDP"/>
      <sheetName val="BBY Comps"/>
      <sheetName val="CC Comps"/>
      <sheetName val="Macro3"/>
      <sheetName val="Macro8"/>
      <sheetName val="Macro5"/>
      <sheetName val="Macro6"/>
      <sheetName val="Macro7"/>
      <sheetName val="Macro9"/>
      <sheetName val="Macro10"/>
      <sheetName val="Macro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Level (3)"/>
      <sheetName val="GDP Level (2)"/>
      <sheetName val="GDP Level"/>
      <sheetName val="GDP Work"/>
      <sheetName val="Semi GDP (2)"/>
      <sheetName val="Semi GDP"/>
      <sheetName val="Quarterly GDP"/>
      <sheetName val="Base Data"/>
      <sheetName val="Sheet2"/>
      <sheetName val="Sheet3"/>
      <sheetName val="Data Pa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_EC- 2000"/>
      <sheetName val="D_EC- 2000_Old"/>
      <sheetName val="D_EC-"/>
      <sheetName val="Presentation"/>
      <sheetName val="Drug"/>
      <sheetName val="Historical"/>
      <sheetName val="Module1"/>
      <sheetName val="Module2"/>
      <sheetName val="Module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vy-truck data"/>
      <sheetName val="Evaluation"/>
      <sheetName val="Heavy Graphs"/>
      <sheetName val="units in backlog"/>
      <sheetName val="2007 Pre-Buy"/>
      <sheetName val="Truck Downgrade"/>
      <sheetName val="2002 Prebuy"/>
      <sheetName val="NUMX.XLS"/>
      <sheetName val="FC"/>
      <sheetName val="MH"/>
      <sheetName val="Tables"/>
      <sheetName val="2007 Pre-Buy "/>
      <sheetName val="2007 Pre-Buy  (2)"/>
      <sheetName val="2007 Pre-Buy  (3)"/>
      <sheetName val="forecasts"/>
      <sheetName val="EPS"/>
      <sheetName val="FC Charts"/>
      <sheetName val="FC T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30">
          <cell r="BZ30" t="str">
            <v>CLASS 8 TRUCK GRAPHS</v>
          </cell>
        </row>
        <row r="177">
          <cell r="B177">
            <v>33998</v>
          </cell>
          <cell r="C177">
            <v>70397</v>
          </cell>
          <cell r="E177">
            <v>11903</v>
          </cell>
          <cell r="G177">
            <v>14896</v>
          </cell>
          <cell r="I177">
            <v>17514</v>
          </cell>
          <cell r="K177">
            <v>1822</v>
          </cell>
          <cell r="M177">
            <v>15692</v>
          </cell>
          <cell r="O177">
            <v>10195</v>
          </cell>
          <cell r="Q177">
            <v>43.83325159391859</v>
          </cell>
          <cell r="T177">
            <v>135.36275493146107</v>
          </cell>
          <cell r="U177">
            <v>30.101650453601493</v>
          </cell>
          <cell r="V177">
            <v>10.990239177408533</v>
          </cell>
          <cell r="W177">
            <v>50.826730967964174</v>
          </cell>
          <cell r="X177">
            <v>71.563088512241052</v>
          </cell>
          <cell r="Y177">
            <v>48.739336492890992</v>
          </cell>
          <cell r="Z177">
            <v>42.747129655558666</v>
          </cell>
          <cell r="AA177">
            <v>-22.246955546341162</v>
          </cell>
          <cell r="AB177">
            <v>10.403106086559324</v>
          </cell>
          <cell r="AC177">
            <v>2.5881784735144961</v>
          </cell>
          <cell r="AD177">
            <v>70343</v>
          </cell>
          <cell r="AE177">
            <v>11970.333333333334</v>
          </cell>
          <cell r="AF177">
            <v>14932</v>
          </cell>
          <cell r="AG177">
            <v>18200.666666666668</v>
          </cell>
          <cell r="AH177">
            <v>1590.6666666666667</v>
          </cell>
          <cell r="AI177">
            <v>16610</v>
          </cell>
          <cell r="AJ177">
            <v>11413.333333333334</v>
          </cell>
          <cell r="AK177">
            <v>39.82544627780544</v>
          </cell>
          <cell r="AL177">
            <v>8.7579650990137026</v>
          </cell>
          <cell r="AM177">
            <v>0.31091521324981897</v>
          </cell>
          <cell r="AO177">
            <v>148339.97741480716</v>
          </cell>
          <cell r="AQ177">
            <v>192978.22087576913</v>
          </cell>
          <cell r="AR177">
            <v>21822.592598637235</v>
          </cell>
          <cell r="AS177">
            <v>170391.14835564708</v>
          </cell>
          <cell r="AT177">
            <v>144562.54221911076</v>
          </cell>
          <cell r="AV177">
            <v>14660.75</v>
          </cell>
          <cell r="AW177" t="str">
            <v>1/93</v>
          </cell>
        </row>
        <row r="178">
          <cell r="B178">
            <v>34028</v>
          </cell>
          <cell r="C178">
            <v>73641</v>
          </cell>
          <cell r="E178">
            <v>13120</v>
          </cell>
          <cell r="G178">
            <v>16613</v>
          </cell>
          <cell r="I178">
            <v>16927</v>
          </cell>
          <cell r="K178">
            <v>1307</v>
          </cell>
          <cell r="M178">
            <v>15620</v>
          </cell>
          <cell r="O178">
            <v>11130</v>
          </cell>
          <cell r="Q178">
            <v>44.77897574123989</v>
          </cell>
          <cell r="T178">
            <v>121.46337062432333</v>
          </cell>
          <cell r="U178">
            <v>54.225931585752903</v>
          </cell>
          <cell r="V178">
            <v>21.086005830903787</v>
          </cell>
          <cell r="W178">
            <v>34.501390544298772</v>
          </cell>
          <cell r="X178">
            <v>71.297509829619926</v>
          </cell>
          <cell r="Y178">
            <v>32.126543732025034</v>
          </cell>
          <cell r="Z178">
            <v>41.946180334141062</v>
          </cell>
          <cell r="AA178">
            <v>-14.69583362802187</v>
          </cell>
          <cell r="AB178">
            <v>7.7213918591599224</v>
          </cell>
          <cell r="AC178">
            <v>1.7748265232682878</v>
          </cell>
          <cell r="AD178">
            <v>73377.666666666672</v>
          </cell>
          <cell r="AE178">
            <v>13671</v>
          </cell>
          <cell r="AF178">
            <v>16531.333333333332</v>
          </cell>
          <cell r="AG178">
            <v>18316.333333333332</v>
          </cell>
          <cell r="AH178">
            <v>1881</v>
          </cell>
          <cell r="AI178">
            <v>16435.333333333332</v>
          </cell>
          <cell r="AJ178">
            <v>11911.333333333334</v>
          </cell>
          <cell r="AK178">
            <v>42.088592399942137</v>
          </cell>
          <cell r="AL178">
            <v>10.12770957465071</v>
          </cell>
          <cell r="AM178">
            <v>0.30998755317257309</v>
          </cell>
          <cell r="AO178">
            <v>163200.17722495261</v>
          </cell>
          <cell r="AQ178">
            <v>198251.61166655738</v>
          </cell>
          <cell r="AR178">
            <v>17006.700221631203</v>
          </cell>
          <cell r="AS178">
            <v>179634.4581029148</v>
          </cell>
          <cell r="AT178">
            <v>155803.83043245226</v>
          </cell>
          <cell r="AV178">
            <v>14977.25</v>
          </cell>
        </row>
        <row r="179">
          <cell r="B179">
            <v>34057</v>
          </cell>
          <cell r="C179">
            <v>76095</v>
          </cell>
          <cell r="E179">
            <v>15990</v>
          </cell>
          <cell r="G179">
            <v>18085</v>
          </cell>
          <cell r="I179">
            <v>20508</v>
          </cell>
          <cell r="K179">
            <v>2514</v>
          </cell>
          <cell r="M179">
            <v>17994</v>
          </cell>
          <cell r="O179">
            <v>14409</v>
          </cell>
          <cell r="Q179">
            <v>37.653549864667916</v>
          </cell>
          <cell r="T179">
            <v>117.58835639940526</v>
          </cell>
          <cell r="U179">
            <v>55.544747081712067</v>
          </cell>
          <cell r="V179">
            <v>25.069156293222683</v>
          </cell>
          <cell r="W179">
            <v>55.634818243909834</v>
          </cell>
          <cell r="X179">
            <v>239.72972972972974</v>
          </cell>
          <cell r="Y179">
            <v>44.681193213797535</v>
          </cell>
          <cell r="Z179">
            <v>58.95201323772752</v>
          </cell>
          <cell r="AA179">
            <v>-21.316406287871214</v>
          </cell>
          <cell r="AB179">
            <v>12.258630778232884</v>
          </cell>
          <cell r="AC179">
            <v>3.303765030553913</v>
          </cell>
          <cell r="AD179">
            <v>74955.333333333328</v>
          </cell>
          <cell r="AE179">
            <v>14895</v>
          </cell>
          <cell r="AF179">
            <v>17617.666666666668</v>
          </cell>
          <cell r="AG179">
            <v>18202</v>
          </cell>
          <cell r="AH179">
            <v>1949.6666666666667</v>
          </cell>
          <cell r="AI179">
            <v>16252.333333333334</v>
          </cell>
          <cell r="AJ179">
            <v>13613</v>
          </cell>
          <cell r="AK179">
            <v>39.343521607198028</v>
          </cell>
          <cell r="AL179">
            <v>10.596877850380912</v>
          </cell>
          <cell r="AM179">
            <v>0.2863667414853126</v>
          </cell>
          <cell r="AO179">
            <v>176048.27486664799</v>
          </cell>
          <cell r="AQ179">
            <v>221711.50547064882</v>
          </cell>
          <cell r="AR179">
            <v>27630.65685723913</v>
          </cell>
          <cell r="AS179">
            <v>193967.05742707875</v>
          </cell>
          <cell r="AT179">
            <v>166303.41186800066</v>
          </cell>
          <cell r="AV179">
            <v>15440.333333333334</v>
          </cell>
        </row>
        <row r="180">
          <cell r="B180">
            <v>34088</v>
          </cell>
          <cell r="C180">
            <v>75130</v>
          </cell>
          <cell r="E180">
            <v>15575</v>
          </cell>
          <cell r="G180">
            <v>18155</v>
          </cell>
          <cell r="I180">
            <v>17171</v>
          </cell>
          <cell r="K180">
            <v>2028</v>
          </cell>
          <cell r="M180">
            <v>15143</v>
          </cell>
          <cell r="O180">
            <v>15300</v>
          </cell>
          <cell r="Q180">
            <v>35.598039215686278</v>
          </cell>
          <cell r="T180">
            <v>90.221794612112618</v>
          </cell>
          <cell r="U180">
            <v>47.644326476443254</v>
          </cell>
          <cell r="V180">
            <v>29.752715837621491</v>
          </cell>
          <cell r="W180">
            <v>7.8783690393918526</v>
          </cell>
          <cell r="X180">
            <v>184.03361344537817</v>
          </cell>
          <cell r="Y180">
            <v>-0.39465894889166853</v>
          </cell>
          <cell r="Z180">
            <v>34.980149977944428</v>
          </cell>
          <cell r="AA180">
            <v>-3.8727428745464088</v>
          </cell>
          <cell r="AB180">
            <v>11.810610913749928</v>
          </cell>
          <cell r="AC180">
            <v>2.6993211766271794</v>
          </cell>
          <cell r="AD180">
            <v>75508</v>
          </cell>
          <cell r="AE180">
            <v>15301</v>
          </cell>
          <cell r="AF180">
            <v>18073</v>
          </cell>
          <cell r="AG180">
            <v>18653</v>
          </cell>
          <cell r="AH180">
            <v>2680</v>
          </cell>
          <cell r="AI180">
            <v>15973</v>
          </cell>
          <cell r="AJ180">
            <v>14645.666666666666</v>
          </cell>
          <cell r="AK180">
            <v>37.053547217582221</v>
          </cell>
          <cell r="AL180">
            <v>14.401636362681359</v>
          </cell>
          <cell r="AM180">
            <v>0.26054716981132087</v>
          </cell>
          <cell r="AO180">
            <v>180507.18060200664</v>
          </cell>
          <cell r="AQ180">
            <v>214971.32545623303</v>
          </cell>
          <cell r="AR180">
            <v>23162.455373122713</v>
          </cell>
          <cell r="AS180">
            <v>193050.02716090184</v>
          </cell>
          <cell r="AT180">
            <v>170702.40684393549</v>
          </cell>
          <cell r="AV180">
            <v>15435.333333333334</v>
          </cell>
        </row>
        <row r="181">
          <cell r="B181">
            <v>34118</v>
          </cell>
          <cell r="C181">
            <v>75299</v>
          </cell>
          <cell r="E181">
            <v>14338</v>
          </cell>
          <cell r="G181">
            <v>17979</v>
          </cell>
          <cell r="I181">
            <v>18280</v>
          </cell>
          <cell r="K181">
            <v>3498</v>
          </cell>
          <cell r="M181">
            <v>14782</v>
          </cell>
          <cell r="O181">
            <v>14228</v>
          </cell>
          <cell r="Q181">
            <v>37.909052572392469</v>
          </cell>
          <cell r="T181">
            <v>82.968848714584254</v>
          </cell>
          <cell r="U181">
            <v>38.93410852713177</v>
          </cell>
          <cell r="V181">
            <v>31.319845153750634</v>
          </cell>
          <cell r="W181">
            <v>34.224245539320066</v>
          </cell>
          <cell r="X181">
            <v>202.59515570934258</v>
          </cell>
          <cell r="Y181">
            <v>18.607076947765378</v>
          </cell>
          <cell r="Z181">
            <v>39.723067858195037</v>
          </cell>
          <cell r="AA181">
            <v>-6.0141985380487206</v>
          </cell>
          <cell r="AB181">
            <v>19.135667396061269</v>
          </cell>
          <cell r="AC181">
            <v>4.6454800196549755</v>
          </cell>
          <cell r="AD181">
            <v>74659.666666666672</v>
          </cell>
          <cell r="AE181">
            <v>15575</v>
          </cell>
          <cell r="AF181">
            <v>18007</v>
          </cell>
          <cell r="AG181">
            <v>17466.333333333332</v>
          </cell>
          <cell r="AH181">
            <v>2553</v>
          </cell>
          <cell r="AI181">
            <v>14913.333333333334</v>
          </cell>
          <cell r="AJ181">
            <v>15091</v>
          </cell>
          <cell r="AK181">
            <v>35.86279581249709</v>
          </cell>
          <cell r="AL181">
            <v>14.510611375868935</v>
          </cell>
          <cell r="AM181">
            <v>0.22862109847716994</v>
          </cell>
          <cell r="AO181">
            <v>160202.47066757068</v>
          </cell>
          <cell r="AQ181">
            <v>225196.07549649294</v>
          </cell>
          <cell r="AR181">
            <v>42286.430754025445</v>
          </cell>
          <cell r="AS181">
            <v>182771.97974349049</v>
          </cell>
          <cell r="AT181">
            <v>164936.85508154851</v>
          </cell>
          <cell r="AV181">
            <v>15628.583333333334</v>
          </cell>
        </row>
        <row r="182">
          <cell r="B182">
            <v>34149</v>
          </cell>
          <cell r="C182">
            <v>73550</v>
          </cell>
          <cell r="E182">
            <v>16812</v>
          </cell>
          <cell r="G182">
            <v>17887</v>
          </cell>
          <cell r="I182">
            <v>16948</v>
          </cell>
          <cell r="K182">
            <v>2133</v>
          </cell>
          <cell r="M182">
            <v>14815</v>
          </cell>
          <cell r="O182">
            <v>15745</v>
          </cell>
          <cell r="Q182">
            <v>34.081295649412517</v>
          </cell>
          <cell r="T182">
            <v>75.776115479291633</v>
          </cell>
          <cell r="U182">
            <v>46.445993031358881</v>
          </cell>
          <cell r="V182">
            <v>30.600175233644865</v>
          </cell>
          <cell r="W182">
            <v>32.045188936501745</v>
          </cell>
          <cell r="X182">
            <v>73.555736371033362</v>
          </cell>
          <cell r="Y182">
            <v>27.649491642254009</v>
          </cell>
          <cell r="Z182">
            <v>43.803087039912313</v>
          </cell>
          <cell r="AA182">
            <v>-9.1812436561970241</v>
          </cell>
          <cell r="AB182">
            <v>12.58555581779561</v>
          </cell>
          <cell r="AC182">
            <v>2.9000679809653298</v>
          </cell>
          <cell r="AD182">
            <v>76502.666666666672</v>
          </cell>
          <cell r="AE182">
            <v>14293.666666666666</v>
          </cell>
          <cell r="AF182">
            <v>17489</v>
          </cell>
          <cell r="AG182">
            <v>18520</v>
          </cell>
          <cell r="AH182">
            <v>2438</v>
          </cell>
          <cell r="AI182">
            <v>16082</v>
          </cell>
          <cell r="AJ182">
            <v>14732.666666666666</v>
          </cell>
          <cell r="AK182">
            <v>35.667081510373194</v>
          </cell>
          <cell r="AL182">
            <v>13.332938395700344</v>
          </cell>
          <cell r="AM182">
            <v>0.19539700261695048</v>
          </cell>
          <cell r="AO182">
            <v>184700.03724732145</v>
          </cell>
          <cell r="AQ182">
            <v>227471.97923989379</v>
          </cell>
          <cell r="AR182">
            <v>28923.217913481301</v>
          </cell>
          <cell r="AS182">
            <v>198491.75718491222</v>
          </cell>
          <cell r="AT182">
            <v>175978.532444668</v>
          </cell>
          <cell r="AV182">
            <v>15896</v>
          </cell>
        </row>
        <row r="183">
          <cell r="B183">
            <v>34179</v>
          </cell>
          <cell r="C183">
            <v>80659</v>
          </cell>
          <cell r="E183">
            <v>11731</v>
          </cell>
          <cell r="G183">
            <v>16601</v>
          </cell>
          <cell r="I183">
            <v>20332</v>
          </cell>
          <cell r="K183">
            <v>1683</v>
          </cell>
          <cell r="M183">
            <v>18649</v>
          </cell>
          <cell r="O183">
            <v>14225</v>
          </cell>
          <cell r="Q183">
            <v>35.010896309314589</v>
          </cell>
          <cell r="T183">
            <v>65.400073821925119</v>
          </cell>
          <cell r="U183">
            <v>17.852119750853923</v>
          </cell>
          <cell r="V183">
            <v>28.311949296645533</v>
          </cell>
          <cell r="W183">
            <v>14.48842840250013</v>
          </cell>
          <cell r="X183">
            <v>74.585062240663902</v>
          </cell>
          <cell r="Y183">
            <v>11.03899970229234</v>
          </cell>
          <cell r="Z183">
            <v>30.122575923893159</v>
          </cell>
          <cell r="AA183">
            <v>-1.3914777004619183</v>
          </cell>
          <cell r="AB183">
            <v>8.2775919732441476</v>
          </cell>
          <cell r="AC183">
            <v>2.0865619459700717</v>
          </cell>
          <cell r="AD183">
            <v>78145</v>
          </cell>
          <cell r="AE183">
            <v>14901.333333333334</v>
          </cell>
          <cell r="AF183">
            <v>17314</v>
          </cell>
          <cell r="AG183">
            <v>18444.666666666668</v>
          </cell>
          <cell r="AH183">
            <v>1917</v>
          </cell>
          <cell r="AI183">
            <v>16627.333333333332</v>
          </cell>
          <cell r="AJ183">
            <v>14963.333333333334</v>
          </cell>
          <cell r="AK183">
            <v>34.729122073820569</v>
          </cell>
          <cell r="AL183">
            <v>10.526998083885969</v>
          </cell>
          <cell r="AM183">
            <v>0.23517094117924642</v>
          </cell>
          <cell r="AO183">
            <v>167790.50358745025</v>
          </cell>
          <cell r="AQ183">
            <v>264843.0307080925</v>
          </cell>
          <cell r="AR183">
            <v>24680.104555899692</v>
          </cell>
          <cell r="AS183">
            <v>237937.94774397573</v>
          </cell>
          <cell r="AT183">
            <v>171784.39582479896</v>
          </cell>
          <cell r="AV183">
            <v>16050.5</v>
          </cell>
        </row>
        <row r="184">
          <cell r="B184">
            <v>34210</v>
          </cell>
          <cell r="C184">
            <v>80226</v>
          </cell>
          <cell r="E184">
            <v>16161</v>
          </cell>
          <cell r="G184">
            <v>17454</v>
          </cell>
          <cell r="I184">
            <v>18054</v>
          </cell>
          <cell r="K184">
            <v>1935</v>
          </cell>
          <cell r="M184">
            <v>16418</v>
          </cell>
          <cell r="O184">
            <v>14920</v>
          </cell>
          <cell r="Q184">
            <v>35.095174262734588</v>
          </cell>
          <cell r="T184">
            <v>52.25172224014576</v>
          </cell>
          <cell r="U184">
            <v>45.110891622519532</v>
          </cell>
          <cell r="V184">
            <v>34.644758157833834</v>
          </cell>
          <cell r="W184">
            <v>10.07194244604317</v>
          </cell>
          <cell r="X184">
            <v>45.817633760361723</v>
          </cell>
          <cell r="Y184">
            <v>8.9087893864013168</v>
          </cell>
          <cell r="Z184">
            <v>36.930983847283414</v>
          </cell>
          <cell r="AA184">
            <v>-1.6696189753513613</v>
          </cell>
          <cell r="AB184">
            <v>10.717846460618146</v>
          </cell>
          <cell r="AC184">
            <v>2.4119362800089745</v>
          </cell>
          <cell r="AD184">
            <v>80730.666666666672</v>
          </cell>
          <cell r="AE184">
            <v>14775.666666666666</v>
          </cell>
          <cell r="AF184">
            <v>17289.666666666668</v>
          </cell>
          <cell r="AG184">
            <v>19613.333333333332</v>
          </cell>
          <cell r="AH184">
            <v>2241.6666666666665</v>
          </cell>
          <cell r="AI184">
            <v>17471.333333333332</v>
          </cell>
          <cell r="AJ184">
            <v>14963.333333333334</v>
          </cell>
          <cell r="AK184">
            <v>34.682758148764989</v>
          </cell>
          <cell r="AL184">
            <v>11.395207094394239</v>
          </cell>
          <cell r="AM184">
            <v>0.18940019005456965</v>
          </cell>
          <cell r="AO184">
            <v>191293.79770925315</v>
          </cell>
          <cell r="AQ184">
            <v>238357.77894670135</v>
          </cell>
          <cell r="AR184">
            <v>21112.104999070802</v>
          </cell>
          <cell r="AS184">
            <v>225287.87135538002</v>
          </cell>
          <cell r="AT184">
            <v>183376.31554179566</v>
          </cell>
          <cell r="AV184">
            <v>16162.416666666666</v>
          </cell>
        </row>
        <row r="185">
          <cell r="B185">
            <v>34241</v>
          </cell>
          <cell r="C185">
            <v>81307</v>
          </cell>
          <cell r="E185">
            <v>16435</v>
          </cell>
          <cell r="G185">
            <v>17814</v>
          </cell>
          <cell r="I185">
            <v>20454</v>
          </cell>
          <cell r="K185">
            <v>3107</v>
          </cell>
          <cell r="M185">
            <v>17347</v>
          </cell>
          <cell r="O185">
            <v>15745</v>
          </cell>
          <cell r="Q185">
            <v>33.942203874245791</v>
          </cell>
          <cell r="T185">
            <v>50.898259158902782</v>
          </cell>
          <cell r="U185">
            <v>31.785742923582717</v>
          </cell>
          <cell r="V185">
            <v>37.326549491211836</v>
          </cell>
          <cell r="W185">
            <v>25.208129285014703</v>
          </cell>
          <cell r="X185">
            <v>78.665899942495685</v>
          </cell>
          <cell r="Y185">
            <v>18.839487565938207</v>
          </cell>
          <cell r="Z185">
            <v>35.74446072937323</v>
          </cell>
          <cell r="AA185">
            <v>1.1654904762506302</v>
          </cell>
          <cell r="AB185">
            <v>15.190182849320427</v>
          </cell>
          <cell r="AC185">
            <v>3.8213191976090619</v>
          </cell>
          <cell r="AD185">
            <v>82222</v>
          </cell>
          <cell r="AE185">
            <v>16216.666666666666</v>
          </cell>
          <cell r="AF185">
            <v>17983.666666666668</v>
          </cell>
          <cell r="AG185">
            <v>20036</v>
          </cell>
          <cell r="AH185">
            <v>2362.6666666666665</v>
          </cell>
          <cell r="AI185">
            <v>17773</v>
          </cell>
          <cell r="AJ185">
            <v>15479</v>
          </cell>
          <cell r="AK185">
            <v>34.858135260302106</v>
          </cell>
          <cell r="AL185">
            <v>11.793417177386933</v>
          </cell>
          <cell r="AM185">
            <v>0.16714262830250171</v>
          </cell>
          <cell r="AO185">
            <v>195211.49667418792</v>
          </cell>
          <cell r="AQ185">
            <v>251089.7207901474</v>
          </cell>
          <cell r="AR185">
            <v>30811.89679402723</v>
          </cell>
          <cell r="AS185">
            <v>222812.58560464549</v>
          </cell>
          <cell r="AT185">
            <v>188703.66148340766</v>
          </cell>
          <cell r="AV185">
            <v>16391.583333333332</v>
          </cell>
        </row>
        <row r="186">
          <cell r="B186">
            <v>34271</v>
          </cell>
          <cell r="C186">
            <v>85133</v>
          </cell>
          <cell r="E186">
            <v>16054</v>
          </cell>
          <cell r="G186">
            <v>18683</v>
          </cell>
          <cell r="I186">
            <v>21600</v>
          </cell>
          <cell r="K186">
            <v>2046</v>
          </cell>
          <cell r="M186">
            <v>19554</v>
          </cell>
          <cell r="O186">
            <v>15772</v>
          </cell>
          <cell r="Q186">
            <v>35.537027643925946</v>
          </cell>
          <cell r="T186">
            <v>47.365414575038955</v>
          </cell>
          <cell r="U186">
            <v>19.761283103319659</v>
          </cell>
          <cell r="V186">
            <v>39.207212577304219</v>
          </cell>
          <cell r="W186">
            <v>11.564485305511084</v>
          </cell>
          <cell r="X186">
            <v>20.56570418385386</v>
          </cell>
          <cell r="Y186">
            <v>10.699728260869556</v>
          </cell>
          <cell r="Z186">
            <v>18.506273949958675</v>
          </cell>
          <cell r="AA186">
            <v>17.468221670767292</v>
          </cell>
          <cell r="AB186">
            <v>9.4722222222222214</v>
          </cell>
          <cell r="AC186">
            <v>2.4032983684352716</v>
          </cell>
          <cell r="AD186">
            <v>84431.666666666672</v>
          </cell>
          <cell r="AE186">
            <v>16001.333333333334</v>
          </cell>
          <cell r="AF186">
            <v>18461</v>
          </cell>
          <cell r="AG186">
            <v>20479</v>
          </cell>
          <cell r="AH186">
            <v>2417</v>
          </cell>
          <cell r="AI186">
            <v>18062</v>
          </cell>
          <cell r="AJ186">
            <v>15550</v>
          </cell>
          <cell r="AK186">
            <v>35.639754412310687</v>
          </cell>
          <cell r="AL186">
            <v>11.828774312571346</v>
          </cell>
          <cell r="AM186">
            <v>0.1713411331383381</v>
          </cell>
          <cell r="AO186">
            <v>177526.44688711478</v>
          </cell>
          <cell r="AQ186">
            <v>233522.47789345615</v>
          </cell>
          <cell r="AR186">
            <v>24234.080981298041</v>
          </cell>
          <cell r="AS186">
            <v>208058.26720623259</v>
          </cell>
          <cell r="AT186">
            <v>173254.76012750698</v>
          </cell>
          <cell r="AV186">
            <v>16549.083333333332</v>
          </cell>
        </row>
        <row r="187">
          <cell r="B187">
            <v>34302</v>
          </cell>
          <cell r="C187">
            <v>86855</v>
          </cell>
          <cell r="E187">
            <v>15515</v>
          </cell>
          <cell r="G187">
            <v>18886</v>
          </cell>
          <cell r="I187">
            <v>19383</v>
          </cell>
          <cell r="K187">
            <v>2098</v>
          </cell>
          <cell r="M187">
            <v>17285</v>
          </cell>
          <cell r="O187">
            <v>15133</v>
          </cell>
          <cell r="Q187">
            <v>37.440031718760324</v>
          </cell>
          <cell r="T187">
            <v>44.152891190333918</v>
          </cell>
          <cell r="U187">
            <v>27.088794233289647</v>
          </cell>
          <cell r="V187">
            <v>27.556396055653121</v>
          </cell>
          <cell r="W187">
            <v>27.561697926949648</v>
          </cell>
          <cell r="X187">
            <v>84.358523725834786</v>
          </cell>
          <cell r="Y187">
            <v>22.963648004552883</v>
          </cell>
          <cell r="Z187">
            <v>40.198258291643498</v>
          </cell>
          <cell r="AA187">
            <v>-9.0171321598678684</v>
          </cell>
          <cell r="AB187">
            <v>10.823917866171387</v>
          </cell>
          <cell r="AC187">
            <v>2.4155201197397962</v>
          </cell>
          <cell r="AD187">
            <v>89193</v>
          </cell>
          <cell r="AE187">
            <v>15072.666666666666</v>
          </cell>
          <cell r="AF187">
            <v>17779.666666666668</v>
          </cell>
          <cell r="AG187">
            <v>22331</v>
          </cell>
          <cell r="AH187">
            <v>2047.3333333333333</v>
          </cell>
          <cell r="AI187">
            <v>20283.666666666668</v>
          </cell>
          <cell r="AJ187">
            <v>16039</v>
          </cell>
          <cell r="AK187">
            <v>33.487898864175307</v>
          </cell>
          <cell r="AL187">
            <v>9.3259336626825284</v>
          </cell>
          <cell r="AM187">
            <v>0.15607561720130669</v>
          </cell>
          <cell r="AO187">
            <v>190762.85339772751</v>
          </cell>
          <cell r="AQ187">
            <v>238611.75829024479</v>
          </cell>
          <cell r="AR187">
            <v>24689.610856100542</v>
          </cell>
          <cell r="AS187">
            <v>214645.78905526156</v>
          </cell>
          <cell r="AT187">
            <v>197221.82155660316</v>
          </cell>
          <cell r="AV187">
            <v>16818.083333333332</v>
          </cell>
        </row>
        <row r="188">
          <cell r="B188">
            <v>34332</v>
          </cell>
          <cell r="C188">
            <v>95591</v>
          </cell>
          <cell r="E188">
            <v>13649</v>
          </cell>
          <cell r="G188">
            <v>15770</v>
          </cell>
          <cell r="I188">
            <v>26010</v>
          </cell>
          <cell r="K188">
            <v>1998</v>
          </cell>
          <cell r="M188">
            <v>24012</v>
          </cell>
          <cell r="O188">
            <v>17212</v>
          </cell>
          <cell r="Q188">
            <v>27.486637229839644</v>
          </cell>
          <cell r="T188">
            <v>42.692301951008346</v>
          </cell>
          <cell r="U188">
            <v>25.358192505510658</v>
          </cell>
          <cell r="V188">
            <v>18.687438850003769</v>
          </cell>
          <cell r="W188">
            <v>29.01145776499181</v>
          </cell>
          <cell r="X188">
            <v>21.606816798539263</v>
          </cell>
          <cell r="Y188">
            <v>29.668430716060044</v>
          </cell>
          <cell r="Z188">
            <v>33.271389856755704</v>
          </cell>
          <cell r="AA188">
            <v>-10.943047132942219</v>
          </cell>
          <cell r="AB188">
            <v>7.6816608996539788</v>
          </cell>
          <cell r="AC188">
            <v>2.090154930903537</v>
          </cell>
          <cell r="AD188">
            <v>94803</v>
          </cell>
          <cell r="AE188">
            <v>14259.666666666666</v>
          </cell>
          <cell r="AF188">
            <v>17567.333333333332</v>
          </cell>
          <cell r="AG188">
            <v>22472</v>
          </cell>
          <cell r="AH188">
            <v>1998.3333333333333</v>
          </cell>
          <cell r="AI188">
            <v>20473.666666666668</v>
          </cell>
          <cell r="AJ188">
            <v>14971.333333333334</v>
          </cell>
          <cell r="AK188">
            <v>35.999769327046785</v>
          </cell>
          <cell r="AL188">
            <v>9.0427940662000648</v>
          </cell>
          <cell r="AM188">
            <v>0.20012648070106454</v>
          </cell>
          <cell r="AO188">
            <v>191212.81873163427</v>
          </cell>
          <cell r="AQ188">
            <v>295214.99977298669</v>
          </cell>
          <cell r="AR188">
            <v>26796.797167332952</v>
          </cell>
          <cell r="AS188">
            <v>265007.6024452027</v>
          </cell>
          <cell r="AT188">
            <v>189848.48051211951</v>
          </cell>
          <cell r="AV188">
            <v>17371.461538461539</v>
          </cell>
        </row>
        <row r="189">
          <cell r="B189">
            <v>34363</v>
          </cell>
          <cell r="C189">
            <v>101963</v>
          </cell>
          <cell r="E189">
            <v>13615</v>
          </cell>
          <cell r="G189">
            <v>18046</v>
          </cell>
          <cell r="I189">
            <v>22023</v>
          </cell>
          <cell r="K189">
            <v>1899</v>
          </cell>
          <cell r="M189">
            <v>20124</v>
          </cell>
          <cell r="O189">
            <v>12569</v>
          </cell>
          <cell r="Q189">
            <v>43.07263903254038</v>
          </cell>
          <cell r="T189">
            <v>44.839978976376841</v>
          </cell>
          <cell r="U189">
            <v>14.382928673443661</v>
          </cell>
          <cell r="V189">
            <v>21.146616541353392</v>
          </cell>
          <cell r="W189">
            <v>25.745118191161364</v>
          </cell>
          <cell r="X189">
            <v>4.2261251372118558</v>
          </cell>
          <cell r="Y189">
            <v>28.24369105276574</v>
          </cell>
          <cell r="Z189">
            <v>23.285924472780771</v>
          </cell>
          <cell r="AA189">
            <v>-1.7352410184503286</v>
          </cell>
          <cell r="AB189">
            <v>8.6228034327748269</v>
          </cell>
          <cell r="AC189">
            <v>1.8624402969704696</v>
          </cell>
          <cell r="AD189">
            <v>104071</v>
          </cell>
          <cell r="AE189">
            <v>14776.666666666666</v>
          </cell>
          <cell r="AF189">
            <v>18867.333333333332</v>
          </cell>
          <cell r="AG189">
            <v>25451.666666666668</v>
          </cell>
          <cell r="AH189">
            <v>1782</v>
          </cell>
          <cell r="AI189">
            <v>23669.666666666668</v>
          </cell>
          <cell r="AJ189">
            <v>14648</v>
          </cell>
          <cell r="AK189">
            <v>39.608158104546781</v>
          </cell>
          <cell r="AL189">
            <v>7.1402094817109045</v>
          </cell>
          <cell r="AM189">
            <v>0.19139540487590234</v>
          </cell>
          <cell r="AO189">
            <v>169675.61056058132</v>
          </cell>
          <cell r="AQ189">
            <v>242660.6919234363</v>
          </cell>
          <cell r="AR189">
            <v>22744.842670039576</v>
          </cell>
          <cell r="AS189">
            <v>218515.89787847578</v>
          </cell>
          <cell r="AT189">
            <v>178225.26661618473</v>
          </cell>
          <cell r="AV189">
            <v>17495</v>
          </cell>
        </row>
        <row r="190">
          <cell r="B190">
            <v>34393</v>
          </cell>
          <cell r="C190">
            <v>114659</v>
          </cell>
          <cell r="E190">
            <v>17066</v>
          </cell>
          <cell r="G190">
            <v>22786</v>
          </cell>
          <cell r="I190">
            <v>28322</v>
          </cell>
          <cell r="K190">
            <v>1449</v>
          </cell>
          <cell r="M190">
            <v>26873</v>
          </cell>
          <cell r="O190">
            <v>14163</v>
          </cell>
          <cell r="Q190">
            <v>48.265198051260327</v>
          </cell>
          <cell r="T190">
            <v>55.699949756249922</v>
          </cell>
          <cell r="U190">
            <v>30.076219512195124</v>
          </cell>
          <cell r="V190">
            <v>37.157647625353633</v>
          </cell>
          <cell r="W190">
            <v>67.318485260235121</v>
          </cell>
          <cell r="X190">
            <v>10.864575363427686</v>
          </cell>
          <cell r="Y190">
            <v>72.042253521126767</v>
          </cell>
          <cell r="Z190">
            <v>27.250673854447438</v>
          </cell>
          <cell r="AA190">
            <v>7.7853998496212773</v>
          </cell>
          <cell r="AB190">
            <v>5.1161641127039053</v>
          </cell>
          <cell r="AC190">
            <v>1.2637472854289675</v>
          </cell>
          <cell r="AD190">
            <v>113495</v>
          </cell>
          <cell r="AE190">
            <v>16639</v>
          </cell>
          <cell r="AF190">
            <v>21013</v>
          </cell>
          <cell r="AG190">
            <v>28037</v>
          </cell>
          <cell r="AH190">
            <v>1966.3333333333333</v>
          </cell>
          <cell r="AI190">
            <v>26070.666666666668</v>
          </cell>
          <cell r="AJ190">
            <v>14797</v>
          </cell>
          <cell r="AK190">
            <v>43.021402968511552</v>
          </cell>
          <cell r="AL190">
            <v>7.097968154757595</v>
          </cell>
          <cell r="AM190">
            <v>0.21704979572684002</v>
          </cell>
          <cell r="AO190">
            <v>212284.6207714208</v>
          </cell>
          <cell r="AQ190">
            <v>331711.59364448738</v>
          </cell>
          <cell r="AR190">
            <v>18854.405984042551</v>
          </cell>
          <cell r="AS190">
            <v>309047.16982071893</v>
          </cell>
          <cell r="AT190">
            <v>198261.42411633613</v>
          </cell>
          <cell r="AV190">
            <v>18355.076923076922</v>
          </cell>
        </row>
        <row r="191">
          <cell r="B191">
            <v>34422</v>
          </cell>
          <cell r="C191">
            <v>123863</v>
          </cell>
          <cell r="E191">
            <v>19236</v>
          </cell>
          <cell r="G191">
            <v>22207</v>
          </cell>
          <cell r="I191">
            <v>33766</v>
          </cell>
          <cell r="K191">
            <v>2551</v>
          </cell>
          <cell r="M191">
            <v>31215</v>
          </cell>
          <cell r="O191">
            <v>17659</v>
          </cell>
          <cell r="Q191">
            <v>37.726371821733956</v>
          </cell>
          <cell r="T191">
            <v>62.77416387410473</v>
          </cell>
          <cell r="U191">
            <v>20.300187617260779</v>
          </cell>
          <cell r="V191">
            <v>22.792369366878628</v>
          </cell>
          <cell r="W191">
            <v>64.647942266432608</v>
          </cell>
          <cell r="X191">
            <v>1.4717581543357117</v>
          </cell>
          <cell r="Y191">
            <v>73.474491497165715</v>
          </cell>
          <cell r="Z191">
            <v>22.55534735234923</v>
          </cell>
          <cell r="AA191">
            <v>0.19339997776510742</v>
          </cell>
          <cell r="AB191">
            <v>7.5549369187940529</v>
          </cell>
          <cell r="AC191">
            <v>2.0595335168694442</v>
          </cell>
          <cell r="AD191">
            <v>122876.66666666667</v>
          </cell>
          <cell r="AE191">
            <v>17930</v>
          </cell>
          <cell r="AF191">
            <v>22025.666666666668</v>
          </cell>
          <cell r="AG191">
            <v>30038.333333333332</v>
          </cell>
          <cell r="AH191">
            <v>2481.3333333333335</v>
          </cell>
          <cell r="AI191">
            <v>27557</v>
          </cell>
          <cell r="AJ191">
            <v>16751.333333333332</v>
          </cell>
          <cell r="AK191">
            <v>40.102658707664766</v>
          </cell>
          <cell r="AL191">
            <v>8.3197505811038557</v>
          </cell>
          <cell r="AM191">
            <v>0.25736854340503612</v>
          </cell>
          <cell r="AO191">
            <v>211786.40496152849</v>
          </cell>
          <cell r="AQ191">
            <v>365043.43152535241</v>
          </cell>
          <cell r="AR191">
            <v>28037.313302632068</v>
          </cell>
          <cell r="AS191">
            <v>336483.36654364027</v>
          </cell>
          <cell r="AT191">
            <v>203813.7240736362</v>
          </cell>
          <cell r="AV191">
            <v>19554.692307692309</v>
          </cell>
        </row>
        <row r="192">
          <cell r="B192">
            <v>34453</v>
          </cell>
          <cell r="C192">
            <v>130108</v>
          </cell>
          <cell r="E192">
            <v>17488</v>
          </cell>
          <cell r="G192">
            <v>21084</v>
          </cell>
          <cell r="I192">
            <v>28027</v>
          </cell>
          <cell r="K192">
            <v>3444</v>
          </cell>
          <cell r="M192">
            <v>24583</v>
          </cell>
          <cell r="O192">
            <v>18432</v>
          </cell>
          <cell r="Q192">
            <v>34.31640625</v>
          </cell>
          <cell r="T192">
            <v>73.177159590043914</v>
          </cell>
          <cell r="U192">
            <v>12.2825040128411</v>
          </cell>
          <cell r="V192">
            <v>16.133296612503443</v>
          </cell>
          <cell r="W192">
            <v>63.222875778929598</v>
          </cell>
          <cell r="X192">
            <v>69.822485207100598</v>
          </cell>
          <cell r="Y192">
            <v>62.339034537410029</v>
          </cell>
          <cell r="Z192">
            <v>20.470588235294109</v>
          </cell>
          <cell r="AA192">
            <v>-3.6002908978242987</v>
          </cell>
          <cell r="AB192">
            <v>12.288150711813609</v>
          </cell>
          <cell r="AC192">
            <v>2.6470316967442433</v>
          </cell>
          <cell r="AD192">
            <v>131089</v>
          </cell>
          <cell r="AE192">
            <v>18335</v>
          </cell>
          <cell r="AF192">
            <v>21602</v>
          </cell>
          <cell r="AG192">
            <v>29953</v>
          </cell>
          <cell r="AH192">
            <v>2984</v>
          </cell>
          <cell r="AI192">
            <v>26969</v>
          </cell>
          <cell r="AJ192">
            <v>17665</v>
          </cell>
          <cell r="AK192">
            <v>36.742016101210574</v>
          </cell>
          <cell r="AL192">
            <v>10.126322447571612</v>
          </cell>
          <cell r="AM192">
            <v>0.28047133914324296</v>
          </cell>
          <cell r="AO192">
            <v>202677.98230291443</v>
          </cell>
          <cell r="AQ192">
            <v>350882.37950974569</v>
          </cell>
          <cell r="AR192">
            <v>39335.057349622599</v>
          </cell>
          <cell r="AS192">
            <v>313395.55026721582</v>
          </cell>
          <cell r="AT192">
            <v>205646.19365669403</v>
          </cell>
          <cell r="AV192">
            <v>20061.538461538461</v>
          </cell>
        </row>
        <row r="193">
          <cell r="B193">
            <v>34483</v>
          </cell>
          <cell r="C193">
            <v>139296</v>
          </cell>
          <cell r="E193">
            <v>18281</v>
          </cell>
          <cell r="G193">
            <v>21515</v>
          </cell>
          <cell r="I193">
            <v>28066</v>
          </cell>
          <cell r="K193">
            <v>2957</v>
          </cell>
          <cell r="M193">
            <v>25109</v>
          </cell>
          <cell r="O193">
            <v>16904</v>
          </cell>
          <cell r="Q193">
            <v>38.183270231897779</v>
          </cell>
          <cell r="T193">
            <v>84.990504521972412</v>
          </cell>
          <cell r="U193">
            <v>27.500348723671351</v>
          </cell>
          <cell r="V193">
            <v>19.667389732465644</v>
          </cell>
          <cell r="W193">
            <v>53.53391684901532</v>
          </cell>
          <cell r="X193">
            <v>-15.46598056032018</v>
          </cell>
          <cell r="Y193">
            <v>69.861994317413064</v>
          </cell>
          <cell r="Z193">
            <v>18.807984256395848</v>
          </cell>
          <cell r="AA193">
            <v>0.72335666786094155</v>
          </cell>
          <cell r="AB193">
            <v>10.535879712107175</v>
          </cell>
          <cell r="AC193">
            <v>2.1228175970594991</v>
          </cell>
          <cell r="AD193">
            <v>138941.66666666666</v>
          </cell>
          <cell r="AE193">
            <v>18720.666666666668</v>
          </cell>
          <cell r="AF193">
            <v>21153.333333333332</v>
          </cell>
          <cell r="AG193">
            <v>28337.666666666668</v>
          </cell>
          <cell r="AH193">
            <v>2718.6666666666665</v>
          </cell>
          <cell r="AI193">
            <v>25619</v>
          </cell>
          <cell r="AJ193">
            <v>18077.333333333332</v>
          </cell>
          <cell r="AK193">
            <v>35.206461452193416</v>
          </cell>
          <cell r="AL193">
            <v>9.6308317180704126</v>
          </cell>
          <cell r="AM193">
            <v>0.31197154776844771</v>
          </cell>
          <cell r="AO193">
            <v>204258.70876508995</v>
          </cell>
          <cell r="AQ193">
            <v>345752.35530003125</v>
          </cell>
          <cell r="AR193">
            <v>35746.419593954612</v>
          </cell>
          <cell r="AS193">
            <v>310460.12984571123</v>
          </cell>
          <cell r="AT193">
            <v>195958.15281828056</v>
          </cell>
          <cell r="AV193">
            <v>20828.153846153848</v>
          </cell>
        </row>
        <row r="194">
          <cell r="B194">
            <v>34514</v>
          </cell>
          <cell r="C194">
            <v>147421</v>
          </cell>
          <cell r="E194">
            <v>20393</v>
          </cell>
          <cell r="G194">
            <v>20861</v>
          </cell>
          <cell r="I194">
            <v>28920</v>
          </cell>
          <cell r="K194">
            <v>1755</v>
          </cell>
          <cell r="M194">
            <v>27165</v>
          </cell>
          <cell r="O194">
            <v>18896</v>
          </cell>
          <cell r="Q194">
            <v>33.119707874682476</v>
          </cell>
          <cell r="T194">
            <v>100.43643779741673</v>
          </cell>
          <cell r="U194">
            <v>21.3002617178206</v>
          </cell>
          <cell r="V194">
            <v>16.626600324257844</v>
          </cell>
          <cell r="W194">
            <v>70.639603493037527</v>
          </cell>
          <cell r="X194">
            <v>-17.721518987341767</v>
          </cell>
          <cell r="Y194">
            <v>83.361457981775231</v>
          </cell>
          <cell r="Z194">
            <v>20.012702445220711</v>
          </cell>
          <cell r="AA194">
            <v>-2.8214531061896864</v>
          </cell>
          <cell r="AB194">
            <v>6.0684647302904562</v>
          </cell>
          <cell r="AC194">
            <v>1.1904681151260674</v>
          </cell>
          <cell r="AD194">
            <v>150281.33333333334</v>
          </cell>
          <cell r="AE194">
            <v>17795</v>
          </cell>
          <cell r="AF194">
            <v>21689.666666666668</v>
          </cell>
          <cell r="AG194">
            <v>29569.666666666668</v>
          </cell>
          <cell r="AH194">
            <v>3077.3333333333335</v>
          </cell>
          <cell r="AI194">
            <v>26492.333333333332</v>
          </cell>
          <cell r="AJ194">
            <v>17439</v>
          </cell>
          <cell r="AK194">
            <v>37.506837185654902</v>
          </cell>
          <cell r="AL194">
            <v>10.284227203671154</v>
          </cell>
          <cell r="AM194">
            <v>0.33286731062531771</v>
          </cell>
          <cell r="AO194">
            <v>224041.62857391307</v>
          </cell>
          <cell r="AQ194">
            <v>388157.28343271936</v>
          </cell>
          <cell r="AR194">
            <v>23797.584359193475</v>
          </cell>
          <cell r="AS194">
            <v>363957.37994790013</v>
          </cell>
          <cell r="AT194">
            <v>211196.59251028558</v>
          </cell>
          <cell r="AV194">
            <v>21780.692307692309</v>
          </cell>
        </row>
        <row r="195">
          <cell r="B195">
            <v>34544</v>
          </cell>
          <cell r="C195">
            <v>164127</v>
          </cell>
          <cell r="E195">
            <v>14711</v>
          </cell>
          <cell r="G195">
            <v>22693</v>
          </cell>
          <cell r="I195">
            <v>31723</v>
          </cell>
          <cell r="K195">
            <v>4520</v>
          </cell>
          <cell r="M195">
            <v>27203</v>
          </cell>
          <cell r="O195">
            <v>16517</v>
          </cell>
          <cell r="Q195">
            <v>41.217533450384451</v>
          </cell>
          <cell r="T195">
            <v>103.48256239229347</v>
          </cell>
          <cell r="U195">
            <v>25.402778961725335</v>
          </cell>
          <cell r="V195">
            <v>36.69658454309981</v>
          </cell>
          <cell r="W195">
            <v>56.024985244934086</v>
          </cell>
          <cell r="X195">
            <v>168.56803327391563</v>
          </cell>
          <cell r="Y195">
            <v>45.868411174861933</v>
          </cell>
          <cell r="Z195">
            <v>16.112478031634446</v>
          </cell>
          <cell r="AA195">
            <v>17.727729922237366</v>
          </cell>
          <cell r="AB195">
            <v>14.24833716861583</v>
          </cell>
          <cell r="AC195">
            <v>2.7539649174115164</v>
          </cell>
          <cell r="AD195">
            <v>161878.66666666666</v>
          </cell>
          <cell r="AE195">
            <v>18417.666666666668</v>
          </cell>
          <cell r="AF195">
            <v>21306.666666666668</v>
          </cell>
          <cell r="AG195">
            <v>32351.333333333332</v>
          </cell>
          <cell r="AH195">
            <v>2966</v>
          </cell>
          <cell r="AI195">
            <v>29385.333333333332</v>
          </cell>
          <cell r="AJ195">
            <v>17981.333333333332</v>
          </cell>
          <cell r="AK195">
            <v>35.769313024927875</v>
          </cell>
          <cell r="AL195">
            <v>9.1735562873955363</v>
          </cell>
          <cell r="AM195">
            <v>0.40507761428197853</v>
          </cell>
          <cell r="AO195">
            <v>210413.95433253609</v>
          </cell>
          <cell r="AQ195">
            <v>413221.29958453757</v>
          </cell>
          <cell r="AR195">
            <v>66282.871415725851</v>
          </cell>
          <cell r="AS195">
            <v>347076.30395621061</v>
          </cell>
          <cell r="AT195">
            <v>199463.11886384565</v>
          </cell>
          <cell r="AV195">
            <v>22733.615384615383</v>
          </cell>
        </row>
        <row r="196">
          <cell r="B196">
            <v>34575</v>
          </cell>
          <cell r="C196">
            <v>174088</v>
          </cell>
          <cell r="E196">
            <v>20149</v>
          </cell>
          <cell r="G196">
            <v>20366</v>
          </cell>
          <cell r="I196">
            <v>36411</v>
          </cell>
          <cell r="K196">
            <v>2623</v>
          </cell>
          <cell r="M196">
            <v>33788</v>
          </cell>
          <cell r="O196">
            <v>18531</v>
          </cell>
          <cell r="Q196">
            <v>32.970697749716692</v>
          </cell>
          <cell r="T196">
            <v>116.99698352155164</v>
          </cell>
          <cell r="U196">
            <v>24.676690798836699</v>
          </cell>
          <cell r="V196">
            <v>16.683854703792832</v>
          </cell>
          <cell r="W196">
            <v>101.67829843801925</v>
          </cell>
          <cell r="X196">
            <v>35.555555555555564</v>
          </cell>
          <cell r="Y196">
            <v>105.7985138262882</v>
          </cell>
          <cell r="Z196">
            <v>24.202412868632717</v>
          </cell>
          <cell r="AA196">
            <v>-6.053471902186125</v>
          </cell>
          <cell r="AB196">
            <v>7.2038669632803272</v>
          </cell>
          <cell r="AC196">
            <v>1.5067092504940029</v>
          </cell>
          <cell r="AD196">
            <v>175522.66666666666</v>
          </cell>
          <cell r="AE196">
            <v>18231</v>
          </cell>
          <cell r="AF196">
            <v>21572.333333333332</v>
          </cell>
          <cell r="AG196">
            <v>34977</v>
          </cell>
          <cell r="AH196">
            <v>3373.3333333333335</v>
          </cell>
          <cell r="AI196">
            <v>31603.666666666668</v>
          </cell>
          <cell r="AJ196">
            <v>17700.333333333332</v>
          </cell>
          <cell r="AK196">
            <v>36.726308422523054</v>
          </cell>
          <cell r="AL196">
            <v>9.8475125276642377</v>
          </cell>
          <cell r="AM196">
            <v>0.42021366564115681</v>
          </cell>
          <cell r="AO196">
            <v>238498.77668731773</v>
          </cell>
          <cell r="AQ196">
            <v>480715.9127743626</v>
          </cell>
          <cell r="AR196">
            <v>28618.631220962645</v>
          </cell>
          <cell r="AS196">
            <v>463639.09108025214</v>
          </cell>
          <cell r="AT196">
            <v>227757.80853250774</v>
          </cell>
          <cell r="AV196">
            <v>23898.153846153848</v>
          </cell>
        </row>
        <row r="197">
          <cell r="B197">
            <v>34606</v>
          </cell>
          <cell r="C197">
            <v>188353</v>
          </cell>
          <cell r="E197">
            <v>19833</v>
          </cell>
          <cell r="G197">
            <v>21658</v>
          </cell>
          <cell r="I197">
            <v>36797</v>
          </cell>
          <cell r="K197">
            <v>2977</v>
          </cell>
          <cell r="M197">
            <v>33820</v>
          </cell>
          <cell r="O197">
            <v>18053</v>
          </cell>
          <cell r="Q197">
            <v>35.990694067468013</v>
          </cell>
          <cell r="T197">
            <v>131.6565609357128</v>
          </cell>
          <cell r="U197">
            <v>20.675387891694562</v>
          </cell>
          <cell r="V197">
            <v>21.578533737509819</v>
          </cell>
          <cell r="W197">
            <v>79.901241810892728</v>
          </cell>
          <cell r="X197">
            <v>-4.1841004184100417</v>
          </cell>
          <cell r="Y197">
            <v>94.961664841182909</v>
          </cell>
          <cell r="Z197">
            <v>14.658621784693548</v>
          </cell>
          <cell r="AA197">
            <v>6.0352303604438218</v>
          </cell>
          <cell r="AB197">
            <v>8.0903334510965568</v>
          </cell>
          <cell r="AC197">
            <v>1.5805429167573652</v>
          </cell>
          <cell r="AD197">
            <v>187983.33333333334</v>
          </cell>
          <cell r="AE197">
            <v>19985.333333333332</v>
          </cell>
          <cell r="AF197">
            <v>21808</v>
          </cell>
          <cell r="AG197">
            <v>36264</v>
          </cell>
          <cell r="AH197">
            <v>2874.3333333333335</v>
          </cell>
          <cell r="AI197">
            <v>33389.666666666664</v>
          </cell>
          <cell r="AJ197">
            <v>18700</v>
          </cell>
          <cell r="AK197">
            <v>34.977292524154144</v>
          </cell>
          <cell r="AL197">
            <v>7.9298638671424149</v>
          </cell>
          <cell r="AM197">
            <v>0.47500505788468028</v>
          </cell>
          <cell r="AO197">
            <v>235572.23082075868</v>
          </cell>
          <cell r="AQ197">
            <v>451713.52576097846</v>
          </cell>
          <cell r="AR197">
            <v>29522.696091348265</v>
          </cell>
          <cell r="AS197">
            <v>434399.12637050269</v>
          </cell>
          <cell r="AT197">
            <v>216365.01751412885</v>
          </cell>
          <cell r="AV197">
            <v>25236.76923076923</v>
          </cell>
        </row>
        <row r="198">
          <cell r="B198">
            <v>34636</v>
          </cell>
          <cell r="C198">
            <v>201509</v>
          </cell>
          <cell r="E198">
            <v>19974</v>
          </cell>
          <cell r="G198">
            <v>23400</v>
          </cell>
          <cell r="I198">
            <v>35584</v>
          </cell>
          <cell r="K198">
            <v>3023</v>
          </cell>
          <cell r="M198">
            <v>32561</v>
          </cell>
          <cell r="O198">
            <v>19516</v>
          </cell>
          <cell r="Q198">
            <v>35.970485755277721</v>
          </cell>
          <cell r="T198">
            <v>136.6990473729341</v>
          </cell>
          <cell r="U198">
            <v>24.417590631618282</v>
          </cell>
          <cell r="V198">
            <v>25.247551249799294</v>
          </cell>
          <cell r="W198">
            <v>64.740740740740748</v>
          </cell>
          <cell r="X198">
            <v>47.75171065493646</v>
          </cell>
          <cell r="Y198">
            <v>66.518359414953451</v>
          </cell>
          <cell r="Z198">
            <v>23.73827035252345</v>
          </cell>
          <cell r="AA198">
            <v>1.219736539856231</v>
          </cell>
          <cell r="AB198">
            <v>8.4953911870503589</v>
          </cell>
          <cell r="AC198">
            <v>1.5001811333488828</v>
          </cell>
          <cell r="AD198">
            <v>197564.33333333334</v>
          </cell>
          <cell r="AE198">
            <v>19617.666666666668</v>
          </cell>
          <cell r="AF198">
            <v>23001</v>
          </cell>
          <cell r="AG198">
            <v>33734.333333333336</v>
          </cell>
          <cell r="AH198">
            <v>4797.333333333333</v>
          </cell>
          <cell r="AI198">
            <v>28937</v>
          </cell>
          <cell r="AJ198">
            <v>18431.666666666668</v>
          </cell>
          <cell r="AK198">
            <v>37.495465672608802</v>
          </cell>
          <cell r="AL198">
            <v>15.234123881302134</v>
          </cell>
          <cell r="AM198">
            <v>0.51923315218353361</v>
          </cell>
          <cell r="AO198">
            <v>220874.12795086773</v>
          </cell>
          <cell r="AQ198">
            <v>384706.6598778122</v>
          </cell>
          <cell r="AR198">
            <v>35806.269211370469</v>
          </cell>
          <cell r="AS198">
            <v>346455.21317899862</v>
          </cell>
          <cell r="AT198">
            <v>214382.4434851906</v>
          </cell>
          <cell r="AV198">
            <v>26407.076923076922</v>
          </cell>
        </row>
        <row r="199">
          <cell r="B199">
            <v>34667</v>
          </cell>
          <cell r="C199">
            <v>202831</v>
          </cell>
          <cell r="E199">
            <v>19046</v>
          </cell>
          <cell r="G199">
            <v>23945</v>
          </cell>
          <cell r="I199">
            <v>28822</v>
          </cell>
          <cell r="K199">
            <v>8392</v>
          </cell>
          <cell r="M199">
            <v>20430</v>
          </cell>
          <cell r="O199">
            <v>17726</v>
          </cell>
          <cell r="Q199">
            <v>40.525217195080671</v>
          </cell>
          <cell r="T199">
            <v>133.52829428357609</v>
          </cell>
          <cell r="U199">
            <v>22.758620689655174</v>
          </cell>
          <cell r="V199">
            <v>26.787038017579157</v>
          </cell>
          <cell r="W199">
            <v>48.697312077593757</v>
          </cell>
          <cell r="X199">
            <v>300</v>
          </cell>
          <cell r="Y199">
            <v>18.194966734162566</v>
          </cell>
          <cell r="Z199">
            <v>17.134738650631064</v>
          </cell>
          <cell r="AA199">
            <v>8.2403388423798685</v>
          </cell>
          <cell r="AB199">
            <v>29.116647005759489</v>
          </cell>
          <cell r="AC199">
            <v>4.1374346130522452</v>
          </cell>
          <cell r="AD199">
            <v>203883.33333333334</v>
          </cell>
          <cell r="AE199">
            <v>18312.333333333332</v>
          </cell>
          <cell r="AF199">
            <v>23744.333333333332</v>
          </cell>
          <cell r="AG199">
            <v>31730.333333333332</v>
          </cell>
          <cell r="AH199">
            <v>6331.666666666667</v>
          </cell>
          <cell r="AI199">
            <v>25398.666666666668</v>
          </cell>
          <cell r="AJ199">
            <v>18827</v>
          </cell>
          <cell r="AK199">
            <v>37.915013411333668</v>
          </cell>
          <cell r="AL199">
            <v>20.744806407510705</v>
          </cell>
          <cell r="AM199">
            <v>0.50320585614703273</v>
          </cell>
          <cell r="AO199">
            <v>234177.84761927929</v>
          </cell>
          <cell r="AQ199">
            <v>354809.270878679</v>
          </cell>
          <cell r="AR199">
            <v>98758.443424402169</v>
          </cell>
          <cell r="AS199">
            <v>253700.51897014715</v>
          </cell>
          <cell r="AT199">
            <v>231015.26524234106</v>
          </cell>
          <cell r="AV199">
            <v>26474.461538461539</v>
          </cell>
        </row>
        <row r="200">
          <cell r="B200">
            <v>34697</v>
          </cell>
          <cell r="C200">
            <v>207310</v>
          </cell>
          <cell r="E200">
            <v>15917</v>
          </cell>
          <cell r="G200">
            <v>23888</v>
          </cell>
          <cell r="I200">
            <v>30785</v>
          </cell>
          <cell r="K200">
            <v>7580</v>
          </cell>
          <cell r="M200">
            <v>23205</v>
          </cell>
          <cell r="O200">
            <v>19239</v>
          </cell>
          <cell r="Q200">
            <v>37.249337283642603</v>
          </cell>
          <cell r="T200">
            <v>116.87188124405017</v>
          </cell>
          <cell r="U200">
            <v>16.616601948860719</v>
          </cell>
          <cell r="V200">
            <v>51.47748890298034</v>
          </cell>
          <cell r="W200">
            <v>18.358323721645519</v>
          </cell>
          <cell r="X200">
            <v>279.37937937937937</v>
          </cell>
          <cell r="Y200">
            <v>-3.3608195902048998</v>
          </cell>
          <cell r="Z200">
            <v>11.776667441319999</v>
          </cell>
          <cell r="AA200">
            <v>35.517986329751963</v>
          </cell>
          <cell r="AB200">
            <v>24.622381029722266</v>
          </cell>
          <cell r="AC200">
            <v>3.6563600405190293</v>
          </cell>
          <cell r="AD200">
            <v>207213</v>
          </cell>
          <cell r="AE200">
            <v>18166.666666666668</v>
          </cell>
          <cell r="AF200">
            <v>23819.666666666668</v>
          </cell>
          <cell r="AG200">
            <v>29866</v>
          </cell>
          <cell r="AH200">
            <v>6618</v>
          </cell>
          <cell r="AI200">
            <v>23248</v>
          </cell>
          <cell r="AJ200">
            <v>17982</v>
          </cell>
          <cell r="AK200">
            <v>39.838048595551889</v>
          </cell>
          <cell r="AL200">
            <v>22.227637066810413</v>
          </cell>
          <cell r="AM200">
            <v>0.5263823367835434</v>
          </cell>
          <cell r="AO200">
            <v>222985.89169546653</v>
          </cell>
          <cell r="AQ200">
            <v>349411.52510616666</v>
          </cell>
          <cell r="AR200">
            <v>101661.52278697887</v>
          </cell>
          <cell r="AS200">
            <v>256101.17502669204</v>
          </cell>
          <cell r="AT200">
            <v>212206.30470443104</v>
          </cell>
          <cell r="AV200">
            <v>26929.846153846152</v>
          </cell>
        </row>
        <row r="201">
          <cell r="B201">
            <v>34728</v>
          </cell>
          <cell r="C201">
            <v>211498</v>
          </cell>
          <cell r="E201">
            <v>19537</v>
          </cell>
          <cell r="G201">
            <v>23626</v>
          </cell>
          <cell r="I201">
            <v>29991</v>
          </cell>
          <cell r="K201">
            <v>3882</v>
          </cell>
          <cell r="M201">
            <v>26109</v>
          </cell>
          <cell r="O201">
            <v>16981</v>
          </cell>
          <cell r="Q201">
            <v>41.7395913079324</v>
          </cell>
          <cell r="T201">
            <v>107.42622323784117</v>
          </cell>
          <cell r="U201">
            <v>43.496143958868892</v>
          </cell>
          <cell r="V201">
            <v>30.920979718497165</v>
          </cell>
          <cell r="W201">
            <v>36.180356899604945</v>
          </cell>
          <cell r="X201">
            <v>104.42338072669828</v>
          </cell>
          <cell r="Y201">
            <v>29.740608228980324</v>
          </cell>
          <cell r="Z201">
            <v>35.102235659161416</v>
          </cell>
          <cell r="AA201">
            <v>-3.0948828642723636</v>
          </cell>
          <cell r="AB201">
            <v>12.943883164949485</v>
          </cell>
          <cell r="AC201">
            <v>1.8354783496770655</v>
          </cell>
          <cell r="AD201">
            <v>210355.66666666666</v>
          </cell>
          <cell r="AE201">
            <v>18340.666666666668</v>
          </cell>
          <cell r="AF201">
            <v>24433.666666666668</v>
          </cell>
          <cell r="AG201">
            <v>29050.333333333332</v>
          </cell>
          <cell r="AH201">
            <v>5210.333333333333</v>
          </cell>
          <cell r="AI201">
            <v>23840</v>
          </cell>
          <cell r="AJ201">
            <v>17742</v>
          </cell>
          <cell r="AK201">
            <v>41.493114579723319</v>
          </cell>
          <cell r="AL201">
            <v>17.790966421920601</v>
          </cell>
          <cell r="AM201">
            <v>0.49709240539690391</v>
          </cell>
          <cell r="AO201">
            <v>243477.95839310152</v>
          </cell>
          <cell r="AQ201">
            <v>330456.19631638646</v>
          </cell>
          <cell r="AR201">
            <v>46495.776327063526</v>
          </cell>
          <cell r="AS201">
            <v>283503.85498455196</v>
          </cell>
          <cell r="AT201">
            <v>240786.31970796664</v>
          </cell>
          <cell r="AV201">
            <v>27091.153846153848</v>
          </cell>
          <cell r="AW201" t="str">
            <v>1/95</v>
          </cell>
        </row>
        <row r="202">
          <cell r="B202">
            <v>34758</v>
          </cell>
          <cell r="C202">
            <v>212259</v>
          </cell>
          <cell r="E202">
            <v>19568</v>
          </cell>
          <cell r="G202">
            <v>25787</v>
          </cell>
          <cell r="I202">
            <v>26375</v>
          </cell>
          <cell r="K202">
            <v>4169</v>
          </cell>
          <cell r="M202">
            <v>22206</v>
          </cell>
          <cell r="O202">
            <v>17006</v>
          </cell>
          <cell r="Q202">
            <v>45.490415147594966</v>
          </cell>
          <cell r="T202">
            <v>85.12197036429761</v>
          </cell>
          <cell r="U202">
            <v>14.660728934724009</v>
          </cell>
          <cell r="V202">
            <v>13.170367769683144</v>
          </cell>
          <cell r="W202">
            <v>-6.8745145116870248</v>
          </cell>
          <cell r="X202">
            <v>187.71566597653555</v>
          </cell>
          <cell r="Y202">
            <v>-17.366873813865212</v>
          </cell>
          <cell r="Z202">
            <v>20.073430770317024</v>
          </cell>
          <cell r="AA202">
            <v>-5.749034533575081</v>
          </cell>
          <cell r="AB202">
            <v>15.806635071090048</v>
          </cell>
          <cell r="AC202">
            <v>1.964109884622089</v>
          </cell>
          <cell r="AD202">
            <v>216091</v>
          </cell>
          <cell r="AE202">
            <v>20457.666666666668</v>
          </cell>
          <cell r="AF202">
            <v>25559</v>
          </cell>
          <cell r="AG202">
            <v>32192.333333333332</v>
          </cell>
          <cell r="AH202">
            <v>4136.666666666667</v>
          </cell>
          <cell r="AI202">
            <v>28055.666666666668</v>
          </cell>
          <cell r="AJ202">
            <v>18206.333333333332</v>
          </cell>
          <cell r="AK202">
            <v>42.291093013933704</v>
          </cell>
          <cell r="AL202">
            <v>13.196945187381443</v>
          </cell>
          <cell r="AM202">
            <v>0.46877474616395598</v>
          </cell>
          <cell r="AO202">
            <v>243407.09359282564</v>
          </cell>
          <cell r="AQ202">
            <v>308908.0320024488</v>
          </cell>
          <cell r="AR202">
            <v>54247.079742907794</v>
          </cell>
          <cell r="AS202">
            <v>255375.3378126329</v>
          </cell>
          <cell r="AT202">
            <v>238059.2938305735</v>
          </cell>
          <cell r="AV202">
            <v>27251.307692307691</v>
          </cell>
        </row>
        <row r="203">
          <cell r="B203">
            <v>34787</v>
          </cell>
          <cell r="C203">
            <v>224516</v>
          </cell>
          <cell r="E203">
            <v>22268</v>
          </cell>
          <cell r="G203">
            <v>27264</v>
          </cell>
          <cell r="I203">
            <v>40211</v>
          </cell>
          <cell r="K203">
            <v>4359</v>
          </cell>
          <cell r="M203">
            <v>35852</v>
          </cell>
          <cell r="O203">
            <v>20632</v>
          </cell>
          <cell r="Q203">
            <v>39.643272586273753</v>
          </cell>
          <cell r="T203">
            <v>81.26155510523725</v>
          </cell>
          <cell r="U203">
            <v>15.762112705344155</v>
          </cell>
          <cell r="V203">
            <v>22.772098887738103</v>
          </cell>
          <cell r="W203">
            <v>19.08724752709827</v>
          </cell>
          <cell r="X203">
            <v>70.874166993335947</v>
          </cell>
          <cell r="Y203">
            <v>14.855037642159207</v>
          </cell>
          <cell r="Z203">
            <v>16.835607905317396</v>
          </cell>
          <cell r="AA203">
            <v>5.0810631183873411</v>
          </cell>
          <cell r="AB203">
            <v>10.840317326104797</v>
          </cell>
          <cell r="AC203">
            <v>1.9415097364998486</v>
          </cell>
          <cell r="AD203">
            <v>220134.66666666666</v>
          </cell>
          <cell r="AE203">
            <v>20233.333333333332</v>
          </cell>
          <cell r="AF203">
            <v>26716.333333333332</v>
          </cell>
          <cell r="AG203">
            <v>28871</v>
          </cell>
          <cell r="AH203">
            <v>3664</v>
          </cell>
          <cell r="AI203">
            <v>25207</v>
          </cell>
          <cell r="AJ203">
            <v>18907</v>
          </cell>
          <cell r="AK203">
            <v>42.57796927501645</v>
          </cell>
          <cell r="AL203">
            <v>12.983447606707964</v>
          </cell>
          <cell r="AM203">
            <v>0.47420667935600913</v>
          </cell>
          <cell r="AO203">
            <v>245168.4168061612</v>
          </cell>
          <cell r="AQ203">
            <v>434720.17488200992</v>
          </cell>
          <cell r="AR203">
            <v>47908.525553184314</v>
          </cell>
          <cell r="AS203">
            <v>386468.09730330261</v>
          </cell>
          <cell r="AT203">
            <v>238127.00351589909</v>
          </cell>
          <cell r="AV203">
            <v>27942</v>
          </cell>
        </row>
        <row r="204">
          <cell r="B204">
            <v>34818</v>
          </cell>
          <cell r="C204">
            <v>223629</v>
          </cell>
          <cell r="E204">
            <v>18864</v>
          </cell>
          <cell r="G204">
            <v>27098</v>
          </cell>
          <cell r="I204">
            <v>20027</v>
          </cell>
          <cell r="K204">
            <v>2464</v>
          </cell>
          <cell r="M204">
            <v>17563</v>
          </cell>
          <cell r="O204">
            <v>19083</v>
          </cell>
          <cell r="Q204">
            <v>42.600220091180631</v>
          </cell>
          <cell r="T204">
            <v>71.879515479447846</v>
          </cell>
          <cell r="U204">
            <v>7.8682525160109762</v>
          </cell>
          <cell r="V204">
            <v>28.523999241130717</v>
          </cell>
          <cell r="W204">
            <v>-28.543904092482254</v>
          </cell>
          <cell r="X204">
            <v>-28.455284552845526</v>
          </cell>
          <cell r="Y204">
            <v>-28.556319407720785</v>
          </cell>
          <cell r="Z204">
            <v>3.5319010416666741</v>
          </cell>
          <cell r="AA204">
            <v>24.139514437589547</v>
          </cell>
          <cell r="AB204">
            <v>12.303390422929047</v>
          </cell>
          <cell r="AC204">
            <v>1.101824897486462</v>
          </cell>
          <cell r="AD204">
            <v>223593.33333333334</v>
          </cell>
          <cell r="AE204">
            <v>21338</v>
          </cell>
          <cell r="AF204">
            <v>28569.666666666668</v>
          </cell>
          <cell r="AG204">
            <v>26225.333333333332</v>
          </cell>
          <cell r="AH204">
            <v>3543.6666666666665</v>
          </cell>
          <cell r="AI204">
            <v>22681.666666666668</v>
          </cell>
          <cell r="AJ204">
            <v>20374</v>
          </cell>
          <cell r="AK204">
            <v>42.057838522387783</v>
          </cell>
          <cell r="AL204">
            <v>14.5989023299108</v>
          </cell>
          <cell r="AM204">
            <v>0.42094631120721537</v>
          </cell>
          <cell r="AO204">
            <v>218625.19774486378</v>
          </cell>
          <cell r="AQ204">
            <v>250726.84962506429</v>
          </cell>
          <cell r="AR204">
            <v>28142.154851762509</v>
          </cell>
          <cell r="AS204">
            <v>223901.31592332554</v>
          </cell>
          <cell r="AT204">
            <v>212909.41371260266</v>
          </cell>
          <cell r="AV204">
            <v>26891.846153846152</v>
          </cell>
        </row>
        <row r="205">
          <cell r="B205">
            <v>34848</v>
          </cell>
          <cell r="C205">
            <v>222635</v>
          </cell>
          <cell r="E205">
            <v>22882</v>
          </cell>
          <cell r="G205">
            <v>31347</v>
          </cell>
          <cell r="I205">
            <v>18438</v>
          </cell>
          <cell r="K205">
            <v>3808</v>
          </cell>
          <cell r="M205">
            <v>14630</v>
          </cell>
          <cell r="O205">
            <v>21407</v>
          </cell>
          <cell r="Q205">
            <v>43.930022889708972</v>
          </cell>
          <cell r="T205">
            <v>59.82871008499886</v>
          </cell>
          <cell r="U205">
            <v>25.16820742847765</v>
          </cell>
          <cell r="V205">
            <v>45.698349988380201</v>
          </cell>
          <cell r="W205">
            <v>-34.304852846860967</v>
          </cell>
          <cell r="X205">
            <v>28.779168075752448</v>
          </cell>
          <cell r="Y205">
            <v>-41.734039587398939</v>
          </cell>
          <cell r="Z205">
            <v>26.638665404637951</v>
          </cell>
          <cell r="AA205">
            <v>15.050446498975978</v>
          </cell>
          <cell r="AB205">
            <v>20.652999240698559</v>
          </cell>
          <cell r="AC205">
            <v>1.7104228894827858</v>
          </cell>
          <cell r="AD205">
            <v>215358.33333333334</v>
          </cell>
          <cell r="AE205">
            <v>21131.333333333332</v>
          </cell>
          <cell r="AF205">
            <v>29215.666666666668</v>
          </cell>
          <cell r="AG205">
            <v>17043.666666666668</v>
          </cell>
          <cell r="AH205">
            <v>3911.3333333333335</v>
          </cell>
          <cell r="AI205">
            <v>13132.333333333334</v>
          </cell>
          <cell r="AJ205">
            <v>15898</v>
          </cell>
          <cell r="AK205">
            <v>42.874068245187381</v>
          </cell>
          <cell r="AL205">
            <v>25.359903981249204</v>
          </cell>
          <cell r="AM205">
            <v>0.35087482052159102</v>
          </cell>
          <cell r="AO205">
            <v>255666.96427781787</v>
          </cell>
          <cell r="AQ205">
            <v>227142.5185997996</v>
          </cell>
          <cell r="AR205">
            <v>46033.941769962519</v>
          </cell>
          <cell r="AS205">
            <v>180892.57635281194</v>
          </cell>
          <cell r="AT205">
            <v>248158.78948065147</v>
          </cell>
          <cell r="AV205">
            <v>26126.23076923077</v>
          </cell>
        </row>
        <row r="206">
          <cell r="B206">
            <v>34879</v>
          </cell>
          <cell r="C206">
            <v>199811</v>
          </cell>
          <cell r="E206">
            <v>21648</v>
          </cell>
          <cell r="G206">
            <v>29202</v>
          </cell>
          <cell r="I206">
            <v>12666</v>
          </cell>
          <cell r="K206">
            <v>5462</v>
          </cell>
          <cell r="M206">
            <v>7204</v>
          </cell>
          <cell r="O206">
            <v>20813</v>
          </cell>
          <cell r="Q206">
            <v>42.09196175467256</v>
          </cell>
          <cell r="T206">
            <v>35.537677807096692</v>
          </cell>
          <cell r="U206">
            <v>6.1540724758495591</v>
          </cell>
          <cell r="V206">
            <v>39.983701644216474</v>
          </cell>
          <cell r="W206">
            <v>-56.203319502074692</v>
          </cell>
          <cell r="X206">
            <v>211.22507122507122</v>
          </cell>
          <cell r="Y206">
            <v>-73.480581630774893</v>
          </cell>
          <cell r="Z206">
            <v>10.145004233700261</v>
          </cell>
          <cell r="AA206">
            <v>27.090377469327542</v>
          </cell>
          <cell r="AB206">
            <v>43.123322280120007</v>
          </cell>
          <cell r="AC206">
            <v>2.7335832361581698</v>
          </cell>
          <cell r="AD206">
            <v>203249.33333333334</v>
          </cell>
          <cell r="AE206">
            <v>20220.666666666668</v>
          </cell>
          <cell r="AF206">
            <v>29711.666666666668</v>
          </cell>
          <cell r="AG206">
            <v>14038</v>
          </cell>
          <cell r="AH206">
            <v>4673.333333333333</v>
          </cell>
          <cell r="AI206">
            <v>9364.6666666666661</v>
          </cell>
          <cell r="AJ206">
            <v>16160</v>
          </cell>
          <cell r="AK206">
            <v>45.231191522062886</v>
          </cell>
          <cell r="AL206">
            <v>35.639639719776341</v>
          </cell>
          <cell r="AM206">
            <v>0.26274971545194092</v>
          </cell>
          <cell r="AO206">
            <v>237829.31277242536</v>
          </cell>
          <cell r="AQ206">
            <v>170000.00525445447</v>
          </cell>
          <cell r="AR206">
            <v>74064.048871746301</v>
          </cell>
          <cell r="AS206">
            <v>96519.380274053838</v>
          </cell>
          <cell r="AT206">
            <v>232622.49576188473</v>
          </cell>
          <cell r="AV206">
            <v>24748.923076923078</v>
          </cell>
        </row>
        <row r="207">
          <cell r="B207">
            <v>34909</v>
          </cell>
          <cell r="C207">
            <v>187302</v>
          </cell>
          <cell r="E207">
            <v>16132</v>
          </cell>
          <cell r="G207">
            <v>28586</v>
          </cell>
          <cell r="I207">
            <v>11010</v>
          </cell>
          <cell r="K207">
            <v>4750</v>
          </cell>
          <cell r="M207">
            <v>6260</v>
          </cell>
          <cell r="O207">
            <v>17265</v>
          </cell>
          <cell r="Q207">
            <v>49.671589921807126</v>
          </cell>
          <cell r="T207">
            <v>14.120163044471656</v>
          </cell>
          <cell r="U207">
            <v>9.6594385153966336</v>
          </cell>
          <cell r="V207">
            <v>25.968360287313264</v>
          </cell>
          <cell r="W207">
            <v>-65.293320303880463</v>
          </cell>
          <cell r="X207">
            <v>5.0884955752212413</v>
          </cell>
          <cell r="Y207">
            <v>-76.987832224387006</v>
          </cell>
          <cell r="Z207">
            <v>4.5286674335533128</v>
          </cell>
          <cell r="AA207">
            <v>20.510825766901441</v>
          </cell>
          <cell r="AB207">
            <v>43.142597638510445</v>
          </cell>
          <cell r="AC207">
            <v>2.5360113613308988</v>
          </cell>
          <cell r="AD207">
            <v>183035.33333333334</v>
          </cell>
          <cell r="AE207">
            <v>19521.333333333332</v>
          </cell>
          <cell r="AF207">
            <v>29262</v>
          </cell>
          <cell r="AG207">
            <v>11794.666666666666</v>
          </cell>
          <cell r="AH207">
            <v>8932</v>
          </cell>
          <cell r="AI207">
            <v>2862.6666666666665</v>
          </cell>
          <cell r="AJ207">
            <v>11067.333333333334</v>
          </cell>
          <cell r="AK207">
            <v>46.96766927674728</v>
          </cell>
          <cell r="AL207">
            <v>75.970885730763158</v>
          </cell>
          <cell r="AM207">
            <v>0.20078314286968757</v>
          </cell>
          <cell r="AO207">
            <v>230738.76087910216</v>
          </cell>
          <cell r="AQ207">
            <v>143415.39288294798</v>
          </cell>
          <cell r="AR207">
            <v>69655.672394844645</v>
          </cell>
          <cell r="AS207">
            <v>79869.781375799663</v>
          </cell>
          <cell r="AT207">
            <v>208496.14016978236</v>
          </cell>
          <cell r="AV207">
            <v>23140.846153846152</v>
          </cell>
        </row>
        <row r="208">
          <cell r="B208">
            <v>34940</v>
          </cell>
          <cell r="C208">
            <v>161993</v>
          </cell>
          <cell r="E208">
            <v>20784</v>
          </cell>
          <cell r="G208">
            <v>29998</v>
          </cell>
          <cell r="I208">
            <v>11708</v>
          </cell>
          <cell r="K208">
            <v>16584</v>
          </cell>
          <cell r="M208">
            <v>-4876</v>
          </cell>
          <cell r="O208">
            <v>18314</v>
          </cell>
          <cell r="Q208">
            <v>49.139456153762147</v>
          </cell>
          <cell r="T208">
            <v>-6.9476356785074245</v>
          </cell>
          <cell r="U208">
            <v>3.1515211673035948</v>
          </cell>
          <cell r="V208">
            <v>47.294510458607483</v>
          </cell>
          <cell r="W208">
            <v>-67.844882041141403</v>
          </cell>
          <cell r="X208">
            <v>532.25314525352644</v>
          </cell>
          <cell r="Y208">
            <v>-114.43115899135788</v>
          </cell>
          <cell r="Z208">
            <v>-1.1710107387620794</v>
          </cell>
          <cell r="AA208">
            <v>49.039782314538336</v>
          </cell>
          <cell r="AB208">
            <v>141.64673727365903</v>
          </cell>
          <cell r="AC208">
            <v>10.237479397257907</v>
          </cell>
          <cell r="AD208">
            <v>162290.66666666666</v>
          </cell>
          <cell r="AE208">
            <v>18568</v>
          </cell>
          <cell r="AF208">
            <v>29934.666666666668</v>
          </cell>
          <cell r="AG208">
            <v>11918.333333333334</v>
          </cell>
          <cell r="AH208">
            <v>13416.333333333334</v>
          </cell>
          <cell r="AI208">
            <v>-1498</v>
          </cell>
          <cell r="AJ208">
            <v>9900.3333333333339</v>
          </cell>
          <cell r="AK208">
            <v>50.72821663502183</v>
          </cell>
          <cell r="AL208">
            <v>109.95879827286323</v>
          </cell>
          <cell r="AM208">
            <v>4.7349591975121008E-2</v>
          </cell>
          <cell r="AO208">
            <v>246015.11611837865</v>
          </cell>
          <cell r="AQ208">
            <v>154574.76879960005</v>
          </cell>
          <cell r="AR208">
            <v>180942.19602304403</v>
          </cell>
          <cell r="AS208">
            <v>-66908.494379877753</v>
          </cell>
          <cell r="AT208">
            <v>225090.74013622291</v>
          </cell>
          <cell r="AV208">
            <v>20673.23076923077</v>
          </cell>
        </row>
        <row r="209">
          <cell r="B209">
            <v>34971</v>
          </cell>
          <cell r="C209">
            <v>137577</v>
          </cell>
          <cell r="E209">
            <v>18788</v>
          </cell>
          <cell r="G209">
            <v>31220</v>
          </cell>
          <cell r="I209">
            <v>13037</v>
          </cell>
          <cell r="K209">
            <v>18915</v>
          </cell>
          <cell r="M209">
            <v>-5878</v>
          </cell>
          <cell r="O209">
            <v>17548</v>
          </cell>
          <cell r="Q209">
            <v>53.37360382949624</v>
          </cell>
          <cell r="T209">
            <v>-26.957892892600597</v>
          </cell>
          <cell r="U209">
            <v>-5.2689961175818034</v>
          </cell>
          <cell r="V209">
            <v>44.149967679379444</v>
          </cell>
          <cell r="W209">
            <v>-64.570481289235531</v>
          </cell>
          <cell r="X209">
            <v>535.3711790393013</v>
          </cell>
          <cell r="Y209">
            <v>-117.38024837374334</v>
          </cell>
          <cell r="Z209">
            <v>-2.7973190051514996</v>
          </cell>
          <cell r="AA209">
            <v>48.298345481868999</v>
          </cell>
          <cell r="AB209">
            <v>145.08705990642019</v>
          </cell>
          <cell r="AC209">
            <v>13.748664384308423</v>
          </cell>
          <cell r="AD209">
            <v>141516.33333333334</v>
          </cell>
          <cell r="AE209">
            <v>19762.333333333332</v>
          </cell>
          <cell r="AF209">
            <v>31207</v>
          </cell>
          <cell r="AG209">
            <v>12586.333333333334</v>
          </cell>
          <cell r="AH209">
            <v>13771.666666666666</v>
          </cell>
          <cell r="AI209">
            <v>-1185.3333333333333</v>
          </cell>
          <cell r="AJ209">
            <v>14353.333333333334</v>
          </cell>
          <cell r="AK209">
            <v>50.968842700484778</v>
          </cell>
          <cell r="AL209">
            <v>110.47471022236441</v>
          </cell>
          <cell r="AM209">
            <v>-0.10247178157114267</v>
          </cell>
          <cell r="AO209">
            <v>223159.93912471205</v>
          </cell>
          <cell r="AQ209">
            <v>160039.92812853973</v>
          </cell>
          <cell r="AR209">
            <v>187578.70223978921</v>
          </cell>
          <cell r="AS209">
            <v>-75499.6470965646</v>
          </cell>
          <cell r="AT209">
            <v>210312.59775870675</v>
          </cell>
          <cell r="AV209">
            <v>17622</v>
          </cell>
        </row>
        <row r="210">
          <cell r="B210">
            <v>35001</v>
          </cell>
          <cell r="C210">
            <v>124979</v>
          </cell>
          <cell r="E210">
            <v>19715</v>
          </cell>
          <cell r="G210">
            <v>32403</v>
          </cell>
          <cell r="I210">
            <v>13014</v>
          </cell>
          <cell r="K210">
            <v>5816</v>
          </cell>
          <cell r="M210">
            <v>7198</v>
          </cell>
          <cell r="O210">
            <v>19290</v>
          </cell>
          <cell r="Q210">
            <v>50.393468118195962</v>
          </cell>
          <cell r="T210">
            <v>-37.978452575319224</v>
          </cell>
          <cell r="U210">
            <v>-1.2966856913988134</v>
          </cell>
          <cell r="V210">
            <v>38.474358974358978</v>
          </cell>
          <cell r="W210">
            <v>-63.427383093525179</v>
          </cell>
          <cell r="X210">
            <v>92.391663910023155</v>
          </cell>
          <cell r="Y210">
            <v>-77.893799330487383</v>
          </cell>
          <cell r="Z210">
            <v>-1.158024185283868</v>
          </cell>
          <cell r="AA210">
            <v>40.09671279126956</v>
          </cell>
          <cell r="AB210">
            <v>44.69033348701398</v>
          </cell>
          <cell r="AC210">
            <v>4.6535818017426926</v>
          </cell>
          <cell r="AD210">
            <v>125509.33333333333</v>
          </cell>
          <cell r="AE210">
            <v>18748.666666666668</v>
          </cell>
          <cell r="AF210">
            <v>32236</v>
          </cell>
          <cell r="AG210">
            <v>13748.666666666666</v>
          </cell>
          <cell r="AH210">
            <v>10957.666666666666</v>
          </cell>
          <cell r="AI210">
            <v>2791</v>
          </cell>
          <cell r="AJ210">
            <v>14630.333333333334</v>
          </cell>
          <cell r="AK210">
            <v>55.222014316209219</v>
          </cell>
          <cell r="AL210">
            <v>81.120269663556698</v>
          </cell>
          <cell r="AM210">
            <v>-0.20640632165661266</v>
          </cell>
          <cell r="AO210">
            <v>218010.08473772692</v>
          </cell>
          <cell r="AQ210">
            <v>140697.29293080734</v>
          </cell>
          <cell r="AR210">
            <v>68888.277119857972</v>
          </cell>
          <cell r="AS210">
            <v>76588.084655337123</v>
          </cell>
          <cell r="AT210">
            <v>211899.84294062955</v>
          </cell>
          <cell r="AV210">
            <v>15574.153846153846</v>
          </cell>
        </row>
        <row r="211">
          <cell r="B211">
            <v>35032</v>
          </cell>
          <cell r="C211">
            <v>113972</v>
          </cell>
          <cell r="E211">
            <v>17743</v>
          </cell>
          <cell r="G211">
            <v>33085</v>
          </cell>
          <cell r="I211">
            <v>15195</v>
          </cell>
          <cell r="K211">
            <v>8142</v>
          </cell>
          <cell r="M211">
            <v>7053</v>
          </cell>
          <cell r="O211">
            <v>16035</v>
          </cell>
          <cell r="Q211">
            <v>61.898971000935447</v>
          </cell>
          <cell r="T211">
            <v>-43.809378250859091</v>
          </cell>
          <cell r="U211">
            <v>-6.8413315131786163</v>
          </cell>
          <cell r="V211">
            <v>38.170808101900192</v>
          </cell>
          <cell r="W211">
            <v>-47.279855665810842</v>
          </cell>
          <cell r="X211">
            <v>-2.979027645376553</v>
          </cell>
          <cell r="Y211">
            <v>-65.477239353891335</v>
          </cell>
          <cell r="Z211">
            <v>-9.5396592575877293</v>
          </cell>
          <cell r="AA211">
            <v>52.741861204507792</v>
          </cell>
          <cell r="AB211">
            <v>53.583415597235927</v>
          </cell>
          <cell r="AC211">
            <v>7.1438598954129091</v>
          </cell>
          <cell r="AD211">
            <v>115970.66666666667</v>
          </cell>
          <cell r="AE211">
            <v>17332.333333333332</v>
          </cell>
          <cell r="AF211">
            <v>32017.333333333332</v>
          </cell>
          <cell r="AG211">
            <v>13847.333333333334</v>
          </cell>
          <cell r="AH211">
            <v>6023.666666666667</v>
          </cell>
          <cell r="AI211">
            <v>7823.666666666667</v>
          </cell>
          <cell r="AJ211">
            <v>14848.333333333334</v>
          </cell>
          <cell r="AK211">
            <v>54.106027181234829</v>
          </cell>
          <cell r="AL211">
            <v>43.040673430343361</v>
          </cell>
          <cell r="AM211">
            <v>-0.30027047118928241</v>
          </cell>
          <cell r="AO211">
            <v>218156.96473321813</v>
          </cell>
          <cell r="AQ211">
            <v>187055.95971832375</v>
          </cell>
          <cell r="AR211">
            <v>95816.402092645672</v>
          </cell>
          <cell r="AS211">
            <v>87584.422921999401</v>
          </cell>
          <cell r="AT211">
            <v>208977.19610520924</v>
          </cell>
          <cell r="AV211">
            <v>13612</v>
          </cell>
        </row>
        <row r="212">
          <cell r="B212">
            <v>35062</v>
          </cell>
          <cell r="C212">
            <v>108961</v>
          </cell>
          <cell r="E212">
            <v>14539</v>
          </cell>
          <cell r="G212">
            <v>30564</v>
          </cell>
          <cell r="I212">
            <v>13333</v>
          </cell>
          <cell r="K212">
            <v>4113</v>
          </cell>
          <cell r="M212">
            <v>9220</v>
          </cell>
          <cell r="O212">
            <v>18329</v>
          </cell>
          <cell r="Q212">
            <v>50.025642424573078</v>
          </cell>
          <cell r="T212">
            <v>-47.440547971636683</v>
          </cell>
          <cell r="U212">
            <v>-8.6574103160143245</v>
          </cell>
          <cell r="V212">
            <v>27.947086403214993</v>
          </cell>
          <cell r="W212">
            <v>-56.689946402468735</v>
          </cell>
          <cell r="X212">
            <v>-45.738786279683374</v>
          </cell>
          <cell r="Y212">
            <v>-60.267183796595567</v>
          </cell>
          <cell r="Z212">
            <v>-4.7299755704558466</v>
          </cell>
          <cell r="AA212">
            <v>34.299415969853953</v>
          </cell>
          <cell r="AB212">
            <v>30.848271206780169</v>
          </cell>
          <cell r="AC212">
            <v>3.7747450922807242</v>
          </cell>
          <cell r="AD212">
            <v>107898.66666666667</v>
          </cell>
          <cell r="AE212">
            <v>16341</v>
          </cell>
          <cell r="AF212">
            <v>32375.333333333332</v>
          </cell>
          <cell r="AG212">
            <v>14838.666666666666</v>
          </cell>
          <cell r="AH212">
            <v>6424.666666666667</v>
          </cell>
          <cell r="AI212">
            <v>8414</v>
          </cell>
          <cell r="AJ212">
            <v>14444.333333333334</v>
          </cell>
          <cell r="AK212">
            <v>62.837831562792474</v>
          </cell>
          <cell r="AL212">
            <v>42.777787687069662</v>
          </cell>
          <cell r="AM212">
            <v>-0.33270527608349931</v>
          </cell>
          <cell r="AO212">
            <v>203681.08810456668</v>
          </cell>
          <cell r="AQ212">
            <v>151330.31879943219</v>
          </cell>
          <cell r="AR212">
            <v>55162.776150770987</v>
          </cell>
          <cell r="AS212">
            <v>101756.20916811466</v>
          </cell>
          <cell r="AT212">
            <v>202168.99833294435</v>
          </cell>
          <cell r="AV212">
            <v>12749.692307692309</v>
          </cell>
        </row>
        <row r="213">
          <cell r="B213">
            <v>35093</v>
          </cell>
          <cell r="C213">
            <v>100763</v>
          </cell>
          <cell r="E213">
            <v>16741</v>
          </cell>
          <cell r="G213">
            <v>33477</v>
          </cell>
          <cell r="I213">
            <v>15988</v>
          </cell>
          <cell r="K213">
            <v>7019</v>
          </cell>
          <cell r="M213">
            <v>8969</v>
          </cell>
          <cell r="O213">
            <v>13113</v>
          </cell>
          <cell r="Q213">
            <v>76.58888126286891</v>
          </cell>
          <cell r="T213">
            <v>-52.357469101362653</v>
          </cell>
          <cell r="U213">
            <v>-14.311306751292419</v>
          </cell>
          <cell r="V213">
            <v>41.695589604672811</v>
          </cell>
          <cell r="W213">
            <v>-46.690673868827318</v>
          </cell>
          <cell r="X213">
            <v>80.808861411643477</v>
          </cell>
          <cell r="Y213">
            <v>-65.647860890880537</v>
          </cell>
          <cell r="Z213">
            <v>-22.778399387550795</v>
          </cell>
          <cell r="AA213">
            <v>83.492168617169909</v>
          </cell>
          <cell r="AB213">
            <v>43.901676257192896</v>
          </cell>
          <cell r="AC213">
            <v>6.9658505602254799</v>
          </cell>
          <cell r="AD213">
            <v>101421</v>
          </cell>
          <cell r="AE213">
            <v>16117</v>
          </cell>
          <cell r="AF213">
            <v>33058.666666666664</v>
          </cell>
          <cell r="AG213">
            <v>14533.333333333334</v>
          </cell>
          <cell r="AH213">
            <v>5162.333333333333</v>
          </cell>
          <cell r="AI213">
            <v>9371</v>
          </cell>
          <cell r="AJ213">
            <v>13788.666666666666</v>
          </cell>
          <cell r="AK213">
            <v>65.779049495384584</v>
          </cell>
          <cell r="AL213">
            <v>35.083094050425366</v>
          </cell>
          <cell r="AM213">
            <v>-0.39203640317966049</v>
          </cell>
          <cell r="AO213">
            <v>208633.08089568064</v>
          </cell>
          <cell r="AQ213">
            <v>176163.9714149707</v>
          </cell>
          <cell r="AR213">
            <v>84068.483781468021</v>
          </cell>
          <cell r="AS213">
            <v>97389.638644009596</v>
          </cell>
          <cell r="AT213">
            <v>185939.05013430107</v>
          </cell>
          <cell r="AV213">
            <v>11654.615384615385</v>
          </cell>
        </row>
        <row r="214">
          <cell r="B214">
            <v>35124</v>
          </cell>
          <cell r="C214">
            <v>94539</v>
          </cell>
          <cell r="E214">
            <v>17071</v>
          </cell>
          <cell r="G214">
            <v>35135</v>
          </cell>
          <cell r="I214">
            <v>14279</v>
          </cell>
          <cell r="K214">
            <v>4355</v>
          </cell>
          <cell r="M214">
            <v>9924</v>
          </cell>
          <cell r="O214">
            <v>14904</v>
          </cell>
          <cell r="Q214">
            <v>70.722624798711763</v>
          </cell>
          <cell r="T214">
            <v>-55.460545842579108</v>
          </cell>
          <cell r="U214">
            <v>-12.760629599345874</v>
          </cell>
          <cell r="V214">
            <v>36.250824058634201</v>
          </cell>
          <cell r="W214">
            <v>-45.861611374407588</v>
          </cell>
          <cell r="X214">
            <v>4.4615015591268792</v>
          </cell>
          <cell r="Y214">
            <v>-55.309375844366393</v>
          </cell>
          <cell r="Z214">
            <v>-12.360343408208863</v>
          </cell>
          <cell r="AA214">
            <v>55.467090307376111</v>
          </cell>
          <cell r="AB214">
            <v>30.49933468730303</v>
          </cell>
          <cell r="AC214">
            <v>4.6065644866139897</v>
          </cell>
          <cell r="AD214">
            <v>94075.666666666672</v>
          </cell>
          <cell r="AE214">
            <v>16778.666666666668</v>
          </cell>
          <cell r="AF214">
            <v>34466</v>
          </cell>
          <cell r="AG214">
            <v>14994.666666666666</v>
          </cell>
          <cell r="AH214">
            <v>5599.666666666667</v>
          </cell>
          <cell r="AI214">
            <v>9395</v>
          </cell>
          <cell r="AJ214">
            <v>12436.333333333334</v>
          </cell>
          <cell r="AK214">
            <v>70.407038244423021</v>
          </cell>
          <cell r="AL214">
            <v>37.087714390843843</v>
          </cell>
          <cell r="AM214">
            <v>-0.45155485667273232</v>
          </cell>
          <cell r="AO214">
            <v>212346.81596091203</v>
          </cell>
          <cell r="AQ214">
            <v>167237.83086115512</v>
          </cell>
          <cell r="AR214">
            <v>56667.314051418434</v>
          </cell>
          <cell r="AS214">
            <v>114128.83240802346</v>
          </cell>
          <cell r="AT214">
            <v>208634.34759795762</v>
          </cell>
          <cell r="AV214">
            <v>10409.615384615385</v>
          </cell>
        </row>
        <row r="215">
          <cell r="B215">
            <v>35153</v>
          </cell>
          <cell r="C215">
            <v>86925</v>
          </cell>
          <cell r="E215">
            <v>16524</v>
          </cell>
          <cell r="G215">
            <v>34786</v>
          </cell>
          <cell r="I215">
            <v>14717</v>
          </cell>
          <cell r="K215">
            <v>5425</v>
          </cell>
          <cell r="M215">
            <v>9292</v>
          </cell>
          <cell r="O215">
            <v>16329</v>
          </cell>
          <cell r="Q215">
            <v>63.909608671688417</v>
          </cell>
          <cell r="T215">
            <v>-61.283382921484431</v>
          </cell>
          <cell r="U215">
            <v>-25.79486258307886</v>
          </cell>
          <cell r="V215">
            <v>27.589495305164323</v>
          </cell>
          <cell r="W215">
            <v>-63.400562035263988</v>
          </cell>
          <cell r="X215">
            <v>24.455150263821967</v>
          </cell>
          <cell r="Y215">
            <v>-74.082338502733464</v>
          </cell>
          <cell r="Z215">
            <v>-20.855951919348581</v>
          </cell>
          <cell r="AA215">
            <v>61.211737836741406</v>
          </cell>
          <cell r="AB215">
            <v>36.862132228035605</v>
          </cell>
          <cell r="AC215">
            <v>6.2410123669830311</v>
          </cell>
          <cell r="AD215">
            <v>86676</v>
          </cell>
          <cell r="AE215">
            <v>16536</v>
          </cell>
          <cell r="AF215">
            <v>34412</v>
          </cell>
          <cell r="AG215">
            <v>14018</v>
          </cell>
          <cell r="AH215">
            <v>4724.666666666667</v>
          </cell>
          <cell r="AI215">
            <v>9293.3333333333339</v>
          </cell>
          <cell r="AJ215">
            <v>13299</v>
          </cell>
          <cell r="AK215">
            <v>64.711310067319801</v>
          </cell>
          <cell r="AL215">
            <v>33.67044557564946</v>
          </cell>
          <cell r="AM215">
            <v>-0.49769592817368968</v>
          </cell>
          <cell r="AO215">
            <v>181927.5605939019</v>
          </cell>
          <cell r="AQ215">
            <v>159105.14072613313</v>
          </cell>
          <cell r="AR215">
            <v>59624.627466397083</v>
          </cell>
          <cell r="AS215">
            <v>100163.49325399665</v>
          </cell>
          <cell r="AT215">
            <v>188463.35015563766</v>
          </cell>
          <cell r="AV215">
            <v>9416.2307692307695</v>
          </cell>
        </row>
        <row r="216">
          <cell r="B216">
            <v>35184</v>
          </cell>
          <cell r="C216">
            <v>78564</v>
          </cell>
          <cell r="E216">
            <v>16013</v>
          </cell>
          <cell r="G216">
            <v>33315</v>
          </cell>
          <cell r="I216">
            <v>13058</v>
          </cell>
          <cell r="K216">
            <v>4394</v>
          </cell>
          <cell r="M216">
            <v>8664</v>
          </cell>
          <cell r="O216">
            <v>16797</v>
          </cell>
          <cell r="Q216">
            <v>59.501696731559207</v>
          </cell>
          <cell r="T216">
            <v>-64.868599331929218</v>
          </cell>
          <cell r="U216">
            <v>-15.113443596268027</v>
          </cell>
          <cell r="V216">
            <v>22.942652594287406</v>
          </cell>
          <cell r="W216">
            <v>-34.79802266939631</v>
          </cell>
          <cell r="X216">
            <v>78.327922077922068</v>
          </cell>
          <cell r="Y216">
            <v>-50.669020099071915</v>
          </cell>
          <cell r="Z216">
            <v>-11.979248545826128</v>
          </cell>
          <cell r="AA216">
            <v>39.67462281697842</v>
          </cell>
          <cell r="AB216">
            <v>33.64986981160974</v>
          </cell>
          <cell r="AC216">
            <v>5.5928924189196065</v>
          </cell>
          <cell r="AD216">
            <v>79587.666666666672</v>
          </cell>
          <cell r="AE216">
            <v>16226</v>
          </cell>
          <cell r="AF216">
            <v>33880</v>
          </cell>
          <cell r="AG216">
            <v>13698</v>
          </cell>
          <cell r="AH216">
            <v>4363.666666666667</v>
          </cell>
          <cell r="AI216">
            <v>9334.3333333333339</v>
          </cell>
          <cell r="AJ216">
            <v>14391</v>
          </cell>
          <cell r="AK216">
            <v>60.982663931260056</v>
          </cell>
          <cell r="AL216">
            <v>31.692803643067208</v>
          </cell>
          <cell r="AM216">
            <v>-0.59896649315206951</v>
          </cell>
          <cell r="AO216">
            <v>185583.40179646437</v>
          </cell>
          <cell r="AQ216">
            <v>163478.8636542712</v>
          </cell>
          <cell r="AR216">
            <v>50185.319975099213</v>
          </cell>
          <cell r="AS216">
            <v>110452.71315604923</v>
          </cell>
          <cell r="AT216">
            <v>187404.46586650878</v>
          </cell>
          <cell r="AV216">
            <v>7324.8461538461543</v>
          </cell>
        </row>
        <row r="217">
          <cell r="B217">
            <v>35214</v>
          </cell>
          <cell r="C217">
            <v>73274</v>
          </cell>
          <cell r="E217">
            <v>16141</v>
          </cell>
          <cell r="G217">
            <v>33539</v>
          </cell>
          <cell r="I217">
            <v>13319</v>
          </cell>
          <cell r="K217">
            <v>3272</v>
          </cell>
          <cell r="M217">
            <v>10047</v>
          </cell>
          <cell r="O217">
            <v>16900</v>
          </cell>
          <cell r="Q217">
            <v>59.536686390532545</v>
          </cell>
          <cell r="T217">
            <v>-67.087834347699143</v>
          </cell>
          <cell r="U217">
            <v>-29.459837426798352</v>
          </cell>
          <cell r="V217">
            <v>6.9926946757265407</v>
          </cell>
          <cell r="W217">
            <v>-27.763314893155446</v>
          </cell>
          <cell r="X217">
            <v>-14.075630252100845</v>
          </cell>
          <cell r="Y217">
            <v>-31.326042378673957</v>
          </cell>
          <cell r="Z217">
            <v>-21.053860886625873</v>
          </cell>
          <cell r="AA217">
            <v>35.526190232146647</v>
          </cell>
          <cell r="AB217">
            <v>24.566408889556275</v>
          </cell>
          <cell r="AC217">
            <v>4.4654311215437943</v>
          </cell>
          <cell r="AD217">
            <v>73154.333333333328</v>
          </cell>
          <cell r="AE217">
            <v>15679.666666666666</v>
          </cell>
          <cell r="AF217">
            <v>33145.333333333336</v>
          </cell>
          <cell r="AG217">
            <v>12548.666666666666</v>
          </cell>
          <cell r="AH217">
            <v>3473.6666666666665</v>
          </cell>
          <cell r="AI217">
            <v>9075</v>
          </cell>
          <cell r="AJ217">
            <v>14070.333333333334</v>
          </cell>
          <cell r="AK217">
            <v>58.967881594805704</v>
          </cell>
          <cell r="AL217">
            <v>27.554626103571447</v>
          </cell>
          <cell r="AM217">
            <v>-0.62633509570937407</v>
          </cell>
          <cell r="AO217">
            <v>180347.8922475421</v>
          </cell>
          <cell r="AQ217">
            <v>164080.22590469307</v>
          </cell>
          <cell r="AR217">
            <v>39554.374335955188</v>
          </cell>
          <cell r="AS217">
            <v>124226.09122465493</v>
          </cell>
          <cell r="AT217">
            <v>195911.78316546034</v>
          </cell>
          <cell r="AV217">
            <v>6746.6923076923076</v>
          </cell>
        </row>
        <row r="218">
          <cell r="B218">
            <v>35245</v>
          </cell>
          <cell r="C218">
            <v>67625</v>
          </cell>
          <cell r="E218">
            <v>14885</v>
          </cell>
          <cell r="G218">
            <v>32582</v>
          </cell>
          <cell r="I218">
            <v>11269</v>
          </cell>
          <cell r="K218">
            <v>2755</v>
          </cell>
          <cell r="M218">
            <v>8514</v>
          </cell>
          <cell r="O218">
            <v>16892</v>
          </cell>
          <cell r="Q218">
            <v>57.865261662325359</v>
          </cell>
          <cell r="T218">
            <v>-66.15551696353053</v>
          </cell>
          <cell r="U218">
            <v>-31.240761271249074</v>
          </cell>
          <cell r="V218">
            <v>11.5745496883775</v>
          </cell>
          <cell r="W218">
            <v>-11.02952786988789</v>
          </cell>
          <cell r="X218">
            <v>-49.560600512632732</v>
          </cell>
          <cell r="Y218">
            <v>18.184342032204338</v>
          </cell>
          <cell r="Z218">
            <v>-18.839187046557438</v>
          </cell>
          <cell r="AA218">
            <v>37.473425447797837</v>
          </cell>
          <cell r="AB218">
            <v>24.447599609548316</v>
          </cell>
          <cell r="AC218">
            <v>4.0739371534195934</v>
          </cell>
          <cell r="AD218">
            <v>69255.666666666672</v>
          </cell>
          <cell r="AE218">
            <v>14556.333333333334</v>
          </cell>
          <cell r="AF218">
            <v>32124.666666666668</v>
          </cell>
          <cell r="AG218">
            <v>12839.666666666666</v>
          </cell>
          <cell r="AH218">
            <v>2770.6666666666665</v>
          </cell>
          <cell r="AI218">
            <v>10069</v>
          </cell>
          <cell r="AJ218">
            <v>15146</v>
          </cell>
          <cell r="AK218">
            <v>59.105596098598085</v>
          </cell>
          <cell r="AL218">
            <v>21.805425607183647</v>
          </cell>
          <cell r="AM218">
            <v>-0.6401307316384679</v>
          </cell>
          <cell r="AO218">
            <v>163529.62493613965</v>
          </cell>
          <cell r="AQ218">
            <v>151249.80729610354</v>
          </cell>
          <cell r="AR218">
            <v>37357.46148693905</v>
          </cell>
          <cell r="AS218">
            <v>114070.79451045174</v>
          </cell>
          <cell r="AT218">
            <v>188798.30867293311</v>
          </cell>
          <cell r="AV218">
            <v>6276.2307692307695</v>
          </cell>
        </row>
        <row r="219">
          <cell r="B219">
            <v>35275</v>
          </cell>
          <cell r="C219">
            <v>66868</v>
          </cell>
          <cell r="E219">
            <v>12643</v>
          </cell>
          <cell r="G219">
            <v>30253</v>
          </cell>
          <cell r="I219">
            <v>13931</v>
          </cell>
          <cell r="K219">
            <v>2285</v>
          </cell>
          <cell r="M219">
            <v>11646</v>
          </cell>
          <cell r="O219">
            <v>15148</v>
          </cell>
          <cell r="Q219">
            <v>59.914840242936357</v>
          </cell>
          <cell r="T219">
            <v>-64.299366798005366</v>
          </cell>
          <cell r="U219">
            <v>-21.627820481031492</v>
          </cell>
          <cell r="V219">
            <v>5.8315259217798898</v>
          </cell>
          <cell r="W219">
            <v>26.530426884650325</v>
          </cell>
          <cell r="X219">
            <v>-51.89473684210526</v>
          </cell>
          <cell r="Y219">
            <v>86.038338658146955</v>
          </cell>
          <cell r="Z219">
            <v>-12.261801332174915</v>
          </cell>
          <cell r="AA219">
            <v>20.621949764954415</v>
          </cell>
          <cell r="AB219">
            <v>16.402268322446343</v>
          </cell>
          <cell r="AC219">
            <v>3.4171801160495305</v>
          </cell>
          <cell r="AD219">
            <v>65864</v>
          </cell>
          <cell r="AE219">
            <v>14007</v>
          </cell>
          <cell r="AF219">
            <v>30765</v>
          </cell>
          <cell r="AG219">
            <v>12611.666666666666</v>
          </cell>
          <cell r="AH219">
            <v>2610.3333333333335</v>
          </cell>
          <cell r="AI219">
            <v>10001.333333333334</v>
          </cell>
          <cell r="AJ219">
            <v>13961.333333333334</v>
          </cell>
          <cell r="AK219">
            <v>58.898724722370311</v>
          </cell>
          <cell r="AL219">
            <v>20.979767347863145</v>
          </cell>
          <cell r="AM219">
            <v>-0.60484385836789611</v>
          </cell>
          <cell r="AO219">
            <v>180834.99589601342</v>
          </cell>
          <cell r="AQ219">
            <v>181464.1088330925</v>
          </cell>
          <cell r="AR219">
            <v>33508.044509941057</v>
          </cell>
          <cell r="AS219">
            <v>148588.41436143179</v>
          </cell>
          <cell r="AT219">
            <v>182930.7576769107</v>
          </cell>
          <cell r="AV219">
            <v>6617.9230769230771</v>
          </cell>
        </row>
        <row r="220">
          <cell r="B220">
            <v>35306</v>
          </cell>
          <cell r="C220">
            <v>63099</v>
          </cell>
          <cell r="E220">
            <v>14493</v>
          </cell>
          <cell r="G220">
            <v>29460</v>
          </cell>
          <cell r="I220">
            <v>12635</v>
          </cell>
          <cell r="K220">
            <v>2791</v>
          </cell>
          <cell r="M220">
            <v>9844</v>
          </cell>
          <cell r="O220">
            <v>15001</v>
          </cell>
          <cell r="Q220">
            <v>58.916072261849209</v>
          </cell>
          <cell r="T220">
            <v>-61.048316902582215</v>
          </cell>
          <cell r="U220">
            <v>-30.268475750577373</v>
          </cell>
          <cell r="V220">
            <v>-1.7934528968597929</v>
          </cell>
          <cell r="W220">
            <v>7.9176631363170547</v>
          </cell>
          <cell r="X220">
            <v>-83.170525808007724</v>
          </cell>
          <cell r="Y220">
            <v>-301.88679245283021</v>
          </cell>
          <cell r="Z220">
            <v>-18.089985803210663</v>
          </cell>
          <cell r="AA220">
            <v>19.895653866202913</v>
          </cell>
          <cell r="AB220">
            <v>22.089434111594777</v>
          </cell>
          <cell r="AC220">
            <v>4.4232079747698068</v>
          </cell>
          <cell r="AD220">
            <v>62893.333333333336</v>
          </cell>
          <cell r="AE220">
            <v>13798</v>
          </cell>
          <cell r="AF220">
            <v>29568.333333333332</v>
          </cell>
          <cell r="AG220">
            <v>13383.666666666666</v>
          </cell>
          <cell r="AH220">
            <v>2820.6666666666665</v>
          </cell>
          <cell r="AI220">
            <v>10563</v>
          </cell>
          <cell r="AJ220">
            <v>13449.333333333334</v>
          </cell>
          <cell r="AK220">
            <v>58.917709602465379</v>
          </cell>
          <cell r="AL220">
            <v>21.138750523038855</v>
          </cell>
          <cell r="AM220">
            <v>-0.58526008885597924</v>
          </cell>
          <cell r="AO220">
            <v>171550.09035333246</v>
          </cell>
          <cell r="AQ220">
            <v>166813.47828689328</v>
          </cell>
          <cell r="AR220">
            <v>30451.620182122278</v>
          </cell>
          <cell r="AS220">
            <v>135079.41318201736</v>
          </cell>
          <cell r="AT220">
            <v>184371.8572012384</v>
          </cell>
          <cell r="AV220">
            <v>6893.6153846153848</v>
          </cell>
        </row>
        <row r="221">
          <cell r="B221">
            <v>35337</v>
          </cell>
          <cell r="C221">
            <v>58713</v>
          </cell>
          <cell r="E221">
            <v>14258</v>
          </cell>
          <cell r="G221">
            <v>28992</v>
          </cell>
          <cell r="I221">
            <v>13585</v>
          </cell>
          <cell r="K221">
            <v>3386</v>
          </cell>
          <cell r="M221">
            <v>10199</v>
          </cell>
          <cell r="O221">
            <v>15016</v>
          </cell>
          <cell r="Q221">
            <v>57.922216302610551</v>
          </cell>
          <cell r="T221">
            <v>-57.323535183933359</v>
          </cell>
          <cell r="U221">
            <v>-24.111134766872468</v>
          </cell>
          <cell r="V221">
            <v>-7.136450992953236</v>
          </cell>
          <cell r="W221">
            <v>4.2034210324461085</v>
          </cell>
          <cell r="X221">
            <v>-82.098863335976731</v>
          </cell>
          <cell r="Y221">
            <v>-273.51139843484179</v>
          </cell>
          <cell r="Z221">
            <v>-14.428994757237291</v>
          </cell>
          <cell r="AA221">
            <v>8.5222135039728641</v>
          </cell>
          <cell r="AB221">
            <v>24.924549135075452</v>
          </cell>
          <cell r="AC221">
            <v>5.7670362611346722</v>
          </cell>
          <cell r="AD221">
            <v>61147.333333333336</v>
          </cell>
          <cell r="AE221">
            <v>14252.333333333334</v>
          </cell>
          <cell r="AF221">
            <v>28628.333333333332</v>
          </cell>
          <cell r="AG221">
            <v>15402.333333333334</v>
          </cell>
          <cell r="AH221">
            <v>3154</v>
          </cell>
          <cell r="AI221">
            <v>12248.333333333334</v>
          </cell>
          <cell r="AJ221">
            <v>15573</v>
          </cell>
          <cell r="AK221">
            <v>56.382694421166661</v>
          </cell>
          <cell r="AL221">
            <v>21.149888813582127</v>
          </cell>
          <cell r="AM221">
            <v>-0.50040562337154149</v>
          </cell>
          <cell r="AO221">
            <v>169353.54545668216</v>
          </cell>
          <cell r="AQ221">
            <v>166767.0801278064</v>
          </cell>
          <cell r="AR221">
            <v>33578.719840545928</v>
          </cell>
          <cell r="AS221">
            <v>131000.49349061967</v>
          </cell>
          <cell r="AT221">
            <v>179966.60405429339</v>
          </cell>
          <cell r="AV221">
            <v>8053.2307692307695</v>
          </cell>
        </row>
        <row r="222">
          <cell r="B222">
            <v>35367</v>
          </cell>
          <cell r="C222">
            <v>61630</v>
          </cell>
          <cell r="E222">
            <v>14006</v>
          </cell>
          <cell r="G222">
            <v>27433</v>
          </cell>
          <cell r="I222">
            <v>19987</v>
          </cell>
          <cell r="K222">
            <v>3285</v>
          </cell>
          <cell r="M222">
            <v>16702</v>
          </cell>
          <cell r="O222">
            <v>15733</v>
          </cell>
          <cell r="Q222">
            <v>52.309794699040232</v>
          </cell>
          <cell r="T222">
            <v>-50.687715536210078</v>
          </cell>
          <cell r="U222">
            <v>-28.957646462084707</v>
          </cell>
          <cell r="V222">
            <v>-15.33808597969324</v>
          </cell>
          <cell r="W222">
            <v>53.580759182418937</v>
          </cell>
          <cell r="X222">
            <v>-43.517881705639617</v>
          </cell>
          <cell r="Y222">
            <v>132.03667685468184</v>
          </cell>
          <cell r="Z222">
            <v>-18.439606013478482</v>
          </cell>
          <cell r="AA222">
            <v>3.8027281161709281</v>
          </cell>
          <cell r="AB222">
            <v>16.435683194076152</v>
          </cell>
          <cell r="AC222">
            <v>5.3301963329547304</v>
          </cell>
          <cell r="AD222">
            <v>61032.666666666664</v>
          </cell>
          <cell r="AE222">
            <v>14051.666666666666</v>
          </cell>
          <cell r="AF222">
            <v>28133</v>
          </cell>
          <cell r="AG222">
            <v>16953.333333333332</v>
          </cell>
          <cell r="AH222">
            <v>2991.3333333333335</v>
          </cell>
          <cell r="AI222">
            <v>13962</v>
          </cell>
          <cell r="AJ222">
            <v>15244.666666666666</v>
          </cell>
          <cell r="AK222">
            <v>57.470090945871448</v>
          </cell>
          <cell r="AL222">
            <v>18.227203773453123</v>
          </cell>
          <cell r="AM222">
            <v>-0.37846971265602725</v>
          </cell>
          <cell r="AO222">
            <v>154879.49514768465</v>
          </cell>
          <cell r="AQ222">
            <v>216083.97063224574</v>
          </cell>
          <cell r="AR222">
            <v>38909.558173784979</v>
          </cell>
          <cell r="AS222">
            <v>177712.44650089479</v>
          </cell>
          <cell r="AT222">
            <v>172826.34675919777</v>
          </cell>
          <cell r="AV222">
            <v>9790.1538461538457</v>
          </cell>
        </row>
        <row r="223">
          <cell r="B223">
            <v>35398</v>
          </cell>
          <cell r="C223">
            <v>62755</v>
          </cell>
          <cell r="E223">
            <v>13891</v>
          </cell>
          <cell r="G223">
            <v>27974</v>
          </cell>
          <cell r="I223">
            <v>17288</v>
          </cell>
          <cell r="K223">
            <v>2303</v>
          </cell>
          <cell r="M223">
            <v>14985</v>
          </cell>
          <cell r="O223">
            <v>13497</v>
          </cell>
          <cell r="Q223">
            <v>62.178261835963553</v>
          </cell>
          <cell r="T223">
            <v>-44.938230442564844</v>
          </cell>
          <cell r="U223">
            <v>-21.709970129064981</v>
          </cell>
          <cell r="V223">
            <v>-15.44808825751851</v>
          </cell>
          <cell r="W223">
            <v>13.774267851266874</v>
          </cell>
          <cell r="X223">
            <v>-71.714566445590762</v>
          </cell>
          <cell r="Y223">
            <v>112.46278179498086</v>
          </cell>
          <cell r="Z223">
            <v>-15.82787652011225</v>
          </cell>
          <cell r="AA223">
            <v>0.45120432619774054</v>
          </cell>
          <cell r="AB223">
            <v>13.321378991207775</v>
          </cell>
          <cell r="AC223">
            <v>3.6698271054099276</v>
          </cell>
          <cell r="AD223">
            <v>63478</v>
          </cell>
          <cell r="AE223">
            <v>13453.666666666666</v>
          </cell>
          <cell r="AF223">
            <v>26675.666666666668</v>
          </cell>
          <cell r="AG223">
            <v>18416.333333333332</v>
          </cell>
          <cell r="AH223">
            <v>2454</v>
          </cell>
          <cell r="AI223">
            <v>15962.333333333334</v>
          </cell>
          <cell r="AJ223">
            <v>15143.333333333334</v>
          </cell>
          <cell r="AK223">
            <v>53.579091272469434</v>
          </cell>
          <cell r="AL223">
            <v>13.208958045293079</v>
          </cell>
          <cell r="AM223">
            <v>-0.32113416571164333</v>
          </cell>
          <cell r="AO223">
            <v>170795.15285516164</v>
          </cell>
          <cell r="AQ223">
            <v>212821.54864168353</v>
          </cell>
          <cell r="AR223">
            <v>27102.084748140871</v>
          </cell>
          <cell r="AS223">
            <v>186084.3013591608</v>
          </cell>
          <cell r="AT223">
            <v>175900.54355048388</v>
          </cell>
          <cell r="AV223">
            <v>10389.153846153846</v>
          </cell>
        </row>
        <row r="224">
          <cell r="B224">
            <v>35428</v>
          </cell>
          <cell r="C224">
            <v>66049</v>
          </cell>
          <cell r="E224">
            <v>12464</v>
          </cell>
          <cell r="G224">
            <v>24620</v>
          </cell>
          <cell r="I224">
            <v>17974</v>
          </cell>
          <cell r="K224">
            <v>1774</v>
          </cell>
          <cell r="M224">
            <v>16200</v>
          </cell>
          <cell r="O224">
            <v>15970</v>
          </cell>
          <cell r="Q224">
            <v>46.249217282404508</v>
          </cell>
          <cell r="T224">
            <v>-39.382898468259285</v>
          </cell>
          <cell r="U224">
            <v>-14.271958181443011</v>
          </cell>
          <cell r="V224">
            <v>-19.447716267504255</v>
          </cell>
          <cell r="W224">
            <v>34.808370209255223</v>
          </cell>
          <cell r="X224">
            <v>-56.868465840019454</v>
          </cell>
          <cell r="Y224">
            <v>75.70498915401302</v>
          </cell>
          <cell r="Z224">
            <v>-12.870314801680394</v>
          </cell>
          <cell r="AA224">
            <v>-7.5489788019464825</v>
          </cell>
          <cell r="AB224">
            <v>9.8698119505953041</v>
          </cell>
          <cell r="AC224">
            <v>2.685884721948856</v>
          </cell>
          <cell r="AD224">
            <v>65433.333333333336</v>
          </cell>
          <cell r="AE224">
            <v>13548.333333333334</v>
          </cell>
          <cell r="AF224">
            <v>26187</v>
          </cell>
          <cell r="AG224">
            <v>18427</v>
          </cell>
          <cell r="AH224">
            <v>2905.3333333333335</v>
          </cell>
          <cell r="AI224">
            <v>15521.666666666666</v>
          </cell>
          <cell r="AJ224">
            <v>14949</v>
          </cell>
          <cell r="AK224">
            <v>56.348702672947582</v>
          </cell>
          <cell r="AL224">
            <v>15.454725535140881</v>
          </cell>
          <cell r="AM224">
            <v>-0.25539967676809405</v>
          </cell>
          <cell r="AO224">
            <v>174611.80838677482</v>
          </cell>
          <cell r="AQ224">
            <v>204005.93640598471</v>
          </cell>
          <cell r="AR224">
            <v>23792.551639063393</v>
          </cell>
          <cell r="AS224">
            <v>178790.73628237066</v>
          </cell>
          <cell r="AT224">
            <v>176149.21181609042</v>
          </cell>
          <cell r="AV224">
            <v>11092.76923076923</v>
          </cell>
        </row>
        <row r="225">
          <cell r="B225">
            <v>35459.083333333336</v>
          </cell>
          <cell r="C225">
            <v>67496</v>
          </cell>
          <cell r="E225">
            <v>14290</v>
          </cell>
          <cell r="G225">
            <v>25967</v>
          </cell>
          <cell r="I225">
            <v>20019</v>
          </cell>
          <cell r="K225">
            <v>4639</v>
          </cell>
          <cell r="M225">
            <v>15380</v>
          </cell>
          <cell r="O225">
            <v>12851</v>
          </cell>
          <cell r="Q225">
            <v>60.618628900474668</v>
          </cell>
          <cell r="T225">
            <v>-33.015094826473998</v>
          </cell>
          <cell r="U225">
            <v>-14.64070246699719</v>
          </cell>
          <cell r="V225">
            <v>-22.433312423454911</v>
          </cell>
          <cell r="W225">
            <v>25.212659494620972</v>
          </cell>
          <cell r="X225">
            <v>-33.907964097449785</v>
          </cell>
          <cell r="Y225">
            <v>71.479540639982162</v>
          </cell>
          <cell r="Z225">
            <v>-1.9980172348051606</v>
          </cell>
          <cell r="AA225">
            <v>-20.851920146974113</v>
          </cell>
          <cell r="AB225">
            <v>23.17298566361956</v>
          </cell>
          <cell r="AC225">
            <v>6.872999881474458</v>
          </cell>
          <cell r="AD225">
            <v>68231.333333333328</v>
          </cell>
          <cell r="AE225">
            <v>14010.666666666666</v>
          </cell>
          <cell r="AF225">
            <v>25728.333333333332</v>
          </cell>
          <cell r="AG225">
            <v>19517.333333333332</v>
          </cell>
          <cell r="AH225">
            <v>2784.3333333333335</v>
          </cell>
          <cell r="AI225">
            <v>16733</v>
          </cell>
          <cell r="AJ225">
            <v>15813.333333333334</v>
          </cell>
          <cell r="AK225">
            <v>54.676988916751689</v>
          </cell>
          <cell r="AL225">
            <v>14.15968474716091</v>
          </cell>
          <cell r="AM225">
            <v>-0.2225933202357564</v>
          </cell>
          <cell r="AO225">
            <v>178087.73227401447</v>
          </cell>
          <cell r="AQ225">
            <v>220579.59368002869</v>
          </cell>
          <cell r="AR225">
            <v>55562.57248357746</v>
          </cell>
          <cell r="AS225">
            <v>167003.30497768623</v>
          </cell>
          <cell r="AT225">
            <v>182223.95586638476</v>
          </cell>
          <cell r="AV225">
            <v>11566.615384615385</v>
          </cell>
        </row>
        <row r="472">
          <cell r="C472" t="str">
            <v>/ppobca19...b175~</v>
          </cell>
        </row>
        <row r="473">
          <cell r="C473" t="str">
            <v>bra2..ay6~q</v>
          </cell>
        </row>
        <row r="474">
          <cell r="C474" t="str">
            <v>rc19..j175~agp</v>
          </cell>
        </row>
        <row r="475">
          <cell r="C475" t="str">
            <v>rl19..t175~agp</v>
          </cell>
        </row>
        <row r="476">
          <cell r="C476" t="str">
            <v>rv19..ae175~agp</v>
          </cell>
        </row>
        <row r="477">
          <cell r="C477" t="str">
            <v>rat19..ay175~agp</v>
          </cell>
        </row>
        <row r="478">
          <cell r="C478" t="str">
            <v>rc186..i217~agpq</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sheetName val="Annuity Data"/>
      <sheetName val="Introduction"/>
      <sheetName val="Analysis"/>
      <sheetName val="Annual"/>
      <sheetName val="Events"/>
      <sheetName val="Quarter"/>
      <sheetName val="(3) Personal Income"/>
      <sheetName val="(3) Savings Rate-Q"/>
      <sheetName val="(2) Consumer Sentiment"/>
      <sheetName val="(3) Disposable Income"/>
      <sheetName val="(3) Wage &amp; Salary-M"/>
      <sheetName val="(3) Consumer Spending-M"/>
      <sheetName val="(3) Consumer Spending-Q"/>
      <sheetName val="(3) Wage &amp; Salary-Q"/>
      <sheetName val="(3) Disposable Income-Q"/>
      <sheetName val="(3) Personal Income-Q"/>
      <sheetName val="(1) Consumer Confidence"/>
      <sheetName val="JC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ckSheet"/>
      <sheetName val="Forecasts"/>
      <sheetName val="Key data"/>
      <sheetName val="model"/>
      <sheetName val="To word"/>
      <sheetName val="Chartdata"/>
      <sheetName val="US ops"/>
      <sheetName val="Cost of capital"/>
      <sheetName val="1st page - Summary"/>
      <sheetName val="2nd page - P&amp;L summary"/>
      <sheetName val="3rd page - Balance sheet"/>
      <sheetName val="Organic growth"/>
      <sheetName val="Turnover cht"/>
      <sheetName val="Profit cht"/>
      <sheetName val="Product sales cht"/>
      <sheetName val="Customer cht"/>
      <sheetName val="Chart data"/>
      <sheetName val="Sum of Parts"/>
      <sheetName val="Chart7"/>
      <sheetName val="Buyback2"/>
      <sheetName val="Buyback1"/>
      <sheetName val="Hughes"/>
      <sheetName val="Watsco"/>
      <sheetName val="Acq-disp"/>
      <sheetName val="Key acqs"/>
      <sheetName val="Hall Acquisition"/>
      <sheetName val="Branches"/>
      <sheetName val="US divisions"/>
      <sheetName val="Historic_analysis"/>
      <sheetName val="average_share_price"/>
      <sheetName val="share_price"/>
      <sheetName val="CODATA"/>
      <sheetName val="Balance sheet"/>
      <sheetName val=" US revenues cht"/>
      <sheetName val=" US profits cht"/>
      <sheetName val="US margins cht"/>
      <sheetName val="UK heavyside data"/>
      <sheetName val="Wolseley USA"/>
      <sheetName val="infln_look"/>
      <sheetName val="Ecoprof by divn"/>
      <sheetName val="Eco data sort"/>
      <sheetName val="Module1"/>
    </sheetNames>
    <sheetDataSet>
      <sheetData sheetId="0"/>
      <sheetData sheetId="1">
        <row r="1">
          <cell r="A1" t="str">
            <v>Wolseley</v>
          </cell>
        </row>
        <row r="85">
          <cell r="A85" t="str">
            <v>%age change</v>
          </cell>
          <cell r="F85" t="str">
            <v>James Capel &amp; Co.</v>
          </cell>
        </row>
        <row r="87">
          <cell r="A87" t="str">
            <v>Operating Profits</v>
          </cell>
          <cell r="P87">
            <v>34516</v>
          </cell>
        </row>
        <row r="88">
          <cell r="A88" t="str">
            <v>UK Distribution</v>
          </cell>
        </row>
        <row r="89">
          <cell r="A89" t="str">
            <v xml:space="preserve"> Wolseley Centers</v>
          </cell>
          <cell r="B89">
            <v>17.767994070238444</v>
          </cell>
          <cell r="C89">
            <v>21.086005929761555</v>
          </cell>
          <cell r="D89">
            <v>38.853999999999999</v>
          </cell>
          <cell r="E89">
            <v>17.520975247895695</v>
          </cell>
          <cell r="F89">
            <v>23.313024752104308</v>
          </cell>
          <cell r="G89">
            <v>40.834000000000003</v>
          </cell>
          <cell r="H89">
            <v>12.82</v>
          </cell>
          <cell r="I89">
            <v>16.68</v>
          </cell>
          <cell r="J89">
            <v>29.5</v>
          </cell>
          <cell r="K89">
            <v>12.75414364640884</v>
          </cell>
          <cell r="L89">
            <v>21.445856353591161</v>
          </cell>
          <cell r="M89">
            <v>34.200000000000003</v>
          </cell>
          <cell r="N89">
            <v>21.66371681415929</v>
          </cell>
          <cell r="O89">
            <v>29.33628318584071</v>
          </cell>
          <cell r="P89">
            <v>51</v>
          </cell>
          <cell r="Q89">
            <v>25.3</v>
          </cell>
          <cell r="R89">
            <v>32.200000000000003</v>
          </cell>
          <cell r="S89">
            <v>57.5</v>
          </cell>
          <cell r="T89">
            <v>26.031496062992126</v>
          </cell>
          <cell r="U89">
            <v>30.968503937007874</v>
          </cell>
          <cell r="V89">
            <v>57</v>
          </cell>
        </row>
        <row r="90">
          <cell r="B90">
            <v>8.1523066639402342E-2</v>
          </cell>
          <cell r="C90">
            <v>9.7869835167042479E-2</v>
          </cell>
          <cell r="D90">
            <v>8.9649284725426867E-2</v>
          </cell>
          <cell r="E90">
            <v>7.0811462057982014E-2</v>
          </cell>
          <cell r="F90">
            <v>0.10124271877065914</v>
          </cell>
          <cell r="G90">
            <v>8.5480427046263352E-2</v>
          </cell>
          <cell r="H90">
            <v>5.2617842697421334E-2</v>
          </cell>
          <cell r="I90">
            <v>7.3689098841779696E-2</v>
          </cell>
          <cell r="J90">
            <v>6.2765957446808504E-2</v>
          </cell>
          <cell r="K90">
            <v>5.2747507168232476E-2</v>
          </cell>
          <cell r="L90">
            <v>8.338077190150868E-2</v>
          </cell>
          <cell r="M90">
            <v>6.8537074148296601E-2</v>
          </cell>
          <cell r="N90">
            <v>7.6624361082939449E-2</v>
          </cell>
          <cell r="O90">
            <v>0.1069598572847348</v>
          </cell>
          <cell r="P90">
            <v>9.1561938958707359E-2</v>
          </cell>
          <cell r="Q90">
            <v>8.2934184580459022E-2</v>
          </cell>
          <cell r="R90">
            <v>0.10399212778330261</v>
          </cell>
          <cell r="S90">
            <v>9.3541564991052553E-2</v>
          </cell>
          <cell r="T90">
            <v>7.7796151493996865E-2</v>
          </cell>
          <cell r="U90">
            <v>9.0027761067175249E-2</v>
          </cell>
          <cell r="V90">
            <v>8.3996463306808114E-2</v>
          </cell>
        </row>
        <row r="91">
          <cell r="A91" t="str">
            <v xml:space="preserve"> Builder Center/Hall &amp; Co</v>
          </cell>
          <cell r="B91">
            <v>2.5425965674197184</v>
          </cell>
          <cell r="C91">
            <v>3.0174034325802812</v>
          </cell>
          <cell r="D91">
            <v>5.56</v>
          </cell>
          <cell r="E91">
            <v>1.1906917351449906</v>
          </cell>
          <cell r="F91">
            <v>1.5843082648550093</v>
          </cell>
          <cell r="G91">
            <v>2.7749999999999999</v>
          </cell>
          <cell r="H91">
            <v>0.65186440677966107</v>
          </cell>
          <cell r="I91">
            <v>0.84813559322033893</v>
          </cell>
          <cell r="J91">
            <v>1.5</v>
          </cell>
          <cell r="K91">
            <v>0.3729281767955801</v>
          </cell>
          <cell r="L91">
            <v>0.6270718232044199</v>
          </cell>
          <cell r="M91">
            <v>1</v>
          </cell>
          <cell r="N91">
            <v>1.6991150442477876</v>
          </cell>
          <cell r="O91">
            <v>2.3008849557522124</v>
          </cell>
          <cell r="P91">
            <v>4</v>
          </cell>
          <cell r="Q91">
            <v>2.64</v>
          </cell>
          <cell r="R91">
            <v>3.36</v>
          </cell>
          <cell r="S91">
            <v>6</v>
          </cell>
          <cell r="T91">
            <v>2.2834645669291338</v>
          </cell>
          <cell r="U91">
            <v>2.7165354330708662</v>
          </cell>
          <cell r="V91">
            <v>5</v>
          </cell>
        </row>
        <row r="92">
          <cell r="B92">
            <v>7.0125053580231175E-2</v>
          </cell>
          <cell r="C92">
            <v>8.4186325636333575E-2</v>
          </cell>
          <cell r="D92">
            <v>7.7115117891816923E-2</v>
          </cell>
          <cell r="E92">
            <v>3.6768921922512132E-2</v>
          </cell>
          <cell r="F92">
            <v>5.2570382160067292E-2</v>
          </cell>
          <cell r="G92">
            <v>4.4385796545105563E-2</v>
          </cell>
          <cell r="H92">
            <v>2.4880320869452712E-2</v>
          </cell>
          <cell r="I92">
            <v>3.1646850493296227E-2</v>
          </cell>
          <cell r="J92">
            <v>2.8301886792452831E-2</v>
          </cell>
          <cell r="K92">
            <v>1.399309201326316E-2</v>
          </cell>
          <cell r="L92">
            <v>2.2119619978124842E-2</v>
          </cell>
          <cell r="M92">
            <v>1.8181818181818181E-2</v>
          </cell>
          <cell r="N92">
            <v>4.8654547564064385E-2</v>
          </cell>
          <cell r="O92">
            <v>6.7916826844046138E-2</v>
          </cell>
          <cell r="P92">
            <v>5.8139534883720929E-2</v>
          </cell>
          <cell r="Q92">
            <v>6.8200191654325296E-2</v>
          </cell>
          <cell r="R92">
            <v>8.5517004613238926E-2</v>
          </cell>
          <cell r="S92">
            <v>7.6923076923076927E-2</v>
          </cell>
          <cell r="T92">
            <v>5.6474613183382844E-2</v>
          </cell>
          <cell r="U92">
            <v>6.5353913842731218E-2</v>
          </cell>
          <cell r="V92">
            <v>6.097560975609756E-2</v>
          </cell>
        </row>
        <row r="93">
          <cell r="A93" t="str">
            <v xml:space="preserve"> R.S. Kennedy</v>
          </cell>
          <cell r="B93">
            <v>0.29724600158683762</v>
          </cell>
          <cell r="C93">
            <v>0.35275399841316241</v>
          </cell>
          <cell r="D93">
            <v>0.65</v>
          </cell>
          <cell r="E93">
            <v>0</v>
          </cell>
          <cell r="F93">
            <v>0</v>
          </cell>
          <cell r="G93">
            <v>0</v>
          </cell>
          <cell r="H93">
            <v>0</v>
          </cell>
          <cell r="I93">
            <v>0</v>
          </cell>
          <cell r="J93">
            <v>0</v>
          </cell>
          <cell r="K93">
            <v>0</v>
          </cell>
          <cell r="L93">
            <v>0</v>
          </cell>
          <cell r="M93">
            <v>0</v>
          </cell>
          <cell r="N93">
            <v>0</v>
          </cell>
          <cell r="O93">
            <v>0</v>
          </cell>
        </row>
        <row r="94">
          <cell r="B94">
            <v>5.481092819427285E-2</v>
          </cell>
          <cell r="C94">
            <v>6.5801456309953807E-2</v>
          </cell>
          <cell r="D94">
            <v>6.0274480712166172E-2</v>
          </cell>
          <cell r="E94">
            <v>0</v>
          </cell>
          <cell r="F94">
            <v>0</v>
          </cell>
          <cell r="G94">
            <v>0</v>
          </cell>
          <cell r="H94">
            <v>0</v>
          </cell>
          <cell r="I94">
            <v>0</v>
          </cell>
          <cell r="J94">
            <v>0</v>
          </cell>
          <cell r="K94">
            <v>0</v>
          </cell>
          <cell r="L94">
            <v>0</v>
          </cell>
          <cell r="M94">
            <v>0</v>
          </cell>
          <cell r="N94">
            <v>0</v>
          </cell>
          <cell r="O94">
            <v>0</v>
          </cell>
        </row>
        <row r="95">
          <cell r="A95" t="str">
            <v xml:space="preserve"> Plant &amp; Tools</v>
          </cell>
          <cell r="B95">
            <v>-1.3362351025180608</v>
          </cell>
          <cell r="C95">
            <v>-1.5857648974819394</v>
          </cell>
          <cell r="D95">
            <v>-2.9220000000000002</v>
          </cell>
          <cell r="E95">
            <v>-0.75174483602667519</v>
          </cell>
          <cell r="F95">
            <v>-1.0002551639733248</v>
          </cell>
          <cell r="G95">
            <v>-1.752</v>
          </cell>
          <cell r="H95">
            <v>-1.0864406779661018</v>
          </cell>
          <cell r="I95">
            <v>-1.4135593220338982</v>
          </cell>
          <cell r="J95">
            <v>-2.5</v>
          </cell>
          <cell r="K95">
            <v>0.18646408839779005</v>
          </cell>
          <cell r="L95">
            <v>0.31353591160220995</v>
          </cell>
          <cell r="M95">
            <v>0.5</v>
          </cell>
          <cell r="N95">
            <v>0.4247787610619469</v>
          </cell>
          <cell r="O95">
            <v>0.5752212389380531</v>
          </cell>
          <cell r="P95">
            <v>1</v>
          </cell>
          <cell r="Q95">
            <v>0.44</v>
          </cell>
          <cell r="R95">
            <v>0.56000000000000005</v>
          </cell>
          <cell r="S95">
            <v>1</v>
          </cell>
          <cell r="T95">
            <v>0.45669291338582679</v>
          </cell>
          <cell r="U95">
            <v>0.54330708661417315</v>
          </cell>
          <cell r="V95">
            <v>1</v>
          </cell>
        </row>
        <row r="96">
          <cell r="B96">
            <v>-0.1241652643471349</v>
          </cell>
          <cell r="C96">
            <v>-0.14906252249903637</v>
          </cell>
          <cell r="D96">
            <v>-0.13654205607476638</v>
          </cell>
          <cell r="E96">
            <v>-8.8848856206934071E-2</v>
          </cell>
          <cell r="F96">
            <v>-0.1270316909243846</v>
          </cell>
          <cell r="G96">
            <v>-0.10725436179981634</v>
          </cell>
          <cell r="H96">
            <v>-0.28590544157002679</v>
          </cell>
          <cell r="I96">
            <v>-0.27183833116036504</v>
          </cell>
          <cell r="J96">
            <v>-0.27777777777777779</v>
          </cell>
          <cell r="K96">
            <v>0.12827001012157896</v>
          </cell>
          <cell r="L96">
            <v>0.20276318313281105</v>
          </cell>
          <cell r="M96">
            <v>0.16666666666666666</v>
          </cell>
          <cell r="N96">
            <v>0.16737164362038148</v>
          </cell>
          <cell r="O96">
            <v>0.23363388434351873</v>
          </cell>
          <cell r="P96">
            <v>0.2</v>
          </cell>
          <cell r="Q96">
            <v>0.14776708191770477</v>
          </cell>
          <cell r="R96">
            <v>0.18528684332868439</v>
          </cell>
          <cell r="S96">
            <v>0.16666666666666666</v>
          </cell>
          <cell r="T96">
            <v>0.13231195088678269</v>
          </cell>
          <cell r="U96">
            <v>0.15311488386011307</v>
          </cell>
          <cell r="V96">
            <v>0.14285714285714285</v>
          </cell>
        </row>
        <row r="97">
          <cell r="A97" t="str">
            <v xml:space="preserve"> Uni-Rents</v>
          </cell>
          <cell r="B97">
            <v>0.35026965795297949</v>
          </cell>
          <cell r="C97">
            <v>0.41567934204702051</v>
          </cell>
          <cell r="D97">
            <v>0.76594899999999999</v>
          </cell>
          <cell r="E97">
            <v>0</v>
          </cell>
          <cell r="F97">
            <v>0</v>
          </cell>
          <cell r="G97">
            <v>0</v>
          </cell>
          <cell r="H97">
            <v>0.21728813559322036</v>
          </cell>
          <cell r="I97">
            <v>0.28271186440677964</v>
          </cell>
          <cell r="J97">
            <v>0.5</v>
          </cell>
          <cell r="K97">
            <v>0</v>
          </cell>
          <cell r="L97">
            <v>0</v>
          </cell>
          <cell r="M97">
            <v>0</v>
          </cell>
          <cell r="N97">
            <v>0</v>
          </cell>
          <cell r="O97">
            <v>0</v>
          </cell>
        </row>
        <row r="98">
          <cell r="B98">
            <v>0.12549908216108094</v>
          </cell>
          <cell r="C98">
            <v>0.15066379358677864</v>
          </cell>
          <cell r="D98">
            <v>0.13800882882882884</v>
          </cell>
          <cell r="E98">
            <v>0</v>
          </cell>
          <cell r="F98">
            <v>0</v>
          </cell>
          <cell r="G98">
            <v>0</v>
          </cell>
          <cell r="H98">
            <v>0</v>
          </cell>
          <cell r="I98">
            <v>0</v>
          </cell>
          <cell r="J98">
            <v>0</v>
          </cell>
          <cell r="K98">
            <v>0</v>
          </cell>
          <cell r="L98">
            <v>0</v>
          </cell>
          <cell r="M98">
            <v>0</v>
          </cell>
          <cell r="N98">
            <v>0</v>
          </cell>
          <cell r="O98">
            <v>0</v>
          </cell>
        </row>
        <row r="99">
          <cell r="A99" t="str">
            <v xml:space="preserve"> R.S.J. Plastics &amp; Wood</v>
          </cell>
          <cell r="B99">
            <v>0.31690996784565917</v>
          </cell>
          <cell r="C99">
            <v>0.37609003215434078</v>
          </cell>
          <cell r="D99">
            <v>0.69299999999999995</v>
          </cell>
          <cell r="E99">
            <v>0.29177310987336713</v>
          </cell>
          <cell r="F99">
            <v>0.38822689012663292</v>
          </cell>
          <cell r="G99">
            <v>0.68</v>
          </cell>
          <cell r="H99">
            <v>0.21728813559322036</v>
          </cell>
          <cell r="I99">
            <v>0.28271186440677964</v>
          </cell>
          <cell r="J99">
            <v>0.5</v>
          </cell>
          <cell r="K99">
            <v>0.18646408839779005</v>
          </cell>
          <cell r="L99">
            <v>0.31353591160220995</v>
          </cell>
          <cell r="M99">
            <v>0.5</v>
          </cell>
          <cell r="N99">
            <v>0.21238938053097345</v>
          </cell>
          <cell r="O99">
            <v>0.28761061946902655</v>
          </cell>
          <cell r="P99">
            <v>0.5</v>
          </cell>
          <cell r="Q99">
            <v>0.22</v>
          </cell>
          <cell r="R99">
            <v>0.28000000000000003</v>
          </cell>
          <cell r="S99">
            <v>0.5</v>
          </cell>
          <cell r="T99">
            <v>0.2283464566929134</v>
          </cell>
          <cell r="U99">
            <v>0.27165354330708658</v>
          </cell>
          <cell r="V99">
            <v>0.5</v>
          </cell>
        </row>
        <row r="100">
          <cell r="B100">
            <v>5.6999216214710796E-2</v>
          </cell>
          <cell r="C100">
            <v>6.8428533488068224E-2</v>
          </cell>
          <cell r="D100">
            <v>6.26808972503618E-2</v>
          </cell>
          <cell r="E100">
            <v>4.2401794045168119E-2</v>
          </cell>
          <cell r="F100">
            <v>6.0623983534915063E-2</v>
          </cell>
          <cell r="G100">
            <v>5.1185547610086569E-2</v>
          </cell>
          <cell r="H100">
            <v>3.5203117335055864E-2</v>
          </cell>
          <cell r="I100">
            <v>4.8512669905977177E-2</v>
          </cell>
          <cell r="J100">
            <v>4.1666666666666664E-2</v>
          </cell>
          <cell r="K100">
            <v>3.8481003036473692E-2</v>
          </cell>
          <cell r="L100">
            <v>6.0828954939843312E-2</v>
          </cell>
          <cell r="M100">
            <v>0.05</v>
          </cell>
          <cell r="N100">
            <v>3.4869092420912809E-2</v>
          </cell>
          <cell r="O100">
            <v>4.8673725904899733E-2</v>
          </cell>
          <cell r="P100">
            <v>4.1666666666666664E-2</v>
          </cell>
          <cell r="Q100">
            <v>3.4100095827162641E-2</v>
          </cell>
          <cell r="R100">
            <v>4.275850230661947E-2</v>
          </cell>
          <cell r="S100">
            <v>3.8461538461538464E-2</v>
          </cell>
          <cell r="T100">
            <v>3.3077987721695672E-2</v>
          </cell>
          <cell r="U100">
            <v>3.8278720965028268E-2</v>
          </cell>
          <cell r="V100">
            <v>3.5714285714285712E-2</v>
          </cell>
        </row>
        <row r="101">
          <cell r="A101" t="str">
            <v>UK Distribution Profits</v>
          </cell>
          <cell r="B101">
            <v>21.902000000000001</v>
          </cell>
          <cell r="C101">
            <v>25.991999999999997</v>
          </cell>
          <cell r="D101">
            <v>47.893999999999998</v>
          </cell>
          <cell r="E101">
            <v>17.178999999999998</v>
          </cell>
          <cell r="F101">
            <v>22.858000000000001</v>
          </cell>
          <cell r="G101">
            <v>40.036999999999999</v>
          </cell>
          <cell r="H101">
            <v>12.82</v>
          </cell>
          <cell r="I101">
            <v>16.68</v>
          </cell>
          <cell r="J101">
            <v>29.5</v>
          </cell>
          <cell r="K101">
            <v>13.5</v>
          </cell>
          <cell r="L101">
            <v>22.700000000000003</v>
          </cell>
          <cell r="M101">
            <v>36.200000000000003</v>
          </cell>
          <cell r="N101">
            <v>24</v>
          </cell>
          <cell r="O101">
            <v>32.5</v>
          </cell>
          <cell r="P101">
            <v>56.5</v>
          </cell>
          <cell r="Q101">
            <v>28.6</v>
          </cell>
          <cell r="R101">
            <v>36.4</v>
          </cell>
          <cell r="S101">
            <v>65</v>
          </cell>
          <cell r="T101">
            <v>29</v>
          </cell>
          <cell r="U101">
            <v>34.5</v>
          </cell>
          <cell r="V101">
            <v>63.5</v>
          </cell>
        </row>
        <row r="102">
          <cell r="B102">
            <v>8.0374016976084497E-2</v>
          </cell>
          <cell r="C102">
            <v>9.6490381402807968E-2</v>
          </cell>
          <cell r="D102">
            <v>8.8385697808535182E-2</v>
          </cell>
          <cell r="E102">
            <v>5.8186165924902278E-2</v>
          </cell>
          <cell r="F102">
            <v>8.3191696116289321E-2</v>
          </cell>
          <cell r="G102">
            <v>7.023973473916896E-2</v>
          </cell>
          <cell r="H102">
            <v>4.5815821825771229E-2</v>
          </cell>
          <cell r="I102">
            <v>6.3137813039396778E-2</v>
          </cell>
          <cell r="J102">
            <v>5.422794117647059E-2</v>
          </cell>
          <cell r="K102">
            <v>4.8877624909485884E-2</v>
          </cell>
          <cell r="L102">
            <v>7.72634445200817E-2</v>
          </cell>
          <cell r="M102">
            <v>6.350877192982457E-2</v>
          </cell>
          <cell r="N102">
            <v>7.3215375228798049E-2</v>
          </cell>
          <cell r="O102">
            <v>0.10220125786163524</v>
          </cell>
          <cell r="P102">
            <v>8.7488386497367607E-2</v>
          </cell>
          <cell r="Q102">
            <v>8.0973952434881091E-2</v>
          </cell>
          <cell r="R102">
            <v>0.10153417015341702</v>
          </cell>
          <cell r="S102">
            <v>9.1330616832935238E-2</v>
          </cell>
          <cell r="T102">
            <v>7.524649714582253E-2</v>
          </cell>
          <cell r="U102">
            <v>8.707723372034322E-2</v>
          </cell>
          <cell r="V102">
            <v>8.1243602865916059E-2</v>
          </cell>
        </row>
        <row r="103">
          <cell r="A103" t="str">
            <v xml:space="preserve"> Brossette (FFr)</v>
          </cell>
          <cell r="F103">
            <v>58.7</v>
          </cell>
          <cell r="G103">
            <v>58.7</v>
          </cell>
          <cell r="H103">
            <v>0</v>
          </cell>
          <cell r="I103">
            <v>88</v>
          </cell>
          <cell r="J103">
            <v>88</v>
          </cell>
          <cell r="K103">
            <v>81</v>
          </cell>
          <cell r="L103">
            <v>97</v>
          </cell>
          <cell r="M103">
            <v>178</v>
          </cell>
          <cell r="N103">
            <v>96.2</v>
          </cell>
          <cell r="O103">
            <v>100.3</v>
          </cell>
          <cell r="P103">
            <v>196.5</v>
          </cell>
          <cell r="Q103">
            <v>109</v>
          </cell>
          <cell r="R103">
            <v>123</v>
          </cell>
          <cell r="S103">
            <v>232</v>
          </cell>
          <cell r="T103">
            <v>117</v>
          </cell>
          <cell r="U103">
            <v>76</v>
          </cell>
          <cell r="V103">
            <v>193</v>
          </cell>
        </row>
        <row r="104">
          <cell r="F104">
            <v>3.4692671394799056E-2</v>
          </cell>
          <cell r="G104">
            <v>3.4672179562906087E-2</v>
          </cell>
          <cell r="H104">
            <v>0</v>
          </cell>
          <cell r="I104">
            <v>5.2009456264775412E-2</v>
          </cell>
          <cell r="J104">
            <v>5.1978735971647962E-2</v>
          </cell>
          <cell r="K104">
            <v>4.53781512605042E-2</v>
          </cell>
          <cell r="L104">
            <v>5.1349920592906301E-2</v>
          </cell>
          <cell r="M104">
            <v>4.8448557430593356E-2</v>
          </cell>
          <cell r="N104">
            <v>4.9333333333333333E-2</v>
          </cell>
          <cell r="O104">
            <v>5.015E-2</v>
          </cell>
          <cell r="P104">
            <v>4.9746835443037977E-2</v>
          </cell>
          <cell r="Q104">
            <v>5.0934579439252337E-2</v>
          </cell>
          <cell r="R104">
            <v>5.9708737864077668E-2</v>
          </cell>
          <cell r="S104">
            <v>5.5486197808295182E-2</v>
          </cell>
          <cell r="T104">
            <v>5.3793103448275863E-2</v>
          </cell>
          <cell r="U104">
            <v>3.4289722883228062E-2</v>
          </cell>
          <cell r="V104">
            <v>4.3949462372033593E-2</v>
          </cell>
        </row>
        <row r="105">
          <cell r="A105" t="str">
            <v>France</v>
          </cell>
          <cell r="F105">
            <v>6.0045008183306061</v>
          </cell>
          <cell r="G105">
            <v>6.0045008183306061</v>
          </cell>
          <cell r="H105">
            <v>0</v>
          </cell>
          <cell r="I105">
            <v>9.0016366612111298</v>
          </cell>
          <cell r="J105">
            <v>9.0016366612111298</v>
          </cell>
          <cell r="K105">
            <v>9.3495700352051703</v>
          </cell>
          <cell r="L105">
            <v>11.479289940828403</v>
          </cell>
          <cell r="M105">
            <v>20.879765395894427</v>
          </cell>
          <cell r="N105">
            <v>11.005353955978585</v>
          </cell>
          <cell r="O105">
            <v>11.799999999999999</v>
          </cell>
          <cell r="P105">
            <v>22.769409038238699</v>
          </cell>
          <cell r="Q105">
            <v>13.05764531122718</v>
          </cell>
          <cell r="R105">
            <v>15.76923076923077</v>
          </cell>
          <cell r="S105">
            <v>28.641975308641978</v>
          </cell>
          <cell r="T105">
            <v>15.194805194805195</v>
          </cell>
          <cell r="U105">
            <v>10</v>
          </cell>
          <cell r="V105">
            <v>24.879790648808221</v>
          </cell>
        </row>
        <row r="106">
          <cell r="A106" t="str">
            <v xml:space="preserve"> OAG Group (AS)</v>
          </cell>
          <cell r="O106">
            <v>30</v>
          </cell>
          <cell r="P106">
            <v>30</v>
          </cell>
          <cell r="Q106">
            <v>86</v>
          </cell>
          <cell r="R106">
            <v>74</v>
          </cell>
          <cell r="S106">
            <v>160</v>
          </cell>
          <cell r="T106">
            <v>79</v>
          </cell>
          <cell r="U106">
            <v>49</v>
          </cell>
          <cell r="V106">
            <v>128</v>
          </cell>
        </row>
        <row r="107">
          <cell r="O107">
            <v>4.0540540540540543E-2</v>
          </cell>
          <cell r="P107">
            <v>4.0540540540540543E-2</v>
          </cell>
          <cell r="Q107">
            <v>4.7045951859956234E-2</v>
          </cell>
          <cell r="R107">
            <v>4.6147063207133604E-2</v>
          </cell>
          <cell r="S107">
            <v>4.6625902029071839E-2</v>
          </cell>
          <cell r="T107">
            <v>4.2473118279569892E-2</v>
          </cell>
          <cell r="U107">
            <v>2.7173075186900847E-2</v>
          </cell>
          <cell r="V107">
            <v>3.494159675890484E-2</v>
          </cell>
        </row>
        <row r="108">
          <cell r="A108" t="str">
            <v>Austria</v>
          </cell>
          <cell r="O108">
            <v>1.7142857142857142</v>
          </cell>
          <cell r="P108">
            <v>1.7142857142857142</v>
          </cell>
          <cell r="Q108">
            <v>5.1024040629375609</v>
          </cell>
          <cell r="R108">
            <v>4.5679012345679011</v>
          </cell>
          <cell r="S108">
            <v>9.7028502122498494</v>
          </cell>
          <cell r="T108">
            <v>5.031847133757962</v>
          </cell>
          <cell r="U108">
            <v>3.121019108280255</v>
          </cell>
          <cell r="V108">
            <v>8.0260847755204416</v>
          </cell>
        </row>
        <row r="109">
          <cell r="A109" t="str">
            <v>Other Europe</v>
          </cell>
        </row>
        <row r="110">
          <cell r="A110" t="str">
            <v>European total</v>
          </cell>
          <cell r="B110">
            <v>21.902000000000001</v>
          </cell>
          <cell r="C110">
            <v>25.991999999999997</v>
          </cell>
          <cell r="D110">
            <v>47.893999999999998</v>
          </cell>
          <cell r="E110">
            <v>17.178999999999998</v>
          </cell>
          <cell r="F110">
            <v>28.862500818330606</v>
          </cell>
          <cell r="G110">
            <v>46.041500818330604</v>
          </cell>
          <cell r="H110">
            <v>12.82</v>
          </cell>
          <cell r="I110">
            <v>25.68163666121113</v>
          </cell>
          <cell r="J110">
            <v>38.50163666121113</v>
          </cell>
          <cell r="K110">
            <v>22.849570035205168</v>
          </cell>
          <cell r="L110">
            <v>34.179289940828404</v>
          </cell>
          <cell r="M110">
            <v>57.079765395894427</v>
          </cell>
          <cell r="N110">
            <v>35.005353955978585</v>
          </cell>
          <cell r="O110">
            <v>46.014285714285712</v>
          </cell>
          <cell r="P110">
            <v>80.983694752524414</v>
          </cell>
          <cell r="Q110">
            <v>46.760049374164744</v>
          </cell>
          <cell r="R110">
            <v>56.737132003798664</v>
          </cell>
          <cell r="S110">
            <v>103.34482552089182</v>
          </cell>
          <cell r="T110">
            <v>49.226652328563162</v>
          </cell>
          <cell r="U110">
            <v>47.621019108280258</v>
          </cell>
          <cell r="V110">
            <v>96.40587542432867</v>
          </cell>
        </row>
        <row r="111">
          <cell r="B111">
            <v>8.0374016976084497E-2</v>
          </cell>
          <cell r="C111">
            <v>9.6490381402807968E-2</v>
          </cell>
          <cell r="D111">
            <v>8.8385697808535182E-2</v>
          </cell>
          <cell r="E111">
            <v>5.8186165924902278E-2</v>
          </cell>
          <cell r="F111">
            <v>0.10504507818858656</v>
          </cell>
          <cell r="G111">
            <v>8.0773854296594949E-2</v>
          </cell>
          <cell r="H111">
            <v>4.5815821825771229E-2</v>
          </cell>
          <cell r="I111">
            <v>5.873297911117753E-2</v>
          </cell>
          <cell r="J111">
            <v>5.3684819481670899E-2</v>
          </cell>
          <cell r="K111">
            <v>4.7382466525256108E-2</v>
          </cell>
          <cell r="L111">
            <v>6.6066048892742035E-2</v>
          </cell>
          <cell r="M111">
            <v>5.7024580318167165E-2</v>
          </cell>
          <cell r="N111">
            <v>6.3544254095809674E-2</v>
          </cell>
          <cell r="O111">
            <v>7.7259643875045858E-2</v>
          </cell>
          <cell r="P111">
            <v>7.0679266144868094E-2</v>
          </cell>
          <cell r="Q111">
            <v>6.5123887609379039E-2</v>
          </cell>
          <cell r="R111">
            <v>7.8628120249425767E-2</v>
          </cell>
          <cell r="S111">
            <v>7.1967148691428839E-2</v>
          </cell>
          <cell r="T111">
            <v>6.2605433458683912E-2</v>
          </cell>
          <cell r="U111">
            <v>6.0195953872178298E-2</v>
          </cell>
          <cell r="V111">
            <v>6.111694904547272E-2</v>
          </cell>
        </row>
        <row r="113">
          <cell r="A113" t="str">
            <v xml:space="preserve"> Ferguson</v>
          </cell>
          <cell r="B113">
            <v>18.280956624472573</v>
          </cell>
          <cell r="C113">
            <v>23.519043375527424</v>
          </cell>
          <cell r="D113">
            <v>41.8</v>
          </cell>
          <cell r="E113">
            <v>14.247824049973973</v>
          </cell>
          <cell r="F113">
            <v>12.352175950026028</v>
          </cell>
          <cell r="G113">
            <v>26.6</v>
          </cell>
          <cell r="H113">
            <v>14.081335129310343</v>
          </cell>
          <cell r="I113">
            <v>19.418664870689657</v>
          </cell>
          <cell r="J113">
            <v>33.5</v>
          </cell>
          <cell r="K113">
            <v>16.216914893617023</v>
          </cell>
          <cell r="L113">
            <v>22.98308510638298</v>
          </cell>
          <cell r="M113">
            <v>39.200000000000003</v>
          </cell>
          <cell r="N113">
            <v>20.928517165714286</v>
          </cell>
          <cell r="O113">
            <v>31.271482834285717</v>
          </cell>
          <cell r="P113">
            <v>52.2</v>
          </cell>
          <cell r="Q113">
            <v>29.50848708487085</v>
          </cell>
          <cell r="R113">
            <v>34.49151291512915</v>
          </cell>
          <cell r="S113">
            <v>64</v>
          </cell>
          <cell r="T113">
            <v>30.965989259896727</v>
          </cell>
          <cell r="U113">
            <v>43.334010740103267</v>
          </cell>
          <cell r="V113">
            <v>74.3</v>
          </cell>
        </row>
        <row r="114">
          <cell r="B114">
            <v>5.7792241716202696E-2</v>
          </cell>
          <cell r="C114">
            <v>6.9080499357118713E-2</v>
          </cell>
          <cell r="D114">
            <v>6.3643790849673185E-2</v>
          </cell>
          <cell r="E114">
            <v>4.2258531474151144E-2</v>
          </cell>
          <cell r="F114">
            <v>3.6757890886210946E-2</v>
          </cell>
          <cell r="G114">
            <v>3.9512774806892456E-2</v>
          </cell>
          <cell r="H114">
            <v>3.9151536637150097E-2</v>
          </cell>
          <cell r="I114">
            <v>4.9218792430667825E-2</v>
          </cell>
          <cell r="J114">
            <v>4.4417926279501453E-2</v>
          </cell>
          <cell r="K114">
            <v>5.0513451005674871E-2</v>
          </cell>
          <cell r="L114">
            <v>4.1943113905698923E-2</v>
          </cell>
          <cell r="M114">
            <v>4.5109321058688152E-2</v>
          </cell>
          <cell r="N114">
            <v>0.10256838701088505</v>
          </cell>
          <cell r="O114">
            <v>3.6534006170861597E-2</v>
          </cell>
          <cell r="P114">
            <v>4.9245283018867929E-2</v>
          </cell>
          <cell r="Q114">
            <v>0.10215672818981911</v>
          </cell>
          <cell r="R114">
            <v>3.2200602724914165E-2</v>
          </cell>
          <cell r="S114">
            <v>4.7058823529411764E-2</v>
          </cell>
          <cell r="T114">
            <v>9.4824572480841446E-2</v>
          </cell>
          <cell r="U114">
            <v>3.4760667810442583E-2</v>
          </cell>
          <cell r="V114">
            <v>4.7228578693109584E-2</v>
          </cell>
        </row>
        <row r="115">
          <cell r="A115" t="str">
            <v xml:space="preserve"> Familian</v>
          </cell>
          <cell r="B115">
            <v>10.933586497890294</v>
          </cell>
          <cell r="C115">
            <v>14.066413502109706</v>
          </cell>
          <cell r="D115">
            <v>25</v>
          </cell>
          <cell r="E115">
            <v>2.6942313899010935</v>
          </cell>
          <cell r="F115">
            <v>2.3357686100989068</v>
          </cell>
          <cell r="G115">
            <v>5.03</v>
          </cell>
          <cell r="H115">
            <v>-4.62372198275862</v>
          </cell>
          <cell r="I115">
            <v>-6.37627801724138</v>
          </cell>
          <cell r="J115">
            <v>-11</v>
          </cell>
          <cell r="K115">
            <v>-3.3095744680851062</v>
          </cell>
          <cell r="L115">
            <v>-4.6904255319148938</v>
          </cell>
          <cell r="M115">
            <v>-8</v>
          </cell>
          <cell r="N115">
            <v>0.40092944761904759</v>
          </cell>
          <cell r="O115">
            <v>0.59907055238095241</v>
          </cell>
          <cell r="P115">
            <v>1</v>
          </cell>
          <cell r="Q115">
            <v>3.6885608856088563</v>
          </cell>
          <cell r="R115">
            <v>4.3114391143911437</v>
          </cell>
          <cell r="S115">
            <v>8</v>
          </cell>
          <cell r="T115">
            <v>3.7509273666092944</v>
          </cell>
          <cell r="U115">
            <v>5.2490726333907052</v>
          </cell>
          <cell r="V115">
            <v>9</v>
          </cell>
        </row>
        <row r="116">
          <cell r="B116">
            <v>3.9140423100256796E-2</v>
          </cell>
          <cell r="C116">
            <v>4.6785518133943459E-2</v>
          </cell>
          <cell r="D116">
            <v>4.3103448275862072E-2</v>
          </cell>
          <cell r="E116">
            <v>1.1091827784175235E-2</v>
          </cell>
          <cell r="F116">
            <v>9.6480445769571328E-3</v>
          </cell>
          <cell r="G116">
            <v>1.0371134020618558E-2</v>
          </cell>
          <cell r="H116">
            <v>-2.0629341267013317E-2</v>
          </cell>
          <cell r="I116">
            <v>-2.5933880327933086E-2</v>
          </cell>
          <cell r="J116">
            <v>-2.3404255319148935E-2</v>
          </cell>
          <cell r="K116">
            <v>-1.9907568672984786E-2</v>
          </cell>
          <cell r="L116">
            <v>-1.6529961897529415E-2</v>
          </cell>
          <cell r="M116">
            <v>-1.7777777777777778E-2</v>
          </cell>
          <cell r="N116">
            <v>4.4791533898380156E-3</v>
          </cell>
          <cell r="O116">
            <v>1.5954371746843526E-3</v>
          </cell>
          <cell r="P116">
            <v>2.1505376344086021E-3</v>
          </cell>
          <cell r="Q116">
            <v>3.7100285819844585E-2</v>
          </cell>
          <cell r="R116">
            <v>1.1694301352778056E-2</v>
          </cell>
          <cell r="S116">
            <v>1.7090365306558428E-2</v>
          </cell>
          <cell r="T116">
            <v>3.8042138041842831E-2</v>
          </cell>
          <cell r="U116">
            <v>1.3945437228716991E-2</v>
          </cell>
          <cell r="V116">
            <v>1.8947368421052633E-2</v>
          </cell>
        </row>
        <row r="117">
          <cell r="A117" t="str">
            <v xml:space="preserve"> Familian NW</v>
          </cell>
          <cell r="B117">
            <v>10.933586497890294</v>
          </cell>
          <cell r="C117">
            <v>14.066413502109706</v>
          </cell>
          <cell r="D117">
            <v>25</v>
          </cell>
          <cell r="E117">
            <v>12.855179593961479</v>
          </cell>
          <cell r="F117">
            <v>11.144820406038521</v>
          </cell>
          <cell r="G117">
            <v>24</v>
          </cell>
          <cell r="H117">
            <v>11.138966594827584</v>
          </cell>
          <cell r="I117">
            <v>15.361033405172416</v>
          </cell>
          <cell r="J117">
            <v>26.5</v>
          </cell>
          <cell r="K117">
            <v>9.9287234042553187</v>
          </cell>
          <cell r="L117">
            <v>14.071276595744681</v>
          </cell>
          <cell r="M117">
            <v>24</v>
          </cell>
          <cell r="N117">
            <v>10.424165638095237</v>
          </cell>
          <cell r="O117">
            <v>15.575834361904763</v>
          </cell>
          <cell r="P117">
            <v>26</v>
          </cell>
          <cell r="Q117">
            <v>15.491955719557197</v>
          </cell>
          <cell r="R117">
            <v>18.108044280442805</v>
          </cell>
          <cell r="S117">
            <v>33.6</v>
          </cell>
          <cell r="T117">
            <v>15.837248881239242</v>
          </cell>
          <cell r="U117">
            <v>22.16275111876076</v>
          </cell>
          <cell r="V117">
            <v>38</v>
          </cell>
        </row>
        <row r="118">
          <cell r="B118">
            <v>7.5245095784384972E-2</v>
          </cell>
          <cell r="C118">
            <v>8.9942328530617177E-2</v>
          </cell>
          <cell r="D118">
            <v>8.2863771958899574E-2</v>
          </cell>
          <cell r="E118">
            <v>7.8977749140724723E-2</v>
          </cell>
          <cell r="F118">
            <v>6.8697500459263511E-2</v>
          </cell>
          <cell r="G118">
            <v>7.3846153846153853E-2</v>
          </cell>
          <cell r="H118">
            <v>6.8700119112473493E-2</v>
          </cell>
          <cell r="I118">
            <v>8.6365368846098023E-2</v>
          </cell>
          <cell r="J118">
            <v>7.7941176470588236E-2</v>
          </cell>
          <cell r="K118">
            <v>7.6962250024425721E-2</v>
          </cell>
          <cell r="L118">
            <v>6.3904491871892066E-2</v>
          </cell>
          <cell r="M118">
            <v>6.8728522336769765E-2</v>
          </cell>
          <cell r="N118">
            <v>0.14635936346795028</v>
          </cell>
          <cell r="O118">
            <v>5.2131987680902228E-2</v>
          </cell>
          <cell r="P118">
            <v>7.0270270270270274E-2</v>
          </cell>
          <cell r="Q118">
            <v>0.16390989646636145</v>
          </cell>
          <cell r="R118">
            <v>5.1665686169862272E-2</v>
          </cell>
          <cell r="S118">
            <v>7.5505617977528097E-2</v>
          </cell>
          <cell r="T118">
            <v>0.16233110913836007</v>
          </cell>
          <cell r="U118">
            <v>5.9507125763201357E-2</v>
          </cell>
          <cell r="V118">
            <v>8.085106382978724E-2</v>
          </cell>
        </row>
        <row r="119">
          <cell r="A119" t="str">
            <v>Total N.American Plumbing &amp; Heating - $m</v>
          </cell>
          <cell r="O119">
            <v>47.446387748571432</v>
          </cell>
          <cell r="P119">
            <v>79.2</v>
          </cell>
          <cell r="Q119">
            <v>48.689003690036905</v>
          </cell>
          <cell r="R119">
            <v>56.910996309963096</v>
          </cell>
          <cell r="S119">
            <v>105.6</v>
          </cell>
          <cell r="T119">
            <v>50.554165507745267</v>
          </cell>
          <cell r="U119">
            <v>70.74583449225473</v>
          </cell>
          <cell r="V119">
            <v>121.3</v>
          </cell>
        </row>
        <row r="120">
          <cell r="A120" t="str">
            <v>N.American Plumbing &amp; Heating - £m</v>
          </cell>
          <cell r="O120">
            <v>31.010710946778712</v>
          </cell>
          <cell r="P120">
            <v>52.800000000000004</v>
          </cell>
          <cell r="Q120">
            <v>30.913653136531369</v>
          </cell>
          <cell r="R120">
            <v>35.348444913020558</v>
          </cell>
          <cell r="S120">
            <v>65.999999999999986</v>
          </cell>
          <cell r="T120">
            <v>32.406516351118761</v>
          </cell>
          <cell r="U120">
            <v>46.543312165957062</v>
          </cell>
          <cell r="V120">
            <v>78.369298358961103</v>
          </cell>
        </row>
        <row r="122">
          <cell r="A122" t="str">
            <v>US Building Materials Distribution - $m</v>
          </cell>
          <cell r="B122">
            <v>1.3120303797468353</v>
          </cell>
          <cell r="C122">
            <v>1.6879696202531647</v>
          </cell>
          <cell r="D122">
            <v>3</v>
          </cell>
          <cell r="E122">
            <v>1.0712649661634566</v>
          </cell>
          <cell r="F122">
            <v>0.92873503383654343</v>
          </cell>
          <cell r="G122">
            <v>2</v>
          </cell>
          <cell r="H122">
            <v>3.7830452586206893</v>
          </cell>
          <cell r="I122">
            <v>5.2169547413793111</v>
          </cell>
          <cell r="J122">
            <v>9</v>
          </cell>
          <cell r="K122">
            <v>8.2739361702127656</v>
          </cell>
          <cell r="L122">
            <v>11.726063829787234</v>
          </cell>
          <cell r="M122">
            <v>20</v>
          </cell>
          <cell r="N122">
            <v>20.447401828571426</v>
          </cell>
          <cell r="O122">
            <v>30.552598171428574</v>
          </cell>
          <cell r="P122">
            <v>51</v>
          </cell>
          <cell r="Q122">
            <v>26.280996309963101</v>
          </cell>
          <cell r="R122">
            <v>30.719003690036899</v>
          </cell>
          <cell r="S122">
            <v>57</v>
          </cell>
          <cell r="T122">
            <v>22.088794492254731</v>
          </cell>
          <cell r="U122">
            <v>30.911205507745269</v>
          </cell>
          <cell r="V122">
            <v>53</v>
          </cell>
        </row>
        <row r="123">
          <cell r="A123" t="str">
            <v>US Building Materials Distribution - £m</v>
          </cell>
          <cell r="O123">
            <v>19.969018412698414</v>
          </cell>
          <cell r="P123">
            <v>34</v>
          </cell>
          <cell r="Q123">
            <v>16.686346863468636</v>
          </cell>
          <cell r="R123">
            <v>19.080126515550869</v>
          </cell>
          <cell r="S123">
            <v>35.625</v>
          </cell>
          <cell r="T123">
            <v>14.159483648881238</v>
          </cell>
          <cell r="U123">
            <v>20.336319412990306</v>
          </cell>
          <cell r="V123">
            <v>34.242150148598007</v>
          </cell>
        </row>
        <row r="124">
          <cell r="B124">
            <v>1.6024549692811019E-2</v>
          </cell>
          <cell r="C124">
            <v>1.9154541541896847E-2</v>
          </cell>
          <cell r="D124">
            <v>1.7647058823529412E-2</v>
          </cell>
          <cell r="E124">
            <v>1.2222746890826445E-2</v>
          </cell>
          <cell r="F124">
            <v>1.0631756023457447E-2</v>
          </cell>
          <cell r="G124">
            <v>1.1428571428571429E-2</v>
          </cell>
          <cell r="H124">
            <v>3.6726478770819165E-2</v>
          </cell>
          <cell r="I124">
            <v>4.6170165735335424E-2</v>
          </cell>
          <cell r="J124">
            <v>4.1666666666666664E-2</v>
          </cell>
          <cell r="K124">
            <v>8.3040469992984381E-2</v>
          </cell>
          <cell r="L124">
            <v>6.8951453966335161E-2</v>
          </cell>
          <cell r="M124">
            <v>7.4156470152020773E-2</v>
          </cell>
          <cell r="N124">
            <v>0.19386362578493754</v>
          </cell>
          <cell r="O124">
            <v>7.0072465448919263E-2</v>
          </cell>
          <cell r="P124">
            <v>9.3078085724697945E-2</v>
          </cell>
          <cell r="Q124">
            <v>7.2306334906176259E-2</v>
          </cell>
          <cell r="R124">
            <v>4.1809848695717876E-2</v>
          </cell>
          <cell r="S124">
            <v>6.6245819655780386E-2</v>
          </cell>
          <cell r="T124">
            <v>3.3813868523622864E-2</v>
          </cell>
          <cell r="U124">
            <v>2.8882224208391611E-2</v>
          </cell>
          <cell r="V124">
            <v>4.3749701720924489E-2</v>
          </cell>
        </row>
        <row r="125">
          <cell r="A125" t="str">
            <v>US Profits - $m</v>
          </cell>
          <cell r="B125">
            <v>41.460159999999995</v>
          </cell>
          <cell r="C125">
            <v>53.339840000000002</v>
          </cell>
          <cell r="D125">
            <v>94.8</v>
          </cell>
          <cell r="E125">
            <v>30.868500000000001</v>
          </cell>
          <cell r="F125">
            <v>26.761500000000002</v>
          </cell>
          <cell r="G125">
            <v>57.63</v>
          </cell>
          <cell r="H125">
            <v>24.379624999999997</v>
          </cell>
          <cell r="I125">
            <v>33.620375000000003</v>
          </cell>
          <cell r="J125">
            <v>58</v>
          </cell>
          <cell r="K125">
            <v>31.11</v>
          </cell>
          <cell r="L125">
            <v>44.09</v>
          </cell>
          <cell r="M125">
            <v>75.2</v>
          </cell>
          <cell r="N125">
            <v>52.201014079999993</v>
          </cell>
          <cell r="O125">
            <v>77.998985919999996</v>
          </cell>
          <cell r="P125">
            <v>130.19999999999999</v>
          </cell>
          <cell r="Q125">
            <v>74.97</v>
          </cell>
          <cell r="R125">
            <v>87.63</v>
          </cell>
          <cell r="S125">
            <v>162.6</v>
          </cell>
          <cell r="T125">
            <v>72.642960000000002</v>
          </cell>
          <cell r="U125">
            <v>101.65704000000001</v>
          </cell>
          <cell r="V125">
            <v>174.3</v>
          </cell>
        </row>
        <row r="126">
          <cell r="B126">
            <v>5.0337383004280763E-2</v>
          </cell>
          <cell r="C126">
            <v>6.016952191164697E-2</v>
          </cell>
          <cell r="D126">
            <v>5.5434116772565982E-2</v>
          </cell>
          <cell r="E126">
            <v>3.7128683843276146E-2</v>
          </cell>
          <cell r="F126">
            <v>3.2295777014744988E-2</v>
          </cell>
          <cell r="G126">
            <v>3.4716240067950578E-2</v>
          </cell>
          <cell r="H126">
            <v>2.8688935491147892E-2</v>
          </cell>
          <cell r="I126">
            <v>3.6065883545826814E-2</v>
          </cell>
          <cell r="J126">
            <v>3.2547969534202636E-2</v>
          </cell>
          <cell r="K126">
            <v>3.3738938053097349E-2</v>
          </cell>
          <cell r="L126">
            <v>2.8014639539464495E-2</v>
          </cell>
          <cell r="M126">
            <v>3.0129412236067157E-2</v>
          </cell>
          <cell r="N126">
            <v>4.840138888888889E-2</v>
          </cell>
          <cell r="O126">
            <v>1.7240172063515812E-2</v>
          </cell>
          <cell r="P126">
            <v>2.3238545167788102E-2</v>
          </cell>
          <cell r="Q126">
            <v>5.1688565533717014E-2</v>
          </cell>
          <cell r="R126">
            <v>1.6292641646463636E-2</v>
          </cell>
          <cell r="S126">
            <v>2.3810503008866297E-2</v>
          </cell>
          <cell r="T126">
            <v>4.4431298274406152E-2</v>
          </cell>
          <cell r="U126">
            <v>1.6287567233855646E-2</v>
          </cell>
          <cell r="V126">
            <v>2.212957055423356E-2</v>
          </cell>
        </row>
        <row r="127">
          <cell r="A127" t="str">
            <v xml:space="preserve">Total US Profits </v>
          </cell>
          <cell r="B127">
            <v>24.975999999999999</v>
          </cell>
          <cell r="C127">
            <v>32.221722846441949</v>
          </cell>
          <cell r="D127">
            <v>57.187669662785787</v>
          </cell>
          <cell r="E127">
            <v>15.83</v>
          </cell>
          <cell r="F127">
            <v>15.649999999999999</v>
          </cell>
          <cell r="G127">
            <v>31.491803278688526</v>
          </cell>
          <cell r="H127">
            <v>13.734999999999999</v>
          </cell>
          <cell r="I127">
            <v>18.782332402234637</v>
          </cell>
          <cell r="J127">
            <v>32.489356934797222</v>
          </cell>
          <cell r="K127">
            <v>18.3</v>
          </cell>
          <cell r="L127">
            <v>29.393333333333334</v>
          </cell>
          <cell r="M127">
            <v>0.13476702508960575</v>
          </cell>
          <cell r="N127">
            <v>34.848999999999997</v>
          </cell>
          <cell r="O127">
            <v>50.979729359477119</v>
          </cell>
          <cell r="P127">
            <v>86.8</v>
          </cell>
          <cell r="Q127">
            <v>47.6</v>
          </cell>
          <cell r="R127">
            <v>54.428571428571423</v>
          </cell>
          <cell r="S127">
            <v>101.62499999999999</v>
          </cell>
          <cell r="T127">
            <v>46.566000000000003</v>
          </cell>
          <cell r="U127">
            <v>66.879631578947368</v>
          </cell>
          <cell r="V127">
            <v>112.61144850755912</v>
          </cell>
        </row>
        <row r="129">
          <cell r="A129" t="str">
            <v>UK Manufacturing</v>
          </cell>
        </row>
        <row r="131">
          <cell r="A131" t="str">
            <v xml:space="preserve"> Engineering &amp; Plastics</v>
          </cell>
        </row>
        <row r="132">
          <cell r="A132" t="str">
            <v xml:space="preserve">  Antiference</v>
          </cell>
          <cell r="B132">
            <v>0.906215164683426</v>
          </cell>
          <cell r="C132">
            <v>1.0097848353165739</v>
          </cell>
          <cell r="D132">
            <v>1.9159999999999999</v>
          </cell>
          <cell r="E132">
            <v>0.84996780424983909</v>
          </cell>
          <cell r="F132">
            <v>0.65003219575016091</v>
          </cell>
          <cell r="G132">
            <v>1.5</v>
          </cell>
          <cell r="H132">
            <v>0.86305697445972496</v>
          </cell>
          <cell r="I132">
            <v>1.536943025540275</v>
          </cell>
          <cell r="J132">
            <v>2.4</v>
          </cell>
          <cell r="K132">
            <v>0.99813432835820892</v>
          </cell>
          <cell r="L132">
            <v>1.5018656716417911</v>
          </cell>
          <cell r="M132">
            <v>2.5</v>
          </cell>
          <cell r="N132">
            <v>1.3868852459016394</v>
          </cell>
          <cell r="O132">
            <v>1.3131147540983608</v>
          </cell>
          <cell r="P132">
            <v>2.7</v>
          </cell>
          <cell r="Q132">
            <v>1.600896860986547</v>
          </cell>
          <cell r="R132">
            <v>1.1991031390134528</v>
          </cell>
          <cell r="S132">
            <v>2.8</v>
          </cell>
          <cell r="T132">
            <v>0.95545454545454556</v>
          </cell>
          <cell r="U132">
            <v>1.0445454545454544</v>
          </cell>
          <cell r="V132">
            <v>2</v>
          </cell>
        </row>
        <row r="133">
          <cell r="B133">
            <v>8.3289378647972243E-2</v>
          </cell>
          <cell r="C133">
            <v>8.6932914033077097E-2</v>
          </cell>
          <cell r="D133">
            <v>8.5170697012802277E-2</v>
          </cell>
          <cell r="E133">
            <v>7.7794400786388787E-2</v>
          </cell>
          <cell r="F133">
            <v>6.1473546066494203E-2</v>
          </cell>
          <cell r="G133">
            <v>6.9767441860465115E-2</v>
          </cell>
          <cell r="H133">
            <v>7.8020872369904085E-2</v>
          </cell>
          <cell r="I133">
            <v>0.13437016509840416</v>
          </cell>
          <cell r="J133">
            <v>0.10666666666666666</v>
          </cell>
          <cell r="K133">
            <v>0.10738639049979185</v>
          </cell>
          <cell r="L133">
            <v>0.1230512303229451</v>
          </cell>
          <cell r="M133">
            <v>0.11627906976744186</v>
          </cell>
          <cell r="N133">
            <v>0.11839486252742998</v>
          </cell>
          <cell r="O133">
            <v>0.10687952296558856</v>
          </cell>
          <cell r="P133">
            <v>0.1125</v>
          </cell>
          <cell r="Q133">
            <v>0.11613461974000089</v>
          </cell>
          <cell r="R133">
            <v>8.7429014335228858E-2</v>
          </cell>
          <cell r="S133">
            <v>0.10181818181818181</v>
          </cell>
          <cell r="T133">
            <v>7.5188660158097817E-2</v>
          </cell>
          <cell r="U133">
            <v>7.8581144216126678E-2</v>
          </cell>
          <cell r="V133">
            <v>7.6923076923076927E-2</v>
          </cell>
        </row>
        <row r="134">
          <cell r="A134" t="str">
            <v xml:space="preserve">  Nu-Way</v>
          </cell>
          <cell r="B134">
            <v>1.171079722210941</v>
          </cell>
          <cell r="C134">
            <v>1.3049202777890589</v>
          </cell>
          <cell r="D134">
            <v>2.476</v>
          </cell>
          <cell r="E134">
            <v>1.2466194462330975</v>
          </cell>
          <cell r="F134">
            <v>0.95338055376690267</v>
          </cell>
          <cell r="G134">
            <v>2.2000000000000002</v>
          </cell>
          <cell r="H134">
            <v>0.86305697445972496</v>
          </cell>
          <cell r="I134">
            <v>1.536943025540275</v>
          </cell>
          <cell r="J134">
            <v>2.4</v>
          </cell>
          <cell r="K134">
            <v>0.99813432835820892</v>
          </cell>
          <cell r="L134">
            <v>1.5018656716417911</v>
          </cell>
          <cell r="M134">
            <v>2.5</v>
          </cell>
          <cell r="N134">
            <v>1.540983606557377</v>
          </cell>
          <cell r="O134">
            <v>1.459016393442623</v>
          </cell>
          <cell r="P134">
            <v>3</v>
          </cell>
          <cell r="Q134">
            <v>1.8295964125560538</v>
          </cell>
          <cell r="R134">
            <v>1.3704035874439464</v>
          </cell>
          <cell r="S134">
            <v>3.2</v>
          </cell>
          <cell r="T134">
            <v>1.6720454545454548</v>
          </cell>
          <cell r="U134">
            <v>1.8279545454545452</v>
          </cell>
          <cell r="V134">
            <v>3.5</v>
          </cell>
        </row>
        <row r="135">
          <cell r="B135">
            <v>0.16617309278032322</v>
          </cell>
          <cell r="C135">
            <v>0.17344241755409087</v>
          </cell>
          <cell r="D135">
            <v>0.1699265664676412</v>
          </cell>
          <cell r="E135">
            <v>0.1727547022157836</v>
          </cell>
          <cell r="F135">
            <v>0.13651167741526649</v>
          </cell>
          <cell r="G135">
            <v>0.15492957746478875</v>
          </cell>
          <cell r="H135">
            <v>0.13503612525560321</v>
          </cell>
          <cell r="I135">
            <v>0.23256374728569951</v>
          </cell>
          <cell r="J135">
            <v>0.1846153846153846</v>
          </cell>
          <cell r="K135">
            <v>0.15392049304970162</v>
          </cell>
          <cell r="L135">
            <v>0.17637343012955467</v>
          </cell>
          <cell r="M135">
            <v>0.16666666666666666</v>
          </cell>
          <cell r="N135">
            <v>0.17539979633693328</v>
          </cell>
          <cell r="O135">
            <v>0.15834003402309413</v>
          </cell>
          <cell r="P135">
            <v>0.16666666666666666</v>
          </cell>
          <cell r="Q135">
            <v>0.16590659962857268</v>
          </cell>
          <cell r="R135">
            <v>0.12489859190746984</v>
          </cell>
          <cell r="S135">
            <v>0.14545454545454548</v>
          </cell>
          <cell r="T135">
            <v>0.16290876367587862</v>
          </cell>
          <cell r="U135">
            <v>0.17025914580160778</v>
          </cell>
          <cell r="V135">
            <v>0.16666666666666666</v>
          </cell>
        </row>
        <row r="136">
          <cell r="A136" t="str">
            <v xml:space="preserve">  H.J. Godwin</v>
          </cell>
          <cell r="B136">
            <v>0.45688379417617675</v>
          </cell>
          <cell r="C136">
            <v>0.5091002058238232</v>
          </cell>
          <cell r="D136">
            <v>0.96598399999999995</v>
          </cell>
          <cell r="E136">
            <v>0.71257050869285266</v>
          </cell>
          <cell r="F136">
            <v>0.54495449130714735</v>
          </cell>
          <cell r="G136">
            <v>1.257525</v>
          </cell>
          <cell r="H136">
            <v>0.50344990176817284</v>
          </cell>
          <cell r="I136">
            <v>0.89655009823182708</v>
          </cell>
          <cell r="J136">
            <v>1.4</v>
          </cell>
          <cell r="K136">
            <v>0.59888059701492535</v>
          </cell>
          <cell r="L136">
            <v>0.90111940298507465</v>
          </cell>
          <cell r="M136">
            <v>1.5</v>
          </cell>
          <cell r="N136">
            <v>1.0273224043715847</v>
          </cell>
          <cell r="O136">
            <v>0.97267759562841527</v>
          </cell>
          <cell r="P136">
            <v>2</v>
          </cell>
          <cell r="Q136">
            <v>1.257847533632287</v>
          </cell>
          <cell r="R136">
            <v>0.94215246636771321</v>
          </cell>
          <cell r="S136">
            <v>2.2000000000000002</v>
          </cell>
          <cell r="T136">
            <v>1.0510000000000002</v>
          </cell>
          <cell r="U136">
            <v>1.149</v>
          </cell>
          <cell r="V136">
            <v>2.2000000000000002</v>
          </cell>
        </row>
        <row r="137">
          <cell r="B137">
            <v>0.12922661751916956</v>
          </cell>
          <cell r="C137">
            <v>0.13487970031641966</v>
          </cell>
          <cell r="D137">
            <v>0.13214555403556771</v>
          </cell>
          <cell r="E137">
            <v>0.18900217304681016</v>
          </cell>
          <cell r="F137">
            <v>0.14935051461304441</v>
          </cell>
          <cell r="G137">
            <v>0.16950060655074808</v>
          </cell>
          <cell r="H137">
            <v>0.15754214613153708</v>
          </cell>
          <cell r="I137">
            <v>0.27132437183331609</v>
          </cell>
          <cell r="J137">
            <v>0.21538461538461537</v>
          </cell>
          <cell r="K137">
            <v>0.2347939724486974</v>
          </cell>
          <cell r="L137">
            <v>0.26904421545186302</v>
          </cell>
          <cell r="M137">
            <v>0.25423728813559321</v>
          </cell>
          <cell r="N137">
            <v>0.32381500862203072</v>
          </cell>
          <cell r="O137">
            <v>0.29232006281186607</v>
          </cell>
          <cell r="P137">
            <v>0.30769230769230771</v>
          </cell>
          <cell r="Q137">
            <v>0.31366716492277025</v>
          </cell>
          <cell r="R137">
            <v>0.23613640032506017</v>
          </cell>
          <cell r="S137">
            <v>0.27500000000000002</v>
          </cell>
          <cell r="T137">
            <v>0.23893285339128861</v>
          </cell>
          <cell r="U137">
            <v>0.24971341384235815</v>
          </cell>
          <cell r="V137">
            <v>0.24444444444444446</v>
          </cell>
        </row>
        <row r="138">
          <cell r="A138" t="str">
            <v xml:space="preserve">  Totton Pumps</v>
          </cell>
          <cell r="B138">
            <v>0.36827051862080173</v>
          </cell>
          <cell r="C138">
            <v>0.41035948137919831</v>
          </cell>
          <cell r="D138">
            <v>0.77863000000000004</v>
          </cell>
          <cell r="E138">
            <v>0.33998712169993561</v>
          </cell>
          <cell r="F138">
            <v>0.26001287830006437</v>
          </cell>
          <cell r="G138">
            <v>0.6</v>
          </cell>
          <cell r="H138">
            <v>0.25172495088408642</v>
          </cell>
          <cell r="I138">
            <v>0.44827504911591354</v>
          </cell>
          <cell r="J138">
            <v>0.7</v>
          </cell>
          <cell r="K138">
            <v>0.31940298507462689</v>
          </cell>
          <cell r="L138">
            <v>0.48059701492537316</v>
          </cell>
          <cell r="M138">
            <v>0.8</v>
          </cell>
          <cell r="N138">
            <v>0.51366120218579236</v>
          </cell>
          <cell r="O138">
            <v>0.48633879781420764</v>
          </cell>
          <cell r="P138">
            <v>1</v>
          </cell>
          <cell r="Q138">
            <v>0.5717488789237668</v>
          </cell>
          <cell r="R138">
            <v>0.4282511210762332</v>
          </cell>
          <cell r="S138">
            <v>1</v>
          </cell>
          <cell r="T138">
            <v>0.47772727272727278</v>
          </cell>
          <cell r="U138">
            <v>0.52227272727272722</v>
          </cell>
          <cell r="V138">
            <v>1</v>
          </cell>
        </row>
        <row r="139">
          <cell r="B139">
            <v>0.3613253365495071</v>
          </cell>
          <cell r="C139">
            <v>0.37713169350190218</v>
          </cell>
          <cell r="D139">
            <v>0.36948685729036967</v>
          </cell>
          <cell r="E139">
            <v>0.33451592338147179</v>
          </cell>
          <cell r="F139">
            <v>0.2643362480859251</v>
          </cell>
          <cell r="G139">
            <v>0.3</v>
          </cell>
          <cell r="H139">
            <v>0.25600598746374775</v>
          </cell>
          <cell r="I139">
            <v>0.44090210422913867</v>
          </cell>
          <cell r="J139">
            <v>0.35</v>
          </cell>
          <cell r="K139">
            <v>0.24627278887952267</v>
          </cell>
          <cell r="L139">
            <v>0.28219748820728741</v>
          </cell>
          <cell r="M139">
            <v>0.26666666666666666</v>
          </cell>
          <cell r="N139">
            <v>0.35079959267386657</v>
          </cell>
          <cell r="O139">
            <v>0.31668006804618826</v>
          </cell>
          <cell r="P139">
            <v>0.33333333333333331</v>
          </cell>
          <cell r="Q139">
            <v>0.32588796355612493</v>
          </cell>
          <cell r="R139">
            <v>0.24533651981824425</v>
          </cell>
          <cell r="S139">
            <v>0.2857142857142857</v>
          </cell>
          <cell r="T139">
            <v>0.2792721663015062</v>
          </cell>
          <cell r="U139">
            <v>0.2918728213741848</v>
          </cell>
          <cell r="V139">
            <v>0.2857142857142857</v>
          </cell>
        </row>
        <row r="140">
          <cell r="A140" t="str">
            <v xml:space="preserve">  W.H. Boddington</v>
          </cell>
          <cell r="B140">
            <v>0.38491820200625432</v>
          </cell>
          <cell r="C140">
            <v>0.42890979799374568</v>
          </cell>
          <cell r="D140">
            <v>0.813828</v>
          </cell>
          <cell r="E140">
            <v>0.34694495814552484</v>
          </cell>
          <cell r="F140">
            <v>0.26533404185447518</v>
          </cell>
          <cell r="G140">
            <v>0.61227900000000002</v>
          </cell>
          <cell r="H140">
            <v>0.21576424361493124</v>
          </cell>
          <cell r="I140">
            <v>0.38423575638506874</v>
          </cell>
          <cell r="J140">
            <v>0.6</v>
          </cell>
          <cell r="K140">
            <v>0.23955223880597012</v>
          </cell>
          <cell r="L140">
            <v>0.36044776119402988</v>
          </cell>
          <cell r="M140">
            <v>0.6</v>
          </cell>
          <cell r="N140">
            <v>-2.4142076502732244</v>
          </cell>
          <cell r="O140">
            <v>-2.2857923497267758</v>
          </cell>
          <cell r="P140">
            <v>-4.7</v>
          </cell>
          <cell r="Q140">
            <v>0</v>
          </cell>
          <cell r="R140">
            <v>0</v>
          </cell>
        </row>
        <row r="141">
          <cell r="B141">
            <v>0.14491105558820597</v>
          </cell>
          <cell r="C141">
            <v>0.15125026194679944</v>
          </cell>
          <cell r="D141">
            <v>0.14818426802621995</v>
          </cell>
          <cell r="E141">
            <v>0.1312929968282591</v>
          </cell>
          <cell r="F141">
            <v>0.10374841900115521</v>
          </cell>
          <cell r="G141">
            <v>0.11774596153846154</v>
          </cell>
          <cell r="H141">
            <v>9.7526090462380102E-2</v>
          </cell>
          <cell r="I141">
            <v>0.1679627063730052</v>
          </cell>
          <cell r="J141">
            <v>0.13333333333333333</v>
          </cell>
          <cell r="K141">
            <v>0.13193185118545853</v>
          </cell>
          <cell r="L141">
            <v>0.15117722582533258</v>
          </cell>
          <cell r="M141">
            <v>0.14285714285714285</v>
          </cell>
          <cell r="N141">
            <v>-1.1502963387677954</v>
          </cell>
          <cell r="O141">
            <v>-1.0384160370816871</v>
          </cell>
          <cell r="P141">
            <v>-1.0930232558139537</v>
          </cell>
          <cell r="Q141" t="e">
            <v>#DIV/0!</v>
          </cell>
          <cell r="R141" t="e">
            <v>#DIV/0!</v>
          </cell>
        </row>
        <row r="142">
          <cell r="A142" t="str">
            <v xml:space="preserve">  Abbot Brown</v>
          </cell>
          <cell r="B142">
            <v>0.14145659261665922</v>
          </cell>
          <cell r="C142">
            <v>0.1576234073833408</v>
          </cell>
          <cell r="D142">
            <v>0.29908000000000001</v>
          </cell>
          <cell r="E142">
            <v>0.11332904056664522</v>
          </cell>
          <cell r="F142">
            <v>8.6670959433354788E-2</v>
          </cell>
          <cell r="G142">
            <v>0.2</v>
          </cell>
          <cell r="H142">
            <v>0.10788212180746562</v>
          </cell>
          <cell r="I142">
            <v>0.19211787819253437</v>
          </cell>
          <cell r="J142">
            <v>0.3</v>
          </cell>
          <cell r="K142">
            <v>0.11977611940298506</v>
          </cell>
          <cell r="L142">
            <v>0.18022388059701494</v>
          </cell>
          <cell r="M142">
            <v>0.3</v>
          </cell>
          <cell r="N142">
            <v>0.27737704918032791</v>
          </cell>
          <cell r="O142">
            <v>0.26262295081967213</v>
          </cell>
          <cell r="P142">
            <v>0.54</v>
          </cell>
          <cell r="Q142">
            <v>0.2858744394618834</v>
          </cell>
          <cell r="R142">
            <v>0.2141255605381166</v>
          </cell>
          <cell r="S142">
            <v>0.5</v>
          </cell>
          <cell r="T142">
            <v>0.23886363636363639</v>
          </cell>
          <cell r="U142">
            <v>0.26113636363636361</v>
          </cell>
          <cell r="V142">
            <v>0.5</v>
          </cell>
        </row>
        <row r="143">
          <cell r="B143">
            <v>0.27739083299017364</v>
          </cell>
          <cell r="C143">
            <v>0.28952543324664964</v>
          </cell>
          <cell r="D143">
            <v>0.28365646345604123</v>
          </cell>
          <cell r="E143">
            <v>0.2230106155876479</v>
          </cell>
          <cell r="F143">
            <v>0.17622416539061672</v>
          </cell>
          <cell r="G143">
            <v>0.2</v>
          </cell>
          <cell r="H143">
            <v>0.21943370354035524</v>
          </cell>
          <cell r="I143">
            <v>0.37791608933926168</v>
          </cell>
          <cell r="J143">
            <v>0.3</v>
          </cell>
          <cell r="K143">
            <v>0.30784098609940325</v>
          </cell>
          <cell r="L143">
            <v>0.35274686025910928</v>
          </cell>
          <cell r="M143">
            <v>0.33333333333333331</v>
          </cell>
          <cell r="N143">
            <v>0.47357945010971997</v>
          </cell>
          <cell r="O143">
            <v>0.42751809186235418</v>
          </cell>
          <cell r="P143">
            <v>0.45000000000000007</v>
          </cell>
          <cell r="Q143">
            <v>0.38020262414881245</v>
          </cell>
          <cell r="R143">
            <v>0.28622593978795163</v>
          </cell>
          <cell r="S143">
            <v>0.33333333333333331</v>
          </cell>
          <cell r="T143">
            <v>0.32581752735175717</v>
          </cell>
          <cell r="U143">
            <v>0.34051829160321562</v>
          </cell>
          <cell r="V143">
            <v>0.33333333333333331</v>
          </cell>
        </row>
        <row r="144">
          <cell r="A144" t="str">
            <v xml:space="preserve">  Elmtube</v>
          </cell>
          <cell r="B144">
            <v>-7.2952212646712422E-2</v>
          </cell>
          <cell r="C144">
            <v>-8.1289787353287568E-2</v>
          </cell>
          <cell r="D144">
            <v>-0.15424199999999999</v>
          </cell>
          <cell r="E144">
            <v>0</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row>
        <row r="145">
          <cell r="B145">
            <v>-3.5793599400909731E-2</v>
          </cell>
          <cell r="C145">
            <v>-3.7359408248262178E-2</v>
          </cell>
          <cell r="D145">
            <v>-3.6602095718080187E-2</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row>
        <row r="146">
          <cell r="A146" t="str">
            <v xml:space="preserve">  Embee</v>
          </cell>
          <cell r="B146">
            <v>0.29333229476505707</v>
          </cell>
          <cell r="C146">
            <v>0.32685670523494292</v>
          </cell>
          <cell r="D146">
            <v>0.62018899999999999</v>
          </cell>
          <cell r="E146">
            <v>0.35142712169993562</v>
          </cell>
          <cell r="F146">
            <v>0.26876187830006437</v>
          </cell>
          <cell r="G146">
            <v>0.62018899999999999</v>
          </cell>
          <cell r="H146">
            <v>0.17980353634577603</v>
          </cell>
          <cell r="I146">
            <v>0.32019646365422394</v>
          </cell>
          <cell r="J146">
            <v>0.5</v>
          </cell>
          <cell r="K146">
            <v>0.19962686567164178</v>
          </cell>
          <cell r="L146">
            <v>0.30037313432835822</v>
          </cell>
          <cell r="M146">
            <v>0.5</v>
          </cell>
          <cell r="N146">
            <v>0.25683060109289618</v>
          </cell>
          <cell r="O146">
            <v>0.24316939890710382</v>
          </cell>
          <cell r="P146">
            <v>0.5</v>
          </cell>
          <cell r="Q146">
            <v>0.2858744394618834</v>
          </cell>
          <cell r="R146">
            <v>0.2141255605381166</v>
          </cell>
          <cell r="S146">
            <v>0.5</v>
          </cell>
          <cell r="T146">
            <v>0.23886363636363639</v>
          </cell>
          <cell r="U146">
            <v>0.26113636363636361</v>
          </cell>
          <cell r="V146">
            <v>0.5</v>
          </cell>
        </row>
        <row r="147">
          <cell r="B147">
            <v>0.11060765756095882</v>
          </cell>
          <cell r="C147">
            <v>0.11544624467409159</v>
          </cell>
          <cell r="D147">
            <v>0.11310603395466158</v>
          </cell>
          <cell r="E147">
            <v>0.1329891641064305</v>
          </cell>
          <cell r="F147">
            <v>0.10508873933600114</v>
          </cell>
          <cell r="G147">
            <v>0.11926711538461537</v>
          </cell>
          <cell r="H147">
            <v>0.10449223978112154</v>
          </cell>
          <cell r="I147">
            <v>0.17996004254250555</v>
          </cell>
          <cell r="J147">
            <v>0.14285714285714285</v>
          </cell>
          <cell r="K147">
            <v>7.32954728808103E-2</v>
          </cell>
          <cell r="L147">
            <v>8.3987347680740315E-2</v>
          </cell>
          <cell r="M147">
            <v>7.9365079365079361E-2</v>
          </cell>
          <cell r="N147">
            <v>8.095375215550768E-2</v>
          </cell>
          <cell r="O147">
            <v>7.3080015702966516E-2</v>
          </cell>
          <cell r="P147">
            <v>7.6923076923076927E-2</v>
          </cell>
          <cell r="Q147">
            <v>9.5050656037203113E-2</v>
          </cell>
          <cell r="R147">
            <v>7.1556484946987908E-2</v>
          </cell>
          <cell r="S147">
            <v>8.3333333333333329E-2</v>
          </cell>
          <cell r="T147">
            <v>6.9818041575376549E-2</v>
          </cell>
          <cell r="U147">
            <v>7.29682053435462E-2</v>
          </cell>
          <cell r="V147">
            <v>7.1428571428571425E-2</v>
          </cell>
        </row>
        <row r="148">
          <cell r="A148" t="str">
            <v xml:space="preserve">  Boxmag-Rapid</v>
          </cell>
          <cell r="B148">
            <v>0.18385019883036186</v>
          </cell>
          <cell r="C148">
            <v>0.20486210116963816</v>
          </cell>
          <cell r="D148">
            <v>0.38871230000000001</v>
          </cell>
          <cell r="E148">
            <v>0.22120978750804896</v>
          </cell>
          <cell r="F148">
            <v>0.16917521249195103</v>
          </cell>
          <cell r="G148">
            <v>0.39038499999999998</v>
          </cell>
          <cell r="H148">
            <v>0.14384282907662083</v>
          </cell>
          <cell r="I148">
            <v>0.2561571709233792</v>
          </cell>
          <cell r="J148">
            <v>0.4</v>
          </cell>
          <cell r="K148">
            <v>0.15970149253731344</v>
          </cell>
          <cell r="L148">
            <v>0.24029850746268658</v>
          </cell>
          <cell r="M148">
            <v>0.4</v>
          </cell>
          <cell r="N148">
            <v>0.25683060109289618</v>
          </cell>
          <cell r="O148">
            <v>0.24316939890710382</v>
          </cell>
          <cell r="P148">
            <v>0.5</v>
          </cell>
          <cell r="Q148">
            <v>0.2858744394618834</v>
          </cell>
          <cell r="R148">
            <v>0.2141255605381166</v>
          </cell>
          <cell r="S148">
            <v>0.5</v>
          </cell>
          <cell r="T148">
            <v>0.23886363636363639</v>
          </cell>
          <cell r="U148">
            <v>0.26113636363636361</v>
          </cell>
          <cell r="V148">
            <v>0.5</v>
          </cell>
        </row>
        <row r="149">
          <cell r="B149">
            <v>8.3170408931148465E-2</v>
          </cell>
          <cell r="C149">
            <v>8.6808739926689638E-2</v>
          </cell>
          <cell r="D149">
            <v>8.5049040039610987E-2</v>
          </cell>
          <cell r="E149">
            <v>9.2426739298185179E-2</v>
          </cell>
          <cell r="F149">
            <v>7.3036097181648899E-2</v>
          </cell>
          <cell r="G149">
            <v>8.2889990733969812E-2</v>
          </cell>
          <cell r="H149">
            <v>6.5017393641586735E-2</v>
          </cell>
          <cell r="I149">
            <v>0.11197513758200349</v>
          </cell>
          <cell r="J149">
            <v>8.8888888888888892E-2</v>
          </cell>
          <cell r="K149">
            <v>8.3956632572564541E-2</v>
          </cell>
          <cell r="L149">
            <v>9.6203689161575262E-2</v>
          </cell>
          <cell r="M149">
            <v>9.0909090909090912E-2</v>
          </cell>
          <cell r="N149">
            <v>0.10523987780215999</v>
          </cell>
          <cell r="O149">
            <v>9.5004020413856471E-2</v>
          </cell>
          <cell r="P149">
            <v>0.1</v>
          </cell>
          <cell r="Q149">
            <v>0.10369162476785793</v>
          </cell>
          <cell r="R149">
            <v>7.8061619942168634E-2</v>
          </cell>
          <cell r="S149">
            <v>9.0909090909090912E-2</v>
          </cell>
          <cell r="T149">
            <v>8.1454381837939294E-2</v>
          </cell>
          <cell r="U149">
            <v>8.5129572900803904E-2</v>
          </cell>
          <cell r="V149">
            <v>8.3333333333333329E-2</v>
          </cell>
        </row>
        <row r="150">
          <cell r="A150" t="str">
            <v>Total Engineering</v>
          </cell>
          <cell r="B150">
            <v>3.8330542752629655</v>
          </cell>
          <cell r="C150">
            <v>4.2711270247370354</v>
          </cell>
          <cell r="D150">
            <v>8.1041812999999987</v>
          </cell>
          <cell r="E150">
            <v>4.1820557887958794</v>
          </cell>
          <cell r="F150">
            <v>3.1983222112041205</v>
          </cell>
          <cell r="G150">
            <v>7.3803780000000003</v>
          </cell>
          <cell r="H150">
            <v>3.1285815324165029</v>
          </cell>
          <cell r="I150">
            <v>5.5714184675834968</v>
          </cell>
          <cell r="J150">
            <v>8.6999999999999993</v>
          </cell>
          <cell r="K150">
            <v>3.6332089552238807</v>
          </cell>
          <cell r="L150">
            <v>5.4667910447761194</v>
          </cell>
          <cell r="M150">
            <v>9.1</v>
          </cell>
          <cell r="N150">
            <v>3.9</v>
          </cell>
          <cell r="O150">
            <v>2.6943169398907103</v>
          </cell>
          <cell r="P150">
            <v>5.5399999999999991</v>
          </cell>
          <cell r="Q150">
            <v>3.9</v>
          </cell>
          <cell r="R150">
            <v>4.5822869955156946</v>
          </cell>
          <cell r="S150">
            <v>10.7</v>
          </cell>
          <cell r="T150">
            <v>3.9</v>
          </cell>
          <cell r="U150">
            <v>5.3271818181818169</v>
          </cell>
          <cell r="V150">
            <v>10.199999999999999</v>
          </cell>
        </row>
        <row r="151">
          <cell r="B151">
            <v>0.11776159207615705</v>
          </cell>
          <cell r="C151">
            <v>0.1229131316205838</v>
          </cell>
          <cell r="D151">
            <v>0.12042155964274048</v>
          </cell>
          <cell r="E151">
            <v>0.12616403873118118</v>
          </cell>
          <cell r="F151">
            <v>9.9695489244429017E-2</v>
          </cell>
          <cell r="G151">
            <v>0.11314621808359256</v>
          </cell>
          <cell r="H151">
            <v>0.10432094102738201</v>
          </cell>
          <cell r="I151">
            <v>0.17966502607932111</v>
          </cell>
          <cell r="J151">
            <v>0.14262295081967211</v>
          </cell>
          <cell r="K151">
            <v>0.13049780932474703</v>
          </cell>
          <cell r="L151">
            <v>0.14953399510983981</v>
          </cell>
          <cell r="M151">
            <v>0.14130434782608695</v>
          </cell>
          <cell r="N151">
            <v>0.11128682034522841</v>
          </cell>
          <cell r="O151">
            <v>7.3303937756652504E-2</v>
          </cell>
          <cell r="P151">
            <v>7.7158774373259048E-2</v>
          </cell>
          <cell r="Q151">
            <v>0.100390807505798</v>
          </cell>
          <cell r="R151">
            <v>0.11855293764120318</v>
          </cell>
          <cell r="S151">
            <v>0.13806451612903226</v>
          </cell>
          <cell r="T151">
            <v>0.1007751937984496</v>
          </cell>
          <cell r="U151">
            <v>0.13444980287817287</v>
          </cell>
          <cell r="V151">
            <v>0.13161290322580643</v>
          </cell>
        </row>
        <row r="152">
          <cell r="A152" t="str">
            <v xml:space="preserve"> Electrical</v>
          </cell>
        </row>
        <row r="153">
          <cell r="A153" t="str">
            <v xml:space="preserve">  Ashley &amp; Rock</v>
          </cell>
          <cell r="B153">
            <v>2.1567542541526215</v>
          </cell>
          <cell r="C153">
            <v>2.4032457458473782</v>
          </cell>
          <cell r="D153">
            <v>4.5599999999999996</v>
          </cell>
          <cell r="E153">
            <v>2.2665808113329042</v>
          </cell>
          <cell r="F153">
            <v>1.7334191886670958</v>
          </cell>
          <cell r="G153">
            <v>4</v>
          </cell>
          <cell r="H153">
            <v>1.4384282907662083</v>
          </cell>
          <cell r="I153">
            <v>2.5615717092337915</v>
          </cell>
          <cell r="J153">
            <v>4</v>
          </cell>
          <cell r="K153">
            <v>1.5171641791044774</v>
          </cell>
          <cell r="L153">
            <v>2.2828358208955226</v>
          </cell>
          <cell r="M153">
            <v>3.8</v>
          </cell>
          <cell r="N153">
            <v>1.540983606557377</v>
          </cell>
          <cell r="O153">
            <v>1.459016393442623</v>
          </cell>
          <cell r="P153">
            <v>3</v>
          </cell>
          <cell r="Q153">
            <v>1.4293721973094171</v>
          </cell>
          <cell r="R153">
            <v>1.0706278026905829</v>
          </cell>
          <cell r="S153">
            <v>2.5</v>
          </cell>
          <cell r="T153">
            <v>-0.71659090909090917</v>
          </cell>
          <cell r="U153">
            <v>-0.78340909090909083</v>
          </cell>
          <cell r="V153">
            <v>-1.5</v>
          </cell>
        </row>
        <row r="154">
          <cell r="B154">
            <v>0.14503594219794658</v>
          </cell>
          <cell r="C154">
            <v>0.15138061178353368</v>
          </cell>
          <cell r="D154">
            <v>0.14831197554153386</v>
          </cell>
          <cell r="E154">
            <v>0.15243377688834439</v>
          </cell>
          <cell r="F154">
            <v>0.1204539749764981</v>
          </cell>
          <cell r="G154">
            <v>0.13670539986329458</v>
          </cell>
          <cell r="H154">
            <v>0.11253010437966936</v>
          </cell>
          <cell r="I154">
            <v>0.19380312273808292</v>
          </cell>
          <cell r="J154">
            <v>0.15384615384615385</v>
          </cell>
          <cell r="K154">
            <v>0.13981622476227876</v>
          </cell>
          <cell r="L154">
            <v>0.16021172139258349</v>
          </cell>
          <cell r="M154">
            <v>0.15139442231075695</v>
          </cell>
          <cell r="N154">
            <v>0.13154984725269997</v>
          </cell>
          <cell r="O154">
            <v>0.11875502551732062</v>
          </cell>
          <cell r="P154">
            <v>0.125</v>
          </cell>
          <cell r="Q154">
            <v>0.1188133200465039</v>
          </cell>
          <cell r="R154">
            <v>8.9445606183734871E-2</v>
          </cell>
          <cell r="S154">
            <v>0.10416666666666667</v>
          </cell>
          <cell r="T154">
            <v>-6.9818041575376549E-2</v>
          </cell>
          <cell r="U154">
            <v>-7.29682053435462E-2</v>
          </cell>
          <cell r="V154">
            <v>-7.1428571428571425E-2</v>
          </cell>
        </row>
        <row r="155">
          <cell r="A155" t="str">
            <v xml:space="preserve">  Gentech International</v>
          </cell>
          <cell r="B155">
            <v>7.3183969134548998E-2</v>
          </cell>
          <cell r="C155">
            <v>8.154803086545101E-2</v>
          </cell>
          <cell r="D155">
            <v>0.15473200000000001</v>
          </cell>
          <cell r="E155">
            <v>5.6664520283322611E-2</v>
          </cell>
          <cell r="F155">
            <v>4.3335479716677394E-2</v>
          </cell>
          <cell r="G155">
            <v>0.1</v>
          </cell>
          <cell r="H155">
            <v>7.1921414538310413E-2</v>
          </cell>
          <cell r="I155">
            <v>0.1280785854616896</v>
          </cell>
          <cell r="J155">
            <v>0.2</v>
          </cell>
          <cell r="K155">
            <v>7.9850746268656722E-2</v>
          </cell>
          <cell r="L155">
            <v>0.12014925373134329</v>
          </cell>
          <cell r="M155">
            <v>0.2</v>
          </cell>
          <cell r="N155">
            <v>0.10273224043715848</v>
          </cell>
          <cell r="O155">
            <v>9.7267759562841533E-2</v>
          </cell>
          <cell r="P155">
            <v>0.2</v>
          </cell>
          <cell r="Q155">
            <v>0.22869955156950672</v>
          </cell>
          <cell r="R155">
            <v>0.1713004484304933</v>
          </cell>
          <cell r="S155">
            <v>0.4</v>
          </cell>
          <cell r="T155">
            <v>0.23886363636363639</v>
          </cell>
          <cell r="U155">
            <v>0.26113636363636361</v>
          </cell>
          <cell r="V155">
            <v>0.5</v>
          </cell>
        </row>
        <row r="156">
          <cell r="B156">
            <v>6.4200281058808276E-2</v>
          </cell>
          <cell r="C156">
            <v>6.7008754354786454E-2</v>
          </cell>
          <cell r="D156">
            <v>6.5650419956994513E-2</v>
          </cell>
          <cell r="E156">
            <v>5.5752653896911974E-2</v>
          </cell>
          <cell r="F156">
            <v>4.405604134765418E-2</v>
          </cell>
          <cell r="G156">
            <v>0.05</v>
          </cell>
          <cell r="H156">
            <v>7.314456784678508E-2</v>
          </cell>
          <cell r="I156">
            <v>0.12597202977975391</v>
          </cell>
          <cell r="J156">
            <v>0.1</v>
          </cell>
          <cell r="K156">
            <v>9.2352295829820991E-2</v>
          </cell>
          <cell r="L156">
            <v>0.10582405807773279</v>
          </cell>
          <cell r="M156">
            <v>0.1</v>
          </cell>
          <cell r="N156">
            <v>8.4191902241727998E-2</v>
          </cell>
          <cell r="O156">
            <v>7.6003216331085185E-2</v>
          </cell>
          <cell r="P156">
            <v>0.08</v>
          </cell>
          <cell r="Q156">
            <v>0.16897894406613884</v>
          </cell>
          <cell r="R156">
            <v>0.12721152879464517</v>
          </cell>
          <cell r="S156">
            <v>0.14814814814814814</v>
          </cell>
          <cell r="T156">
            <v>0.24436314551381791</v>
          </cell>
          <cell r="U156">
            <v>0.2553887187024117</v>
          </cell>
          <cell r="V156">
            <v>0.25</v>
          </cell>
        </row>
        <row r="157">
          <cell r="A157" t="str">
            <v xml:space="preserve">  Astralux Dynamics</v>
          </cell>
          <cell r="B157">
            <v>0.11158980294846282</v>
          </cell>
          <cell r="C157">
            <v>0.12434319705153718</v>
          </cell>
          <cell r="D157">
            <v>0.235933</v>
          </cell>
          <cell r="E157">
            <v>5.6664520283322611E-2</v>
          </cell>
          <cell r="F157">
            <v>4.3335479716677394E-2</v>
          </cell>
          <cell r="G157">
            <v>0.1</v>
          </cell>
          <cell r="H157">
            <v>0.71921414538310413</v>
          </cell>
          <cell r="I157">
            <v>1.2807858546168958</v>
          </cell>
          <cell r="J157">
            <v>2</v>
          </cell>
          <cell r="K157">
            <v>0.83843283582089556</v>
          </cell>
          <cell r="L157">
            <v>1.2615671641791044</v>
          </cell>
          <cell r="M157">
            <v>2.1</v>
          </cell>
          <cell r="N157">
            <v>1.1300546448087434</v>
          </cell>
          <cell r="O157">
            <v>1.0699453551912568</v>
          </cell>
          <cell r="P157">
            <v>2.2000000000000002</v>
          </cell>
          <cell r="Q157">
            <v>1.4293721973094171</v>
          </cell>
          <cell r="R157">
            <v>1.0706278026905829</v>
          </cell>
          <cell r="S157">
            <v>2.5</v>
          </cell>
          <cell r="T157">
            <v>0.95545454545454556</v>
          </cell>
          <cell r="U157">
            <v>1.0445454545454544</v>
          </cell>
          <cell r="V157">
            <v>2</v>
          </cell>
        </row>
        <row r="158">
          <cell r="B158">
            <v>4.2005311346905577E-2</v>
          </cell>
          <cell r="C158">
            <v>4.3842854629605077E-2</v>
          </cell>
          <cell r="D158">
            <v>4.2954116163799967E-2</v>
          </cell>
          <cell r="E158">
            <v>2.2301061558764788E-2</v>
          </cell>
          <cell r="F158">
            <v>1.7622416539061672E-2</v>
          </cell>
          <cell r="G158">
            <v>0.02</v>
          </cell>
          <cell r="H158">
            <v>0.20898447956224309</v>
          </cell>
          <cell r="I158">
            <v>0.35992008508501111</v>
          </cell>
          <cell r="J158">
            <v>0.2857142857142857</v>
          </cell>
          <cell r="K158">
            <v>0.18125216938563002</v>
          </cell>
          <cell r="L158">
            <v>0.20769207660115779</v>
          </cell>
          <cell r="M158">
            <v>0.19626168224299068</v>
          </cell>
          <cell r="N158">
            <v>0.21047975560432</v>
          </cell>
          <cell r="O158">
            <v>0.19000804082771294</v>
          </cell>
          <cell r="P158">
            <v>0.2</v>
          </cell>
          <cell r="Q158">
            <v>0.25922906191964484</v>
          </cell>
          <cell r="R158">
            <v>0.19515404985542156</v>
          </cell>
          <cell r="S158">
            <v>0.22727272727272727</v>
          </cell>
          <cell r="T158">
            <v>0.19549051641105433</v>
          </cell>
          <cell r="U158">
            <v>0.20431097496192935</v>
          </cell>
          <cell r="V158">
            <v>0.2</v>
          </cell>
        </row>
        <row r="159">
          <cell r="A159" t="str">
            <v>Total Electrical</v>
          </cell>
          <cell r="B159">
            <v>2.3415280262356331</v>
          </cell>
          <cell r="C159">
            <v>2.6091369737643664</v>
          </cell>
          <cell r="D159">
            <v>4.9506649999999999</v>
          </cell>
          <cell r="E159">
            <v>2.3799098518995496</v>
          </cell>
          <cell r="F159">
            <v>1.8200901481004506</v>
          </cell>
          <cell r="G159">
            <v>4.1999999999999993</v>
          </cell>
          <cell r="H159">
            <v>2.2295638506876228</v>
          </cell>
          <cell r="I159">
            <v>3.970436149312377</v>
          </cell>
          <cell r="J159">
            <v>6.2</v>
          </cell>
          <cell r="K159">
            <v>2.4354477611940295</v>
          </cell>
          <cell r="L159">
            <v>3.6645522388059701</v>
          </cell>
          <cell r="M159">
            <v>6.1</v>
          </cell>
          <cell r="N159">
            <v>2.7737704918032788</v>
          </cell>
          <cell r="O159">
            <v>2.6262295081967215</v>
          </cell>
          <cell r="P159">
            <v>5.4</v>
          </cell>
          <cell r="Q159">
            <v>3.0874439461883409</v>
          </cell>
          <cell r="R159">
            <v>2.312556053811659</v>
          </cell>
          <cell r="S159">
            <v>5.4</v>
          </cell>
          <cell r="T159">
            <v>0.47772727272727278</v>
          </cell>
          <cell r="U159">
            <v>0.52227272727272722</v>
          </cell>
          <cell r="V159">
            <v>1</v>
          </cell>
        </row>
        <row r="160">
          <cell r="B160">
            <v>0.12543691225885054</v>
          </cell>
          <cell r="C160">
            <v>0.130924212510484</v>
          </cell>
          <cell r="D160">
            <v>0.12827024791930206</v>
          </cell>
          <cell r="E160">
            <v>0.12915672717431342</v>
          </cell>
          <cell r="F160">
            <v>0.10206032744630311</v>
          </cell>
          <cell r="G160">
            <v>0.11583011583011579</v>
          </cell>
          <cell r="H160">
            <v>0.12957037732859072</v>
          </cell>
          <cell r="I160">
            <v>0.2231504527527069</v>
          </cell>
          <cell r="J160">
            <v>0.17714285714285716</v>
          </cell>
          <cell r="K160">
            <v>0.14903412819098094</v>
          </cell>
          <cell r="L160">
            <v>0.17077427361750527</v>
          </cell>
          <cell r="M160">
            <v>0.16137566137566137</v>
          </cell>
          <cell r="N160">
            <v>0.15154542403511037</v>
          </cell>
          <cell r="O160">
            <v>0.13680578939595334</v>
          </cell>
          <cell r="P160">
            <v>0.14400000000000002</v>
          </cell>
          <cell r="Q160">
            <v>0.16337619393131994</v>
          </cell>
          <cell r="R160">
            <v>0.12299363990888107</v>
          </cell>
          <cell r="S160">
            <v>0.14323607427055704</v>
          </cell>
          <cell r="T160">
            <v>2.8953168044077139E-2</v>
          </cell>
          <cell r="U160">
            <v>3.0956208327565057E-2</v>
          </cell>
          <cell r="V160">
            <v>3.0303030303030304E-2</v>
          </cell>
        </row>
        <row r="161">
          <cell r="A161" t="str">
            <v xml:space="preserve"> Technical</v>
          </cell>
        </row>
        <row r="162">
          <cell r="A162" t="str">
            <v xml:space="preserve">  Hunterskil</v>
          </cell>
          <cell r="B162">
            <v>1.0987149413150306</v>
          </cell>
          <cell r="C162">
            <v>1.2242850586849694</v>
          </cell>
          <cell r="D162">
            <v>2.323</v>
          </cell>
          <cell r="E162">
            <v>1.1332904056664521</v>
          </cell>
          <cell r="F162">
            <v>0.86670959433354788</v>
          </cell>
          <cell r="G162">
            <v>2</v>
          </cell>
          <cell r="H162">
            <v>0.71921414538310413</v>
          </cell>
          <cell r="I162">
            <v>1.2807858546168958</v>
          </cell>
          <cell r="J162">
            <v>2</v>
          </cell>
          <cell r="K162">
            <v>0.83843283582089556</v>
          </cell>
          <cell r="L162">
            <v>1.2615671641791044</v>
          </cell>
          <cell r="M162">
            <v>2.1</v>
          </cell>
          <cell r="N162">
            <v>1.284153005464481</v>
          </cell>
          <cell r="O162">
            <v>1.215846994535519</v>
          </cell>
          <cell r="P162">
            <v>2.5</v>
          </cell>
          <cell r="Q162">
            <v>1.4293721973094171</v>
          </cell>
          <cell r="R162">
            <v>1.0706278026905829</v>
          </cell>
          <cell r="S162">
            <v>2.5</v>
          </cell>
          <cell r="T162">
            <v>1.2898636363636367</v>
          </cell>
          <cell r="U162">
            <v>1.4101363636363635</v>
          </cell>
          <cell r="V162">
            <v>2.7</v>
          </cell>
        </row>
        <row r="163">
          <cell r="B163">
            <v>0.10057946166091054</v>
          </cell>
          <cell r="C163">
            <v>0.10497936034577422</v>
          </cell>
          <cell r="D163">
            <v>0.10285132382892058</v>
          </cell>
          <cell r="E163">
            <v>0.10136846163074903</v>
          </cell>
          <cell r="F163">
            <v>8.0101893359371235E-2</v>
          </cell>
          <cell r="G163">
            <v>9.0909090909090912E-2</v>
          </cell>
          <cell r="H163">
            <v>6.7414348245884867E-2</v>
          </cell>
          <cell r="I163">
            <v>0.1161032532532294</v>
          </cell>
          <cell r="J163">
            <v>9.2165898617511524E-2</v>
          </cell>
          <cell r="K163">
            <v>8.8963220753497274E-2</v>
          </cell>
          <cell r="L163">
            <v>0.10194060640515543</v>
          </cell>
          <cell r="M163">
            <v>9.6330275229357804E-2</v>
          </cell>
          <cell r="N163">
            <v>0.10962487271058331</v>
          </cell>
          <cell r="O163">
            <v>9.8962521264433834E-2</v>
          </cell>
          <cell r="P163">
            <v>0.10416666666666667</v>
          </cell>
          <cell r="Q163">
            <v>0.10561184004133679</v>
          </cell>
          <cell r="R163">
            <v>7.950720549665323E-2</v>
          </cell>
          <cell r="S163">
            <v>9.2592592592592587E-2</v>
          </cell>
          <cell r="T163">
            <v>9.1004205915490813E-2</v>
          </cell>
          <cell r="U163">
            <v>9.5110281447794709E-2</v>
          </cell>
          <cell r="V163">
            <v>9.3103448275862075E-2</v>
          </cell>
        </row>
        <row r="164">
          <cell r="A164" t="str">
            <v xml:space="preserve">  Howard Organisation</v>
          </cell>
          <cell r="B164">
            <v>0.41668870568167976</v>
          </cell>
          <cell r="C164">
            <v>0.46431129431832024</v>
          </cell>
          <cell r="D164">
            <v>0.88100000000000001</v>
          </cell>
          <cell r="E164">
            <v>0.45331616226658089</v>
          </cell>
          <cell r="F164">
            <v>0.34668383773341915</v>
          </cell>
          <cell r="G164">
            <v>0.8</v>
          </cell>
          <cell r="H164">
            <v>0.28768565815324165</v>
          </cell>
          <cell r="I164">
            <v>0.51231434184675839</v>
          </cell>
          <cell r="J164">
            <v>0.8</v>
          </cell>
          <cell r="K164">
            <v>3.9925373134328361E-2</v>
          </cell>
          <cell r="L164">
            <v>6.0074626865671645E-2</v>
          </cell>
          <cell r="M164">
            <v>0.1</v>
          </cell>
          <cell r="N164">
            <v>5.1366120218579239E-2</v>
          </cell>
          <cell r="O164">
            <v>4.8633879781420766E-2</v>
          </cell>
          <cell r="P164">
            <v>0.1</v>
          </cell>
          <cell r="Q164">
            <v>0.17152466367713004</v>
          </cell>
          <cell r="R164">
            <v>0.12847533632286995</v>
          </cell>
          <cell r="S164">
            <v>0.3</v>
          </cell>
          <cell r="T164">
            <v>0.23886363636363639</v>
          </cell>
          <cell r="U164">
            <v>0.26113636363636361</v>
          </cell>
          <cell r="V164">
            <v>0.5</v>
          </cell>
        </row>
        <row r="165">
          <cell r="B165">
            <v>3.8535571343081013E-2</v>
          </cell>
          <cell r="C165">
            <v>4.0221329119798033E-2</v>
          </cell>
          <cell r="D165">
            <v>3.9406002594265778E-2</v>
          </cell>
          <cell r="E165">
            <v>4.0547384652299616E-2</v>
          </cell>
          <cell r="F165">
            <v>3.2040757343748498E-2</v>
          </cell>
          <cell r="G165">
            <v>3.6363636363636369E-2</v>
          </cell>
          <cell r="H165">
            <v>2.659802467155821E-2</v>
          </cell>
          <cell r="I165">
            <v>4.5808010829001426E-2</v>
          </cell>
          <cell r="J165">
            <v>3.6363636363636369E-2</v>
          </cell>
          <cell r="K165">
            <v>4.0683830762035687E-3</v>
          </cell>
          <cell r="L165">
            <v>4.6618527787547484E-3</v>
          </cell>
          <cell r="M165">
            <v>4.4052863436123352E-3</v>
          </cell>
          <cell r="N165">
            <v>4.3849949084233328E-3</v>
          </cell>
          <cell r="O165">
            <v>3.9585008505773536E-3</v>
          </cell>
          <cell r="P165">
            <v>4.1666666666666666E-3</v>
          </cell>
          <cell r="Q165">
            <v>1.2220798633354686E-2</v>
          </cell>
          <cell r="R165">
            <v>9.2001194931841598E-3</v>
          </cell>
          <cell r="S165">
            <v>1.0714285714285714E-2</v>
          </cell>
          <cell r="T165">
            <v>1.6290876367587862E-2</v>
          </cell>
          <cell r="U165">
            <v>1.702591458016078E-2</v>
          </cell>
          <cell r="V165">
            <v>1.6666666666666666E-2</v>
          </cell>
        </row>
        <row r="166">
          <cell r="A166" t="str">
            <v xml:space="preserve">  Promandis</v>
          </cell>
          <cell r="B166">
            <v>0.48290484506355841</v>
          </cell>
          <cell r="C166">
            <v>0.53809515493644144</v>
          </cell>
          <cell r="D166">
            <v>1.0209999999999999</v>
          </cell>
          <cell r="E166">
            <v>0.42498390212491954</v>
          </cell>
          <cell r="F166">
            <v>0.32501609787508046</v>
          </cell>
          <cell r="G166">
            <v>0.75</v>
          </cell>
          <cell r="H166">
            <v>0.46748919449901771</v>
          </cell>
          <cell r="I166">
            <v>0.83251080550098233</v>
          </cell>
          <cell r="J166">
            <v>1.3</v>
          </cell>
          <cell r="K166">
            <v>0.55895522388059693</v>
          </cell>
          <cell r="L166">
            <v>0.84104477611940298</v>
          </cell>
          <cell r="M166">
            <v>1.4</v>
          </cell>
          <cell r="N166">
            <v>1.284153005464481</v>
          </cell>
          <cell r="O166">
            <v>1.215846994535519</v>
          </cell>
          <cell r="P166">
            <v>2.5</v>
          </cell>
          <cell r="Q166">
            <v>1.4293721973094171</v>
          </cell>
          <cell r="R166">
            <v>1.0706278026905829</v>
          </cell>
          <cell r="S166">
            <v>2.5</v>
          </cell>
          <cell r="T166">
            <v>1.4331818181818183</v>
          </cell>
          <cell r="U166">
            <v>1.5668181818181817</v>
          </cell>
          <cell r="V166">
            <v>3</v>
          </cell>
        </row>
        <row r="167">
          <cell r="B167">
            <v>3.7020665062164948E-2</v>
          </cell>
          <cell r="C167">
            <v>3.8640152508508101E-2</v>
          </cell>
          <cell r="D167">
            <v>3.78568780126066E-2</v>
          </cell>
          <cell r="E167">
            <v>3.216499263283383E-2</v>
          </cell>
          <cell r="F167">
            <v>2.541694693133895E-2</v>
          </cell>
          <cell r="G167">
            <v>2.8846153846153848E-2</v>
          </cell>
          <cell r="H167">
            <v>4.1342581826443743E-2</v>
          </cell>
          <cell r="I167">
            <v>7.1201582049426129E-2</v>
          </cell>
          <cell r="J167">
            <v>5.6521739130434782E-2</v>
          </cell>
          <cell r="K167">
            <v>4.8243736627518415E-2</v>
          </cell>
          <cell r="L167">
            <v>5.5281224368964883E-2</v>
          </cell>
          <cell r="M167">
            <v>5.2238805970149252E-2</v>
          </cell>
          <cell r="N167">
            <v>8.7699898168466656E-2</v>
          </cell>
          <cell r="O167">
            <v>7.9170017011547064E-2</v>
          </cell>
          <cell r="P167">
            <v>8.3333333333333329E-2</v>
          </cell>
          <cell r="Q167">
            <v>8.6409687306548286E-2</v>
          </cell>
          <cell r="R167">
            <v>6.5051349951807183E-2</v>
          </cell>
          <cell r="S167">
            <v>7.575757575757576E-2</v>
          </cell>
          <cell r="T167">
            <v>7.9252912058535532E-2</v>
          </cell>
          <cell r="U167">
            <v>8.2828773633214614E-2</v>
          </cell>
          <cell r="V167">
            <v>8.1081081081081086E-2</v>
          </cell>
        </row>
        <row r="168">
          <cell r="A168" t="str">
            <v xml:space="preserve">  Calumet</v>
          </cell>
          <cell r="P168">
            <v>0.7</v>
          </cell>
          <cell r="Q168">
            <v>2.2000000000000002</v>
          </cell>
          <cell r="R168">
            <v>2.2999999999999998</v>
          </cell>
          <cell r="S168">
            <v>4.5</v>
          </cell>
          <cell r="T168">
            <v>2.6275000000000004</v>
          </cell>
          <cell r="U168">
            <v>2.8724999999999996</v>
          </cell>
          <cell r="V168">
            <v>5.5</v>
          </cell>
        </row>
        <row r="170">
          <cell r="A170" t="str">
            <v xml:space="preserve">  D. Rowe</v>
          </cell>
          <cell r="B170">
            <v>0.4346616577996183</v>
          </cell>
          <cell r="C170">
            <v>0.48433834220038174</v>
          </cell>
          <cell r="D170">
            <v>0.91900000000000004</v>
          </cell>
          <cell r="E170">
            <v>0.45331616226658089</v>
          </cell>
          <cell r="F170">
            <v>0.34668383773341915</v>
          </cell>
          <cell r="G170">
            <v>0.8</v>
          </cell>
          <cell r="H170">
            <v>0.28768565815324165</v>
          </cell>
          <cell r="I170">
            <v>0.51231434184675839</v>
          </cell>
          <cell r="J170">
            <v>0.8</v>
          </cell>
          <cell r="K170">
            <v>0.27947761194029846</v>
          </cell>
          <cell r="L170">
            <v>0.42052238805970149</v>
          </cell>
          <cell r="M170">
            <v>0.7</v>
          </cell>
          <cell r="N170">
            <v>0.5650273224043717</v>
          </cell>
          <cell r="O170">
            <v>0.53497267759562839</v>
          </cell>
          <cell r="P170">
            <v>1.1000000000000001</v>
          </cell>
          <cell r="Q170">
            <v>0.68609865470852016</v>
          </cell>
          <cell r="R170">
            <v>0.51390134529147979</v>
          </cell>
          <cell r="S170">
            <v>1.2</v>
          </cell>
          <cell r="T170">
            <v>0.57327272727272727</v>
          </cell>
          <cell r="U170">
            <v>0.62672727272727269</v>
          </cell>
          <cell r="V170">
            <v>1.2</v>
          </cell>
        </row>
        <row r="171">
          <cell r="B171">
            <v>4.3004134088146212E-2</v>
          </cell>
          <cell r="C171">
            <v>4.488537136953117E-2</v>
          </cell>
          <cell r="D171">
            <v>4.3975500047851473E-2</v>
          </cell>
          <cell r="E171">
            <v>4.4602123117529577E-2</v>
          </cell>
          <cell r="F171">
            <v>3.5244833078123344E-2</v>
          </cell>
          <cell r="G171">
            <v>0.04</v>
          </cell>
          <cell r="H171">
            <v>3.2508696820793367E-2</v>
          </cell>
          <cell r="I171">
            <v>5.5987568791001745E-2</v>
          </cell>
          <cell r="J171">
            <v>4.4444444444444446E-2</v>
          </cell>
          <cell r="K171">
            <v>3.3152106195320351E-2</v>
          </cell>
          <cell r="L171">
            <v>3.7988123412519462E-2</v>
          </cell>
          <cell r="M171">
            <v>3.5897435897435895E-2</v>
          </cell>
          <cell r="N171">
            <v>5.5125650277321907E-2</v>
          </cell>
          <cell r="O171">
            <v>4.9764010692972434E-2</v>
          </cell>
          <cell r="P171">
            <v>5.2380952380952382E-2</v>
          </cell>
          <cell r="Q171">
            <v>5.9509975953727159E-2</v>
          </cell>
          <cell r="R171">
            <v>4.48005818798533E-2</v>
          </cell>
          <cell r="S171">
            <v>5.2173913043478258E-2</v>
          </cell>
          <cell r="T171">
            <v>4.8872629102763569E-2</v>
          </cell>
          <cell r="U171">
            <v>5.1077743740482344E-2</v>
          </cell>
          <cell r="V171">
            <v>4.9999999999999996E-2</v>
          </cell>
        </row>
        <row r="172">
          <cell r="A172" t="str">
            <v xml:space="preserve">  Chandlers Printers</v>
          </cell>
          <cell r="B172">
            <v>0.10608487690370791</v>
          </cell>
          <cell r="C172">
            <v>0.11820912309629208</v>
          </cell>
          <cell r="D172">
            <v>0.22429399999999999</v>
          </cell>
          <cell r="E172">
            <v>0.1270951191242756</v>
          </cell>
          <cell r="F172">
            <v>9.7198880875724397E-2</v>
          </cell>
          <cell r="G172">
            <v>0.22429399999999999</v>
          </cell>
          <cell r="H172">
            <v>8.0657708762278971E-2</v>
          </cell>
          <cell r="I172">
            <v>0.14363629123772104</v>
          </cell>
          <cell r="J172">
            <v>0.22429399999999999</v>
          </cell>
          <cell r="K172">
            <v>8.9550216417910444E-2</v>
          </cell>
          <cell r="L172">
            <v>0.13474378358208955</v>
          </cell>
          <cell r="M172">
            <v>0.22429399999999999</v>
          </cell>
          <cell r="N172">
            <v>0.20546448087431696</v>
          </cell>
          <cell r="O172">
            <v>0.19453551912568307</v>
          </cell>
          <cell r="P172">
            <v>0.4</v>
          </cell>
          <cell r="Q172">
            <v>0.2858744394618834</v>
          </cell>
          <cell r="R172">
            <v>0.2141255605381166</v>
          </cell>
          <cell r="S172">
            <v>0.5</v>
          </cell>
          <cell r="T172">
            <v>0.19109090909090912</v>
          </cell>
          <cell r="U172">
            <v>0.20890909090909091</v>
          </cell>
          <cell r="V172">
            <v>0.4</v>
          </cell>
        </row>
        <row r="173">
          <cell r="B173">
            <v>0.11444377225167347</v>
          </cell>
          <cell r="C173">
            <v>0.11945017211408863</v>
          </cell>
          <cell r="D173">
            <v>0.11702879778521119</v>
          </cell>
          <cell r="E173">
            <v>0.12289912288112012</v>
          </cell>
          <cell r="F173">
            <v>9.7115535508901674E-2</v>
          </cell>
          <cell r="G173">
            <v>0.11021818181818181</v>
          </cell>
          <cell r="H173">
            <v>7.4572216821030962E-2</v>
          </cell>
          <cell r="I173">
            <v>0.12843077476100054</v>
          </cell>
          <cell r="J173">
            <v>0.10195181818181817</v>
          </cell>
          <cell r="K173">
            <v>0.13809377227235914</v>
          </cell>
          <cell r="L173">
            <v>0.15823800854991329</v>
          </cell>
          <cell r="M173">
            <v>0.14952933333333332</v>
          </cell>
          <cell r="N173">
            <v>0.21047975560431997</v>
          </cell>
          <cell r="O173">
            <v>0.19000804082771297</v>
          </cell>
          <cell r="P173">
            <v>0.2</v>
          </cell>
          <cell r="Q173">
            <v>0.22812157448928744</v>
          </cell>
          <cell r="R173">
            <v>0.171735563872771</v>
          </cell>
          <cell r="S173">
            <v>0.2</v>
          </cell>
          <cell r="T173">
            <v>0.15639241312884347</v>
          </cell>
          <cell r="U173">
            <v>0.16344877996954349</v>
          </cell>
          <cell r="V173">
            <v>0.16</v>
          </cell>
        </row>
        <row r="174">
          <cell r="A174" t="str">
            <v xml:space="preserve">  Uni-Rents</v>
          </cell>
          <cell r="H174">
            <v>-7.1921414538310413E-2</v>
          </cell>
          <cell r="I174">
            <v>-0.1280785854616896</v>
          </cell>
          <cell r="J174">
            <v>-0.2</v>
          </cell>
          <cell r="K174">
            <v>0</v>
          </cell>
          <cell r="L174">
            <v>0</v>
          </cell>
          <cell r="M174">
            <v>0</v>
          </cell>
          <cell r="N174">
            <v>0</v>
          </cell>
          <cell r="O174">
            <v>0</v>
          </cell>
        </row>
        <row r="175">
          <cell r="H175">
            <v>-4.8763045231190051E-2</v>
          </cell>
          <cell r="I175">
            <v>-8.3981353186502614E-2</v>
          </cell>
          <cell r="J175">
            <v>-6.6666666666666666E-2</v>
          </cell>
          <cell r="K175" t="e">
            <v>#DIV/0!</v>
          </cell>
          <cell r="L175" t="e">
            <v>#DIV/0!</v>
          </cell>
          <cell r="M175" t="e">
            <v>#DIV/0!</v>
          </cell>
          <cell r="N175" t="e">
            <v>#DIV/0!</v>
          </cell>
          <cell r="O175" t="e">
            <v>#DIV/0!</v>
          </cell>
        </row>
        <row r="176">
          <cell r="A176" t="str">
            <v>Total Technical</v>
          </cell>
          <cell r="B176">
            <v>2.5390550267635952</v>
          </cell>
          <cell r="C176">
            <v>2.8292389732364049</v>
          </cell>
          <cell r="D176">
            <v>5.3682940000000006</v>
          </cell>
          <cell r="E176">
            <v>2.5920017514488087</v>
          </cell>
          <cell r="F176">
            <v>1.9822922485511911</v>
          </cell>
          <cell r="G176">
            <v>4.5742940000000001</v>
          </cell>
          <cell r="H176">
            <v>1.7708109504125737</v>
          </cell>
          <cell r="I176">
            <v>3.1534830495874262</v>
          </cell>
          <cell r="J176">
            <v>4.9242939999999988</v>
          </cell>
          <cell r="K176">
            <v>1.8063412611940297</v>
          </cell>
          <cell r="L176">
            <v>2.7179527388059701</v>
          </cell>
          <cell r="M176">
            <v>4.5242939999999994</v>
          </cell>
          <cell r="N176">
            <v>3.39016393442623</v>
          </cell>
          <cell r="O176">
            <v>3.2098360655737701</v>
          </cell>
          <cell r="P176">
            <v>7.3</v>
          </cell>
          <cell r="Q176">
            <v>6.2022421524663676</v>
          </cell>
          <cell r="R176">
            <v>5.2977578475336315</v>
          </cell>
          <cell r="S176">
            <v>11.5</v>
          </cell>
          <cell r="T176">
            <v>6.3537727272727285</v>
          </cell>
          <cell r="U176">
            <v>6.9462272727272723</v>
          </cell>
          <cell r="V176">
            <v>13.3</v>
          </cell>
        </row>
        <row r="177">
          <cell r="B177">
            <v>5.5419080000683414E-2</v>
          </cell>
          <cell r="C177">
            <v>5.7843415279325364E-2</v>
          </cell>
          <cell r="D177">
            <v>5.6670871461488234E-2</v>
          </cell>
          <cell r="E177">
            <v>5.5420009823376103E-2</v>
          </cell>
          <cell r="F177">
            <v>4.3793184245195078E-2</v>
          </cell>
          <cell r="G177">
            <v>4.9701678709186722E-2</v>
          </cell>
          <cell r="H177">
            <v>4.0065111966687064E-2</v>
          </cell>
          <cell r="I177">
            <v>6.9001480579784599E-2</v>
          </cell>
          <cell r="J177">
            <v>5.4775239154616226E-2</v>
          </cell>
          <cell r="K177">
            <v>4.5268573987983111E-2</v>
          </cell>
          <cell r="L177">
            <v>5.1872064032149279E-2</v>
          </cell>
          <cell r="M177">
            <v>4.9017269772481033E-2</v>
          </cell>
          <cell r="N177">
            <v>6.8770613217253071E-2</v>
          </cell>
          <cell r="O177">
            <v>6.2081835121926006E-2</v>
          </cell>
          <cell r="P177">
            <v>6.6545123062898809E-2</v>
          </cell>
          <cell r="Q177">
            <v>7.7720699003875626E-2</v>
          </cell>
          <cell r="R177">
            <v>6.6723800665398847E-2</v>
          </cell>
          <cell r="S177">
            <v>7.2236180904522621E-2</v>
          </cell>
          <cell r="T177">
            <v>7.2864366138448725E-2</v>
          </cell>
          <cell r="U177">
            <v>7.7860629426752453E-2</v>
          </cell>
          <cell r="V177">
            <v>7.6217765042979946E-2</v>
          </cell>
        </row>
        <row r="178">
          <cell r="A178" t="str">
            <v xml:space="preserve"> Agricultural</v>
          </cell>
        </row>
        <row r="179">
          <cell r="A179" t="str">
            <v xml:space="preserve">  Dihurst Holdings</v>
          </cell>
          <cell r="B179">
            <v>0.94594484831255332</v>
          </cell>
          <cell r="C179">
            <v>1.0540551516874466</v>
          </cell>
          <cell r="D179">
            <v>2</v>
          </cell>
          <cell r="E179">
            <v>0.79330328396651639</v>
          </cell>
          <cell r="F179">
            <v>0.60669671603348352</v>
          </cell>
          <cell r="G179">
            <v>1.4</v>
          </cell>
          <cell r="H179">
            <v>0.43152848722986248</v>
          </cell>
          <cell r="I179">
            <v>0.76847151277013748</v>
          </cell>
          <cell r="J179">
            <v>1.2</v>
          </cell>
          <cell r="K179">
            <v>0.55895522388059693</v>
          </cell>
          <cell r="L179">
            <v>0.84104477611940298</v>
          </cell>
          <cell r="M179">
            <v>1.4</v>
          </cell>
          <cell r="N179">
            <v>0.92459016393442628</v>
          </cell>
          <cell r="O179">
            <v>0.87540983606557377</v>
          </cell>
          <cell r="P179">
            <v>1.8</v>
          </cell>
          <cell r="Q179">
            <v>1.1434977578475336</v>
          </cell>
          <cell r="R179">
            <v>0.8565022421524664</v>
          </cell>
          <cell r="S179">
            <v>2</v>
          </cell>
          <cell r="T179">
            <v>0.95545454545454556</v>
          </cell>
          <cell r="U179">
            <v>1.0445454545454544</v>
          </cell>
          <cell r="V179">
            <v>2</v>
          </cell>
        </row>
        <row r="180">
          <cell r="B180">
            <v>0.17280636181219114</v>
          </cell>
          <cell r="C180">
            <v>0.18036586224615528</v>
          </cell>
          <cell r="D180">
            <v>0.17670966601873123</v>
          </cell>
          <cell r="E180">
            <v>0.14191584628304862</v>
          </cell>
          <cell r="F180">
            <v>0.11214265070311974</v>
          </cell>
          <cell r="G180">
            <v>0.12727272727272726</v>
          </cell>
          <cell r="H180">
            <v>7.314456784678508E-2</v>
          </cell>
          <cell r="I180">
            <v>0.12597202977975391</v>
          </cell>
          <cell r="J180">
            <v>9.9999999999999992E-2</v>
          </cell>
          <cell r="K180">
            <v>9.1697315008332891E-2</v>
          </cell>
          <cell r="L180">
            <v>0.10507353284313893</v>
          </cell>
          <cell r="M180">
            <v>9.9290780141843962E-2</v>
          </cell>
          <cell r="N180">
            <v>0.11839486252742998</v>
          </cell>
          <cell r="O180">
            <v>0.10687952296558853</v>
          </cell>
          <cell r="P180">
            <v>0.1125</v>
          </cell>
          <cell r="Q180">
            <v>0.11406078724464372</v>
          </cell>
          <cell r="R180">
            <v>8.5867781936385501E-2</v>
          </cell>
          <cell r="S180">
            <v>0.1</v>
          </cell>
          <cell r="T180">
            <v>9.3090722100502066E-2</v>
          </cell>
          <cell r="U180">
            <v>9.7290940458061609E-2</v>
          </cell>
          <cell r="V180">
            <v>9.5238095238095233E-2</v>
          </cell>
        </row>
        <row r="181">
          <cell r="A181" t="str">
            <v xml:space="preserve">  Vapormatic</v>
          </cell>
          <cell r="B181">
            <v>0.81918823863867118</v>
          </cell>
          <cell r="C181">
            <v>0.9128117613613288</v>
          </cell>
          <cell r="D181">
            <v>1.732</v>
          </cell>
          <cell r="E181">
            <v>0.79330328396651639</v>
          </cell>
          <cell r="F181">
            <v>0.60669671603348352</v>
          </cell>
          <cell r="G181">
            <v>1.4</v>
          </cell>
          <cell r="H181">
            <v>0.32364636542239689</v>
          </cell>
          <cell r="I181">
            <v>0.57635363457760314</v>
          </cell>
          <cell r="J181">
            <v>0.9</v>
          </cell>
          <cell r="K181">
            <v>0.47910447761194025</v>
          </cell>
          <cell r="L181">
            <v>0.72089552238805976</v>
          </cell>
          <cell r="M181">
            <v>1.2</v>
          </cell>
          <cell r="N181">
            <v>0.77049180327868849</v>
          </cell>
          <cell r="O181">
            <v>0.72950819672131151</v>
          </cell>
          <cell r="P181">
            <v>1.5</v>
          </cell>
          <cell r="Q181">
            <v>0.91479820627802688</v>
          </cell>
          <cell r="R181">
            <v>0.68520179372197321</v>
          </cell>
          <cell r="S181">
            <v>1.6</v>
          </cell>
          <cell r="T181">
            <v>0.71659090909090917</v>
          </cell>
          <cell r="U181">
            <v>0.78340909090909083</v>
          </cell>
          <cell r="V181">
            <v>1.5</v>
          </cell>
        </row>
        <row r="182">
          <cell r="B182">
            <v>9.1657676334740437E-2</v>
          </cell>
          <cell r="C182">
            <v>9.5667287073387064E-2</v>
          </cell>
          <cell r="D182">
            <v>9.372801558525895E-2</v>
          </cell>
          <cell r="E182">
            <v>9.1827900536090287E-2</v>
          </cell>
          <cell r="F182">
            <v>7.2562891631430412E-2</v>
          </cell>
          <cell r="G182">
            <v>8.2352941176470587E-2</v>
          </cell>
          <cell r="H182">
            <v>3.8723594742415629E-2</v>
          </cell>
          <cell r="I182">
            <v>6.6691074589281474E-2</v>
          </cell>
          <cell r="J182">
            <v>0.9</v>
          </cell>
          <cell r="K182">
            <v>4.2137929656192077E-2</v>
          </cell>
          <cell r="L182">
            <v>4.8284741328243098E-2</v>
          </cell>
          <cell r="M182">
            <v>4.5627376425855508E-2</v>
          </cell>
          <cell r="N182">
            <v>5.6378505965442839E-2</v>
          </cell>
          <cell r="O182">
            <v>5.0895010935994543E-2</v>
          </cell>
          <cell r="P182">
            <v>5.3571428571428568E-2</v>
          </cell>
          <cell r="Q182">
            <v>5.5302199876190894E-2</v>
          </cell>
          <cell r="R182">
            <v>4.1632863969156608E-2</v>
          </cell>
          <cell r="S182">
            <v>4.8484848484848485E-2</v>
          </cell>
          <cell r="T182">
            <v>4.3122908031850218E-2</v>
          </cell>
          <cell r="U182">
            <v>4.5068597418072655E-2</v>
          </cell>
          <cell r="V182">
            <v>4.4117647058823532E-2</v>
          </cell>
        </row>
        <row r="183">
          <cell r="A183" t="str">
            <v xml:space="preserve">  Sparex</v>
          </cell>
          <cell r="B183">
            <v>1.1729716119075662</v>
          </cell>
          <cell r="C183">
            <v>1.3070283880924338</v>
          </cell>
          <cell r="D183">
            <v>2.48</v>
          </cell>
          <cell r="E183">
            <v>0.84996780424983909</v>
          </cell>
          <cell r="F183">
            <v>0.65003219575016091</v>
          </cell>
          <cell r="G183">
            <v>1.5</v>
          </cell>
          <cell r="H183">
            <v>0.32364636542239689</v>
          </cell>
          <cell r="I183">
            <v>0.57635363457760314</v>
          </cell>
          <cell r="J183">
            <v>0.9</v>
          </cell>
          <cell r="K183">
            <v>0.47910447761194025</v>
          </cell>
          <cell r="L183">
            <v>0.72089552238805976</v>
          </cell>
          <cell r="M183">
            <v>1.2</v>
          </cell>
          <cell r="N183">
            <v>0.77049180327868849</v>
          </cell>
          <cell r="O183">
            <v>0.72950819672131151</v>
          </cell>
          <cell r="P183">
            <v>1.5</v>
          </cell>
          <cell r="Q183">
            <v>0.97197309417040356</v>
          </cell>
          <cell r="R183">
            <v>0.72802690582959639</v>
          </cell>
          <cell r="S183">
            <v>1.7</v>
          </cell>
          <cell r="T183">
            <v>0.42995454545454553</v>
          </cell>
          <cell r="U183">
            <v>0.47004545454545449</v>
          </cell>
          <cell r="V183">
            <v>0.9</v>
          </cell>
        </row>
        <row r="184">
          <cell r="B184">
            <v>0.13124193840078308</v>
          </cell>
          <cell r="C184">
            <v>0.1369831824145496</v>
          </cell>
          <cell r="D184">
            <v>0.13420639645002436</v>
          </cell>
          <cell r="E184">
            <v>9.838703628866817E-2</v>
          </cell>
          <cell r="F184">
            <v>7.7745955319389728E-2</v>
          </cell>
          <cell r="G184">
            <v>8.8235294117647065E-2</v>
          </cell>
          <cell r="H184">
            <v>3.8723594742415629E-2</v>
          </cell>
          <cell r="I184">
            <v>6.6691074589281474E-2</v>
          </cell>
          <cell r="J184">
            <v>5.2941176470588235E-2</v>
          </cell>
          <cell r="K184">
            <v>4.2137929656192077E-2</v>
          </cell>
          <cell r="L184">
            <v>4.8284741328243098E-2</v>
          </cell>
          <cell r="M184">
            <v>4.5627376425855508E-2</v>
          </cell>
          <cell r="N184">
            <v>5.6378505965442839E-2</v>
          </cell>
          <cell r="O184">
            <v>5.0895010935994543E-2</v>
          </cell>
          <cell r="P184">
            <v>5.3571428571428568E-2</v>
          </cell>
          <cell r="Q184">
            <v>5.8758587368452825E-2</v>
          </cell>
          <cell r="R184">
            <v>4.4234917967228886E-2</v>
          </cell>
          <cell r="S184">
            <v>5.1515151515151514E-2</v>
          </cell>
          <cell r="T184">
            <v>2.5873744819110131E-2</v>
          </cell>
          <cell r="U184">
            <v>2.7041158450843594E-2</v>
          </cell>
          <cell r="V184">
            <v>2.6470588235294117E-2</v>
          </cell>
        </row>
        <row r="185">
          <cell r="A185" t="str">
            <v xml:space="preserve">  P.J. Parmiter</v>
          </cell>
          <cell r="B185">
            <v>0.32639259424115669</v>
          </cell>
          <cell r="C185">
            <v>0.36369540575884335</v>
          </cell>
          <cell r="D185">
            <v>0.69008800000000003</v>
          </cell>
          <cell r="E185">
            <v>0.28332260141661303</v>
          </cell>
          <cell r="F185">
            <v>0.21667739858338697</v>
          </cell>
          <cell r="G185">
            <v>0.5</v>
          </cell>
          <cell r="H185">
            <v>-7.1921414538310413E-2</v>
          </cell>
          <cell r="I185">
            <v>-0.1280785854616896</v>
          </cell>
          <cell r="J185">
            <v>-0.2</v>
          </cell>
          <cell r="K185">
            <v>3.9925373134328361E-2</v>
          </cell>
          <cell r="L185">
            <v>6.0074626865671645E-2</v>
          </cell>
          <cell r="M185">
            <v>0.1</v>
          </cell>
          <cell r="N185">
            <v>0.1540983606557377</v>
          </cell>
          <cell r="O185">
            <v>0.14590163934426228</v>
          </cell>
          <cell r="P185">
            <v>0.3</v>
          </cell>
          <cell r="Q185">
            <v>0</v>
          </cell>
          <cell r="R185">
            <v>0</v>
          </cell>
          <cell r="S185">
            <v>0</v>
          </cell>
          <cell r="T185">
            <v>0</v>
          </cell>
          <cell r="U185">
            <v>0</v>
          </cell>
          <cell r="V185">
            <v>0</v>
          </cell>
        </row>
        <row r="186">
          <cell r="B186">
            <v>7.1831651027084262E-2</v>
          </cell>
          <cell r="C186">
            <v>7.4973962406232178E-2</v>
          </cell>
          <cell r="D186">
            <v>7.3454165283367595E-2</v>
          </cell>
          <cell r="E186">
            <v>6.1947393218791072E-2</v>
          </cell>
          <cell r="F186">
            <v>4.8951157052949092E-2</v>
          </cell>
          <cell r="G186">
            <v>5.5555555555555552E-2</v>
          </cell>
          <cell r="H186">
            <v>-2.4381522615595026E-2</v>
          </cell>
          <cell r="I186">
            <v>-4.1990676593251307E-2</v>
          </cell>
          <cell r="J186">
            <v>-3.3333333333333333E-2</v>
          </cell>
          <cell r="K186">
            <v>1.4659094576162063E-2</v>
          </cell>
          <cell r="L186">
            <v>1.6797469536148062E-2</v>
          </cell>
          <cell r="M186">
            <v>1.5873015873015876E-2</v>
          </cell>
          <cell r="N186">
            <v>3.5079959267386662E-2</v>
          </cell>
          <cell r="O186">
            <v>3.1668006804618822E-2</v>
          </cell>
          <cell r="P186">
            <v>3.3333333333333333E-2</v>
          </cell>
          <cell r="Q186">
            <v>0</v>
          </cell>
          <cell r="R186">
            <v>0</v>
          </cell>
          <cell r="S186">
            <v>0</v>
          </cell>
          <cell r="T186">
            <v>0</v>
          </cell>
          <cell r="U186">
            <v>0</v>
          </cell>
          <cell r="V186">
            <v>0</v>
          </cell>
        </row>
        <row r="187">
          <cell r="A187" t="str">
            <v xml:space="preserve">  ByPy Hydraulics</v>
          </cell>
          <cell r="B187">
            <v>0.13774044828006335</v>
          </cell>
          <cell r="C187">
            <v>0.15348255171993666</v>
          </cell>
          <cell r="D187">
            <v>0.29122300000000001</v>
          </cell>
          <cell r="E187">
            <v>0.11332904056664522</v>
          </cell>
          <cell r="F187">
            <v>8.6670959433354788E-2</v>
          </cell>
          <cell r="G187">
            <v>0.2</v>
          </cell>
          <cell r="H187">
            <v>3.5960707269155207E-2</v>
          </cell>
          <cell r="I187">
            <v>6.4039292730844799E-2</v>
          </cell>
          <cell r="J187">
            <v>0.1</v>
          </cell>
          <cell r="K187">
            <v>0.19962686567164178</v>
          </cell>
          <cell r="L187">
            <v>0.30037313432835822</v>
          </cell>
          <cell r="M187">
            <v>0.5</v>
          </cell>
          <cell r="N187">
            <v>0.30819672131147541</v>
          </cell>
          <cell r="O187">
            <v>0.29180327868852457</v>
          </cell>
          <cell r="P187">
            <v>0.6</v>
          </cell>
          <cell r="Q187">
            <v>0.34304932735426008</v>
          </cell>
          <cell r="R187">
            <v>0.2569506726457399</v>
          </cell>
          <cell r="S187">
            <v>0.6</v>
          </cell>
          <cell r="T187">
            <v>0.28663636363636363</v>
          </cell>
          <cell r="U187">
            <v>0.31336363636363634</v>
          </cell>
          <cell r="V187">
            <v>0.6</v>
          </cell>
        </row>
        <row r="188">
          <cell r="B188">
            <v>7.4930344707990162E-2</v>
          </cell>
          <cell r="C188">
            <v>7.8208209986773997E-2</v>
          </cell>
          <cell r="D188">
            <v>7.6622851434183875E-2</v>
          </cell>
          <cell r="E188">
            <v>7.4336871862549295E-2</v>
          </cell>
          <cell r="F188">
            <v>5.87413884635389E-2</v>
          </cell>
          <cell r="G188">
            <v>6.6666666666666666E-2</v>
          </cell>
          <cell r="H188">
            <v>2.4381522615595026E-2</v>
          </cell>
          <cell r="I188">
            <v>4.1990676593251307E-2</v>
          </cell>
          <cell r="J188">
            <v>3.3333333333333333E-2</v>
          </cell>
          <cell r="K188">
            <v>0.14895531585454999</v>
          </cell>
          <cell r="L188">
            <v>0.17068396464150448</v>
          </cell>
          <cell r="M188">
            <v>0.16129032258064516</v>
          </cell>
          <cell r="N188">
            <v>0.15785981670323998</v>
          </cell>
          <cell r="O188">
            <v>0.14250603062078471</v>
          </cell>
          <cell r="P188">
            <v>0.15</v>
          </cell>
          <cell r="Q188">
            <v>0.17109118086696559</v>
          </cell>
          <cell r="R188">
            <v>0.12880167290457822</v>
          </cell>
          <cell r="S188">
            <v>0.15</v>
          </cell>
          <cell r="T188">
            <v>0.11729430984663258</v>
          </cell>
          <cell r="U188">
            <v>0.12258658497715762</v>
          </cell>
          <cell r="V188">
            <v>0.12</v>
          </cell>
        </row>
        <row r="189">
          <cell r="A189" t="str">
            <v xml:space="preserve">  F.W. McConnel</v>
          </cell>
          <cell r="B189">
            <v>-0.32635097266783086</v>
          </cell>
          <cell r="C189">
            <v>-0.36364902733216908</v>
          </cell>
          <cell r="D189">
            <v>-0.69</v>
          </cell>
          <cell r="E189">
            <v>-0.56664520283322606</v>
          </cell>
          <cell r="F189">
            <v>-0.43335479716677394</v>
          </cell>
          <cell r="G189">
            <v>-1</v>
          </cell>
          <cell r="H189">
            <v>0.97093909626719066</v>
          </cell>
          <cell r="I189">
            <v>1.7290609037328095</v>
          </cell>
          <cell r="J189">
            <v>2.7</v>
          </cell>
          <cell r="K189">
            <v>0</v>
          </cell>
          <cell r="L189">
            <v>0</v>
          </cell>
          <cell r="M189">
            <v>0</v>
          </cell>
          <cell r="N189">
            <v>0</v>
          </cell>
          <cell r="O189">
            <v>0</v>
          </cell>
          <cell r="P189">
            <v>0</v>
          </cell>
          <cell r="Q189">
            <v>0</v>
          </cell>
          <cell r="R189">
            <v>0</v>
          </cell>
          <cell r="S189">
            <v>0</v>
          </cell>
          <cell r="T189">
            <v>0</v>
          </cell>
          <cell r="U189">
            <v>0</v>
          </cell>
          <cell r="V189">
            <v>0</v>
          </cell>
        </row>
        <row r="190">
          <cell r="B190">
            <v>-6.030015451578917E-2</v>
          </cell>
          <cell r="C190">
            <v>-6.2938014832098751E-2</v>
          </cell>
          <cell r="D190">
            <v>-6.1662198391420911E-2</v>
          </cell>
          <cell r="E190">
            <v>-0.10183133131856067</v>
          </cell>
          <cell r="F190">
            <v>-8.0467655429505361E-2</v>
          </cell>
          <cell r="G190">
            <v>-9.1324200913242018E-2</v>
          </cell>
          <cell r="H190">
            <v>0.27815539885397145</v>
          </cell>
          <cell r="I190">
            <v>0.4790485639511769</v>
          </cell>
          <cell r="J190">
            <v>0.38028169014084512</v>
          </cell>
          <cell r="K190">
            <v>0</v>
          </cell>
          <cell r="L190">
            <v>0</v>
          </cell>
          <cell r="M190">
            <v>0</v>
          </cell>
          <cell r="N190">
            <v>0</v>
          </cell>
          <cell r="O190">
            <v>0</v>
          </cell>
          <cell r="P190">
            <v>0</v>
          </cell>
          <cell r="Q190">
            <v>0</v>
          </cell>
          <cell r="R190">
            <v>0</v>
          </cell>
          <cell r="S190">
            <v>0</v>
          </cell>
          <cell r="T190">
            <v>0</v>
          </cell>
          <cell r="U190">
            <v>0</v>
          </cell>
          <cell r="V190">
            <v>0</v>
          </cell>
        </row>
        <row r="191">
          <cell r="A191" t="str">
            <v xml:space="preserve">  Kidd</v>
          </cell>
          <cell r="B191">
            <v>-0.13243227876375749</v>
          </cell>
          <cell r="C191">
            <v>-0.14756772123624254</v>
          </cell>
          <cell r="D191">
            <v>-0.28000000000000003</v>
          </cell>
          <cell r="E191">
            <v>-1.6999356084996782</v>
          </cell>
          <cell r="F191">
            <v>-1.3000643915003218</v>
          </cell>
          <cell r="G191">
            <v>-3</v>
          </cell>
          <cell r="H191">
            <v>0</v>
          </cell>
          <cell r="I191">
            <v>0</v>
          </cell>
          <cell r="J191">
            <v>0</v>
          </cell>
          <cell r="K191">
            <v>0</v>
          </cell>
          <cell r="L191">
            <v>0</v>
          </cell>
          <cell r="M191">
            <v>0</v>
          </cell>
          <cell r="N191">
            <v>0</v>
          </cell>
          <cell r="O191">
            <v>0</v>
          </cell>
          <cell r="P191">
            <v>0</v>
          </cell>
          <cell r="Q191">
            <v>0</v>
          </cell>
          <cell r="R191">
            <v>0</v>
          </cell>
          <cell r="S191">
            <v>0</v>
          </cell>
          <cell r="T191">
            <v>0</v>
          </cell>
          <cell r="U191">
            <v>0</v>
          </cell>
          <cell r="V191">
            <v>0</v>
          </cell>
        </row>
        <row r="192">
          <cell r="B192">
            <v>-3.2981132825874324E-2</v>
          </cell>
          <cell r="C192">
            <v>-3.4423908921009008E-2</v>
          </cell>
          <cell r="D192">
            <v>-3.3726101894985351E-2</v>
          </cell>
          <cell r="E192">
            <v>-0.55752653896911974</v>
          </cell>
          <cell r="F192">
            <v>-0.44056041347654179</v>
          </cell>
          <cell r="G192">
            <v>-0.5</v>
          </cell>
          <cell r="H192">
            <v>0</v>
          </cell>
          <cell r="I192">
            <v>0</v>
          </cell>
          <cell r="J192">
            <v>0</v>
          </cell>
          <cell r="K192">
            <v>0</v>
          </cell>
          <cell r="L192">
            <v>0</v>
          </cell>
          <cell r="M192">
            <v>0</v>
          </cell>
          <cell r="N192">
            <v>0</v>
          </cell>
          <cell r="O192">
            <v>0</v>
          </cell>
          <cell r="P192">
            <v>0</v>
          </cell>
          <cell r="Q192">
            <v>0</v>
          </cell>
          <cell r="R192">
            <v>0</v>
          </cell>
          <cell r="S192">
            <v>0</v>
          </cell>
          <cell r="T192">
            <v>0</v>
          </cell>
          <cell r="U192">
            <v>0</v>
          </cell>
          <cell r="V192">
            <v>0</v>
          </cell>
        </row>
        <row r="193">
          <cell r="A193" t="str">
            <v xml:space="preserve"> Agricultural Total</v>
          </cell>
          <cell r="B193">
            <v>2.9434544899484218</v>
          </cell>
          <cell r="C193">
            <v>3.2798565100515775</v>
          </cell>
          <cell r="D193">
            <v>6.2233109999999998</v>
          </cell>
          <cell r="E193">
            <v>0.56664520283322606</v>
          </cell>
          <cell r="F193">
            <v>0.43335479716677394</v>
          </cell>
          <cell r="G193">
            <v>1</v>
          </cell>
          <cell r="H193">
            <v>2.0137996070726913</v>
          </cell>
          <cell r="I193">
            <v>3.5862003929273083</v>
          </cell>
          <cell r="J193">
            <v>5.6</v>
          </cell>
          <cell r="K193">
            <v>1.7567164179104475</v>
          </cell>
          <cell r="L193">
            <v>2.6432835820895524</v>
          </cell>
          <cell r="M193">
            <v>4.4000000000000004</v>
          </cell>
          <cell r="N193">
            <v>2.9278688524590164</v>
          </cell>
          <cell r="O193">
            <v>2.7721311475409838</v>
          </cell>
          <cell r="P193">
            <v>5.6999999999999993</v>
          </cell>
          <cell r="Q193">
            <v>3.373318385650224</v>
          </cell>
          <cell r="R193">
            <v>2.5266816143497759</v>
          </cell>
          <cell r="S193">
            <v>5.8999999999999995</v>
          </cell>
          <cell r="T193">
            <v>2.3886363636363641</v>
          </cell>
          <cell r="U193">
            <v>2.6113636363636359</v>
          </cell>
          <cell r="V193">
            <v>5</v>
          </cell>
        </row>
        <row r="194">
          <cell r="B194">
            <v>8.2258142215667934E-2</v>
          </cell>
          <cell r="C194">
            <v>8.5856565649014921E-2</v>
          </cell>
          <cell r="D194">
            <v>8.41161672858418E-2</v>
          </cell>
          <cell r="E194">
            <v>1.6409905488421476E-2</v>
          </cell>
          <cell r="F194">
            <v>1.2967193921311017E-2</v>
          </cell>
          <cell r="G194">
            <v>1.4716703458425313E-2</v>
          </cell>
          <cell r="H194">
            <v>7.4339306704536548E-2</v>
          </cell>
          <cell r="I194">
            <v>0.12802964914094769</v>
          </cell>
          <cell r="J194">
            <v>0.10163339382940108</v>
          </cell>
          <cell r="K194">
            <v>6.4093075970222763E-2</v>
          </cell>
          <cell r="L194">
            <v>7.3442563965618976E-2</v>
          </cell>
          <cell r="M194">
            <v>6.9400630914826511E-2</v>
          </cell>
          <cell r="N194">
            <v>8.217360321538518E-2</v>
          </cell>
          <cell r="O194">
            <v>7.4181221419038629E-2</v>
          </cell>
          <cell r="P194">
            <v>7.8082191780821902E-2</v>
          </cell>
          <cell r="Q194">
            <v>7.9171605263929162E-2</v>
          </cell>
          <cell r="R194">
            <v>5.9602342755844057E-2</v>
          </cell>
          <cell r="S194">
            <v>6.9411764705882353E-2</v>
          </cell>
          <cell r="T194">
            <v>5.4302921225292872E-2</v>
          </cell>
          <cell r="U194">
            <v>5.6753048600535934E-2</v>
          </cell>
          <cell r="V194">
            <v>5.5555555555555552E-2</v>
          </cell>
        </row>
        <row r="195">
          <cell r="A195" t="str">
            <v>Enertech (SwKr)</v>
          </cell>
          <cell r="L195">
            <v>31</v>
          </cell>
          <cell r="M195">
            <v>31</v>
          </cell>
          <cell r="N195">
            <v>86</v>
          </cell>
          <cell r="O195">
            <v>59</v>
          </cell>
          <cell r="P195">
            <v>145</v>
          </cell>
          <cell r="Q195">
            <v>89</v>
          </cell>
          <cell r="R195">
            <v>39</v>
          </cell>
          <cell r="S195">
            <v>128</v>
          </cell>
          <cell r="T195">
            <v>65</v>
          </cell>
          <cell r="U195">
            <v>30</v>
          </cell>
          <cell r="V195">
            <v>90.5</v>
          </cell>
        </row>
        <row r="196">
          <cell r="A196" t="str">
            <v>Enertech (£)</v>
          </cell>
          <cell r="L196">
            <v>2.6956521739130435</v>
          </cell>
          <cell r="M196">
            <v>2.6956521739130435</v>
          </cell>
          <cell r="N196">
            <v>7.4782608695652177</v>
          </cell>
          <cell r="O196">
            <v>5.1304347826086953</v>
          </cell>
          <cell r="P196">
            <v>12.608695652173912</v>
          </cell>
          <cell r="Q196">
            <v>7.5105485232067517</v>
          </cell>
          <cell r="R196">
            <v>3.3913043478260869</v>
          </cell>
          <cell r="S196">
            <v>11.130434782608695</v>
          </cell>
          <cell r="T196">
            <v>5.6521739130434785</v>
          </cell>
          <cell r="U196">
            <v>2.6086956521739131</v>
          </cell>
          <cell r="V196">
            <v>7.8695652173913047</v>
          </cell>
        </row>
        <row r="197">
          <cell r="L197">
            <v>0.13080168776371309</v>
          </cell>
          <cell r="M197">
            <v>0.13080168776371309</v>
          </cell>
          <cell r="N197">
            <v>0.15636363636363637</v>
          </cell>
          <cell r="O197">
            <v>0.12215320910973085</v>
          </cell>
          <cell r="P197">
            <v>0.1403678606001936</v>
          </cell>
          <cell r="Q197">
            <v>0.14833333333333334</v>
          </cell>
          <cell r="R197">
            <v>8.1250000000000003E-2</v>
          </cell>
          <cell r="S197">
            <v>0.11851851851851852</v>
          </cell>
          <cell r="T197">
            <v>8.666666666666667E-2</v>
          </cell>
          <cell r="U197">
            <v>5.4545454545454543E-2</v>
          </cell>
          <cell r="V197">
            <v>6.7790262172284649E-2</v>
          </cell>
        </row>
        <row r="199">
          <cell r="A199" t="str">
            <v>Total Manufacturing - est</v>
          </cell>
          <cell r="D199">
            <v>24.646451300000003</v>
          </cell>
          <cell r="G199">
            <v>17.154671999999998</v>
          </cell>
          <cell r="J199">
            <v>25.424293999999996</v>
          </cell>
          <cell r="K199">
            <v>9.631714395522387</v>
          </cell>
          <cell r="L199">
            <v>17.188231778390655</v>
          </cell>
          <cell r="M199">
            <v>26.819946173913042</v>
          </cell>
          <cell r="N199">
            <v>20.470064148253744</v>
          </cell>
          <cell r="O199">
            <v>21.563383226419575</v>
          </cell>
          <cell r="P199">
            <v>36.548695652173912</v>
          </cell>
          <cell r="Q199">
            <v>24.073553007511684</v>
          </cell>
          <cell r="R199">
            <v>21.501891206862933</v>
          </cell>
          <cell r="S199">
            <v>44.630434782608695</v>
          </cell>
          <cell r="T199">
            <v>18.772310276679843</v>
          </cell>
          <cell r="U199">
            <v>20.624436758893278</v>
          </cell>
          <cell r="V199">
            <v>37.369565217391305</v>
          </cell>
        </row>
        <row r="200">
          <cell r="A200" t="str">
            <v>Reconciliation</v>
          </cell>
          <cell r="D200">
            <v>-2.3451300000001396E-2</v>
          </cell>
          <cell r="G200">
            <v>-7.1671999999999514E-2</v>
          </cell>
          <cell r="J200">
            <v>2.5706000000003115E-2</v>
          </cell>
          <cell r="M200">
            <v>-1.9946173913041321E-2</v>
          </cell>
          <cell r="P200">
            <v>5.1304347826089725E-2</v>
          </cell>
          <cell r="S200">
            <v>-3.0434782608693922E-2</v>
          </cell>
          <cell r="V200">
            <v>3.0434782608693922E-2</v>
          </cell>
        </row>
        <row r="201">
          <cell r="A201" t="str">
            <v>Total Manufacturing</v>
          </cell>
          <cell r="B201">
            <v>11.646000000000001</v>
          </cell>
          <cell r="C201">
            <v>12.977</v>
          </cell>
          <cell r="D201">
            <v>24.623000000000001</v>
          </cell>
          <cell r="E201">
            <v>9.68</v>
          </cell>
          <cell r="F201">
            <v>7.4029999999999987</v>
          </cell>
          <cell r="G201">
            <v>17.082999999999998</v>
          </cell>
          <cell r="H201">
            <v>9.1519999999999992</v>
          </cell>
          <cell r="I201">
            <v>16.298000000000002</v>
          </cell>
          <cell r="J201">
            <v>25.45</v>
          </cell>
          <cell r="K201">
            <v>10.7</v>
          </cell>
          <cell r="L201">
            <v>16.100000000000001</v>
          </cell>
          <cell r="M201">
            <v>26.8</v>
          </cell>
          <cell r="N201">
            <v>18.8</v>
          </cell>
          <cell r="O201">
            <v>17.8</v>
          </cell>
          <cell r="P201">
            <v>36.6</v>
          </cell>
          <cell r="Q201">
            <v>25.5</v>
          </cell>
          <cell r="R201">
            <v>19.100000000000001</v>
          </cell>
          <cell r="S201">
            <v>44.6</v>
          </cell>
          <cell r="T201">
            <v>17.867000000000001</v>
          </cell>
          <cell r="U201">
            <v>19.532999999999998</v>
          </cell>
          <cell r="V201">
            <v>37.4</v>
          </cell>
        </row>
        <row r="202">
          <cell r="B202">
            <v>8.767069663801022E-2</v>
          </cell>
          <cell r="C202">
            <v>9.1505894962486609E-2</v>
          </cell>
          <cell r="D202">
            <v>8.9650979050004742E-2</v>
          </cell>
          <cell r="E202">
            <v>7.2859744990892525E-2</v>
          </cell>
          <cell r="F202">
            <v>5.7574155013921068E-2</v>
          </cell>
          <cell r="G202">
            <v>6.5341952264381886E-2</v>
          </cell>
          <cell r="H202">
            <v>7.7823129251700679E-2</v>
          </cell>
          <cell r="I202">
            <v>0.13402960526315791</v>
          </cell>
          <cell r="J202">
            <v>0.10639632107023411</v>
          </cell>
          <cell r="K202">
            <v>8.8870431893687693E-2</v>
          </cell>
          <cell r="L202">
            <v>0.10183428209993677</v>
          </cell>
          <cell r="M202">
            <v>9.6229802513464996E-2</v>
          </cell>
          <cell r="N202">
            <v>9.8687664041994749E-2</v>
          </cell>
          <cell r="O202">
            <v>8.9089089089089094E-2</v>
          </cell>
          <cell r="P202">
            <v>9.3774019984627213E-2</v>
          </cell>
          <cell r="Q202">
            <v>0.1111111111111111</v>
          </cell>
          <cell r="R202">
            <v>8.3647192782692489E-2</v>
          </cell>
          <cell r="S202">
            <v>9.7413943735802908E-2</v>
          </cell>
          <cell r="T202">
            <v>7.2807660961695192E-2</v>
          </cell>
          <cell r="U202">
            <v>7.6092715231788052E-2</v>
          </cell>
          <cell r="V202">
            <v>7.4487153953395738E-2</v>
          </cell>
        </row>
        <row r="203">
          <cell r="A203" t="str">
            <v>Total Operating Profit</v>
          </cell>
          <cell r="B203">
            <v>58.524000000000001</v>
          </cell>
          <cell r="C203">
            <v>71.190722846441957</v>
          </cell>
          <cell r="D203">
            <v>129.70466966278579</v>
          </cell>
          <cell r="E203">
            <v>42.688999999999993</v>
          </cell>
          <cell r="F203">
            <v>51.915500818330599</v>
          </cell>
          <cell r="G203">
            <v>94.616304097019125</v>
          </cell>
          <cell r="H203">
            <v>35.707000000000001</v>
          </cell>
          <cell r="I203">
            <v>60.761969063445768</v>
          </cell>
          <cell r="J203">
            <v>96.440993596008354</v>
          </cell>
          <cell r="K203">
            <v>51.849570035205168</v>
          </cell>
          <cell r="L203">
            <v>79.672623274161737</v>
          </cell>
          <cell r="M203">
            <v>84.01453242098404</v>
          </cell>
          <cell r="N203">
            <v>88.654353955978593</v>
          </cell>
          <cell r="O203">
            <v>114.79401507376284</v>
          </cell>
          <cell r="P203">
            <v>204.38369475252443</v>
          </cell>
          <cell r="Q203">
            <v>119.86004937416473</v>
          </cell>
          <cell r="R203">
            <v>130.26570343237009</v>
          </cell>
          <cell r="S203">
            <v>249.56982552089181</v>
          </cell>
          <cell r="T203">
            <v>113.65965232856317</v>
          </cell>
          <cell r="U203">
            <v>134.03365068722763</v>
          </cell>
          <cell r="V203">
            <v>246.41732393188778</v>
          </cell>
        </row>
        <row r="204">
          <cell r="F204" t="str">
            <v>James Capel &amp; Co.</v>
          </cell>
        </row>
        <row r="205">
          <cell r="A205" t="str">
            <v>Operating Profit</v>
          </cell>
          <cell r="B205">
            <v>58.524000000000001</v>
          </cell>
          <cell r="C205">
            <v>71.190722846441957</v>
          </cell>
          <cell r="D205">
            <v>129.70466966278579</v>
          </cell>
          <cell r="E205">
            <v>42.688999999999993</v>
          </cell>
          <cell r="F205">
            <v>51.915500818330599</v>
          </cell>
          <cell r="G205">
            <v>94.616304097019125</v>
          </cell>
          <cell r="H205">
            <v>35.707000000000001</v>
          </cell>
          <cell r="I205">
            <v>60.761969063445768</v>
          </cell>
          <cell r="J205">
            <v>96.440993596008354</v>
          </cell>
          <cell r="K205">
            <v>51.849570035205168</v>
          </cell>
          <cell r="L205">
            <v>79.672623274161737</v>
          </cell>
          <cell r="M205">
            <v>84.01453242098404</v>
          </cell>
          <cell r="N205">
            <v>88.654353955978593</v>
          </cell>
          <cell r="O205">
            <v>114.79401507376284</v>
          </cell>
          <cell r="P205">
            <v>204.38369475252443</v>
          </cell>
          <cell r="Q205">
            <v>119.86004937416473</v>
          </cell>
          <cell r="R205">
            <v>130.26570343237009</v>
          </cell>
          <cell r="S205">
            <v>249.56982552089181</v>
          </cell>
          <cell r="T205">
            <v>113.65965232856317</v>
          </cell>
          <cell r="U205">
            <v>134.03365068722763</v>
          </cell>
          <cell r="V205">
            <v>246.41732393188778</v>
          </cell>
        </row>
        <row r="207">
          <cell r="A207" t="str">
            <v>Restructuring</v>
          </cell>
        </row>
        <row r="208">
          <cell r="A208" t="str">
            <v>Exceptional costs</v>
          </cell>
        </row>
        <row r="209">
          <cell r="A209" t="str">
            <v>Property profits</v>
          </cell>
        </row>
        <row r="210">
          <cell r="A210" t="str">
            <v>Interest</v>
          </cell>
          <cell r="B210">
            <v>-4.3630000000000004</v>
          </cell>
          <cell r="C210">
            <v>-4.6619999999999999</v>
          </cell>
          <cell r="D210">
            <v>-9.0250000000000004</v>
          </cell>
          <cell r="E210">
            <v>-4.6760000000000002</v>
          </cell>
          <cell r="F210">
            <v>-3.6259999999999994</v>
          </cell>
          <cell r="G210">
            <v>-8.3019999999999996</v>
          </cell>
          <cell r="H210">
            <v>-2.0179999999999998</v>
          </cell>
          <cell r="I210">
            <v>-3.1219999999999999</v>
          </cell>
          <cell r="J210">
            <v>-5.14</v>
          </cell>
          <cell r="K210">
            <v>-4.3</v>
          </cell>
          <cell r="L210">
            <v>-5.5000000000000009</v>
          </cell>
          <cell r="M210">
            <v>-9.8000000000000007</v>
          </cell>
          <cell r="N210">
            <v>-1.7</v>
          </cell>
          <cell r="O210">
            <v>-0.40000000000000013</v>
          </cell>
          <cell r="P210">
            <v>-2.1</v>
          </cell>
          <cell r="Q210">
            <v>-2.7</v>
          </cell>
          <cell r="R210">
            <v>-1.4489999999999998</v>
          </cell>
          <cell r="S210">
            <v>-4.149</v>
          </cell>
          <cell r="T210">
            <v>-2.6509999999999998</v>
          </cell>
          <cell r="U210">
            <v>-0.8490000000000002</v>
          </cell>
          <cell r="V210">
            <v>-3.5</v>
          </cell>
        </row>
        <row r="211">
          <cell r="A211" t="str">
            <v>Goodwill charge</v>
          </cell>
        </row>
        <row r="212">
          <cell r="A212" t="str">
            <v>HSBC PBT</v>
          </cell>
          <cell r="B212">
            <v>54.161000000000001</v>
          </cell>
          <cell r="C212">
            <v>66.518669662785783</v>
          </cell>
          <cell r="D212">
            <v>120.67966966278578</v>
          </cell>
          <cell r="E212">
            <v>38.012999999999991</v>
          </cell>
          <cell r="F212">
            <v>48.301304097019127</v>
          </cell>
          <cell r="G212">
            <v>86.314304097019118</v>
          </cell>
          <cell r="H212">
            <v>33.689</v>
          </cell>
          <cell r="I212">
            <v>57.611993596008354</v>
          </cell>
          <cell r="J212">
            <v>91.300993596008354</v>
          </cell>
          <cell r="K212">
            <v>47.549570035205171</v>
          </cell>
          <cell r="L212">
            <v>26.664962385778871</v>
          </cell>
          <cell r="M212">
            <v>74.214532420984042</v>
          </cell>
          <cell r="N212">
            <v>86.95435395597859</v>
          </cell>
          <cell r="O212">
            <v>115.32934079654585</v>
          </cell>
          <cell r="P212">
            <v>202.28369475252444</v>
          </cell>
          <cell r="Q212">
            <v>117.16004937416473</v>
          </cell>
          <cell r="R212">
            <v>128.2607761467271</v>
          </cell>
          <cell r="S212">
            <v>245.42082552089181</v>
          </cell>
          <cell r="T212">
            <v>111.00865232856317</v>
          </cell>
          <cell r="U212">
            <v>131.90867160332459</v>
          </cell>
          <cell r="V212">
            <v>242.91732393188778</v>
          </cell>
        </row>
        <row r="213">
          <cell r="A213" t="str">
            <v xml:space="preserve">FRS3 PBT </v>
          </cell>
        </row>
        <row r="215">
          <cell r="A215" t="str">
            <v>Tax</v>
          </cell>
          <cell r="B215">
            <v>-19.498000000000001</v>
          </cell>
          <cell r="C215">
            <v>-22.746999999999996</v>
          </cell>
          <cell r="D215">
            <v>-42.244999999999997</v>
          </cell>
          <cell r="E215">
            <v>-13.968</v>
          </cell>
          <cell r="F215">
            <v>-16.54</v>
          </cell>
          <cell r="G215">
            <v>-30.507999999999999</v>
          </cell>
          <cell r="H215">
            <v>-11</v>
          </cell>
          <cell r="I215">
            <v>-21</v>
          </cell>
          <cell r="J215">
            <v>-32</v>
          </cell>
          <cell r="K215">
            <v>-16.899999999999999</v>
          </cell>
          <cell r="L215">
            <v>-7.6650102313457218</v>
          </cell>
          <cell r="M215">
            <v>-24.56501023134572</v>
          </cell>
          <cell r="N215">
            <v>-28.694936805472935</v>
          </cell>
          <cell r="O215">
            <v>-37.957540615483865</v>
          </cell>
          <cell r="P215">
            <v>-66.652477420956799</v>
          </cell>
          <cell r="Q215">
            <v>-38.662816293474364</v>
          </cell>
          <cell r="R215">
            <v>-42.326056128419935</v>
          </cell>
          <cell r="S215">
            <v>-80.9888724218943</v>
          </cell>
          <cell r="T215">
            <v>-36.63285526842585</v>
          </cell>
          <cell r="U215">
            <v>-43.456986431917549</v>
          </cell>
          <cell r="V215">
            <v>-80.089841700343399</v>
          </cell>
        </row>
        <row r="216">
          <cell r="A216" t="str">
            <v>Tax Rate</v>
          </cell>
          <cell r="P216">
            <v>0.32949999999999996</v>
          </cell>
          <cell r="Q216">
            <v>0.33</v>
          </cell>
          <cell r="R216">
            <v>0.32999999999999996</v>
          </cell>
          <cell r="S216">
            <v>0.33</v>
          </cell>
          <cell r="T216">
            <v>0.33</v>
          </cell>
          <cell r="U216">
            <v>0.32944753293097578</v>
          </cell>
          <cell r="V216">
            <v>0.32969999999999999</v>
          </cell>
        </row>
        <row r="217">
          <cell r="A217" t="str">
            <v>Exceptional tax</v>
          </cell>
        </row>
        <row r="218">
          <cell r="A218" t="str">
            <v>Less: Minorities</v>
          </cell>
          <cell r="B218">
            <v>-9.8000000000000004E-2</v>
          </cell>
          <cell r="C218">
            <v>-7.0000000000000007E-2</v>
          </cell>
          <cell r="D218">
            <v>-0.16800000000000001</v>
          </cell>
          <cell r="E218">
            <v>-5.2999999999999999E-2</v>
          </cell>
          <cell r="F218">
            <v>-2.7000000000000003E-2</v>
          </cell>
          <cell r="G218">
            <v>-0.08</v>
          </cell>
          <cell r="H218">
            <v>0</v>
          </cell>
          <cell r="I218">
            <v>-0.2</v>
          </cell>
          <cell r="J218">
            <v>-0.2</v>
          </cell>
          <cell r="K218">
            <v>0</v>
          </cell>
          <cell r="L218">
            <v>-0.3</v>
          </cell>
          <cell r="M218">
            <v>-0.3</v>
          </cell>
          <cell r="N218">
            <v>-0.16</v>
          </cell>
          <cell r="O218">
            <v>-0.24000000000000002</v>
          </cell>
          <cell r="P218">
            <v>-0.4</v>
          </cell>
          <cell r="Q218">
            <v>-0.4</v>
          </cell>
          <cell r="R218">
            <v>-0.4</v>
          </cell>
          <cell r="S218">
            <v>-0.8</v>
          </cell>
          <cell r="T218">
            <v>-0.27200000000000002</v>
          </cell>
          <cell r="U218">
            <v>-0.22799999999999998</v>
          </cell>
          <cell r="V218">
            <v>-0.5</v>
          </cell>
        </row>
        <row r="219">
          <cell r="A219" t="str">
            <v>Attributable Profits</v>
          </cell>
          <cell r="B219">
            <v>34.564999999999998</v>
          </cell>
          <cell r="C219">
            <v>43.701669662785783</v>
          </cell>
          <cell r="D219">
            <v>78.266669662785773</v>
          </cell>
          <cell r="E219">
            <v>23.99199999999999</v>
          </cell>
          <cell r="F219">
            <v>31.734304097019127</v>
          </cell>
          <cell r="G219">
            <v>55.726304097019124</v>
          </cell>
          <cell r="H219">
            <v>22.689</v>
          </cell>
          <cell r="I219">
            <v>36.411993596008351</v>
          </cell>
          <cell r="J219">
            <v>59.100993596008351</v>
          </cell>
          <cell r="K219">
            <v>30.649570035205173</v>
          </cell>
          <cell r="L219">
            <v>18.699952154433149</v>
          </cell>
          <cell r="M219">
            <v>49.349522189638321</v>
          </cell>
          <cell r="N219">
            <v>58.099417150505658</v>
          </cell>
          <cell r="O219">
            <v>77.13180018106199</v>
          </cell>
          <cell r="P219">
            <v>135.56071733156764</v>
          </cell>
          <cell r="Q219">
            <v>78.427233080690357</v>
          </cell>
          <cell r="R219">
            <v>85.864720018307153</v>
          </cell>
          <cell r="S219">
            <v>163.63195309899751</v>
          </cell>
          <cell r="T219">
            <v>74.433797060137323</v>
          </cell>
          <cell r="U219">
            <v>88.553132704338012</v>
          </cell>
          <cell r="V219">
            <v>162.32748223154437</v>
          </cell>
        </row>
        <row r="220">
          <cell r="A220" t="str">
            <v>Dividends</v>
          </cell>
          <cell r="P220">
            <v>44.475199999999994</v>
          </cell>
          <cell r="S220">
            <v>54.061307999999997</v>
          </cell>
          <cell r="V220">
            <v>57.545999999999992</v>
          </cell>
        </row>
        <row r="221">
          <cell r="A221" t="str">
            <v>Retained Profits</v>
          </cell>
          <cell r="P221">
            <v>91.085517331567644</v>
          </cell>
          <cell r="Q221">
            <v>78.427233080690357</v>
          </cell>
          <cell r="R221">
            <v>85.864720018307153</v>
          </cell>
          <cell r="S221">
            <v>109.57064509899752</v>
          </cell>
          <cell r="T221">
            <v>74.433797060137323</v>
          </cell>
          <cell r="U221">
            <v>88.553132704338012</v>
          </cell>
          <cell r="V221">
            <v>104.78148223154437</v>
          </cell>
        </row>
        <row r="223">
          <cell r="A223" t="str">
            <v>Ordinary Shares - m</v>
          </cell>
          <cell r="B223">
            <v>424</v>
          </cell>
          <cell r="C223">
            <v>424</v>
          </cell>
          <cell r="D223">
            <v>424</v>
          </cell>
          <cell r="E223">
            <v>426</v>
          </cell>
          <cell r="F223">
            <v>428</v>
          </cell>
          <cell r="G223">
            <v>429.11599999999999</v>
          </cell>
          <cell r="H223">
            <v>429.2</v>
          </cell>
          <cell r="I223">
            <v>472</v>
          </cell>
          <cell r="J223">
            <v>450</v>
          </cell>
          <cell r="K223">
            <v>472.2</v>
          </cell>
          <cell r="L223">
            <v>488</v>
          </cell>
          <cell r="M223">
            <v>481</v>
          </cell>
          <cell r="N223">
            <v>522</v>
          </cell>
          <cell r="O223">
            <v>540</v>
          </cell>
          <cell r="P223">
            <v>532</v>
          </cell>
          <cell r="Q223">
            <v>550</v>
          </cell>
          <cell r="R223">
            <v>550</v>
          </cell>
          <cell r="S223">
            <v>551.64599999999996</v>
          </cell>
          <cell r="T223">
            <v>551.79999999999995</v>
          </cell>
          <cell r="U223">
            <v>553</v>
          </cell>
          <cell r="V223">
            <v>556</v>
          </cell>
        </row>
        <row r="224">
          <cell r="A224" t="str">
            <v>Year end no of shares</v>
          </cell>
        </row>
        <row r="225">
          <cell r="A225" t="str">
            <v>HSBC EPS</v>
          </cell>
          <cell r="B225">
            <v>8.1521226415094343</v>
          </cell>
          <cell r="C225">
            <v>10.306997561977779</v>
          </cell>
          <cell r="D225">
            <v>18.45912020348721</v>
          </cell>
          <cell r="E225">
            <v>5.6319248826291055</v>
          </cell>
          <cell r="F225">
            <v>7.414557032013815</v>
          </cell>
          <cell r="G225">
            <v>12.986303026924917</v>
          </cell>
          <cell r="H225">
            <v>5.2863466915191051</v>
          </cell>
          <cell r="I225">
            <v>7.7144054228831251</v>
          </cell>
          <cell r="J225">
            <v>13.133554132446301</v>
          </cell>
          <cell r="K225">
            <v>6.4908026334614943</v>
          </cell>
          <cell r="L225">
            <v>3.8319574086953176</v>
          </cell>
          <cell r="M225">
            <v>10.25977592300173</v>
          </cell>
          <cell r="N225">
            <v>11.130156542242462</v>
          </cell>
          <cell r="O225">
            <v>14.283666700196665</v>
          </cell>
          <cell r="P225">
            <v>25.481337844279633</v>
          </cell>
          <cell r="Q225">
            <v>14.259496923761883</v>
          </cell>
          <cell r="R225">
            <v>15.611767276055847</v>
          </cell>
          <cell r="S225">
            <v>29.662492449686489</v>
          </cell>
          <cell r="T225">
            <v>13.489270942395311</v>
          </cell>
          <cell r="U225">
            <v>16.013224720495121</v>
          </cell>
          <cell r="V225">
            <v>29.195590329414458</v>
          </cell>
        </row>
        <row r="226">
          <cell r="A226" t="str">
            <v>% increase</v>
          </cell>
          <cell r="V226">
            <v>-1.5740488465829094E-2</v>
          </cell>
        </row>
        <row r="228">
          <cell r="A228" t="str">
            <v>Dividend per share</v>
          </cell>
          <cell r="S228">
            <v>9.8000000000000007</v>
          </cell>
          <cell r="T228">
            <v>3.1</v>
          </cell>
          <cell r="U228">
            <v>7.25</v>
          </cell>
          <cell r="V228">
            <v>10.35</v>
          </cell>
        </row>
        <row r="229">
          <cell r="A229" t="str">
            <v>% increase</v>
          </cell>
          <cell r="V229">
            <v>5.6122448979591733E-2</v>
          </cell>
        </row>
        <row r="230">
          <cell r="A230" t="str">
            <v>Dividend Cover</v>
          </cell>
          <cell r="S230">
            <v>3.0267849438455601</v>
          </cell>
          <cell r="T230">
            <v>4.351377723353326</v>
          </cell>
          <cell r="U230">
            <v>2.2087206511027753</v>
          </cell>
          <cell r="V230">
            <v>2.8208299835183053</v>
          </cell>
        </row>
        <row r="231">
          <cell r="A231" t="str">
            <v>Source HSBC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
          <cell r="A1">
            <v>1</v>
          </cell>
        </row>
      </sheetData>
      <sheetData sheetId="29"/>
      <sheetData sheetId="30"/>
      <sheetData sheetId="31">
        <row r="1">
          <cell r="A1" t="str">
            <v>Wolseley</v>
          </cell>
        </row>
      </sheetData>
      <sheetData sheetId="32"/>
      <sheetData sheetId="33"/>
      <sheetData sheetId="34"/>
      <sheetData sheetId="35"/>
      <sheetData sheetId="36"/>
      <sheetData sheetId="37"/>
      <sheetData sheetId="38">
        <row r="3">
          <cell r="E3">
            <v>1</v>
          </cell>
        </row>
      </sheetData>
      <sheetData sheetId="39"/>
      <sheetData sheetId="40"/>
      <sheetData sheetId="4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sheetName val="CUS Image"/>
      <sheetName val="WIRE DATA"/>
      <sheetName val="Print"/>
      <sheetName val="RCICFM"/>
      <sheetName val="Cable"/>
      <sheetName val="Media"/>
      <sheetName val="Qrtly Preview"/>
      <sheetName val="Preview Table"/>
      <sheetName val="old prev table"/>
      <sheetName val="CableDCF"/>
      <sheetName val="Valuation"/>
      <sheetName val="RCI-RCM"/>
      <sheetName val="EV"/>
      <sheetName val="Q2 preview"/>
      <sheetName val="Preview Tables"/>
      <sheetName val="AWE block"/>
      <sheetName val="Shares"/>
      <sheetName val="Multiples"/>
      <sheetName val="Print 2"/>
      <sheetName val="Target"/>
      <sheetName val="TargetRCM"/>
      <sheetName val="SharePrice"/>
      <sheetName val="Charts"/>
      <sheetName val="PMV"/>
      <sheetName val="Blue Jays"/>
      <sheetName val="CABSTAT values"/>
      <sheetName val="Sheet1"/>
      <sheetName val="SJRCFM"/>
      <sheetName val="T_CF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y Out 2"/>
      <sheetName val="&lt;EuroCF&gt;"/>
      <sheetName val="Valuation Charts "/>
      <sheetName val="forex"/>
      <sheetName val="FDLN&amp;HRD Annual Used"/>
      <sheetName val="000 eur"/>
      <sheetName val="Delhaize America"/>
      <sheetName val="SuperDiscount"/>
      <sheetName val="Delvita"/>
      <sheetName val="Alfa Beta"/>
      <sheetName val="Delhaize Belgium"/>
      <sheetName val="P.G. Group"/>
      <sheetName val="Others (Asia)"/>
      <sheetName val="Mega Image"/>
      <sheetName val="Old Spreadsheet"/>
      <sheetName val="Goodwill"/>
      <sheetName val="Capex"/>
      <sheetName val="Div Quarterlies as reported"/>
      <sheetName val="(e)Spreadsheet"/>
      <sheetName val="Template"/>
      <sheetName val="DCF"/>
      <sheetName val="Minority interest"/>
      <sheetName val="FL_Quarterly"/>
      <sheetName val="Summary"/>
      <sheetName val="(e)Summary"/>
      <sheetName val="Datastream"/>
      <sheetName val="Roci"/>
      <sheetName val="(e)Roci"/>
      <sheetName val="WACC"/>
      <sheetName val="EVA"/>
      <sheetName val="Valuation ex-Food Lion"/>
      <sheetName val="OFFVALU"/>
      <sheetName val="99-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4">
          <cell r="O4">
            <v>92.02131700000001</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ome Statement_VDF"/>
      <sheetName val="Summary Page_VDF"/>
      <sheetName val="Invested capital_VDF"/>
      <sheetName val="NOPAT_VDF"/>
      <sheetName val="WACC_VDF"/>
      <sheetName val="DCF_VDF"/>
      <sheetName val="PV of Op Leases_VDF"/>
    </sheetNames>
    <sheetDataSet>
      <sheetData sheetId="0" refreshError="1">
        <row r="44">
          <cell r="R44">
            <v>0.10503724816205434</v>
          </cell>
        </row>
      </sheetData>
      <sheetData sheetId="1" refreshError="1"/>
      <sheetData sheetId="2" refreshError="1">
        <row r="1">
          <cell r="P1" t="str">
            <v>Invested Capital</v>
          </cell>
        </row>
        <row r="2">
          <cell r="O2" t="str">
            <v>P-2</v>
          </cell>
          <cell r="P2" t="str">
            <v>P-1</v>
          </cell>
          <cell r="Q2" t="str">
            <v>Present (P)</v>
          </cell>
          <cell r="R2" t="str">
            <v>Present (P)</v>
          </cell>
        </row>
        <row r="3">
          <cell r="O3">
            <v>1995</v>
          </cell>
          <cell r="P3">
            <v>1996</v>
          </cell>
          <cell r="Q3">
            <v>1997</v>
          </cell>
          <cell r="R3">
            <v>1998</v>
          </cell>
        </row>
        <row r="4">
          <cell r="O4">
            <v>289.42599999999999</v>
          </cell>
          <cell r="P4">
            <v>230.75800000000001</v>
          </cell>
          <cell r="Q4">
            <v>166.71499999999997</v>
          </cell>
          <cell r="R4">
            <v>194.767</v>
          </cell>
        </row>
        <row r="5">
          <cell r="C5">
            <v>0</v>
          </cell>
          <cell r="D5">
            <v>0</v>
          </cell>
          <cell r="E5">
            <v>0</v>
          </cell>
          <cell r="F5">
            <v>0</v>
          </cell>
          <cell r="G5">
            <v>0</v>
          </cell>
          <cell r="H5">
            <v>0</v>
          </cell>
          <cell r="I5">
            <v>0</v>
          </cell>
          <cell r="J5">
            <v>11.498149999999999</v>
          </cell>
          <cell r="K5">
            <v>114.35785</v>
          </cell>
          <cell r="L5">
            <v>129.38685000000001</v>
          </cell>
          <cell r="M5">
            <v>193.4385</v>
          </cell>
          <cell r="N5">
            <v>169.32695000000001</v>
          </cell>
          <cell r="O5">
            <v>258.38670000000002</v>
          </cell>
          <cell r="P5">
            <v>194.08539999999999</v>
          </cell>
          <cell r="Q5">
            <v>129.51649999999998</v>
          </cell>
          <cell r="R5">
            <v>194.767</v>
          </cell>
        </row>
        <row r="6">
          <cell r="O6">
            <v>31.039299999999997</v>
          </cell>
          <cell r="P6">
            <v>36.672600000000003</v>
          </cell>
          <cell r="Q6">
            <v>37.198500000000003</v>
          </cell>
          <cell r="R6">
            <v>0</v>
          </cell>
        </row>
        <row r="7">
          <cell r="O7">
            <v>193.46699999999998</v>
          </cell>
          <cell r="P7">
            <v>220.36799999999999</v>
          </cell>
          <cell r="Q7">
            <v>248.46899999999999</v>
          </cell>
          <cell r="R7">
            <v>252.54299999999998</v>
          </cell>
        </row>
        <row r="8">
          <cell r="O8">
            <v>73.825000000000003</v>
          </cell>
          <cell r="P8">
            <v>100.343</v>
          </cell>
          <cell r="Q8">
            <v>92.444000000000003</v>
          </cell>
          <cell r="R8">
            <v>133.154</v>
          </cell>
        </row>
        <row r="9">
          <cell r="A9">
            <v>0.05</v>
          </cell>
          <cell r="O9">
            <v>0</v>
          </cell>
          <cell r="P9">
            <v>0</v>
          </cell>
          <cell r="Q9">
            <v>0</v>
          </cell>
          <cell r="R9">
            <v>0</v>
          </cell>
        </row>
        <row r="10">
          <cell r="O10">
            <v>25.335999999999999</v>
          </cell>
          <cell r="P10">
            <v>19.353999999999999</v>
          </cell>
          <cell r="Q10">
            <v>18.228999999999999</v>
          </cell>
          <cell r="R10">
            <v>16.516999999999999</v>
          </cell>
        </row>
        <row r="11">
          <cell r="O11">
            <v>0</v>
          </cell>
          <cell r="P11">
            <v>0</v>
          </cell>
          <cell r="Q11">
            <v>0</v>
          </cell>
          <cell r="R11">
            <v>0</v>
          </cell>
        </row>
        <row r="12">
          <cell r="O12">
            <v>0</v>
          </cell>
          <cell r="P12">
            <v>0</v>
          </cell>
          <cell r="Q12">
            <v>0</v>
          </cell>
          <cell r="R12">
            <v>0</v>
          </cell>
        </row>
        <row r="13">
          <cell r="O13">
            <v>0</v>
          </cell>
          <cell r="P13">
            <v>0</v>
          </cell>
          <cell r="Q13">
            <v>0</v>
          </cell>
          <cell r="R13">
            <v>0</v>
          </cell>
          <cell r="S13">
            <v>0</v>
          </cell>
        </row>
        <row r="14">
          <cell r="O14">
            <v>5.117</v>
          </cell>
          <cell r="P14">
            <v>17.425999999999998</v>
          </cell>
          <cell r="Q14">
            <v>10.601000000000001</v>
          </cell>
          <cell r="R14">
            <v>32.345999999999997</v>
          </cell>
        </row>
        <row r="15">
          <cell r="O15">
            <v>328.78430000000003</v>
          </cell>
          <cell r="P15">
            <v>394.16359999999997</v>
          </cell>
          <cell r="Q15">
            <v>406.94150000000002</v>
          </cell>
          <cell r="R15">
            <v>434.56</v>
          </cell>
        </row>
        <row r="17">
          <cell r="O17">
            <v>28.861999999999998</v>
          </cell>
          <cell r="P17">
            <v>33.145000000000003</v>
          </cell>
          <cell r="Q17">
            <v>46.238</v>
          </cell>
          <cell r="R17">
            <v>57.277000000000001</v>
          </cell>
        </row>
        <row r="18">
          <cell r="O18">
            <v>36.4</v>
          </cell>
          <cell r="P18">
            <v>52.689</v>
          </cell>
          <cell r="Q18">
            <v>50.451000000000001</v>
          </cell>
          <cell r="R18">
            <v>62.292999999999999</v>
          </cell>
        </row>
        <row r="19">
          <cell r="O19">
            <v>0</v>
          </cell>
          <cell r="P19">
            <v>0</v>
          </cell>
          <cell r="Q19">
            <v>0</v>
          </cell>
          <cell r="R19">
            <v>0</v>
          </cell>
        </row>
        <row r="20">
          <cell r="O20">
            <v>0</v>
          </cell>
          <cell r="P20">
            <v>0</v>
          </cell>
          <cell r="Q20">
            <v>0</v>
          </cell>
          <cell r="R20">
            <v>0</v>
          </cell>
        </row>
        <row r="21">
          <cell r="O21">
            <v>0</v>
          </cell>
          <cell r="P21">
            <v>0</v>
          </cell>
          <cell r="Q21">
            <v>0</v>
          </cell>
          <cell r="R21">
            <v>0</v>
          </cell>
        </row>
        <row r="22">
          <cell r="O22">
            <v>25.071999999999999</v>
          </cell>
          <cell r="P22">
            <v>33.488999999999997</v>
          </cell>
          <cell r="Q22">
            <v>42.484999999999999</v>
          </cell>
          <cell r="R22">
            <v>50.658999999999999</v>
          </cell>
        </row>
        <row r="23">
          <cell r="O23">
            <v>0</v>
          </cell>
          <cell r="P23">
            <v>0</v>
          </cell>
          <cell r="Q23">
            <v>0</v>
          </cell>
          <cell r="R23">
            <v>0</v>
          </cell>
        </row>
        <row r="24">
          <cell r="O24">
            <v>90.334000000000003</v>
          </cell>
          <cell r="P24">
            <v>119.32300000000001</v>
          </cell>
          <cell r="Q24">
            <v>139.17399999999998</v>
          </cell>
          <cell r="R24">
            <v>170.22899999999998</v>
          </cell>
        </row>
        <row r="26">
          <cell r="O26">
            <v>238.45030000000003</v>
          </cell>
          <cell r="P26">
            <v>274.84059999999999</v>
          </cell>
          <cell r="Q26">
            <v>267.76750000000004</v>
          </cell>
          <cell r="R26">
            <v>264.33100000000002</v>
          </cell>
        </row>
        <row r="28">
          <cell r="C28">
            <v>0</v>
          </cell>
          <cell r="D28">
            <v>0</v>
          </cell>
          <cell r="E28">
            <v>0</v>
          </cell>
          <cell r="F28">
            <v>0</v>
          </cell>
          <cell r="G28">
            <v>0</v>
          </cell>
          <cell r="H28">
            <v>0</v>
          </cell>
          <cell r="I28">
            <v>0</v>
          </cell>
          <cell r="J28">
            <v>7.91</v>
          </cell>
          <cell r="K28">
            <v>9.3610000000000007</v>
          </cell>
          <cell r="L28">
            <v>11.807</v>
          </cell>
          <cell r="M28">
            <v>16.523</v>
          </cell>
          <cell r="N28">
            <v>23.344999999999999</v>
          </cell>
          <cell r="O28">
            <v>28.491</v>
          </cell>
          <cell r="P28">
            <v>25.701000000000001</v>
          </cell>
          <cell r="Q28">
            <v>31.074000000000002</v>
          </cell>
          <cell r="R28">
            <v>0</v>
          </cell>
          <cell r="S28">
            <v>45</v>
          </cell>
          <cell r="T28">
            <v>46</v>
          </cell>
        </row>
        <row r="29">
          <cell r="O29">
            <v>23.344999999999999</v>
          </cell>
          <cell r="P29">
            <v>28.491</v>
          </cell>
          <cell r="Q29">
            <v>25.701000000000001</v>
          </cell>
          <cell r="R29">
            <v>31.074000000000002</v>
          </cell>
          <cell r="S29">
            <v>0</v>
          </cell>
        </row>
        <row r="30">
          <cell r="O30">
            <v>28.491</v>
          </cell>
          <cell r="P30">
            <v>25.701000000000001</v>
          </cell>
          <cell r="Q30">
            <v>31.074000000000002</v>
          </cell>
          <cell r="R30">
            <v>0</v>
          </cell>
          <cell r="S30">
            <v>45</v>
          </cell>
        </row>
        <row r="31">
          <cell r="C31">
            <v>0</v>
          </cell>
          <cell r="D31">
            <v>0</v>
          </cell>
          <cell r="E31">
            <v>0</v>
          </cell>
          <cell r="F31">
            <v>0</v>
          </cell>
          <cell r="G31">
            <v>0</v>
          </cell>
          <cell r="H31">
            <v>0</v>
          </cell>
          <cell r="I31">
            <v>0</v>
          </cell>
          <cell r="J31">
            <v>0</v>
          </cell>
          <cell r="K31">
            <v>7.91</v>
          </cell>
          <cell r="L31">
            <v>9.3610000000000007</v>
          </cell>
          <cell r="M31">
            <v>11.807</v>
          </cell>
          <cell r="N31">
            <v>16.523</v>
          </cell>
          <cell r="O31">
            <v>23.344999999999999</v>
          </cell>
          <cell r="P31">
            <v>28.491</v>
          </cell>
          <cell r="Q31">
            <v>25.701000000000001</v>
          </cell>
          <cell r="R31">
            <v>31.074000000000002</v>
          </cell>
          <cell r="S31">
            <v>0</v>
          </cell>
          <cell r="T31">
            <v>45</v>
          </cell>
        </row>
        <row r="32">
          <cell r="O32">
            <v>0</v>
          </cell>
          <cell r="P32">
            <v>0</v>
          </cell>
          <cell r="Q32">
            <v>0</v>
          </cell>
          <cell r="R32">
            <v>0</v>
          </cell>
          <cell r="S32">
            <v>0</v>
          </cell>
        </row>
        <row r="33">
          <cell r="O33">
            <v>119.298</v>
          </cell>
          <cell r="P33">
            <v>177.80199999999999</v>
          </cell>
          <cell r="Q33">
            <v>178.476</v>
          </cell>
          <cell r="R33">
            <v>168.75299999999999</v>
          </cell>
        </row>
        <row r="34">
          <cell r="A34">
            <v>1</v>
          </cell>
          <cell r="O34">
            <v>0</v>
          </cell>
          <cell r="P34">
            <v>0</v>
          </cell>
          <cell r="Q34">
            <v>0</v>
          </cell>
          <cell r="R34">
            <v>0</v>
          </cell>
        </row>
        <row r="35">
          <cell r="O35">
            <v>11.046287899978912</v>
          </cell>
          <cell r="P35">
            <v>13.11518086653772</v>
          </cell>
          <cell r="Q35">
            <v>11.01234948567379</v>
          </cell>
          <cell r="R35">
            <v>11.01234948567379</v>
          </cell>
        </row>
        <row r="36">
          <cell r="O36">
            <v>0</v>
          </cell>
          <cell r="P36">
            <v>0</v>
          </cell>
          <cell r="Q36">
            <v>0</v>
          </cell>
          <cell r="R36">
            <v>0</v>
          </cell>
        </row>
        <row r="37">
          <cell r="O37">
            <v>0</v>
          </cell>
          <cell r="P37">
            <v>0</v>
          </cell>
          <cell r="Q37">
            <v>0</v>
          </cell>
          <cell r="R37">
            <v>0</v>
          </cell>
        </row>
        <row r="38">
          <cell r="O38">
            <v>0</v>
          </cell>
          <cell r="P38">
            <v>0</v>
          </cell>
          <cell r="Q38">
            <v>0</v>
          </cell>
          <cell r="R38">
            <v>0</v>
          </cell>
        </row>
        <row r="39">
          <cell r="O39">
            <v>0</v>
          </cell>
          <cell r="P39">
            <v>0</v>
          </cell>
          <cell r="Q39">
            <v>0</v>
          </cell>
          <cell r="R39">
            <v>0</v>
          </cell>
        </row>
        <row r="40">
          <cell r="O40">
            <v>1.2809040366577829</v>
          </cell>
          <cell r="P40">
            <v>1.7884200803230161</v>
          </cell>
          <cell r="Q40">
            <v>1.7884200803230161</v>
          </cell>
          <cell r="R40">
            <v>1.7884200803230161</v>
          </cell>
        </row>
        <row r="41">
          <cell r="O41">
            <v>34.854999999999997</v>
          </cell>
          <cell r="P41">
            <v>69.98</v>
          </cell>
          <cell r="Q41">
            <v>118.78700000000001</v>
          </cell>
          <cell r="R41">
            <v>297.15499999999997</v>
          </cell>
        </row>
        <row r="42">
          <cell r="O42">
            <v>43.511000000000003</v>
          </cell>
          <cell r="P42">
            <v>46.472999999999999</v>
          </cell>
          <cell r="Q42">
            <v>32.524000000000001</v>
          </cell>
          <cell r="R42">
            <v>37.75</v>
          </cell>
        </row>
        <row r="43">
          <cell r="O43">
            <v>209.99119193663668</v>
          </cell>
          <cell r="P43">
            <v>309.15860094686076</v>
          </cell>
          <cell r="Q43">
            <v>342.58776956599684</v>
          </cell>
          <cell r="R43">
            <v>516.45876956599682</v>
          </cell>
        </row>
        <row r="45">
          <cell r="O45">
            <v>0</v>
          </cell>
          <cell r="P45">
            <v>0</v>
          </cell>
          <cell r="Q45">
            <v>0</v>
          </cell>
          <cell r="R45">
            <v>0</v>
          </cell>
        </row>
        <row r="46">
          <cell r="O46">
            <v>0</v>
          </cell>
          <cell r="P46">
            <v>0</v>
          </cell>
          <cell r="Q46">
            <v>0</v>
          </cell>
          <cell r="R46">
            <v>0</v>
          </cell>
        </row>
        <row r="47">
          <cell r="O47">
            <v>0</v>
          </cell>
          <cell r="P47">
            <v>0</v>
          </cell>
          <cell r="Q47">
            <v>0</v>
          </cell>
          <cell r="R47">
            <v>0</v>
          </cell>
        </row>
        <row r="50">
          <cell r="O50">
            <v>448.44149193663668</v>
          </cell>
          <cell r="P50">
            <v>583.99920094686081</v>
          </cell>
          <cell r="Q50">
            <v>610.35526956599688</v>
          </cell>
          <cell r="R50">
            <v>780.78976956599683</v>
          </cell>
        </row>
        <row r="53">
          <cell r="O53">
            <v>0</v>
          </cell>
          <cell r="P53">
            <v>0</v>
          </cell>
          <cell r="Q53">
            <v>0</v>
          </cell>
          <cell r="R53">
            <v>0</v>
          </cell>
        </row>
        <row r="54">
          <cell r="O54">
            <v>7.3849999999999998</v>
          </cell>
          <cell r="P54">
            <v>8.1189999999999998</v>
          </cell>
          <cell r="Q54">
            <v>25.414000000000001</v>
          </cell>
          <cell r="R54">
            <v>30.311</v>
          </cell>
        </row>
        <row r="55">
          <cell r="O55">
            <v>0</v>
          </cell>
          <cell r="P55">
            <v>0</v>
          </cell>
          <cell r="Q55">
            <v>0</v>
          </cell>
          <cell r="R55">
            <v>0</v>
          </cell>
        </row>
        <row r="56">
          <cell r="O56">
            <v>0</v>
          </cell>
          <cell r="P56">
            <v>0</v>
          </cell>
          <cell r="Q56">
            <v>0</v>
          </cell>
          <cell r="R56">
            <v>0</v>
          </cell>
        </row>
        <row r="57">
          <cell r="O57">
            <v>107.54300000000001</v>
          </cell>
          <cell r="P57">
            <v>107.155</v>
          </cell>
          <cell r="Q57">
            <v>140.71299999999999</v>
          </cell>
          <cell r="R57">
            <v>322.51</v>
          </cell>
        </row>
        <row r="58">
          <cell r="O58">
            <v>0</v>
          </cell>
          <cell r="P58">
            <v>0</v>
          </cell>
          <cell r="Q58">
            <v>0</v>
          </cell>
          <cell r="R58">
            <v>0</v>
          </cell>
        </row>
        <row r="59">
          <cell r="O59">
            <v>11.046287899978912</v>
          </cell>
          <cell r="P59">
            <v>13.11518086653772</v>
          </cell>
          <cell r="Q59">
            <v>11.01234948567379</v>
          </cell>
          <cell r="R59">
            <v>11.01234948567379</v>
          </cell>
        </row>
        <row r="60">
          <cell r="O60">
            <v>0</v>
          </cell>
          <cell r="P60">
            <v>0</v>
          </cell>
          <cell r="Q60">
            <v>0</v>
          </cell>
          <cell r="R60">
            <v>0</v>
          </cell>
        </row>
        <row r="61">
          <cell r="C61">
            <v>0</v>
          </cell>
          <cell r="D61">
            <v>0</v>
          </cell>
          <cell r="E61">
            <v>0</v>
          </cell>
          <cell r="F61">
            <v>0</v>
          </cell>
          <cell r="G61">
            <v>0</v>
          </cell>
          <cell r="H61">
            <v>0</v>
          </cell>
          <cell r="I61">
            <v>0</v>
          </cell>
          <cell r="J61">
            <v>52.584850144986802</v>
          </cell>
          <cell r="K61">
            <v>125.5285019754366</v>
          </cell>
          <cell r="L61">
            <v>133.92281883761169</v>
          </cell>
          <cell r="M61">
            <v>78.249975073504416</v>
          </cell>
          <cell r="N61">
            <v>130.30650233819992</v>
          </cell>
          <cell r="O61">
            <v>125.97428789997892</v>
          </cell>
          <cell r="P61">
            <v>128.38918086653771</v>
          </cell>
          <cell r="Q61">
            <v>177.13934948567379</v>
          </cell>
          <cell r="R61">
            <v>363.83334948567375</v>
          </cell>
        </row>
        <row r="63">
          <cell r="O63">
            <v>0</v>
          </cell>
          <cell r="P63">
            <v>0</v>
          </cell>
          <cell r="Q63">
            <v>0</v>
          </cell>
          <cell r="R63">
            <v>0</v>
          </cell>
        </row>
        <row r="64">
          <cell r="O64">
            <v>0</v>
          </cell>
          <cell r="P64">
            <v>0</v>
          </cell>
          <cell r="Q64">
            <v>0</v>
          </cell>
          <cell r="R64">
            <v>0</v>
          </cell>
        </row>
        <row r="65">
          <cell r="O65">
            <v>0</v>
          </cell>
          <cell r="P65">
            <v>0</v>
          </cell>
          <cell r="Q65">
            <v>0</v>
          </cell>
          <cell r="R65">
            <v>0</v>
          </cell>
        </row>
        <row r="66">
          <cell r="O66">
            <v>0</v>
          </cell>
          <cell r="P66">
            <v>0</v>
          </cell>
          <cell r="Q66">
            <v>0</v>
          </cell>
          <cell r="R66">
            <v>0</v>
          </cell>
        </row>
        <row r="67">
          <cell r="O67">
            <v>0</v>
          </cell>
          <cell r="P67">
            <v>0</v>
          </cell>
          <cell r="Q67">
            <v>0</v>
          </cell>
          <cell r="R67">
            <v>0</v>
          </cell>
        </row>
        <row r="68">
          <cell r="O68">
            <v>1.2809040366577829</v>
          </cell>
          <cell r="P68">
            <v>1.7884200803230161</v>
          </cell>
          <cell r="Q68">
            <v>1.7884200803230161</v>
          </cell>
          <cell r="R68">
            <v>1.7884200803230161</v>
          </cell>
        </row>
        <row r="69">
          <cell r="O69">
            <v>0</v>
          </cell>
          <cell r="P69">
            <v>0</v>
          </cell>
          <cell r="Q69">
            <v>0</v>
          </cell>
          <cell r="R69">
            <v>0</v>
          </cell>
        </row>
        <row r="70">
          <cell r="O70">
            <v>1.2809040366577829</v>
          </cell>
          <cell r="P70">
            <v>1.7884200803230161</v>
          </cell>
          <cell r="Q70">
            <v>1.7884200803230161</v>
          </cell>
          <cell r="R70">
            <v>1.7884200803230161</v>
          </cell>
        </row>
        <row r="72">
          <cell r="O72">
            <v>212.346</v>
          </cell>
          <cell r="P72">
            <v>296.39</v>
          </cell>
          <cell r="Q72">
            <v>389.904</v>
          </cell>
          <cell r="R72">
            <v>479.30199999999996</v>
          </cell>
        </row>
        <row r="73">
          <cell r="O73">
            <v>0</v>
          </cell>
          <cell r="P73">
            <v>0</v>
          </cell>
          <cell r="Q73">
            <v>0</v>
          </cell>
          <cell r="R73">
            <v>0</v>
          </cell>
        </row>
        <row r="74">
          <cell r="O74">
            <v>0</v>
          </cell>
          <cell r="P74">
            <v>0</v>
          </cell>
          <cell r="Q74">
            <v>0</v>
          </cell>
          <cell r="R74">
            <v>0</v>
          </cell>
        </row>
        <row r="76">
          <cell r="O76">
            <v>186.863</v>
          </cell>
          <cell r="P76">
            <v>271.68299999999999</v>
          </cell>
          <cell r="Q76">
            <v>348.80700000000002</v>
          </cell>
          <cell r="R76">
            <v>410.64300000000003</v>
          </cell>
        </row>
        <row r="78">
          <cell r="O78">
            <v>554.09</v>
          </cell>
          <cell r="P78">
            <v>623.20000000000005</v>
          </cell>
          <cell r="Q78">
            <v>519.84699999999998</v>
          </cell>
          <cell r="R78">
            <v>541.27599999999995</v>
          </cell>
        </row>
        <row r="79">
          <cell r="O79">
            <v>0</v>
          </cell>
          <cell r="P79">
            <v>0</v>
          </cell>
          <cell r="Q79">
            <v>0</v>
          </cell>
          <cell r="R79">
            <v>0</v>
          </cell>
          <cell r="S79">
            <v>0</v>
          </cell>
        </row>
        <row r="80">
          <cell r="O80">
            <v>258.38670000000002</v>
          </cell>
          <cell r="P80">
            <v>194.08539999999999</v>
          </cell>
          <cell r="Q80">
            <v>129.51649999999998</v>
          </cell>
          <cell r="R80">
            <v>194.767</v>
          </cell>
        </row>
        <row r="81">
          <cell r="O81">
            <v>0</v>
          </cell>
          <cell r="P81">
            <v>0</v>
          </cell>
          <cell r="Q81">
            <v>0</v>
          </cell>
          <cell r="R81">
            <v>0</v>
          </cell>
        </row>
        <row r="83">
          <cell r="O83">
            <v>296.98420403665784</v>
          </cell>
          <cell r="P83">
            <v>430.90302008032307</v>
          </cell>
          <cell r="Q83">
            <v>392.11892008032305</v>
          </cell>
          <cell r="R83">
            <v>348.29742008032298</v>
          </cell>
        </row>
        <row r="84">
          <cell r="O84">
            <v>128.85048800000001</v>
          </cell>
          <cell r="P84">
            <v>125.57583199999999</v>
          </cell>
          <cell r="Q84">
            <v>113.71</v>
          </cell>
          <cell r="R84">
            <v>114.703</v>
          </cell>
        </row>
        <row r="85">
          <cell r="O85">
            <v>2.3048744994792556</v>
          </cell>
          <cell r="P85">
            <v>3.4314168038346988</v>
          </cell>
          <cell r="Q85">
            <v>3.4484119257789381</v>
          </cell>
          <cell r="R85">
            <v>3.036515349034663</v>
          </cell>
        </row>
        <row r="87">
          <cell r="C87">
            <v>0</v>
          </cell>
          <cell r="D87">
            <v>0</v>
          </cell>
          <cell r="E87">
            <v>0</v>
          </cell>
          <cell r="F87">
            <v>0</v>
          </cell>
          <cell r="G87">
            <v>0</v>
          </cell>
          <cell r="H87">
            <v>0</v>
          </cell>
          <cell r="I87">
            <v>0</v>
          </cell>
          <cell r="J87">
            <v>154.82770014498681</v>
          </cell>
          <cell r="K87">
            <v>162.85368954940719</v>
          </cell>
          <cell r="L87">
            <v>264.6086572894306</v>
          </cell>
          <cell r="M87">
            <v>305.53416352532327</v>
          </cell>
          <cell r="N87">
            <v>509.37245637485768</v>
          </cell>
          <cell r="O87">
            <v>448.44149193663674</v>
          </cell>
          <cell r="P87">
            <v>583.99920094686081</v>
          </cell>
          <cell r="Q87">
            <v>610.35526956599688</v>
          </cell>
          <cell r="R87">
            <v>780.78976956599672</v>
          </cell>
        </row>
        <row r="88">
          <cell r="O88">
            <v>-0.11961966862491794</v>
          </cell>
          <cell r="P88">
            <v>0.30228627691163312</v>
          </cell>
          <cell r="Q88">
            <v>4.5130316234001586E-2</v>
          </cell>
          <cell r="R88">
            <v>4.5130316234001586E-2</v>
          </cell>
        </row>
        <row r="89">
          <cell r="C89">
            <v>0</v>
          </cell>
          <cell r="D89">
            <v>0</v>
          </cell>
          <cell r="E89">
            <v>0</v>
          </cell>
          <cell r="F89">
            <v>0</v>
          </cell>
          <cell r="G89">
            <v>0</v>
          </cell>
          <cell r="H89">
            <v>0</v>
          </cell>
          <cell r="I89">
            <v>0</v>
          </cell>
          <cell r="J89">
            <v>154.82770014498681</v>
          </cell>
          <cell r="K89">
            <v>158.840694847197</v>
          </cell>
          <cell r="L89">
            <v>213.73117341941889</v>
          </cell>
          <cell r="M89">
            <v>285.0714104073769</v>
          </cell>
          <cell r="N89">
            <v>407.45330995009044</v>
          </cell>
          <cell r="O89">
            <v>478.90697415574721</v>
          </cell>
          <cell r="P89">
            <v>516.2203464417488</v>
          </cell>
          <cell r="Q89">
            <v>597.17723525642884</v>
          </cell>
          <cell r="R89">
            <v>597.17723525642884</v>
          </cell>
        </row>
        <row r="95">
          <cell r="O95">
            <v>3.0711455215573751</v>
          </cell>
          <cell r="P95">
            <v>3.5446591032657944</v>
          </cell>
          <cell r="Q95">
            <v>3.1736829644417996</v>
          </cell>
          <cell r="R95">
            <v>3.1736829644417996</v>
          </cell>
        </row>
        <row r="96">
          <cell r="O96">
            <v>6.9815952990131294</v>
          </cell>
          <cell r="P96">
            <v>8.4223508336778288</v>
          </cell>
          <cell r="Q96">
            <v>7.7180515283706885</v>
          </cell>
          <cell r="R96">
            <v>7.7180515283706885</v>
          </cell>
        </row>
        <row r="97">
          <cell r="C97" t="str">
            <v>--</v>
          </cell>
          <cell r="D97" t="str">
            <v xml:space="preserve">--  </v>
          </cell>
          <cell r="E97" t="str">
            <v xml:space="preserve">--  </v>
          </cell>
          <cell r="F97" t="str">
            <v xml:space="preserve">--  </v>
          </cell>
          <cell r="G97" t="str">
            <v xml:space="preserve">--  </v>
          </cell>
          <cell r="H97" t="str">
            <v xml:space="preserve">--  </v>
          </cell>
          <cell r="I97" t="str">
            <v xml:space="preserve">--  </v>
          </cell>
          <cell r="J97">
            <v>5.1859063965809922</v>
          </cell>
          <cell r="K97">
            <v>3.105422908353503</v>
          </cell>
          <cell r="L97">
            <v>3.9681745729381546</v>
          </cell>
          <cell r="M97">
            <v>3.0231657673892665</v>
          </cell>
          <cell r="N97">
            <v>2.6941392890636089</v>
          </cell>
          <cell r="O97">
            <v>2.2474561909483</v>
          </cell>
          <cell r="P97">
            <v>2.8578414306585214</v>
          </cell>
          <cell r="Q97">
            <v>2.7422001256523814</v>
          </cell>
          <cell r="R97">
            <v>2.7422001256523814</v>
          </cell>
        </row>
        <row r="98">
          <cell r="O98">
            <v>5.7336048729351665</v>
          </cell>
          <cell r="P98">
            <v>4.9374082800403905</v>
          </cell>
          <cell r="Q98">
            <v>4.1763454381129339</v>
          </cell>
          <cell r="R98">
            <v>4.1763454381129339</v>
          </cell>
        </row>
        <row r="99">
          <cell r="C99" t="str">
            <v>--</v>
          </cell>
          <cell r="D99" t="str">
            <v xml:space="preserve">--  </v>
          </cell>
          <cell r="E99" t="str">
            <v xml:space="preserve">--  </v>
          </cell>
          <cell r="F99" t="str">
            <v xml:space="preserve">--  </v>
          </cell>
          <cell r="G99" t="str">
            <v xml:space="preserve">--  </v>
          </cell>
          <cell r="H99" t="str">
            <v xml:space="preserve">--  </v>
          </cell>
          <cell r="I99" t="str">
            <v xml:space="preserve">--  </v>
          </cell>
          <cell r="J99">
            <v>5.7026695765341016</v>
          </cell>
          <cell r="K99">
            <v>2.8803849061066158</v>
          </cell>
          <cell r="L99">
            <v>3.532689050340057</v>
          </cell>
          <cell r="M99">
            <v>3.7655253558228621</v>
          </cell>
          <cell r="N99">
            <v>4.2923201511023992</v>
          </cell>
          <cell r="O99">
            <v>3.0623992850233517</v>
          </cell>
          <cell r="P99">
            <v>2.8255891076300372</v>
          </cell>
          <cell r="Q99">
            <v>2.2830046584365999</v>
          </cell>
          <cell r="R99">
            <v>2.2830046584365999</v>
          </cell>
        </row>
        <row r="100">
          <cell r="O100">
            <v>22.854523699953976</v>
          </cell>
          <cell r="P100">
            <v>13.992502503934753</v>
          </cell>
          <cell r="Q100">
            <v>7.8824158883703195</v>
          </cell>
          <cell r="R100">
            <v>7.8824158883703195</v>
          </cell>
        </row>
        <row r="101">
          <cell r="B101" t="str">
            <v xml:space="preserve"> Total other assets turns</v>
          </cell>
          <cell r="C101" t="str">
            <v>--</v>
          </cell>
          <cell r="D101" t="str">
            <v xml:space="preserve">--  </v>
          </cell>
          <cell r="E101" t="str">
            <v xml:space="preserve">--  </v>
          </cell>
          <cell r="F101" t="str">
            <v xml:space="preserve">--  </v>
          </cell>
          <cell r="G101" t="str">
            <v xml:space="preserve">--  </v>
          </cell>
          <cell r="H101" t="str">
            <v xml:space="preserve">--  </v>
          </cell>
          <cell r="I101" t="str">
            <v xml:space="preserve">--  </v>
          </cell>
          <cell r="J101" t="str">
            <v xml:space="preserve">--  </v>
          </cell>
          <cell r="K101" t="str">
            <v xml:space="preserve">--  </v>
          </cell>
          <cell r="L101" t="str">
            <v xml:space="preserve">--  </v>
          </cell>
          <cell r="M101" t="str">
            <v xml:space="preserve">--  </v>
          </cell>
          <cell r="N101" t="str">
            <v xml:space="preserve">--  </v>
          </cell>
          <cell r="O101" t="str">
            <v xml:space="preserve">--  </v>
          </cell>
          <cell r="P101" t="str">
            <v xml:space="preserve">--  </v>
          </cell>
          <cell r="Q101" t="str">
            <v xml:space="preserve">--  </v>
          </cell>
          <cell r="R101" t="str">
            <v xml:space="preserve">--  </v>
          </cell>
        </row>
        <row r="102">
          <cell r="C102" t="str">
            <v>--</v>
          </cell>
          <cell r="D102" t="str">
            <v xml:space="preserve">--  </v>
          </cell>
          <cell r="E102" t="str">
            <v xml:space="preserve">--  </v>
          </cell>
          <cell r="F102" t="str">
            <v xml:space="preserve">--  </v>
          </cell>
          <cell r="G102" t="str">
            <v xml:space="preserve">--  </v>
          </cell>
          <cell r="H102" t="str">
            <v xml:space="preserve">--  </v>
          </cell>
          <cell r="I102" t="str">
            <v xml:space="preserve">--  </v>
          </cell>
          <cell r="J102">
            <v>1.3580063503049324</v>
          </cell>
          <cell r="K102">
            <v>1.4943462708239887</v>
          </cell>
          <cell r="L102">
            <v>1.8689037897908622</v>
          </cell>
          <cell r="M102">
            <v>1.6768780822913059</v>
          </cell>
          <cell r="N102">
            <v>1.6553086783921716</v>
          </cell>
          <cell r="O102">
            <v>1.2962559192092946</v>
          </cell>
          <cell r="P102">
            <v>1.4208118782136456</v>
          </cell>
          <cell r="Q102">
            <v>1.2458110525270412</v>
          </cell>
          <cell r="R102">
            <v>1.2458110525270412</v>
          </cell>
        </row>
        <row r="105">
          <cell r="O105">
            <v>0.14454281322540216</v>
          </cell>
          <cell r="P105">
            <v>0.14910713359772479</v>
          </cell>
          <cell r="Q105">
            <v>0.16677526277977231</v>
          </cell>
          <cell r="R105">
            <v>0.16677526277977231</v>
          </cell>
        </row>
        <row r="106">
          <cell r="O106">
            <v>1.2962559192092946</v>
          </cell>
          <cell r="P106">
            <v>1.4208118782136456</v>
          </cell>
          <cell r="Q106">
            <v>1.2458110525270412</v>
          </cell>
          <cell r="R106">
            <v>1.2458110525270412</v>
          </cell>
        </row>
        <row r="107">
          <cell r="O107">
            <v>0.18736447722259106</v>
          </cell>
          <cell r="P107">
            <v>0.21185318654203633</v>
          </cell>
          <cell r="Q107">
            <v>0.20777046565914201</v>
          </cell>
          <cell r="R107">
            <v>0.20777046565914201</v>
          </cell>
        </row>
        <row r="108">
          <cell r="O108">
            <v>-0.13247454235994119</v>
          </cell>
          <cell r="P108">
            <v>2.4488709319445273E-2</v>
          </cell>
          <cell r="Q108">
            <v>-4.0827208828943251E-3</v>
          </cell>
          <cell r="R108">
            <v>-4.0827208828943251E-3</v>
          </cell>
        </row>
        <row r="109">
          <cell r="O109">
            <v>-0.19912506017263171</v>
          </cell>
          <cell r="P109" t="str">
            <v>NM</v>
          </cell>
          <cell r="Q109">
            <v>0.10853581848037203</v>
          </cell>
          <cell r="R109">
            <v>0.10853581848037203</v>
          </cell>
        </row>
        <row r="112">
          <cell r="O112">
            <v>-0.41419130953081551</v>
          </cell>
          <cell r="P112">
            <v>0.13070091877849621</v>
          </cell>
          <cell r="Q112">
            <v>-1.9271463174731274E-2</v>
          </cell>
          <cell r="R112">
            <v>0</v>
          </cell>
        </row>
        <row r="113">
          <cell r="O113">
            <v>8.2461520926468301E-2</v>
          </cell>
          <cell r="P113">
            <v>3.5112844228815332E-2</v>
          </cell>
          <cell r="Q113">
            <v>-7.2915051566889932E-2</v>
          </cell>
          <cell r="R113">
            <v>-8.4389232650254442E-2</v>
          </cell>
        </row>
        <row r="114">
          <cell r="O114" t="str">
            <v xml:space="preserve">  --</v>
          </cell>
          <cell r="P114" t="str">
            <v xml:space="preserve">  --</v>
          </cell>
          <cell r="Q114" t="str">
            <v xml:space="preserve">  --</v>
          </cell>
          <cell r="R114" t="str">
            <v xml:space="preserve">  --</v>
          </cell>
        </row>
        <row r="118">
          <cell r="O118">
            <v>1995</v>
          </cell>
          <cell r="P118">
            <v>1996</v>
          </cell>
          <cell r="Q118">
            <v>1997</v>
          </cell>
        </row>
        <row r="119">
          <cell r="O119">
            <v>3.0711455215573751</v>
          </cell>
          <cell r="P119">
            <v>3.5446591032657944</v>
          </cell>
          <cell r="Q119">
            <v>3.1736829644417996</v>
          </cell>
        </row>
        <row r="120">
          <cell r="O120">
            <v>118.84816184643338</v>
          </cell>
          <cell r="P120">
            <v>102.97182024181541</v>
          </cell>
          <cell r="Q120">
            <v>115.00833702971894</v>
          </cell>
        </row>
        <row r="121">
          <cell r="O121">
            <v>2.6906289538054939</v>
          </cell>
          <cell r="P121">
            <v>3.1828234807771807</v>
          </cell>
          <cell r="Q121">
            <v>2.7593976772292739</v>
          </cell>
        </row>
        <row r="122">
          <cell r="O122">
            <v>135.65601436190667</v>
          </cell>
          <cell r="P122">
            <v>114.67805305711595</v>
          </cell>
          <cell r="Q122">
            <v>132.27524362001293</v>
          </cell>
        </row>
        <row r="123">
          <cell r="O123">
            <v>9.6174626145682591</v>
          </cell>
          <cell r="P123">
            <v>8.9400551550631366</v>
          </cell>
          <cell r="Q123">
            <v>6.7013844273962935</v>
          </cell>
        </row>
        <row r="124">
          <cell r="O124">
            <v>37.95179816421728</v>
          </cell>
          <cell r="P124">
            <v>40.827488608197775</v>
          </cell>
          <cell r="Q124">
            <v>54.466357504849846</v>
          </cell>
        </row>
        <row r="125">
          <cell r="O125">
            <v>216.55237804412278</v>
          </cell>
          <cell r="P125">
            <v>176.8223846907336</v>
          </cell>
          <cell r="Q125">
            <v>192.81722314488204</v>
          </cell>
        </row>
      </sheetData>
      <sheetData sheetId="3" refreshError="1">
        <row r="1">
          <cell r="O1">
            <v>-2.7708421259500061E-2</v>
          </cell>
          <cell r="P1">
            <v>-2.1327912392358324E-2</v>
          </cell>
          <cell r="Q1">
            <v>-1.5210290737529737E-2</v>
          </cell>
        </row>
        <row r="2">
          <cell r="P2" t="str">
            <v>NOPAT Statement</v>
          </cell>
        </row>
        <row r="3">
          <cell r="O3" t="str">
            <v>P-2</v>
          </cell>
          <cell r="P3" t="str">
            <v>P-1</v>
          </cell>
          <cell r="Q3" t="str">
            <v>Present (P)</v>
          </cell>
        </row>
        <row r="4">
          <cell r="O4">
            <v>1995</v>
          </cell>
          <cell r="P4">
            <v>1996</v>
          </cell>
          <cell r="Q4">
            <v>1997</v>
          </cell>
        </row>
        <row r="5">
          <cell r="C5">
            <v>0</v>
          </cell>
          <cell r="D5">
            <v>0</v>
          </cell>
          <cell r="E5">
            <v>0</v>
          </cell>
          <cell r="F5">
            <v>0</v>
          </cell>
          <cell r="G5">
            <v>0</v>
          </cell>
          <cell r="H5">
            <v>0</v>
          </cell>
          <cell r="I5">
            <v>0</v>
          </cell>
          <cell r="J5">
            <v>210.25700000000001</v>
          </cell>
          <cell r="K5">
            <v>237.363</v>
          </cell>
          <cell r="L5">
            <v>399.44299999999998</v>
          </cell>
          <cell r="M5">
            <v>478.03</v>
          </cell>
          <cell r="N5">
            <v>674.46100000000001</v>
          </cell>
          <cell r="O5">
            <v>620.78599999999994</v>
          </cell>
          <cell r="P5">
            <v>733.452</v>
          </cell>
          <cell r="Q5">
            <v>743.97</v>
          </cell>
        </row>
        <row r="6">
          <cell r="C6">
            <v>0</v>
          </cell>
          <cell r="D6">
            <v>0</v>
          </cell>
          <cell r="E6">
            <v>0</v>
          </cell>
          <cell r="F6">
            <v>0</v>
          </cell>
          <cell r="G6">
            <v>0</v>
          </cell>
          <cell r="H6">
            <v>0</v>
          </cell>
          <cell r="I6">
            <v>0</v>
          </cell>
          <cell r="J6">
            <v>0</v>
          </cell>
          <cell r="K6">
            <v>0</v>
          </cell>
          <cell r="L6">
            <v>0</v>
          </cell>
          <cell r="M6">
            <v>0</v>
          </cell>
          <cell r="N6">
            <v>0</v>
          </cell>
          <cell r="O6">
            <v>0</v>
          </cell>
          <cell r="P6">
            <v>0</v>
          </cell>
          <cell r="Q6">
            <v>0</v>
          </cell>
        </row>
        <row r="7">
          <cell r="C7">
            <v>0</v>
          </cell>
          <cell r="D7">
            <v>0</v>
          </cell>
          <cell r="E7">
            <v>0</v>
          </cell>
          <cell r="F7">
            <v>0</v>
          </cell>
          <cell r="G7">
            <v>0</v>
          </cell>
          <cell r="H7">
            <v>0</v>
          </cell>
          <cell r="I7">
            <v>0</v>
          </cell>
          <cell r="J7">
            <v>0</v>
          </cell>
          <cell r="K7">
            <v>0</v>
          </cell>
          <cell r="L7">
            <v>0</v>
          </cell>
          <cell r="M7">
            <v>0</v>
          </cell>
          <cell r="N7">
            <v>0</v>
          </cell>
          <cell r="O7">
            <v>0</v>
          </cell>
          <cell r="P7">
            <v>0</v>
          </cell>
          <cell r="Q7">
            <v>0</v>
          </cell>
        </row>
        <row r="8">
          <cell r="C8">
            <v>0</v>
          </cell>
          <cell r="D8">
            <v>0</v>
          </cell>
          <cell r="E8">
            <v>0</v>
          </cell>
          <cell r="F8">
            <v>0</v>
          </cell>
          <cell r="G8">
            <v>0</v>
          </cell>
          <cell r="H8">
            <v>0</v>
          </cell>
          <cell r="I8">
            <v>0</v>
          </cell>
          <cell r="J8">
            <v>210.25700000000001</v>
          </cell>
          <cell r="K8">
            <v>237.363</v>
          </cell>
          <cell r="L8">
            <v>399.44299999999998</v>
          </cell>
          <cell r="M8">
            <v>478.03</v>
          </cell>
          <cell r="N8">
            <v>674.46100000000001</v>
          </cell>
          <cell r="O8">
            <v>620.78599999999994</v>
          </cell>
          <cell r="P8">
            <v>733.452</v>
          </cell>
          <cell r="Q8">
            <v>743.97</v>
          </cell>
        </row>
        <row r="9">
          <cell r="C9">
            <v>0</v>
          </cell>
          <cell r="D9">
            <v>0</v>
          </cell>
          <cell r="E9">
            <v>0</v>
          </cell>
          <cell r="F9">
            <v>0</v>
          </cell>
          <cell r="G9">
            <v>0</v>
          </cell>
          <cell r="H9">
            <v>0</v>
          </cell>
          <cell r="I9">
            <v>0</v>
          </cell>
          <cell r="J9">
            <v>90.438999999999993</v>
          </cell>
          <cell r="K9">
            <v>91.069000000000003</v>
          </cell>
          <cell r="L9">
            <v>126.80500000000001</v>
          </cell>
          <cell r="M9">
            <v>170.83199999999999</v>
          </cell>
          <cell r="N9">
            <v>278.57299999999998</v>
          </cell>
          <cell r="O9">
            <v>239.244</v>
          </cell>
          <cell r="P9">
            <v>277.173</v>
          </cell>
          <cell r="Q9">
            <v>265.988</v>
          </cell>
        </row>
        <row r="10">
          <cell r="C10">
            <v>0</v>
          </cell>
          <cell r="D10">
            <v>0</v>
          </cell>
          <cell r="E10">
            <v>0</v>
          </cell>
          <cell r="F10">
            <v>0</v>
          </cell>
          <cell r="G10">
            <v>0</v>
          </cell>
          <cell r="H10">
            <v>0</v>
          </cell>
          <cell r="I10">
            <v>0</v>
          </cell>
          <cell r="J10">
            <v>119.81800000000001</v>
          </cell>
          <cell r="K10">
            <v>146.29399999999998</v>
          </cell>
          <cell r="L10">
            <v>272.63799999999998</v>
          </cell>
          <cell r="M10">
            <v>307.19799999999998</v>
          </cell>
          <cell r="N10">
            <v>395.88800000000003</v>
          </cell>
          <cell r="O10">
            <v>381.54199999999992</v>
          </cell>
          <cell r="P10">
            <v>456.279</v>
          </cell>
          <cell r="Q10">
            <v>477.98200000000003</v>
          </cell>
        </row>
        <row r="12">
          <cell r="C12">
            <v>0</v>
          </cell>
          <cell r="D12">
            <v>0</v>
          </cell>
          <cell r="E12">
            <v>0</v>
          </cell>
          <cell r="F12">
            <v>0</v>
          </cell>
          <cell r="G12">
            <v>0</v>
          </cell>
          <cell r="H12">
            <v>0</v>
          </cell>
          <cell r="I12">
            <v>0</v>
          </cell>
          <cell r="J12">
            <v>45.177</v>
          </cell>
          <cell r="K12">
            <v>50.475000000000001</v>
          </cell>
          <cell r="L12">
            <v>66.191999999999993</v>
          </cell>
          <cell r="M12">
            <v>57.526000000000003</v>
          </cell>
          <cell r="N12">
            <v>83.870999999999995</v>
          </cell>
          <cell r="O12">
            <v>88.551000000000002</v>
          </cell>
          <cell r="P12">
            <v>108.46899999999999</v>
          </cell>
          <cell r="Q12">
            <v>98.38</v>
          </cell>
        </row>
        <row r="13">
          <cell r="O13">
            <v>28.491</v>
          </cell>
          <cell r="P13">
            <v>25.701000000000001</v>
          </cell>
          <cell r="Q13">
            <v>31.074000000000002</v>
          </cell>
        </row>
        <row r="14">
          <cell r="C14">
            <v>0</v>
          </cell>
          <cell r="D14">
            <v>0</v>
          </cell>
          <cell r="E14">
            <v>0</v>
          </cell>
          <cell r="F14">
            <v>0</v>
          </cell>
          <cell r="G14">
            <v>0</v>
          </cell>
          <cell r="H14">
            <v>0</v>
          </cell>
          <cell r="I14">
            <v>0</v>
          </cell>
          <cell r="J14">
            <v>36.667000000000002</v>
          </cell>
          <cell r="K14">
            <v>41.838999999999999</v>
          </cell>
          <cell r="L14">
            <v>89.331000000000003</v>
          </cell>
          <cell r="M14">
            <v>82.911000000000001</v>
          </cell>
          <cell r="N14">
            <v>90.765999999999991</v>
          </cell>
          <cell r="O14">
            <v>125.15899999999999</v>
          </cell>
          <cell r="P14">
            <v>152.27599999999998</v>
          </cell>
          <cell r="Q14">
            <v>157.09100000000001</v>
          </cell>
        </row>
        <row r="15">
          <cell r="O15">
            <v>481.44499999999999</v>
          </cell>
          <cell r="P15">
            <v>563.61900000000003</v>
          </cell>
          <cell r="Q15">
            <v>552.53300000000002</v>
          </cell>
        </row>
        <row r="17">
          <cell r="C17">
            <v>0</v>
          </cell>
          <cell r="D17">
            <v>0</v>
          </cell>
          <cell r="E17">
            <v>0</v>
          </cell>
          <cell r="F17">
            <v>0</v>
          </cell>
          <cell r="G17">
            <v>0</v>
          </cell>
          <cell r="H17">
            <v>0</v>
          </cell>
          <cell r="I17">
            <v>0</v>
          </cell>
          <cell r="J17">
            <v>30.064000000000021</v>
          </cell>
          <cell r="K17">
            <v>44.619</v>
          </cell>
          <cell r="L17">
            <v>105.30799999999994</v>
          </cell>
          <cell r="M17">
            <v>150.23799999999994</v>
          </cell>
          <cell r="N17">
            <v>197.90600000000006</v>
          </cell>
          <cell r="O17">
            <v>139.34099999999995</v>
          </cell>
          <cell r="P17">
            <v>169.83299999999997</v>
          </cell>
          <cell r="Q17">
            <v>191.43700000000001</v>
          </cell>
        </row>
        <row r="18">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row>
        <row r="19">
          <cell r="O19">
            <v>139.34099999999995</v>
          </cell>
          <cell r="P19">
            <v>169.83299999999997</v>
          </cell>
          <cell r="Q19">
            <v>191.43700000000001</v>
          </cell>
        </row>
        <row r="21">
          <cell r="O21">
            <v>0</v>
          </cell>
          <cell r="P21">
            <v>0</v>
          </cell>
          <cell r="Q21">
            <v>0</v>
          </cell>
        </row>
        <row r="22">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row>
        <row r="23">
          <cell r="C23">
            <v>0</v>
          </cell>
          <cell r="D23">
            <v>0</v>
          </cell>
          <cell r="E23">
            <v>0</v>
          </cell>
          <cell r="F23">
            <v>0</v>
          </cell>
          <cell r="G23">
            <v>0</v>
          </cell>
          <cell r="H23">
            <v>0</v>
          </cell>
          <cell r="I23">
            <v>0</v>
          </cell>
          <cell r="J23">
            <v>1.1316410427298416</v>
          </cell>
          <cell r="K23">
            <v>1.1286849690759182</v>
          </cell>
          <cell r="L23">
            <v>1.8672821040415268</v>
          </cell>
          <cell r="M23">
            <v>1.5781964092550558</v>
          </cell>
          <cell r="N23">
            <v>1.3678098471102524</v>
          </cell>
          <cell r="O23">
            <v>0.86381971377835087</v>
          </cell>
          <cell r="P23">
            <v>1.0479029512363638</v>
          </cell>
          <cell r="Q23">
            <v>0.78297804843140639</v>
          </cell>
        </row>
        <row r="24">
          <cell r="O24">
            <v>0.86381971377835087</v>
          </cell>
          <cell r="P24">
            <v>1.0479029512363638</v>
          </cell>
          <cell r="Q24">
            <v>0.78297804843140639</v>
          </cell>
        </row>
        <row r="26">
          <cell r="C26">
            <v>0</v>
          </cell>
          <cell r="D26">
            <v>0</v>
          </cell>
          <cell r="E26">
            <v>0</v>
          </cell>
          <cell r="F26">
            <v>0</v>
          </cell>
          <cell r="G26">
            <v>0</v>
          </cell>
          <cell r="H26">
            <v>0</v>
          </cell>
          <cell r="I26">
            <v>0</v>
          </cell>
          <cell r="J26">
            <v>31.195641042729864</v>
          </cell>
          <cell r="K26">
            <v>45.74768496907592</v>
          </cell>
          <cell r="L26">
            <v>107.17528210404146</v>
          </cell>
          <cell r="M26">
            <v>151.81619640925499</v>
          </cell>
          <cell r="N26">
            <v>199.27380984711033</v>
          </cell>
          <cell r="O26">
            <v>140.20481971377831</v>
          </cell>
          <cell r="P26">
            <v>170.88090295123632</v>
          </cell>
          <cell r="Q26">
            <v>192.21997804843141</v>
          </cell>
        </row>
        <row r="28">
          <cell r="O28">
            <v>0</v>
          </cell>
          <cell r="P28">
            <v>0</v>
          </cell>
          <cell r="Q28">
            <v>0</v>
          </cell>
        </row>
        <row r="29">
          <cell r="O29">
            <v>0</v>
          </cell>
          <cell r="P29">
            <v>0</v>
          </cell>
          <cell r="Q29">
            <v>0</v>
          </cell>
        </row>
        <row r="30">
          <cell r="C30">
            <v>0</v>
          </cell>
          <cell r="D30">
            <v>0</v>
          </cell>
          <cell r="E30">
            <v>0</v>
          </cell>
          <cell r="F30">
            <v>0</v>
          </cell>
          <cell r="G30">
            <v>0</v>
          </cell>
          <cell r="H30">
            <v>0</v>
          </cell>
          <cell r="I30">
            <v>0</v>
          </cell>
          <cell r="J30">
            <v>0</v>
          </cell>
          <cell r="K30">
            <v>0</v>
          </cell>
          <cell r="L30">
            <v>0</v>
          </cell>
          <cell r="M30">
            <v>0</v>
          </cell>
          <cell r="N30">
            <v>0</v>
          </cell>
          <cell r="O30">
            <v>0</v>
          </cell>
          <cell r="P30">
            <v>0</v>
          </cell>
          <cell r="Q30">
            <v>0</v>
          </cell>
        </row>
        <row r="32">
          <cell r="C32">
            <v>0</v>
          </cell>
          <cell r="D32">
            <v>0</v>
          </cell>
          <cell r="E32">
            <v>0</v>
          </cell>
          <cell r="F32">
            <v>0</v>
          </cell>
          <cell r="G32">
            <v>0</v>
          </cell>
          <cell r="H32">
            <v>0</v>
          </cell>
          <cell r="I32">
            <v>0</v>
          </cell>
          <cell r="J32">
            <v>31.195641042729864</v>
          </cell>
          <cell r="K32">
            <v>45.74768496907592</v>
          </cell>
          <cell r="L32">
            <v>107.17528210404146</v>
          </cell>
          <cell r="M32">
            <v>151.81619640925499</v>
          </cell>
          <cell r="N32">
            <v>199.27380984711033</v>
          </cell>
          <cell r="O32">
            <v>140.20481971377831</v>
          </cell>
          <cell r="P32">
            <v>170.88090295123632</v>
          </cell>
          <cell r="Q32">
            <v>192.21997804843141</v>
          </cell>
        </row>
        <row r="34">
          <cell r="C34">
            <v>0</v>
          </cell>
          <cell r="D34">
            <v>0</v>
          </cell>
          <cell r="E34">
            <v>0</v>
          </cell>
          <cell r="F34">
            <v>0</v>
          </cell>
          <cell r="G34">
            <v>0</v>
          </cell>
          <cell r="H34">
            <v>0</v>
          </cell>
          <cell r="I34">
            <v>0</v>
          </cell>
          <cell r="J34">
            <v>11.965</v>
          </cell>
          <cell r="K34">
            <v>18.606999999999999</v>
          </cell>
          <cell r="L34">
            <v>42.295999999999999</v>
          </cell>
          <cell r="M34">
            <v>68.566000000000003</v>
          </cell>
          <cell r="N34">
            <v>74.313000000000002</v>
          </cell>
          <cell r="O34">
            <v>52.116</v>
          </cell>
          <cell r="P34">
            <v>66.385999999999996</v>
          </cell>
          <cell r="Q34">
            <v>75.378</v>
          </cell>
        </row>
        <row r="35">
          <cell r="O35">
            <v>4.2401581056063664</v>
          </cell>
          <cell r="P35">
            <v>0.38628535327516383</v>
          </cell>
          <cell r="Q35">
            <v>-3.499737171075838</v>
          </cell>
        </row>
        <row r="36">
          <cell r="O36">
            <v>-6.1924740681384902</v>
          </cell>
          <cell r="P36">
            <v>-5.6315580440665283</v>
          </cell>
          <cell r="Q36">
            <v>-4.0116517248677246</v>
          </cell>
        </row>
        <row r="37">
          <cell r="O37">
            <v>0.31098082536592347</v>
          </cell>
          <cell r="P37">
            <v>0.37725029050925019</v>
          </cell>
          <cell r="Q37">
            <v>0.27757469410776042</v>
          </cell>
        </row>
        <row r="38">
          <cell r="O38">
            <v>0</v>
          </cell>
          <cell r="P38">
            <v>0</v>
          </cell>
          <cell r="Q38">
            <v>0</v>
          </cell>
        </row>
        <row r="39">
          <cell r="C39">
            <v>0</v>
          </cell>
          <cell r="D39">
            <v>0</v>
          </cell>
          <cell r="E39">
            <v>0</v>
          </cell>
          <cell r="F39">
            <v>0</v>
          </cell>
          <cell r="G39">
            <v>0</v>
          </cell>
          <cell r="H39">
            <v>0</v>
          </cell>
          <cell r="I39">
            <v>0</v>
          </cell>
          <cell r="J39">
            <v>11.675921079712916</v>
          </cell>
          <cell r="K39">
            <v>17.429964457677489</v>
          </cell>
          <cell r="L39">
            <v>42.333635897203401</v>
          </cell>
          <cell r="M39">
            <v>59.774837622869477</v>
          </cell>
          <cell r="N39">
            <v>68.954342667015766</v>
          </cell>
          <cell r="O39">
            <v>50.474664862833805</v>
          </cell>
          <cell r="P39">
            <v>61.517977599717888</v>
          </cell>
          <cell r="Q39">
            <v>68.144185798164202</v>
          </cell>
        </row>
        <row r="41">
          <cell r="C41">
            <v>0</v>
          </cell>
          <cell r="D41">
            <v>0</v>
          </cell>
          <cell r="E41">
            <v>0</v>
          </cell>
          <cell r="F41">
            <v>0</v>
          </cell>
          <cell r="G41">
            <v>0</v>
          </cell>
          <cell r="H41">
            <v>0</v>
          </cell>
          <cell r="I41">
            <v>0</v>
          </cell>
          <cell r="J41">
            <v>19.519719963016946</v>
          </cell>
          <cell r="K41">
            <v>28.317720511398431</v>
          </cell>
          <cell r="L41">
            <v>64.84164620683805</v>
          </cell>
          <cell r="M41">
            <v>92.041358786385501</v>
          </cell>
          <cell r="N41">
            <v>130.31946718009456</v>
          </cell>
          <cell r="O41">
            <v>89.730154850944501</v>
          </cell>
          <cell r="P41">
            <v>109.36292535151844</v>
          </cell>
          <cell r="Q41">
            <v>124.07579225026721</v>
          </cell>
        </row>
        <row r="43">
          <cell r="O43">
            <v>92.647999999999954</v>
          </cell>
          <cell r="P43">
            <v>118.01699999999997</v>
          </cell>
          <cell r="Q43">
            <v>137.24700000000001</v>
          </cell>
        </row>
        <row r="44">
          <cell r="O44">
            <v>0</v>
          </cell>
          <cell r="P44">
            <v>0</v>
          </cell>
          <cell r="Q44">
            <v>0</v>
          </cell>
        </row>
        <row r="45">
          <cell r="O45">
            <v>0.86381971377835087</v>
          </cell>
          <cell r="P45">
            <v>1.0479029512363638</v>
          </cell>
          <cell r="Q45">
            <v>0.78297804843140639</v>
          </cell>
        </row>
        <row r="46">
          <cell r="O46">
            <v>93.511819713778308</v>
          </cell>
          <cell r="P46">
            <v>119.06490295123633</v>
          </cell>
          <cell r="Q46">
            <v>138.02997804843142</v>
          </cell>
        </row>
        <row r="48">
          <cell r="C48">
            <v>0</v>
          </cell>
          <cell r="D48">
            <v>0</v>
          </cell>
          <cell r="E48">
            <v>0</v>
          </cell>
          <cell r="F48">
            <v>0</v>
          </cell>
          <cell r="G48">
            <v>0</v>
          </cell>
          <cell r="H48">
            <v>0</v>
          </cell>
          <cell r="I48">
            <v>0</v>
          </cell>
          <cell r="J48">
            <v>0</v>
          </cell>
          <cell r="K48">
            <v>-0.95399999999999996</v>
          </cell>
          <cell r="L48">
            <v>0.219</v>
          </cell>
          <cell r="M48">
            <v>0</v>
          </cell>
          <cell r="N48">
            <v>0</v>
          </cell>
          <cell r="O48">
            <v>0</v>
          </cell>
          <cell r="P48">
            <v>0</v>
          </cell>
          <cell r="Q48">
            <v>0</v>
          </cell>
        </row>
        <row r="49">
          <cell r="O49">
            <v>0</v>
          </cell>
          <cell r="P49">
            <v>0</v>
          </cell>
          <cell r="Q49">
            <v>0</v>
          </cell>
        </row>
        <row r="50">
          <cell r="O50">
            <v>-8.3000000000000004E-2</v>
          </cell>
          <cell r="P50">
            <v>0.79300000000000004</v>
          </cell>
          <cell r="Q50">
            <v>2.4E-2</v>
          </cell>
        </row>
        <row r="51">
          <cell r="O51">
            <v>0</v>
          </cell>
          <cell r="P51">
            <v>0</v>
          </cell>
          <cell r="Q51">
            <v>0</v>
          </cell>
        </row>
        <row r="52">
          <cell r="O52">
            <v>0</v>
          </cell>
          <cell r="P52">
            <v>0</v>
          </cell>
          <cell r="Q52">
            <v>0</v>
          </cell>
        </row>
        <row r="53">
          <cell r="O53">
            <v>0</v>
          </cell>
          <cell r="P53">
            <v>0</v>
          </cell>
          <cell r="Q53">
            <v>0</v>
          </cell>
        </row>
        <row r="54">
          <cell r="O54">
            <v>0</v>
          </cell>
          <cell r="P54">
            <v>0</v>
          </cell>
          <cell r="Q54">
            <v>0</v>
          </cell>
        </row>
        <row r="55">
          <cell r="O55">
            <v>-8.3000000000000004E-2</v>
          </cell>
          <cell r="P55">
            <v>0.79300000000000004</v>
          </cell>
          <cell r="Q55">
            <v>2.4E-2</v>
          </cell>
        </row>
        <row r="57">
          <cell r="O57">
            <v>93.42881971377831</v>
          </cell>
          <cell r="P57">
            <v>119.85790295123634</v>
          </cell>
          <cell r="Q57">
            <v>138.05397804843142</v>
          </cell>
        </row>
        <row r="58">
          <cell r="C58">
            <v>0</v>
          </cell>
          <cell r="D58">
            <v>0</v>
          </cell>
          <cell r="E58">
            <v>0</v>
          </cell>
          <cell r="F58">
            <v>0</v>
          </cell>
          <cell r="G58">
            <v>0</v>
          </cell>
          <cell r="H58">
            <v>0</v>
          </cell>
          <cell r="I58">
            <v>0</v>
          </cell>
          <cell r="J58">
            <v>1.829</v>
          </cell>
          <cell r="K58">
            <v>0.76300000000000001</v>
          </cell>
          <cell r="L58">
            <v>-0.434</v>
          </cell>
          <cell r="M58">
            <v>0</v>
          </cell>
          <cell r="N58">
            <v>0.93500000000000005</v>
          </cell>
          <cell r="O58">
            <v>-12.032999999999999</v>
          </cell>
          <cell r="P58">
            <v>-4.3109999999999999</v>
          </cell>
          <cell r="Q58">
            <v>12.885</v>
          </cell>
        </row>
        <row r="59">
          <cell r="C59">
            <v>0</v>
          </cell>
          <cell r="D59">
            <v>0</v>
          </cell>
          <cell r="E59">
            <v>0</v>
          </cell>
          <cell r="F59">
            <v>0</v>
          </cell>
          <cell r="G59">
            <v>0</v>
          </cell>
          <cell r="H59">
            <v>0</v>
          </cell>
          <cell r="I59">
            <v>0</v>
          </cell>
          <cell r="J59">
            <v>0.124</v>
          </cell>
          <cell r="K59">
            <v>-1.091</v>
          </cell>
          <cell r="L59">
            <v>3.1920000000000002</v>
          </cell>
          <cell r="M59">
            <v>-0.28199999999999997</v>
          </cell>
          <cell r="N59">
            <v>1.0209999999999999</v>
          </cell>
          <cell r="O59">
            <v>-0.17199999999999999</v>
          </cell>
          <cell r="P59">
            <v>-4.0309999999999997</v>
          </cell>
          <cell r="Q59">
            <v>2.9889999999999999</v>
          </cell>
        </row>
        <row r="60">
          <cell r="O60">
            <v>0</v>
          </cell>
          <cell r="P60">
            <v>0</v>
          </cell>
          <cell r="Q60">
            <v>0</v>
          </cell>
        </row>
        <row r="61">
          <cell r="O61">
            <v>0</v>
          </cell>
          <cell r="P61">
            <v>0</v>
          </cell>
          <cell r="Q61">
            <v>0</v>
          </cell>
        </row>
        <row r="63">
          <cell r="C63">
            <v>0</v>
          </cell>
          <cell r="D63">
            <v>0</v>
          </cell>
          <cell r="E63">
            <v>0</v>
          </cell>
          <cell r="F63">
            <v>0</v>
          </cell>
          <cell r="G63">
            <v>0</v>
          </cell>
          <cell r="H63">
            <v>0</v>
          </cell>
          <cell r="I63">
            <v>0</v>
          </cell>
          <cell r="J63">
            <v>-0.19900000000000073</v>
          </cell>
          <cell r="K63">
            <v>-3.5200000000000014</v>
          </cell>
          <cell r="L63">
            <v>-6.2280000000000015</v>
          </cell>
          <cell r="M63">
            <v>-13.534000000000001</v>
          </cell>
          <cell r="N63">
            <v>-17.736999999999998</v>
          </cell>
          <cell r="O63">
            <v>-17.201000000000004</v>
          </cell>
          <cell r="P63">
            <v>-15.642999999999997</v>
          </cell>
          <cell r="Q63">
            <v>-11.315999999999999</v>
          </cell>
        </row>
        <row r="64">
          <cell r="O64">
            <v>4.2401581056063664</v>
          </cell>
          <cell r="P64">
            <v>0.38628535327516383</v>
          </cell>
          <cell r="Q64">
            <v>-3.499737171075838</v>
          </cell>
        </row>
        <row r="65">
          <cell r="O65">
            <v>0.31098082536592347</v>
          </cell>
          <cell r="P65">
            <v>0.37725029050925019</v>
          </cell>
          <cell r="Q65">
            <v>0.27757469410776042</v>
          </cell>
        </row>
        <row r="66">
          <cell r="O66">
            <v>-6.1924740681384902</v>
          </cell>
          <cell r="P66">
            <v>-5.6315580440665283</v>
          </cell>
          <cell r="Q66">
            <v>-4.0116517248677246</v>
          </cell>
        </row>
        <row r="67">
          <cell r="O67">
            <v>-15.559664862833802</v>
          </cell>
          <cell r="P67">
            <v>-10.774977599717884</v>
          </cell>
          <cell r="Q67">
            <v>-4.0821857981641969</v>
          </cell>
        </row>
        <row r="69">
          <cell r="O69">
            <v>89.730154850944515</v>
          </cell>
          <cell r="P69">
            <v>109.36292535151844</v>
          </cell>
          <cell r="Q69">
            <v>124.07579225026721</v>
          </cell>
        </row>
        <row r="71">
          <cell r="O71" t="str">
            <v>P-2</v>
          </cell>
          <cell r="P71" t="str">
            <v>P-1</v>
          </cell>
          <cell r="Q71" t="str">
            <v>Present (P)</v>
          </cell>
        </row>
        <row r="72">
          <cell r="O72">
            <v>1995</v>
          </cell>
          <cell r="P72">
            <v>1996</v>
          </cell>
          <cell r="Q72">
            <v>1997</v>
          </cell>
        </row>
        <row r="73">
          <cell r="O73">
            <v>620.78599999999994</v>
          </cell>
          <cell r="P73">
            <v>733.452</v>
          </cell>
          <cell r="Q73">
            <v>743.97</v>
          </cell>
        </row>
        <row r="74">
          <cell r="O74">
            <v>0</v>
          </cell>
          <cell r="P74">
            <v>0</v>
          </cell>
          <cell r="Q74">
            <v>0</v>
          </cell>
        </row>
        <row r="75">
          <cell r="O75">
            <v>0</v>
          </cell>
          <cell r="P75">
            <v>0</v>
          </cell>
          <cell r="Q75">
            <v>0</v>
          </cell>
        </row>
        <row r="76">
          <cell r="O76">
            <v>620.78599999999994</v>
          </cell>
          <cell r="P76">
            <v>733.452</v>
          </cell>
          <cell r="Q76">
            <v>743.97</v>
          </cell>
        </row>
        <row r="77">
          <cell r="O77">
            <v>239.244</v>
          </cell>
          <cell r="P77">
            <v>277.173</v>
          </cell>
          <cell r="Q77">
            <v>265.988</v>
          </cell>
        </row>
        <row r="78">
          <cell r="O78">
            <v>381.54199999999992</v>
          </cell>
          <cell r="P78">
            <v>456.279</v>
          </cell>
          <cell r="Q78">
            <v>477.98200000000003</v>
          </cell>
        </row>
        <row r="79">
          <cell r="O79">
            <v>88.551000000000002</v>
          </cell>
          <cell r="P79">
            <v>108.46899999999999</v>
          </cell>
          <cell r="Q79">
            <v>98.38</v>
          </cell>
        </row>
        <row r="80">
          <cell r="O80">
            <v>28.491</v>
          </cell>
          <cell r="P80">
            <v>25.701000000000001</v>
          </cell>
          <cell r="Q80">
            <v>31.074000000000002</v>
          </cell>
        </row>
        <row r="81">
          <cell r="O81">
            <v>125.15899999999999</v>
          </cell>
          <cell r="P81">
            <v>152.27599999999998</v>
          </cell>
          <cell r="Q81">
            <v>157.09100000000001</v>
          </cell>
        </row>
        <row r="82">
          <cell r="O82">
            <v>481.44499999999999</v>
          </cell>
          <cell r="P82">
            <v>563.61900000000003</v>
          </cell>
          <cell r="Q82">
            <v>552.53300000000002</v>
          </cell>
        </row>
        <row r="84">
          <cell r="O84">
            <v>139.34099999999995</v>
          </cell>
          <cell r="P84">
            <v>169.83299999999997</v>
          </cell>
          <cell r="Q84">
            <v>191.43700000000001</v>
          </cell>
        </row>
        <row r="85">
          <cell r="O85">
            <v>0</v>
          </cell>
          <cell r="P85">
            <v>0</v>
          </cell>
          <cell r="Q85">
            <v>0</v>
          </cell>
        </row>
        <row r="86">
          <cell r="O86">
            <v>-17.201000000000004</v>
          </cell>
          <cell r="P86">
            <v>-15.642999999999997</v>
          </cell>
          <cell r="Q86">
            <v>-11.315999999999999</v>
          </cell>
        </row>
        <row r="87">
          <cell r="O87">
            <v>-8.3000000000000004E-2</v>
          </cell>
          <cell r="P87">
            <v>0.79300000000000004</v>
          </cell>
          <cell r="Q87">
            <v>2.4E-2</v>
          </cell>
        </row>
        <row r="88">
          <cell r="O88">
            <v>-12.032999999999999</v>
          </cell>
          <cell r="P88">
            <v>-4.3109999999999999</v>
          </cell>
          <cell r="Q88">
            <v>12.885</v>
          </cell>
        </row>
        <row r="89">
          <cell r="O89">
            <v>-0.17199999999999999</v>
          </cell>
          <cell r="P89">
            <v>-4.0309999999999997</v>
          </cell>
          <cell r="Q89">
            <v>2.9889999999999999</v>
          </cell>
        </row>
        <row r="90">
          <cell r="C90">
            <v>0</v>
          </cell>
          <cell r="D90">
            <v>0</v>
          </cell>
          <cell r="E90">
            <v>0</v>
          </cell>
          <cell r="F90">
            <v>0</v>
          </cell>
          <cell r="G90">
            <v>0</v>
          </cell>
          <cell r="H90">
            <v>0</v>
          </cell>
          <cell r="I90">
            <v>0</v>
          </cell>
          <cell r="J90">
            <v>31.968000000000021</v>
          </cell>
          <cell r="K90">
            <v>48.837000000000003</v>
          </cell>
          <cell r="L90">
            <v>107.07999999999998</v>
          </cell>
          <cell r="M90">
            <v>174.14399999999995</v>
          </cell>
          <cell r="N90">
            <v>214.76000000000008</v>
          </cell>
          <cell r="O90">
            <v>144.76399999999995</v>
          </cell>
          <cell r="P90">
            <v>184.40299999999996</v>
          </cell>
          <cell r="Q90">
            <v>212.625</v>
          </cell>
        </row>
        <row r="91">
          <cell r="O91">
            <v>52.116</v>
          </cell>
          <cell r="P91">
            <v>66.385999999999996</v>
          </cell>
          <cell r="Q91">
            <v>75.378</v>
          </cell>
        </row>
        <row r="92">
          <cell r="O92">
            <v>0</v>
          </cell>
          <cell r="P92">
            <v>0</v>
          </cell>
          <cell r="Q92">
            <v>0</v>
          </cell>
        </row>
        <row r="93">
          <cell r="O93">
            <v>0</v>
          </cell>
          <cell r="P93">
            <v>0</v>
          </cell>
          <cell r="Q93">
            <v>0</v>
          </cell>
        </row>
        <row r="94">
          <cell r="C94">
            <v>0</v>
          </cell>
          <cell r="D94">
            <v>0</v>
          </cell>
          <cell r="E94">
            <v>0</v>
          </cell>
          <cell r="F94">
            <v>0</v>
          </cell>
          <cell r="G94">
            <v>0</v>
          </cell>
          <cell r="H94">
            <v>0</v>
          </cell>
          <cell r="I94">
            <v>0</v>
          </cell>
          <cell r="J94">
            <v>20.003000000000021</v>
          </cell>
          <cell r="K94">
            <v>30.230000000000004</v>
          </cell>
          <cell r="L94">
            <v>64.783999999999992</v>
          </cell>
          <cell r="M94">
            <v>119.02499999999995</v>
          </cell>
          <cell r="N94">
            <v>140.44700000000006</v>
          </cell>
          <cell r="O94">
            <v>92.647999999999954</v>
          </cell>
          <cell r="P94">
            <v>118.01699999999997</v>
          </cell>
          <cell r="Q94">
            <v>137.24700000000001</v>
          </cell>
        </row>
        <row r="95">
          <cell r="O95">
            <v>1047.3320000000001</v>
          </cell>
        </row>
        <row r="96">
          <cell r="C96">
            <v>0</v>
          </cell>
          <cell r="D96">
            <v>0</v>
          </cell>
          <cell r="E96">
            <v>0</v>
          </cell>
          <cell r="F96">
            <v>0</v>
          </cell>
          <cell r="G96">
            <v>0</v>
          </cell>
          <cell r="H96">
            <v>0</v>
          </cell>
          <cell r="I96">
            <v>0</v>
          </cell>
          <cell r="J96">
            <v>0.1707688760435318</v>
          </cell>
          <cell r="K96">
            <v>0.25729629478696092</v>
          </cell>
          <cell r="L96">
            <v>0.47829325734821787</v>
          </cell>
          <cell r="M96">
            <v>0.87127266133343562</v>
          </cell>
          <cell r="N96">
            <v>1.0337816741608672</v>
          </cell>
          <cell r="O96">
            <v>0.70672952232748987</v>
          </cell>
          <cell r="P96">
            <v>0.92085674157303343</v>
          </cell>
          <cell r="Q96">
            <v>1.1285831757256806</v>
          </cell>
        </row>
        <row r="97">
          <cell r="O97">
            <v>0.36000663148296552</v>
          </cell>
          <cell r="P97">
            <v>0.360004989072846</v>
          </cell>
          <cell r="Q97">
            <v>0.3545114638447972</v>
          </cell>
        </row>
        <row r="98">
          <cell r="O98">
            <v>0.36000663148296547</v>
          </cell>
          <cell r="P98">
            <v>0.36000498907284595</v>
          </cell>
          <cell r="Q98">
            <v>0.3545114638447972</v>
          </cell>
        </row>
        <row r="100">
          <cell r="C100">
            <v>0</v>
          </cell>
          <cell r="D100">
            <v>0</v>
          </cell>
          <cell r="E100">
            <v>0</v>
          </cell>
          <cell r="F100">
            <v>0</v>
          </cell>
          <cell r="G100">
            <v>0</v>
          </cell>
          <cell r="H100">
            <v>0</v>
          </cell>
          <cell r="I100">
            <v>0</v>
          </cell>
          <cell r="J100">
            <v>9.3640000000000008</v>
          </cell>
          <cell r="K100">
            <v>11.952</v>
          </cell>
          <cell r="L100">
            <v>16.826000000000001</v>
          </cell>
          <cell r="M100">
            <v>20.196000000000002</v>
          </cell>
          <cell r="N100">
            <v>20.074000000000002</v>
          </cell>
          <cell r="O100">
            <v>27.896000000000001</v>
          </cell>
          <cell r="P100">
            <v>30.501999999999999</v>
          </cell>
          <cell r="Q100">
            <v>35.024000000000001</v>
          </cell>
        </row>
        <row r="101">
          <cell r="C101">
            <v>0</v>
          </cell>
          <cell r="D101">
            <v>0</v>
          </cell>
          <cell r="E101">
            <v>0</v>
          </cell>
          <cell r="F101">
            <v>0</v>
          </cell>
          <cell r="G101">
            <v>0</v>
          </cell>
          <cell r="H101">
            <v>0</v>
          </cell>
          <cell r="I101">
            <v>0</v>
          </cell>
          <cell r="J101">
            <v>30.064000000000021</v>
          </cell>
          <cell r="K101">
            <v>44.619</v>
          </cell>
          <cell r="L101">
            <v>105.30799999999994</v>
          </cell>
          <cell r="M101">
            <v>150.23799999999994</v>
          </cell>
          <cell r="N101">
            <v>197.90600000000006</v>
          </cell>
          <cell r="O101">
            <v>139.34099999999995</v>
          </cell>
          <cell r="P101">
            <v>169.83299999999997</v>
          </cell>
          <cell r="Q101">
            <v>191.43700000000001</v>
          </cell>
        </row>
        <row r="102">
          <cell r="C102">
            <v>0</v>
          </cell>
          <cell r="D102">
            <v>0</v>
          </cell>
          <cell r="E102">
            <v>0</v>
          </cell>
          <cell r="F102">
            <v>0</v>
          </cell>
          <cell r="G102">
            <v>0</v>
          </cell>
          <cell r="H102">
            <v>0</v>
          </cell>
          <cell r="I102">
            <v>0</v>
          </cell>
          <cell r="J102">
            <v>39.428000000000026</v>
          </cell>
          <cell r="K102">
            <v>56.570999999999998</v>
          </cell>
          <cell r="L102">
            <v>122.13399999999993</v>
          </cell>
          <cell r="M102">
            <v>170.43399999999994</v>
          </cell>
          <cell r="N102">
            <v>217.98000000000008</v>
          </cell>
          <cell r="O102">
            <v>167.23699999999997</v>
          </cell>
          <cell r="P102">
            <v>200.33499999999998</v>
          </cell>
          <cell r="Q102">
            <v>226.46100000000001</v>
          </cell>
        </row>
        <row r="103">
          <cell r="O103">
            <v>211.34800000000001</v>
          </cell>
          <cell r="P103">
            <v>246.67099999999999</v>
          </cell>
          <cell r="Q103">
            <v>230.964</v>
          </cell>
        </row>
        <row r="104">
          <cell r="C104">
            <v>0</v>
          </cell>
          <cell r="D104">
            <v>0</v>
          </cell>
          <cell r="E104">
            <v>0</v>
          </cell>
          <cell r="F104">
            <v>0</v>
          </cell>
          <cell r="G104">
            <v>0</v>
          </cell>
          <cell r="H104">
            <v>0</v>
          </cell>
          <cell r="I104">
            <v>0</v>
          </cell>
          <cell r="J104">
            <v>9.3640000000000008</v>
          </cell>
          <cell r="K104">
            <v>11.952</v>
          </cell>
          <cell r="L104">
            <v>16.826000000000001</v>
          </cell>
          <cell r="M104">
            <v>20.196000000000002</v>
          </cell>
          <cell r="N104">
            <v>20.074000000000002</v>
          </cell>
          <cell r="O104">
            <v>27.896000000000001</v>
          </cell>
          <cell r="P104">
            <v>30.501999999999999</v>
          </cell>
          <cell r="Q104">
            <v>35.024000000000001</v>
          </cell>
        </row>
        <row r="105">
          <cell r="O105">
            <v>0</v>
          </cell>
          <cell r="P105">
            <v>0</v>
          </cell>
          <cell r="Q105">
            <v>0</v>
          </cell>
        </row>
        <row r="108">
          <cell r="O108">
            <v>0.61461115424639079</v>
          </cell>
          <cell r="P108">
            <v>0.62209796960128272</v>
          </cell>
          <cell r="Q108">
            <v>0.64247483097436731</v>
          </cell>
        </row>
        <row r="109">
          <cell r="C109" t="str">
            <v xml:space="preserve">--  </v>
          </cell>
          <cell r="D109" t="str">
            <v xml:space="preserve">--  </v>
          </cell>
          <cell r="E109" t="str">
            <v xml:space="preserve">--  </v>
          </cell>
          <cell r="F109" t="str">
            <v xml:space="preserve">--  </v>
          </cell>
          <cell r="G109" t="str">
            <v xml:space="preserve">--  </v>
          </cell>
          <cell r="H109" t="str">
            <v xml:space="preserve">--  </v>
          </cell>
          <cell r="I109" t="str">
            <v xml:space="preserve">--  </v>
          </cell>
          <cell r="J109">
            <v>0.18752288865531241</v>
          </cell>
          <cell r="K109">
            <v>0.23833116366072218</v>
          </cell>
          <cell r="L109">
            <v>0.30576077187483552</v>
          </cell>
          <cell r="M109">
            <v>0.35653410873794522</v>
          </cell>
          <cell r="N109">
            <v>0.32319140765737392</v>
          </cell>
          <cell r="O109">
            <v>0.26939557270943609</v>
          </cell>
          <cell r="P109">
            <v>0.27313989190840027</v>
          </cell>
          <cell r="Q109">
            <v>0.30439533852171458</v>
          </cell>
        </row>
        <row r="110">
          <cell r="O110">
            <v>0.22445899230974919</v>
          </cell>
          <cell r="P110">
            <v>0.23155298506241714</v>
          </cell>
          <cell r="Q110">
            <v>0.25731817143164376</v>
          </cell>
        </row>
        <row r="111">
          <cell r="C111" t="str">
            <v xml:space="preserve">--  </v>
          </cell>
          <cell r="D111" t="str">
            <v xml:space="preserve">--  </v>
          </cell>
          <cell r="E111" t="str">
            <v xml:space="preserve">--  </v>
          </cell>
          <cell r="F111" t="str">
            <v xml:space="preserve">--  </v>
          </cell>
          <cell r="G111" t="str">
            <v xml:space="preserve">--  </v>
          </cell>
          <cell r="H111" t="str">
            <v xml:space="preserve">--  </v>
          </cell>
          <cell r="I111" t="str">
            <v xml:space="preserve">--  </v>
          </cell>
          <cell r="J111">
            <v>0.14298691601230884</v>
          </cell>
          <cell r="K111">
            <v>0.18797790725597502</v>
          </cell>
          <cell r="L111">
            <v>0.26363711468219481</v>
          </cell>
          <cell r="M111">
            <v>0.31428571428571417</v>
          </cell>
          <cell r="N111">
            <v>0.29342838207101679</v>
          </cell>
          <cell r="O111">
            <v>0.22445899230974919</v>
          </cell>
          <cell r="P111">
            <v>0.23155298506241714</v>
          </cell>
          <cell r="Q111">
            <v>0.25731817143164376</v>
          </cell>
        </row>
        <row r="112">
          <cell r="C112" t="str">
            <v xml:space="preserve">--  </v>
          </cell>
          <cell r="D112" t="str">
            <v xml:space="preserve">--  </v>
          </cell>
          <cell r="E112" t="str">
            <v xml:space="preserve">--  </v>
          </cell>
          <cell r="F112" t="str">
            <v xml:space="preserve">--  </v>
          </cell>
          <cell r="G112" t="str">
            <v xml:space="preserve">--  </v>
          </cell>
          <cell r="H112" t="str">
            <v xml:space="preserve">--  </v>
          </cell>
          <cell r="I112" t="str">
            <v xml:space="preserve">--  </v>
          </cell>
          <cell r="J112">
            <v>9.2837432109356383E-2</v>
          </cell>
          <cell r="K112">
            <v>0.11930132544414433</v>
          </cell>
          <cell r="L112">
            <v>0.16233016026526451</v>
          </cell>
          <cell r="M112">
            <v>0.19254305961212792</v>
          </cell>
          <cell r="N112">
            <v>0.19322016718549265</v>
          </cell>
          <cell r="O112">
            <v>0.14454281322540216</v>
          </cell>
          <cell r="P112">
            <v>0.14910713359772479</v>
          </cell>
          <cell r="Q112">
            <v>0.16677526277977231</v>
          </cell>
        </row>
        <row r="113">
          <cell r="C113" t="str">
            <v xml:space="preserve">--  </v>
          </cell>
          <cell r="D113" t="str">
            <v xml:space="preserve">--  </v>
          </cell>
          <cell r="E113" t="str">
            <v xml:space="preserve">--  </v>
          </cell>
          <cell r="F113" t="str">
            <v xml:space="preserve">--  </v>
          </cell>
          <cell r="G113" t="str">
            <v xml:space="preserve">--  </v>
          </cell>
          <cell r="H113" t="str">
            <v xml:space="preserve">--  </v>
          </cell>
          <cell r="I113" t="str">
            <v xml:space="preserve">--  </v>
          </cell>
          <cell r="J113">
            <v>9.5135952667449938E-2</v>
          </cell>
          <cell r="K113">
            <v>0.12735767579614349</v>
          </cell>
          <cell r="L113">
            <v>0.16218584378747405</v>
          </cell>
          <cell r="M113">
            <v>0.24899064912243993</v>
          </cell>
          <cell r="N113">
            <v>0.20823590985987336</v>
          </cell>
          <cell r="O113">
            <v>0.14924305638335911</v>
          </cell>
          <cell r="P113">
            <v>0.1609062351728538</v>
          </cell>
          <cell r="Q113">
            <v>0.18447921287148678</v>
          </cell>
        </row>
        <row r="114">
          <cell r="O114">
            <v>0.14264335858089586</v>
          </cell>
          <cell r="P114">
            <v>0.14788834170470597</v>
          </cell>
          <cell r="Q114">
            <v>0.13223651491323574</v>
          </cell>
        </row>
        <row r="115">
          <cell r="O115">
            <v>4.4936580399686857E-2</v>
          </cell>
          <cell r="P115">
            <v>4.1586906845983103E-2</v>
          </cell>
          <cell r="Q115">
            <v>4.7077167090070836E-2</v>
          </cell>
        </row>
        <row r="119">
          <cell r="O119">
            <v>0.14454281322540216</v>
          </cell>
          <cell r="P119">
            <v>0.14910713359772479</v>
          </cell>
          <cell r="Q119">
            <v>0.16677526277977231</v>
          </cell>
        </row>
        <row r="120">
          <cell r="O120">
            <v>1.2962559192092946</v>
          </cell>
          <cell r="P120">
            <v>1.4208118782136456</v>
          </cell>
          <cell r="Q120">
            <v>1.2458110525270412</v>
          </cell>
        </row>
        <row r="121">
          <cell r="O121">
            <v>0.18736447722259106</v>
          </cell>
          <cell r="P121">
            <v>0.21185318654203633</v>
          </cell>
          <cell r="Q121">
            <v>0.20777046565914201</v>
          </cell>
        </row>
        <row r="122">
          <cell r="O122">
            <v>-0.19912506017263171</v>
          </cell>
          <cell r="P122" t="str">
            <v>NM</v>
          </cell>
          <cell r="Q122">
            <v>0.10853581848037203</v>
          </cell>
        </row>
        <row r="123">
          <cell r="O123">
            <v>-0.13247454235994119</v>
          </cell>
          <cell r="P123">
            <v>2.4488709319445273E-2</v>
          </cell>
          <cell r="Q123">
            <v>-4.0827208828943251E-3</v>
          </cell>
        </row>
        <row r="124">
          <cell r="O124">
            <v>35.148817399196133</v>
          </cell>
          <cell r="P124">
            <v>52.05540505659944</v>
          </cell>
          <cell r="Q124">
            <v>61.349938793908187</v>
          </cell>
        </row>
        <row r="125">
          <cell r="O125">
            <v>-49.385930025780965</v>
          </cell>
          <cell r="P125">
            <v>16.906587657403307</v>
          </cell>
          <cell r="Q125">
            <v>9.2945337373087469</v>
          </cell>
        </row>
        <row r="128">
          <cell r="O128">
            <v>3.0711455215573751</v>
          </cell>
          <cell r="P128">
            <v>3.5446591032657944</v>
          </cell>
          <cell r="Q128">
            <v>3.1736829644417996</v>
          </cell>
        </row>
        <row r="129">
          <cell r="O129">
            <v>6.9815952990131294</v>
          </cell>
          <cell r="P129">
            <v>8.4223508336778288</v>
          </cell>
          <cell r="Q129">
            <v>7.7180515283706885</v>
          </cell>
        </row>
        <row r="130">
          <cell r="O130">
            <v>2.2474561909483</v>
          </cell>
          <cell r="P130">
            <v>2.8578414306585214</v>
          </cell>
          <cell r="Q130">
            <v>2.7422001256523814</v>
          </cell>
        </row>
        <row r="131">
          <cell r="O131">
            <v>5.7336048729351665</v>
          </cell>
          <cell r="P131">
            <v>4.9374082800403905</v>
          </cell>
          <cell r="Q131">
            <v>4.1763454381129339</v>
          </cell>
        </row>
        <row r="132">
          <cell r="O132">
            <v>3.0623992850233517</v>
          </cell>
          <cell r="P132">
            <v>2.8255891076300372</v>
          </cell>
          <cell r="Q132">
            <v>2.2830046584365999</v>
          </cell>
        </row>
        <row r="133">
          <cell r="O133">
            <v>22.854523699953976</v>
          </cell>
          <cell r="P133">
            <v>13.992502503934753</v>
          </cell>
          <cell r="Q133">
            <v>7.8824158883703195</v>
          </cell>
        </row>
        <row r="134">
          <cell r="O134" t="str">
            <v xml:space="preserve">--  </v>
          </cell>
          <cell r="P134" t="str">
            <v xml:space="preserve">--  </v>
          </cell>
          <cell r="Q134" t="str">
            <v xml:space="preserve">--  </v>
          </cell>
        </row>
        <row r="135">
          <cell r="O135">
            <v>1.2962559192092946</v>
          </cell>
          <cell r="P135">
            <v>1.4208118782136456</v>
          </cell>
          <cell r="Q135">
            <v>1.2458110525270412</v>
          </cell>
        </row>
        <row r="138">
          <cell r="O138">
            <v>-7.9582066272178925E-2</v>
          </cell>
          <cell r="P138">
            <v>0.18148927327613712</v>
          </cell>
          <cell r="Q138">
            <v>1.4340406734183053E-2</v>
          </cell>
        </row>
        <row r="139">
          <cell r="O139" t="str">
            <v xml:space="preserve">--  </v>
          </cell>
          <cell r="P139" t="str">
            <v xml:space="preserve">--  </v>
          </cell>
          <cell r="Q139" t="str">
            <v xml:space="preserve">--  </v>
          </cell>
        </row>
        <row r="140">
          <cell r="O140">
            <v>-7.9582066272178925E-2</v>
          </cell>
          <cell r="P140">
            <v>0.18148927327613712</v>
          </cell>
          <cell r="Q140">
            <v>1.4340406734183053E-2</v>
          </cell>
        </row>
        <row r="141">
          <cell r="O141">
            <v>-0.34033478821192398</v>
          </cell>
          <cell r="P141">
            <v>0.27382134530696861</v>
          </cell>
          <cell r="Q141">
            <v>0.16294262690968295</v>
          </cell>
        </row>
        <row r="142">
          <cell r="O142">
            <v>-0.23278741168914621</v>
          </cell>
          <cell r="P142">
            <v>0.19791074941550027</v>
          </cell>
          <cell r="Q142">
            <v>0.13041156063593498</v>
          </cell>
        </row>
        <row r="143">
          <cell r="O143">
            <v>-0.2959233171303553</v>
          </cell>
          <cell r="P143">
            <v>0.21883006437444852</v>
          </cell>
          <cell r="Q143">
            <v>0.12720731542162034</v>
          </cell>
        </row>
        <row r="144">
          <cell r="O144">
            <v>-0.31146008503133144</v>
          </cell>
          <cell r="P144">
            <v>0.21879791172975208</v>
          </cell>
          <cell r="Q144">
            <v>0.13453249217189572</v>
          </cell>
        </row>
        <row r="145">
          <cell r="O145">
            <v>0.22043264082244596</v>
          </cell>
          <cell r="P145">
            <v>-9.7925660734968903E-2</v>
          </cell>
          <cell r="Q145">
            <v>0.20905801330687526</v>
          </cell>
        </row>
        <row r="146">
          <cell r="O146">
            <v>0.38965826442163987</v>
          </cell>
          <cell r="P146">
            <v>9.3418411241755026E-2</v>
          </cell>
          <cell r="Q146">
            <v>0.14825257360173111</v>
          </cell>
        </row>
        <row r="147">
          <cell r="O147">
            <v>0</v>
          </cell>
          <cell r="P147">
            <v>0</v>
          </cell>
          <cell r="Q147">
            <v>0</v>
          </cell>
        </row>
        <row r="148">
          <cell r="O148">
            <v>0</v>
          </cell>
          <cell r="P148">
            <v>0</v>
          </cell>
          <cell r="Q148">
            <v>0</v>
          </cell>
        </row>
        <row r="149">
          <cell r="O149">
            <v>0</v>
          </cell>
          <cell r="P149">
            <v>0</v>
          </cell>
          <cell r="Q149">
            <v>0</v>
          </cell>
        </row>
        <row r="150">
          <cell r="O150">
            <v>-0.31636481861496474</v>
          </cell>
          <cell r="P150">
            <v>0.30298326655486685</v>
          </cell>
          <cell r="Q150">
            <v>0.22557953346554535</v>
          </cell>
        </row>
        <row r="151">
          <cell r="M151">
            <v>7.0056216364446547E-2</v>
          </cell>
          <cell r="N151">
            <v>6.0063907998109872E-2</v>
          </cell>
          <cell r="O151">
            <v>-2.656637983787483E-2</v>
          </cell>
          <cell r="P151">
            <v>-2.5414385702598359E-2</v>
          </cell>
          <cell r="Q151">
            <v>-9.4491366778282612E-2</v>
          </cell>
        </row>
        <row r="152">
          <cell r="O152">
            <v>0.42539276040384127</v>
          </cell>
          <cell r="P152">
            <v>-0.2027046637136953</v>
          </cell>
          <cell r="Q152">
            <v>-0.27753317328109983</v>
          </cell>
        </row>
        <row r="153">
          <cell r="M153" t="str">
            <v>--</v>
          </cell>
          <cell r="N153">
            <v>0.66525934629111383</v>
          </cell>
          <cell r="O153">
            <v>-3.3246341206957512E-2</v>
          </cell>
          <cell r="P153">
            <v>1.9169729051980614E-2</v>
          </cell>
          <cell r="Q153">
            <v>0.37970620491622681</v>
          </cell>
        </row>
        <row r="154">
          <cell r="O154">
            <v>0.22677772636125246</v>
          </cell>
          <cell r="P154">
            <v>0.49040218612214781</v>
          </cell>
          <cell r="Q154">
            <v>3.7907335125589511E-3</v>
          </cell>
        </row>
        <row r="155">
          <cell r="O155">
            <v>0.79019003595274739</v>
          </cell>
          <cell r="P155">
            <v>1.0077463778510978</v>
          </cell>
          <cell r="Q155">
            <v>0.69744212632180624</v>
          </cell>
        </row>
        <row r="159">
          <cell r="P159" t="str">
            <v>5 year CAGR</v>
          </cell>
        </row>
        <row r="160">
          <cell r="P160" t="str">
            <v>Sales</v>
          </cell>
          <cell r="Q160">
            <v>0.13934536568832079</v>
          </cell>
        </row>
        <row r="161">
          <cell r="P161" t="str">
            <v>EBITDA</v>
          </cell>
          <cell r="Q161">
            <v>-1</v>
          </cell>
        </row>
        <row r="162">
          <cell r="P162" t="str">
            <v>NOPAT</v>
          </cell>
          <cell r="Q162">
            <v>0.16530121417236776</v>
          </cell>
        </row>
      </sheetData>
      <sheetData sheetId="4" refreshError="1">
        <row r="11">
          <cell r="D11">
            <v>0.10299999999999999</v>
          </cell>
        </row>
        <row r="21">
          <cell r="J21">
            <v>9.9223839999999994E-2</v>
          </cell>
        </row>
        <row r="23">
          <cell r="U23">
            <v>0.11101367989451319</v>
          </cell>
        </row>
      </sheetData>
      <sheetData sheetId="5" refreshError="1">
        <row r="1">
          <cell r="F1" t="str">
            <v>Discounted Cash Flow</v>
          </cell>
        </row>
        <row r="2">
          <cell r="D2">
            <v>1</v>
          </cell>
          <cell r="E2">
            <v>2</v>
          </cell>
          <cell r="F2">
            <v>3</v>
          </cell>
          <cell r="G2">
            <v>4</v>
          </cell>
          <cell r="H2">
            <v>5</v>
          </cell>
          <cell r="L2">
            <v>9</v>
          </cell>
          <cell r="M2">
            <v>10</v>
          </cell>
          <cell r="Q2">
            <v>14</v>
          </cell>
          <cell r="R2">
            <v>15</v>
          </cell>
          <cell r="AA2">
            <v>24</v>
          </cell>
          <cell r="AB2">
            <v>25</v>
          </cell>
        </row>
        <row r="3">
          <cell r="C3" t="str">
            <v>Present(P)</v>
          </cell>
          <cell r="D3" t="str">
            <v>Estimated Year 1</v>
          </cell>
          <cell r="E3" t="str">
            <v>EY 2</v>
          </cell>
          <cell r="F3" t="str">
            <v>EY 3</v>
          </cell>
          <cell r="G3" t="str">
            <v>EY 4</v>
          </cell>
          <cell r="H3" t="str">
            <v>EY 5</v>
          </cell>
          <cell r="L3" t="str">
            <v>EY 9</v>
          </cell>
          <cell r="M3" t="str">
            <v>EY 10</v>
          </cell>
          <cell r="Q3" t="str">
            <v>EY 14</v>
          </cell>
          <cell r="R3" t="str">
            <v>EY 15</v>
          </cell>
          <cell r="AA3" t="str">
            <v>EY 24</v>
          </cell>
          <cell r="AB3" t="str">
            <v>EY 25</v>
          </cell>
        </row>
        <row r="4">
          <cell r="C4">
            <v>1997</v>
          </cell>
          <cell r="D4" t="str">
            <v>1998E</v>
          </cell>
          <cell r="E4" t="str">
            <v>1999E</v>
          </cell>
          <cell r="F4" t="str">
            <v>2000E</v>
          </cell>
          <cell r="G4" t="str">
            <v>2001E</v>
          </cell>
          <cell r="H4" t="str">
            <v>2002E</v>
          </cell>
          <cell r="L4" t="str">
            <v>2006E</v>
          </cell>
          <cell r="M4" t="str">
            <v>2007E</v>
          </cell>
          <cell r="Q4" t="str">
            <v>2011E</v>
          </cell>
          <cell r="R4" t="str">
            <v>2012E</v>
          </cell>
          <cell r="AA4" t="str">
            <v>2021E</v>
          </cell>
          <cell r="AB4" t="str">
            <v>2022E</v>
          </cell>
        </row>
        <row r="6">
          <cell r="C6">
            <v>743.97</v>
          </cell>
          <cell r="D6">
            <v>824.12199999999996</v>
          </cell>
          <cell r="E6">
            <v>986.22612499999991</v>
          </cell>
          <cell r="F6">
            <v>1036.076</v>
          </cell>
          <cell r="G6">
            <v>1139.6836000000001</v>
          </cell>
          <cell r="H6">
            <v>1253.6519600000001</v>
          </cell>
          <cell r="I6">
            <v>1366.4806364000003</v>
          </cell>
          <cell r="J6">
            <v>1489.4638936760005</v>
          </cell>
          <cell r="K6">
            <v>1623.5156441068407</v>
          </cell>
          <cell r="L6">
            <v>1769.6320520764564</v>
          </cell>
          <cell r="M6">
            <v>1928.8989367633376</v>
          </cell>
          <cell r="N6">
            <v>2092.8553463882213</v>
          </cell>
          <cell r="O6">
            <v>2270.7480508312201</v>
          </cell>
          <cell r="P6">
            <v>2463.7616351518736</v>
          </cell>
          <cell r="Q6">
            <v>2673.1813741397827</v>
          </cell>
          <cell r="R6">
            <v>2900.4017909416643</v>
          </cell>
          <cell r="S6">
            <v>3146.9359431717057</v>
          </cell>
          <cell r="T6">
            <v>3414.4254983413007</v>
          </cell>
          <cell r="U6">
            <v>3704.6516657003112</v>
          </cell>
          <cell r="V6">
            <v>4019.5470572848376</v>
          </cell>
          <cell r="W6">
            <v>4361.2085571540483</v>
          </cell>
          <cell r="X6">
            <v>4731.9112845121426</v>
          </cell>
          <cell r="Y6">
            <v>5134.1237436956744</v>
          </cell>
          <cell r="Z6">
            <v>5570.5242619098062</v>
          </cell>
          <cell r="AA6">
            <v>6044.0188241721398</v>
          </cell>
          <cell r="AB6">
            <v>6557.7604242267716</v>
          </cell>
          <cell r="AC6">
            <v>7115.1700602860474</v>
          </cell>
        </row>
        <row r="7">
          <cell r="C7">
            <v>0</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row>
        <row r="8">
          <cell r="C8">
            <v>0</v>
          </cell>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row>
        <row r="9">
          <cell r="C9">
            <v>743.97</v>
          </cell>
          <cell r="D9">
            <v>824.12199999999996</v>
          </cell>
          <cell r="E9">
            <v>986.22612499999991</v>
          </cell>
          <cell r="F9">
            <v>1036.076</v>
          </cell>
          <cell r="G9">
            <v>1139.6836000000001</v>
          </cell>
          <cell r="H9">
            <v>1253.6519600000001</v>
          </cell>
          <cell r="I9">
            <v>1366.4806364000003</v>
          </cell>
          <cell r="J9">
            <v>1489.4638936760005</v>
          </cell>
          <cell r="K9">
            <v>1623.5156441068407</v>
          </cell>
          <cell r="L9">
            <v>1769.6320520764564</v>
          </cell>
          <cell r="M9">
            <v>1928.8989367633376</v>
          </cell>
          <cell r="N9">
            <v>2092.8553463882213</v>
          </cell>
          <cell r="O9">
            <v>2270.7480508312201</v>
          </cell>
          <cell r="P9">
            <v>2463.7616351518736</v>
          </cell>
          <cell r="Q9">
            <v>2673.1813741397827</v>
          </cell>
          <cell r="R9">
            <v>2900.4017909416643</v>
          </cell>
          <cell r="S9">
            <v>3146.9359431717057</v>
          </cell>
          <cell r="T9">
            <v>3414.4254983413007</v>
          </cell>
          <cell r="U9">
            <v>3704.6516657003112</v>
          </cell>
          <cell r="V9">
            <v>4019.5470572848376</v>
          </cell>
          <cell r="W9">
            <v>4361.2085571540483</v>
          </cell>
          <cell r="X9">
            <v>4731.9112845121426</v>
          </cell>
          <cell r="Y9">
            <v>5134.1237436956744</v>
          </cell>
          <cell r="Z9">
            <v>5570.5242619098062</v>
          </cell>
          <cell r="AA9">
            <v>6044.0188241721398</v>
          </cell>
          <cell r="AB9">
            <v>6557.7604242267716</v>
          </cell>
          <cell r="AC9">
            <v>7115.1700602860474</v>
          </cell>
        </row>
        <row r="10">
          <cell r="C10">
            <v>1.4340406734183053E-2</v>
          </cell>
          <cell r="D10">
            <v>0.10773552697017343</v>
          </cell>
          <cell r="E10">
            <v>0.19669918410138301</v>
          </cell>
          <cell r="F10">
            <v>5.0546090532736718E-2</v>
          </cell>
          <cell r="G10">
            <v>0.10000000000000005</v>
          </cell>
          <cell r="H10">
            <v>0.10000000000000006</v>
          </cell>
          <cell r="L10">
            <v>9.0000000000000024E-2</v>
          </cell>
          <cell r="M10">
            <v>9.000000000000008E-2</v>
          </cell>
          <cell r="Q10">
            <v>8.4999999999999937E-2</v>
          </cell>
          <cell r="R10">
            <v>8.500000000000002E-2</v>
          </cell>
          <cell r="AA10">
            <v>8.500000000000002E-2</v>
          </cell>
          <cell r="AB10">
            <v>8.4999999999999992E-2</v>
          </cell>
        </row>
        <row r="12">
          <cell r="C12">
            <v>124.07579225026721</v>
          </cell>
          <cell r="D12">
            <v>140.71417600000007</v>
          </cell>
          <cell r="E12">
            <v>167.29526399999992</v>
          </cell>
          <cell r="F12">
            <v>184.77678399999996</v>
          </cell>
          <cell r="G12">
            <v>207.992257</v>
          </cell>
          <cell r="H12">
            <v>228.79148270000002</v>
          </cell>
          <cell r="I12">
            <v>250.74919677940005</v>
          </cell>
          <cell r="J12">
            <v>273.31662448954609</v>
          </cell>
          <cell r="K12">
            <v>297.91512069360527</v>
          </cell>
          <cell r="L12">
            <v>324.72748155602972</v>
          </cell>
          <cell r="M12">
            <v>353.95295489607241</v>
          </cell>
          <cell r="N12">
            <v>386.13181140862685</v>
          </cell>
          <cell r="O12">
            <v>418.95301537836008</v>
          </cell>
          <cell r="P12">
            <v>454.56402168552069</v>
          </cell>
          <cell r="Q12">
            <v>493.20196352878992</v>
          </cell>
          <cell r="R12">
            <v>535.12413042873709</v>
          </cell>
          <cell r="S12">
            <v>580.60968151517966</v>
          </cell>
          <cell r="T12">
            <v>629.96150444396994</v>
          </cell>
          <cell r="U12">
            <v>683.5082323217074</v>
          </cell>
          <cell r="V12">
            <v>741.60643206905252</v>
          </cell>
          <cell r="W12">
            <v>804.64297879492187</v>
          </cell>
          <cell r="X12">
            <v>873.03763199249033</v>
          </cell>
          <cell r="Y12">
            <v>947.24583071185191</v>
          </cell>
          <cell r="Z12">
            <v>1027.7617263223592</v>
          </cell>
          <cell r="AA12">
            <v>1115.1214730597599</v>
          </cell>
          <cell r="AB12">
            <v>1209.9067982698393</v>
          </cell>
          <cell r="AC12">
            <v>1312.7488761227758</v>
          </cell>
        </row>
        <row r="13">
          <cell r="C13">
            <v>0.13453249217189572</v>
          </cell>
          <cell r="D13">
            <v>0.13409854934613177</v>
          </cell>
          <cell r="E13">
            <v>0.18890128028038794</v>
          </cell>
          <cell r="F13">
            <v>0.10449500829862138</v>
          </cell>
          <cell r="G13">
            <v>0.12564063784116969</v>
          </cell>
          <cell r="H13">
            <v>0.1000000000000001</v>
          </cell>
          <cell r="L13">
            <v>8.9999999999999886E-2</v>
          </cell>
          <cell r="M13">
            <v>9.0000000000000066E-2</v>
          </cell>
          <cell r="Q13">
            <v>8.4999999999999937E-2</v>
          </cell>
          <cell r="R13">
            <v>8.5000000000000062E-2</v>
          </cell>
          <cell r="AA13">
            <v>8.5000000000000117E-2</v>
          </cell>
          <cell r="AB13">
            <v>8.4999999999999881E-2</v>
          </cell>
        </row>
        <row r="15">
          <cell r="C15">
            <v>226.46100000000001</v>
          </cell>
          <cell r="D15">
            <v>255.86590000000012</v>
          </cell>
          <cell r="E15">
            <v>303.39884999999987</v>
          </cell>
          <cell r="F15">
            <v>332.88720689290761</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row>
        <row r="18">
          <cell r="C18">
            <v>-7.073099999999954</v>
          </cell>
          <cell r="D18">
            <v>106.83340909090902</v>
          </cell>
          <cell r="E18">
            <v>-12.017774899732672</v>
          </cell>
          <cell r="F18">
            <v>6.127186093521118</v>
          </cell>
          <cell r="G18">
            <v>31.178662171442852</v>
          </cell>
          <cell r="H18">
            <v>39.988898245614052</v>
          </cell>
          <cell r="L18">
            <v>50.384968265384714</v>
          </cell>
          <cell r="M18">
            <v>54.919615409269454</v>
          </cell>
          <cell r="Q18">
            <v>70.989742029799686</v>
          </cell>
          <cell r="R18">
            <v>77.023870102332808</v>
          </cell>
          <cell r="AA18">
            <v>157.83152075411112</v>
          </cell>
          <cell r="AB18">
            <v>171.24720001821061</v>
          </cell>
        </row>
        <row r="19">
          <cell r="C19">
            <v>36.037403354323679</v>
          </cell>
          <cell r="D19">
            <v>63.653333242775744</v>
          </cell>
          <cell r="E19">
            <v>-21.748828885783702</v>
          </cell>
          <cell r="F19">
            <v>26.974071739223881</v>
          </cell>
          <cell r="G19">
            <v>37.418539564442426</v>
          </cell>
          <cell r="H19">
            <v>44.693474509803934</v>
          </cell>
          <cell r="L19">
            <v>56.634266654889757</v>
          </cell>
          <cell r="M19">
            <v>61.731350653829963</v>
          </cell>
          <cell r="Q19">
            <v>79.931198086988161</v>
          </cell>
          <cell r="R19">
            <v>86.725349924382272</v>
          </cell>
          <cell r="AA19">
            <v>176.67707547102009</v>
          </cell>
          <cell r="AB19">
            <v>191.69462688605654</v>
          </cell>
        </row>
        <row r="20">
          <cell r="C20">
            <v>0</v>
          </cell>
          <cell r="D20">
            <v>0</v>
          </cell>
          <cell r="E20">
            <v>0</v>
          </cell>
          <cell r="F20">
            <v>0</v>
          </cell>
          <cell r="G20">
            <v>0</v>
          </cell>
          <cell r="H20">
            <v>0</v>
          </cell>
          <cell r="L20">
            <v>0</v>
          </cell>
          <cell r="M20">
            <v>0</v>
          </cell>
          <cell r="Q20">
            <v>0</v>
          </cell>
          <cell r="R20">
            <v>0</v>
          </cell>
          <cell r="AA20">
            <v>0</v>
          </cell>
          <cell r="AB20">
            <v>0</v>
          </cell>
        </row>
        <row r="21">
          <cell r="C21">
            <v>28.964303354323725</v>
          </cell>
          <cell r="D21">
            <v>170.48674233368476</v>
          </cell>
          <cell r="E21">
            <v>-33.766603785516374</v>
          </cell>
          <cell r="F21">
            <v>33.101257832744999</v>
          </cell>
          <cell r="G21">
            <v>68.597201735885278</v>
          </cell>
          <cell r="H21">
            <v>84.682372755417987</v>
          </cell>
          <cell r="L21">
            <v>107.01923492027447</v>
          </cell>
          <cell r="M21">
            <v>116.65096606309942</v>
          </cell>
          <cell r="Q21">
            <v>150.92094011678785</v>
          </cell>
          <cell r="R21">
            <v>163.74922002671508</v>
          </cell>
          <cell r="AA21">
            <v>334.50859622513121</v>
          </cell>
          <cell r="AB21">
            <v>362.94182690426715</v>
          </cell>
        </row>
        <row r="23">
          <cell r="C23">
            <v>95.111488895943495</v>
          </cell>
          <cell r="D23">
            <v>-29.772566333684694</v>
          </cell>
          <cell r="E23">
            <v>201.06186778551628</v>
          </cell>
          <cell r="F23">
            <v>151.67552616725496</v>
          </cell>
          <cell r="G23">
            <v>139.39505526411472</v>
          </cell>
          <cell r="H23">
            <v>144.10910994458203</v>
          </cell>
          <cell r="L23">
            <v>217.70824663575524</v>
          </cell>
          <cell r="M23">
            <v>237.301988832973</v>
          </cell>
          <cell r="Q23">
            <v>342.28102341200207</v>
          </cell>
          <cell r="R23">
            <v>371.37491040202201</v>
          </cell>
          <cell r="AA23">
            <v>780.61287683462865</v>
          </cell>
          <cell r="AB23">
            <v>846.96497136557218</v>
          </cell>
        </row>
        <row r="26">
          <cell r="C26">
            <v>95.111488895943495</v>
          </cell>
          <cell r="D26">
            <v>-27.110483822860175</v>
          </cell>
          <cell r="E26">
            <v>166.71385960288541</v>
          </cell>
          <cell r="F26">
            <v>114.51925134303266</v>
          </cell>
          <cell r="G26">
            <v>95.836590561668046</v>
          </cell>
          <cell r="H26">
            <v>90.218669741823248</v>
          </cell>
          <cell r="L26">
            <v>93.705234134323447</v>
          </cell>
          <cell r="M26">
            <v>93.006080972383216</v>
          </cell>
          <cell r="Q26">
            <v>92.23096979682542</v>
          </cell>
          <cell r="R26">
            <v>91.122895234556694</v>
          </cell>
          <cell r="AA26">
            <v>82.440312829339362</v>
          </cell>
          <cell r="AB26">
            <v>81.449864460934506</v>
          </cell>
        </row>
        <row r="27">
          <cell r="C27">
            <v>95.111488895943495</v>
          </cell>
          <cell r="D27">
            <v>-27.110483822860175</v>
          </cell>
          <cell r="E27">
            <v>139.60337578002523</v>
          </cell>
          <cell r="F27">
            <v>254.1226271230579</v>
          </cell>
          <cell r="G27">
            <v>349.95921768472596</v>
          </cell>
          <cell r="H27">
            <v>440.1778874265492</v>
          </cell>
          <cell r="L27">
            <v>826.82879452942257</v>
          </cell>
          <cell r="M27">
            <v>919.83487550180575</v>
          </cell>
          <cell r="Q27">
            <v>1303.6397516819061</v>
          </cell>
          <cell r="R27">
            <v>1394.7626469164627</v>
          </cell>
          <cell r="AA27">
            <v>2183.0567229801832</v>
          </cell>
          <cell r="AB27">
            <v>2264.5065874411175</v>
          </cell>
        </row>
        <row r="29">
          <cell r="C29">
            <v>1339.6597727208389</v>
          </cell>
          <cell r="D29">
            <v>1703.7246328282909</v>
          </cell>
          <cell r="E29">
            <v>1881.7553524742486</v>
          </cell>
          <cell r="F29">
            <v>2118.1802952201483</v>
          </cell>
          <cell r="G29">
            <v>2329.9983247421633</v>
          </cell>
          <cell r="H29">
            <v>2553.6143283468705</v>
          </cell>
          <cell r="L29">
            <v>3604.6350249269449</v>
          </cell>
          <cell r="M29">
            <v>3932.3425115936689</v>
          </cell>
          <cell r="Q29">
            <v>5449.6710835296508</v>
          </cell>
          <cell r="R29">
            <v>5912.8931256296701</v>
          </cell>
          <cell r="AA29">
            <v>12321.616083756775</v>
          </cell>
          <cell r="AB29">
            <v>13368.953450876103</v>
          </cell>
        </row>
        <row r="30">
          <cell r="C30">
            <v>1339.6597727208389</v>
          </cell>
          <cell r="D30">
            <v>1551.387897812549</v>
          </cell>
          <cell r="E30">
            <v>1560.2893830371988</v>
          </cell>
          <cell r="F30">
            <v>1599.2851829680612</v>
          </cell>
          <cell r="G30">
            <v>1601.9154699181954</v>
          </cell>
          <cell r="H30">
            <v>1598.6753913455539</v>
          </cell>
          <cell r="L30">
            <v>1551.4945997644543</v>
          </cell>
          <cell r="M30">
            <v>1541.2081788402074</v>
          </cell>
          <cell r="Q30">
            <v>1468.4671796795599</v>
          </cell>
          <cell r="R30">
            <v>1450.8248288410743</v>
          </cell>
          <cell r="AA30">
            <v>1301.2825110277072</v>
          </cell>
          <cell r="AB30">
            <v>1285.6487379906102</v>
          </cell>
        </row>
        <row r="32">
          <cell r="C32">
            <v>1434.7712616167823</v>
          </cell>
          <cell r="D32">
            <v>1524.2774139896887</v>
          </cell>
          <cell r="E32">
            <v>1699.8927588172241</v>
          </cell>
          <cell r="F32">
            <v>1853.4078100911192</v>
          </cell>
          <cell r="G32">
            <v>1951.8746876029213</v>
          </cell>
          <cell r="H32">
            <v>2038.8532787721031</v>
          </cell>
          <cell r="L32">
            <v>2378.3233942938768</v>
          </cell>
          <cell r="M32">
            <v>2461.0430543420134</v>
          </cell>
          <cell r="Q32">
            <v>2772.1069313614662</v>
          </cell>
          <cell r="R32">
            <v>2845.587475757537</v>
          </cell>
          <cell r="AA32">
            <v>3484.3392340078904</v>
          </cell>
          <cell r="AB32">
            <v>3550.1553254317278</v>
          </cell>
        </row>
        <row r="33">
          <cell r="C33">
            <v>129.51649999999998</v>
          </cell>
          <cell r="D33">
            <v>129.51649999999998</v>
          </cell>
          <cell r="E33">
            <v>129.51649999999998</v>
          </cell>
          <cell r="F33">
            <v>129.51649999999998</v>
          </cell>
          <cell r="G33">
            <v>129.51649999999998</v>
          </cell>
          <cell r="H33">
            <v>129.51649999999998</v>
          </cell>
          <cell r="I33">
            <v>129.51649999999998</v>
          </cell>
          <cell r="J33">
            <v>129.51649999999998</v>
          </cell>
          <cell r="K33">
            <v>129.51649999999998</v>
          </cell>
          <cell r="L33">
            <v>129.51649999999998</v>
          </cell>
          <cell r="M33">
            <v>129.51649999999998</v>
          </cell>
          <cell r="N33">
            <v>129.51649999999998</v>
          </cell>
          <cell r="O33">
            <v>129.51649999999998</v>
          </cell>
          <cell r="P33">
            <v>129.51649999999998</v>
          </cell>
          <cell r="Q33">
            <v>129.51649999999998</v>
          </cell>
          <cell r="R33">
            <v>129.51649999999998</v>
          </cell>
          <cell r="S33">
            <v>129.51649999999998</v>
          </cell>
          <cell r="T33">
            <v>129.51649999999998</v>
          </cell>
          <cell r="U33">
            <v>129.51649999999998</v>
          </cell>
          <cell r="V33">
            <v>129.51649999999998</v>
          </cell>
          <cell r="W33">
            <v>129.51649999999998</v>
          </cell>
          <cell r="X33">
            <v>129.51649999999998</v>
          </cell>
          <cell r="Y33">
            <v>129.51649999999998</v>
          </cell>
          <cell r="Z33">
            <v>129.51649999999998</v>
          </cell>
          <cell r="AA33">
            <v>129.51649999999998</v>
          </cell>
          <cell r="AB33">
            <v>129.51649999999998</v>
          </cell>
        </row>
        <row r="34">
          <cell r="C34">
            <v>348.80700000000002</v>
          </cell>
          <cell r="D34">
            <v>348.80700000000002</v>
          </cell>
          <cell r="E34">
            <v>348.80700000000002</v>
          </cell>
          <cell r="F34">
            <v>348.80700000000002</v>
          </cell>
          <cell r="G34">
            <v>348.80700000000002</v>
          </cell>
          <cell r="H34">
            <v>348.80700000000002</v>
          </cell>
          <cell r="L34">
            <v>348.80700000000002</v>
          </cell>
          <cell r="M34">
            <v>348.80700000000002</v>
          </cell>
          <cell r="Q34">
            <v>348.80700000000002</v>
          </cell>
          <cell r="R34">
            <v>348.80700000000002</v>
          </cell>
          <cell r="AA34">
            <v>348.80700000000002</v>
          </cell>
          <cell r="AB34">
            <v>348.80700000000002</v>
          </cell>
        </row>
        <row r="35">
          <cell r="C35">
            <v>177.13934948567379</v>
          </cell>
          <cell r="D35">
            <v>177.13934948567379</v>
          </cell>
          <cell r="E35">
            <v>177.13934948567379</v>
          </cell>
          <cell r="F35">
            <v>177.13934948567379</v>
          </cell>
          <cell r="G35">
            <v>177.13934948567379</v>
          </cell>
          <cell r="H35">
            <v>177.13934948567379</v>
          </cell>
          <cell r="I35">
            <v>177.13934948567379</v>
          </cell>
          <cell r="J35">
            <v>177.13934948567379</v>
          </cell>
          <cell r="K35">
            <v>177.13934948567379</v>
          </cell>
          <cell r="L35">
            <v>177.13934948567379</v>
          </cell>
          <cell r="M35">
            <v>177.13934948567379</v>
          </cell>
          <cell r="N35">
            <v>177.13934948567379</v>
          </cell>
          <cell r="O35">
            <v>177.13934948567379</v>
          </cell>
          <cell r="P35">
            <v>177.13934948567379</v>
          </cell>
          <cell r="Q35">
            <v>177.13934948567379</v>
          </cell>
          <cell r="R35">
            <v>177.13934948567379</v>
          </cell>
          <cell r="S35">
            <v>177.13934948567379</v>
          </cell>
          <cell r="T35">
            <v>177.13934948567379</v>
          </cell>
          <cell r="U35">
            <v>177.13934948567379</v>
          </cell>
          <cell r="V35">
            <v>177.13934948567379</v>
          </cell>
          <cell r="W35">
            <v>177.13934948567379</v>
          </cell>
          <cell r="X35">
            <v>177.13934948567379</v>
          </cell>
          <cell r="Y35">
            <v>177.13934948567379</v>
          </cell>
          <cell r="Z35">
            <v>177.13934948567379</v>
          </cell>
          <cell r="AA35">
            <v>177.13934948567379</v>
          </cell>
          <cell r="AB35">
            <v>177.13934948567379</v>
          </cell>
        </row>
        <row r="36">
          <cell r="C36">
            <v>1735.9554121311085</v>
          </cell>
          <cell r="D36">
            <v>1825.4615645040149</v>
          </cell>
          <cell r="E36">
            <v>2001.0769093315503</v>
          </cell>
          <cell r="F36">
            <v>2154.5919606054454</v>
          </cell>
          <cell r="G36">
            <v>2253.0588381172474</v>
          </cell>
          <cell r="H36">
            <v>2340.037429286429</v>
          </cell>
          <cell r="L36">
            <v>2679.5075448082034</v>
          </cell>
          <cell r="M36">
            <v>2762.22720485634</v>
          </cell>
          <cell r="Q36">
            <v>3073.2910818757928</v>
          </cell>
          <cell r="R36">
            <v>3146.7716262718632</v>
          </cell>
          <cell r="AA36">
            <v>3785.5233845222165</v>
          </cell>
          <cell r="AB36">
            <v>3851.3394759460543</v>
          </cell>
        </row>
        <row r="37">
          <cell r="C37">
            <v>121.61</v>
          </cell>
          <cell r="D37">
            <v>121.61</v>
          </cell>
          <cell r="E37">
            <v>121.61</v>
          </cell>
          <cell r="F37">
            <v>121.61</v>
          </cell>
          <cell r="G37">
            <v>121.61</v>
          </cell>
          <cell r="H37">
            <v>121.61</v>
          </cell>
          <cell r="I37">
            <v>121.61</v>
          </cell>
          <cell r="J37">
            <v>121.61</v>
          </cell>
          <cell r="K37">
            <v>121.61</v>
          </cell>
          <cell r="L37">
            <v>121.61</v>
          </cell>
          <cell r="M37">
            <v>121.61</v>
          </cell>
          <cell r="N37">
            <v>121.61</v>
          </cell>
          <cell r="O37">
            <v>121.61</v>
          </cell>
          <cell r="P37">
            <v>121.61</v>
          </cell>
          <cell r="Q37">
            <v>121.61</v>
          </cell>
          <cell r="R37">
            <v>121.61</v>
          </cell>
          <cell r="S37">
            <v>121.61</v>
          </cell>
          <cell r="T37">
            <v>121.61</v>
          </cell>
          <cell r="U37">
            <v>121.61</v>
          </cell>
          <cell r="V37">
            <v>121.61</v>
          </cell>
          <cell r="W37">
            <v>121.61</v>
          </cell>
          <cell r="X37">
            <v>121.61</v>
          </cell>
          <cell r="Y37">
            <v>121.61</v>
          </cell>
          <cell r="Z37">
            <v>121.61</v>
          </cell>
          <cell r="AA37">
            <v>121.61</v>
          </cell>
          <cell r="AB37">
            <v>121.61</v>
          </cell>
        </row>
        <row r="39">
          <cell r="C39">
            <v>14.274775200486049</v>
          </cell>
          <cell r="D39">
            <v>15.01078500537797</v>
          </cell>
          <cell r="E39">
            <v>16.454871386658581</v>
          </cell>
          <cell r="F39">
            <v>17.717226877768649</v>
          </cell>
          <cell r="G39">
            <v>18.526920796951298</v>
          </cell>
          <cell r="H39">
            <v>19.242146445904357</v>
          </cell>
          <cell r="L39">
            <v>22.033611913561412</v>
          </cell>
          <cell r="M39">
            <v>22.713816337935533</v>
          </cell>
          <cell r="Q39">
            <v>25.27169707981081</v>
          </cell>
          <cell r="R39">
            <v>25.875928182483868</v>
          </cell>
          <cell r="AA39">
            <v>31.128388985463502</v>
          </cell>
          <cell r="AB39">
            <v>31.66959523021178</v>
          </cell>
        </row>
        <row r="41">
          <cell r="D41">
            <v>1</v>
          </cell>
          <cell r="E41">
            <v>2</v>
          </cell>
          <cell r="F41">
            <v>3</v>
          </cell>
          <cell r="G41">
            <v>4</v>
          </cell>
          <cell r="H41">
            <v>5</v>
          </cell>
          <cell r="L41">
            <v>9</v>
          </cell>
          <cell r="M41">
            <v>10</v>
          </cell>
          <cell r="Q41">
            <v>14</v>
          </cell>
          <cell r="R41">
            <v>15</v>
          </cell>
          <cell r="AA41">
            <v>24</v>
          </cell>
          <cell r="AB41">
            <v>25</v>
          </cell>
        </row>
        <row r="44">
          <cell r="C44">
            <v>0.20777046565914201</v>
          </cell>
          <cell r="D44">
            <v>0.20238677541661504</v>
          </cell>
          <cell r="E44">
            <v>0.21926456951973783</v>
          </cell>
          <cell r="F44">
            <v>0.24248893242941005</v>
          </cell>
          <cell r="G44">
            <v>0.25598255385438418</v>
          </cell>
          <cell r="H44">
            <v>0.2573105158730159</v>
          </cell>
          <cell r="L44">
            <v>0.26132648168197536</v>
          </cell>
          <cell r="M44">
            <v>0.26132648168197536</v>
          </cell>
          <cell r="Q44">
            <v>0.26645149245056376</v>
          </cell>
          <cell r="R44">
            <v>0.26645149245056382</v>
          </cell>
          <cell r="AA44">
            <v>0.27180519809504516</v>
          </cell>
          <cell r="AB44">
            <v>0.27180519809504505</v>
          </cell>
        </row>
        <row r="45">
          <cell r="C45">
            <v>-4.0827208828943251E-3</v>
          </cell>
          <cell r="D45">
            <v>-5.3836902425269673E-3</v>
          </cell>
          <cell r="E45">
            <v>1.687779410312279E-2</v>
          </cell>
          <cell r="F45">
            <v>2.3224362909672225E-2</v>
          </cell>
          <cell r="G45">
            <v>1.3493621424974123E-2</v>
          </cell>
          <cell r="H45">
            <v>1.3279620186317231E-3</v>
          </cell>
          <cell r="L45">
            <v>0</v>
          </cell>
          <cell r="M45">
            <v>0</v>
          </cell>
          <cell r="Q45">
            <v>0</v>
          </cell>
          <cell r="R45">
            <v>5.5511151231257827E-17</v>
          </cell>
          <cell r="AA45">
            <v>1.1102230246251565E-16</v>
          </cell>
          <cell r="AB45">
            <v>-1.1102230246251565E-16</v>
          </cell>
        </row>
        <row r="46">
          <cell r="C46">
            <v>-6.1829084895955393E-2</v>
          </cell>
          <cell r="D46">
            <v>0.15368187724306701</v>
          </cell>
          <cell r="E46">
            <v>0.35810203393451906</v>
          </cell>
          <cell r="F46">
            <v>0.36159252694519584</v>
          </cell>
          <cell r="G46">
            <v>1.009698442423538</v>
          </cell>
          <cell r="H46">
            <v>0.33110398489307596</v>
          </cell>
          <cell r="L46">
            <v>0.25053777372262781</v>
          </cell>
          <cell r="M46">
            <v>0.25053777372262753</v>
          </cell>
          <cell r="Q46">
            <v>0.25601445242369825</v>
          </cell>
          <cell r="R46">
            <v>0.25601445242369841</v>
          </cell>
          <cell r="AA46">
            <v>0.26115845070422544</v>
          </cell>
          <cell r="AB46">
            <v>0.26115845070422533</v>
          </cell>
        </row>
        <row r="47">
          <cell r="C47">
            <v>0.10853581848037203</v>
          </cell>
          <cell r="D47">
            <v>0.63129232171039351</v>
          </cell>
          <cell r="E47">
            <v>0.15650977265727781</v>
          </cell>
          <cell r="F47" t="str">
            <v>NM</v>
          </cell>
          <cell r="G47">
            <v>0.71539516648795098</v>
          </cell>
          <cell r="H47">
            <v>0.30320807807994471</v>
          </cell>
          <cell r="L47">
            <v>0.27308617335766328</v>
          </cell>
          <cell r="M47">
            <v>0.27308617335766477</v>
          </cell>
          <cell r="Q47">
            <v>0.27777568087971244</v>
          </cell>
          <cell r="R47">
            <v>0.27777568087971344</v>
          </cell>
          <cell r="AA47">
            <v>0.28335691901408538</v>
          </cell>
          <cell r="AB47">
            <v>0.28335691901408389</v>
          </cell>
        </row>
        <row r="48">
          <cell r="C48">
            <v>61.349938793908187</v>
          </cell>
          <cell r="D48">
            <v>72.442594245545621</v>
          </cell>
          <cell r="E48">
            <v>92.374977416740577</v>
          </cell>
          <cell r="F48">
            <v>109.95298984975616</v>
          </cell>
          <cell r="G48">
            <v>128.2072947141919</v>
          </cell>
          <cell r="H48">
            <v>141.48096540775839</v>
          </cell>
          <cell r="L48">
            <v>202.71061528864507</v>
          </cell>
          <cell r="M48">
            <v>220.95457066462313</v>
          </cell>
          <cell r="Q48">
            <v>311.44507318816932</v>
          </cell>
          <cell r="R48">
            <v>337.91790440916373</v>
          </cell>
          <cell r="AA48">
            <v>712.26655978505141</v>
          </cell>
          <cell r="AB48">
            <v>772.80921736678056</v>
          </cell>
        </row>
        <row r="49">
          <cell r="C49">
            <v>62.734123253970353</v>
          </cell>
          <cell r="D49">
            <v>73.558096371292422</v>
          </cell>
          <cell r="E49">
            <v>75.19319582759212</v>
          </cell>
          <cell r="F49">
            <v>84.220526411633742</v>
          </cell>
          <cell r="G49">
            <v>90.460304531138291</v>
          </cell>
          <cell r="H49">
            <v>91.176203780957096</v>
          </cell>
          <cell r="L49">
            <v>89.511549370596072</v>
          </cell>
          <cell r="M49">
            <v>88.843686114602249</v>
          </cell>
          <cell r="Q49">
            <v>85.918551897477101</v>
          </cell>
          <cell r="R49">
            <v>84.886315524008666</v>
          </cell>
          <cell r="AA49">
            <v>76.956741586014019</v>
          </cell>
          <cell r="AB49">
            <v>76.032173537619897</v>
          </cell>
        </row>
        <row r="50">
          <cell r="C50">
            <v>62.734123253970353</v>
          </cell>
          <cell r="D50">
            <v>73.558096371292422</v>
          </cell>
          <cell r="E50">
            <v>148.75129219888453</v>
          </cell>
          <cell r="F50">
            <v>232.97181861051826</v>
          </cell>
          <cell r="G50">
            <v>323.43212314165658</v>
          </cell>
          <cell r="H50">
            <v>414.60832692261368</v>
          </cell>
          <cell r="L50">
            <v>775.96756330674907</v>
          </cell>
          <cell r="M50">
            <v>864.81124942135136</v>
          </cell>
          <cell r="Q50">
            <v>1214.0100885673551</v>
          </cell>
          <cell r="R50">
            <v>1298.8964040913638</v>
          </cell>
          <cell r="AA50">
            <v>2025.2665681676237</v>
          </cell>
          <cell r="AB50">
            <v>2101.2987417052436</v>
          </cell>
        </row>
        <row r="51">
          <cell r="C51">
            <v>62.734123253970353</v>
          </cell>
          <cell r="D51">
            <v>80.781048317079694</v>
          </cell>
          <cell r="E51">
            <v>90.685228174011385</v>
          </cell>
          <cell r="F51">
            <v>111.54624665946982</v>
          </cell>
          <cell r="G51">
            <v>131.57520604004253</v>
          </cell>
          <cell r="H51">
            <v>145.6386090883413</v>
          </cell>
          <cell r="L51">
            <v>207.964930103987</v>
          </cell>
          <cell r="M51">
            <v>226.68177381334584</v>
          </cell>
          <cell r="Q51">
            <v>318.85482651140796</v>
          </cell>
          <cell r="R51">
            <v>345.95748676487773</v>
          </cell>
          <cell r="AA51">
            <v>728.68990157322901</v>
          </cell>
          <cell r="AB51">
            <v>790.62854320695328</v>
          </cell>
        </row>
        <row r="52">
          <cell r="C52">
            <v>645.3408699431576</v>
          </cell>
          <cell r="D52">
            <v>610.35526956599688</v>
          </cell>
          <cell r="E52">
            <v>610.35526956599688</v>
          </cell>
          <cell r="F52">
            <v>610.35526956599688</v>
          </cell>
          <cell r="G52">
            <v>610.35526956599688</v>
          </cell>
          <cell r="H52">
            <v>610.35526956599688</v>
          </cell>
          <cell r="L52">
            <v>610.35526956599688</v>
          </cell>
          <cell r="M52">
            <v>610.35526956599688</v>
          </cell>
          <cell r="Q52">
            <v>610.35526956599688</v>
          </cell>
          <cell r="R52">
            <v>610.35526956599688</v>
          </cell>
          <cell r="AA52">
            <v>610.35526956599688</v>
          </cell>
          <cell r="AB52">
            <v>610.35526956599688</v>
          </cell>
        </row>
        <row r="54">
          <cell r="C54">
            <v>729.30450315484188</v>
          </cell>
          <cell r="D54">
            <v>923.53276105722512</v>
          </cell>
          <cell r="E54">
            <v>1135.9800844886993</v>
          </cell>
          <cell r="F54">
            <v>1339.9537694018541</v>
          </cell>
          <cell r="G54">
            <v>1483.1745971879836</v>
          </cell>
          <cell r="H54">
            <v>1622.1082280372727</v>
          </cell>
          <cell r="L54">
            <v>2308.5131797813983</v>
          </cell>
          <cell r="M54">
            <v>2519.5697003850228</v>
          </cell>
          <cell r="Q54">
            <v>3523.2096714506506</v>
          </cell>
          <cell r="R54">
            <v>3822.6824935239551</v>
          </cell>
          <cell r="AA54">
            <v>8051.7122378242193</v>
          </cell>
          <cell r="AB54">
            <v>8736.1077780392789</v>
          </cell>
        </row>
        <row r="55">
          <cell r="C55">
            <v>729.30450315484188</v>
          </cell>
          <cell r="D55">
            <v>840.95605658944976</v>
          </cell>
          <cell r="E55">
            <v>941.91716411959737</v>
          </cell>
          <cell r="F55">
            <v>1011.7024571054575</v>
          </cell>
          <cell r="G55">
            <v>1019.7090300861214</v>
          </cell>
          <cell r="H55">
            <v>1015.5114174743458</v>
          </cell>
          <cell r="L55">
            <v>993.62229661198432</v>
          </cell>
          <cell r="M55">
            <v>987.49827054551838</v>
          </cell>
          <cell r="Q55">
            <v>949.36330841896699</v>
          </cell>
          <cell r="R55">
            <v>937.95753729102955</v>
          </cell>
          <cell r="AA55">
            <v>850.33913146512236</v>
          </cell>
          <cell r="AB55">
            <v>840.12304935134011</v>
          </cell>
        </row>
        <row r="56">
          <cell r="C56">
            <v>792.03862640881221</v>
          </cell>
          <cell r="D56">
            <v>914.51415296074219</v>
          </cell>
          <cell r="E56">
            <v>1090.668456318482</v>
          </cell>
          <cell r="F56">
            <v>1244.6742757159757</v>
          </cell>
          <cell r="G56">
            <v>1343.141153227778</v>
          </cell>
          <cell r="H56">
            <v>1430.1197443969595</v>
          </cell>
          <cell r="L56">
            <v>1769.5898599187335</v>
          </cell>
          <cell r="M56">
            <v>1852.3095199668696</v>
          </cell>
          <cell r="Q56">
            <v>2163.3733969863219</v>
          </cell>
          <cell r="R56">
            <v>2236.8539413823933</v>
          </cell>
          <cell r="AA56">
            <v>2875.6056996327461</v>
          </cell>
          <cell r="AB56">
            <v>2941.421791056584</v>
          </cell>
        </row>
        <row r="58">
          <cell r="C58">
            <v>1437.3794963519699</v>
          </cell>
          <cell r="D58">
            <v>1524.8694225267391</v>
          </cell>
          <cell r="E58">
            <v>1701.0237258844788</v>
          </cell>
          <cell r="F58">
            <v>1855.0295452819726</v>
          </cell>
          <cell r="G58">
            <v>1953.4964227937749</v>
          </cell>
          <cell r="H58">
            <v>2040.4750139629564</v>
          </cell>
          <cell r="L58">
            <v>2379.9451294847304</v>
          </cell>
          <cell r="M58">
            <v>2462.6647895328665</v>
          </cell>
          <cell r="Q58">
            <v>2773.7286665523188</v>
          </cell>
          <cell r="R58">
            <v>2847.2092109483901</v>
          </cell>
          <cell r="AA58">
            <v>3485.960969198743</v>
          </cell>
          <cell r="AB58">
            <v>3551.7770606225808</v>
          </cell>
        </row>
        <row r="59">
          <cell r="C59">
            <v>129.51649999999998</v>
          </cell>
          <cell r="D59">
            <v>129.51649999999998</v>
          </cell>
          <cell r="E59">
            <v>129.51649999999998</v>
          </cell>
          <cell r="F59">
            <v>129.51649999999998</v>
          </cell>
          <cell r="G59">
            <v>129.51649999999998</v>
          </cell>
          <cell r="H59">
            <v>129.51649999999998</v>
          </cell>
          <cell r="L59">
            <v>129.51649999999998</v>
          </cell>
          <cell r="M59">
            <v>129.51649999999998</v>
          </cell>
          <cell r="Q59">
            <v>129.51649999999998</v>
          </cell>
          <cell r="R59">
            <v>129.51649999999998</v>
          </cell>
          <cell r="AA59">
            <v>129.51649999999998</v>
          </cell>
          <cell r="AB59">
            <v>129.51649999999998</v>
          </cell>
        </row>
        <row r="60">
          <cell r="C60">
            <v>177.13934948567379</v>
          </cell>
          <cell r="D60">
            <v>177.13934948567379</v>
          </cell>
          <cell r="E60">
            <v>177.13934948567379</v>
          </cell>
          <cell r="F60">
            <v>177.13934948567379</v>
          </cell>
          <cell r="G60">
            <v>177.13934948567379</v>
          </cell>
          <cell r="H60">
            <v>177.13934948567379</v>
          </cell>
          <cell r="L60">
            <v>177.13934948567379</v>
          </cell>
          <cell r="M60">
            <v>177.13934948567379</v>
          </cell>
          <cell r="Q60">
            <v>177.13934948567379</v>
          </cell>
          <cell r="R60">
            <v>177.13934948567379</v>
          </cell>
          <cell r="AA60">
            <v>177.13934948567379</v>
          </cell>
          <cell r="AB60">
            <v>177.13934948567379</v>
          </cell>
        </row>
        <row r="61">
          <cell r="C61">
            <v>1738.563646866296</v>
          </cell>
          <cell r="D61">
            <v>1826.0535730410652</v>
          </cell>
          <cell r="E61">
            <v>2002.207876398805</v>
          </cell>
          <cell r="F61">
            <v>2156.2136957962985</v>
          </cell>
          <cell r="G61">
            <v>2254.680573308101</v>
          </cell>
          <cell r="H61">
            <v>2341.6591644772825</v>
          </cell>
          <cell r="L61">
            <v>2681.129279999057</v>
          </cell>
          <cell r="M61">
            <v>2763.8489400471926</v>
          </cell>
          <cell r="Q61">
            <v>3074.9128170666454</v>
          </cell>
          <cell r="R61">
            <v>3148.3933614627167</v>
          </cell>
          <cell r="AA61">
            <v>3787.1451197130691</v>
          </cell>
          <cell r="AB61">
            <v>3852.961211136907</v>
          </cell>
        </row>
        <row r="62">
          <cell r="C62">
            <v>121.61</v>
          </cell>
          <cell r="D62">
            <v>121.61</v>
          </cell>
          <cell r="E62">
            <v>121.61</v>
          </cell>
          <cell r="F62">
            <v>121.61</v>
          </cell>
          <cell r="G62">
            <v>121.61</v>
          </cell>
          <cell r="H62">
            <v>121.61</v>
          </cell>
          <cell r="L62">
            <v>121.61</v>
          </cell>
          <cell r="M62">
            <v>121.61</v>
          </cell>
          <cell r="Q62">
            <v>121.61</v>
          </cell>
          <cell r="R62">
            <v>121.61</v>
          </cell>
          <cell r="AA62">
            <v>121.61</v>
          </cell>
          <cell r="AB62">
            <v>121.61</v>
          </cell>
        </row>
        <row r="64">
          <cell r="C64">
            <v>14.296222735517606</v>
          </cell>
          <cell r="D64">
            <v>15.015653096300182</v>
          </cell>
          <cell r="E64">
            <v>16.464171337873569</v>
          </cell>
          <cell r="F64">
            <v>17.730562419178508</v>
          </cell>
          <cell r="G64">
            <v>18.540256338361164</v>
          </cell>
          <cell r="H64">
            <v>19.255481987314223</v>
          </cell>
          <cell r="L64">
            <v>22.046947454971278</v>
          </cell>
          <cell r="M64">
            <v>22.727151879345389</v>
          </cell>
          <cell r="Q64">
            <v>25.285032621220669</v>
          </cell>
          <cell r="R64">
            <v>25.88926372389373</v>
          </cell>
          <cell r="AA64">
            <v>31.141724526873357</v>
          </cell>
          <cell r="AB64">
            <v>31.682930771621635</v>
          </cell>
        </row>
        <row r="65">
          <cell r="C65">
            <v>9.2945337373087469</v>
          </cell>
          <cell r="D65">
            <v>11.092655451637434</v>
          </cell>
          <cell r="E65">
            <v>19.932383171194957</v>
          </cell>
          <cell r="F65">
            <v>17.578012433015587</v>
          </cell>
          <cell r="G65">
            <v>18.254304864435738</v>
          </cell>
          <cell r="H65">
            <v>13.273670693566487</v>
          </cell>
          <cell r="L65">
            <v>16.737573739429394</v>
          </cell>
          <cell r="M65">
            <v>18.243955375978061</v>
          </cell>
          <cell r="Q65">
            <v>24.398922784326601</v>
          </cell>
          <cell r="R65">
            <v>26.472831220994408</v>
          </cell>
          <cell r="AA65">
            <v>55.799684407124005</v>
          </cell>
          <cell r="AB65">
            <v>60.542657581729145</v>
          </cell>
        </row>
        <row r="68">
          <cell r="C68">
            <v>1.4340406734183053E-2</v>
          </cell>
          <cell r="D68">
            <v>0.10773552697017343</v>
          </cell>
          <cell r="E68">
            <v>0.19669918410138301</v>
          </cell>
          <cell r="F68">
            <v>5.0546090532736718E-2</v>
          </cell>
          <cell r="G68">
            <v>0.10000000000000005</v>
          </cell>
          <cell r="H68">
            <v>0.10000000000000006</v>
          </cell>
          <cell r="L68">
            <v>9.0000000000000024E-2</v>
          </cell>
          <cell r="M68">
            <v>9.000000000000008E-2</v>
          </cell>
          <cell r="Q68">
            <v>8.4999999999999937E-2</v>
          </cell>
          <cell r="R68">
            <v>8.500000000000002E-2</v>
          </cell>
          <cell r="AA68">
            <v>8.500000000000002E-2</v>
          </cell>
          <cell r="AB68">
            <v>8.4999999999999992E-2</v>
          </cell>
        </row>
        <row r="69">
          <cell r="C69">
            <v>0.16677526277977231</v>
          </cell>
          <cell r="D69">
            <v>0.17074435095774665</v>
          </cell>
          <cell r="E69">
            <v>0.16963175052780105</v>
          </cell>
          <cell r="F69">
            <v>0.17834288604310877</v>
          </cell>
          <cell r="G69">
            <v>0.1825</v>
          </cell>
          <cell r="H69">
            <v>0.1825</v>
          </cell>
          <cell r="L69">
            <v>0.1835</v>
          </cell>
          <cell r="M69">
            <v>0.18349999999999997</v>
          </cell>
          <cell r="Q69">
            <v>0.1845</v>
          </cell>
          <cell r="R69">
            <v>0.1845</v>
          </cell>
          <cell r="AA69">
            <v>0.1845</v>
          </cell>
          <cell r="AB69">
            <v>0.1845</v>
          </cell>
        </row>
        <row r="70">
          <cell r="C70">
            <v>-0.67247575584711294</v>
          </cell>
          <cell r="D70">
            <v>1.3328851318857808</v>
          </cell>
          <cell r="E70">
            <v>-7.4136144899043591E-2</v>
          </cell>
          <cell r="F70">
            <v>0.12291276745470484</v>
          </cell>
          <cell r="G70">
            <v>0.30093026159705311</v>
          </cell>
          <cell r="H70">
            <v>0.35087719298245607</v>
          </cell>
          <cell r="L70">
            <v>0.34482758620689652</v>
          </cell>
          <cell r="M70">
            <v>0.34482758620689702</v>
          </cell>
          <cell r="Q70">
            <v>0.33898305084745756</v>
          </cell>
          <cell r="R70">
            <v>0.33898305084745795</v>
          </cell>
          <cell r="AA70">
            <v>0.33333333333333315</v>
          </cell>
          <cell r="AB70">
            <v>0.33333333333333331</v>
          </cell>
        </row>
        <row r="71">
          <cell r="C71">
            <v>3.4262600641113878</v>
          </cell>
          <cell r="D71">
            <v>0.79415776577971608</v>
          </cell>
          <cell r="E71">
            <v>-0.13416579550818777</v>
          </cell>
          <cell r="F71">
            <v>0.54110610586734309</v>
          </cell>
          <cell r="G71">
            <v>0.3611563202356044</v>
          </cell>
          <cell r="H71">
            <v>0.39215686274509787</v>
          </cell>
          <cell r="L71">
            <v>0.38759689922480589</v>
          </cell>
          <cell r="M71">
            <v>0.38759689922480645</v>
          </cell>
          <cell r="Q71">
            <v>0.38167938931297685</v>
          </cell>
          <cell r="R71">
            <v>0.38167938931297707</v>
          </cell>
          <cell r="AA71">
            <v>0.37313432835820914</v>
          </cell>
          <cell r="AB71">
            <v>0.37313432835820876</v>
          </cell>
        </row>
        <row r="74">
          <cell r="C74">
            <v>267.76750000000004</v>
          </cell>
          <cell r="D74">
            <v>374.60090909090906</v>
          </cell>
          <cell r="E74">
            <v>362.58313419117638</v>
          </cell>
          <cell r="F74">
            <v>368.7103202846975</v>
          </cell>
          <cell r="G74">
            <v>399.88898245614035</v>
          </cell>
          <cell r="H74">
            <v>439.87788070175441</v>
          </cell>
          <cell r="L74">
            <v>610.21794899188149</v>
          </cell>
          <cell r="M74">
            <v>665.13756440115094</v>
          </cell>
          <cell r="Q74">
            <v>906.16317767450255</v>
          </cell>
          <cell r="R74">
            <v>983.18704777683536</v>
          </cell>
          <cell r="AA74">
            <v>2014.6729413907133</v>
          </cell>
          <cell r="AB74">
            <v>2185.9201414089239</v>
          </cell>
        </row>
        <row r="75">
          <cell r="C75">
            <v>342.58776956599684</v>
          </cell>
          <cell r="D75">
            <v>405.59096268015668</v>
          </cell>
          <cell r="E75">
            <v>383.19213379437298</v>
          </cell>
          <cell r="F75">
            <v>409.51620553359686</v>
          </cell>
          <cell r="G75">
            <v>446.93474509803929</v>
          </cell>
          <cell r="H75">
            <v>491.62821960784322</v>
          </cell>
          <cell r="L75">
            <v>685.90389615366519</v>
          </cell>
          <cell r="M75">
            <v>747.63524680749515</v>
          </cell>
          <cell r="Q75">
            <v>1020.2982344044972</v>
          </cell>
          <cell r="R75">
            <v>1107.0235843288795</v>
          </cell>
          <cell r="AA75">
            <v>2255.2309045418433</v>
          </cell>
          <cell r="AB75">
            <v>2446.9255314278998</v>
          </cell>
        </row>
        <row r="76">
          <cell r="C76">
            <v>0</v>
          </cell>
          <cell r="D76">
            <v>0</v>
          </cell>
          <cell r="E76">
            <v>0</v>
          </cell>
          <cell r="F76">
            <v>0</v>
          </cell>
          <cell r="G76">
            <v>0</v>
          </cell>
          <cell r="H76">
            <v>0</v>
          </cell>
          <cell r="L76">
            <v>0</v>
          </cell>
          <cell r="M76">
            <v>0</v>
          </cell>
          <cell r="Q76">
            <v>0</v>
          </cell>
          <cell r="R76">
            <v>0</v>
          </cell>
          <cell r="AA76">
            <v>0</v>
          </cell>
          <cell r="AB76">
            <v>0</v>
          </cell>
        </row>
        <row r="77">
          <cell r="C77">
            <v>610.35526956599688</v>
          </cell>
          <cell r="D77">
            <v>780.19187177106573</v>
          </cell>
          <cell r="E77">
            <v>745.77526798554936</v>
          </cell>
          <cell r="F77">
            <v>778.22652581829436</v>
          </cell>
          <cell r="G77">
            <v>846.82372755417964</v>
          </cell>
          <cell r="H77">
            <v>931.50610030959763</v>
          </cell>
          <cell r="I77">
            <v>1000.8438769676559</v>
          </cell>
          <cell r="J77">
            <v>1090.9198258947449</v>
          </cell>
          <cell r="K77">
            <v>1189.1026102252722</v>
          </cell>
          <cell r="L77">
            <v>1296.1218451455466</v>
          </cell>
          <cell r="M77">
            <v>1412.7728112086461</v>
          </cell>
          <cell r="N77">
            <v>1508.2422408309471</v>
          </cell>
          <cell r="O77">
            <v>1636.4428313015778</v>
          </cell>
          <cell r="P77">
            <v>1775.540471962212</v>
          </cell>
          <cell r="Q77">
            <v>1926.4614120789997</v>
          </cell>
          <cell r="R77">
            <v>2090.2106321057149</v>
          </cell>
          <cell r="S77">
            <v>2223.2084772655835</v>
          </cell>
          <cell r="T77">
            <v>2412.1811978331575</v>
          </cell>
          <cell r="U77">
            <v>2617.2165996489757</v>
          </cell>
          <cell r="V77">
            <v>2839.6800106191386</v>
          </cell>
          <cell r="W77">
            <v>3081.0528115217653</v>
          </cell>
          <cell r="X77">
            <v>3342.9423005011158</v>
          </cell>
          <cell r="Y77">
            <v>3627.0923960437103</v>
          </cell>
          <cell r="Z77">
            <v>3935.3952497074251</v>
          </cell>
          <cell r="AA77">
            <v>4269.9038459325566</v>
          </cell>
          <cell r="AB77">
            <v>4632.8456728368237</v>
          </cell>
        </row>
        <row r="78">
          <cell r="C78">
            <v>597.17723525642884</v>
          </cell>
          <cell r="D78">
            <v>695.27357066853131</v>
          </cell>
          <cell r="E78">
            <v>762.98356987830755</v>
          </cell>
          <cell r="F78">
            <v>762.00089690192181</v>
          </cell>
          <cell r="G78">
            <v>812.52512668623694</v>
          </cell>
          <cell r="H78">
            <v>889.16491393188858</v>
          </cell>
          <cell r="I78">
            <v>966.1749886386267</v>
          </cell>
          <cell r="J78">
            <v>1045.8818514312004</v>
          </cell>
          <cell r="K78">
            <v>1140.0112180600086</v>
          </cell>
          <cell r="L78">
            <v>1242.6122276854094</v>
          </cell>
          <cell r="M78">
            <v>1354.4473281770963</v>
          </cell>
          <cell r="N78">
            <v>1460.5075260197966</v>
          </cell>
          <cell r="O78">
            <v>1572.3425360662625</v>
          </cell>
          <cell r="P78">
            <v>1705.9916516318949</v>
          </cell>
          <cell r="Q78">
            <v>1851.0009420206059</v>
          </cell>
          <cell r="R78">
            <v>2008.3360220923573</v>
          </cell>
          <cell r="S78">
            <v>2156.709554685649</v>
          </cell>
          <cell r="T78">
            <v>2317.6948375493703</v>
          </cell>
          <cell r="U78">
            <v>2514.6988987410668</v>
          </cell>
          <cell r="V78">
            <v>2728.4483051340571</v>
          </cell>
          <cell r="W78">
            <v>2960.3664110704522</v>
          </cell>
          <cell r="X78">
            <v>3211.9975560114408</v>
          </cell>
          <cell r="Y78">
            <v>3485.0173482724131</v>
          </cell>
          <cell r="Z78">
            <v>3781.2438228755677</v>
          </cell>
          <cell r="AA78">
            <v>4102.6495478199904</v>
          </cell>
          <cell r="AB78">
            <v>4451.3747593846902</v>
          </cell>
        </row>
        <row r="79">
          <cell r="C79">
            <v>4.5130316234001586E-2</v>
          </cell>
          <cell r="D79">
            <v>0.27825859900551686</v>
          </cell>
          <cell r="E79">
            <v>-4.4112999674540763E-2</v>
          </cell>
          <cell r="F79">
            <v>4.3513454020003513E-2</v>
          </cell>
          <cell r="G79">
            <v>8.8145545622151947E-2</v>
          </cell>
          <cell r="H79">
            <v>0.10000000000000003</v>
          </cell>
          <cell r="L79">
            <v>8.9999999999999886E-2</v>
          </cell>
          <cell r="M79">
            <v>9.000000000000026E-2</v>
          </cell>
          <cell r="Q79">
            <v>8.499999999999984E-2</v>
          </cell>
          <cell r="R79">
            <v>8.5000000000000117E-2</v>
          </cell>
          <cell r="AA79">
            <v>8.5000000000000075E-2</v>
          </cell>
          <cell r="AB79">
            <v>8.4999999999999964E-2</v>
          </cell>
        </row>
        <row r="80">
          <cell r="C80">
            <v>2.7422001256523814</v>
          </cell>
          <cell r="D80">
            <v>2.5658858322946223</v>
          </cell>
          <cell r="E80">
            <v>2.675657819746426</v>
          </cell>
          <cell r="F80">
            <v>2.8335437536291561</v>
          </cell>
          <cell r="G80">
            <v>2.9656118498569266</v>
          </cell>
          <cell r="H80">
            <v>2.9857142857142862</v>
          </cell>
          <cell r="L80">
            <v>3.0248803827751196</v>
          </cell>
          <cell r="M80">
            <v>3.0248803827751196</v>
          </cell>
          <cell r="Q80">
            <v>3.0702637889688251</v>
          </cell>
          <cell r="R80">
            <v>3.0702637889688251</v>
          </cell>
          <cell r="AA80">
            <v>3.122302158273381</v>
          </cell>
          <cell r="AB80">
            <v>3.1223021582733814</v>
          </cell>
        </row>
        <row r="81">
          <cell r="C81">
            <v>2.2830046584365999</v>
          </cell>
          <cell r="D81">
            <v>2.2030083574438222</v>
          </cell>
          <cell r="E81">
            <v>2.5006269262309067</v>
          </cell>
          <cell r="F81">
            <v>2.6140156438327589</v>
          </cell>
          <cell r="G81">
            <v>2.6614100881305078</v>
          </cell>
          <cell r="H81">
            <v>2.6714285714285713</v>
          </cell>
          <cell r="L81">
            <v>2.6911004784688997</v>
          </cell>
          <cell r="M81">
            <v>2.6911004784688997</v>
          </cell>
          <cell r="Q81">
            <v>2.7268105515587528</v>
          </cell>
          <cell r="R81">
            <v>2.7268105515587528</v>
          </cell>
          <cell r="AA81">
            <v>2.7892565947242205</v>
          </cell>
          <cell r="AB81">
            <v>2.7892565947242205</v>
          </cell>
        </row>
        <row r="82">
          <cell r="C82" t="str">
            <v xml:space="preserve">--  </v>
          </cell>
          <cell r="D82" t="str">
            <v xml:space="preserve">--  </v>
          </cell>
          <cell r="E82" t="str">
            <v xml:space="preserve">--  </v>
          </cell>
          <cell r="F82" t="str">
            <v xml:space="preserve">--  </v>
          </cell>
          <cell r="G82" t="str">
            <v xml:space="preserve">--  </v>
          </cell>
          <cell r="H82" t="str">
            <v xml:space="preserve">--  </v>
          </cell>
          <cell r="L82" t="str">
            <v xml:space="preserve">--  </v>
          </cell>
          <cell r="M82" t="str">
            <v xml:space="preserve">--  </v>
          </cell>
          <cell r="Q82" t="str">
            <v xml:space="preserve">--  </v>
          </cell>
          <cell r="R82" t="str">
            <v xml:space="preserve">--  </v>
          </cell>
          <cell r="AA82" t="str">
            <v xml:space="preserve">--  </v>
          </cell>
          <cell r="AB82" t="str">
            <v xml:space="preserve">--  </v>
          </cell>
        </row>
        <row r="83">
          <cell r="C83">
            <v>1.2458110525270412</v>
          </cell>
          <cell r="D83">
            <v>1.1853204763810827</v>
          </cell>
          <cell r="E83">
            <v>1.2925915628265738</v>
          </cell>
          <cell r="F83">
            <v>1.359678189635195</v>
          </cell>
          <cell r="G83">
            <v>1.4026441307089546</v>
          </cell>
          <cell r="H83">
            <v>1.409920634920635</v>
          </cell>
          <cell r="I83">
            <v>1.414320027395263</v>
          </cell>
          <cell r="J83">
            <v>1.4241225159780675</v>
          </cell>
          <cell r="K83">
            <v>1.4241225159780675</v>
          </cell>
          <cell r="L83">
            <v>1.4241225159780675</v>
          </cell>
          <cell r="M83">
            <v>1.4241225159780675</v>
          </cell>
          <cell r="N83">
            <v>1.4329644381167355</v>
          </cell>
          <cell r="O83">
            <v>1.4441815308973649</v>
          </cell>
          <cell r="P83">
            <v>1.4441815308973647</v>
          </cell>
          <cell r="Q83">
            <v>1.4441815308973647</v>
          </cell>
          <cell r="R83">
            <v>1.4441815308973647</v>
          </cell>
          <cell r="S83">
            <v>1.459137572017845</v>
          </cell>
          <cell r="T83">
            <v>1.4731989056642012</v>
          </cell>
          <cell r="U83">
            <v>1.473198905664201</v>
          </cell>
          <cell r="V83">
            <v>1.4731989056642012</v>
          </cell>
          <cell r="W83">
            <v>1.473198905664201</v>
          </cell>
          <cell r="X83">
            <v>1.473198905664201</v>
          </cell>
          <cell r="Y83">
            <v>1.473198905664201</v>
          </cell>
          <cell r="Z83">
            <v>1.473198905664201</v>
          </cell>
          <cell r="AA83">
            <v>1.4731989056642012</v>
          </cell>
          <cell r="AB83">
            <v>1.473198905664201</v>
          </cell>
        </row>
        <row r="85">
          <cell r="C85">
            <v>2.7784178438384042</v>
          </cell>
          <cell r="D85">
            <v>2.2000000000000002</v>
          </cell>
          <cell r="E85">
            <v>2.72</v>
          </cell>
          <cell r="F85">
            <v>2.81</v>
          </cell>
          <cell r="G85">
            <v>2.85</v>
          </cell>
          <cell r="H85">
            <v>2.85</v>
          </cell>
          <cell r="L85">
            <v>2.9</v>
          </cell>
          <cell r="M85">
            <v>2.9</v>
          </cell>
          <cell r="Q85">
            <v>2.95</v>
          </cell>
          <cell r="R85">
            <v>2.95</v>
          </cell>
          <cell r="AA85">
            <v>3</v>
          </cell>
          <cell r="AB85">
            <v>3</v>
          </cell>
        </row>
        <row r="86">
          <cell r="C86">
            <v>2.171618680207088</v>
          </cell>
          <cell r="D86">
            <v>2.031904247950147</v>
          </cell>
          <cell r="E86">
            <v>2.5737118224071494</v>
          </cell>
          <cell r="F86">
            <v>2.5299999999999998</v>
          </cell>
          <cell r="G86">
            <v>2.5499999999999998</v>
          </cell>
          <cell r="H86">
            <v>2.5499999999999998</v>
          </cell>
          <cell r="L86">
            <v>2.58</v>
          </cell>
          <cell r="M86">
            <v>2.58</v>
          </cell>
          <cell r="Q86">
            <v>2.62</v>
          </cell>
          <cell r="R86">
            <v>2.62</v>
          </cell>
          <cell r="AA86">
            <v>2.6799999999999997</v>
          </cell>
          <cell r="AB86">
            <v>2.68</v>
          </cell>
        </row>
        <row r="87">
          <cell r="C87" t="e">
            <v>#DIV/0!</v>
          </cell>
          <cell r="D87" t="e">
            <v>#DIV/0!</v>
          </cell>
          <cell r="E87" t="e">
            <v>#DIV/0!</v>
          </cell>
          <cell r="F87" t="e">
            <v>#DIV/0!</v>
          </cell>
          <cell r="G87" t="e">
            <v>#DIV/0!</v>
          </cell>
          <cell r="H87" t="e">
            <v>#DIV/0!</v>
          </cell>
          <cell r="L87" t="e">
            <v>#DIV/0!</v>
          </cell>
          <cell r="M87" t="e">
            <v>#DIV/0!</v>
          </cell>
          <cell r="Q87" t="e">
            <v>#DIV/0!</v>
          </cell>
          <cell r="R87" t="e">
            <v>#DIV/0!</v>
          </cell>
          <cell r="AA87" t="e">
            <v>#DIV/0!</v>
          </cell>
          <cell r="AB87" t="e">
            <v>#DIV/0!</v>
          </cell>
        </row>
        <row r="88">
          <cell r="C88">
            <v>1.2189130447403396</v>
          </cell>
          <cell r="D88">
            <v>1.0563068263313371</v>
          </cell>
          <cell r="E88">
            <v>1.3224173116707723</v>
          </cell>
          <cell r="F88">
            <v>1.3313295880149814</v>
          </cell>
          <cell r="G88">
            <v>1.3458333333333332</v>
          </cell>
          <cell r="H88">
            <v>1.3458333333333334</v>
          </cell>
          <cell r="L88">
            <v>1.3653284671532848</v>
          </cell>
          <cell r="M88">
            <v>1.3653284671532846</v>
          </cell>
          <cell r="Q88">
            <v>1.3876122082585278</v>
          </cell>
          <cell r="R88">
            <v>1.3876122082585278</v>
          </cell>
          <cell r="AA88">
            <v>1.4154929577464788</v>
          </cell>
          <cell r="AB88">
            <v>1.415492957746479</v>
          </cell>
        </row>
        <row r="91">
          <cell r="C91" t="str">
            <v>N/A</v>
          </cell>
          <cell r="D91" t="str">
            <v>N/A</v>
          </cell>
          <cell r="E91" t="str">
            <v>NM</v>
          </cell>
          <cell r="F91" t="str">
            <v>NM</v>
          </cell>
          <cell r="G91" t="str">
            <v>NM</v>
          </cell>
          <cell r="H91" t="str">
            <v>NM</v>
          </cell>
          <cell r="L91">
            <v>4.5507069415421526</v>
          </cell>
          <cell r="M91">
            <v>0.26730599187098908</v>
          </cell>
          <cell r="Q91">
            <v>0.10853581848037203</v>
          </cell>
        </row>
        <row r="92">
          <cell r="C92">
            <v>-6.1829084895955393E-2</v>
          </cell>
          <cell r="D92">
            <v>0.15368187724306701</v>
          </cell>
          <cell r="E92">
            <v>0.35810203393451906</v>
          </cell>
          <cell r="F92">
            <v>0.36159252694519584</v>
          </cell>
          <cell r="G92">
            <v>1.009698442423538</v>
          </cell>
          <cell r="H92">
            <v>0.33110398489307596</v>
          </cell>
          <cell r="L92">
            <v>0.25053777372262781</v>
          </cell>
          <cell r="M92">
            <v>0.25053777372262753</v>
          </cell>
          <cell r="Q92">
            <v>0.25601445242369825</v>
          </cell>
          <cell r="R92">
            <v>0.25601445242369841</v>
          </cell>
          <cell r="AA92">
            <v>0.26115845070422544</v>
          </cell>
          <cell r="AB92">
            <v>0.26115845070422533</v>
          </cell>
        </row>
        <row r="93">
          <cell r="C93">
            <v>0.10853581848037203</v>
          </cell>
          <cell r="D93">
            <v>0.63129232171039351</v>
          </cell>
          <cell r="E93">
            <v>0.15650977265727781</v>
          </cell>
          <cell r="F93" t="str">
            <v>NM</v>
          </cell>
          <cell r="G93">
            <v>0.71539516648795098</v>
          </cell>
          <cell r="H93">
            <v>0.30320807807994471</v>
          </cell>
          <cell r="L93">
            <v>0.27308617335766328</v>
          </cell>
          <cell r="M93">
            <v>0.27308617335766477</v>
          </cell>
          <cell r="Q93">
            <v>0.27777568087971244</v>
          </cell>
          <cell r="R93">
            <v>0.27777568087971344</v>
          </cell>
          <cell r="AA93">
            <v>0.28335691901408538</v>
          </cell>
          <cell r="AB93">
            <v>0.28335691901408389</v>
          </cell>
        </row>
        <row r="96">
          <cell r="C96">
            <v>0.20777046565914201</v>
          </cell>
          <cell r="D96">
            <v>0.20238677541661504</v>
          </cell>
          <cell r="E96">
            <v>0.21065670933585751</v>
          </cell>
          <cell r="F96">
            <v>0.22077378551320964</v>
          </cell>
          <cell r="G96">
            <v>0.22909373891340909</v>
          </cell>
          <cell r="H96">
            <v>0.23447799035778649</v>
          </cell>
          <cell r="L96">
            <v>0.24586336807130496</v>
          </cell>
          <cell r="M96">
            <v>0.24736758330535419</v>
          </cell>
          <cell r="Q96">
            <v>0.25253549970996664</v>
          </cell>
          <cell r="R96">
            <v>0.25344018965752974</v>
          </cell>
          <cell r="AA96">
            <v>0.26007301327195681</v>
          </cell>
          <cell r="AB96">
            <v>0.2605324288632152</v>
          </cell>
        </row>
        <row r="97">
          <cell r="C97">
            <v>0.16677526277977231</v>
          </cell>
          <cell r="D97">
            <v>0.17074435095774665</v>
          </cell>
          <cell r="E97">
            <v>0.1701871415404107</v>
          </cell>
          <cell r="F97">
            <v>0.17286341671277256</v>
          </cell>
          <cell r="G97">
            <v>0.17522377672372652</v>
          </cell>
          <cell r="H97">
            <v>0.17665543485325244</v>
          </cell>
          <cell r="L97">
            <v>0.17966536563684621</v>
          </cell>
          <cell r="M97">
            <v>0.18004519514714024</v>
          </cell>
          <cell r="Q97">
            <v>0.1813069055962124</v>
          </cell>
          <cell r="R97">
            <v>0.18151804861694679</v>
          </cell>
          <cell r="AA97">
            <v>0.18263059025411099</v>
          </cell>
          <cell r="AB97">
            <v>0.18270500168453541</v>
          </cell>
        </row>
        <row r="98">
          <cell r="C98">
            <v>1.2458110525270412</v>
          </cell>
          <cell r="D98">
            <v>1.1853204763810827</v>
          </cell>
          <cell r="E98">
            <v>1.2377945092040774</v>
          </cell>
          <cell r="F98">
            <v>1.277157363376916</v>
          </cell>
          <cell r="G98">
            <v>1.307435230520221</v>
          </cell>
          <cell r="H98">
            <v>1.3273182936747308</v>
          </cell>
          <cell r="L98">
            <v>1.3684516612303752</v>
          </cell>
          <cell r="M98">
            <v>1.3739193823150646</v>
          </cell>
          <cell r="Q98">
            <v>1.3928620031295833</v>
          </cell>
          <cell r="R98">
            <v>1.3962258386346944</v>
          </cell>
          <cell r="AA98">
            <v>1.4240386175727346</v>
          </cell>
          <cell r="AB98">
            <v>1.4259731614411917</v>
          </cell>
        </row>
        <row r="99">
          <cell r="C99" t="str">
            <v>N/A</v>
          </cell>
          <cell r="D99">
            <v>0.10773552697017341</v>
          </cell>
          <cell r="E99">
            <v>0.15135841566617403</v>
          </cell>
          <cell r="F99">
            <v>0.1167228350190157</v>
          </cell>
          <cell r="G99">
            <v>0.1125184418801124</v>
          </cell>
          <cell r="H99">
            <v>0.11000340787175555</v>
          </cell>
          <cell r="L99">
            <v>0.10106807970812381</v>
          </cell>
          <cell r="M99">
            <v>9.9956233029393493E-2</v>
          </cell>
          <cell r="Q99">
            <v>9.5662109669395923E-2</v>
          </cell>
          <cell r="R99">
            <v>9.494805403153439E-2</v>
          </cell>
          <cell r="AA99">
            <v>9.1206889672184488E-2</v>
          </cell>
          <cell r="AB99">
            <v>9.0957933692161541E-2</v>
          </cell>
        </row>
        <row r="100">
          <cell r="C100" t="str">
            <v>N/A</v>
          </cell>
          <cell r="D100">
            <v>0.13409854934613175</v>
          </cell>
          <cell r="E100">
            <v>0.16117665205676035</v>
          </cell>
          <cell r="F100">
            <v>0.14196672382392261</v>
          </cell>
          <cell r="G100">
            <v>0.13786313628337865</v>
          </cell>
          <cell r="H100">
            <v>0.13018765491023743</v>
          </cell>
          <cell r="L100">
            <v>0.11282218833267743</v>
          </cell>
          <cell r="M100">
            <v>0.11051862971536375</v>
          </cell>
          <cell r="Q100">
            <v>0.10359529069061701</v>
          </cell>
          <cell r="R100">
            <v>0.10234574955660625</v>
          </cell>
          <cell r="AA100">
            <v>9.5808832766655749E-2</v>
          </cell>
          <cell r="AB100">
            <v>9.5374419138029021E-2</v>
          </cell>
        </row>
        <row r="101">
          <cell r="C101" t="str">
            <v>N/A</v>
          </cell>
          <cell r="D101">
            <v>0.27825859900551686</v>
          </cell>
          <cell r="E101">
            <v>0.1053826386566814</v>
          </cell>
          <cell r="F101">
            <v>8.4362384047034222E-2</v>
          </cell>
          <cell r="G101">
            <v>8.5306939563037698E-2</v>
          </cell>
          <cell r="H101">
            <v>8.8229766338703719E-2</v>
          </cell>
          <cell r="L101">
            <v>8.7277367585568699E-2</v>
          </cell>
          <cell r="M101">
            <v>8.7549324516335236E-2</v>
          </cell>
          <cell r="Q101">
            <v>8.5564278415949824E-2</v>
          </cell>
          <cell r="R101">
            <v>8.5526650726534648E-2</v>
          </cell>
          <cell r="AA101">
            <v>8.4429878490707821E-2</v>
          </cell>
          <cell r="AB101">
            <v>8.4452677598197523E-2</v>
          </cell>
        </row>
        <row r="102">
          <cell r="C102" t="str">
            <v>N/A</v>
          </cell>
          <cell r="D102">
            <v>-1.3130280755698958</v>
          </cell>
          <cell r="E102">
            <v>0.45394629864256619</v>
          </cell>
          <cell r="F102">
            <v>0.16831739604215645</v>
          </cell>
          <cell r="G102">
            <v>0.10028095829730344</v>
          </cell>
          <cell r="H102">
            <v>8.6655021187935777E-2</v>
          </cell>
          <cell r="L102">
            <v>9.6377744329680715E-2</v>
          </cell>
          <cell r="M102">
            <v>9.5738294219591458E-2</v>
          </cell>
          <cell r="Q102">
            <v>9.5784085419657439E-2</v>
          </cell>
          <cell r="R102">
            <v>9.5061823449473337E-2</v>
          </cell>
          <cell r="AA102">
            <v>9.1671017412337408E-2</v>
          </cell>
          <cell r="AB102">
            <v>9.1403390879928548E-2</v>
          </cell>
        </row>
        <row r="105">
          <cell r="C105" t="str">
            <v>N/A</v>
          </cell>
          <cell r="D105">
            <v>-2.5911720539526506E-2</v>
          </cell>
          <cell r="E105">
            <v>8.3393759638591414E-2</v>
          </cell>
          <cell r="F105">
            <v>0.1059193601617503</v>
          </cell>
          <cell r="G105">
            <v>5.5646339359847641E-2</v>
          </cell>
          <cell r="H105">
            <v>5.1877051722326595E-3</v>
          </cell>
          <cell r="L105">
            <v>0</v>
          </cell>
          <cell r="M105">
            <v>0</v>
          </cell>
          <cell r="Q105">
            <v>0</v>
          </cell>
          <cell r="R105">
            <v>2.2204460492503131E-16</v>
          </cell>
          <cell r="AA105">
            <v>4.4408920985006262E-16</v>
          </cell>
          <cell r="AB105">
            <v>-4.4408920985006262E-16</v>
          </cell>
        </row>
        <row r="106">
          <cell r="C106" t="str">
            <v>N/A</v>
          </cell>
          <cell r="D106" t="str">
            <v>N/A</v>
          </cell>
          <cell r="E106" t="str">
            <v>N/A</v>
          </cell>
          <cell r="F106" t="str">
            <v>N/A</v>
          </cell>
          <cell r="G106" t="str">
            <v>N/A</v>
          </cell>
          <cell r="H106">
            <v>4.369774340623378E-2</v>
          </cell>
          <cell r="L106">
            <v>4.1407935192749878E-3</v>
          </cell>
          <cell r="M106">
            <v>3.1021868025773447E-3</v>
          </cell>
          <cell r="Q106">
            <v>3.8918931599705164E-3</v>
          </cell>
          <cell r="R106">
            <v>3.8918931599705164E-3</v>
          </cell>
          <cell r="AA106">
            <v>0</v>
          </cell>
          <cell r="AB106">
            <v>0</v>
          </cell>
        </row>
        <row r="107">
          <cell r="C107" t="str">
            <v>N/A</v>
          </cell>
          <cell r="D107" t="str">
            <v>N/A</v>
          </cell>
          <cell r="E107" t="str">
            <v>N/A</v>
          </cell>
          <cell r="F107" t="str">
            <v>N/A</v>
          </cell>
          <cell r="G107" t="str">
            <v>N/A</v>
          </cell>
          <cell r="H107" t="str">
            <v>N/A</v>
          </cell>
          <cell r="L107" t="str">
            <v>N/A</v>
          </cell>
          <cell r="M107">
            <v>2.3198655575596527E-2</v>
          </cell>
          <cell r="Q107">
            <v>4.0163356266769146E-3</v>
          </cell>
          <cell r="R107">
            <v>3.4969622984146742E-3</v>
          </cell>
          <cell r="AA107">
            <v>1.9913216800651057E-3</v>
          </cell>
          <cell r="AB107">
            <v>1.9913216800651057E-3</v>
          </cell>
        </row>
      </sheetData>
      <sheetData sheetId="6" refreshError="1">
        <row r="19">
          <cell r="AD19" t="str">
            <v>PV of Operating Leases</v>
          </cell>
          <cell r="AF19" t="str">
            <v>PV of Operating Leases</v>
          </cell>
        </row>
        <row r="21">
          <cell r="AD21">
            <v>5.7746087600703762</v>
          </cell>
          <cell r="AF21">
            <v>4.0182989450098034</v>
          </cell>
        </row>
        <row r="22">
          <cell r="AD22">
            <v>3.6126374258895892</v>
          </cell>
          <cell r="AF22">
            <v>2.4623989286568593</v>
          </cell>
        </row>
        <row r="23">
          <cell r="AD23">
            <v>2.0033951912320549</v>
          </cell>
          <cell r="AF23">
            <v>2.123166343711079</v>
          </cell>
        </row>
        <row r="24">
          <cell r="AD24">
            <v>1.0191287786580068</v>
          </cell>
          <cell r="AF24">
            <v>1.6608487362452289</v>
          </cell>
        </row>
        <row r="25">
          <cell r="AD25">
            <v>0.70541071068769456</v>
          </cell>
          <cell r="AF25">
            <v>0.74763653205081704</v>
          </cell>
        </row>
        <row r="26">
          <cell r="AD26">
            <v>0</v>
          </cell>
          <cell r="AF26">
            <v>0</v>
          </cell>
        </row>
        <row r="27">
          <cell r="AD27">
            <v>0</v>
          </cell>
          <cell r="AF27">
            <v>0</v>
          </cell>
        </row>
        <row r="28">
          <cell r="AD28">
            <v>0</v>
          </cell>
          <cell r="AF28">
            <v>0</v>
          </cell>
        </row>
        <row r="29">
          <cell r="AD29">
            <v>0</v>
          </cell>
          <cell r="AF29">
            <v>0</v>
          </cell>
        </row>
        <row r="30">
          <cell r="AD30">
            <v>0</v>
          </cell>
          <cell r="AF30">
            <v>0</v>
          </cell>
        </row>
        <row r="31">
          <cell r="AD31">
            <v>0</v>
          </cell>
          <cell r="AF31">
            <v>0</v>
          </cell>
        </row>
        <row r="32">
          <cell r="AD32">
            <v>0</v>
          </cell>
          <cell r="AF32">
            <v>0</v>
          </cell>
        </row>
        <row r="33">
          <cell r="AD33">
            <v>0</v>
          </cell>
          <cell r="AF33">
            <v>0</v>
          </cell>
        </row>
        <row r="34">
          <cell r="AD34">
            <v>0</v>
          </cell>
          <cell r="AF34">
            <v>0</v>
          </cell>
        </row>
        <row r="35">
          <cell r="AD35">
            <v>0</v>
          </cell>
          <cell r="AF35">
            <v>0</v>
          </cell>
        </row>
        <row r="36">
          <cell r="AD36">
            <v>0</v>
          </cell>
          <cell r="AF36">
            <v>0</v>
          </cell>
        </row>
        <row r="37">
          <cell r="AD37">
            <v>0</v>
          </cell>
          <cell r="AF37">
            <v>0</v>
          </cell>
        </row>
        <row r="38">
          <cell r="AD38">
            <v>0</v>
          </cell>
          <cell r="AF38">
            <v>0</v>
          </cell>
        </row>
        <row r="39">
          <cell r="AD39">
            <v>0</v>
          </cell>
          <cell r="AF39">
            <v>0</v>
          </cell>
        </row>
        <row r="40">
          <cell r="AD40">
            <v>0</v>
          </cell>
          <cell r="AF40">
            <v>0</v>
          </cell>
        </row>
        <row r="41">
          <cell r="AD41">
            <v>0</v>
          </cell>
          <cell r="AF41">
            <v>0</v>
          </cell>
        </row>
        <row r="42">
          <cell r="AD42">
            <v>0</v>
          </cell>
          <cell r="AF42">
            <v>0</v>
          </cell>
        </row>
        <row r="43">
          <cell r="AD43">
            <v>0</v>
          </cell>
          <cell r="AF43">
            <v>0</v>
          </cell>
        </row>
        <row r="44">
          <cell r="AD44">
            <v>0</v>
          </cell>
          <cell r="AF44">
            <v>0</v>
          </cell>
        </row>
        <row r="45">
          <cell r="AD45">
            <v>0</v>
          </cell>
          <cell r="AF45">
            <v>0</v>
          </cell>
        </row>
        <row r="46">
          <cell r="AD46">
            <v>0</v>
          </cell>
          <cell r="AF46">
            <v>0</v>
          </cell>
        </row>
        <row r="47">
          <cell r="AD47">
            <v>0</v>
          </cell>
          <cell r="AF47">
            <v>0</v>
          </cell>
        </row>
        <row r="48">
          <cell r="AD48">
            <v>0</v>
          </cell>
          <cell r="AF48">
            <v>0</v>
          </cell>
        </row>
        <row r="49">
          <cell r="AD49">
            <v>0</v>
          </cell>
          <cell r="AF49">
            <v>0</v>
          </cell>
        </row>
        <row r="50">
          <cell r="AD50">
            <v>0</v>
          </cell>
          <cell r="AF50">
            <v>0</v>
          </cell>
        </row>
        <row r="51">
          <cell r="AD51">
            <v>0</v>
          </cell>
          <cell r="AF51">
            <v>0</v>
          </cell>
        </row>
        <row r="52">
          <cell r="AD52">
            <v>0</v>
          </cell>
          <cell r="AF52">
            <v>0</v>
          </cell>
        </row>
        <row r="53">
          <cell r="AD53">
            <v>0</v>
          </cell>
          <cell r="AF53">
            <v>0</v>
          </cell>
        </row>
        <row r="54">
          <cell r="AD54">
            <v>0</v>
          </cell>
          <cell r="AF54">
            <v>0</v>
          </cell>
        </row>
        <row r="55">
          <cell r="AD55">
            <v>0</v>
          </cell>
          <cell r="AF55">
            <v>0</v>
          </cell>
        </row>
        <row r="56">
          <cell r="AD56">
            <v>0</v>
          </cell>
          <cell r="AF56">
            <v>0</v>
          </cell>
        </row>
        <row r="57">
          <cell r="AD57">
            <v>0</v>
          </cell>
          <cell r="AF57">
            <v>0</v>
          </cell>
        </row>
        <row r="58">
          <cell r="AD58">
            <v>0</v>
          </cell>
          <cell r="AF58">
            <v>0</v>
          </cell>
        </row>
        <row r="59">
          <cell r="AD59">
            <v>0</v>
          </cell>
          <cell r="AF59">
            <v>0</v>
          </cell>
        </row>
        <row r="60">
          <cell r="AD60">
            <v>0</v>
          </cell>
          <cell r="AF60">
            <v>0</v>
          </cell>
        </row>
        <row r="62">
          <cell r="D62">
            <v>0</v>
          </cell>
          <cell r="F62">
            <v>0</v>
          </cell>
          <cell r="H62">
            <v>0</v>
          </cell>
          <cell r="J62">
            <v>0</v>
          </cell>
          <cell r="L62">
            <v>0</v>
          </cell>
          <cell r="N62">
            <v>0</v>
          </cell>
          <cell r="P62">
            <v>0</v>
          </cell>
          <cell r="R62">
            <v>12.888850144986806</v>
          </cell>
          <cell r="T62">
            <v>10.177501975436593</v>
          </cell>
          <cell r="V62">
            <v>18.093818837611693</v>
          </cell>
          <cell r="X62">
            <v>17.172975073504414</v>
          </cell>
          <cell r="Z62">
            <v>16.22550233819991</v>
          </cell>
          <cell r="AB62">
            <v>11.046287899978912</v>
          </cell>
          <cell r="AD62">
            <v>13.11518086653772</v>
          </cell>
          <cell r="AF62">
            <v>11.01234948567379</v>
          </cell>
        </row>
        <row r="63">
          <cell r="AD63">
            <v>1.0479029512363638</v>
          </cell>
          <cell r="AF63">
            <v>0.78297804843140639</v>
          </cell>
        </row>
      </sheetData>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ces"/>
      <sheetName val="Major v. River v. Equip."/>
      <sheetName val="LgCapEBITDA"/>
      <sheetName val="SmCapEBITDA"/>
      <sheetName val="SupplyEBITDA"/>
      <sheetName val="LgCapEPS"/>
      <sheetName val="SmCapEPS"/>
      <sheetName val="SupplyEPS"/>
      <sheetName val="LodgingEBITDA"/>
      <sheetName val="LodgingEPS"/>
      <sheetName val="LargerCap Gaming Stock Val 2001"/>
      <sheetName val="LargerCap Gaming Stock Val 2002"/>
      <sheetName val="Smaller Cap Gaming Stock Val"/>
      <sheetName val="Lodging Stock Val."/>
      <sheetName val="Universe Table"/>
      <sheetName val="Universe Table Gaming only"/>
      <sheetName val="Universe Table Lodging Only"/>
      <sheetName val="CruiseEBITDA"/>
      <sheetName val="CruiseEPS"/>
      <sheetName val="Industry (2)"/>
      <sheetName val="Industry"/>
      <sheetName val="Lodging Returns ppt"/>
      <sheetName val="pbos"/>
      <sheetName val="Major v. River"/>
      <sheetName val="Major v. Equipment"/>
      <sheetName val="EBITDA Growth"/>
      <sheetName val="LV REt"/>
      <sheetName val="River Ret"/>
      <sheetName val="Demographics"/>
      <sheetName val="Leisure"/>
      <sheetName val="States"/>
      <sheetName val="nongame"/>
      <sheetName val="nongame2"/>
      <sheetName val="Room Margin"/>
      <sheetName val="Hyp Casino"/>
      <sheetName val="lv gates"/>
      <sheetName val="potential"/>
      <sheetName val="LV Detail $1 Mil"/>
      <sheetName val="Room Mrgn 95"/>
      <sheetName val="ACcap2"/>
      <sheetName val="ACcap"/>
      <sheetName val="LVCap"/>
      <sheetName val="LVCap2"/>
      <sheetName val="LVrooms"/>
      <sheetName val="LV Investment"/>
      <sheetName val="disclosure"/>
      <sheetName val="disclosure inpres"/>
      <sheetName val="EBITDA Mix"/>
      <sheetName val="Free Cash Flow"/>
      <sheetName val="Tougher Comps in 01 "/>
      <sheetName val="Lodging Historical Returns"/>
      <sheetName val="Lodging Recent Price Trends"/>
      <sheetName val="Daily Closes"/>
      <sheetName val="Lodging PE Multiples"/>
      <sheetName val="Lodging EBITDA Multiples"/>
      <sheetName val="Lodging Stock Valuation"/>
      <sheetName val="Cash EPS, PE Multiples"/>
      <sheetName val="ABN EPS Est. V First Call"/>
      <sheetName val="THE LINK FOR ALL"/>
      <sheetName val="Worksheet Cash EPS, P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5">
          <cell r="C5" t="str">
            <v>-</v>
          </cell>
          <cell r="D5" t="str">
            <v>Hold</v>
          </cell>
        </row>
        <row r="6">
          <cell r="C6">
            <v>13</v>
          </cell>
          <cell r="D6" t="str">
            <v>Accumulate</v>
          </cell>
        </row>
        <row r="7">
          <cell r="C7">
            <v>43</v>
          </cell>
          <cell r="D7" t="str">
            <v>Hold</v>
          </cell>
        </row>
        <row r="8">
          <cell r="C8">
            <v>45</v>
          </cell>
          <cell r="D8" t="str">
            <v>Strong Buy</v>
          </cell>
        </row>
      </sheetData>
      <sheetData sheetId="20" refreshError="1">
        <row r="5">
          <cell r="C5">
            <v>81</v>
          </cell>
          <cell r="D5" t="str">
            <v>Accumulate</v>
          </cell>
        </row>
        <row r="6">
          <cell r="C6" t="str">
            <v>—</v>
          </cell>
          <cell r="D6" t="str">
            <v>Hold</v>
          </cell>
        </row>
        <row r="7">
          <cell r="C7" t="str">
            <v>—</v>
          </cell>
          <cell r="D7" t="str">
            <v>Hold</v>
          </cell>
        </row>
        <row r="8">
          <cell r="C8" t="str">
            <v>—</v>
          </cell>
          <cell r="D8" t="str">
            <v>Hold</v>
          </cell>
        </row>
        <row r="9">
          <cell r="C9">
            <v>35</v>
          </cell>
          <cell r="D9" t="str">
            <v>Strong Buy</v>
          </cell>
        </row>
        <row r="11">
          <cell r="C11">
            <v>37</v>
          </cell>
          <cell r="D11" t="str">
            <v>Hold</v>
          </cell>
        </row>
        <row r="12">
          <cell r="C12">
            <v>32</v>
          </cell>
          <cell r="D12" t="str">
            <v>Accumulate</v>
          </cell>
        </row>
        <row r="13">
          <cell r="C13" t="str">
            <v>—</v>
          </cell>
          <cell r="D13" t="str">
            <v>Hold</v>
          </cell>
        </row>
        <row r="14">
          <cell r="D14" t="str">
            <v>Hold</v>
          </cell>
        </row>
        <row r="15">
          <cell r="C15">
            <v>18</v>
          </cell>
          <cell r="D15" t="str">
            <v>Strong Buy/SBI</v>
          </cell>
        </row>
        <row r="16">
          <cell r="C16">
            <v>25</v>
          </cell>
          <cell r="D16" t="str">
            <v>Accumulate</v>
          </cell>
        </row>
        <row r="17">
          <cell r="D17" t="str">
            <v>Hold</v>
          </cell>
        </row>
        <row r="18">
          <cell r="C18">
            <v>21</v>
          </cell>
          <cell r="D18" t="str">
            <v>Strong Buy</v>
          </cell>
        </row>
        <row r="19">
          <cell r="C19" t="str">
            <v>—</v>
          </cell>
          <cell r="D19" t="str">
            <v>Hold</v>
          </cell>
        </row>
        <row r="20">
          <cell r="C20">
            <v>22</v>
          </cell>
          <cell r="D20" t="str">
            <v>Strong Buy</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L_Model_Summary"/>
      <sheetName val="IGT MODEL"/>
      <sheetName val="NEWVSREPLACEMENT"/>
      <sheetName val="Qtr analysis"/>
      <sheetName val="Returns Analysis"/>
      <sheetName val="listofnewgames"/>
      <sheetName val="fintables"/>
      <sheetName val="iQ_US_CoreIndustrials"/>
      <sheetName val="M_modMain"/>
    </sheetNames>
    <sheetDataSet>
      <sheetData sheetId="0" refreshError="1"/>
      <sheetData sheetId="1" refreshError="1">
        <row r="2">
          <cell r="N2" t="str">
            <v>Annual</v>
          </cell>
          <cell r="O2" t="str">
            <v>12/31/93</v>
          </cell>
          <cell r="P2" t="str">
            <v>3/31/94</v>
          </cell>
          <cell r="Q2" t="str">
            <v>6/30/94</v>
          </cell>
          <cell r="R2" t="str">
            <v>9/30/94</v>
          </cell>
          <cell r="S2" t="str">
            <v>Annual</v>
          </cell>
          <cell r="T2" t="str">
            <v>12/31/94</v>
          </cell>
          <cell r="U2" t="str">
            <v>3/31/95</v>
          </cell>
          <cell r="V2" t="str">
            <v>6/30/95</v>
          </cell>
          <cell r="W2" t="str">
            <v>9/30/95</v>
          </cell>
          <cell r="X2" t="str">
            <v>Annual</v>
          </cell>
          <cell r="Y2" t="str">
            <v>12/31/95</v>
          </cell>
          <cell r="Z2" t="str">
            <v>3/31/96</v>
          </cell>
          <cell r="AA2" t="str">
            <v>6/30/96</v>
          </cell>
          <cell r="AB2" t="str">
            <v>9/30/96</v>
          </cell>
          <cell r="AC2" t="str">
            <v>Annual</v>
          </cell>
          <cell r="AD2" t="str">
            <v>12/31/96</v>
          </cell>
          <cell r="AE2" t="str">
            <v>3/31/97</v>
          </cell>
          <cell r="AF2" t="str">
            <v>6/30/97</v>
          </cell>
          <cell r="AG2" t="str">
            <v>9/30/97</v>
          </cell>
          <cell r="AH2" t="str">
            <v>Annual</v>
          </cell>
        </row>
        <row r="3">
          <cell r="E3" t="str">
            <v>1Q/92</v>
          </cell>
          <cell r="F3" t="str">
            <v>2Q/92</v>
          </cell>
          <cell r="G3" t="str">
            <v>3Q/92</v>
          </cell>
          <cell r="H3" t="str">
            <v>4Q/92</v>
          </cell>
          <cell r="I3">
            <v>1992</v>
          </cell>
          <cell r="J3" t="str">
            <v>1Q/93</v>
          </cell>
          <cell r="K3" t="str">
            <v>2Q/93</v>
          </cell>
          <cell r="L3" t="str">
            <v>3Q/93</v>
          </cell>
          <cell r="M3" t="str">
            <v>4Q/93</v>
          </cell>
          <cell r="N3" t="str">
            <v>1993A</v>
          </cell>
          <cell r="O3" t="str">
            <v>1Q94 A</v>
          </cell>
          <cell r="P3" t="str">
            <v>2Q94 A</v>
          </cell>
          <cell r="Q3" t="str">
            <v>3Q94 A</v>
          </cell>
          <cell r="R3" t="str">
            <v>4Q94 A</v>
          </cell>
          <cell r="S3" t="str">
            <v>1994A</v>
          </cell>
          <cell r="T3" t="str">
            <v>1Q95 A</v>
          </cell>
          <cell r="U3" t="str">
            <v>2Q95 A</v>
          </cell>
          <cell r="V3" t="str">
            <v>3Q95 A</v>
          </cell>
          <cell r="W3" t="str">
            <v>4Q95 A</v>
          </cell>
          <cell r="X3" t="str">
            <v>1995A</v>
          </cell>
          <cell r="Y3" t="str">
            <v>1Q96A</v>
          </cell>
          <cell r="Z3" t="str">
            <v>2Q96A</v>
          </cell>
          <cell r="AA3" t="str">
            <v>3Q96A</v>
          </cell>
          <cell r="AB3" t="str">
            <v>4Q96A</v>
          </cell>
          <cell r="AC3" t="str">
            <v>1996A</v>
          </cell>
          <cell r="AD3" t="str">
            <v>1Q97A</v>
          </cell>
          <cell r="AE3" t="str">
            <v>2Q97A</v>
          </cell>
          <cell r="AF3" t="str">
            <v>3Q97A</v>
          </cell>
          <cell r="AG3" t="str">
            <v>4Q97A</v>
          </cell>
          <cell r="AH3" t="str">
            <v>1997A</v>
          </cell>
        </row>
        <row r="4">
          <cell r="A4" t="str">
            <v>Revenues</v>
          </cell>
        </row>
        <row r="5">
          <cell r="A5" t="str">
            <v>Product Rev.</v>
          </cell>
          <cell r="E5">
            <v>41.767000000000003</v>
          </cell>
          <cell r="F5">
            <v>38.049999999999997</v>
          </cell>
          <cell r="G5">
            <v>78.849999999999994</v>
          </cell>
          <cell r="H5">
            <v>77.7</v>
          </cell>
          <cell r="I5">
            <v>236.36700000000002</v>
          </cell>
          <cell r="J5">
            <v>55.048000000000002</v>
          </cell>
          <cell r="K5">
            <v>67</v>
          </cell>
          <cell r="L5">
            <v>92.09</v>
          </cell>
          <cell r="M5">
            <v>121.479</v>
          </cell>
          <cell r="N5">
            <v>335.61700000000002</v>
          </cell>
          <cell r="O5">
            <v>113.49</v>
          </cell>
          <cell r="P5">
            <v>127</v>
          </cell>
          <cell r="Q5">
            <v>146.881</v>
          </cell>
          <cell r="R5">
            <v>126.79600000000001</v>
          </cell>
          <cell r="S5">
            <v>514.20000000000005</v>
          </cell>
          <cell r="T5">
            <v>114.14400000000001</v>
          </cell>
          <cell r="U5">
            <v>101.785</v>
          </cell>
          <cell r="V5">
            <v>97.293999999999997</v>
          </cell>
          <cell r="W5">
            <v>103.20099999999999</v>
          </cell>
          <cell r="X5">
            <v>416.42399999999998</v>
          </cell>
          <cell r="Y5">
            <v>99.08</v>
          </cell>
          <cell r="Z5">
            <v>100.124</v>
          </cell>
          <cell r="AA5">
            <v>134.447</v>
          </cell>
          <cell r="AB5">
            <v>147.999</v>
          </cell>
          <cell r="AC5">
            <v>481.65</v>
          </cell>
          <cell r="AD5">
            <v>129.333</v>
          </cell>
          <cell r="AE5">
            <v>98.222999999999999</v>
          </cell>
          <cell r="AF5">
            <v>87.293999999999997</v>
          </cell>
          <cell r="AG5">
            <v>146.29900000000001</v>
          </cell>
          <cell r="AH5">
            <v>461.149</v>
          </cell>
        </row>
        <row r="6">
          <cell r="A6" t="str">
            <v>Gaming Operations</v>
          </cell>
          <cell r="E6">
            <v>31.875</v>
          </cell>
          <cell r="F6">
            <v>37.1</v>
          </cell>
          <cell r="G6">
            <v>44.5</v>
          </cell>
          <cell r="H6">
            <v>49.6</v>
          </cell>
          <cell r="I6">
            <v>163.03299999999996</v>
          </cell>
          <cell r="J6">
            <v>32.216000000000001</v>
          </cell>
          <cell r="K6">
            <v>31.696999999999999</v>
          </cell>
          <cell r="L6">
            <v>39.896999999999998</v>
          </cell>
          <cell r="M6">
            <v>38.579000000000001</v>
          </cell>
          <cell r="N6">
            <v>142.38900000000001</v>
          </cell>
          <cell r="O6">
            <v>36.347999999999999</v>
          </cell>
          <cell r="P6">
            <v>37.5</v>
          </cell>
          <cell r="Q6">
            <v>40.801000000000002</v>
          </cell>
          <cell r="R6">
            <v>45.679000000000002</v>
          </cell>
          <cell r="S6">
            <v>160.328</v>
          </cell>
          <cell r="T6">
            <v>45.036000000000001</v>
          </cell>
          <cell r="U6">
            <v>48.24</v>
          </cell>
          <cell r="V6">
            <v>53.481000000000002</v>
          </cell>
          <cell r="W6">
            <v>57.604999999999997</v>
          </cell>
          <cell r="X6">
            <v>204.36199999999999</v>
          </cell>
          <cell r="Y6">
            <v>57.143000000000001</v>
          </cell>
          <cell r="Z6">
            <v>60.423000000000002</v>
          </cell>
          <cell r="AA6">
            <v>62.188000000000002</v>
          </cell>
          <cell r="AB6">
            <v>72.048000000000002</v>
          </cell>
          <cell r="AC6">
            <v>251.80200000000002</v>
          </cell>
          <cell r="AD6">
            <v>60.048000000000002</v>
          </cell>
          <cell r="AE6">
            <v>66.147999999999996</v>
          </cell>
          <cell r="AF6">
            <v>76.555000000000007</v>
          </cell>
          <cell r="AG6">
            <v>80.067999999999998</v>
          </cell>
          <cell r="AH6">
            <v>282.81900000000002</v>
          </cell>
        </row>
        <row r="7">
          <cell r="A7" t="str">
            <v>Gaming Systems</v>
          </cell>
        </row>
        <row r="8">
          <cell r="A8" t="str">
            <v xml:space="preserve">Casino Operations </v>
          </cell>
        </row>
        <row r="9">
          <cell r="A9" t="str">
            <v>Total Revenues</v>
          </cell>
          <cell r="E9">
            <v>73.641999999999996</v>
          </cell>
          <cell r="F9">
            <v>75.150000000000006</v>
          </cell>
          <cell r="G9">
            <v>123.35</v>
          </cell>
          <cell r="H9">
            <v>127.30000000000001</v>
          </cell>
          <cell r="I9">
            <v>399.4</v>
          </cell>
          <cell r="J9">
            <v>87.26400000000001</v>
          </cell>
          <cell r="K9">
            <v>98.697000000000003</v>
          </cell>
          <cell r="L9">
            <v>131.98699999999999</v>
          </cell>
          <cell r="M9">
            <v>160.05799999999999</v>
          </cell>
          <cell r="N9">
            <v>478.00600000000003</v>
          </cell>
          <cell r="O9">
            <v>149.83799999999999</v>
          </cell>
          <cell r="P9">
            <v>164.5</v>
          </cell>
          <cell r="Q9">
            <v>187.68200000000002</v>
          </cell>
          <cell r="R9">
            <v>172.47500000000002</v>
          </cell>
          <cell r="S9">
            <v>674.46100000000001</v>
          </cell>
          <cell r="T9">
            <v>159.18</v>
          </cell>
          <cell r="U9">
            <v>150.02500000000001</v>
          </cell>
          <cell r="V9">
            <v>150.77500000000001</v>
          </cell>
          <cell r="W9">
            <v>160.80599999999998</v>
          </cell>
          <cell r="X9">
            <v>620.78600000000006</v>
          </cell>
          <cell r="Y9">
            <v>156.22300000000001</v>
          </cell>
          <cell r="Z9">
            <v>160.547</v>
          </cell>
          <cell r="AA9">
            <v>196.63499999999999</v>
          </cell>
          <cell r="AB9">
            <v>220.047</v>
          </cell>
          <cell r="AC9">
            <v>733.452</v>
          </cell>
          <cell r="AD9">
            <v>189.381</v>
          </cell>
          <cell r="AE9">
            <v>164.37099999999998</v>
          </cell>
          <cell r="AF9">
            <v>163.84899999999999</v>
          </cell>
          <cell r="AG9">
            <v>226.36700000000002</v>
          </cell>
          <cell r="AH9">
            <v>743.96799999999985</v>
          </cell>
        </row>
        <row r="10">
          <cell r="A10" t="str">
            <v>Costs and Expenses</v>
          </cell>
        </row>
        <row r="11">
          <cell r="A11" t="str">
            <v>Products</v>
          </cell>
          <cell r="E11">
            <v>22.765000000000001</v>
          </cell>
          <cell r="F11">
            <v>19.53</v>
          </cell>
          <cell r="G11">
            <v>41.936</v>
          </cell>
          <cell r="H11">
            <v>37.9</v>
          </cell>
          <cell r="I11" t="e">
            <v>#REF!</v>
          </cell>
          <cell r="J11">
            <v>27.795000000000002</v>
          </cell>
          <cell r="K11">
            <v>33.509</v>
          </cell>
          <cell r="L11">
            <v>46.463000000000001</v>
          </cell>
          <cell r="M11">
            <v>59.25</v>
          </cell>
          <cell r="N11">
            <v>167.017</v>
          </cell>
          <cell r="O11">
            <v>60.481000000000002</v>
          </cell>
          <cell r="P11">
            <v>66.7</v>
          </cell>
          <cell r="Q11">
            <v>77.016000000000005</v>
          </cell>
          <cell r="R11">
            <v>67.198999999999998</v>
          </cell>
          <cell r="S11">
            <v>271.39600000000002</v>
          </cell>
          <cell r="T11">
            <v>66.251999999999995</v>
          </cell>
          <cell r="U11">
            <v>57.104999999999997</v>
          </cell>
          <cell r="V11">
            <v>54.097000000000001</v>
          </cell>
          <cell r="W11">
            <v>55.991</v>
          </cell>
          <cell r="X11">
            <v>233.44499999999999</v>
          </cell>
          <cell r="Y11">
            <v>54.93</v>
          </cell>
          <cell r="Z11">
            <v>54.481000000000002</v>
          </cell>
          <cell r="AA11">
            <v>72.725999999999999</v>
          </cell>
          <cell r="AB11">
            <v>83.412000000000006</v>
          </cell>
          <cell r="AC11">
            <v>265.54899999999998</v>
          </cell>
          <cell r="AD11">
            <v>68.701999999999998</v>
          </cell>
          <cell r="AE11">
            <v>53.424999999999997</v>
          </cell>
          <cell r="AF11">
            <v>49.241</v>
          </cell>
          <cell r="AG11">
            <v>85.114000000000004</v>
          </cell>
          <cell r="AH11">
            <v>256.48199999999997</v>
          </cell>
        </row>
        <row r="12">
          <cell r="A12" t="str">
            <v>Gaming Operations</v>
          </cell>
          <cell r="E12">
            <v>14.004</v>
          </cell>
          <cell r="F12">
            <v>15.8</v>
          </cell>
          <cell r="G12">
            <v>20.399999999999999</v>
          </cell>
          <cell r="H12">
            <v>20.2</v>
          </cell>
          <cell r="I12">
            <v>70.403999999999996</v>
          </cell>
          <cell r="J12">
            <v>12.739000000000001</v>
          </cell>
          <cell r="K12">
            <v>15.009</v>
          </cell>
          <cell r="L12">
            <v>17.268000000000001</v>
          </cell>
          <cell r="M12">
            <v>17.699000000000002</v>
          </cell>
          <cell r="N12">
            <v>62.715000000000003</v>
          </cell>
          <cell r="O12">
            <v>16.936</v>
          </cell>
          <cell r="P12">
            <v>16.5</v>
          </cell>
          <cell r="Q12">
            <v>17.678000000000001</v>
          </cell>
          <cell r="R12">
            <v>19.603999999999999</v>
          </cell>
          <cell r="S12">
            <v>70.718000000000004</v>
          </cell>
          <cell r="T12">
            <v>19.015999999999998</v>
          </cell>
          <cell r="U12">
            <v>22.634</v>
          </cell>
          <cell r="V12">
            <v>26.67</v>
          </cell>
          <cell r="W12">
            <v>28.943000000000001</v>
          </cell>
          <cell r="X12">
            <v>97.262999999999991</v>
          </cell>
          <cell r="Y12">
            <v>30.277000000000001</v>
          </cell>
          <cell r="Z12">
            <v>31.038</v>
          </cell>
          <cell r="AA12">
            <v>29.323</v>
          </cell>
          <cell r="AB12">
            <v>38.076000000000001</v>
          </cell>
          <cell r="AC12">
            <v>128.714</v>
          </cell>
          <cell r="AD12">
            <v>33.786999999999999</v>
          </cell>
          <cell r="AE12">
            <v>32.862000000000002</v>
          </cell>
          <cell r="AF12">
            <v>38.69</v>
          </cell>
          <cell r="AG12">
            <v>39.905999999999999</v>
          </cell>
          <cell r="AH12">
            <v>145.245</v>
          </cell>
        </row>
        <row r="13">
          <cell r="A13" t="str">
            <v>Gaming Systems</v>
          </cell>
        </row>
        <row r="14">
          <cell r="A14" t="str">
            <v xml:space="preserve">Casino Operations </v>
          </cell>
        </row>
        <row r="15">
          <cell r="A15" t="str">
            <v>SG&amp;A</v>
          </cell>
          <cell r="E15">
            <v>15.173</v>
          </cell>
          <cell r="F15">
            <v>15.048999999999999</v>
          </cell>
          <cell r="G15">
            <v>17.138000000000002</v>
          </cell>
          <cell r="H15">
            <v>18.8</v>
          </cell>
          <cell r="I15">
            <v>66.16</v>
          </cell>
          <cell r="J15">
            <v>11.920999999999999</v>
          </cell>
          <cell r="K15">
            <v>12.491</v>
          </cell>
          <cell r="L15">
            <v>15.215999999999999</v>
          </cell>
          <cell r="M15">
            <v>17.898</v>
          </cell>
          <cell r="N15">
            <v>57.526000000000003</v>
          </cell>
          <cell r="O15">
            <v>16.8</v>
          </cell>
          <cell r="P15">
            <v>23</v>
          </cell>
          <cell r="Q15">
            <v>18.773</v>
          </cell>
          <cell r="R15">
            <v>25.259</v>
          </cell>
          <cell r="S15">
            <v>83.831999999999994</v>
          </cell>
          <cell r="T15">
            <v>22.352</v>
          </cell>
          <cell r="U15">
            <v>21.852</v>
          </cell>
          <cell r="V15">
            <v>19.619</v>
          </cell>
          <cell r="W15">
            <v>24.727</v>
          </cell>
          <cell r="X15">
            <v>88.55</v>
          </cell>
          <cell r="Y15">
            <v>25.509</v>
          </cell>
          <cell r="Z15">
            <v>25.123000000000001</v>
          </cell>
          <cell r="AA15">
            <v>25.872</v>
          </cell>
          <cell r="AB15">
            <v>28.463000000000001</v>
          </cell>
          <cell r="AC15">
            <v>104.96700000000001</v>
          </cell>
          <cell r="AD15">
            <v>23.815999999999999</v>
          </cell>
          <cell r="AE15">
            <v>26.074000000000002</v>
          </cell>
          <cell r="AF15">
            <v>21.619</v>
          </cell>
          <cell r="AG15">
            <v>26.87</v>
          </cell>
          <cell r="AH15">
            <v>98.379000000000005</v>
          </cell>
        </row>
        <row r="16">
          <cell r="A16" t="str">
            <v>Depreciation &amp; Amortization</v>
          </cell>
          <cell r="E16">
            <v>3.278</v>
          </cell>
          <cell r="F16">
            <v>3.3079999999999998</v>
          </cell>
          <cell r="G16">
            <v>4.7889999999999997</v>
          </cell>
          <cell r="H16">
            <v>7.6</v>
          </cell>
          <cell r="I16">
            <v>18.975000000000001</v>
          </cell>
          <cell r="J16">
            <v>5.0289999999999999</v>
          </cell>
          <cell r="K16">
            <v>4.835</v>
          </cell>
          <cell r="L16">
            <v>5.2629999999999999</v>
          </cell>
          <cell r="M16">
            <v>5.069</v>
          </cell>
          <cell r="N16">
            <v>20.196000000000002</v>
          </cell>
          <cell r="O16">
            <v>4.5590000000000002</v>
          </cell>
          <cell r="P16">
            <v>4.7</v>
          </cell>
          <cell r="Q16">
            <v>5.1219999999999999</v>
          </cell>
          <cell r="R16">
            <v>5.7069999999999999</v>
          </cell>
          <cell r="S16">
            <v>20.074000000000002</v>
          </cell>
          <cell r="T16">
            <v>6.2590000000000003</v>
          </cell>
          <cell r="U16">
            <v>6.8620000000000001</v>
          </cell>
          <cell r="V16">
            <v>7.0910000000000002</v>
          </cell>
          <cell r="W16">
            <v>7.6820000000000004</v>
          </cell>
          <cell r="X16">
            <v>27.893999999999998</v>
          </cell>
          <cell r="Y16">
            <v>6.8659999999999997</v>
          </cell>
          <cell r="Z16">
            <v>6.5149999999999997</v>
          </cell>
          <cell r="AA16">
            <v>6.9450000000000003</v>
          </cell>
          <cell r="AB16">
            <v>3.2349999999999999</v>
          </cell>
          <cell r="AC16">
            <v>23.6</v>
          </cell>
          <cell r="AD16">
            <v>3.093</v>
          </cell>
          <cell r="AE16">
            <v>2.4140000000000001</v>
          </cell>
          <cell r="AF16">
            <v>3.0910000000000002</v>
          </cell>
          <cell r="AG16">
            <v>3.2490000000000001</v>
          </cell>
          <cell r="AH16">
            <v>11.847</v>
          </cell>
        </row>
        <row r="17">
          <cell r="A17" t="str">
            <v>Research &amp; Development</v>
          </cell>
          <cell r="E17">
            <v>2.306</v>
          </cell>
          <cell r="F17">
            <v>2.2210000000000001</v>
          </cell>
          <cell r="G17">
            <v>3.34</v>
          </cell>
          <cell r="H17">
            <v>3.9</v>
          </cell>
          <cell r="I17">
            <v>11.766999999999999</v>
          </cell>
          <cell r="J17">
            <v>3.6280000000000001</v>
          </cell>
          <cell r="K17">
            <v>4.2560000000000002</v>
          </cell>
          <cell r="L17">
            <v>4.1100000000000003</v>
          </cell>
          <cell r="M17">
            <v>4.5270000000000001</v>
          </cell>
          <cell r="N17">
            <v>16.523</v>
          </cell>
          <cell r="O17">
            <v>3.8759999999999999</v>
          </cell>
          <cell r="P17">
            <v>5.3</v>
          </cell>
          <cell r="Q17">
            <v>6.1440000000000001</v>
          </cell>
          <cell r="R17">
            <v>8.0619999999999994</v>
          </cell>
          <cell r="S17">
            <v>23.344999999999999</v>
          </cell>
          <cell r="T17">
            <v>7.0789999999999997</v>
          </cell>
          <cell r="U17">
            <v>7.2169999999999996</v>
          </cell>
          <cell r="V17">
            <v>7.0629999999999997</v>
          </cell>
          <cell r="W17">
            <v>7.133</v>
          </cell>
          <cell r="X17">
            <v>28.491999999999997</v>
          </cell>
          <cell r="Y17">
            <v>6.3029999999999999</v>
          </cell>
          <cell r="Z17">
            <v>6.3689999999999998</v>
          </cell>
          <cell r="AA17">
            <v>6.0179999999999998</v>
          </cell>
          <cell r="AB17">
            <v>7.0129999999999999</v>
          </cell>
          <cell r="AC17">
            <v>25.703000000000003</v>
          </cell>
          <cell r="AD17">
            <v>7.3949999999999996</v>
          </cell>
          <cell r="AE17">
            <v>7.2889999999999997</v>
          </cell>
          <cell r="AF17">
            <v>8.1389999999999993</v>
          </cell>
          <cell r="AG17">
            <v>8.2509999999999994</v>
          </cell>
          <cell r="AH17">
            <v>31.073999999999998</v>
          </cell>
        </row>
        <row r="18">
          <cell r="A18" t="str">
            <v>Provision for Bad Debts</v>
          </cell>
          <cell r="E18">
            <v>1.2</v>
          </cell>
          <cell r="F18">
            <v>0.79100000000000004</v>
          </cell>
          <cell r="G18">
            <v>1.2989999999999999</v>
          </cell>
          <cell r="H18">
            <v>1.4</v>
          </cell>
          <cell r="I18">
            <v>4.6899999999999995</v>
          </cell>
          <cell r="J18">
            <v>0.96099999999999997</v>
          </cell>
          <cell r="K18">
            <v>1.18</v>
          </cell>
          <cell r="L18">
            <v>1.35</v>
          </cell>
          <cell r="M18">
            <v>0.35099999999999998</v>
          </cell>
          <cell r="N18">
            <v>3.8</v>
          </cell>
          <cell r="O18">
            <v>1.5660000000000001</v>
          </cell>
          <cell r="P18">
            <v>3.2</v>
          </cell>
          <cell r="Q18">
            <v>1.2909999999999999</v>
          </cell>
          <cell r="R18">
            <v>1.1020000000000001</v>
          </cell>
          <cell r="S18">
            <v>7.1590000000000007</v>
          </cell>
          <cell r="T18">
            <v>1.486</v>
          </cell>
          <cell r="U18">
            <v>2.1269999999999998</v>
          </cell>
          <cell r="V18">
            <v>1.835</v>
          </cell>
          <cell r="W18">
            <v>0.43</v>
          </cell>
          <cell r="X18">
            <v>5.8779999999999992</v>
          </cell>
          <cell r="Y18">
            <v>1.6639999999999999</v>
          </cell>
          <cell r="Z18">
            <v>4.4690000000000003</v>
          </cell>
          <cell r="AA18">
            <v>4.4610000000000003</v>
          </cell>
          <cell r="AB18">
            <v>1.0269999999999999</v>
          </cell>
          <cell r="AC18">
            <v>11.621</v>
          </cell>
          <cell r="AD18">
            <v>2.8140000000000001</v>
          </cell>
          <cell r="AE18">
            <v>2.2839999999999998</v>
          </cell>
          <cell r="AF18">
            <v>1.17</v>
          </cell>
          <cell r="AG18">
            <v>3.2389999999999999</v>
          </cell>
          <cell r="AH18">
            <v>9.5069999999999997</v>
          </cell>
        </row>
        <row r="19">
          <cell r="A19" t="str">
            <v>Total Costs &amp; Expenses</v>
          </cell>
          <cell r="E19">
            <v>58.725999999999999</v>
          </cell>
          <cell r="F19">
            <v>56.698999999999998</v>
          </cell>
          <cell r="G19">
            <v>88.902000000000015</v>
          </cell>
          <cell r="H19">
            <v>89.8</v>
          </cell>
          <cell r="I19" t="e">
            <v>#REF!</v>
          </cell>
          <cell r="J19">
            <v>62.073000000000008</v>
          </cell>
          <cell r="K19">
            <v>71.28</v>
          </cell>
          <cell r="L19">
            <v>89.67</v>
          </cell>
          <cell r="M19">
            <v>104.794</v>
          </cell>
          <cell r="N19">
            <v>327.77700000000004</v>
          </cell>
          <cell r="O19">
            <v>104.218</v>
          </cell>
          <cell r="P19">
            <v>119.4</v>
          </cell>
          <cell r="Q19">
            <v>126.024</v>
          </cell>
          <cell r="R19">
            <v>126.93299999999999</v>
          </cell>
          <cell r="S19">
            <v>476.524</v>
          </cell>
          <cell r="T19">
            <v>122.444</v>
          </cell>
          <cell r="U19">
            <v>117.797</v>
          </cell>
          <cell r="V19">
            <v>116.37499999999999</v>
          </cell>
          <cell r="W19">
            <v>124.90600000000001</v>
          </cell>
          <cell r="X19">
            <v>481.52199999999999</v>
          </cell>
          <cell r="Y19">
            <v>125.54899999999999</v>
          </cell>
          <cell r="Z19">
            <v>127.995</v>
          </cell>
          <cell r="AA19">
            <v>145.34500000000003</v>
          </cell>
          <cell r="AB19">
            <v>161.226</v>
          </cell>
          <cell r="AC19">
            <v>560.11500000000001</v>
          </cell>
          <cell r="AD19">
            <v>139.607</v>
          </cell>
          <cell r="AE19">
            <v>124.34800000000001</v>
          </cell>
          <cell r="AF19">
            <v>121.94999999999999</v>
          </cell>
          <cell r="AG19">
            <v>166.62900000000002</v>
          </cell>
          <cell r="AH19">
            <v>552.53400000000011</v>
          </cell>
        </row>
        <row r="20">
          <cell r="A20" t="str">
            <v>Operating Income</v>
          </cell>
          <cell r="E20">
            <v>14.916</v>
          </cell>
          <cell r="F20">
            <v>18.471</v>
          </cell>
          <cell r="G20">
            <v>34.436</v>
          </cell>
          <cell r="H20">
            <v>37.5</v>
          </cell>
          <cell r="I20">
            <v>105.32300000000001</v>
          </cell>
          <cell r="J20">
            <v>25.191000000000003</v>
          </cell>
          <cell r="K20">
            <v>27.417000000000002</v>
          </cell>
          <cell r="L20">
            <v>42.316999999999993</v>
          </cell>
          <cell r="M20">
            <v>55.263999999999996</v>
          </cell>
          <cell r="N20">
            <v>150.22899999999998</v>
          </cell>
          <cell r="O20">
            <v>45.61999999999999</v>
          </cell>
          <cell r="P20">
            <v>45.099999999999994</v>
          </cell>
          <cell r="Q20">
            <v>61.658000000000015</v>
          </cell>
          <cell r="R20">
            <v>45.54200000000003</v>
          </cell>
          <cell r="S20">
            <v>197.93700000000001</v>
          </cell>
          <cell r="T20">
            <v>36.736000000000004</v>
          </cell>
          <cell r="U20">
            <v>32.228000000000009</v>
          </cell>
          <cell r="V20">
            <v>34.40000000000002</v>
          </cell>
          <cell r="W20">
            <v>35.899999999999977</v>
          </cell>
          <cell r="X20">
            <v>139.26400000000007</v>
          </cell>
          <cell r="Y20">
            <v>30.674000000000021</v>
          </cell>
          <cell r="Z20">
            <v>32.551999999999992</v>
          </cell>
          <cell r="AA20">
            <v>51.29</v>
          </cell>
          <cell r="AB20">
            <v>58.820999999999998</v>
          </cell>
          <cell r="AC20">
            <v>173.33700000000002</v>
          </cell>
          <cell r="AD20">
            <v>49.774000000000001</v>
          </cell>
          <cell r="AE20">
            <v>40.022999999999968</v>
          </cell>
          <cell r="AF20">
            <v>41.899000000000001</v>
          </cell>
          <cell r="AG20">
            <v>59.738</v>
          </cell>
          <cell r="AH20">
            <v>191.43399999999997</v>
          </cell>
        </row>
        <row r="21">
          <cell r="A21" t="str">
            <v>Interest Income</v>
          </cell>
          <cell r="E21">
            <v>5.3550000000000004</v>
          </cell>
          <cell r="F21">
            <v>5.0289999999999999</v>
          </cell>
          <cell r="G21">
            <v>5.23</v>
          </cell>
          <cell r="H21">
            <v>4.4000000000000004</v>
          </cell>
          <cell r="I21">
            <v>20.014000000000003</v>
          </cell>
          <cell r="J21">
            <v>5.4249999999999998</v>
          </cell>
          <cell r="K21">
            <v>6.3179999999999996</v>
          </cell>
          <cell r="L21">
            <v>6.8079999999999998</v>
          </cell>
          <cell r="M21">
            <v>7.8</v>
          </cell>
          <cell r="N21">
            <v>26.283000000000001</v>
          </cell>
          <cell r="O21">
            <v>6.7350000000000003</v>
          </cell>
          <cell r="P21">
            <v>7.1</v>
          </cell>
          <cell r="Q21">
            <v>7.2229999999999999</v>
          </cell>
          <cell r="R21">
            <v>8.4700000000000006</v>
          </cell>
          <cell r="S21">
            <v>29.527999999999999</v>
          </cell>
          <cell r="T21">
            <v>8.9909999999999997</v>
          </cell>
          <cell r="U21">
            <v>9.5570000000000004</v>
          </cell>
          <cell r="V21">
            <v>10.19</v>
          </cell>
          <cell r="W21">
            <v>8.8360000000000003</v>
          </cell>
          <cell r="X21">
            <v>37.573999999999998</v>
          </cell>
          <cell r="Y21">
            <v>9.73</v>
          </cell>
          <cell r="Z21">
            <v>9.3409999999999993</v>
          </cell>
          <cell r="AA21">
            <v>9.6940000000000008</v>
          </cell>
          <cell r="AB21">
            <v>10.411</v>
          </cell>
          <cell r="AC21">
            <v>39.176000000000002</v>
          </cell>
          <cell r="AD21">
            <v>10.228999999999999</v>
          </cell>
          <cell r="AE21">
            <v>10.144</v>
          </cell>
          <cell r="AF21">
            <v>9.9049999999999994</v>
          </cell>
          <cell r="AG21">
            <v>11.461</v>
          </cell>
          <cell r="AH21">
            <v>41.738999999999997</v>
          </cell>
        </row>
        <row r="22">
          <cell r="A22" t="str">
            <v>Interest Expense</v>
          </cell>
          <cell r="E22">
            <v>-3.4180000000000001</v>
          </cell>
          <cell r="F22">
            <v>-3.39</v>
          </cell>
          <cell r="G22">
            <v>-3.4729999999999999</v>
          </cell>
          <cell r="H22">
            <v>-3.5</v>
          </cell>
          <cell r="I22">
            <v>-13.780999999999999</v>
          </cell>
          <cell r="J22">
            <v>-3.0289999999999999</v>
          </cell>
          <cell r="K22">
            <v>-3.3410000000000002</v>
          </cell>
          <cell r="L22">
            <v>-3.173</v>
          </cell>
          <cell r="M22">
            <v>-3.206</v>
          </cell>
          <cell r="N22">
            <v>-12.749000000000001</v>
          </cell>
          <cell r="O22">
            <v>-2.8530000000000002</v>
          </cell>
          <cell r="P22">
            <v>-2.9</v>
          </cell>
          <cell r="Q22">
            <v>-2.794</v>
          </cell>
          <cell r="R22">
            <v>-3.246</v>
          </cell>
          <cell r="S22">
            <v>-11.793000000000001</v>
          </cell>
          <cell r="T22">
            <v>-5.1130000000000004</v>
          </cell>
          <cell r="U22">
            <v>-5.28</v>
          </cell>
          <cell r="V22">
            <v>-4.8250000000000002</v>
          </cell>
          <cell r="W22">
            <v>-5.1509999999999998</v>
          </cell>
          <cell r="X22">
            <v>-20.369</v>
          </cell>
          <cell r="Y22">
            <v>-5.2190000000000003</v>
          </cell>
          <cell r="Z22">
            <v>-5.125</v>
          </cell>
          <cell r="AA22">
            <v>-6.6689999999999996</v>
          </cell>
          <cell r="AB22">
            <v>-6.5209999999999999</v>
          </cell>
          <cell r="AC22">
            <v>-23.534000000000002</v>
          </cell>
          <cell r="AD22">
            <v>-6.8920000000000003</v>
          </cell>
          <cell r="AE22">
            <v>-6.8760000000000003</v>
          </cell>
          <cell r="AF22">
            <v>-8.1319999999999997</v>
          </cell>
          <cell r="AG22">
            <v>-8.5220000000000002</v>
          </cell>
          <cell r="AH22">
            <v>-30.421999999999997</v>
          </cell>
        </row>
        <row r="23">
          <cell r="A23" t="str">
            <v>Other</v>
          </cell>
          <cell r="E23">
            <v>0.59</v>
          </cell>
          <cell r="F23">
            <v>-1.65</v>
          </cell>
          <cell r="G23">
            <v>-3.1</v>
          </cell>
          <cell r="H23">
            <v>0.8</v>
          </cell>
          <cell r="I23">
            <v>-3.3600000000000003</v>
          </cell>
          <cell r="J23">
            <v>1.3</v>
          </cell>
          <cell r="K23">
            <v>-0.127</v>
          </cell>
          <cell r="L23">
            <v>-0.104</v>
          </cell>
          <cell r="M23">
            <v>-0.11</v>
          </cell>
          <cell r="N23">
            <v>0.28199999999999997</v>
          </cell>
          <cell r="O23">
            <v>-0.3</v>
          </cell>
          <cell r="P23">
            <v>-0.2</v>
          </cell>
          <cell r="Q23">
            <v>0.45500000000000002</v>
          </cell>
          <cell r="R23">
            <v>0</v>
          </cell>
          <cell r="S23">
            <v>-4.4999999999999984E-2</v>
          </cell>
          <cell r="T23">
            <v>-0.57399999999999995</v>
          </cell>
          <cell r="U23">
            <v>1.7000000000000001E-2</v>
          </cell>
          <cell r="V23">
            <v>-0.46400000000000002</v>
          </cell>
          <cell r="W23">
            <v>0.498</v>
          </cell>
          <cell r="X23">
            <v>-0.52299999999999991</v>
          </cell>
          <cell r="Y23">
            <v>0</v>
          </cell>
          <cell r="Z23">
            <v>0.248</v>
          </cell>
          <cell r="AA23">
            <v>0.58099999999999996</v>
          </cell>
          <cell r="AB23">
            <v>-4.8410000000000002</v>
          </cell>
          <cell r="AC23">
            <v>-4.0120000000000005</v>
          </cell>
          <cell r="AD23">
            <v>-0.81</v>
          </cell>
          <cell r="AE23">
            <v>1.3000000000000012E-2</v>
          </cell>
          <cell r="AF23">
            <v>-1.05</v>
          </cell>
          <cell r="AG23">
            <v>-0.495</v>
          </cell>
          <cell r="AH23">
            <v>-2.3420000000000001</v>
          </cell>
        </row>
        <row r="24">
          <cell r="A24" t="str">
            <v>Gain (loss) on Sale of Assets</v>
          </cell>
          <cell r="E24">
            <v>0</v>
          </cell>
          <cell r="F24">
            <v>0</v>
          </cell>
          <cell r="G24">
            <v>-0.1</v>
          </cell>
          <cell r="H24">
            <v>-1</v>
          </cell>
          <cell r="I24">
            <v>-1.1000000000000001</v>
          </cell>
          <cell r="J24">
            <v>5.9210000000000003</v>
          </cell>
          <cell r="K24">
            <v>0.7</v>
          </cell>
          <cell r="L24">
            <v>2.952</v>
          </cell>
          <cell r="M24">
            <v>0.50700000000000001</v>
          </cell>
          <cell r="N24">
            <v>10.09</v>
          </cell>
          <cell r="O24">
            <v>0</v>
          </cell>
          <cell r="P24">
            <v>1.6</v>
          </cell>
          <cell r="Q24">
            <v>-1.9870000000000001</v>
          </cell>
          <cell r="R24">
            <v>-0.64500000000000002</v>
          </cell>
          <cell r="S24">
            <v>-1.1589999999999998</v>
          </cell>
          <cell r="T24">
            <v>0</v>
          </cell>
          <cell r="U24">
            <v>-0.48699999999999999</v>
          </cell>
          <cell r="V24">
            <v>0.29199999999999998</v>
          </cell>
          <cell r="W24">
            <v>3.5399999999999991</v>
          </cell>
          <cell r="X24">
            <v>3.3449999999999993</v>
          </cell>
          <cell r="Y24">
            <v>-1.4E-2</v>
          </cell>
          <cell r="Z24">
            <v>-0.43900000000000006</v>
          </cell>
          <cell r="AA24">
            <v>-0.64200000000000002</v>
          </cell>
          <cell r="AB24">
            <v>-1.208</v>
          </cell>
          <cell r="AC24">
            <v>-2.3029999999999999</v>
          </cell>
          <cell r="AD24">
            <v>0.30499999999999999</v>
          </cell>
          <cell r="AE24">
            <v>0</v>
          </cell>
          <cell r="AF24">
            <v>10.414</v>
          </cell>
          <cell r="AG24">
            <v>1.4950000000000001</v>
          </cell>
          <cell r="AH24">
            <v>12.213999999999999</v>
          </cell>
        </row>
        <row r="25">
          <cell r="A25" t="str">
            <v>Extraordinary Items</v>
          </cell>
          <cell r="N25">
            <v>0</v>
          </cell>
          <cell r="O25">
            <v>0</v>
          </cell>
          <cell r="P25">
            <v>0</v>
          </cell>
          <cell r="Q25">
            <v>0</v>
          </cell>
          <cell r="R25">
            <v>0</v>
          </cell>
          <cell r="S25">
            <v>0</v>
          </cell>
          <cell r="T25">
            <v>0</v>
          </cell>
          <cell r="U25">
            <v>0</v>
          </cell>
          <cell r="V25">
            <v>0</v>
          </cell>
          <cell r="W25">
            <v>-14.6</v>
          </cell>
          <cell r="X25">
            <v>-14.6</v>
          </cell>
          <cell r="Y25">
            <v>8.0419999999999998</v>
          </cell>
          <cell r="Z25">
            <v>0</v>
          </cell>
          <cell r="AA25">
            <v>0</v>
          </cell>
          <cell r="AB25">
            <v>0</v>
          </cell>
          <cell r="AC25">
            <v>0</v>
          </cell>
          <cell r="AD25">
            <v>0</v>
          </cell>
          <cell r="AE25">
            <v>0</v>
          </cell>
          <cell r="AF25">
            <v>0</v>
          </cell>
          <cell r="AG25">
            <v>0</v>
          </cell>
          <cell r="AH25">
            <v>0</v>
          </cell>
        </row>
        <row r="27">
          <cell r="A27" t="str">
            <v>Pretax Income</v>
          </cell>
          <cell r="E27">
            <v>17.443000000000001</v>
          </cell>
          <cell r="F27">
            <v>18.46</v>
          </cell>
          <cell r="G27">
            <v>32.992999999999995</v>
          </cell>
          <cell r="H27">
            <v>38.199999999999996</v>
          </cell>
          <cell r="I27">
            <v>107.096</v>
          </cell>
          <cell r="J27">
            <v>34.808000000000007</v>
          </cell>
          <cell r="K27">
            <v>30.966999999999999</v>
          </cell>
          <cell r="L27">
            <v>48.79999999999999</v>
          </cell>
          <cell r="M27">
            <v>60.254999999999988</v>
          </cell>
          <cell r="N27">
            <v>174.13500000000002</v>
          </cell>
          <cell r="O27">
            <v>49.201999999999991</v>
          </cell>
          <cell r="P27">
            <v>50.699999999999996</v>
          </cell>
          <cell r="Q27">
            <v>64.555000000000021</v>
          </cell>
          <cell r="R27">
            <v>50.121000000000024</v>
          </cell>
          <cell r="S27">
            <v>214.57800000000003</v>
          </cell>
          <cell r="T27">
            <v>40.04</v>
          </cell>
          <cell r="U27">
            <v>36.035000000000011</v>
          </cell>
          <cell r="V27">
            <v>39.593000000000018</v>
          </cell>
          <cell r="W27">
            <v>29.022999999999975</v>
          </cell>
          <cell r="X27">
            <v>144.69100000000009</v>
          </cell>
          <cell r="Y27">
            <v>43.213000000000022</v>
          </cell>
          <cell r="Z27">
            <v>36.576999999999991</v>
          </cell>
          <cell r="AA27">
            <v>54.253999999999998</v>
          </cell>
          <cell r="AB27">
            <v>56.661999999999999</v>
          </cell>
          <cell r="AC27">
            <v>182.66400000000004</v>
          </cell>
          <cell r="AD27">
            <v>52.605999999999995</v>
          </cell>
          <cell r="AE27">
            <v>43.303999999999967</v>
          </cell>
          <cell r="AF27">
            <v>53.036000000000008</v>
          </cell>
          <cell r="AG27">
            <v>63.677</v>
          </cell>
          <cell r="AH27">
            <v>212.62299999999996</v>
          </cell>
        </row>
        <row r="28">
          <cell r="A28" t="str">
            <v>Taxes</v>
          </cell>
          <cell r="E28">
            <v>6.87</v>
          </cell>
          <cell r="F28">
            <v>7.4729999999999999</v>
          </cell>
          <cell r="G28">
            <v>13.224</v>
          </cell>
          <cell r="H28">
            <v>14.745199999999999</v>
          </cell>
          <cell r="I28">
            <v>42.312199999999997</v>
          </cell>
          <cell r="J28">
            <v>13.64</v>
          </cell>
          <cell r="K28">
            <v>12.15</v>
          </cell>
          <cell r="L28">
            <v>19.129599999999996</v>
          </cell>
          <cell r="M28">
            <v>24.403274999999997</v>
          </cell>
          <cell r="N28">
            <v>68.585999999999999</v>
          </cell>
          <cell r="O28">
            <v>18.8</v>
          </cell>
          <cell r="P28">
            <v>19.399999999999999</v>
          </cell>
          <cell r="Q28">
            <v>24.7</v>
          </cell>
          <cell r="R28">
            <v>11.461</v>
          </cell>
          <cell r="S28">
            <v>74.361000000000004</v>
          </cell>
          <cell r="T28">
            <v>14.414</v>
          </cell>
          <cell r="U28">
            <v>12.973000000000001</v>
          </cell>
          <cell r="V28">
            <v>14.236000000000001</v>
          </cell>
          <cell r="W28">
            <v>10.493</v>
          </cell>
          <cell r="X28">
            <v>52.116000000000007</v>
          </cell>
          <cell r="Y28">
            <v>15.55</v>
          </cell>
          <cell r="Z28">
            <v>13.167719999999996</v>
          </cell>
          <cell r="AA28">
            <v>19.533000000000001</v>
          </cell>
          <cell r="AB28">
            <v>20.399000000000001</v>
          </cell>
          <cell r="AC28">
            <v>68.649720000000002</v>
          </cell>
          <cell r="AD28">
            <v>18.937999999999999</v>
          </cell>
          <cell r="AE28">
            <v>15.59</v>
          </cell>
          <cell r="AF28">
            <v>18.564</v>
          </cell>
          <cell r="AG28">
            <v>22.286999999999999</v>
          </cell>
          <cell r="AH28">
            <v>75.378999999999991</v>
          </cell>
        </row>
        <row r="29">
          <cell r="A29" t="str">
            <v>Net Income</v>
          </cell>
          <cell r="E29">
            <v>10.573</v>
          </cell>
          <cell r="F29">
            <v>10.987</v>
          </cell>
          <cell r="G29">
            <v>19.972999999999999</v>
          </cell>
          <cell r="H29">
            <v>23.454799999999999</v>
          </cell>
          <cell r="I29">
            <v>64.987799999999993</v>
          </cell>
          <cell r="J29">
            <v>21.168000000000006</v>
          </cell>
          <cell r="K29">
            <v>18.817</v>
          </cell>
          <cell r="L29">
            <v>29.670399999999994</v>
          </cell>
          <cell r="M29">
            <v>35.851724999999988</v>
          </cell>
          <cell r="N29">
            <v>105.54900000000002</v>
          </cell>
          <cell r="O29">
            <v>30.40199999999999</v>
          </cell>
          <cell r="P29">
            <v>31.299999999999997</v>
          </cell>
          <cell r="Q29">
            <v>39.855000000000018</v>
          </cell>
          <cell r="R29">
            <v>38.660000000000025</v>
          </cell>
          <cell r="S29">
            <v>140.21700000000004</v>
          </cell>
          <cell r="T29">
            <v>25.625999999999998</v>
          </cell>
          <cell r="U29">
            <v>23.062000000000012</v>
          </cell>
          <cell r="V29">
            <v>25.357000000000017</v>
          </cell>
          <cell r="W29">
            <v>18.529999999999973</v>
          </cell>
          <cell r="X29">
            <v>92.575000000000003</v>
          </cell>
          <cell r="Y29">
            <v>27.663000000000022</v>
          </cell>
          <cell r="Z29">
            <v>23.409279999999995</v>
          </cell>
          <cell r="AA29">
            <v>34.720999999999997</v>
          </cell>
          <cell r="AB29">
            <v>36.262999999999998</v>
          </cell>
          <cell r="AC29">
            <v>122.05628000000002</v>
          </cell>
          <cell r="AD29">
            <v>33.667999999999992</v>
          </cell>
          <cell r="AE29">
            <v>27.713999999999967</v>
          </cell>
          <cell r="AF29">
            <v>34.472000000000008</v>
          </cell>
          <cell r="AG29">
            <v>41.39</v>
          </cell>
          <cell r="AH29">
            <v>137.24399999999997</v>
          </cell>
        </row>
        <row r="30">
          <cell r="A30" t="str">
            <v>Net Income Continuing Ops.</v>
          </cell>
          <cell r="N30">
            <v>105.54899999999999</v>
          </cell>
          <cell r="O30">
            <v>30.401999999999994</v>
          </cell>
          <cell r="P30">
            <v>31.3</v>
          </cell>
          <cell r="Q30">
            <v>39.855000000000018</v>
          </cell>
          <cell r="R30">
            <v>38.660000000000025</v>
          </cell>
          <cell r="S30">
            <v>140.14511998434139</v>
          </cell>
          <cell r="T30">
            <v>25.626000000000005</v>
          </cell>
          <cell r="U30">
            <v>23.062000000000012</v>
          </cell>
          <cell r="V30">
            <v>25.357000000000017</v>
          </cell>
          <cell r="W30">
            <v>27.851503635048037</v>
          </cell>
          <cell r="X30">
            <v>101.89650363504806</v>
          </cell>
          <cell r="Y30">
            <v>22.514876842616825</v>
          </cell>
          <cell r="Z30">
            <v>23.409279999999995</v>
          </cell>
          <cell r="AA30">
            <v>34.720999999999997</v>
          </cell>
          <cell r="AB30">
            <v>36.262999999999998</v>
          </cell>
          <cell r="AC30">
            <v>116.90815684261682</v>
          </cell>
          <cell r="AD30">
            <v>33.667999999999999</v>
          </cell>
          <cell r="AE30">
            <v>27.713999999999963</v>
          </cell>
          <cell r="AF30">
            <v>34.472000000000001</v>
          </cell>
          <cell r="AG30">
            <v>41.389999999999993</v>
          </cell>
          <cell r="AH30">
            <v>137.24399999999994</v>
          </cell>
        </row>
        <row r="32">
          <cell r="A32" t="str">
            <v>EPS - Ex. Extr. Items FD.</v>
          </cell>
          <cell r="N32">
            <v>0.8</v>
          </cell>
          <cell r="O32">
            <v>0.22259481622492305</v>
          </cell>
          <cell r="P32">
            <v>0.22913616398243047</v>
          </cell>
          <cell r="Q32">
            <v>0.3</v>
          </cell>
          <cell r="R32">
            <v>0.28915482423335848</v>
          </cell>
          <cell r="S32">
            <v>1.05</v>
          </cell>
          <cell r="T32">
            <v>0.1917152326303426</v>
          </cell>
          <cell r="U32">
            <v>0.17537109137364654</v>
          </cell>
          <cell r="V32">
            <v>0.19505984799532305</v>
          </cell>
          <cell r="W32">
            <v>0.21473788461872043</v>
          </cell>
          <cell r="X32">
            <v>0.77688405661803261</v>
          </cell>
          <cell r="Y32">
            <v>0.17469779283371867</v>
          </cell>
          <cell r="Z32">
            <v>0.18565532556110712</v>
          </cell>
          <cell r="AA32">
            <v>0.27368031087674488</v>
          </cell>
          <cell r="AB32">
            <v>0.28430865242888947</v>
          </cell>
          <cell r="AC32">
            <v>0.9</v>
          </cell>
          <cell r="AD32">
            <v>0.2650293226276223</v>
          </cell>
          <cell r="AE32">
            <v>0.22404022602889195</v>
          </cell>
          <cell r="AF32">
            <v>0.28666467085786518</v>
          </cell>
          <cell r="AG32">
            <v>0.35370626741185113</v>
          </cell>
          <cell r="AH32">
            <v>1.1294404869262307</v>
          </cell>
        </row>
        <row r="33">
          <cell r="A33" t="str">
            <v>Extraordinary Items</v>
          </cell>
          <cell r="N33">
            <v>0</v>
          </cell>
          <cell r="O33">
            <v>0</v>
          </cell>
          <cell r="P33">
            <v>0</v>
          </cell>
          <cell r="Q33">
            <v>0</v>
          </cell>
          <cell r="R33">
            <v>0</v>
          </cell>
          <cell r="S33">
            <v>0</v>
          </cell>
          <cell r="T33">
            <v>0</v>
          </cell>
          <cell r="U33">
            <v>0</v>
          </cell>
          <cell r="V33">
            <v>0</v>
          </cell>
          <cell r="W33">
            <v>-7.1869727332675881E-2</v>
          </cell>
          <cell r="X33">
            <v>-7.1869727332675881E-2</v>
          </cell>
          <cell r="Y33">
            <v>3.994539961811619E-2</v>
          </cell>
          <cell r="Z33">
            <v>0</v>
          </cell>
          <cell r="AA33">
            <v>0</v>
          </cell>
          <cell r="AB33">
            <v>0</v>
          </cell>
          <cell r="AC33">
            <v>3.994539961811619E-2</v>
          </cell>
          <cell r="AD33">
            <v>0</v>
          </cell>
          <cell r="AE33">
            <v>0</v>
          </cell>
          <cell r="AF33">
            <v>0</v>
          </cell>
          <cell r="AG33">
            <v>0</v>
          </cell>
          <cell r="AH33">
            <v>0</v>
          </cell>
        </row>
        <row r="34">
          <cell r="A34" t="str">
            <v>GAAP EPS</v>
          </cell>
          <cell r="E34">
            <v>0.09</v>
          </cell>
          <cell r="F34">
            <v>0.09</v>
          </cell>
          <cell r="G34">
            <v>0.16</v>
          </cell>
          <cell r="H34">
            <v>0.18</v>
          </cell>
          <cell r="I34">
            <v>0.52</v>
          </cell>
          <cell r="J34">
            <v>0.16</v>
          </cell>
          <cell r="K34">
            <v>0.15</v>
          </cell>
          <cell r="L34">
            <v>0.23</v>
          </cell>
          <cell r="M34">
            <v>0.27</v>
          </cell>
          <cell r="N34">
            <v>0.8</v>
          </cell>
          <cell r="O34">
            <v>0.22259481622492305</v>
          </cell>
          <cell r="P34">
            <v>0.22913616398243047</v>
          </cell>
          <cell r="Q34">
            <v>0.3</v>
          </cell>
          <cell r="R34">
            <v>0.28915482423335848</v>
          </cell>
          <cell r="S34">
            <v>1.05</v>
          </cell>
          <cell r="T34">
            <v>0.1917152326303426</v>
          </cell>
          <cell r="U34">
            <v>0.17537109137364654</v>
          </cell>
          <cell r="V34">
            <v>0.19505984799532305</v>
          </cell>
          <cell r="W34">
            <v>0.14286815728604454</v>
          </cell>
          <cell r="X34">
            <v>0.70501432928535668</v>
          </cell>
          <cell r="Y34">
            <v>0.21464319245183486</v>
          </cell>
          <cell r="Z34">
            <v>0.18565532556110712</v>
          </cell>
          <cell r="AA34">
            <v>0.27368031087674488</v>
          </cell>
          <cell r="AB34">
            <v>0.28430865242888947</v>
          </cell>
          <cell r="AC34">
            <v>0.95828748131857633</v>
          </cell>
          <cell r="AD34">
            <v>0.2650293226276223</v>
          </cell>
          <cell r="AE34">
            <v>0.22404022602889195</v>
          </cell>
          <cell r="AF34">
            <v>0.28666467085786518</v>
          </cell>
          <cell r="AG34">
            <v>0.35370626741185113</v>
          </cell>
          <cell r="AH34">
            <v>1.1294404869262307</v>
          </cell>
        </row>
        <row r="36">
          <cell r="A36" t="str">
            <v>Shares Outstanding - Primary</v>
          </cell>
          <cell r="E36">
            <v>118.464</v>
          </cell>
          <cell r="F36">
            <v>120.044</v>
          </cell>
          <cell r="G36">
            <v>120.514</v>
          </cell>
          <cell r="H36">
            <v>120.8</v>
          </cell>
          <cell r="I36">
            <v>120</v>
          </cell>
          <cell r="J36">
            <v>122.95399999999999</v>
          </cell>
          <cell r="K36">
            <v>122.55</v>
          </cell>
          <cell r="L36">
            <v>124.9</v>
          </cell>
          <cell r="M36">
            <v>125.6</v>
          </cell>
          <cell r="N36">
            <v>125.4</v>
          </cell>
          <cell r="O36">
            <v>129.626</v>
          </cell>
          <cell r="P36">
            <v>130</v>
          </cell>
          <cell r="Q36">
            <v>129.626</v>
          </cell>
          <cell r="R36">
            <v>133.5</v>
          </cell>
          <cell r="S36">
            <v>130.68799999999999</v>
          </cell>
          <cell r="T36">
            <v>133.5</v>
          </cell>
          <cell r="U36">
            <v>133.5</v>
          </cell>
          <cell r="V36">
            <v>133.5</v>
          </cell>
          <cell r="W36">
            <v>129.69999999999999</v>
          </cell>
          <cell r="X36">
            <v>132.55000000000001</v>
          </cell>
          <cell r="Y36">
            <v>130</v>
          </cell>
          <cell r="Z36">
            <v>130</v>
          </cell>
          <cell r="AA36">
            <v>130</v>
          </cell>
          <cell r="AB36">
            <v>130</v>
          </cell>
          <cell r="AC36">
            <v>130</v>
          </cell>
          <cell r="AD36">
            <v>130</v>
          </cell>
          <cell r="AE36">
            <v>130</v>
          </cell>
          <cell r="AF36">
            <v>130</v>
          </cell>
          <cell r="AG36">
            <v>130</v>
          </cell>
          <cell r="AH36">
            <v>130</v>
          </cell>
        </row>
        <row r="37">
          <cell r="A37" t="str">
            <v>Shares Outstanding - F.D. (Mil.)</v>
          </cell>
          <cell r="E37">
            <v>133.85599999999999</v>
          </cell>
          <cell r="F37">
            <v>134.88</v>
          </cell>
          <cell r="G37">
            <v>135.13200000000001</v>
          </cell>
          <cell r="H37">
            <v>135.80000000000001</v>
          </cell>
          <cell r="I37">
            <v>135.4</v>
          </cell>
          <cell r="J37">
            <v>137.88800000000001</v>
          </cell>
          <cell r="K37">
            <v>136.4</v>
          </cell>
          <cell r="L37">
            <v>136.667</v>
          </cell>
          <cell r="M37">
            <v>136.69999999999999</v>
          </cell>
          <cell r="N37">
            <v>136.61000000000001</v>
          </cell>
          <cell r="O37">
            <v>136.58000000000001</v>
          </cell>
          <cell r="P37">
            <v>136.6</v>
          </cell>
          <cell r="Q37">
            <v>136.58000000000001</v>
          </cell>
          <cell r="R37">
            <v>133.69999999999999</v>
          </cell>
          <cell r="S37">
            <v>135.858</v>
          </cell>
          <cell r="T37">
            <v>133.667</v>
          </cell>
          <cell r="U37">
            <v>131.50399999999999</v>
          </cell>
          <cell r="V37">
            <v>129.99600000000001</v>
          </cell>
          <cell r="W37">
            <v>129.69999999999999</v>
          </cell>
          <cell r="X37">
            <v>131.21674999999999</v>
          </cell>
          <cell r="Y37">
            <v>128.87899999999999</v>
          </cell>
          <cell r="Z37">
            <v>126.09</v>
          </cell>
          <cell r="AA37">
            <v>126.867</v>
          </cell>
          <cell r="AB37">
            <v>127.548</v>
          </cell>
          <cell r="AC37">
            <v>127.346</v>
          </cell>
          <cell r="AD37">
            <v>127.035</v>
          </cell>
          <cell r="AE37">
            <v>123.70099999999999</v>
          </cell>
          <cell r="AF37">
            <v>120.252</v>
          </cell>
          <cell r="AG37">
            <v>117.018</v>
          </cell>
          <cell r="AH37">
            <v>122.00149999999999</v>
          </cell>
        </row>
        <row r="39">
          <cell r="N39" t="str">
            <v>Annual</v>
          </cell>
          <cell r="O39" t="str">
            <v>12/31/93</v>
          </cell>
          <cell r="P39" t="str">
            <v>3/31/94</v>
          </cell>
          <cell r="Q39" t="str">
            <v>6/30/94</v>
          </cell>
          <cell r="R39" t="str">
            <v>9/30/94</v>
          </cell>
          <cell r="S39" t="str">
            <v>Annual</v>
          </cell>
          <cell r="T39" t="str">
            <v>12/31/94</v>
          </cell>
          <cell r="U39" t="str">
            <v>3/31/95</v>
          </cell>
          <cell r="V39" t="str">
            <v>6/30/95</v>
          </cell>
          <cell r="W39" t="str">
            <v>9/30/95</v>
          </cell>
          <cell r="X39" t="str">
            <v>Annual</v>
          </cell>
          <cell r="Y39" t="str">
            <v>12/31/95</v>
          </cell>
          <cell r="Z39" t="str">
            <v>3/31/96</v>
          </cell>
          <cell r="AA39" t="str">
            <v>6/30/96</v>
          </cell>
          <cell r="AB39" t="str">
            <v>9/30/96</v>
          </cell>
          <cell r="AC39" t="str">
            <v>Annual</v>
          </cell>
          <cell r="AD39" t="str">
            <v>12/31/96</v>
          </cell>
          <cell r="AE39" t="str">
            <v>3/31/97</v>
          </cell>
          <cell r="AF39" t="str">
            <v>6/30/97</v>
          </cell>
          <cell r="AG39" t="str">
            <v>9/30/97</v>
          </cell>
          <cell r="AH39" t="str">
            <v>Annual</v>
          </cell>
        </row>
        <row r="40">
          <cell r="E40" t="str">
            <v>1Q/92</v>
          </cell>
          <cell r="F40" t="str">
            <v>2Q/92</v>
          </cell>
          <cell r="G40" t="str">
            <v>3Q/92</v>
          </cell>
          <cell r="H40" t="str">
            <v>4Q/92</v>
          </cell>
          <cell r="I40">
            <v>1992</v>
          </cell>
          <cell r="J40" t="str">
            <v>1Q/93</v>
          </cell>
          <cell r="K40" t="str">
            <v>2Q/93</v>
          </cell>
          <cell r="L40" t="str">
            <v>3Q/93</v>
          </cell>
          <cell r="M40" t="str">
            <v>4Q/93</v>
          </cell>
          <cell r="N40" t="str">
            <v>1993A</v>
          </cell>
          <cell r="O40" t="str">
            <v>1Q94 A</v>
          </cell>
          <cell r="P40" t="str">
            <v>2Q94 A</v>
          </cell>
          <cell r="Q40" t="str">
            <v>3Q94 A</v>
          </cell>
          <cell r="R40" t="str">
            <v>4Q94 A</v>
          </cell>
          <cell r="S40" t="str">
            <v>1994A</v>
          </cell>
          <cell r="T40" t="str">
            <v>1Q95 A</v>
          </cell>
          <cell r="U40" t="str">
            <v>2Q95 A</v>
          </cell>
          <cell r="V40" t="str">
            <v>3Q95 A</v>
          </cell>
          <cell r="W40" t="str">
            <v>4Q95 A</v>
          </cell>
          <cell r="X40" t="str">
            <v>1995A</v>
          </cell>
          <cell r="Y40" t="str">
            <v>1Q96 A</v>
          </cell>
          <cell r="Z40" t="str">
            <v>2Q96 A</v>
          </cell>
          <cell r="AA40" t="str">
            <v>3Q96 A</v>
          </cell>
          <cell r="AB40" t="str">
            <v>4Q96 A</v>
          </cell>
          <cell r="AC40" t="str">
            <v>1996A</v>
          </cell>
          <cell r="AD40" t="str">
            <v>1Q97 A</v>
          </cell>
          <cell r="AE40" t="str">
            <v>2Q97A</v>
          </cell>
          <cell r="AF40" t="str">
            <v>3Q97A</v>
          </cell>
          <cell r="AG40" t="str">
            <v>4Q97A</v>
          </cell>
          <cell r="AH40" t="str">
            <v>1997A</v>
          </cell>
        </row>
        <row r="41">
          <cell r="A41" t="str">
            <v>% ANALYSIS</v>
          </cell>
        </row>
        <row r="42">
          <cell r="A42" t="str">
            <v>Product Profit-% of Prod. Rev.</v>
          </cell>
          <cell r="E42">
            <v>0.45495247444154474</v>
          </cell>
          <cell r="F42">
            <v>0.48672798948751639</v>
          </cell>
          <cell r="G42">
            <v>0.46815472415979709</v>
          </cell>
          <cell r="H42">
            <v>0.51222651222651228</v>
          </cell>
          <cell r="I42" t="e">
            <v>#REF!</v>
          </cell>
          <cell r="J42">
            <v>0.49507702368841733</v>
          </cell>
          <cell r="K42">
            <v>0.49986567164179108</v>
          </cell>
          <cell r="L42">
            <v>0.49546096210229129</v>
          </cell>
          <cell r="M42">
            <v>0.51226137850986597</v>
          </cell>
          <cell r="N42">
            <v>0.50235834299216076</v>
          </cell>
          <cell r="O42">
            <v>0.4670808000704908</v>
          </cell>
          <cell r="P42">
            <v>0.47480314960629921</v>
          </cell>
          <cell r="Q42">
            <v>0.47565716464348684</v>
          </cell>
          <cell r="R42">
            <v>0.47002271365027293</v>
          </cell>
          <cell r="S42">
            <v>0.47219758848697002</v>
          </cell>
          <cell r="T42">
            <v>0.4195752733389404</v>
          </cell>
          <cell r="U42">
            <v>0.43896448396129095</v>
          </cell>
          <cell r="V42">
            <v>0.44398421279832256</v>
          </cell>
          <cell r="W42">
            <v>0.4574568075890737</v>
          </cell>
          <cell r="X42">
            <v>0.43940550976888937</v>
          </cell>
          <cell r="Y42">
            <v>0.44559951554299559</v>
          </cell>
          <cell r="Z42">
            <v>0.45586472773760534</v>
          </cell>
          <cell r="AA42">
            <v>0.45907309199907775</v>
          </cell>
          <cell r="AB42">
            <v>0.43640159730808981</v>
          </cell>
          <cell r="AC42">
            <v>0.44866812000415246</v>
          </cell>
          <cell r="AD42">
            <v>0.46879759999381443</v>
          </cell>
          <cell r="AE42">
            <v>0.45608462376429149</v>
          </cell>
          <cell r="AF42">
            <v>0.4359177033931313</v>
          </cell>
          <cell r="AG42">
            <v>0.41821885317056162</v>
          </cell>
          <cell r="AH42">
            <v>0.44381967650368981</v>
          </cell>
        </row>
        <row r="43">
          <cell r="A43" t="str">
            <v>Gaming Operation Proft-% of Gmg. Rev.</v>
          </cell>
          <cell r="E43">
            <v>0.56065882352941177</v>
          </cell>
          <cell r="F43">
            <v>0.57412398921832886</v>
          </cell>
          <cell r="G43">
            <v>0.54157303370786525</v>
          </cell>
          <cell r="H43">
            <v>0.592741935483871</v>
          </cell>
          <cell r="I43">
            <v>0.56816104714996341</v>
          </cell>
          <cell r="J43">
            <v>0.60457536627762609</v>
          </cell>
          <cell r="K43">
            <v>0.52648515632394233</v>
          </cell>
          <cell r="L43">
            <v>0.56718550266937362</v>
          </cell>
          <cell r="M43">
            <v>0.5412270924596283</v>
          </cell>
          <cell r="N43">
            <v>0.55955165075953905</v>
          </cell>
          <cell r="O43">
            <v>0.53405964564762853</v>
          </cell>
          <cell r="P43">
            <v>0.56000000000000005</v>
          </cell>
          <cell r="Q43">
            <v>0.56672630572780081</v>
          </cell>
          <cell r="R43">
            <v>0.5708312353597933</v>
          </cell>
          <cell r="S43">
            <v>0.55891672072251875</v>
          </cell>
          <cell r="T43">
            <v>0.57776001421085366</v>
          </cell>
          <cell r="U43">
            <v>0.53080431177446097</v>
          </cell>
          <cell r="V43">
            <v>0.50131822516407687</v>
          </cell>
          <cell r="W43">
            <v>0.4975609756097561</v>
          </cell>
          <cell r="X43">
            <v>0.5240651393116138</v>
          </cell>
          <cell r="Y43">
            <v>0.47015382461543842</v>
          </cell>
          <cell r="Z43">
            <v>0.48632143389106797</v>
          </cell>
          <cell r="AA43">
            <v>0.52847816298964434</v>
          </cell>
          <cell r="AB43">
            <v>0.47151898734177211</v>
          </cell>
          <cell r="AC43">
            <v>0.48882852399901511</v>
          </cell>
          <cell r="AD43">
            <v>0.43733346656008532</v>
          </cell>
          <cell r="AE43">
            <v>0.50320493438955061</v>
          </cell>
          <cell r="AF43">
            <v>0.49461171706616169</v>
          </cell>
          <cell r="AG43">
            <v>0.50159864115501818</v>
          </cell>
          <cell r="AH43">
            <v>0.4864383227435215</v>
          </cell>
        </row>
        <row r="44">
          <cell r="A44" t="str">
            <v>Gaming Systems Profit-% of Gmg. Rev.</v>
          </cell>
        </row>
        <row r="45">
          <cell r="A45" t="str">
            <v>Casino Operations Profit-% of Gmg. Rev.</v>
          </cell>
        </row>
        <row r="46">
          <cell r="A46" t="str">
            <v>SG&amp;A % Total Rev.</v>
          </cell>
          <cell r="E46">
            <v>0.20603731566225797</v>
          </cell>
          <cell r="F46">
            <v>0.20025282767797736</v>
          </cell>
          <cell r="G46">
            <v>0.13893798135387112</v>
          </cell>
          <cell r="H46">
            <v>0.1476826394344069</v>
          </cell>
          <cell r="I46">
            <v>0.1656484727090636</v>
          </cell>
          <cell r="J46">
            <v>0.13660845251191783</v>
          </cell>
          <cell r="K46">
            <v>0.12655906461189295</v>
          </cell>
          <cell r="L46">
            <v>0.11528408100797806</v>
          </cell>
          <cell r="M46">
            <v>0.11182196453785503</v>
          </cell>
          <cell r="N46">
            <v>0.12034576971837174</v>
          </cell>
          <cell r="O46">
            <v>0.11212109077804029</v>
          </cell>
          <cell r="P46">
            <v>0.1398176291793313</v>
          </cell>
          <cell r="Q46">
            <v>0.10002557517503009</v>
          </cell>
          <cell r="R46">
            <v>0.14645021017538773</v>
          </cell>
          <cell r="S46">
            <v>0.12429480726090907</v>
          </cell>
          <cell r="T46">
            <v>0.14041965070988818</v>
          </cell>
          <cell r="U46">
            <v>0.14565572404599234</v>
          </cell>
          <cell r="V46">
            <v>0.13012104128668545</v>
          </cell>
          <cell r="W46">
            <v>0.15376913796748878</v>
          </cell>
          <cell r="X46">
            <v>0.14264174771982613</v>
          </cell>
          <cell r="Y46">
            <v>0.16328581578896834</v>
          </cell>
          <cell r="Z46">
            <v>0.15648377110752615</v>
          </cell>
          <cell r="AA46">
            <v>0.13157372797314823</v>
          </cell>
          <cell r="AB46">
            <v>0.12934963894077176</v>
          </cell>
          <cell r="AC46">
            <v>0.1431136597895977</v>
          </cell>
          <cell r="AD46">
            <v>0.12575707172314013</v>
          </cell>
          <cell r="AE46">
            <v>0.15862895522932879</v>
          </cell>
          <cell r="AF46">
            <v>0.13194465636042943</v>
          </cell>
          <cell r="AG46">
            <v>0.11870104741415488</v>
          </cell>
          <cell r="AH46">
            <v>0.13223552625919396</v>
          </cell>
        </row>
        <row r="47">
          <cell r="A47" t="str">
            <v>Deprec.-% of Total Rev.</v>
          </cell>
          <cell r="E47">
            <v>4.4512642242198745E-2</v>
          </cell>
          <cell r="F47">
            <v>4.4018629407850958E-2</v>
          </cell>
          <cell r="G47">
            <v>3.8824483177948926E-2</v>
          </cell>
          <cell r="H47">
            <v>5.9701492537313425E-2</v>
          </cell>
          <cell r="I47">
            <v>4.7508763144717081E-2</v>
          </cell>
          <cell r="J47">
            <v>5.7629721305463871E-2</v>
          </cell>
          <cell r="K47">
            <v>4.8988317780682286E-2</v>
          </cell>
          <cell r="L47">
            <v>3.9875139218256347E-2</v>
          </cell>
          <cell r="M47">
            <v>3.1669769708480677E-2</v>
          </cell>
          <cell r="N47">
            <v>4.2250515683903547E-2</v>
          </cell>
          <cell r="O47">
            <v>3.0426193622445578E-2</v>
          </cell>
          <cell r="P47">
            <v>2.8571428571428574E-2</v>
          </cell>
          <cell r="Q47">
            <v>2.7290843021706927E-2</v>
          </cell>
          <cell r="R47">
            <v>3.3088853457022754E-2</v>
          </cell>
          <cell r="S47">
            <v>2.9763025586357107E-2</v>
          </cell>
          <cell r="T47">
            <v>3.9320266365121245E-2</v>
          </cell>
          <cell r="U47">
            <v>4.5739043492751208E-2</v>
          </cell>
          <cell r="V47">
            <v>4.7030343226662247E-2</v>
          </cell>
          <cell r="W47">
            <v>4.7771849309105392E-2</v>
          </cell>
          <cell r="X47">
            <v>4.493335867754749E-2</v>
          </cell>
          <cell r="Y47">
            <v>4.3949994559059798E-2</v>
          </cell>
          <cell r="Z47">
            <v>4.058001706665338E-2</v>
          </cell>
          <cell r="AA47">
            <v>3.5319246319322609E-2</v>
          </cell>
          <cell r="AB47">
            <v>1.4701404699905021E-2</v>
          </cell>
          <cell r="AC47">
            <v>3.2176611421060958E-2</v>
          </cell>
          <cell r="AD47">
            <v>1.6332155812885135E-2</v>
          </cell>
          <cell r="AE47">
            <v>1.4686288943913467E-2</v>
          </cell>
          <cell r="AF47">
            <v>1.886493051529152E-2</v>
          </cell>
          <cell r="AG47">
            <v>1.4352798773672841E-2</v>
          </cell>
          <cell r="AH47">
            <v>1.5924072003096909E-2</v>
          </cell>
        </row>
        <row r="48">
          <cell r="A48" t="str">
            <v>R &amp; D % of Total Rev.</v>
          </cell>
          <cell r="E48">
            <v>3.1313652535238046E-2</v>
          </cell>
          <cell r="F48">
            <v>2.95542248835662E-2</v>
          </cell>
          <cell r="G48">
            <v>2.7077421970004054E-2</v>
          </cell>
          <cell r="H48">
            <v>3.0636292223095048E-2</v>
          </cell>
          <cell r="I48">
            <v>2.9461692538808211E-2</v>
          </cell>
          <cell r="J48">
            <v>4.1574990832416572E-2</v>
          </cell>
          <cell r="K48">
            <v>4.3121878071268632E-2</v>
          </cell>
          <cell r="L48">
            <v>3.1139430398448336E-2</v>
          </cell>
          <cell r="M48">
            <v>2.8283497232253312E-2</v>
          </cell>
          <cell r="N48">
            <v>3.456651171742614E-2</v>
          </cell>
          <cell r="O48">
            <v>2.5867937372362152E-2</v>
          </cell>
          <cell r="P48">
            <v>3.2218844984802431E-2</v>
          </cell>
          <cell r="Q48">
            <v>3.2736224038533261E-2</v>
          </cell>
          <cell r="R48">
            <v>4.6743006232787349E-2</v>
          </cell>
          <cell r="S48">
            <v>3.4612824166260166E-2</v>
          </cell>
          <cell r="T48">
            <v>4.4471667294886288E-2</v>
          </cell>
          <cell r="U48">
            <v>4.8105315780703213E-2</v>
          </cell>
          <cell r="V48">
            <v>4.6844636047090028E-2</v>
          </cell>
          <cell r="W48">
            <v>4.4357797594617124E-2</v>
          </cell>
          <cell r="X48">
            <v>4.5896653597213843E-2</v>
          </cell>
          <cell r="Y48">
            <v>4.0346171818490234E-2</v>
          </cell>
          <cell r="Z48">
            <v>3.9670626047201132E-2</v>
          </cell>
          <cell r="AA48">
            <v>3.0604927912121445E-2</v>
          </cell>
          <cell r="AB48">
            <v>3.1870464037228409E-2</v>
          </cell>
          <cell r="AC48">
            <v>3.5043874718454653E-2</v>
          </cell>
          <cell r="AD48">
            <v>3.904826777765457E-2</v>
          </cell>
          <cell r="AE48">
            <v>4.4344805348875416E-2</v>
          </cell>
          <cell r="AF48">
            <v>4.9673785009368379E-2</v>
          </cell>
          <cell r="AG48">
            <v>3.6449659181771191E-2</v>
          </cell>
          <cell r="AH48">
            <v>4.1767925502172142E-2</v>
          </cell>
        </row>
        <row r="49">
          <cell r="A49" t="str">
            <v>Bad Debt % of Product Rev.</v>
          </cell>
          <cell r="E49">
            <v>2.8730816194603392E-2</v>
          </cell>
          <cell r="F49">
            <v>2.0788436268068335E-2</v>
          </cell>
          <cell r="G49">
            <v>1.6474318325935322E-2</v>
          </cell>
          <cell r="H49">
            <v>1.8018018018018018E-2</v>
          </cell>
          <cell r="I49">
            <v>1.9842025325024219E-2</v>
          </cell>
          <cell r="J49">
            <v>1.7457491643656443E-2</v>
          </cell>
          <cell r="K49">
            <v>1.7611940298507461E-2</v>
          </cell>
          <cell r="L49">
            <v>1.4659572157671844E-2</v>
          </cell>
          <cell r="M49">
            <v>2.8893882893339588E-3</v>
          </cell>
          <cell r="N49">
            <v>1.1322430031851783E-2</v>
          </cell>
          <cell r="O49">
            <v>1.3798572561459161E-2</v>
          </cell>
          <cell r="P49">
            <v>2.5196850393700791E-2</v>
          </cell>
          <cell r="Q49">
            <v>8.7894281765510847E-3</v>
          </cell>
          <cell r="R49">
            <v>8.6911259030253325E-3</v>
          </cell>
          <cell r="S49">
            <v>1.3922598210812914E-2</v>
          </cell>
          <cell r="T49">
            <v>1.3018643117465657E-2</v>
          </cell>
          <cell r="U49">
            <v>2.0896988750798248E-2</v>
          </cell>
          <cell r="V49">
            <v>1.8860361378913396E-2</v>
          </cell>
          <cell r="W49">
            <v>4.1666262923808883E-3</v>
          </cell>
          <cell r="X49">
            <v>1.4999999999999999E-2</v>
          </cell>
          <cell r="Y49">
            <v>1.6794509487283005E-2</v>
          </cell>
          <cell r="Z49">
            <v>4.4634653030242506E-2</v>
          </cell>
          <cell r="AA49">
            <v>3.3180361034459677E-2</v>
          </cell>
          <cell r="AB49">
            <v>6.9392360759194319E-3</v>
          </cell>
          <cell r="AC49">
            <v>1.4999999999999999E-2</v>
          </cell>
          <cell r="AD49">
            <v>2.1757788035536175E-2</v>
          </cell>
          <cell r="AE49">
            <v>2.3253209533408672E-2</v>
          </cell>
          <cell r="AF49">
            <v>1.3402983022888171E-2</v>
          </cell>
          <cell r="AG49">
            <v>2.2139590837941474E-2</v>
          </cell>
          <cell r="AH49">
            <v>1.4999999999999999E-2</v>
          </cell>
        </row>
        <row r="50">
          <cell r="A50" t="str">
            <v>Net Int.Exp-% Op.Inc.+Net Int.</v>
          </cell>
          <cell r="E50">
            <v>0.1149350264047944</v>
          </cell>
          <cell r="F50">
            <v>8.1501740427647934E-2</v>
          </cell>
          <cell r="G50">
            <v>4.8545298814687943E-2</v>
          </cell>
          <cell r="H50">
            <v>2.343750000000001E-2</v>
          </cell>
          <cell r="I50">
            <v>5.5873283373373044E-2</v>
          </cell>
          <cell r="J50">
            <v>8.685250299053901E-2</v>
          </cell>
          <cell r="K50">
            <v>9.7946963216424279E-2</v>
          </cell>
          <cell r="L50">
            <v>7.910428272980502E-2</v>
          </cell>
          <cell r="M50">
            <v>7.6748304320224531E-2</v>
          </cell>
          <cell r="N50">
            <v>8.2643820643246643E-2</v>
          </cell>
          <cell r="O50">
            <v>7.8421073896004223E-2</v>
          </cell>
          <cell r="P50">
            <v>8.5192697768762662E-2</v>
          </cell>
          <cell r="Q50">
            <v>6.701771906729008E-2</v>
          </cell>
          <cell r="R50">
            <v>0.10290351810266708</v>
          </cell>
          <cell r="S50">
            <v>8.2231351311250422E-2</v>
          </cell>
          <cell r="T50">
            <v>9.5484315753188526E-2</v>
          </cell>
          <cell r="U50">
            <v>0.11716203259827418</v>
          </cell>
          <cell r="V50">
            <v>0.13491764114170746</v>
          </cell>
          <cell r="W50">
            <v>9.3090817228748318E-2</v>
          </cell>
          <cell r="X50">
            <v>0.10995788303114348</v>
          </cell>
          <cell r="Y50">
            <v>0.1282080432002273</v>
          </cell>
          <cell r="Z50">
            <v>0.11466492602262837</v>
          </cell>
          <cell r="AA50">
            <v>5.5693638957930607E-2</v>
          </cell>
          <cell r="AB50">
            <v>6.2030584745897843E-2</v>
          </cell>
          <cell r="AC50">
            <v>8.2771101550965953E-2</v>
          </cell>
          <cell r="AD50">
            <v>6.283067537798194E-2</v>
          </cell>
          <cell r="AE50">
            <v>7.5489131690189698E-2</v>
          </cell>
          <cell r="AF50">
            <v>4.0598094889173833E-2</v>
          </cell>
          <cell r="AG50">
            <v>4.6891204109960595E-2</v>
          </cell>
          <cell r="AH50">
            <v>5.5817233947058224E-2</v>
          </cell>
        </row>
        <row r="51">
          <cell r="A51" t="str">
            <v>Operating Income</v>
          </cell>
          <cell r="E51">
            <v>0.20254745933027349</v>
          </cell>
          <cell r="F51">
            <v>0.24578842315369259</v>
          </cell>
          <cell r="G51">
            <v>0.27917308471828134</v>
          </cell>
          <cell r="H51">
            <v>0.29457973291437545</v>
          </cell>
          <cell r="I51">
            <v>0.26370305458187282</v>
          </cell>
          <cell r="J51">
            <v>0.28867574257425743</v>
          </cell>
          <cell r="K51">
            <v>0.27778959846803852</v>
          </cell>
          <cell r="L51">
            <v>0.32061490904407247</v>
          </cell>
          <cell r="M51">
            <v>0.34527483787127167</v>
          </cell>
          <cell r="N51">
            <v>0.31428266590795928</v>
          </cell>
          <cell r="O51">
            <v>0.30446215245798791</v>
          </cell>
          <cell r="P51">
            <v>0.27416413373860177</v>
          </cell>
          <cell r="Q51">
            <v>0.32852377958461659</v>
          </cell>
          <cell r="R51">
            <v>0.26404986229888405</v>
          </cell>
          <cell r="S51">
            <v>0.29347434469895223</v>
          </cell>
          <cell r="T51">
            <v>0.23078276165347408</v>
          </cell>
          <cell r="U51">
            <v>0.21481753041159812</v>
          </cell>
          <cell r="V51">
            <v>0.22815453490300128</v>
          </cell>
          <cell r="W51">
            <v>0.22325037622974256</v>
          </cell>
          <cell r="X51">
            <v>0.22433495600738426</v>
          </cell>
          <cell r="Y51">
            <v>0.19634752885298593</v>
          </cell>
          <cell r="Z51">
            <v>0.20275682510417506</v>
          </cell>
          <cell r="AA51">
            <v>0.26083860960663158</v>
          </cell>
          <cell r="AB51">
            <v>0.26731107445227609</v>
          </cell>
          <cell r="AC51">
            <v>0.23633039380900184</v>
          </cell>
          <cell r="AD51">
            <v>0.26282467618187677</v>
          </cell>
          <cell r="AE51">
            <v>0.24349185683605973</v>
          </cell>
          <cell r="AF51">
            <v>0.25571715420905838</v>
          </cell>
          <cell r="AG51">
            <v>0.26389888985585352</v>
          </cell>
          <cell r="AH51">
            <v>0.2573148307454084</v>
          </cell>
        </row>
        <row r="52">
          <cell r="A52" t="str">
            <v>Pretax Income</v>
          </cell>
          <cell r="E52">
            <v>0.23686211672686786</v>
          </cell>
          <cell r="F52">
            <v>0.2456420492348636</v>
          </cell>
          <cell r="G52">
            <v>0.26747466558573163</v>
          </cell>
          <cell r="H52">
            <v>0.30007855459544375</v>
          </cell>
          <cell r="I52">
            <v>0.26814221331998001</v>
          </cell>
          <cell r="J52">
            <v>0.39888155482214893</v>
          </cell>
          <cell r="K52">
            <v>0.31375827026150743</v>
          </cell>
          <cell r="L52">
            <v>0.36973338283315776</v>
          </cell>
          <cell r="M52">
            <v>0.37645728423446495</v>
          </cell>
          <cell r="N52">
            <v>0.36429459044447143</v>
          </cell>
          <cell r="O52">
            <v>0.32836797074173435</v>
          </cell>
          <cell r="P52">
            <v>0.30820668693009118</v>
          </cell>
          <cell r="Q52">
            <v>0.34395946334757738</v>
          </cell>
          <cell r="R52">
            <v>0.29059863748369341</v>
          </cell>
          <cell r="S52">
            <v>0.31814737990780789</v>
          </cell>
          <cell r="T52">
            <v>0.2515391380826737</v>
          </cell>
          <cell r="U52">
            <v>0.24019330111648066</v>
          </cell>
          <cell r="V52">
            <v>0.26259658431437582</v>
          </cell>
          <cell r="W52">
            <v>0.18048455903386676</v>
          </cell>
          <cell r="X52">
            <v>0.23307709903251697</v>
          </cell>
          <cell r="Y52">
            <v>0.27661099838052028</v>
          </cell>
          <cell r="Z52">
            <v>0.22782736519523872</v>
          </cell>
          <cell r="AA52">
            <v>0.27591222315457575</v>
          </cell>
          <cell r="AB52">
            <v>0.25749953419042293</v>
          </cell>
          <cell r="AC52">
            <v>0.24904697239901186</v>
          </cell>
          <cell r="AD52">
            <v>0.27777865783790345</v>
          </cell>
          <cell r="AE52">
            <v>0.26345279885137873</v>
          </cell>
          <cell r="AF52">
            <v>0.3236882739595604</v>
          </cell>
          <cell r="AG52">
            <v>0.281299836106853</v>
          </cell>
          <cell r="AH52">
            <v>0.28579589444707298</v>
          </cell>
        </row>
        <row r="53">
          <cell r="A53" t="str">
            <v>Net Income</v>
          </cell>
          <cell r="E53">
            <v>0.14357296108199127</v>
          </cell>
          <cell r="F53">
            <v>0.14620093147039254</v>
          </cell>
          <cell r="G53">
            <v>0.16192136197811108</v>
          </cell>
          <cell r="H53">
            <v>0.1842482325216025</v>
          </cell>
          <cell r="I53">
            <v>0.1627135703555333</v>
          </cell>
          <cell r="J53">
            <v>0.24257425742574262</v>
          </cell>
          <cell r="K53">
            <v>0.1906542245458322</v>
          </cell>
          <cell r="L53">
            <v>0.2247978967625599</v>
          </cell>
          <cell r="M53">
            <v>0.22399208411950661</v>
          </cell>
          <cell r="N53">
            <v>0.22081103584473838</v>
          </cell>
          <cell r="O53">
            <v>0.20289913106154642</v>
          </cell>
          <cell r="P53">
            <v>0.19027355623100303</v>
          </cell>
          <cell r="Q53">
            <v>0.2123538751718333</v>
          </cell>
          <cell r="R53">
            <v>0.22414842730830567</v>
          </cell>
          <cell r="S53">
            <v>0.20789489681390033</v>
          </cell>
          <cell r="T53">
            <v>0.16098756125141347</v>
          </cell>
          <cell r="U53">
            <v>0.15372104649225135</v>
          </cell>
          <cell r="V53">
            <v>0.16817774830044779</v>
          </cell>
          <cell r="W53">
            <v>0.11523201870576953</v>
          </cell>
          <cell r="X53">
            <v>0.14912546352527278</v>
          </cell>
          <cell r="Y53">
            <v>0.1770737983523554</v>
          </cell>
          <cell r="Z53">
            <v>0.14580951372495279</v>
          </cell>
          <cell r="AA53">
            <v>0.17657588933811375</v>
          </cell>
          <cell r="AB53">
            <v>0.16479661163296933</v>
          </cell>
          <cell r="AC53">
            <v>0.1664134530957718</v>
          </cell>
          <cell r="AD53">
            <v>0.17777918587397887</v>
          </cell>
          <cell r="AE53">
            <v>0.16860638433786965</v>
          </cell>
          <cell r="AF53">
            <v>0.21038883362120006</v>
          </cell>
          <cell r="AG53">
            <v>0.18284467258920248</v>
          </cell>
          <cell r="AH53">
            <v>0.18447567637317733</v>
          </cell>
        </row>
        <row r="54">
          <cell r="A54" t="str">
            <v>Tax Rate</v>
          </cell>
          <cell r="E54">
            <v>0.39385426818781172</v>
          </cell>
          <cell r="F54">
            <v>0.40482123510292523</v>
          </cell>
          <cell r="G54">
            <v>0.40081229351680664</v>
          </cell>
          <cell r="H54">
            <v>0.38600000000000001</v>
          </cell>
          <cell r="I54">
            <v>0.39500000000000002</v>
          </cell>
          <cell r="J54">
            <v>0.3918639393242932</v>
          </cell>
          <cell r="K54">
            <v>0.39400000000000002</v>
          </cell>
          <cell r="L54">
            <v>0.39200000000000002</v>
          </cell>
          <cell r="M54">
            <v>0.40500000000000003</v>
          </cell>
          <cell r="N54">
            <v>0.3938668274614523</v>
          </cell>
          <cell r="O54">
            <v>0.38209828868745183</v>
          </cell>
          <cell r="P54">
            <v>0.38264299802761342</v>
          </cell>
          <cell r="Q54">
            <v>0.3826194717682595</v>
          </cell>
          <cell r="R54">
            <v>0.22866662676323288</v>
          </cell>
          <cell r="S54">
            <v>0.34654531219416712</v>
          </cell>
          <cell r="T54">
            <v>0.35999000999000996</v>
          </cell>
          <cell r="U54">
            <v>0.36001110031913408</v>
          </cell>
          <cell r="V54">
            <v>0.35955850781703824</v>
          </cell>
          <cell r="W54">
            <v>0.36154084691451638</v>
          </cell>
          <cell r="X54">
            <v>0.36</v>
          </cell>
          <cell r="Y54">
            <v>0.35984541688843619</v>
          </cell>
          <cell r="Z54">
            <v>0.36</v>
          </cell>
          <cell r="AA54">
            <v>0.36002875364028464</v>
          </cell>
          <cell r="AB54">
            <v>0.3600120009883167</v>
          </cell>
          <cell r="AC54">
            <v>0.36</v>
          </cell>
          <cell r="AD54">
            <v>0.3599969585218416</v>
          </cell>
          <cell r="AE54">
            <v>0.36001293183077804</v>
          </cell>
          <cell r="AF54">
            <v>0.35002639716419032</v>
          </cell>
          <cell r="AG54">
            <v>0.3500007852128712</v>
          </cell>
          <cell r="AH54">
            <v>0.35451950165316076</v>
          </cell>
        </row>
        <row r="55">
          <cell r="A55" t="str">
            <v>% CHANGE</v>
          </cell>
        </row>
        <row r="56">
          <cell r="A56" t="str">
            <v>Product Rev.</v>
          </cell>
          <cell r="O56">
            <v>1.0616552826624037</v>
          </cell>
          <cell r="P56">
            <v>0.89552238805970141</v>
          </cell>
          <cell r="Q56">
            <v>0.59497230969703541</v>
          </cell>
          <cell r="R56">
            <v>4.3768881864355125E-2</v>
          </cell>
          <cell r="S56">
            <v>0.53210355852057556</v>
          </cell>
          <cell r="T56">
            <v>5.7626222574678199E-3</v>
          </cell>
          <cell r="U56">
            <v>-0.19854330708661416</v>
          </cell>
          <cell r="V56">
            <v>-0.33759982570924763</v>
          </cell>
          <cell r="W56">
            <v>-0.18608631187103708</v>
          </cell>
          <cell r="X56">
            <v>-0.19015169194865822</v>
          </cell>
          <cell r="Y56">
            <v>-0.13197364732268013</v>
          </cell>
          <cell r="Z56">
            <v>-1.6318711008498354E-2</v>
          </cell>
          <cell r="AA56">
            <v>0.38186321869796713</v>
          </cell>
          <cell r="AB56">
            <v>0.43408494103739304</v>
          </cell>
          <cell r="AC56">
            <v>0.15663362342228115</v>
          </cell>
          <cell r="AD56">
            <v>0.30533911990310858</v>
          </cell>
          <cell r="AE56">
            <v>-1.8986456793575912E-2</v>
          </cell>
          <cell r="AF56">
            <v>-0.35071812684552284</v>
          </cell>
          <cell r="AG56">
            <v>-1.1486564098405982E-2</v>
          </cell>
          <cell r="AH56">
            <v>-4.2564102564102479E-2</v>
          </cell>
        </row>
        <row r="57">
          <cell r="A57" t="str">
            <v>Lease/Progressive Rev.</v>
          </cell>
          <cell r="O57">
            <v>0.12825925006208094</v>
          </cell>
          <cell r="P57">
            <v>0.18307726283244463</v>
          </cell>
          <cell r="Q57">
            <v>2.2658345238990574E-2</v>
          </cell>
          <cell r="R57">
            <v>0.18403794810648288</v>
          </cell>
          <cell r="S57">
            <v>0.1259858556489617</v>
          </cell>
          <cell r="T57">
            <v>0.23902277979531195</v>
          </cell>
          <cell r="U57">
            <v>0.28639999999999999</v>
          </cell>
          <cell r="V57">
            <v>0.31077669664959195</v>
          </cell>
          <cell r="W57">
            <v>0.26108277326561424</v>
          </cell>
          <cell r="X57">
            <v>0.27464946858939165</v>
          </cell>
          <cell r="Y57">
            <v>0.26882938093969266</v>
          </cell>
          <cell r="Z57">
            <v>0.2525497512437811</v>
          </cell>
          <cell r="AA57">
            <v>0.16280548232082426</v>
          </cell>
          <cell r="AB57">
            <v>0.25072476347539285</v>
          </cell>
          <cell r="AC57">
            <v>0.23213709006566785</v>
          </cell>
          <cell r="AD57">
            <v>5.0837372906567646E-2</v>
          </cell>
          <cell r="AE57">
            <v>9.4748688413352378E-2</v>
          </cell>
          <cell r="AF57">
            <v>0.2310252781887181</v>
          </cell>
          <cell r="AG57">
            <v>0.11131467910282034</v>
          </cell>
          <cell r="AH57">
            <v>0.12318011771153525</v>
          </cell>
        </row>
        <row r="58">
          <cell r="A58" t="str">
            <v>Operating Income</v>
          </cell>
          <cell r="O58">
            <v>0.81096423325790901</v>
          </cell>
          <cell r="P58">
            <v>0.64496480285953939</v>
          </cell>
          <cell r="Q58">
            <v>0.457050358012147</v>
          </cell>
          <cell r="R58">
            <v>-0.1759192240880133</v>
          </cell>
          <cell r="S58">
            <v>0.317568512071571</v>
          </cell>
          <cell r="T58">
            <v>-0.19473914949583493</v>
          </cell>
          <cell r="U58">
            <v>-0.28541019955654079</v>
          </cell>
          <cell r="V58">
            <v>-0.44208375231113539</v>
          </cell>
          <cell r="W58">
            <v>-0.21171665715164123</v>
          </cell>
          <cell r="X58">
            <v>-0.2964225991098175</v>
          </cell>
          <cell r="Y58">
            <v>-0.1650152439024386</v>
          </cell>
          <cell r="Z58">
            <v>1.0053369740597784E-2</v>
          </cell>
          <cell r="AA58">
            <v>0.49098837209302237</v>
          </cell>
          <cell r="AB58">
            <v>0.6384679665738171</v>
          </cell>
          <cell r="AC58">
            <v>0.24466480928308787</v>
          </cell>
          <cell r="AD58">
            <v>0.6226771858903295</v>
          </cell>
          <cell r="AE58">
            <v>0.22950970754485067</v>
          </cell>
          <cell r="AF58">
            <v>-0.18309612010138421</v>
          </cell>
          <cell r="AG58">
            <v>1.5589670355825369E-2</v>
          </cell>
          <cell r="AH58">
            <v>0.10440356069390822</v>
          </cell>
        </row>
        <row r="59">
          <cell r="A59" t="str">
            <v>Pretax Income</v>
          </cell>
          <cell r="O59">
            <v>0.41352562629280576</v>
          </cell>
          <cell r="P59">
            <v>0.637226725223625</v>
          </cell>
          <cell r="Q59">
            <v>0.32284836065573841</v>
          </cell>
          <cell r="R59">
            <v>-0.16818521284540644</v>
          </cell>
          <cell r="S59">
            <v>0.23225083986562156</v>
          </cell>
          <cell r="T59">
            <v>-0.18621194260395901</v>
          </cell>
          <cell r="U59">
            <v>-0.28925049309664663</v>
          </cell>
          <cell r="V59">
            <v>-0.38667802648904026</v>
          </cell>
          <cell r="W59">
            <v>-0.42094132200075896</v>
          </cell>
          <cell r="X59">
            <v>-0.32569508523706969</v>
          </cell>
          <cell r="Y59">
            <v>7.9245754245754751E-2</v>
          </cell>
          <cell r="Z59">
            <v>1.5040932426806819E-2</v>
          </cell>
          <cell r="AA59">
            <v>0.37029272851261519</v>
          </cell>
          <cell r="AB59">
            <v>0.95231368225200863</v>
          </cell>
          <cell r="AC59">
            <v>0.26244203163983881</v>
          </cell>
          <cell r="AD59">
            <v>0.21736514474810753</v>
          </cell>
          <cell r="AE59">
            <v>0.18391338819476655</v>
          </cell>
          <cell r="AF59">
            <v>-2.2449957606812232E-2</v>
          </cell>
          <cell r="AG59">
            <v>0.12380431329638908</v>
          </cell>
          <cell r="AH59">
            <v>0.16401151841632666</v>
          </cell>
        </row>
        <row r="60">
          <cell r="A60" t="str">
            <v>Net Income</v>
          </cell>
          <cell r="O60">
            <v>0.43622448979591755</v>
          </cell>
          <cell r="P60">
            <v>0.66338948822872923</v>
          </cell>
          <cell r="Q60">
            <v>0.34325792709232195</v>
          </cell>
          <cell r="R60">
            <v>7.8330261654077749E-2</v>
          </cell>
          <cell r="S60">
            <v>0.32845408293778267</v>
          </cell>
          <cell r="T60">
            <v>-0.15709492796526525</v>
          </cell>
          <cell r="U60">
            <v>-0.26319488817891334</v>
          </cell>
          <cell r="V60">
            <v>-0.36376866139756603</v>
          </cell>
          <cell r="W60">
            <v>-0.52069322296947851</v>
          </cell>
          <cell r="X60">
            <v>-0.3397733513054767</v>
          </cell>
          <cell r="Y60">
            <v>7.9489580894405165E-2</v>
          </cell>
          <cell r="Z60">
            <v>1.5058537854478526E-2</v>
          </cell>
          <cell r="AA60">
            <v>0.36928658753006949</v>
          </cell>
          <cell r="AB60">
            <v>0.95698866702644647</v>
          </cell>
          <cell r="AC60">
            <v>0.35924539617507056</v>
          </cell>
          <cell r="AD60">
            <v>0.21707696200701165</v>
          </cell>
          <cell r="AE60">
            <v>0.18388946605790402</v>
          </cell>
          <cell r="AF60">
            <v>-7.1714524351254028E-3</v>
          </cell>
          <cell r="AG60">
            <v>0.14138377961007098</v>
          </cell>
          <cell r="AH60">
            <v>0.1786029859976388</v>
          </cell>
        </row>
        <row r="61">
          <cell r="A61" t="str">
            <v>EPS - F.D.</v>
          </cell>
          <cell r="O61">
            <v>0.39121760140576911</v>
          </cell>
          <cell r="P61">
            <v>0.52757442654953657</v>
          </cell>
          <cell r="Q61">
            <v>0.30434782608695632</v>
          </cell>
          <cell r="R61">
            <v>7.0943793456883064E-2</v>
          </cell>
          <cell r="S61">
            <v>0.3125</v>
          </cell>
          <cell r="T61">
            <v>-0.13872552882533384</v>
          </cell>
          <cell r="U61">
            <v>-0.23464245745558743</v>
          </cell>
          <cell r="V61">
            <v>-0.34980050668225648</v>
          </cell>
          <cell r="W61">
            <v>-0.50591120979968596</v>
          </cell>
          <cell r="X61">
            <v>-0.32855778163299365</v>
          </cell>
          <cell r="Y61">
            <v>0.11959383459999251</v>
          </cell>
          <cell r="Z61">
            <v>5.8642699357723371E-2</v>
          </cell>
          <cell r="AA61">
            <v>0.40305815722417115</v>
          </cell>
          <cell r="AB61">
            <v>0.99000713545747487</v>
          </cell>
          <cell r="AC61">
            <v>0.35924539617507056</v>
          </cell>
          <cell r="AD61">
            <v>0.23474366738695385</v>
          </cell>
          <cell r="AE61">
            <v>0.20675356525202782</v>
          </cell>
          <cell r="AF61">
            <v>4.7443529786722394E-2</v>
          </cell>
          <cell r="AG61">
            <v>0.24409251843054336</v>
          </cell>
          <cell r="AH61">
            <v>0.1786029859976388</v>
          </cell>
        </row>
        <row r="62">
          <cell r="A62" t="str">
            <v>Shares Outstanding - F.D.</v>
          </cell>
          <cell r="O62">
            <v>-9.4859596194012408E-3</v>
          </cell>
          <cell r="P62">
            <v>1.4662756598240456E-3</v>
          </cell>
          <cell r="Q62">
            <v>-6.3658381321007873E-4</v>
          </cell>
          <cell r="R62">
            <v>-2.1945866861741048E-2</v>
          </cell>
          <cell r="S62">
            <v>-5.5047214698777935E-3</v>
          </cell>
          <cell r="T62">
            <v>-2.1328159320544771E-2</v>
          </cell>
          <cell r="U62">
            <v>-3.7306002928257698E-2</v>
          </cell>
          <cell r="V62">
            <v>-4.8206179528481496E-2</v>
          </cell>
          <cell r="W62">
            <v>-2.9917726252804755E-2</v>
          </cell>
          <cell r="X62">
            <v>-3.4162507912673612E-2</v>
          </cell>
          <cell r="Y62">
            <v>-3.5820359550225667E-2</v>
          </cell>
          <cell r="Z62">
            <v>-4.1169850346757464E-2</v>
          </cell>
          <cell r="AA62">
            <v>-2.4069971383734901E-2</v>
          </cell>
          <cell r="AB62">
            <v>-1.6592135697763966E-2</v>
          </cell>
          <cell r="AC62">
            <v>-2.9498901626507146E-2</v>
          </cell>
          <cell r="AD62">
            <v>-1.430799432025387E-2</v>
          </cell>
          <cell r="AE62">
            <v>-1.8946784043143872E-2</v>
          </cell>
          <cell r="AF62">
            <v>-5.2141218756650787E-2</v>
          </cell>
          <cell r="AG62">
            <v>-8.2557154953429301E-2</v>
          </cell>
          <cell r="AH62">
            <v>-4.1968338228134505E-2</v>
          </cell>
        </row>
        <row r="64">
          <cell r="N64" t="str">
            <v>Annual</v>
          </cell>
          <cell r="O64" t="str">
            <v>12/31/93</v>
          </cell>
          <cell r="P64" t="str">
            <v>3/31/94</v>
          </cell>
          <cell r="Q64" t="str">
            <v>6/30/94</v>
          </cell>
          <cell r="R64" t="str">
            <v>9/30/94</v>
          </cell>
          <cell r="S64" t="str">
            <v>Annual</v>
          </cell>
          <cell r="T64" t="str">
            <v>12/31/94</v>
          </cell>
          <cell r="U64" t="str">
            <v>3/31/95</v>
          </cell>
          <cell r="V64" t="str">
            <v>6/30/95</v>
          </cell>
          <cell r="W64" t="str">
            <v>9/30/95</v>
          </cell>
          <cell r="X64" t="str">
            <v>Annual</v>
          </cell>
          <cell r="Y64" t="str">
            <v>12/31/95</v>
          </cell>
          <cell r="Z64" t="str">
            <v>3/31/96</v>
          </cell>
          <cell r="AA64" t="str">
            <v>6/30/96</v>
          </cell>
          <cell r="AB64" t="str">
            <v>9/30/96</v>
          </cell>
          <cell r="AC64" t="str">
            <v>Annual</v>
          </cell>
          <cell r="AD64" t="str">
            <v>12/31/96</v>
          </cell>
          <cell r="AE64" t="str">
            <v>3/31/97</v>
          </cell>
          <cell r="AF64" t="str">
            <v>6/30/97</v>
          </cell>
          <cell r="AG64" t="str">
            <v>9/30/97</v>
          </cell>
          <cell r="AH64" t="str">
            <v>Annual</v>
          </cell>
        </row>
        <row r="65">
          <cell r="E65" t="str">
            <v>1Q/92</v>
          </cell>
          <cell r="F65" t="str">
            <v>2Q/92</v>
          </cell>
          <cell r="G65" t="str">
            <v>3Q/92</v>
          </cell>
          <cell r="H65" t="str">
            <v>4Q/92</v>
          </cell>
          <cell r="I65">
            <v>1992</v>
          </cell>
          <cell r="J65" t="str">
            <v>1Q/93</v>
          </cell>
          <cell r="K65" t="str">
            <v>2Q/93</v>
          </cell>
          <cell r="L65" t="str">
            <v>3Q/93</v>
          </cell>
          <cell r="M65" t="str">
            <v>4Q/93</v>
          </cell>
          <cell r="N65" t="str">
            <v>1993A</v>
          </cell>
          <cell r="O65" t="str">
            <v>1Q94 A</v>
          </cell>
          <cell r="P65" t="str">
            <v>2Q94 A</v>
          </cell>
          <cell r="Q65" t="str">
            <v>3Q94 A</v>
          </cell>
          <cell r="R65" t="str">
            <v>4Q94 A</v>
          </cell>
          <cell r="S65" t="str">
            <v>1994A</v>
          </cell>
          <cell r="T65" t="str">
            <v>1Q95 A</v>
          </cell>
          <cell r="U65" t="str">
            <v>2Q95 A</v>
          </cell>
          <cell r="V65" t="str">
            <v>3Q95 A</v>
          </cell>
          <cell r="W65" t="str">
            <v>4Q95 A</v>
          </cell>
          <cell r="X65" t="str">
            <v>1995A</v>
          </cell>
          <cell r="Y65" t="str">
            <v>1Q96 A</v>
          </cell>
          <cell r="Z65" t="str">
            <v>2Q96 A</v>
          </cell>
          <cell r="AA65" t="str">
            <v>3Q96 A</v>
          </cell>
          <cell r="AB65" t="str">
            <v>4Q96 A</v>
          </cell>
          <cell r="AC65" t="str">
            <v>1996A</v>
          </cell>
          <cell r="AD65" t="str">
            <v>1Q97A</v>
          </cell>
          <cell r="AE65" t="str">
            <v>2Q97A</v>
          </cell>
          <cell r="AF65" t="str">
            <v>3Q97A</v>
          </cell>
          <cell r="AG65" t="str">
            <v>4Q97A</v>
          </cell>
          <cell r="AH65" t="str">
            <v>1997A</v>
          </cell>
        </row>
        <row r="66">
          <cell r="A66" t="str">
            <v>CASH FLOW ANALYSIS</v>
          </cell>
        </row>
        <row r="67">
          <cell r="A67" t="str">
            <v>Pretax Income</v>
          </cell>
          <cell r="N67">
            <v>174.13500000000002</v>
          </cell>
          <cell r="O67">
            <v>49.201999999999991</v>
          </cell>
          <cell r="P67">
            <v>50.699999999999996</v>
          </cell>
          <cell r="Q67">
            <v>64.555000000000021</v>
          </cell>
          <cell r="R67">
            <v>50.121000000000024</v>
          </cell>
          <cell r="S67">
            <v>214.57800000000003</v>
          </cell>
          <cell r="T67">
            <v>40.04</v>
          </cell>
          <cell r="U67">
            <v>36.035000000000011</v>
          </cell>
          <cell r="V67">
            <v>39.593000000000018</v>
          </cell>
          <cell r="W67">
            <v>29.022999999999975</v>
          </cell>
          <cell r="X67">
            <v>144.69100000000009</v>
          </cell>
          <cell r="Y67">
            <v>43.213000000000022</v>
          </cell>
          <cell r="Z67">
            <v>36.576999999999991</v>
          </cell>
          <cell r="AA67">
            <v>54.253999999999998</v>
          </cell>
          <cell r="AB67">
            <v>56.661999999999999</v>
          </cell>
          <cell r="AC67">
            <v>182.66400000000004</v>
          </cell>
          <cell r="AD67">
            <v>52.605999999999995</v>
          </cell>
          <cell r="AE67">
            <v>43.303999999999967</v>
          </cell>
          <cell r="AF67">
            <v>53.036000000000008</v>
          </cell>
          <cell r="AG67">
            <v>63.677</v>
          </cell>
          <cell r="AH67">
            <v>212.62299999999996</v>
          </cell>
        </row>
        <row r="68">
          <cell r="A68" t="str">
            <v>Depreciation</v>
          </cell>
          <cell r="N68">
            <v>20.196000000000002</v>
          </cell>
          <cell r="O68">
            <v>4.5590000000000002</v>
          </cell>
          <cell r="P68">
            <v>4.7</v>
          </cell>
          <cell r="Q68">
            <v>5.1219999999999999</v>
          </cell>
          <cell r="R68">
            <v>5.7069999999999999</v>
          </cell>
          <cell r="S68">
            <v>20.074000000000002</v>
          </cell>
          <cell r="T68">
            <v>6.2590000000000003</v>
          </cell>
          <cell r="U68">
            <v>6.8620000000000001</v>
          </cell>
          <cell r="V68">
            <v>7.0910000000000002</v>
          </cell>
          <cell r="W68">
            <v>7.6820000000000004</v>
          </cell>
          <cell r="X68">
            <v>27.893999999999998</v>
          </cell>
          <cell r="Y68">
            <v>6.8659999999999997</v>
          </cell>
          <cell r="Z68">
            <v>6.5180000000000007</v>
          </cell>
          <cell r="AA68">
            <v>6.9450000000000003</v>
          </cell>
          <cell r="AB68">
            <v>10.172999999999998</v>
          </cell>
          <cell r="AC68">
            <v>30.501999999999999</v>
          </cell>
          <cell r="AD68">
            <v>8.2240000000000002</v>
          </cell>
          <cell r="AE68">
            <v>8.6769999999999996</v>
          </cell>
          <cell r="AF68">
            <v>9.2740000000000009</v>
          </cell>
          <cell r="AG68">
            <v>8.8490000000000002</v>
          </cell>
          <cell r="AH68">
            <v>35.024000000000001</v>
          </cell>
        </row>
        <row r="69">
          <cell r="A69" t="str">
            <v>Net Interest Expense</v>
          </cell>
          <cell r="N69">
            <v>-13.534000000000001</v>
          </cell>
          <cell r="O69">
            <v>-3.8820000000000001</v>
          </cell>
          <cell r="P69">
            <v>-4.1999999999999993</v>
          </cell>
          <cell r="Q69">
            <v>-4.4290000000000003</v>
          </cell>
          <cell r="R69">
            <v>-5.2240000000000002</v>
          </cell>
          <cell r="S69">
            <v>-17.734999999999999</v>
          </cell>
          <cell r="T69">
            <v>-3.8779999999999992</v>
          </cell>
          <cell r="U69">
            <v>-4.2770000000000001</v>
          </cell>
          <cell r="V69">
            <v>-5.3649999999999993</v>
          </cell>
          <cell r="W69">
            <v>-3.6850000000000005</v>
          </cell>
          <cell r="X69">
            <v>-17.204999999999998</v>
          </cell>
          <cell r="Y69">
            <v>-4.5110000000000001</v>
          </cell>
          <cell r="Z69">
            <v>-4.2159999999999993</v>
          </cell>
          <cell r="AA69">
            <v>-3.0250000000000012</v>
          </cell>
          <cell r="AB69">
            <v>-3.8899999999999997</v>
          </cell>
          <cell r="AC69">
            <v>-15.641999999999999</v>
          </cell>
          <cell r="AD69">
            <v>-3.3369999999999989</v>
          </cell>
          <cell r="AE69">
            <v>-3.2679999999999998</v>
          </cell>
          <cell r="AF69">
            <v>-1.7729999999999997</v>
          </cell>
          <cell r="AG69">
            <v>-2.9390000000000001</v>
          </cell>
          <cell r="AH69">
            <v>-11.317</v>
          </cell>
        </row>
        <row r="70">
          <cell r="A70" t="str">
            <v>EBITDA</v>
          </cell>
          <cell r="N70">
            <v>180.79700000000003</v>
          </cell>
          <cell r="O70">
            <v>49.878999999999991</v>
          </cell>
          <cell r="P70">
            <v>51.2</v>
          </cell>
          <cell r="Q70">
            <v>65.248000000000019</v>
          </cell>
          <cell r="R70">
            <v>50.604000000000028</v>
          </cell>
          <cell r="S70">
            <v>216.91700000000003</v>
          </cell>
          <cell r="T70">
            <v>42.420999999999999</v>
          </cell>
          <cell r="U70">
            <v>38.620000000000012</v>
          </cell>
          <cell r="V70">
            <v>41.319000000000017</v>
          </cell>
          <cell r="W70">
            <v>33.019999999999975</v>
          </cell>
          <cell r="X70">
            <v>155.38000000000011</v>
          </cell>
          <cell r="Y70">
            <v>45.568000000000019</v>
          </cell>
          <cell r="Z70">
            <v>38.878999999999991</v>
          </cell>
          <cell r="AA70">
            <v>58.173999999999999</v>
          </cell>
          <cell r="AB70">
            <v>62.944999999999993</v>
          </cell>
          <cell r="AC70">
            <v>197.52400000000006</v>
          </cell>
          <cell r="AD70">
            <v>57.493000000000002</v>
          </cell>
          <cell r="AE70">
            <v>48.712999999999965</v>
          </cell>
          <cell r="AF70">
            <v>60.537000000000006</v>
          </cell>
          <cell r="AG70">
            <v>69.586999999999989</v>
          </cell>
          <cell r="AH70">
            <v>236.32999999999996</v>
          </cell>
        </row>
        <row r="71">
          <cell r="A71" t="str">
            <v>EBITDA/Share</v>
          </cell>
          <cell r="N71">
            <v>1.3234536271136814</v>
          </cell>
          <cell r="O71">
            <v>0.36519988285254051</v>
          </cell>
          <cell r="P71">
            <v>0.37481698389458273</v>
          </cell>
          <cell r="Q71">
            <v>0.47772733928832928</v>
          </cell>
          <cell r="R71">
            <v>0.37848915482423362</v>
          </cell>
          <cell r="S71">
            <v>1.5966450264246494</v>
          </cell>
          <cell r="T71">
            <v>0.31736329834588939</v>
          </cell>
          <cell r="U71">
            <v>0.29367927971772734</v>
          </cell>
          <cell r="V71">
            <v>0.31784824148435348</v>
          </cell>
          <cell r="W71">
            <v>0.25458750963762511</v>
          </cell>
          <cell r="X71">
            <v>1.1841476031070737</v>
          </cell>
          <cell r="Y71">
            <v>0.35357195508965794</v>
          </cell>
          <cell r="Z71">
            <v>0.30834324688714404</v>
          </cell>
          <cell r="AA71">
            <v>0.45854319878297745</v>
          </cell>
          <cell r="AB71">
            <v>0.49350048609151059</v>
          </cell>
          <cell r="AC71">
            <v>1.5510813060480899</v>
          </cell>
          <cell r="AD71">
            <v>0.45257606171527537</v>
          </cell>
          <cell r="AE71">
            <v>0.39379633147670567</v>
          </cell>
          <cell r="AF71">
            <v>0.5034178225725976</v>
          </cell>
          <cell r="AG71">
            <v>0.59466919619203873</v>
          </cell>
          <cell r="AH71">
            <v>1.9371073306475737</v>
          </cell>
        </row>
        <row r="72">
          <cell r="A72" t="str">
            <v>Net Income</v>
          </cell>
          <cell r="N72">
            <v>105.54900000000002</v>
          </cell>
          <cell r="O72">
            <v>30.40199999999999</v>
          </cell>
          <cell r="P72">
            <v>31.299999999999997</v>
          </cell>
          <cell r="Q72">
            <v>39.855000000000018</v>
          </cell>
          <cell r="R72">
            <v>38.660000000000025</v>
          </cell>
          <cell r="S72">
            <v>140.21700000000004</v>
          </cell>
          <cell r="T72">
            <v>25.625999999999998</v>
          </cell>
          <cell r="U72">
            <v>23.062000000000012</v>
          </cell>
          <cell r="V72">
            <v>25.357000000000017</v>
          </cell>
          <cell r="W72">
            <v>18.529999999999973</v>
          </cell>
          <cell r="X72">
            <v>92.575000000000003</v>
          </cell>
          <cell r="Y72">
            <v>27.663000000000022</v>
          </cell>
          <cell r="Z72">
            <v>23.409279999999995</v>
          </cell>
          <cell r="AA72">
            <v>34.720999999999997</v>
          </cell>
          <cell r="AB72">
            <v>36.262999999999998</v>
          </cell>
          <cell r="AC72">
            <v>122.05628000000002</v>
          </cell>
          <cell r="AD72">
            <v>33.667999999999992</v>
          </cell>
          <cell r="AE72">
            <v>27.713999999999967</v>
          </cell>
          <cell r="AF72">
            <v>34.472000000000008</v>
          </cell>
          <cell r="AG72">
            <v>41.39</v>
          </cell>
          <cell r="AH72">
            <v>137.24399999999997</v>
          </cell>
        </row>
        <row r="73">
          <cell r="A73" t="str">
            <v>Depreciation</v>
          </cell>
          <cell r="N73">
            <v>20.196000000000002</v>
          </cell>
          <cell r="O73">
            <v>4.5590000000000002</v>
          </cell>
          <cell r="P73">
            <v>4.7</v>
          </cell>
          <cell r="Q73">
            <v>5.1219999999999999</v>
          </cell>
          <cell r="R73">
            <v>5.7069999999999999</v>
          </cell>
          <cell r="S73">
            <v>20.074000000000002</v>
          </cell>
          <cell r="T73">
            <v>6.2590000000000003</v>
          </cell>
          <cell r="U73">
            <v>6.8620000000000001</v>
          </cell>
          <cell r="V73">
            <v>7.0910000000000002</v>
          </cell>
          <cell r="W73">
            <v>7.6820000000000004</v>
          </cell>
          <cell r="X73">
            <v>27.893999999999998</v>
          </cell>
          <cell r="Y73">
            <v>6.8659999999999997</v>
          </cell>
          <cell r="Z73">
            <v>6.5180000000000007</v>
          </cell>
          <cell r="AA73">
            <v>6.9450000000000003</v>
          </cell>
          <cell r="AB73">
            <v>10.172999999999998</v>
          </cell>
          <cell r="AC73">
            <v>30.501999999999999</v>
          </cell>
          <cell r="AD73">
            <v>8.2240000000000002</v>
          </cell>
          <cell r="AE73">
            <v>8.6769999999999996</v>
          </cell>
          <cell r="AF73">
            <v>9.2740000000000009</v>
          </cell>
          <cell r="AG73">
            <v>8.8490000000000002</v>
          </cell>
          <cell r="AH73">
            <v>35.024000000000001</v>
          </cell>
        </row>
        <row r="74">
          <cell r="A74" t="str">
            <v xml:space="preserve">Cash Flow </v>
          </cell>
          <cell r="S74">
            <v>160.29100000000005</v>
          </cell>
          <cell r="X74">
            <v>120.46899999999999</v>
          </cell>
          <cell r="Y74">
            <v>34.529000000000025</v>
          </cell>
          <cell r="Z74">
            <v>29.927279999999996</v>
          </cell>
          <cell r="AA74">
            <v>41.665999999999997</v>
          </cell>
          <cell r="AB74">
            <v>46.435999999999993</v>
          </cell>
          <cell r="AC74">
            <v>152.55828000000002</v>
          </cell>
          <cell r="AD74">
            <v>41.891999999999996</v>
          </cell>
          <cell r="AE74">
            <v>36.390999999999963</v>
          </cell>
          <cell r="AF74">
            <v>43.746000000000009</v>
          </cell>
          <cell r="AG74">
            <v>50.239000000000004</v>
          </cell>
          <cell r="AH74">
            <v>172.26799999999997</v>
          </cell>
        </row>
        <row r="75">
          <cell r="A75" t="str">
            <v>Cash Flow / Share</v>
          </cell>
          <cell r="S75">
            <v>1.1798421881670571</v>
          </cell>
          <cell r="X75">
            <v>0.91809163083219181</v>
          </cell>
          <cell r="Y75">
            <v>0.26791796956835501</v>
          </cell>
          <cell r="Z75">
            <v>0.23734856055198664</v>
          </cell>
          <cell r="AA75">
            <v>0.32842267886842125</v>
          </cell>
          <cell r="AB75">
            <v>0.36406686110327086</v>
          </cell>
          <cell r="AC75">
            <v>1.1979825043582053</v>
          </cell>
          <cell r="AD75">
            <v>0.32976738694060692</v>
          </cell>
          <cell r="AE75">
            <v>0.294185172310652</v>
          </cell>
          <cell r="AF75">
            <v>0.36378604929647751</v>
          </cell>
          <cell r="AG75">
            <v>0.42932711206822888</v>
          </cell>
          <cell r="AH75">
            <v>1.4120154260398436</v>
          </cell>
        </row>
        <row r="76">
          <cell r="A76" t="str">
            <v>Less Maint. Exp. Cap Ex.</v>
          </cell>
          <cell r="N76">
            <v>116.155</v>
          </cell>
          <cell r="S76">
            <v>73.182000000000002</v>
          </cell>
          <cell r="T76">
            <v>10.865</v>
          </cell>
          <cell r="U76">
            <v>9.5220000000000002</v>
          </cell>
          <cell r="V76">
            <v>15.283999999999997</v>
          </cell>
          <cell r="W76">
            <v>7.8660000000000014</v>
          </cell>
          <cell r="X76">
            <v>43.536999999999999</v>
          </cell>
          <cell r="Y76">
            <v>25.4</v>
          </cell>
          <cell r="Z76">
            <v>19.300000000000004</v>
          </cell>
          <cell r="AA76">
            <v>14.599999999999994</v>
          </cell>
          <cell r="AB76">
            <v>12.299999999999997</v>
          </cell>
          <cell r="AC76">
            <v>71.599999999999994</v>
          </cell>
          <cell r="AD76">
            <v>9.1709999999999994</v>
          </cell>
          <cell r="AE76">
            <v>6.1840000000000011</v>
          </cell>
          <cell r="AF76">
            <v>11.902000000000001</v>
          </cell>
          <cell r="AG76">
            <v>8</v>
          </cell>
          <cell r="AH76">
            <v>35.257000000000005</v>
          </cell>
        </row>
        <row r="77">
          <cell r="A77" t="str">
            <v>Less Sodak Acquisition</v>
          </cell>
        </row>
        <row r="78">
          <cell r="A78" t="str">
            <v>Free Cash Flow</v>
          </cell>
          <cell r="N78">
            <v>9.5900000000000176</v>
          </cell>
          <cell r="S78">
            <v>87.109000000000052</v>
          </cell>
          <cell r="T78">
            <v>21.019999999999996</v>
          </cell>
          <cell r="U78">
            <v>20.402000000000015</v>
          </cell>
          <cell r="V78">
            <v>17.164000000000016</v>
          </cell>
          <cell r="W78">
            <v>18.345999999999975</v>
          </cell>
          <cell r="X78">
            <v>76.931999999999988</v>
          </cell>
          <cell r="Y78">
            <v>9.1290000000000262</v>
          </cell>
          <cell r="Z78">
            <v>10.627279999999992</v>
          </cell>
          <cell r="AA78">
            <v>27.066000000000003</v>
          </cell>
          <cell r="AB78">
            <v>34.135999999999996</v>
          </cell>
          <cell r="AC78">
            <v>80.95828000000003</v>
          </cell>
          <cell r="AD78">
            <v>32.720999999999997</v>
          </cell>
          <cell r="AE78">
            <v>30.206999999999962</v>
          </cell>
          <cell r="AF78">
            <v>31.844000000000008</v>
          </cell>
          <cell r="AG78">
            <v>42.239000000000004</v>
          </cell>
          <cell r="AH78">
            <v>137.01099999999997</v>
          </cell>
        </row>
        <row r="79">
          <cell r="A79" t="str">
            <v>Free Cash/Share</v>
          </cell>
          <cell r="N79">
            <v>7.0199838957616695E-2</v>
          </cell>
          <cell r="S79">
            <v>0.64117681697066087</v>
          </cell>
          <cell r="T79">
            <v>0.15725646569459922</v>
          </cell>
          <cell r="U79">
            <v>0.15514356977734531</v>
          </cell>
          <cell r="V79">
            <v>0.13203483184097983</v>
          </cell>
          <cell r="W79">
            <v>0.14144949884348479</v>
          </cell>
          <cell r="X79">
            <v>0.586297100027245</v>
          </cell>
          <cell r="Y79">
            <v>7.0833882944467505E-2</v>
          </cell>
          <cell r="Z79">
            <v>8.4283289713696502E-2</v>
          </cell>
          <cell r="AA79">
            <v>0.21334153089455887</v>
          </cell>
          <cell r="AB79">
            <v>0.26763257753943609</v>
          </cell>
          <cell r="AC79">
            <v>0.63573476983964972</v>
          </cell>
          <cell r="AD79">
            <v>0.2575746841421655</v>
          </cell>
          <cell r="AE79">
            <v>0.24419366052012484</v>
          </cell>
          <cell r="AF79">
            <v>0.26481056448125612</v>
          </cell>
          <cell r="AG79">
            <v>0.36096156146917574</v>
          </cell>
          <cell r="AH79">
            <v>1.123027175895378</v>
          </cell>
        </row>
        <row r="80">
          <cell r="A80" t="str">
            <v>Less Share Repurchases</v>
          </cell>
        </row>
        <row r="81">
          <cell r="A81" t="str">
            <v>Discretionary Cash Flow</v>
          </cell>
        </row>
        <row r="82">
          <cell r="A82" t="str">
            <v>BALANCE SHEET ANALYSIS</v>
          </cell>
        </row>
        <row r="83">
          <cell r="A83" t="str">
            <v>Cash</v>
          </cell>
          <cell r="I83">
            <v>149.352</v>
          </cell>
          <cell r="N83">
            <v>217.34</v>
          </cell>
          <cell r="O83">
            <v>226.54300000000001</v>
          </cell>
          <cell r="P83">
            <v>200.08700000000002</v>
          </cell>
          <cell r="Q83">
            <v>138.19499999999999</v>
          </cell>
          <cell r="R83">
            <v>203.05</v>
          </cell>
          <cell r="S83">
            <v>203.05</v>
          </cell>
          <cell r="T83">
            <v>238.45</v>
          </cell>
          <cell r="U83">
            <v>228.631</v>
          </cell>
          <cell r="V83">
            <v>258.03000000000003</v>
          </cell>
          <cell r="W83">
            <v>289.42599999999999</v>
          </cell>
          <cell r="X83">
            <v>289.42599999999999</v>
          </cell>
          <cell r="Y83">
            <v>283.76900000000001</v>
          </cell>
          <cell r="Z83">
            <v>205.39600000000002</v>
          </cell>
          <cell r="AA83">
            <v>228.185</v>
          </cell>
          <cell r="AB83">
            <v>230.75800000000001</v>
          </cell>
          <cell r="AC83">
            <v>230.75800000000001</v>
          </cell>
          <cell r="AD83">
            <v>214.51500000000001</v>
          </cell>
          <cell r="AE83">
            <v>164.935</v>
          </cell>
          <cell r="AF83">
            <v>174.953</v>
          </cell>
          <cell r="AG83">
            <v>166.71499999999997</v>
          </cell>
          <cell r="AH83">
            <v>166.71499999999997</v>
          </cell>
        </row>
        <row r="84">
          <cell r="A84" t="str">
            <v>Long Term Obligations</v>
          </cell>
          <cell r="I84">
            <v>136.797</v>
          </cell>
          <cell r="N84">
            <v>59.98</v>
          </cell>
          <cell r="O84">
            <v>60.129000000000005</v>
          </cell>
          <cell r="P84">
            <v>56.378999999999998</v>
          </cell>
          <cell r="Q84">
            <v>13.5</v>
          </cell>
          <cell r="R84">
            <v>113.723</v>
          </cell>
          <cell r="S84">
            <v>113.723</v>
          </cell>
          <cell r="T84">
            <v>112</v>
          </cell>
          <cell r="U84">
            <v>111.916</v>
          </cell>
          <cell r="V84">
            <v>114.17</v>
          </cell>
          <cell r="W84">
            <v>107.54300000000001</v>
          </cell>
          <cell r="X84">
            <v>110</v>
          </cell>
          <cell r="Y84">
            <v>107.36</v>
          </cell>
          <cell r="Z84">
            <v>116.00200000000001</v>
          </cell>
          <cell r="AA84">
            <v>107.203</v>
          </cell>
          <cell r="AB84">
            <v>107.155</v>
          </cell>
          <cell r="AC84">
            <v>107.155</v>
          </cell>
          <cell r="AD84">
            <v>102.408</v>
          </cell>
          <cell r="AE84">
            <v>115.86499999999999</v>
          </cell>
          <cell r="AF84">
            <v>117.95699999999999</v>
          </cell>
          <cell r="AG84">
            <v>166.12700000000001</v>
          </cell>
          <cell r="AH84">
            <v>166.12700000000001</v>
          </cell>
        </row>
        <row r="85">
          <cell r="A85" t="str">
            <v>Equity</v>
          </cell>
          <cell r="I85">
            <v>214.06200000000001</v>
          </cell>
          <cell r="N85">
            <v>378.54899999999998</v>
          </cell>
          <cell r="O85">
            <v>422</v>
          </cell>
          <cell r="P85">
            <v>467.38600000000002</v>
          </cell>
          <cell r="Q85">
            <v>489.06900000000002</v>
          </cell>
          <cell r="R85">
            <v>520.86800000000005</v>
          </cell>
          <cell r="S85">
            <v>520.86800000000005</v>
          </cell>
          <cell r="T85">
            <v>544</v>
          </cell>
          <cell r="U85">
            <v>515.06100000000004</v>
          </cell>
          <cell r="V85">
            <v>534.601</v>
          </cell>
          <cell r="W85">
            <v>554.09</v>
          </cell>
          <cell r="X85">
            <v>554.09</v>
          </cell>
          <cell r="Y85">
            <v>549.93799999999999</v>
          </cell>
          <cell r="Z85">
            <v>555.62900000000002</v>
          </cell>
          <cell r="AA85">
            <v>586.70799999999997</v>
          </cell>
          <cell r="AB85">
            <v>623.20000000000005</v>
          </cell>
          <cell r="AC85">
            <v>623.20000000000005</v>
          </cell>
          <cell r="AD85">
            <v>613.83199999999999</v>
          </cell>
          <cell r="AE85">
            <v>573.255</v>
          </cell>
          <cell r="AF85">
            <v>569.35699999999997</v>
          </cell>
          <cell r="AG85">
            <v>519.84699999999998</v>
          </cell>
          <cell r="AH85">
            <v>519.84699999999998</v>
          </cell>
        </row>
        <row r="86">
          <cell r="A86" t="str">
            <v>Debt/Total Capital</v>
          </cell>
          <cell r="I86">
            <v>0.38989166588287599</v>
          </cell>
          <cell r="N86">
            <v>0.13677544700578526</v>
          </cell>
          <cell r="O86">
            <v>0.1247155844182781</v>
          </cell>
          <cell r="P86">
            <v>0.10764178591543917</v>
          </cell>
          <cell r="Q86">
            <v>2.6861983130674592E-2</v>
          </cell>
          <cell r="R86">
            <v>0.1792067646720486</v>
          </cell>
          <cell r="S86">
            <v>0.1792067646720486</v>
          </cell>
          <cell r="T86">
            <v>0.17073170731707318</v>
          </cell>
          <cell r="U86">
            <v>0.17850096574515489</v>
          </cell>
          <cell r="V86">
            <v>0.17597888931533623</v>
          </cell>
          <cell r="W86">
            <v>0.16254177164681932</v>
          </cell>
          <cell r="X86">
            <v>0.16564019937056723</v>
          </cell>
          <cell r="Y86">
            <v>0.16333535169740362</v>
          </cell>
          <cell r="Z86">
            <v>0.17271686387316845</v>
          </cell>
          <cell r="AA86">
            <v>0.15449099380179881</v>
          </cell>
          <cell r="AB86">
            <v>0.14671632288407693</v>
          </cell>
          <cell r="AC86">
            <v>0.14671632288407693</v>
          </cell>
          <cell r="AD86">
            <v>0.14298000670166425</v>
          </cell>
          <cell r="AE86">
            <v>0.16813472254469466</v>
          </cell>
          <cell r="AF86">
            <v>0.17162024926016348</v>
          </cell>
          <cell r="AG86">
            <v>0.24217681719715328</v>
          </cell>
          <cell r="AH86">
            <v>0.24217681719715328</v>
          </cell>
        </row>
        <row r="87">
          <cell r="A87" t="str">
            <v>Book Value Per Share</v>
          </cell>
          <cell r="I87">
            <v>1.5809601181683899</v>
          </cell>
          <cell r="N87">
            <v>2.7710196910914275</v>
          </cell>
          <cell r="O87">
            <v>3.0897642407380288</v>
          </cell>
          <cell r="P87">
            <v>3.4215666178623723</v>
          </cell>
          <cell r="Q87">
            <v>3.5808244252452774</v>
          </cell>
          <cell r="R87">
            <v>3.8957965594614818</v>
          </cell>
          <cell r="S87">
            <v>3.8957965594614818</v>
          </cell>
          <cell r="T87">
            <v>4.0698152872436726</v>
          </cell>
          <cell r="U87">
            <v>3.9166945492152334</v>
          </cell>
          <cell r="V87">
            <v>4.1124419212898857</v>
          </cell>
          <cell r="W87">
            <v>4.2720894371626841</v>
          </cell>
          <cell r="X87">
            <v>4.2227078478928952</v>
          </cell>
          <cell r="Y87">
            <v>4.267087733455412</v>
          </cell>
          <cell r="Z87">
            <v>4.4066063922594969</v>
          </cell>
          <cell r="AA87">
            <v>4.6245911072225239</v>
          </cell>
          <cell r="AB87">
            <v>4.8860037005676293</v>
          </cell>
          <cell r="AC87">
            <v>4.8937540244687705</v>
          </cell>
          <cell r="AD87">
            <v>4.8319911835320974</v>
          </cell>
          <cell r="AE87">
            <v>4.634198591765629</v>
          </cell>
          <cell r="AF87">
            <v>4.7346987991883713</v>
          </cell>
          <cell r="AG87">
            <v>4.4424532977832465</v>
          </cell>
          <cell r="AH87">
            <v>4.4424532977832465</v>
          </cell>
        </row>
        <row r="88">
          <cell r="A88" t="str">
            <v>Return on Average Equity</v>
          </cell>
          <cell r="I88">
            <v>0.38</v>
          </cell>
          <cell r="N88">
            <v>0.35621681001533895</v>
          </cell>
          <cell r="S88">
            <v>0.31179530740468558</v>
          </cell>
          <cell r="X88">
            <v>0.17223928748844139</v>
          </cell>
          <cell r="AC88">
            <v>0.20735125585030029</v>
          </cell>
          <cell r="AH88">
            <v>0.2401371072230625</v>
          </cell>
        </row>
        <row r="89">
          <cell r="N89" t="str">
            <v>Annual</v>
          </cell>
          <cell r="O89" t="str">
            <v>12/31/93</v>
          </cell>
          <cell r="P89" t="str">
            <v>3/31/94</v>
          </cell>
          <cell r="Q89" t="str">
            <v>6/30/94</v>
          </cell>
          <cell r="R89" t="str">
            <v>9/30/94</v>
          </cell>
          <cell r="S89" t="str">
            <v>Annual</v>
          </cell>
          <cell r="T89" t="str">
            <v>12/31/94</v>
          </cell>
          <cell r="U89" t="str">
            <v>3/31/95</v>
          </cell>
          <cell r="V89" t="str">
            <v>6/30/95</v>
          </cell>
          <cell r="W89" t="str">
            <v>9/30/95</v>
          </cell>
          <cell r="X89" t="str">
            <v>Annual</v>
          </cell>
          <cell r="Y89" t="str">
            <v>12/31/95</v>
          </cell>
          <cell r="Z89" t="str">
            <v>3/31/96</v>
          </cell>
          <cell r="AA89" t="str">
            <v>6/30/96</v>
          </cell>
          <cell r="AB89" t="str">
            <v>9/30/96</v>
          </cell>
          <cell r="AC89" t="str">
            <v>Annual</v>
          </cell>
          <cell r="AD89" t="str">
            <v>12/31/96</v>
          </cell>
          <cell r="AE89" t="str">
            <v>3/31/97</v>
          </cell>
          <cell r="AF89" t="str">
            <v>6/30/97</v>
          </cell>
          <cell r="AG89" t="str">
            <v>9/30/97</v>
          </cell>
          <cell r="AH89" t="str">
            <v>Annual</v>
          </cell>
        </row>
        <row r="90">
          <cell r="E90" t="str">
            <v>1Q/92</v>
          </cell>
          <cell r="F90" t="str">
            <v>2Q/92</v>
          </cell>
          <cell r="G90" t="str">
            <v>3Q/92</v>
          </cell>
          <cell r="H90" t="str">
            <v>4Q/92</v>
          </cell>
          <cell r="I90">
            <v>1992</v>
          </cell>
          <cell r="J90" t="str">
            <v>1Q/93</v>
          </cell>
          <cell r="K90" t="str">
            <v>2Q/93</v>
          </cell>
          <cell r="L90" t="str">
            <v>3Q/93</v>
          </cell>
          <cell r="M90" t="str">
            <v>4Q/93</v>
          </cell>
          <cell r="N90" t="str">
            <v>1993A</v>
          </cell>
          <cell r="O90" t="str">
            <v>1Q94 A</v>
          </cell>
          <cell r="P90" t="str">
            <v>2Q94 A</v>
          </cell>
          <cell r="Q90" t="str">
            <v>3Q94 A</v>
          </cell>
          <cell r="R90" t="str">
            <v>4Q94 A</v>
          </cell>
          <cell r="S90" t="str">
            <v>1994A</v>
          </cell>
          <cell r="T90" t="str">
            <v>1Q95 A</v>
          </cell>
          <cell r="U90" t="str">
            <v>2Q95 A</v>
          </cell>
          <cell r="V90" t="str">
            <v>3Q95 A</v>
          </cell>
          <cell r="W90" t="str">
            <v>4Q95 A</v>
          </cell>
          <cell r="X90" t="str">
            <v>1995A</v>
          </cell>
          <cell r="Y90" t="str">
            <v>1Q96 A</v>
          </cell>
          <cell r="Z90" t="str">
            <v>2Q96 A</v>
          </cell>
          <cell r="AA90" t="str">
            <v>3Q96 A</v>
          </cell>
          <cell r="AB90" t="str">
            <v>4Q96 A</v>
          </cell>
          <cell r="AC90" t="str">
            <v>1996A</v>
          </cell>
          <cell r="AD90" t="str">
            <v>1Q97A</v>
          </cell>
          <cell r="AE90" t="str">
            <v>2Q97A</v>
          </cell>
          <cell r="AF90" t="str">
            <v>3Q97A</v>
          </cell>
          <cell r="AG90" t="str">
            <v>4Q97A</v>
          </cell>
          <cell r="AH90" t="str">
            <v>1997A</v>
          </cell>
        </row>
        <row r="91">
          <cell r="A91" t="str">
            <v>Domestic Units-New Casinos</v>
          </cell>
        </row>
        <row r="92">
          <cell r="A92" t="str">
            <v>Domestic Units-Replacement</v>
          </cell>
        </row>
        <row r="93">
          <cell r="A93" t="str">
            <v>Total Domestic Units Shipped</v>
          </cell>
          <cell r="Y93">
            <v>12300</v>
          </cell>
          <cell r="Z93">
            <v>13063</v>
          </cell>
          <cell r="AA93">
            <v>19785</v>
          </cell>
          <cell r="AB93">
            <v>18700</v>
          </cell>
          <cell r="AC93">
            <v>63848</v>
          </cell>
          <cell r="AD93">
            <v>16900</v>
          </cell>
          <cell r="AE93">
            <v>12900</v>
          </cell>
          <cell r="AF93">
            <v>10000</v>
          </cell>
          <cell r="AG93">
            <v>13200</v>
          </cell>
          <cell r="AH93">
            <v>53000</v>
          </cell>
        </row>
        <row r="94">
          <cell r="A94" t="str">
            <v>Int'l Units Shipped (excl. Pachisuro and Barcrest )</v>
          </cell>
          <cell r="Y94">
            <v>4800</v>
          </cell>
          <cell r="Z94">
            <v>3837</v>
          </cell>
          <cell r="AA94">
            <v>2815</v>
          </cell>
          <cell r="AB94">
            <v>4000</v>
          </cell>
          <cell r="AC94">
            <v>15452</v>
          </cell>
          <cell r="AD94">
            <v>3900</v>
          </cell>
          <cell r="AE94">
            <v>2800</v>
          </cell>
          <cell r="AF94">
            <v>2900</v>
          </cell>
          <cell r="AG94">
            <v>6500</v>
          </cell>
          <cell r="AH94">
            <v>16100</v>
          </cell>
        </row>
        <row r="95">
          <cell r="A95" t="str">
            <v xml:space="preserve">Total Gaming Device Units Shipped </v>
          </cell>
          <cell r="E95">
            <v>7800</v>
          </cell>
          <cell r="F95">
            <v>7200</v>
          </cell>
          <cell r="G95">
            <v>15000</v>
          </cell>
          <cell r="H95">
            <v>16000</v>
          </cell>
          <cell r="I95">
            <v>46000</v>
          </cell>
          <cell r="J95">
            <v>11000</v>
          </cell>
          <cell r="K95">
            <v>13000</v>
          </cell>
          <cell r="L95">
            <v>16000</v>
          </cell>
          <cell r="M95">
            <v>25000</v>
          </cell>
          <cell r="N95">
            <v>65000</v>
          </cell>
          <cell r="O95">
            <v>22000</v>
          </cell>
          <cell r="P95">
            <v>22000</v>
          </cell>
          <cell r="Q95">
            <v>26800</v>
          </cell>
          <cell r="R95">
            <v>23000</v>
          </cell>
          <cell r="S95">
            <v>93800</v>
          </cell>
          <cell r="T95">
            <v>20300</v>
          </cell>
          <cell r="U95">
            <v>17600</v>
          </cell>
          <cell r="V95">
            <v>18100</v>
          </cell>
          <cell r="W95">
            <v>17200</v>
          </cell>
          <cell r="X95">
            <v>73200</v>
          </cell>
          <cell r="Y95">
            <v>17100</v>
          </cell>
          <cell r="Z95">
            <v>16900</v>
          </cell>
          <cell r="AA95">
            <v>22600</v>
          </cell>
          <cell r="AB95">
            <v>22700</v>
          </cell>
          <cell r="AC95">
            <v>79300</v>
          </cell>
          <cell r="AD95">
            <v>20800</v>
          </cell>
          <cell r="AE95">
            <v>15700</v>
          </cell>
          <cell r="AF95">
            <v>12900</v>
          </cell>
          <cell r="AG95">
            <v>19700</v>
          </cell>
          <cell r="AH95">
            <v>69100</v>
          </cell>
        </row>
        <row r="148">
          <cell r="A148" t="str">
            <v>WACC</v>
          </cell>
          <cell r="X148">
            <v>0.13477</v>
          </cell>
        </row>
        <row r="150">
          <cell r="A150" t="str">
            <v>Spread</v>
          </cell>
          <cell r="X150">
            <v>0.12757072872304487</v>
          </cell>
        </row>
        <row r="151">
          <cell r="A151" t="str">
            <v>EVA</v>
          </cell>
          <cell r="X151">
            <v>44.566323796480837</v>
          </cell>
        </row>
        <row r="153">
          <cell r="A153" t="str">
            <v>Cash Return on Assets</v>
          </cell>
        </row>
        <row r="154">
          <cell r="A154" t="str">
            <v>Share Price At Beginning of Year</v>
          </cell>
          <cell r="X154">
            <v>20</v>
          </cell>
        </row>
        <row r="155">
          <cell r="A155" t="str">
            <v>Market Value + Long Term Debt</v>
          </cell>
          <cell r="X155">
            <v>2444.9090000000001</v>
          </cell>
        </row>
        <row r="156">
          <cell r="A156" t="str">
            <v>Value to Assets</v>
          </cell>
          <cell r="X156">
            <v>6.9985315417952396</v>
          </cell>
        </row>
        <row r="160">
          <cell r="A160" t="str">
            <v>Value anlaysis</v>
          </cell>
        </row>
        <row r="162">
          <cell r="A162" t="str">
            <v>!997 Cash Flow</v>
          </cell>
        </row>
        <row r="163">
          <cell r="A163" t="str">
            <v>WACC</v>
          </cell>
        </row>
        <row r="164">
          <cell r="A164" t="str">
            <v>Inlation</v>
          </cell>
        </row>
        <row r="166">
          <cell r="A166" t="str">
            <v>Value of 1997 Cash</v>
          </cell>
        </row>
        <row r="167">
          <cell r="A167" t="str">
            <v>share Price</v>
          </cell>
        </row>
        <row r="168">
          <cell r="A168" t="str">
            <v>total Value</v>
          </cell>
        </row>
        <row r="169">
          <cell r="A169" t="str">
            <v>Current/Total</v>
          </cell>
        </row>
        <row r="171">
          <cell r="A171" t="str">
            <v>Implications for future</v>
          </cell>
        </row>
        <row r="172">
          <cell r="A172" t="str">
            <v>WACC less inflation</v>
          </cell>
        </row>
        <row r="174">
          <cell r="A174" t="str">
            <v>Gross Margin on JV Systems</v>
          </cell>
        </row>
        <row r="175">
          <cell r="A175" t="str">
            <v>Gross Profit from IGT Systems</v>
          </cell>
        </row>
        <row r="176">
          <cell r="A176" t="str">
            <v>Gross Proft from JV games</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rnings Model"/>
      <sheetName val="Valuation"/>
      <sheetName val="3Q03 Comp"/>
      <sheetName val="ROIC"/>
      <sheetName val="2Q03 Comp"/>
      <sheetName val="Valuation By Property"/>
      <sheetName val="DCF"/>
      <sheetName val="FCF"/>
      <sheetName val="EBITDA Mix"/>
      <sheetName val="Property Portfolio"/>
      <sheetName val="Property Returns"/>
      <sheetName val="Holders"/>
      <sheetName val="Debt"/>
      <sheetName val="Horseshoe Analysis"/>
      <sheetName val="CoverSheet"/>
      <sheetName val="Capital Projects"/>
      <sheetName val="Guidance"/>
      <sheetName val="Current Trends"/>
      <sheetName val="1Q08"/>
      <sheetName val="EV-EBITDA Valuation"/>
      <sheetName val="Valuation Scenarios"/>
      <sheetName val="Estimate Changes"/>
      <sheetName val="EV, Sensitivity"/>
      <sheetName val="4Q07"/>
      <sheetName val="3Q07"/>
      <sheetName val="2Q07"/>
      <sheetName val="1Q07"/>
      <sheetName val="4Q06"/>
      <sheetName val="3Q06"/>
      <sheetName val="1Q05"/>
      <sheetName val="__FDSCACHE__"/>
      <sheetName val="1Q06"/>
      <sheetName val="2Q06"/>
      <sheetName val="4Q05"/>
      <sheetName val="3Q05"/>
      <sheetName val="2Q05"/>
      <sheetName val="4Q04"/>
      <sheetName val="2Q04"/>
      <sheetName val="Margins at Top Props"/>
      <sheetName val="1Q06 Guidance"/>
      <sheetName val="ASCA - AZR Transaction"/>
      <sheetName val="1Q04"/>
      <sheetName val="3Q03"/>
      <sheetName val="2Q03"/>
      <sheetName val="2Q10"/>
      <sheetName val="Price Target"/>
      <sheetName val="JPM Valuation"/>
      <sheetName val="Guidance Post 2Q10 Earnings"/>
      <sheetName val="Risk-Reward Analysis"/>
      <sheetName val="Historical Valuation"/>
      <sheetName val="Relative Valuation"/>
      <sheetName val="Summary Estimates and Charts"/>
      <sheetName val="1Q10"/>
      <sheetName val="4Q09"/>
      <sheetName val="3Q09"/>
      <sheetName val="2Q09"/>
      <sheetName val="1Q09"/>
      <sheetName val="4Q08"/>
      <sheetName val="3Q08"/>
      <sheetName val="2Q08"/>
      <sheetName val="GPS - Ameristar Casinos"/>
      <sheetName val="4Q10"/>
      <sheetName val="Guidance Post 4Q10 Earnings"/>
      <sheetName val="3Q10"/>
    </sheetNames>
    <sheetDataSet>
      <sheetData sheetId="0" refreshError="1">
        <row r="61">
          <cell r="D61">
            <v>1.0067773303211873E-2</v>
          </cell>
          <cell r="I61">
            <v>0.17412178476716206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WD Earnings Model"/>
      <sheetName val="HWD valuation"/>
      <sheetName val="HWD 1Q02 Comp "/>
      <sheetName val="HWD DCF Model"/>
      <sheetName val="HWD Property Portfolio"/>
      <sheetName val="HWD Other"/>
      <sheetName val="1Q02 Comp "/>
      <sheetName val="valuation"/>
      <sheetName val="DCF Model"/>
      <sheetName val="Property Portfolio"/>
      <sheetName val="Oth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HUM"/>
      <sheetName val="XPT-VAR"/>
      <sheetName val="COMPLink"/>
      <sheetName val="Segment Exhibit"/>
      <sheetName val="Enroll Chart"/>
      <sheetName val="Enroll Table"/>
      <sheetName val="4Q01 BS Chg"/>
      <sheetName val="3Q01 Rpt Change"/>
      <sheetName val="-- END OF ACTIVE SHEETS --"/>
      <sheetName val="Savings"/>
      <sheetName val="Xpect Earn"/>
      <sheetName val="Trend"/>
      <sheetName val="Notes"/>
      <sheetName val="YieldCost"/>
      <sheetName val="Segment"/>
      <sheetName val="FCN data"/>
      <sheetName val="GW"/>
      <sheetName val="Charges"/>
      <sheetName val="Chart"/>
      <sheetName val="Exhibits"/>
      <sheetName val="DataDoc"/>
    </sheetNames>
    <sheetDataSet>
      <sheetData sheetId="0"/>
      <sheetData sheetId="1" refreshError="1">
        <row r="71">
          <cell r="A71" t="str">
            <v>Humana Inc. — Income statement statistics</v>
          </cell>
        </row>
        <row r="73">
          <cell r="H73">
            <v>1996</v>
          </cell>
          <cell r="N73">
            <v>1997</v>
          </cell>
          <cell r="T73">
            <v>1998</v>
          </cell>
          <cell r="Z73">
            <v>1999</v>
          </cell>
          <cell r="AF73">
            <v>2000</v>
          </cell>
          <cell r="AL73">
            <v>2001</v>
          </cell>
          <cell r="AR73" t="str">
            <v>2002E</v>
          </cell>
        </row>
        <row r="74">
          <cell r="F74">
            <v>1995</v>
          </cell>
          <cell r="H74" t="str">
            <v xml:space="preserve">Q1 </v>
          </cell>
          <cell r="I74" t="str">
            <v xml:space="preserve">Q2 </v>
          </cell>
          <cell r="J74" t="str">
            <v xml:space="preserve">Q3 </v>
          </cell>
          <cell r="K74" t="str">
            <v xml:space="preserve">Q4 </v>
          </cell>
          <cell r="L74" t="str">
            <v xml:space="preserve">1996  </v>
          </cell>
          <cell r="N74" t="str">
            <v xml:space="preserve">Q1 </v>
          </cell>
          <cell r="O74" t="str">
            <v xml:space="preserve">Q2 </v>
          </cell>
          <cell r="P74" t="str">
            <v xml:space="preserve">Q3 </v>
          </cell>
          <cell r="Q74" t="str">
            <v xml:space="preserve">Q4 </v>
          </cell>
          <cell r="R74" t="str">
            <v xml:space="preserve">1997  </v>
          </cell>
          <cell r="T74" t="str">
            <v xml:space="preserve">Q1  </v>
          </cell>
          <cell r="U74" t="str">
            <v xml:space="preserve">Q2   </v>
          </cell>
          <cell r="V74" t="str">
            <v xml:space="preserve">Q3   </v>
          </cell>
          <cell r="W74" t="str">
            <v xml:space="preserve">Q4   </v>
          </cell>
          <cell r="X74" t="str">
            <v xml:space="preserve">1998   </v>
          </cell>
          <cell r="Z74" t="str">
            <v xml:space="preserve">Q1   </v>
          </cell>
          <cell r="AA74" t="str">
            <v xml:space="preserve">Q2   </v>
          </cell>
          <cell r="AB74" t="str">
            <v xml:space="preserve">Q3   </v>
          </cell>
          <cell r="AC74" t="str">
            <v xml:space="preserve">Q4   </v>
          </cell>
          <cell r="AD74" t="str">
            <v xml:space="preserve">1999   </v>
          </cell>
          <cell r="AF74" t="str">
            <v xml:space="preserve">Q1(a) </v>
          </cell>
          <cell r="AG74" t="str">
            <v xml:space="preserve">Q2(b)   </v>
          </cell>
          <cell r="AH74" t="str">
            <v xml:space="preserve">Q3   </v>
          </cell>
          <cell r="AI74" t="str">
            <v xml:space="preserve">Q4   </v>
          </cell>
          <cell r="AJ74">
            <v>2000</v>
          </cell>
          <cell r="AL74" t="str">
            <v xml:space="preserve">Q1   </v>
          </cell>
          <cell r="AM74" t="str">
            <v xml:space="preserve">Q2   </v>
          </cell>
          <cell r="AN74" t="str">
            <v xml:space="preserve">Q3   </v>
          </cell>
          <cell r="AO74" t="str">
            <v xml:space="preserve">Q4   </v>
          </cell>
          <cell r="AP74">
            <v>2001</v>
          </cell>
          <cell r="AR74" t="str">
            <v xml:space="preserve">Q1 </v>
          </cell>
          <cell r="AS74" t="str">
            <v xml:space="preserve">Q2 </v>
          </cell>
          <cell r="AT74" t="str">
            <v xml:space="preserve">Q3 </v>
          </cell>
          <cell r="AU74" t="str">
            <v xml:space="preserve">Q4 </v>
          </cell>
          <cell r="AV74" t="str">
            <v xml:space="preserve">2002E  </v>
          </cell>
        </row>
        <row r="75">
          <cell r="A75" t="str">
            <v>Specialty</v>
          </cell>
          <cell r="D75" t="str">
            <v>Dental</v>
          </cell>
          <cell r="H75" t="str">
            <v>NA</v>
          </cell>
          <cell r="I75" t="str">
            <v>NA</v>
          </cell>
          <cell r="J75" t="str">
            <v>NA</v>
          </cell>
          <cell r="K75" t="str">
            <v>NA</v>
          </cell>
          <cell r="L75" t="str">
            <v>NA</v>
          </cell>
          <cell r="N75" t="str">
            <v>NA</v>
          </cell>
          <cell r="O75" t="str">
            <v>NA</v>
          </cell>
          <cell r="P75" t="str">
            <v>NA</v>
          </cell>
          <cell r="Q75" t="str">
            <v>NA</v>
          </cell>
          <cell r="R75" t="str">
            <v>NA</v>
          </cell>
          <cell r="T75">
            <v>1141.3</v>
          </cell>
          <cell r="U75">
            <v>1159.3</v>
          </cell>
          <cell r="V75">
            <v>1332.9</v>
          </cell>
          <cell r="W75">
            <v>1349.8</v>
          </cell>
          <cell r="X75">
            <v>1349.8</v>
          </cell>
          <cell r="Z75">
            <v>1454</v>
          </cell>
          <cell r="AA75">
            <v>1482</v>
          </cell>
          <cell r="AB75">
            <v>1523</v>
          </cell>
          <cell r="AC75">
            <v>1598.4</v>
          </cell>
          <cell r="AD75">
            <v>1598.4</v>
          </cell>
          <cell r="AF75">
            <v>1670.9</v>
          </cell>
          <cell r="AG75">
            <v>1685.2</v>
          </cell>
          <cell r="AH75">
            <v>1647.3</v>
          </cell>
          <cell r="AI75">
            <v>1639.3</v>
          </cell>
          <cell r="AJ75">
            <v>1639.3</v>
          </cell>
          <cell r="AL75">
            <v>1626.1</v>
          </cell>
          <cell r="AM75">
            <v>1629.7</v>
          </cell>
          <cell r="AN75">
            <v>1676.4</v>
          </cell>
          <cell r="AO75">
            <v>1690.7</v>
          </cell>
          <cell r="AP75">
            <v>1690.7</v>
          </cell>
          <cell r="AR75">
            <v>1715.5090717173523</v>
          </cell>
          <cell r="AS75">
            <v>1740.6821879366723</v>
          </cell>
          <cell r="AT75">
            <v>1766.2246905909803</v>
          </cell>
          <cell r="AU75">
            <v>1792.1420000000003</v>
          </cell>
          <cell r="AV75">
            <v>1792.1420000000003</v>
          </cell>
        </row>
        <row r="76">
          <cell r="A76" t="str">
            <v>enrollment (000)</v>
          </cell>
          <cell r="D76" t="str">
            <v>Group Life</v>
          </cell>
          <cell r="F76">
            <v>576.29999999999995</v>
          </cell>
          <cell r="H76" t="str">
            <v>NA</v>
          </cell>
          <cell r="I76" t="str">
            <v>NA</v>
          </cell>
          <cell r="J76" t="str">
            <v>NA</v>
          </cell>
          <cell r="K76">
            <v>642.70000000000005</v>
          </cell>
          <cell r="L76">
            <v>642.70000000000005</v>
          </cell>
          <cell r="N76" t="str">
            <v>NA</v>
          </cell>
          <cell r="O76" t="str">
            <v>NA</v>
          </cell>
          <cell r="P76" t="str">
            <v>NA</v>
          </cell>
          <cell r="Q76">
            <v>717.3</v>
          </cell>
          <cell r="R76">
            <v>717.3</v>
          </cell>
          <cell r="T76">
            <v>737.9</v>
          </cell>
          <cell r="U76">
            <v>757.3</v>
          </cell>
          <cell r="V76">
            <v>760.4</v>
          </cell>
          <cell r="W76">
            <v>781.6</v>
          </cell>
          <cell r="X76">
            <v>781.6</v>
          </cell>
          <cell r="Z76">
            <v>809</v>
          </cell>
          <cell r="AA76">
            <v>823.5</v>
          </cell>
          <cell r="AB76">
            <v>831.9</v>
          </cell>
          <cell r="AC76">
            <v>827.5</v>
          </cell>
          <cell r="AD76">
            <v>827.5</v>
          </cell>
          <cell r="AF76">
            <v>777.5</v>
          </cell>
          <cell r="AG76">
            <v>737.5</v>
          </cell>
          <cell r="AH76">
            <v>685.1</v>
          </cell>
          <cell r="AI76">
            <v>646.9</v>
          </cell>
          <cell r="AJ76">
            <v>646.9</v>
          </cell>
          <cell r="AL76">
            <v>610.29999999999995</v>
          </cell>
          <cell r="AM76">
            <v>582.5</v>
          </cell>
          <cell r="AN76">
            <v>564.20000000000005</v>
          </cell>
          <cell r="AO76">
            <v>546.1</v>
          </cell>
          <cell r="AP76">
            <v>546.1</v>
          </cell>
          <cell r="AR76">
            <v>546.1</v>
          </cell>
          <cell r="AS76">
            <v>546.1</v>
          </cell>
          <cell r="AT76">
            <v>546.1</v>
          </cell>
          <cell r="AU76">
            <v>546.1</v>
          </cell>
          <cell r="AV76">
            <v>546.1</v>
          </cell>
        </row>
        <row r="77">
          <cell r="D77" t="str">
            <v>Other</v>
          </cell>
          <cell r="F77">
            <v>252.5</v>
          </cell>
          <cell r="H77" t="str">
            <v>NA</v>
          </cell>
          <cell r="I77" t="str">
            <v>NA</v>
          </cell>
          <cell r="J77" t="str">
            <v>NA</v>
          </cell>
          <cell r="K77">
            <v>264</v>
          </cell>
          <cell r="L77">
            <v>264</v>
          </cell>
          <cell r="N77" t="str">
            <v>NA</v>
          </cell>
          <cell r="O77" t="str">
            <v>NA</v>
          </cell>
          <cell r="P77" t="str">
            <v>NA</v>
          </cell>
          <cell r="Q77">
            <v>279.8</v>
          </cell>
          <cell r="R77">
            <v>279.8</v>
          </cell>
          <cell r="T77">
            <v>247.8</v>
          </cell>
          <cell r="U77">
            <v>114.3</v>
          </cell>
          <cell r="V77">
            <v>55.3</v>
          </cell>
          <cell r="W77">
            <v>57.4</v>
          </cell>
          <cell r="X77">
            <v>57.4</v>
          </cell>
          <cell r="Z77">
            <v>61.7</v>
          </cell>
          <cell r="AA77">
            <v>61.4</v>
          </cell>
          <cell r="AB77">
            <v>60.9</v>
          </cell>
          <cell r="AC77">
            <v>58.5</v>
          </cell>
          <cell r="AD77">
            <v>58.5</v>
          </cell>
          <cell r="AF77">
            <v>43.1</v>
          </cell>
          <cell r="AG77">
            <v>40</v>
          </cell>
          <cell r="AH77">
            <v>33.5</v>
          </cell>
          <cell r="AI77">
            <v>32</v>
          </cell>
          <cell r="AJ77">
            <v>32</v>
          </cell>
          <cell r="AL77">
            <v>30.2</v>
          </cell>
          <cell r="AM77">
            <v>28.5</v>
          </cell>
          <cell r="AN77">
            <v>27.1</v>
          </cell>
          <cell r="AO77">
            <v>25.2</v>
          </cell>
          <cell r="AP77">
            <v>25.2</v>
          </cell>
          <cell r="AR77">
            <v>25.2</v>
          </cell>
          <cell r="AS77">
            <v>25.2</v>
          </cell>
          <cell r="AT77">
            <v>25.2</v>
          </cell>
          <cell r="AU77">
            <v>25.2</v>
          </cell>
          <cell r="AV77">
            <v>25.2</v>
          </cell>
        </row>
        <row r="78">
          <cell r="D78" t="str">
            <v>Total</v>
          </cell>
          <cell r="N78" t="str">
            <v>NA</v>
          </cell>
          <cell r="O78" t="str">
            <v>NA</v>
          </cell>
          <cell r="P78" t="str">
            <v>NA</v>
          </cell>
          <cell r="Q78" t="str">
            <v>NA</v>
          </cell>
          <cell r="R78" t="str">
            <v>NA</v>
          </cell>
          <cell r="T78">
            <v>2127</v>
          </cell>
          <cell r="U78">
            <v>2030.8999999999999</v>
          </cell>
          <cell r="V78">
            <v>2148.6</v>
          </cell>
          <cell r="W78">
            <v>2188.8000000000002</v>
          </cell>
          <cell r="X78">
            <v>2188.8000000000002</v>
          </cell>
          <cell r="Z78">
            <v>2324.6999999999998</v>
          </cell>
          <cell r="AA78">
            <v>2366.9</v>
          </cell>
          <cell r="AB78">
            <v>2415.8000000000002</v>
          </cell>
          <cell r="AC78">
            <v>2484.4</v>
          </cell>
          <cell r="AD78">
            <v>2484.4</v>
          </cell>
          <cell r="AF78">
            <v>2491.5</v>
          </cell>
          <cell r="AG78">
            <v>2462.6999999999998</v>
          </cell>
          <cell r="AH78">
            <v>2365.9</v>
          </cell>
          <cell r="AI78">
            <v>2318.1999999999998</v>
          </cell>
          <cell r="AJ78">
            <v>2318.1999999999998</v>
          </cell>
          <cell r="AL78">
            <v>2266.6</v>
          </cell>
          <cell r="AM78">
            <v>2240.6999999999998</v>
          </cell>
          <cell r="AN78">
            <v>2267.7000000000003</v>
          </cell>
          <cell r="AO78">
            <v>2262</v>
          </cell>
          <cell r="AP78">
            <v>2262</v>
          </cell>
          <cell r="AR78">
            <v>2286.8090717173523</v>
          </cell>
          <cell r="AS78">
            <v>2311.9821879366723</v>
          </cell>
          <cell r="AT78">
            <v>2337.5246905909803</v>
          </cell>
          <cell r="AU78">
            <v>2363.4420000000005</v>
          </cell>
          <cell r="AV78">
            <v>2363.4420000000005</v>
          </cell>
        </row>
        <row r="79">
          <cell r="D79" t="str">
            <v>Tricare Dental</v>
          </cell>
          <cell r="H79" t="str">
            <v>NA</v>
          </cell>
          <cell r="I79" t="str">
            <v>NA</v>
          </cell>
          <cell r="J79" t="str">
            <v>NA</v>
          </cell>
          <cell r="K79" t="str">
            <v>NA</v>
          </cell>
          <cell r="L79" t="str">
            <v>NA</v>
          </cell>
          <cell r="N79" t="str">
            <v>NA</v>
          </cell>
          <cell r="O79" t="str">
            <v>NA</v>
          </cell>
          <cell r="P79" t="str">
            <v>NA</v>
          </cell>
          <cell r="Q79" t="str">
            <v>NA</v>
          </cell>
          <cell r="R79" t="str">
            <v>NA</v>
          </cell>
          <cell r="T79">
            <v>17.8</v>
          </cell>
          <cell r="U79">
            <v>20.3</v>
          </cell>
          <cell r="V79">
            <v>22</v>
          </cell>
          <cell r="W79">
            <v>25.7</v>
          </cell>
          <cell r="X79">
            <v>25.7</v>
          </cell>
          <cell r="Z79">
            <v>27</v>
          </cell>
          <cell r="AA79">
            <v>29.3</v>
          </cell>
          <cell r="AB79">
            <v>28.5</v>
          </cell>
          <cell r="AC79">
            <v>29.8</v>
          </cell>
          <cell r="AD79">
            <v>29.8</v>
          </cell>
          <cell r="AF79">
            <v>28.8</v>
          </cell>
          <cell r="AG79">
            <v>28.8</v>
          </cell>
          <cell r="AH79">
            <v>28.6</v>
          </cell>
          <cell r="AI79">
            <v>26.6</v>
          </cell>
          <cell r="AJ79">
            <v>26.6</v>
          </cell>
          <cell r="AL79">
            <v>26.6</v>
          </cell>
          <cell r="AM79">
            <v>0</v>
          </cell>
          <cell r="AN79">
            <v>0</v>
          </cell>
          <cell r="AO79">
            <v>0</v>
          </cell>
          <cell r="AP79">
            <v>0</v>
          </cell>
          <cell r="AR79">
            <v>0</v>
          </cell>
          <cell r="AS79">
            <v>0</v>
          </cell>
          <cell r="AT79">
            <v>0</v>
          </cell>
          <cell r="AU79">
            <v>0</v>
          </cell>
          <cell r="AV79">
            <v>0</v>
          </cell>
        </row>
        <row r="80">
          <cell r="D80" t="str">
            <v>Worker's Compensation</v>
          </cell>
          <cell r="F80">
            <v>234.2</v>
          </cell>
          <cell r="H80" t="str">
            <v>NA</v>
          </cell>
          <cell r="I80" t="str">
            <v>NA</v>
          </cell>
          <cell r="J80" t="str">
            <v>NA</v>
          </cell>
          <cell r="K80">
            <v>132.69999999999999</v>
          </cell>
          <cell r="L80">
            <v>132.69999999999999</v>
          </cell>
          <cell r="N80" t="str">
            <v>NA</v>
          </cell>
          <cell r="O80" t="str">
            <v>NA</v>
          </cell>
          <cell r="P80" t="str">
            <v>NA</v>
          </cell>
          <cell r="Q80">
            <v>507.1</v>
          </cell>
          <cell r="R80">
            <v>507.1</v>
          </cell>
          <cell r="T80">
            <v>503</v>
          </cell>
          <cell r="U80">
            <v>426.6</v>
          </cell>
          <cell r="V80">
            <v>427.2</v>
          </cell>
          <cell r="W80">
            <v>418.8</v>
          </cell>
          <cell r="X80">
            <v>418.8</v>
          </cell>
          <cell r="Z80">
            <v>420.2</v>
          </cell>
          <cell r="AA80">
            <v>441.4</v>
          </cell>
          <cell r="AB80">
            <v>445.8</v>
          </cell>
          <cell r="AC80">
            <v>447.1</v>
          </cell>
          <cell r="AD80">
            <v>447.1</v>
          </cell>
          <cell r="AF80">
            <v>459.8</v>
          </cell>
          <cell r="AG80">
            <v>0.1</v>
          </cell>
          <cell r="AH80">
            <v>1E-3</v>
          </cell>
          <cell r="AI80">
            <v>0</v>
          </cell>
          <cell r="AJ80">
            <v>0</v>
          </cell>
          <cell r="AL80">
            <v>0.1</v>
          </cell>
          <cell r="AM80">
            <v>0.1</v>
          </cell>
          <cell r="AN80">
            <v>0</v>
          </cell>
          <cell r="AO80">
            <v>0</v>
          </cell>
          <cell r="AP80">
            <v>0</v>
          </cell>
          <cell r="AR80">
            <v>0</v>
          </cell>
          <cell r="AS80">
            <v>0</v>
          </cell>
          <cell r="AT80">
            <v>0</v>
          </cell>
          <cell r="AU80">
            <v>0</v>
          </cell>
          <cell r="AV80">
            <v>0</v>
          </cell>
        </row>
        <row r="81">
          <cell r="D81" t="str">
            <v>Total ex - Small Group</v>
          </cell>
          <cell r="N81" t="str">
            <v>NA</v>
          </cell>
          <cell r="O81" t="str">
            <v>NA</v>
          </cell>
          <cell r="P81" t="str">
            <v>NA</v>
          </cell>
          <cell r="Q81" t="str">
            <v>NA</v>
          </cell>
          <cell r="R81" t="str">
            <v>NA</v>
          </cell>
          <cell r="T81">
            <v>520.79999999999995</v>
          </cell>
          <cell r="U81">
            <v>446.90000000000003</v>
          </cell>
          <cell r="V81">
            <v>449.2</v>
          </cell>
          <cell r="W81">
            <v>444.5</v>
          </cell>
          <cell r="X81">
            <v>444.5</v>
          </cell>
          <cell r="Z81">
            <v>447.2</v>
          </cell>
          <cell r="AA81">
            <v>470.7</v>
          </cell>
          <cell r="AB81">
            <v>474.3</v>
          </cell>
          <cell r="AC81">
            <v>476.90000000000003</v>
          </cell>
          <cell r="AD81">
            <v>476.90000000000003</v>
          </cell>
          <cell r="AF81">
            <v>488.6</v>
          </cell>
          <cell r="AG81">
            <v>28.900000000000002</v>
          </cell>
          <cell r="AH81">
            <v>28.601000000000003</v>
          </cell>
          <cell r="AI81">
            <v>26.6</v>
          </cell>
          <cell r="AJ81">
            <v>26.6</v>
          </cell>
          <cell r="AL81">
            <v>26.700000000000003</v>
          </cell>
          <cell r="AM81">
            <v>0.1</v>
          </cell>
          <cell r="AN81">
            <v>0</v>
          </cell>
          <cell r="AO81">
            <v>0</v>
          </cell>
          <cell r="AP81">
            <v>0</v>
          </cell>
          <cell r="AR81">
            <v>0</v>
          </cell>
          <cell r="AS81">
            <v>0</v>
          </cell>
          <cell r="AT81">
            <v>0</v>
          </cell>
          <cell r="AU81">
            <v>0</v>
          </cell>
          <cell r="AV81">
            <v>0</v>
          </cell>
        </row>
        <row r="82">
          <cell r="D82" t="str">
            <v>Total Dental</v>
          </cell>
          <cell r="F82">
            <v>797</v>
          </cell>
          <cell r="H82" t="str">
            <v>NA</v>
          </cell>
          <cell r="I82" t="str">
            <v>NA</v>
          </cell>
          <cell r="J82" t="str">
            <v>NA</v>
          </cell>
          <cell r="K82">
            <v>844.8</v>
          </cell>
          <cell r="L82">
            <v>844.8</v>
          </cell>
          <cell r="N82" t="str">
            <v>NA</v>
          </cell>
          <cell r="O82" t="str">
            <v>NA</v>
          </cell>
          <cell r="P82" t="str">
            <v>NA</v>
          </cell>
          <cell r="Q82">
            <v>936.4</v>
          </cell>
          <cell r="R82">
            <v>936.4</v>
          </cell>
          <cell r="T82">
            <v>1159.0999999999999</v>
          </cell>
          <cell r="U82">
            <v>1179.5999999999999</v>
          </cell>
          <cell r="V82">
            <v>1354.9</v>
          </cell>
          <cell r="W82">
            <v>1375.5</v>
          </cell>
          <cell r="X82">
            <v>1375.5</v>
          </cell>
          <cell r="Z82">
            <v>1481</v>
          </cell>
          <cell r="AA82">
            <v>1511.3</v>
          </cell>
          <cell r="AB82">
            <v>1551.5</v>
          </cell>
          <cell r="AC82">
            <v>1628.2</v>
          </cell>
          <cell r="AD82">
            <v>1628.2</v>
          </cell>
          <cell r="AF82">
            <v>1699.7</v>
          </cell>
          <cell r="AG82">
            <v>1714</v>
          </cell>
          <cell r="AH82">
            <v>1675.8999999999999</v>
          </cell>
          <cell r="AI82">
            <v>1665.8999999999999</v>
          </cell>
          <cell r="AJ82">
            <v>1665.8999999999999</v>
          </cell>
          <cell r="AL82">
            <v>1652.6999999999998</v>
          </cell>
          <cell r="AM82">
            <v>1629.7</v>
          </cell>
          <cell r="AN82">
            <v>1676.4</v>
          </cell>
          <cell r="AO82">
            <v>1690.7</v>
          </cell>
          <cell r="AP82">
            <v>1690.7</v>
          </cell>
          <cell r="AR82">
            <v>1715.5090717173523</v>
          </cell>
          <cell r="AS82">
            <v>1740.6821879366723</v>
          </cell>
          <cell r="AT82">
            <v>1766.2246905909803</v>
          </cell>
          <cell r="AU82">
            <v>1792.1420000000003</v>
          </cell>
          <cell r="AV82">
            <v>1792.1420000000003</v>
          </cell>
        </row>
        <row r="83">
          <cell r="D83" t="str">
            <v>Total Specialty</v>
          </cell>
          <cell r="F83">
            <v>1860</v>
          </cell>
          <cell r="H83">
            <v>1811.3</v>
          </cell>
          <cell r="I83">
            <v>1863.8</v>
          </cell>
          <cell r="J83">
            <v>1895.9</v>
          </cell>
          <cell r="K83">
            <v>906.7</v>
          </cell>
          <cell r="L83">
            <v>906.7</v>
          </cell>
          <cell r="N83">
            <v>2173.9</v>
          </cell>
          <cell r="O83">
            <v>2127.3000000000002</v>
          </cell>
          <cell r="P83">
            <v>2358.1999999999998</v>
          </cell>
          <cell r="Q83">
            <v>2440.6</v>
          </cell>
          <cell r="R83">
            <v>2440.6</v>
          </cell>
          <cell r="T83">
            <v>2647.8</v>
          </cell>
          <cell r="U83">
            <v>2477.8000000000002</v>
          </cell>
          <cell r="V83">
            <v>2597.8000000000002</v>
          </cell>
          <cell r="W83">
            <v>2633.2999999999997</v>
          </cell>
          <cell r="X83">
            <v>2633.2999999999997</v>
          </cell>
          <cell r="Z83">
            <v>2771.9</v>
          </cell>
          <cell r="AA83">
            <v>2837.6000000000004</v>
          </cell>
          <cell r="AB83">
            <v>2890.1</v>
          </cell>
          <cell r="AC83">
            <v>2961.3</v>
          </cell>
          <cell r="AD83">
            <v>2961.3</v>
          </cell>
          <cell r="AF83">
            <v>2980.1000000000004</v>
          </cell>
          <cell r="AG83">
            <v>2491.6000000000004</v>
          </cell>
          <cell r="AH83">
            <v>2394.5009999999997</v>
          </cell>
          <cell r="AI83">
            <v>2344.7999999999997</v>
          </cell>
          <cell r="AJ83">
            <v>2344.7999999999997</v>
          </cell>
          <cell r="AL83">
            <v>2293.2999999999997</v>
          </cell>
          <cell r="AM83">
            <v>2240.8000000000002</v>
          </cell>
          <cell r="AN83">
            <v>2267.7000000000003</v>
          </cell>
          <cell r="AO83">
            <v>2262</v>
          </cell>
          <cell r="AP83">
            <v>2262</v>
          </cell>
          <cell r="AR83">
            <v>2286.8090717173523</v>
          </cell>
          <cell r="AS83">
            <v>2311.9821879366723</v>
          </cell>
          <cell r="AT83">
            <v>2337.5246905909803</v>
          </cell>
          <cell r="AU83">
            <v>2363.4420000000005</v>
          </cell>
          <cell r="AV83">
            <v>2363.4420000000005</v>
          </cell>
        </row>
        <row r="84">
          <cell r="A84" t="str">
            <v>y-y change</v>
          </cell>
          <cell r="D84" t="str">
            <v>Small Group Dental</v>
          </cell>
          <cell r="H84" t="str">
            <v>NA</v>
          </cell>
          <cell r="I84" t="str">
            <v>NA</v>
          </cell>
          <cell r="J84" t="str">
            <v>NA</v>
          </cell>
          <cell r="K84" t="str">
            <v>NA</v>
          </cell>
          <cell r="L84" t="str">
            <v>NA</v>
          </cell>
          <cell r="N84" t="str">
            <v>NA</v>
          </cell>
          <cell r="O84" t="str">
            <v>NA</v>
          </cell>
          <cell r="P84" t="str">
            <v>NA</v>
          </cell>
          <cell r="Q84" t="str">
            <v>NA</v>
          </cell>
          <cell r="R84" t="str">
            <v>NA</v>
          </cell>
          <cell r="T84" t="str">
            <v>NA</v>
          </cell>
          <cell r="U84" t="str">
            <v>NA</v>
          </cell>
          <cell r="V84" t="str">
            <v>NA</v>
          </cell>
          <cell r="W84" t="str">
            <v>NA</v>
          </cell>
          <cell r="X84" t="str">
            <v>NA</v>
          </cell>
          <cell r="Z84">
            <v>0.27398580566021202</v>
          </cell>
          <cell r="AA84">
            <v>0.27835762960407151</v>
          </cell>
          <cell r="AB84">
            <v>0.14262135193938019</v>
          </cell>
          <cell r="AC84">
            <v>0.1841754333975405</v>
          </cell>
          <cell r="AD84">
            <v>0.1841754333975405</v>
          </cell>
          <cell r="AF84">
            <v>0.14917469050894083</v>
          </cell>
          <cell r="AG84">
            <v>0.13711201079622137</v>
          </cell>
          <cell r="AH84">
            <v>8.1615233092580342E-2</v>
          </cell>
          <cell r="AI84">
            <v>2.5588088088088101E-2</v>
          </cell>
          <cell r="AJ84">
            <v>2.5588088088088101E-2</v>
          </cell>
          <cell r="AL84">
            <v>-2.6811897779639771E-2</v>
          </cell>
          <cell r="AM84">
            <v>-3.2933776406361304E-2</v>
          </cell>
          <cell r="AN84">
            <v>1.7665270442542402E-2</v>
          </cell>
          <cell r="AO84">
            <v>3.1354846580857743E-2</v>
          </cell>
          <cell r="AP84">
            <v>3.1354846580857743E-2</v>
          </cell>
          <cell r="AR84">
            <v>5.4983747443178466E-2</v>
          </cell>
          <cell r="AS84">
            <v>6.8099765562172454E-2</v>
          </cell>
          <cell r="AT84">
            <v>5.3581896081472458E-2</v>
          </cell>
          <cell r="AU84">
            <v>6.0000000000000053E-2</v>
          </cell>
          <cell r="AV84">
            <v>6.0000000000000053E-2</v>
          </cell>
        </row>
        <row r="85">
          <cell r="D85" t="str">
            <v>Small Group - Group Life</v>
          </cell>
          <cell r="F85">
            <v>576.29999999999995</v>
          </cell>
          <cell r="H85" t="str">
            <v>NA</v>
          </cell>
          <cell r="I85" t="str">
            <v>NA</v>
          </cell>
          <cell r="J85" t="str">
            <v>NA</v>
          </cell>
          <cell r="K85">
            <v>642.70000000000005</v>
          </cell>
          <cell r="L85">
            <v>642.70000000000005</v>
          </cell>
          <cell r="N85" t="str">
            <v>NA</v>
          </cell>
          <cell r="O85" t="str">
            <v>NA</v>
          </cell>
          <cell r="P85" t="str">
            <v>NA</v>
          </cell>
          <cell r="Q85" t="str">
            <v>NA</v>
          </cell>
          <cell r="R85" t="str">
            <v>NA</v>
          </cell>
          <cell r="T85" t="str">
            <v>NA</v>
          </cell>
          <cell r="U85" t="str">
            <v>NA</v>
          </cell>
          <cell r="V85" t="str">
            <v>NA</v>
          </cell>
          <cell r="W85">
            <v>8.9641711975463556E-2</v>
          </cell>
          <cell r="X85">
            <v>8.9641711975463556E-2</v>
          </cell>
          <cell r="Z85">
            <v>9.6354519582599218E-2</v>
          </cell>
          <cell r="AA85">
            <v>8.7415819358246383E-2</v>
          </cell>
          <cell r="AB85">
            <v>9.4029458179905268E-2</v>
          </cell>
          <cell r="AC85">
            <v>5.8725690890480964E-2</v>
          </cell>
          <cell r="AD85">
            <v>5.8725690890480964E-2</v>
          </cell>
          <cell r="AF85">
            <v>-3.8936959208899835E-2</v>
          </cell>
          <cell r="AG85">
            <v>-0.10443230115361268</v>
          </cell>
          <cell r="AH85">
            <v>-0.17646351724966935</v>
          </cell>
          <cell r="AI85">
            <v>-0.2182477341389728</v>
          </cell>
          <cell r="AJ85">
            <v>-0.2182477341389728</v>
          </cell>
          <cell r="AL85">
            <v>-0.21504823151125407</v>
          </cell>
          <cell r="AM85">
            <v>-0.21016949152542375</v>
          </cell>
          <cell r="AN85">
            <v>-0.17647058823529405</v>
          </cell>
          <cell r="AO85">
            <v>-0.15582006492502698</v>
          </cell>
          <cell r="AP85">
            <v>-0.15582006492502698</v>
          </cell>
          <cell r="AR85">
            <v>-0.10519416680321148</v>
          </cell>
          <cell r="AS85">
            <v>-6.248927038626606E-2</v>
          </cell>
          <cell r="AT85">
            <v>-3.2080822403403042E-2</v>
          </cell>
          <cell r="AU85">
            <v>0</v>
          </cell>
          <cell r="AV85">
            <v>0</v>
          </cell>
        </row>
        <row r="86">
          <cell r="D86" t="str">
            <v>Small Group - Other</v>
          </cell>
          <cell r="F86">
            <v>252.5</v>
          </cell>
          <cell r="H86" t="str">
            <v>NA</v>
          </cell>
          <cell r="I86" t="str">
            <v>NA</v>
          </cell>
          <cell r="J86" t="str">
            <v>NA</v>
          </cell>
          <cell r="K86">
            <v>264</v>
          </cell>
          <cell r="L86">
            <v>264</v>
          </cell>
          <cell r="N86" t="str">
            <v>NA</v>
          </cell>
          <cell r="O86" t="str">
            <v>NA</v>
          </cell>
          <cell r="P86" t="str">
            <v>NA</v>
          </cell>
          <cell r="Q86" t="str">
            <v>NA</v>
          </cell>
          <cell r="R86" t="str">
            <v>NA</v>
          </cell>
          <cell r="T86" t="str">
            <v>NA</v>
          </cell>
          <cell r="U86" t="str">
            <v>NA</v>
          </cell>
          <cell r="V86" t="str">
            <v>NA</v>
          </cell>
          <cell r="W86">
            <v>-0.79485346676197288</v>
          </cell>
          <cell r="X86">
            <v>-0.79485346676197288</v>
          </cell>
          <cell r="Z86">
            <v>-0.75100887812752215</v>
          </cell>
          <cell r="AA86">
            <v>-0.46281714785651795</v>
          </cell>
          <cell r="AB86">
            <v>0.10126582278481022</v>
          </cell>
          <cell r="AC86">
            <v>1.9163763066202044E-2</v>
          </cell>
          <cell r="AD86">
            <v>1.9163763066202044E-2</v>
          </cell>
          <cell r="AF86">
            <v>-0.30145867098865475</v>
          </cell>
          <cell r="AG86">
            <v>-0.34853420195439733</v>
          </cell>
          <cell r="AH86">
            <v>-0.44991789819376027</v>
          </cell>
          <cell r="AI86">
            <v>-0.45299145299145294</v>
          </cell>
          <cell r="AJ86">
            <v>-0.45299145299145294</v>
          </cell>
          <cell r="AL86">
            <v>-0.2993039443155453</v>
          </cell>
          <cell r="AM86">
            <v>-0.28749999999999998</v>
          </cell>
          <cell r="AN86">
            <v>-0.19104477611940296</v>
          </cell>
          <cell r="AO86">
            <v>-0.21250000000000002</v>
          </cell>
          <cell r="AP86">
            <v>-0.21250000000000002</v>
          </cell>
          <cell r="AR86">
            <v>-0.16556291390728473</v>
          </cell>
          <cell r="AS86">
            <v>-0.11578947368421055</v>
          </cell>
          <cell r="AT86">
            <v>-7.011070110701112E-2</v>
          </cell>
          <cell r="AU86">
            <v>0</v>
          </cell>
          <cell r="AV86">
            <v>0</v>
          </cell>
        </row>
        <row r="87">
          <cell r="D87" t="str">
            <v>Total Small Group</v>
          </cell>
          <cell r="N87" t="str">
            <v>NA</v>
          </cell>
          <cell r="O87" t="str">
            <v>NA</v>
          </cell>
          <cell r="P87" t="str">
            <v>NA</v>
          </cell>
          <cell r="Q87" t="str">
            <v>NA</v>
          </cell>
          <cell r="R87" t="str">
            <v>NA</v>
          </cell>
          <cell r="T87" t="str">
            <v>NA</v>
          </cell>
          <cell r="U87" t="str">
            <v>NA</v>
          </cell>
          <cell r="V87" t="str">
            <v>NA</v>
          </cell>
          <cell r="W87" t="str">
            <v>NA</v>
          </cell>
          <cell r="X87" t="str">
            <v>NA</v>
          </cell>
          <cell r="Z87">
            <v>9.2947813822284786E-2</v>
          </cell>
          <cell r="AA87">
            <v>0.16544389187059938</v>
          </cell>
          <cell r="AB87">
            <v>0.12436004840361181</v>
          </cell>
          <cell r="AC87">
            <v>0.13505116959064312</v>
          </cell>
          <cell r="AD87">
            <v>0.13505116959064312</v>
          </cell>
          <cell r="AF87">
            <v>7.1751193702413341E-2</v>
          </cell>
          <cell r="AG87">
            <v>4.04748827580379E-2</v>
          </cell>
          <cell r="AH87">
            <v>-2.0655683417501458E-2</v>
          </cell>
          <cell r="AI87">
            <v>-6.6897440025760813E-2</v>
          </cell>
          <cell r="AJ87">
            <v>-6.6897440025760813E-2</v>
          </cell>
          <cell r="AL87">
            <v>-9.026690748545052E-2</v>
          </cell>
          <cell r="AM87">
            <v>-9.0144962845657206E-2</v>
          </cell>
          <cell r="AN87">
            <v>-4.150640348281831E-2</v>
          </cell>
          <cell r="AO87">
            <v>-2.4242947114140212E-2</v>
          </cell>
          <cell r="AP87">
            <v>-2.4242947114140212E-2</v>
          </cell>
          <cell r="AR87">
            <v>8.9160291702781169E-3</v>
          </cell>
          <cell r="AS87">
            <v>3.1812463933892365E-2</v>
          </cell>
          <cell r="AT87">
            <v>3.0790973493398655E-2</v>
          </cell>
          <cell r="AU87">
            <v>4.484615384615398E-2</v>
          </cell>
          <cell r="AV87">
            <v>4.484615384615398E-2</v>
          </cell>
        </row>
        <row r="88">
          <cell r="D88" t="str">
            <v>Total ex - Small Group</v>
          </cell>
          <cell r="N88" t="str">
            <v>NA</v>
          </cell>
          <cell r="O88" t="str">
            <v>NA</v>
          </cell>
          <cell r="P88" t="str">
            <v>NA</v>
          </cell>
          <cell r="Q88" t="str">
            <v>NA</v>
          </cell>
          <cell r="R88" t="str">
            <v>NA</v>
          </cell>
          <cell r="T88" t="str">
            <v>NA</v>
          </cell>
          <cell r="U88" t="str">
            <v>NA</v>
          </cell>
          <cell r="V88" t="str">
            <v>NA</v>
          </cell>
          <cell r="W88" t="str">
            <v>NA</v>
          </cell>
          <cell r="X88" t="str">
            <v>NA</v>
          </cell>
          <cell r="Z88">
            <v>-0.1413210445468509</v>
          </cell>
          <cell r="AA88">
            <v>5.3255761915417255E-2</v>
          </cell>
          <cell r="AB88">
            <v>5.587711487088165E-2</v>
          </cell>
          <cell r="AC88">
            <v>7.2890888638920126E-2</v>
          </cell>
          <cell r="AD88">
            <v>7.2890888638920126E-2</v>
          </cell>
          <cell r="AF88">
            <v>9.2576028622540329E-2</v>
          </cell>
          <cell r="AG88" t="str">
            <v xml:space="preserve">NA </v>
          </cell>
          <cell r="AH88" t="str">
            <v xml:space="preserve">NA </v>
          </cell>
          <cell r="AI88" t="str">
            <v xml:space="preserve">NA </v>
          </cell>
          <cell r="AJ88" t="str">
            <v xml:space="preserve">NA </v>
          </cell>
          <cell r="AL88" t="str">
            <v xml:space="preserve">NA </v>
          </cell>
          <cell r="AM88" t="str">
            <v xml:space="preserve">NA </v>
          </cell>
          <cell r="AN88" t="str">
            <v xml:space="preserve">NA </v>
          </cell>
          <cell r="AO88" t="str">
            <v xml:space="preserve">NA </v>
          </cell>
          <cell r="AP88" t="str">
            <v xml:space="preserve">NA </v>
          </cell>
          <cell r="AR88" t="str">
            <v xml:space="preserve">NA </v>
          </cell>
          <cell r="AS88" t="str">
            <v xml:space="preserve">NA </v>
          </cell>
          <cell r="AT88" t="str">
            <v xml:space="preserve">NA </v>
          </cell>
          <cell r="AU88" t="str">
            <v xml:space="preserve">NA </v>
          </cell>
          <cell r="AV88" t="str">
            <v xml:space="preserve">NA </v>
          </cell>
        </row>
        <row r="89">
          <cell r="D89" t="str">
            <v>Total Dental</v>
          </cell>
          <cell r="F89">
            <v>797</v>
          </cell>
          <cell r="H89" t="str">
            <v>NA</v>
          </cell>
          <cell r="I89" t="str">
            <v>NA</v>
          </cell>
          <cell r="J89" t="str">
            <v>NA</v>
          </cell>
          <cell r="K89">
            <v>844.8</v>
          </cell>
          <cell r="L89">
            <v>844.8</v>
          </cell>
          <cell r="N89" t="str">
            <v>NA</v>
          </cell>
          <cell r="O89" t="str">
            <v>NA</v>
          </cell>
          <cell r="P89" t="str">
            <v>NA</v>
          </cell>
          <cell r="Q89" t="str">
            <v>NA</v>
          </cell>
          <cell r="R89" t="str">
            <v>NA</v>
          </cell>
          <cell r="U89" t="str">
            <v>NA</v>
          </cell>
          <cell r="V89" t="str">
            <v>NA</v>
          </cell>
          <cell r="W89">
            <v>0.46892353695002131</v>
          </cell>
          <cell r="X89">
            <v>0.46892353695002131</v>
          </cell>
          <cell r="Z89">
            <v>0.27771546889828325</v>
          </cell>
          <cell r="AA89">
            <v>0.28119701593760604</v>
          </cell>
          <cell r="AB89">
            <v>0.14510295962801667</v>
          </cell>
          <cell r="AC89">
            <v>0.18371501272264634</v>
          </cell>
          <cell r="AD89">
            <v>0.18371501272264634</v>
          </cell>
          <cell r="AF89">
            <v>0.14767049291019574</v>
          </cell>
          <cell r="AG89">
            <v>0.13412294051478857</v>
          </cell>
          <cell r="AH89">
            <v>8.0180470512407176E-2</v>
          </cell>
          <cell r="AI89">
            <v>2.3154403635916809E-2</v>
          </cell>
          <cell r="AJ89">
            <v>2.3154403635916809E-2</v>
          </cell>
          <cell r="AL89">
            <v>-2.7651938577396118E-2</v>
          </cell>
          <cell r="AM89">
            <v>-4.9183197199533235E-2</v>
          </cell>
          <cell r="AN89">
            <v>2.9834715675169932E-4</v>
          </cell>
          <cell r="AO89">
            <v>1.4886847950057236E-2</v>
          </cell>
          <cell r="AP89">
            <v>1.4886847950057236E-2</v>
          </cell>
          <cell r="AR89">
            <v>3.8003915845194136E-2</v>
          </cell>
          <cell r="AS89">
            <v>6.8099765562172454E-2</v>
          </cell>
          <cell r="AT89">
            <v>5.3581896081472458E-2</v>
          </cell>
          <cell r="AU89">
            <v>6.0000000000000053E-2</v>
          </cell>
          <cell r="AV89">
            <v>6.0000000000000053E-2</v>
          </cell>
        </row>
        <row r="90">
          <cell r="D90" t="str">
            <v>Total Specialty Members</v>
          </cell>
          <cell r="F90">
            <v>1860</v>
          </cell>
          <cell r="H90">
            <v>1811.3</v>
          </cell>
          <cell r="I90">
            <v>1863.8</v>
          </cell>
          <cell r="J90">
            <v>1895.9</v>
          </cell>
          <cell r="K90">
            <v>906.7</v>
          </cell>
          <cell r="L90">
            <v>906.7</v>
          </cell>
          <cell r="N90" t="str">
            <v>NA</v>
          </cell>
          <cell r="O90" t="str">
            <v>NA</v>
          </cell>
          <cell r="P90" t="str">
            <v>NA</v>
          </cell>
          <cell r="Q90" t="str">
            <v>NA</v>
          </cell>
          <cell r="R90" t="str">
            <v>NA</v>
          </cell>
          <cell r="T90">
            <v>0.21799530797184796</v>
          </cell>
          <cell r="U90">
            <v>0.16476284492079163</v>
          </cell>
          <cell r="V90">
            <v>0.10160291747943373</v>
          </cell>
          <cell r="W90">
            <v>7.8955994427599707E-2</v>
          </cell>
          <cell r="X90">
            <v>7.8955994427599707E-2</v>
          </cell>
          <cell r="Z90">
            <v>4.6869098874537274E-2</v>
          </cell>
          <cell r="AA90">
            <v>0.14520946000484303</v>
          </cell>
          <cell r="AB90">
            <v>0.11251828470244041</v>
          </cell>
          <cell r="AC90">
            <v>0.12455853871568023</v>
          </cell>
          <cell r="AD90">
            <v>0.12455853871568023</v>
          </cell>
          <cell r="AF90">
            <v>7.5110934737905533E-2</v>
          </cell>
          <cell r="AG90">
            <v>-0.12193402875669579</v>
          </cell>
          <cell r="AH90">
            <v>-0.17148160963288472</v>
          </cell>
          <cell r="AI90">
            <v>-0.20818559416472504</v>
          </cell>
          <cell r="AJ90">
            <v>-0.20818559416472504</v>
          </cell>
          <cell r="AL90">
            <v>-0.23046206503137501</v>
          </cell>
          <cell r="AM90">
            <v>-0.10065821159094568</v>
          </cell>
          <cell r="AN90">
            <v>-5.2955083334690345E-2</v>
          </cell>
          <cell r="AO90">
            <v>-3.5312180143295735E-2</v>
          </cell>
          <cell r="AP90">
            <v>-3.5312180143295735E-2</v>
          </cell>
          <cell r="AR90">
            <v>-2.8303877742325012E-3</v>
          </cell>
          <cell r="AS90">
            <v>3.1766417322684815E-2</v>
          </cell>
          <cell r="AT90">
            <v>3.0790973493398655E-2</v>
          </cell>
          <cell r="AU90">
            <v>4.484615384615398E-2</v>
          </cell>
          <cell r="AV90">
            <v>4.484615384615398E-2</v>
          </cell>
        </row>
        <row r="91">
          <cell r="D91" t="str">
            <v>Small Group Commercial</v>
          </cell>
          <cell r="F91" t="str">
            <v>NA</v>
          </cell>
          <cell r="H91" t="str">
            <v>NA</v>
          </cell>
          <cell r="I91" t="str">
            <v>NA</v>
          </cell>
          <cell r="J91" t="str">
            <v>NA</v>
          </cell>
          <cell r="K91" t="str">
            <v>NA</v>
          </cell>
          <cell r="L91" t="str">
            <v>NA</v>
          </cell>
          <cell r="N91" t="str">
            <v>NA</v>
          </cell>
          <cell r="O91" t="str">
            <v>NA</v>
          </cell>
          <cell r="P91">
            <v>1110</v>
          </cell>
          <cell r="Q91" t="str">
            <v>NA</v>
          </cell>
          <cell r="R91" t="str">
            <v>NA</v>
          </cell>
          <cell r="T91">
            <v>1674.5</v>
          </cell>
          <cell r="U91">
            <v>1694.1</v>
          </cell>
          <cell r="V91">
            <v>1692</v>
          </cell>
          <cell r="W91">
            <v>1701.8</v>
          </cell>
          <cell r="X91">
            <v>1701.8</v>
          </cell>
          <cell r="Z91">
            <v>1676.2</v>
          </cell>
          <cell r="AA91">
            <v>1695.7</v>
          </cell>
          <cell r="AB91">
            <v>1706.8</v>
          </cell>
          <cell r="AC91">
            <v>1663.1</v>
          </cell>
          <cell r="AD91">
            <v>1663.1</v>
          </cell>
          <cell r="AF91">
            <v>1568.5</v>
          </cell>
          <cell r="AG91">
            <v>1475.5</v>
          </cell>
          <cell r="AH91">
            <v>1361.1</v>
          </cell>
          <cell r="AI91">
            <v>1288</v>
          </cell>
          <cell r="AJ91">
            <v>1288</v>
          </cell>
          <cell r="AL91" t="str">
            <v xml:space="preserve">NA </v>
          </cell>
          <cell r="AM91" t="str">
            <v xml:space="preserve">NA </v>
          </cell>
          <cell r="AN91" t="str">
            <v xml:space="preserve">NA </v>
          </cell>
          <cell r="AO91" t="str">
            <v xml:space="preserve">NA </v>
          </cell>
          <cell r="AP91" t="str">
            <v xml:space="preserve">NA </v>
          </cell>
          <cell r="AR91" t="str">
            <v xml:space="preserve">NA </v>
          </cell>
          <cell r="AS91" t="str">
            <v xml:space="preserve">NA </v>
          </cell>
          <cell r="AT91" t="str">
            <v xml:space="preserve">NA </v>
          </cell>
          <cell r="AU91" t="str">
            <v xml:space="preserve">NA </v>
          </cell>
          <cell r="AV91" t="str">
            <v xml:space="preserve">NA </v>
          </cell>
        </row>
        <row r="92">
          <cell r="D92" t="str">
            <v>Large Group Commercial</v>
          </cell>
          <cell r="F92" t="str">
            <v>NA</v>
          </cell>
          <cell r="H92" t="str">
            <v>NA</v>
          </cell>
          <cell r="I92" t="str">
            <v>NA</v>
          </cell>
          <cell r="J92" t="str">
            <v>NA</v>
          </cell>
          <cell r="K92" t="str">
            <v>NA</v>
          </cell>
          <cell r="L92" t="str">
            <v>NA</v>
          </cell>
          <cell r="N92" t="str">
            <v>NA</v>
          </cell>
          <cell r="O92" t="str">
            <v>NA</v>
          </cell>
          <cell r="P92">
            <v>1946.4</v>
          </cell>
          <cell r="Q92" t="str">
            <v>NA</v>
          </cell>
          <cell r="R92" t="str">
            <v>NA</v>
          </cell>
          <cell r="T92">
            <v>1575.1</v>
          </cell>
          <cell r="U92">
            <v>1566.6</v>
          </cell>
          <cell r="V92">
            <v>1543.8</v>
          </cell>
          <cell r="W92">
            <v>1559.7</v>
          </cell>
          <cell r="X92">
            <v>1559.7</v>
          </cell>
          <cell r="Z92">
            <v>1495.5</v>
          </cell>
          <cell r="AA92">
            <v>1478.3</v>
          </cell>
          <cell r="AB92">
            <v>1424.4</v>
          </cell>
          <cell r="AC92">
            <v>1420.5</v>
          </cell>
          <cell r="AD92">
            <v>1420.5</v>
          </cell>
          <cell r="AF92">
            <v>1409</v>
          </cell>
          <cell r="AG92">
            <v>1369</v>
          </cell>
          <cell r="AH92">
            <v>1278.5</v>
          </cell>
          <cell r="AI92">
            <v>1257.8</v>
          </cell>
          <cell r="AJ92">
            <v>1257.8</v>
          </cell>
          <cell r="AL92" t="str">
            <v xml:space="preserve">NA </v>
          </cell>
          <cell r="AM92" t="str">
            <v xml:space="preserve">NA </v>
          </cell>
          <cell r="AN92" t="str">
            <v xml:space="preserve">NA </v>
          </cell>
          <cell r="AO92" t="str">
            <v xml:space="preserve">NA </v>
          </cell>
          <cell r="AP92" t="str">
            <v xml:space="preserve">NA </v>
          </cell>
          <cell r="AR92" t="str">
            <v xml:space="preserve">NA </v>
          </cell>
          <cell r="AS92" t="str">
            <v xml:space="preserve">NA </v>
          </cell>
          <cell r="AT92" t="str">
            <v xml:space="preserve">NA </v>
          </cell>
          <cell r="AU92" t="str">
            <v xml:space="preserve">NA </v>
          </cell>
          <cell r="AV92" t="str">
            <v xml:space="preserve">NA </v>
          </cell>
        </row>
        <row r="93">
          <cell r="A93" t="str">
            <v>Medical</v>
          </cell>
          <cell r="D93" t="str">
            <v>Commercial Risk</v>
          </cell>
          <cell r="F93">
            <v>2834.9</v>
          </cell>
          <cell r="H93">
            <v>2811.3</v>
          </cell>
          <cell r="I93">
            <v>2809.7</v>
          </cell>
          <cell r="J93">
            <v>2793.9</v>
          </cell>
          <cell r="K93">
            <v>2759.6</v>
          </cell>
          <cell r="L93">
            <v>2759.6</v>
          </cell>
          <cell r="N93">
            <v>2577.8000000000002</v>
          </cell>
          <cell r="O93">
            <v>2577.6</v>
          </cell>
          <cell r="P93">
            <v>3056.4</v>
          </cell>
          <cell r="Q93">
            <v>3258.6</v>
          </cell>
          <cell r="R93">
            <v>3258.6</v>
          </cell>
          <cell r="T93">
            <v>3249.6</v>
          </cell>
          <cell r="U93">
            <v>3260.7</v>
          </cell>
          <cell r="V93">
            <v>3235.8</v>
          </cell>
          <cell r="W93">
            <v>3261.5</v>
          </cell>
          <cell r="X93">
            <v>3261.5</v>
          </cell>
          <cell r="Z93">
            <v>3171.7</v>
          </cell>
          <cell r="AA93">
            <v>3174</v>
          </cell>
          <cell r="AB93">
            <v>3131.2</v>
          </cell>
          <cell r="AC93">
            <v>3083.6</v>
          </cell>
          <cell r="AD93">
            <v>3083.6</v>
          </cell>
          <cell r="AF93">
            <v>2977.5</v>
          </cell>
          <cell r="AG93">
            <v>2844.5</v>
          </cell>
          <cell r="AH93">
            <v>2639.6</v>
          </cell>
          <cell r="AI93">
            <v>2545.8000000000002</v>
          </cell>
          <cell r="AJ93">
            <v>2545.8000000000002</v>
          </cell>
          <cell r="AL93">
            <v>2387.9</v>
          </cell>
          <cell r="AM93">
            <v>2343.3000000000002</v>
          </cell>
          <cell r="AN93">
            <v>2332.6999999999998</v>
          </cell>
          <cell r="AO93">
            <v>2301.3000000000002</v>
          </cell>
          <cell r="AP93">
            <v>2301.3000000000002</v>
          </cell>
          <cell r="AR93">
            <v>2322.9666666666667</v>
          </cell>
          <cell r="AS93">
            <v>2324.7069350864886</v>
          </cell>
          <cell r="AT93">
            <v>2326.4485072418383</v>
          </cell>
          <cell r="AU93">
            <v>2328.1913841094192</v>
          </cell>
          <cell r="AV93">
            <v>2328.1913841094192</v>
          </cell>
        </row>
        <row r="94">
          <cell r="A94" t="str">
            <v>enrollment (000)</v>
          </cell>
          <cell r="D94" t="str">
            <v>Medicare Risk</v>
          </cell>
          <cell r="F94">
            <v>310.39999999999998</v>
          </cell>
          <cell r="H94">
            <v>322.3</v>
          </cell>
          <cell r="I94">
            <v>332.9</v>
          </cell>
          <cell r="J94">
            <v>347.4</v>
          </cell>
          <cell r="K94">
            <v>364.5</v>
          </cell>
          <cell r="L94">
            <v>364.5</v>
          </cell>
          <cell r="N94">
            <v>374.2</v>
          </cell>
          <cell r="O94">
            <v>389.6</v>
          </cell>
          <cell r="P94">
            <v>462.4</v>
          </cell>
          <cell r="Q94">
            <v>480.8</v>
          </cell>
          <cell r="R94">
            <v>480.8</v>
          </cell>
          <cell r="T94">
            <v>495.8</v>
          </cell>
          <cell r="U94">
            <v>501</v>
          </cell>
          <cell r="V94">
            <v>502.8</v>
          </cell>
          <cell r="W94">
            <v>502</v>
          </cell>
          <cell r="X94">
            <v>502</v>
          </cell>
          <cell r="Z94">
            <v>480.7</v>
          </cell>
          <cell r="AA94">
            <v>484.8</v>
          </cell>
          <cell r="AB94">
            <v>489.3</v>
          </cell>
          <cell r="AC94">
            <v>488.5</v>
          </cell>
          <cell r="AD94">
            <v>488.5</v>
          </cell>
          <cell r="AF94">
            <v>518</v>
          </cell>
          <cell r="AG94">
            <v>522.1</v>
          </cell>
          <cell r="AH94">
            <v>513.1</v>
          </cell>
          <cell r="AI94">
            <v>494.2</v>
          </cell>
          <cell r="AJ94">
            <v>494.2</v>
          </cell>
          <cell r="AL94">
            <v>428.1</v>
          </cell>
          <cell r="AM94">
            <v>418</v>
          </cell>
          <cell r="AN94">
            <v>406.1</v>
          </cell>
          <cell r="AO94">
            <v>393.9</v>
          </cell>
          <cell r="AP94">
            <v>393.9</v>
          </cell>
          <cell r="AR94">
            <v>365</v>
          </cell>
          <cell r="AS94">
            <v>364.08405802579364</v>
          </cell>
          <cell r="AT94">
            <v>363.17041454391631</v>
          </cell>
          <cell r="AU94">
            <v>362.25906378646232</v>
          </cell>
          <cell r="AV94">
            <v>362.25906378646232</v>
          </cell>
        </row>
        <row r="95">
          <cell r="D95" t="str">
            <v>TRICARE</v>
          </cell>
          <cell r="F95">
            <v>0</v>
          </cell>
          <cell r="H95">
            <v>0</v>
          </cell>
          <cell r="I95">
            <v>0</v>
          </cell>
          <cell r="J95">
            <v>1075.3</v>
          </cell>
          <cell r="K95">
            <v>1103</v>
          </cell>
          <cell r="L95">
            <v>1103</v>
          </cell>
          <cell r="N95">
            <v>1103.0999999999999</v>
          </cell>
          <cell r="O95">
            <v>1107.3</v>
          </cell>
          <cell r="P95">
            <v>1107.3</v>
          </cell>
          <cell r="Q95">
            <v>1112.2</v>
          </cell>
          <cell r="R95">
            <v>1112.2</v>
          </cell>
          <cell r="T95">
            <v>1103.5</v>
          </cell>
          <cell r="U95">
            <v>1096.3</v>
          </cell>
          <cell r="V95">
            <v>1090.4000000000001</v>
          </cell>
          <cell r="W95">
            <v>1085.7</v>
          </cell>
          <cell r="X95">
            <v>1085.7</v>
          </cell>
          <cell r="Z95">
            <v>1085.7</v>
          </cell>
          <cell r="AA95">
            <v>1064.5999999999999</v>
          </cell>
          <cell r="AB95">
            <v>1065.5</v>
          </cell>
          <cell r="AC95">
            <v>1058</v>
          </cell>
          <cell r="AD95">
            <v>1058</v>
          </cell>
          <cell r="AF95">
            <v>1060</v>
          </cell>
          <cell r="AG95">
            <v>1049.0999999999999</v>
          </cell>
          <cell r="AH95">
            <v>1063.2</v>
          </cell>
          <cell r="AI95">
            <v>1070.4000000000001</v>
          </cell>
          <cell r="AJ95">
            <v>1070.4000000000001</v>
          </cell>
          <cell r="AL95">
            <v>1070.9000000000001</v>
          </cell>
          <cell r="AM95">
            <v>1725.8</v>
          </cell>
          <cell r="AN95">
            <v>1712.7</v>
          </cell>
          <cell r="AO95">
            <v>1714.6</v>
          </cell>
          <cell r="AP95">
            <v>1714.6</v>
          </cell>
          <cell r="AR95">
            <v>1714.6</v>
          </cell>
          <cell r="AS95">
            <v>1714.6</v>
          </cell>
          <cell r="AT95">
            <v>1714.6</v>
          </cell>
          <cell r="AU95">
            <v>1714.6</v>
          </cell>
          <cell r="AV95">
            <v>1714.6</v>
          </cell>
        </row>
        <row r="96">
          <cell r="D96" t="str">
            <v>Medicaid</v>
          </cell>
          <cell r="F96">
            <v>49</v>
          </cell>
          <cell r="H96">
            <v>51.6</v>
          </cell>
          <cell r="I96">
            <v>52.2</v>
          </cell>
          <cell r="J96">
            <v>52.5</v>
          </cell>
          <cell r="K96">
            <v>55.2</v>
          </cell>
          <cell r="L96">
            <v>55.2</v>
          </cell>
          <cell r="N96">
            <v>53.2</v>
          </cell>
          <cell r="O96">
            <v>51</v>
          </cell>
          <cell r="P96">
            <v>638.4</v>
          </cell>
          <cell r="Q96">
            <v>635.20000000000005</v>
          </cell>
          <cell r="R96">
            <v>635.20000000000005</v>
          </cell>
          <cell r="T96">
            <v>632.20000000000005</v>
          </cell>
          <cell r="U96">
            <v>630.20000000000005</v>
          </cell>
          <cell r="V96">
            <v>637.9</v>
          </cell>
          <cell r="W96">
            <v>643.79999999999995</v>
          </cell>
          <cell r="X96">
            <v>643.79999999999995</v>
          </cell>
          <cell r="Z96">
            <v>651.6</v>
          </cell>
          <cell r="AA96">
            <v>658.5</v>
          </cell>
          <cell r="AB96">
            <v>648.70000000000005</v>
          </cell>
          <cell r="AC96">
            <v>616.6</v>
          </cell>
          <cell r="AD96">
            <v>616.6</v>
          </cell>
          <cell r="AF96">
            <v>656.6</v>
          </cell>
          <cell r="AG96">
            <v>675.1</v>
          </cell>
          <cell r="AH96">
            <v>584.4</v>
          </cell>
          <cell r="AI96">
            <v>575.5</v>
          </cell>
          <cell r="AJ96">
            <v>575.5</v>
          </cell>
          <cell r="AL96">
            <v>493.2</v>
          </cell>
          <cell r="AM96">
            <v>488.4</v>
          </cell>
          <cell r="AN96">
            <v>456.6</v>
          </cell>
          <cell r="AO96">
            <v>490.8</v>
          </cell>
          <cell r="AP96">
            <v>490.8</v>
          </cell>
          <cell r="AR96">
            <v>491.41235303108812</v>
          </cell>
          <cell r="AS96">
            <v>492.0254700724343</v>
          </cell>
          <cell r="AT96">
            <v>492.63935207726598</v>
          </cell>
          <cell r="AU96">
            <v>493.25399999999985</v>
          </cell>
          <cell r="AV96">
            <v>493.25399999999985</v>
          </cell>
        </row>
        <row r="97">
          <cell r="D97" t="str">
            <v>Medicare supplement</v>
          </cell>
          <cell r="F97">
            <v>115</v>
          </cell>
          <cell r="H97">
            <v>109.6</v>
          </cell>
          <cell r="I97">
            <v>106</v>
          </cell>
          <cell r="J97">
            <v>101.8</v>
          </cell>
          <cell r="K97">
            <v>97.7</v>
          </cell>
          <cell r="L97">
            <v>97.7</v>
          </cell>
          <cell r="N97">
            <v>93.5</v>
          </cell>
          <cell r="O97">
            <v>74.599999999999994</v>
          </cell>
          <cell r="P97">
            <v>71.2</v>
          </cell>
          <cell r="Q97">
            <v>68.8</v>
          </cell>
          <cell r="R97">
            <v>68.8</v>
          </cell>
          <cell r="T97">
            <v>64.599999999999994</v>
          </cell>
          <cell r="U97">
            <v>61.8</v>
          </cell>
          <cell r="V97">
            <v>58.6</v>
          </cell>
          <cell r="W97">
            <v>56.6</v>
          </cell>
          <cell r="X97">
            <v>56.6</v>
          </cell>
          <cell r="Z97">
            <v>52.7</v>
          </cell>
          <cell r="AA97">
            <v>48.7</v>
          </cell>
          <cell r="AB97">
            <v>46.3</v>
          </cell>
          <cell r="AC97">
            <v>44.5</v>
          </cell>
          <cell r="AD97">
            <v>44.5</v>
          </cell>
          <cell r="AF97">
            <v>40.799999999999997</v>
          </cell>
          <cell r="AG97">
            <v>38.799999999999997</v>
          </cell>
          <cell r="AH97">
            <v>9.9999999999999995E-7</v>
          </cell>
          <cell r="AI97">
            <v>0</v>
          </cell>
          <cell r="AJ97">
            <v>0</v>
          </cell>
          <cell r="AL97">
            <v>0</v>
          </cell>
          <cell r="AM97">
            <v>0</v>
          </cell>
          <cell r="AN97">
            <v>0</v>
          </cell>
          <cell r="AO97">
            <v>0</v>
          </cell>
          <cell r="AP97">
            <v>0</v>
          </cell>
          <cell r="AR97">
            <v>0</v>
          </cell>
          <cell r="AS97">
            <v>0</v>
          </cell>
          <cell r="AT97">
            <v>0</v>
          </cell>
          <cell r="AU97">
            <v>0</v>
          </cell>
          <cell r="AV97">
            <v>0</v>
          </cell>
        </row>
        <row r="98">
          <cell r="D98" t="str">
            <v xml:space="preserve">Total Medical Insured </v>
          </cell>
          <cell r="F98">
            <v>3309.3</v>
          </cell>
          <cell r="H98">
            <v>3294.8</v>
          </cell>
          <cell r="I98">
            <v>3300.7999999999997</v>
          </cell>
          <cell r="J98">
            <v>4370.9000000000005</v>
          </cell>
          <cell r="K98">
            <v>4380</v>
          </cell>
          <cell r="L98">
            <v>4380</v>
          </cell>
          <cell r="N98">
            <v>4201.8</v>
          </cell>
          <cell r="O98">
            <v>4200.1000000000004</v>
          </cell>
          <cell r="P98">
            <v>5335.7</v>
          </cell>
          <cell r="Q98">
            <v>5555.6</v>
          </cell>
          <cell r="R98">
            <v>5555.6</v>
          </cell>
          <cell r="T98">
            <v>5545.7</v>
          </cell>
          <cell r="U98">
            <v>5550</v>
          </cell>
          <cell r="V98">
            <v>5525.5</v>
          </cell>
          <cell r="W98">
            <v>5549.6</v>
          </cell>
          <cell r="X98">
            <v>5549.6</v>
          </cell>
          <cell r="Z98">
            <v>5442.4</v>
          </cell>
          <cell r="AA98">
            <v>5430.5999999999995</v>
          </cell>
          <cell r="AB98">
            <v>5381</v>
          </cell>
          <cell r="AC98">
            <v>5291.2000000000007</v>
          </cell>
          <cell r="AD98">
            <v>5291.2000000000007</v>
          </cell>
          <cell r="AF98">
            <v>5252.9000000000005</v>
          </cell>
          <cell r="AG98">
            <v>5129.6000000000004</v>
          </cell>
          <cell r="AH98">
            <v>4800.3000009999996</v>
          </cell>
          <cell r="AI98">
            <v>4685.8999999999996</v>
          </cell>
          <cell r="AJ98">
            <v>4685.8999999999996</v>
          </cell>
          <cell r="AL98">
            <v>4380.1000000000004</v>
          </cell>
          <cell r="AM98">
            <v>4975.5</v>
          </cell>
          <cell r="AN98">
            <v>4908.1000000000004</v>
          </cell>
          <cell r="AO98">
            <v>4900.6000000000004</v>
          </cell>
          <cell r="AP98">
            <v>4900.6000000000004</v>
          </cell>
          <cell r="AR98">
            <v>4893.9790196977547</v>
          </cell>
          <cell r="AS98">
            <v>4895.4164631847161</v>
          </cell>
          <cell r="AT98">
            <v>4896.8582738630203</v>
          </cell>
          <cell r="AU98">
            <v>4898.3044478958809</v>
          </cell>
          <cell r="AV98">
            <v>4898.3044478958809</v>
          </cell>
        </row>
        <row r="99">
          <cell r="D99" t="str">
            <v>Commercial Fee-Based (ASO)</v>
          </cell>
          <cell r="F99">
            <v>495.1</v>
          </cell>
          <cell r="H99">
            <v>444.7</v>
          </cell>
          <cell r="I99">
            <v>447.9</v>
          </cell>
          <cell r="J99">
            <v>458.3</v>
          </cell>
          <cell r="K99">
            <v>471</v>
          </cell>
          <cell r="L99">
            <v>471</v>
          </cell>
          <cell r="N99">
            <v>566.29999999999995</v>
          </cell>
          <cell r="O99">
            <v>555</v>
          </cell>
          <cell r="P99">
            <v>584.5</v>
          </cell>
          <cell r="Q99">
            <v>651.20000000000005</v>
          </cell>
          <cell r="R99">
            <v>651.20000000000005</v>
          </cell>
          <cell r="T99">
            <v>682.2</v>
          </cell>
          <cell r="U99">
            <v>693.4</v>
          </cell>
          <cell r="V99">
            <v>673.9</v>
          </cell>
          <cell r="W99">
            <v>646.20000000000005</v>
          </cell>
          <cell r="X99">
            <v>646.20000000000005</v>
          </cell>
          <cell r="Z99">
            <v>617.9</v>
          </cell>
          <cell r="AA99">
            <v>636.70000000000005</v>
          </cell>
          <cell r="AB99">
            <v>641</v>
          </cell>
          <cell r="AC99">
            <v>648</v>
          </cell>
          <cell r="AD99">
            <v>648</v>
          </cell>
          <cell r="AF99">
            <v>657</v>
          </cell>
          <cell r="AG99">
            <v>655.7</v>
          </cell>
          <cell r="AH99">
            <v>647.29999999999995</v>
          </cell>
          <cell r="AI99">
            <v>612.79999999999995</v>
          </cell>
          <cell r="AJ99">
            <v>612.79999999999995</v>
          </cell>
          <cell r="AL99">
            <v>547.20000000000005</v>
          </cell>
          <cell r="AM99">
            <v>548.1</v>
          </cell>
          <cell r="AN99">
            <v>577.79999999999995</v>
          </cell>
          <cell r="AO99">
            <v>592.5</v>
          </cell>
          <cell r="AP99">
            <v>592.5</v>
          </cell>
          <cell r="AR99">
            <v>635.83333333333337</v>
          </cell>
          <cell r="AS99">
            <v>640.54935480534186</v>
          </cell>
          <cell r="AT99">
            <v>645.30035534711362</v>
          </cell>
          <cell r="AU99">
            <v>650.08659440091969</v>
          </cell>
          <cell r="AV99">
            <v>650.08659440091969</v>
          </cell>
        </row>
        <row r="100">
          <cell r="D100" t="str">
            <v>TRICARE Fee-Based (ASO)</v>
          </cell>
          <cell r="F100">
            <v>0</v>
          </cell>
          <cell r="H100">
            <v>0</v>
          </cell>
          <cell r="I100">
            <v>0</v>
          </cell>
          <cell r="J100">
            <v>0</v>
          </cell>
          <cell r="K100">
            <v>0</v>
          </cell>
          <cell r="L100">
            <v>0</v>
          </cell>
          <cell r="N100">
            <v>0</v>
          </cell>
          <cell r="O100">
            <v>0</v>
          </cell>
          <cell r="P100">
            <v>0</v>
          </cell>
          <cell r="Q100">
            <v>0</v>
          </cell>
          <cell r="R100">
            <v>0</v>
          </cell>
          <cell r="T100">
            <v>0</v>
          </cell>
          <cell r="U100">
            <v>0</v>
          </cell>
          <cell r="V100">
            <v>0</v>
          </cell>
          <cell r="W100">
            <v>0</v>
          </cell>
          <cell r="X100">
            <v>0</v>
          </cell>
          <cell r="Z100">
            <v>0</v>
          </cell>
          <cell r="AA100">
            <v>0</v>
          </cell>
          <cell r="AB100">
            <v>0</v>
          </cell>
          <cell r="AC100">
            <v>0</v>
          </cell>
          <cell r="AD100">
            <v>0</v>
          </cell>
          <cell r="AF100">
            <v>0</v>
          </cell>
          <cell r="AG100">
            <v>0</v>
          </cell>
          <cell r="AH100">
            <v>0</v>
          </cell>
          <cell r="AI100">
            <v>0</v>
          </cell>
          <cell r="AJ100">
            <v>0</v>
          </cell>
          <cell r="AL100">
            <v>0</v>
          </cell>
          <cell r="AM100">
            <v>939.4</v>
          </cell>
          <cell r="AN100">
            <v>942.7</v>
          </cell>
          <cell r="AO100">
            <v>942.7</v>
          </cell>
          <cell r="AP100">
            <v>942.7</v>
          </cell>
          <cell r="AR100">
            <v>945.04796338961057</v>
          </cell>
          <cell r="AS100">
            <v>947.40177480306636</v>
          </cell>
          <cell r="AT100">
            <v>949.76144880591949</v>
          </cell>
          <cell r="AU100">
            <v>952.12700000000007</v>
          </cell>
          <cell r="AV100">
            <v>952.12700000000007</v>
          </cell>
        </row>
        <row r="101">
          <cell r="D101" t="str">
            <v>Total Commercial</v>
          </cell>
          <cell r="F101" t="str">
            <v>NA</v>
          </cell>
          <cell r="L101" t="str">
            <v>NA</v>
          </cell>
          <cell r="N101">
            <v>3144.1000000000004</v>
          </cell>
          <cell r="O101">
            <v>3132.6</v>
          </cell>
          <cell r="P101">
            <v>3640.9</v>
          </cell>
          <cell r="Q101">
            <v>3909.8</v>
          </cell>
          <cell r="R101">
            <v>3909.8</v>
          </cell>
          <cell r="T101">
            <v>3931.8</v>
          </cell>
          <cell r="U101">
            <v>3954.1</v>
          </cell>
          <cell r="V101">
            <v>3909.7000000000003</v>
          </cell>
          <cell r="W101">
            <v>3907.7</v>
          </cell>
          <cell r="X101">
            <v>3907.7</v>
          </cell>
          <cell r="Z101">
            <v>3789.6</v>
          </cell>
          <cell r="AA101">
            <v>3810.7</v>
          </cell>
          <cell r="AB101">
            <v>3772.2</v>
          </cell>
          <cell r="AC101">
            <v>3731.6</v>
          </cell>
          <cell r="AD101">
            <v>3731.6</v>
          </cell>
          <cell r="AF101">
            <v>3634.5</v>
          </cell>
          <cell r="AG101">
            <v>3500.2</v>
          </cell>
          <cell r="AH101">
            <v>3286.8999999999996</v>
          </cell>
          <cell r="AI101">
            <v>3158.6000000000004</v>
          </cell>
          <cell r="AJ101">
            <v>3158.6000000000004</v>
          </cell>
          <cell r="AL101">
            <v>2935.1000000000004</v>
          </cell>
          <cell r="AM101">
            <v>2891.4</v>
          </cell>
          <cell r="AN101">
            <v>2910.5</v>
          </cell>
          <cell r="AO101">
            <v>2893.8</v>
          </cell>
          <cell r="AP101">
            <v>2893.8</v>
          </cell>
          <cell r="AR101">
            <v>2958.8</v>
          </cell>
          <cell r="AS101">
            <v>2965.2562898918304</v>
          </cell>
          <cell r="AT101">
            <v>2971.7488625889519</v>
          </cell>
          <cell r="AU101">
            <v>2978.2779785103389</v>
          </cell>
          <cell r="AV101">
            <v>2978.2779785103389</v>
          </cell>
        </row>
        <row r="102">
          <cell r="D102" t="str">
            <v>Total Medical</v>
          </cell>
          <cell r="F102">
            <v>3804.4</v>
          </cell>
          <cell r="H102">
            <v>3739.5</v>
          </cell>
          <cell r="I102">
            <v>3748.7</v>
          </cell>
          <cell r="J102">
            <v>4829.2000000000007</v>
          </cell>
          <cell r="K102">
            <v>4851</v>
          </cell>
          <cell r="L102">
            <v>4851</v>
          </cell>
          <cell r="N102">
            <v>4768.1000000000004</v>
          </cell>
          <cell r="O102">
            <v>4755.1000000000004</v>
          </cell>
          <cell r="P102">
            <v>5920.2</v>
          </cell>
          <cell r="Q102">
            <v>6206.8</v>
          </cell>
          <cell r="R102">
            <v>6206.8</v>
          </cell>
          <cell r="T102">
            <v>6227.9</v>
          </cell>
          <cell r="U102">
            <v>6243.4</v>
          </cell>
          <cell r="V102">
            <v>6199.4</v>
          </cell>
          <cell r="W102">
            <v>6195.8</v>
          </cell>
          <cell r="X102">
            <v>6195.8</v>
          </cell>
          <cell r="Z102">
            <v>6060.2999999999993</v>
          </cell>
          <cell r="AA102">
            <v>6067.2999999999993</v>
          </cell>
          <cell r="AB102">
            <v>6022</v>
          </cell>
          <cell r="AC102">
            <v>5939.2000000000007</v>
          </cell>
          <cell r="AD102">
            <v>5939.2000000000007</v>
          </cell>
          <cell r="AF102">
            <v>5909.9000000000005</v>
          </cell>
          <cell r="AG102">
            <v>5785.3</v>
          </cell>
          <cell r="AH102">
            <v>5447.6000009999998</v>
          </cell>
          <cell r="AI102">
            <v>5298.7</v>
          </cell>
          <cell r="AJ102">
            <v>5298.7</v>
          </cell>
          <cell r="AL102">
            <v>4927.3</v>
          </cell>
          <cell r="AM102">
            <v>6463</v>
          </cell>
          <cell r="AN102">
            <v>6428.6</v>
          </cell>
          <cell r="AO102">
            <v>6435.8</v>
          </cell>
          <cell r="AP102">
            <v>6435.8</v>
          </cell>
          <cell r="AR102">
            <v>6474.8603164206979</v>
          </cell>
          <cell r="AS102">
            <v>6483.3675927931245</v>
          </cell>
          <cell r="AT102">
            <v>6491.9200780160536</v>
          </cell>
          <cell r="AU102">
            <v>6500.5180422968006</v>
          </cell>
          <cell r="AV102">
            <v>6500.5180422968006</v>
          </cell>
        </row>
        <row r="103">
          <cell r="D103" t="str">
            <v>Small Group Commercial</v>
          </cell>
          <cell r="F103" t="str">
            <v xml:space="preserve">NA </v>
          </cell>
          <cell r="H103" t="str">
            <v xml:space="preserve">NA </v>
          </cell>
          <cell r="I103" t="str">
            <v xml:space="preserve">NA </v>
          </cell>
          <cell r="J103" t="str">
            <v xml:space="preserve">NA </v>
          </cell>
          <cell r="K103" t="str">
            <v xml:space="preserve">NA </v>
          </cell>
          <cell r="L103" t="str">
            <v xml:space="preserve">NA </v>
          </cell>
          <cell r="N103" t="str">
            <v xml:space="preserve">NA </v>
          </cell>
          <cell r="O103" t="str">
            <v xml:space="preserve">NA </v>
          </cell>
          <cell r="P103" t="str">
            <v xml:space="preserve">NA </v>
          </cell>
          <cell r="Q103" t="str">
            <v xml:space="preserve">NA </v>
          </cell>
          <cell r="R103" t="str">
            <v xml:space="preserve">NA </v>
          </cell>
          <cell r="T103" t="str">
            <v xml:space="preserve">NA </v>
          </cell>
          <cell r="U103" t="str">
            <v xml:space="preserve">NA </v>
          </cell>
          <cell r="V103">
            <v>0.5243243243243243</v>
          </cell>
          <cell r="W103" t="str">
            <v xml:space="preserve">NA </v>
          </cell>
          <cell r="X103" t="str">
            <v xml:space="preserve">NA </v>
          </cell>
          <cell r="Z103" t="str">
            <v xml:space="preserve">NA </v>
          </cell>
          <cell r="AA103">
            <v>9.4445428250988783E-4</v>
          </cell>
          <cell r="AB103">
            <v>8.7470449172577514E-3</v>
          </cell>
          <cell r="AC103">
            <v>-2.2740627570807415E-2</v>
          </cell>
          <cell r="AD103">
            <v>-2.2740627570807415E-2</v>
          </cell>
          <cell r="AF103">
            <v>-6.4252475838205481E-2</v>
          </cell>
          <cell r="AG103">
            <v>-0.12985787580350305</v>
          </cell>
          <cell r="AH103">
            <v>-0.20254277009608623</v>
          </cell>
          <cell r="AI103">
            <v>-0.22554266129517164</v>
          </cell>
          <cell r="AJ103">
            <v>-0.22554266129517164</v>
          </cell>
          <cell r="AL103" t="str">
            <v xml:space="preserve">NA </v>
          </cell>
          <cell r="AM103" t="str">
            <v xml:space="preserve">NA </v>
          </cell>
          <cell r="AN103" t="str">
            <v xml:space="preserve">NA </v>
          </cell>
          <cell r="AO103" t="str">
            <v xml:space="preserve">NA </v>
          </cell>
          <cell r="AP103" t="str">
            <v xml:space="preserve">NA </v>
          </cell>
          <cell r="AR103" t="str">
            <v xml:space="preserve">NA </v>
          </cell>
          <cell r="AS103" t="str">
            <v xml:space="preserve">NA </v>
          </cell>
          <cell r="AT103" t="str">
            <v xml:space="preserve">NA </v>
          </cell>
          <cell r="AU103" t="str">
            <v xml:space="preserve">NA </v>
          </cell>
          <cell r="AV103" t="str">
            <v xml:space="preserve">NA </v>
          </cell>
        </row>
        <row r="104">
          <cell r="D104" t="str">
            <v>Large Group Commercial</v>
          </cell>
          <cell r="F104" t="str">
            <v xml:space="preserve">NA </v>
          </cell>
          <cell r="H104" t="str">
            <v xml:space="preserve">NA </v>
          </cell>
          <cell r="I104" t="str">
            <v xml:space="preserve">NA </v>
          </cell>
          <cell r="J104" t="str">
            <v xml:space="preserve">NA </v>
          </cell>
          <cell r="K104" t="str">
            <v xml:space="preserve">NA </v>
          </cell>
          <cell r="L104" t="str">
            <v xml:space="preserve">NA </v>
          </cell>
          <cell r="N104" t="str">
            <v xml:space="preserve">NA </v>
          </cell>
          <cell r="O104" t="str">
            <v xml:space="preserve">NA </v>
          </cell>
          <cell r="P104" t="str">
            <v xml:space="preserve">NA </v>
          </cell>
          <cell r="Q104" t="str">
            <v xml:space="preserve">NA </v>
          </cell>
          <cell r="R104" t="str">
            <v xml:space="preserve">NA </v>
          </cell>
          <cell r="T104" t="str">
            <v xml:space="preserve">NA </v>
          </cell>
          <cell r="U104" t="str">
            <v xml:space="preserve">NA </v>
          </cell>
          <cell r="V104">
            <v>-0.20684340320591865</v>
          </cell>
          <cell r="W104" t="str">
            <v xml:space="preserve">NA </v>
          </cell>
          <cell r="X104" t="str">
            <v xml:space="preserve">NA </v>
          </cell>
          <cell r="Z104" t="str">
            <v xml:space="preserve">NA </v>
          </cell>
          <cell r="AA104">
            <v>-5.6364100600025502E-2</v>
          </cell>
          <cell r="AB104">
            <v>-7.7341624562767164E-2</v>
          </cell>
          <cell r="AC104">
            <v>-8.9247932294672094E-2</v>
          </cell>
          <cell r="AD104">
            <v>-8.9247932294672094E-2</v>
          </cell>
          <cell r="AF104">
            <v>-5.7840187228351714E-2</v>
          </cell>
          <cell r="AG104">
            <v>-7.3936278157342827E-2</v>
          </cell>
          <cell r="AH104">
            <v>-0.10242909295141822</v>
          </cell>
          <cell r="AI104">
            <v>-0.11453713481168604</v>
          </cell>
          <cell r="AJ104">
            <v>-0.11453713481168604</v>
          </cell>
          <cell r="AL104" t="str">
            <v xml:space="preserve">NA </v>
          </cell>
          <cell r="AM104" t="str">
            <v xml:space="preserve">NA </v>
          </cell>
          <cell r="AN104" t="str">
            <v xml:space="preserve">NA </v>
          </cell>
          <cell r="AO104" t="str">
            <v xml:space="preserve">NA </v>
          </cell>
          <cell r="AP104" t="str">
            <v xml:space="preserve">NA </v>
          </cell>
          <cell r="AR104" t="str">
            <v xml:space="preserve">NA </v>
          </cell>
          <cell r="AS104" t="str">
            <v xml:space="preserve">NA </v>
          </cell>
          <cell r="AT104" t="str">
            <v xml:space="preserve">NA </v>
          </cell>
          <cell r="AU104" t="str">
            <v xml:space="preserve">NA </v>
          </cell>
          <cell r="AV104" t="str">
            <v xml:space="preserve">NA </v>
          </cell>
        </row>
        <row r="105">
          <cell r="A105" t="str">
            <v>Medical</v>
          </cell>
          <cell r="D105" t="str">
            <v>Commercial Risk</v>
          </cell>
          <cell r="F105" t="str">
            <v xml:space="preserve">NA </v>
          </cell>
          <cell r="H105" t="str">
            <v xml:space="preserve">NA </v>
          </cell>
          <cell r="I105" t="str">
            <v xml:space="preserve">NA </v>
          </cell>
          <cell r="J105" t="str">
            <v xml:space="preserve">NA </v>
          </cell>
          <cell r="K105" t="str">
            <v xml:space="preserve">NA </v>
          </cell>
          <cell r="L105">
            <v>-2.6561783484426282E-2</v>
          </cell>
          <cell r="N105">
            <v>-8.3057660157222601E-2</v>
          </cell>
          <cell r="O105">
            <v>-8.2606683987614282E-2</v>
          </cell>
          <cell r="P105">
            <v>9.3954686996671422E-2</v>
          </cell>
          <cell r="Q105">
            <v>0.18082330772575728</v>
          </cell>
          <cell r="R105">
            <v>0.18082330772575728</v>
          </cell>
          <cell r="T105">
            <v>0.26060982232911778</v>
          </cell>
          <cell r="U105">
            <v>0.26501396648044695</v>
          </cell>
          <cell r="V105">
            <v>5.8696505692972245E-2</v>
          </cell>
          <cell r="W105">
            <v>8.899527404406804E-4</v>
          </cell>
          <cell r="X105">
            <v>8.899527404406804E-4</v>
          </cell>
          <cell r="Z105">
            <v>-2.3972181191531328E-2</v>
          </cell>
          <cell r="AA105">
            <v>-2.6589382647897675E-2</v>
          </cell>
          <cell r="AB105">
            <v>-3.2325854502750606E-2</v>
          </cell>
          <cell r="AC105">
            <v>-5.4545454545454564E-2</v>
          </cell>
          <cell r="AD105">
            <v>-5.4545454545454564E-2</v>
          </cell>
          <cell r="AF105">
            <v>-6.1228993914935192E-2</v>
          </cell>
          <cell r="AG105">
            <v>-0.10381222432262127</v>
          </cell>
          <cell r="AH105">
            <v>-0.15700051098620338</v>
          </cell>
          <cell r="AI105">
            <v>-0.17440653781294579</v>
          </cell>
          <cell r="AJ105">
            <v>-0.17440653781294579</v>
          </cell>
          <cell r="AL105">
            <v>-0.19801847187237609</v>
          </cell>
          <cell r="AM105">
            <v>-0.17619968359992966</v>
          </cell>
          <cell r="AN105">
            <v>-0.11626761630550086</v>
          </cell>
          <cell r="AO105">
            <v>-9.6040537355644551E-2</v>
          </cell>
          <cell r="AP105">
            <v>-9.6040537355644551E-2</v>
          </cell>
          <cell r="AR105">
            <v>-2.7192651841925319E-2</v>
          </cell>
          <cell r="AS105">
            <v>-7.9345644661424908E-3</v>
          </cell>
          <cell r="AT105">
            <v>-2.6799385939733078E-3</v>
          </cell>
          <cell r="AU105">
            <v>1.1685301398956627E-2</v>
          </cell>
          <cell r="AV105">
            <v>1.1685301398956627E-2</v>
          </cell>
        </row>
        <row r="106">
          <cell r="A106" t="str">
            <v>enrollment</v>
          </cell>
          <cell r="D106" t="str">
            <v>Medicare Risk</v>
          </cell>
          <cell r="F106" t="str">
            <v xml:space="preserve">NA </v>
          </cell>
          <cell r="H106" t="str">
            <v xml:space="preserve">NA </v>
          </cell>
          <cell r="I106" t="str">
            <v xml:space="preserve">NA </v>
          </cell>
          <cell r="J106" t="str">
            <v xml:space="preserve">NA </v>
          </cell>
          <cell r="K106" t="str">
            <v xml:space="preserve">NA </v>
          </cell>
          <cell r="L106">
            <v>0.17429123711340222</v>
          </cell>
          <cell r="N106">
            <v>0.16103009618367969</v>
          </cell>
          <cell r="O106">
            <v>0.17032141784319621</v>
          </cell>
          <cell r="P106">
            <v>0.33103051237766268</v>
          </cell>
          <cell r="Q106">
            <v>0.31906721536351168</v>
          </cell>
          <cell r="R106">
            <v>0.31906721536351168</v>
          </cell>
          <cell r="T106">
            <v>0.324959914484233</v>
          </cell>
          <cell r="U106">
            <v>0.28593429158110872</v>
          </cell>
          <cell r="V106">
            <v>8.7370242214533045E-2</v>
          </cell>
          <cell r="W106">
            <v>4.4093178036605618E-2</v>
          </cell>
          <cell r="X106">
            <v>4.4093178036605618E-2</v>
          </cell>
          <cell r="Z106">
            <v>-3.0455828963291687E-2</v>
          </cell>
          <cell r="AA106">
            <v>-3.2335329341317331E-2</v>
          </cell>
          <cell r="AB106">
            <v>-2.6849642004773244E-2</v>
          </cell>
          <cell r="AC106">
            <v>-2.6892430278884438E-2</v>
          </cell>
          <cell r="AD106">
            <v>-2.6892430278884438E-2</v>
          </cell>
          <cell r="AF106">
            <v>7.7595173705013565E-2</v>
          </cell>
          <cell r="AG106">
            <v>7.6938943894389489E-2</v>
          </cell>
          <cell r="AH106">
            <v>4.8640915593705314E-2</v>
          </cell>
          <cell r="AI106">
            <v>1.1668372569088925E-2</v>
          </cell>
          <cell r="AJ106">
            <v>1.1668372569088925E-2</v>
          </cell>
          <cell r="AL106">
            <v>-0.17355212355212346</v>
          </cell>
          <cell r="AM106">
            <v>-0.19938709059567139</v>
          </cell>
          <cell r="AN106">
            <v>-0.20853634769050866</v>
          </cell>
          <cell r="AO106">
            <v>-0.20295426952650752</v>
          </cell>
          <cell r="AP106">
            <v>-0.20295426952650752</v>
          </cell>
          <cell r="AR106">
            <v>-0.1473954683485168</v>
          </cell>
          <cell r="AS106">
            <v>-0.12898550711532619</v>
          </cell>
          <cell r="AT106">
            <v>-0.10571185780862768</v>
          </cell>
          <cell r="AU106">
            <v>-8.0327332352215453E-2</v>
          </cell>
          <cell r="AV106">
            <v>-8.0327332352215453E-2</v>
          </cell>
        </row>
        <row r="107">
          <cell r="A107" t="str">
            <v>y-y change</v>
          </cell>
          <cell r="D107" t="str">
            <v>TRICARE</v>
          </cell>
          <cell r="F107" t="str">
            <v xml:space="preserve">NA </v>
          </cell>
          <cell r="H107" t="str">
            <v xml:space="preserve">NA </v>
          </cell>
          <cell r="I107" t="str">
            <v xml:space="preserve">NA </v>
          </cell>
          <cell r="J107" t="str">
            <v xml:space="preserve">NA </v>
          </cell>
          <cell r="K107" t="str">
            <v xml:space="preserve">NA </v>
          </cell>
          <cell r="L107" t="str">
            <v xml:space="preserve">NA </v>
          </cell>
          <cell r="N107" t="str">
            <v xml:space="preserve">NA </v>
          </cell>
          <cell r="O107" t="str">
            <v xml:space="preserve">NA </v>
          </cell>
          <cell r="P107">
            <v>2.9759136985027412E-2</v>
          </cell>
          <cell r="Q107">
            <v>8.3408884859474952E-3</v>
          </cell>
          <cell r="R107">
            <v>8.3408884859474952E-3</v>
          </cell>
          <cell r="T107">
            <v>3.6261445018581639E-4</v>
          </cell>
          <cell r="U107">
            <v>-9.9340738733857403E-3</v>
          </cell>
          <cell r="V107">
            <v>-1.526234986001973E-2</v>
          </cell>
          <cell r="W107">
            <v>-2.3826649883114559E-2</v>
          </cell>
          <cell r="X107">
            <v>-2.3826649883114559E-2</v>
          </cell>
          <cell r="Z107">
            <v>-1.6130493883099173E-2</v>
          </cell>
          <cell r="AA107">
            <v>-2.8915442853233664E-2</v>
          </cell>
          <cell r="AB107">
            <v>-2.2835656639765278E-2</v>
          </cell>
          <cell r="AC107">
            <v>-2.5513493598600001E-2</v>
          </cell>
          <cell r="AD107">
            <v>-2.5513493598600001E-2</v>
          </cell>
          <cell r="AF107">
            <v>-2.3671364096896075E-2</v>
          </cell>
          <cell r="AG107">
            <v>-1.4559458951718951E-2</v>
          </cell>
          <cell r="AH107">
            <v>-2.1586109807602005E-3</v>
          </cell>
          <cell r="AI107">
            <v>1.1720226843100257E-2</v>
          </cell>
          <cell r="AJ107">
            <v>1.1720226843100257E-2</v>
          </cell>
          <cell r="AL107">
            <v>1.0283018867924598E-2</v>
          </cell>
          <cell r="AM107">
            <v>0.64502907253836628</v>
          </cell>
          <cell r="AN107">
            <v>0.61089164785553041</v>
          </cell>
          <cell r="AO107">
            <v>0.60183109118086664</v>
          </cell>
          <cell r="AP107">
            <v>0.60183109118086664</v>
          </cell>
          <cell r="AR107">
            <v>0.60108320104584911</v>
          </cell>
          <cell r="AS107">
            <v>-6.4897438868930513E-3</v>
          </cell>
          <cell r="AT107">
            <v>1.1093594908622162E-3</v>
          </cell>
          <cell r="AU107">
            <v>0</v>
          </cell>
          <cell r="AV107">
            <v>0</v>
          </cell>
        </row>
        <row r="108">
          <cell r="D108" t="str">
            <v>Medicaid</v>
          </cell>
          <cell r="F108" t="str">
            <v xml:space="preserve">NA </v>
          </cell>
          <cell r="H108" t="str">
            <v xml:space="preserve">NA </v>
          </cell>
          <cell r="I108" t="str">
            <v xml:space="preserve">NA </v>
          </cell>
          <cell r="J108" t="str">
            <v xml:space="preserve">NA </v>
          </cell>
          <cell r="K108" t="str">
            <v xml:space="preserve">NA </v>
          </cell>
          <cell r="L108">
            <v>0.12653061224489792</v>
          </cell>
          <cell r="N108">
            <v>3.1007751937984551E-2</v>
          </cell>
          <cell r="O108">
            <v>-2.298850574712652E-2</v>
          </cell>
          <cell r="P108">
            <v>11.16</v>
          </cell>
          <cell r="Q108">
            <v>10.507246376811594</v>
          </cell>
          <cell r="R108">
            <v>10.507246376811594</v>
          </cell>
          <cell r="T108">
            <v>10.883458646616541</v>
          </cell>
          <cell r="U108">
            <v>11.35686274509804</v>
          </cell>
          <cell r="V108">
            <v>-7.8320802005016343E-4</v>
          </cell>
          <cell r="W108">
            <v>1.3539042821158587E-2</v>
          </cell>
          <cell r="X108">
            <v>1.3539042821158587E-2</v>
          </cell>
          <cell r="Z108">
            <v>3.0686491616576994E-2</v>
          </cell>
          <cell r="AA108">
            <v>4.490637892732452E-2</v>
          </cell>
          <cell r="AB108">
            <v>1.693055337827265E-2</v>
          </cell>
          <cell r="AC108">
            <v>-4.2249145697421442E-2</v>
          </cell>
          <cell r="AD108">
            <v>-4.2249145697421442E-2</v>
          </cell>
          <cell r="AF108">
            <v>7.6734192756291453E-3</v>
          </cell>
          <cell r="AG108">
            <v>2.5208807896734964E-2</v>
          </cell>
          <cell r="AH108">
            <v>-9.9121319562201382E-2</v>
          </cell>
          <cell r="AI108">
            <v>-6.6655854686993199E-2</v>
          </cell>
          <cell r="AJ108">
            <v>-6.6655854686993199E-2</v>
          </cell>
          <cell r="AL108">
            <v>-0.24885775205604632</v>
          </cell>
          <cell r="AM108">
            <v>-0.27655162198192862</v>
          </cell>
          <cell r="AN108">
            <v>-0.21868583162217647</v>
          </cell>
          <cell r="AO108">
            <v>-0.14717636837532577</v>
          </cell>
          <cell r="AP108">
            <v>-0.14717636837532577</v>
          </cell>
          <cell r="AR108">
            <v>-3.6245883392374001E-3</v>
          </cell>
          <cell r="AS108">
            <v>7.4231573964667064E-3</v>
          </cell>
          <cell r="AT108">
            <v>7.8929811820556139E-2</v>
          </cell>
          <cell r="AU108">
            <v>4.9999999999996714E-3</v>
          </cell>
          <cell r="AV108">
            <v>4.9999999999996714E-3</v>
          </cell>
        </row>
        <row r="109">
          <cell r="D109" t="str">
            <v>Medicare supplement</v>
          </cell>
          <cell r="F109" t="str">
            <v xml:space="preserve">NA </v>
          </cell>
          <cell r="H109" t="str">
            <v xml:space="preserve">NA </v>
          </cell>
          <cell r="I109" t="str">
            <v xml:space="preserve">NA </v>
          </cell>
          <cell r="J109" t="str">
            <v xml:space="preserve">NA </v>
          </cell>
          <cell r="K109" t="str">
            <v xml:space="preserve">NA </v>
          </cell>
          <cell r="L109">
            <v>-0.15043478260869558</v>
          </cell>
          <cell r="N109">
            <v>-0.14689781021897808</v>
          </cell>
          <cell r="O109">
            <v>-0.29622641509433967</v>
          </cell>
          <cell r="P109">
            <v>-0.3005893909626719</v>
          </cell>
          <cell r="Q109">
            <v>-0.2958034800409417</v>
          </cell>
          <cell r="R109">
            <v>-0.2958034800409417</v>
          </cell>
          <cell r="T109">
            <v>-0.30909090909090919</v>
          </cell>
          <cell r="U109">
            <v>-0.17158176943699732</v>
          </cell>
          <cell r="V109">
            <v>-0.1769662921348315</v>
          </cell>
          <cell r="W109">
            <v>-0.17732558139534882</v>
          </cell>
          <cell r="X109">
            <v>-0.17732558139534882</v>
          </cell>
          <cell r="Z109">
            <v>-0.18421052631578938</v>
          </cell>
          <cell r="AA109">
            <v>-0.21197411003236233</v>
          </cell>
          <cell r="AB109">
            <v>-0.20989761092150172</v>
          </cell>
          <cell r="AC109">
            <v>-0.21378091872791516</v>
          </cell>
          <cell r="AD109">
            <v>-0.21378091872791516</v>
          </cell>
          <cell r="AF109">
            <v>-0.22580645161290336</v>
          </cell>
          <cell r="AG109">
            <v>-0.20328542094455859</v>
          </cell>
          <cell r="AH109">
            <v>-0.99999997840172783</v>
          </cell>
          <cell r="AI109">
            <v>-1</v>
          </cell>
          <cell r="AJ109">
            <v>-1</v>
          </cell>
          <cell r="AL109">
            <v>-1</v>
          </cell>
          <cell r="AM109">
            <v>0</v>
          </cell>
          <cell r="AN109">
            <v>0</v>
          </cell>
          <cell r="AO109">
            <v>0</v>
          </cell>
          <cell r="AP109">
            <v>0</v>
          </cell>
          <cell r="AR109">
            <v>0</v>
          </cell>
          <cell r="AS109">
            <v>0</v>
          </cell>
          <cell r="AT109">
            <v>0</v>
          </cell>
          <cell r="AU109">
            <v>0</v>
          </cell>
          <cell r="AV109">
            <v>0</v>
          </cell>
        </row>
        <row r="110">
          <cell r="D110" t="str">
            <v xml:space="preserve">Total Medical Insured </v>
          </cell>
          <cell r="F110" t="str">
            <v xml:space="preserve">NA </v>
          </cell>
          <cell r="H110" t="str">
            <v xml:space="preserve">NA </v>
          </cell>
          <cell r="I110" t="str">
            <v xml:space="preserve">NA </v>
          </cell>
          <cell r="J110" t="str">
            <v xml:space="preserve">NA </v>
          </cell>
          <cell r="K110" t="str">
            <v xml:space="preserve">NA </v>
          </cell>
          <cell r="L110">
            <v>0.32354274317831555</v>
          </cell>
          <cell r="N110">
            <v>0.2752822629598155</v>
          </cell>
          <cell r="O110">
            <v>0.27244910324769767</v>
          </cell>
          <cell r="P110">
            <v>0.22073257223912668</v>
          </cell>
          <cell r="Q110">
            <v>0.26840182648401845</v>
          </cell>
          <cell r="R110">
            <v>0.26840182648401845</v>
          </cell>
          <cell r="T110">
            <v>0.31983911656908925</v>
          </cell>
          <cell r="U110">
            <v>0.32139710959262868</v>
          </cell>
          <cell r="V110">
            <v>3.5571715051445851E-2</v>
          </cell>
          <cell r="W110">
            <v>-1.079991360069088E-3</v>
          </cell>
          <cell r="X110">
            <v>-1.079991360069088E-3</v>
          </cell>
          <cell r="Z110">
            <v>-1.8627044376724355E-2</v>
          </cell>
          <cell r="AA110">
            <v>-2.1513513513513605E-2</v>
          </cell>
          <cell r="AB110">
            <v>-2.6151479504117225E-2</v>
          </cell>
          <cell r="AC110">
            <v>-4.6561914372206914E-2</v>
          </cell>
          <cell r="AD110">
            <v>-4.6561914372206914E-2</v>
          </cell>
          <cell r="AF110">
            <v>-3.4819197412905956E-2</v>
          </cell>
          <cell r="AG110">
            <v>-5.542665635473043E-2</v>
          </cell>
          <cell r="AH110">
            <v>-0.10791674391377071</v>
          </cell>
          <cell r="AI110">
            <v>-0.11439749017236189</v>
          </cell>
          <cell r="AJ110">
            <v>-0.11439749017236189</v>
          </cell>
          <cell r="AL110">
            <v>-0.16615583772773135</v>
          </cell>
          <cell r="AM110">
            <v>-3.004132875857779E-2</v>
          </cell>
          <cell r="AN110">
            <v>2.2456929562223893E-2</v>
          </cell>
          <cell r="AO110">
            <v>4.5818305981775165E-2</v>
          </cell>
          <cell r="AP110">
            <v>4.5818305981775165E-2</v>
          </cell>
          <cell r="AR110">
            <v>0.11732129853148421</v>
          </cell>
          <cell r="AS110">
            <v>-1.6095575683907959E-2</v>
          </cell>
          <cell r="AT110">
            <v>-2.290443580403867E-3</v>
          </cell>
          <cell r="AU110">
            <v>-4.684226633717703E-4</v>
          </cell>
          <cell r="AV110">
            <v>-4.684226633717703E-4</v>
          </cell>
        </row>
        <row r="111">
          <cell r="D111" t="str">
            <v>Commercial Fee-Based (ASO)</v>
          </cell>
          <cell r="F111" t="str">
            <v xml:space="preserve">NA </v>
          </cell>
          <cell r="H111" t="str">
            <v xml:space="preserve">NA </v>
          </cell>
          <cell r="I111" t="str">
            <v xml:space="preserve">NA </v>
          </cell>
          <cell r="J111" t="str">
            <v xml:space="preserve">NA </v>
          </cell>
          <cell r="K111" t="str">
            <v xml:space="preserve">NA </v>
          </cell>
          <cell r="L111">
            <v>-4.8677034942435915E-2</v>
          </cell>
          <cell r="N111">
            <v>0.27344277040701592</v>
          </cell>
          <cell r="O111">
            <v>0.23911587407903556</v>
          </cell>
          <cell r="P111">
            <v>0.27536548112590009</v>
          </cell>
          <cell r="Q111">
            <v>0.3825902335456477</v>
          </cell>
          <cell r="R111">
            <v>0.3825902335456477</v>
          </cell>
          <cell r="T111">
            <v>0.20466184001412691</v>
          </cell>
          <cell r="U111">
            <v>0.24936936936936926</v>
          </cell>
          <cell r="V111">
            <v>0.15295124037638996</v>
          </cell>
          <cell r="W111">
            <v>-7.6781326781326653E-3</v>
          </cell>
          <cell r="X111">
            <v>-7.6781326781326653E-3</v>
          </cell>
          <cell r="Z111">
            <v>-9.4253884491351636E-2</v>
          </cell>
          <cell r="AA111">
            <v>-8.1770983559273036E-2</v>
          </cell>
          <cell r="AB111">
            <v>-4.882029974773705E-2</v>
          </cell>
          <cell r="AC111">
            <v>2.7855153203342198E-3</v>
          </cell>
          <cell r="AD111">
            <v>2.7855153203342198E-3</v>
          </cell>
          <cell r="AF111">
            <v>6.3278847709985486E-2</v>
          </cell>
          <cell r="AG111">
            <v>2.9841369561802944E-2</v>
          </cell>
          <cell r="AH111">
            <v>9.8283931357252552E-3</v>
          </cell>
          <cell r="AI111">
            <v>-5.4320987654321029E-2</v>
          </cell>
          <cell r="AJ111">
            <v>-5.4320987654321029E-2</v>
          </cell>
          <cell r="AL111">
            <v>-0.16712328767123286</v>
          </cell>
          <cell r="AM111">
            <v>-0.16409943571755381</v>
          </cell>
          <cell r="AN111">
            <v>-0.10736907152788511</v>
          </cell>
          <cell r="AO111">
            <v>-3.3126631853785837E-2</v>
          </cell>
          <cell r="AP111">
            <v>-3.3126631853785837E-2</v>
          </cell>
          <cell r="AR111">
            <v>0.16197612085769975</v>
          </cell>
          <cell r="AS111">
            <v>0.16867242256037551</v>
          </cell>
          <cell r="AT111">
            <v>0.11682304490673889</v>
          </cell>
          <cell r="AU111">
            <v>9.7192564389737779E-2</v>
          </cell>
          <cell r="AV111">
            <v>9.7192564389737779E-2</v>
          </cell>
        </row>
        <row r="112">
          <cell r="D112" t="str">
            <v>TRICARE Fee-Based (ASO)</v>
          </cell>
          <cell r="F112" t="str">
            <v xml:space="preserve">NA </v>
          </cell>
          <cell r="H112" t="str">
            <v xml:space="preserve">NA </v>
          </cell>
          <cell r="I112" t="str">
            <v xml:space="preserve">NA </v>
          </cell>
          <cell r="J112" t="str">
            <v xml:space="preserve">NA </v>
          </cell>
          <cell r="K112" t="str">
            <v xml:space="preserve">NA </v>
          </cell>
          <cell r="L112" t="str">
            <v xml:space="preserve">NA </v>
          </cell>
          <cell r="N112" t="str">
            <v xml:space="preserve">NA </v>
          </cell>
          <cell r="O112" t="str">
            <v xml:space="preserve">NA </v>
          </cell>
          <cell r="P112" t="str">
            <v xml:space="preserve">NA </v>
          </cell>
          <cell r="Q112" t="str">
            <v xml:space="preserve">NA </v>
          </cell>
          <cell r="R112" t="str">
            <v xml:space="preserve">NA </v>
          </cell>
          <cell r="T112" t="str">
            <v xml:space="preserve">NA </v>
          </cell>
          <cell r="U112" t="str">
            <v xml:space="preserve">NA </v>
          </cell>
          <cell r="V112" t="str">
            <v xml:space="preserve">NA </v>
          </cell>
          <cell r="W112" t="str">
            <v xml:space="preserve">NA </v>
          </cell>
          <cell r="X112" t="str">
            <v xml:space="preserve">NA </v>
          </cell>
          <cell r="Z112" t="str">
            <v xml:space="preserve">NA </v>
          </cell>
          <cell r="AA112" t="str">
            <v xml:space="preserve">NA </v>
          </cell>
          <cell r="AB112" t="str">
            <v xml:space="preserve">NA </v>
          </cell>
          <cell r="AC112" t="str">
            <v xml:space="preserve">NA </v>
          </cell>
          <cell r="AD112" t="str">
            <v xml:space="preserve">NA </v>
          </cell>
          <cell r="AF112" t="str">
            <v xml:space="preserve">NA </v>
          </cell>
          <cell r="AG112" t="str">
            <v xml:space="preserve">NA </v>
          </cell>
          <cell r="AH112" t="str">
            <v xml:space="preserve">NA </v>
          </cell>
          <cell r="AI112" t="str">
            <v xml:space="preserve">NA </v>
          </cell>
          <cell r="AJ112" t="str">
            <v xml:space="preserve">NA </v>
          </cell>
          <cell r="AL112" t="str">
            <v xml:space="preserve">NA </v>
          </cell>
          <cell r="AM112" t="str">
            <v xml:space="preserve">NA </v>
          </cell>
          <cell r="AN112" t="str">
            <v xml:space="preserve">NA </v>
          </cell>
          <cell r="AO112" t="str">
            <v xml:space="preserve">NA </v>
          </cell>
          <cell r="AP112" t="str">
            <v xml:space="preserve">NA </v>
          </cell>
          <cell r="AR112" t="str">
            <v xml:space="preserve">NA </v>
          </cell>
          <cell r="AS112">
            <v>8.517963384145677E-3</v>
          </cell>
          <cell r="AT112">
            <v>7.490663844191614E-3</v>
          </cell>
          <cell r="AU112">
            <v>1.0000000000000009E-2</v>
          </cell>
          <cell r="AV112">
            <v>1.0000000000000009E-2</v>
          </cell>
        </row>
        <row r="113">
          <cell r="D113" t="str">
            <v>Total Commercial</v>
          </cell>
          <cell r="F113" t="str">
            <v>NA</v>
          </cell>
          <cell r="L113" t="str">
            <v>NA</v>
          </cell>
          <cell r="N113" t="str">
            <v>NA</v>
          </cell>
          <cell r="O113" t="str">
            <v>NA</v>
          </cell>
          <cell r="P113" t="str">
            <v>NA</v>
          </cell>
          <cell r="Q113" t="str">
            <v>NA</v>
          </cell>
          <cell r="R113" t="str">
            <v>NA</v>
          </cell>
          <cell r="T113" t="str">
            <v>NA</v>
          </cell>
          <cell r="U113" t="str">
            <v>NA</v>
          </cell>
          <cell r="V113" t="str">
            <v>NA</v>
          </cell>
          <cell r="W113" t="str">
            <v>NA</v>
          </cell>
          <cell r="X113" t="str">
            <v>NA</v>
          </cell>
          <cell r="Z113">
            <v>-3.6166641233023156E-2</v>
          </cell>
          <cell r="AA113">
            <v>-3.6266154118509975E-2</v>
          </cell>
          <cell r="AB113">
            <v>-3.5168938793257887E-2</v>
          </cell>
          <cell r="AC113">
            <v>-4.5064871919543448E-2</v>
          </cell>
          <cell r="AD113">
            <v>-4.5064871919543448E-2</v>
          </cell>
          <cell r="AF113">
            <v>-4.0927802406586444E-2</v>
          </cell>
          <cell r="AG113">
            <v>-8.1481092712624936E-2</v>
          </cell>
          <cell r="AH113">
            <v>-0.12865171517947094</v>
          </cell>
          <cell r="AI113">
            <v>-0.15355343552363587</v>
          </cell>
          <cell r="AJ113">
            <v>-0.15355343552363587</v>
          </cell>
          <cell r="AL113">
            <v>-0.19243362223139349</v>
          </cell>
          <cell r="AM113">
            <v>-0.17393291811896461</v>
          </cell>
          <cell r="AN113">
            <v>-0.11451519668989008</v>
          </cell>
          <cell r="AO113">
            <v>-8.3834610270372978E-2</v>
          </cell>
          <cell r="AP113">
            <v>-8.3834610270372978E-2</v>
          </cell>
          <cell r="AR113">
            <v>8.0746822936186291E-3</v>
          </cell>
          <cell r="AS113">
            <v>2.5543435668475611E-2</v>
          </cell>
          <cell r="AT113">
            <v>2.1044103277427118E-2</v>
          </cell>
          <cell r="AU113">
            <v>2.9192749502501503E-2</v>
          </cell>
          <cell r="AV113">
            <v>2.9192749502501503E-2</v>
          </cell>
        </row>
        <row r="114">
          <cell r="D114" t="str">
            <v>Total Medical</v>
          </cell>
          <cell r="F114" t="str">
            <v xml:space="preserve">NA </v>
          </cell>
          <cell r="H114" t="str">
            <v xml:space="preserve">NA </v>
          </cell>
          <cell r="I114" t="str">
            <v xml:space="preserve">NA </v>
          </cell>
          <cell r="J114" t="str">
            <v xml:space="preserve">NA </v>
          </cell>
          <cell r="K114" t="str">
            <v xml:space="preserve">NA </v>
          </cell>
          <cell r="L114">
            <v>0.27510251287982324</v>
          </cell>
          <cell r="N114">
            <v>0.27506351116459427</v>
          </cell>
          <cell r="O114">
            <v>0.26846640168591795</v>
          </cell>
          <cell r="P114">
            <v>0.22591733620475418</v>
          </cell>
          <cell r="Q114">
            <v>0.27948876520305088</v>
          </cell>
          <cell r="R114">
            <v>0.27948876520305088</v>
          </cell>
          <cell r="T114">
            <v>0.30615968624819101</v>
          </cell>
          <cell r="U114">
            <v>0.31299026308594957</v>
          </cell>
          <cell r="V114">
            <v>4.7160568899699218E-2</v>
          </cell>
          <cell r="W114">
            <v>-1.7722497905523493E-3</v>
          </cell>
          <cell r="X114">
            <v>-1.7722497905523493E-3</v>
          </cell>
          <cell r="Z114">
            <v>-2.6911157854172418E-2</v>
          </cell>
          <cell r="AA114">
            <v>-2.8205785309286635E-2</v>
          </cell>
          <cell r="AB114">
            <v>-2.8615672484433974E-2</v>
          </cell>
          <cell r="AC114">
            <v>-4.1415152199877237E-2</v>
          </cell>
          <cell r="AD114">
            <v>-4.1415152199877237E-2</v>
          </cell>
          <cell r="AF114">
            <v>-2.481725327129003E-2</v>
          </cell>
          <cell r="AG114">
            <v>-4.6478664315263596E-2</v>
          </cell>
          <cell r="AH114">
            <v>-9.538359332447699E-2</v>
          </cell>
          <cell r="AI114">
            <v>-0.10784280711206906</v>
          </cell>
          <cell r="AJ114">
            <v>-0.10784280711206906</v>
          </cell>
          <cell r="AL114">
            <v>-0.16626338855141376</v>
          </cell>
          <cell r="AM114">
            <v>0.11714172125905309</v>
          </cell>
          <cell r="AN114">
            <v>0.18007930075995326</v>
          </cell>
          <cell r="AO114">
            <v>0.21459980749995289</v>
          </cell>
          <cell r="AP114">
            <v>0.21459980749995289</v>
          </cell>
          <cell r="AR114">
            <v>0.3140787685792823</v>
          </cell>
          <cell r="AS114">
            <v>3.1514146361015793E-3</v>
          </cell>
          <cell r="AT114">
            <v>9.8497461369588812E-3</v>
          </cell>
          <cell r="AU114">
            <v>1.0055943673948908E-2</v>
          </cell>
          <cell r="AV114">
            <v>1.0055943673948908E-2</v>
          </cell>
        </row>
        <row r="115">
          <cell r="A115" t="str">
            <v>MEMBER MONTHS</v>
          </cell>
        </row>
        <row r="116">
          <cell r="A116" t="str">
            <v>Average specialty</v>
          </cell>
          <cell r="D116" t="str">
            <v>Avg. Specialty, ex Work Comp</v>
          </cell>
          <cell r="H116" t="str">
            <v>NE</v>
          </cell>
          <cell r="I116" t="str">
            <v>NE</v>
          </cell>
          <cell r="J116" t="str">
            <v>NE</v>
          </cell>
          <cell r="K116" t="str">
            <v>NE</v>
          </cell>
          <cell r="L116" t="str">
            <v>NE</v>
          </cell>
          <cell r="N116" t="str">
            <v xml:space="preserve">NA </v>
          </cell>
          <cell r="O116" t="str">
            <v xml:space="preserve">NA </v>
          </cell>
          <cell r="P116" t="str">
            <v xml:space="preserve">NA </v>
          </cell>
          <cell r="Q116" t="str">
            <v xml:space="preserve">NA </v>
          </cell>
          <cell r="R116" t="str">
            <v xml:space="preserve">NA </v>
          </cell>
          <cell r="T116">
            <v>2039.1499999999999</v>
          </cell>
          <cell r="U116">
            <v>2098</v>
          </cell>
          <cell r="V116">
            <v>2110.9</v>
          </cell>
          <cell r="W116">
            <v>2192.5500000000002</v>
          </cell>
          <cell r="X116">
            <v>2074</v>
          </cell>
          <cell r="Z116">
            <v>2283.1</v>
          </cell>
          <cell r="AA116">
            <v>2373.9499999999998</v>
          </cell>
          <cell r="AB116">
            <v>2420.2500000000005</v>
          </cell>
          <cell r="AC116">
            <v>2479.25</v>
          </cell>
          <cell r="AD116">
            <v>2364.3500000000004</v>
          </cell>
          <cell r="AF116">
            <v>2517.25</v>
          </cell>
          <cell r="AG116">
            <v>2505.9000000000005</v>
          </cell>
          <cell r="AH116">
            <v>2443.0000000000005</v>
          </cell>
          <cell r="AI116">
            <v>2369.6499999999996</v>
          </cell>
          <cell r="AJ116">
            <v>2458.9500000000003</v>
          </cell>
          <cell r="AL116" t="str">
            <v xml:space="preserve">NA </v>
          </cell>
          <cell r="AM116" t="str">
            <v xml:space="preserve">NA </v>
          </cell>
          <cell r="AN116" t="str">
            <v xml:space="preserve">NA </v>
          </cell>
          <cell r="AO116" t="str">
            <v xml:space="preserve">NA </v>
          </cell>
          <cell r="AP116" t="str">
            <v xml:space="preserve">NA </v>
          </cell>
          <cell r="AR116" t="str">
            <v xml:space="preserve">NA </v>
          </cell>
          <cell r="AS116" t="str">
            <v xml:space="preserve">NA </v>
          </cell>
          <cell r="AT116" t="str">
            <v xml:space="preserve">NA </v>
          </cell>
          <cell r="AU116" t="str">
            <v xml:space="preserve">NA </v>
          </cell>
          <cell r="AV116" t="str">
            <v xml:space="preserve">NA </v>
          </cell>
        </row>
        <row r="117">
          <cell r="A117" t="str">
            <v>enrollment</v>
          </cell>
          <cell r="D117" t="str">
            <v>Average Workers' Comp</v>
          </cell>
          <cell r="L117" t="str">
            <v xml:space="preserve">NA </v>
          </cell>
          <cell r="N117" t="str">
            <v xml:space="preserve">NA </v>
          </cell>
          <cell r="O117" t="str">
            <v xml:space="preserve">NA </v>
          </cell>
          <cell r="P117" t="str">
            <v xml:space="preserve">NA </v>
          </cell>
          <cell r="Q117" t="str">
            <v xml:space="preserve">NA </v>
          </cell>
          <cell r="R117" t="str">
            <v xml:space="preserve">NA </v>
          </cell>
          <cell r="T117">
            <v>505.05</v>
          </cell>
          <cell r="U117">
            <v>464.8</v>
          </cell>
          <cell r="V117">
            <v>426.9</v>
          </cell>
          <cell r="W117">
            <v>423</v>
          </cell>
          <cell r="X117">
            <v>462.95000000000005</v>
          </cell>
          <cell r="Z117">
            <v>419.5</v>
          </cell>
          <cell r="AA117">
            <v>430.79999999999995</v>
          </cell>
          <cell r="AB117">
            <v>443.6</v>
          </cell>
          <cell r="AC117">
            <v>446.45000000000005</v>
          </cell>
          <cell r="AD117">
            <v>432.95000000000005</v>
          </cell>
          <cell r="AF117">
            <v>453.45000000000005</v>
          </cell>
          <cell r="AG117">
            <v>229.95000000000002</v>
          </cell>
          <cell r="AH117">
            <v>5.0500000000000003E-2</v>
          </cell>
          <cell r="AI117">
            <v>5.0000000000000001E-4</v>
          </cell>
          <cell r="AJ117">
            <v>170.86275000000003</v>
          </cell>
          <cell r="AL117" t="str">
            <v xml:space="preserve">NA </v>
          </cell>
          <cell r="AM117" t="str">
            <v xml:space="preserve">NA </v>
          </cell>
          <cell r="AN117" t="str">
            <v xml:space="preserve">NA </v>
          </cell>
          <cell r="AO117" t="str">
            <v xml:space="preserve">NA </v>
          </cell>
          <cell r="AP117" t="str">
            <v xml:space="preserve">NA </v>
          </cell>
          <cell r="AR117" t="str">
            <v xml:space="preserve">NA </v>
          </cell>
          <cell r="AS117" t="str">
            <v xml:space="preserve">NA </v>
          </cell>
          <cell r="AT117" t="str">
            <v xml:space="preserve">NA </v>
          </cell>
          <cell r="AU117" t="str">
            <v xml:space="preserve">NA </v>
          </cell>
          <cell r="AV117" t="str">
            <v xml:space="preserve">NA </v>
          </cell>
        </row>
        <row r="118">
          <cell r="D118" t="str">
            <v>Average Specialty</v>
          </cell>
          <cell r="F118" t="str">
            <v>NE</v>
          </cell>
          <cell r="H118" t="str">
            <v>NE</v>
          </cell>
          <cell r="I118">
            <v>1837.55</v>
          </cell>
          <cell r="J118">
            <v>1879.85</v>
          </cell>
          <cell r="K118">
            <v>1401.3000000000002</v>
          </cell>
          <cell r="L118">
            <v>1383.35</v>
          </cell>
          <cell r="N118">
            <v>1540.3000000000002</v>
          </cell>
          <cell r="O118">
            <v>2150.6000000000004</v>
          </cell>
          <cell r="P118">
            <v>2242.75</v>
          </cell>
          <cell r="Q118">
            <v>2399.3999999999996</v>
          </cell>
          <cell r="R118">
            <v>1673.65</v>
          </cell>
          <cell r="T118">
            <v>2544.1999999999998</v>
          </cell>
          <cell r="U118">
            <v>2562.8000000000002</v>
          </cell>
          <cell r="V118">
            <v>2537.8000000000002</v>
          </cell>
          <cell r="W118">
            <v>2615.5500000000002</v>
          </cell>
          <cell r="X118">
            <v>2536.9499999999998</v>
          </cell>
          <cell r="Z118">
            <v>2702.6</v>
          </cell>
          <cell r="AA118">
            <v>2804.75</v>
          </cell>
          <cell r="AB118">
            <v>2863.8500000000004</v>
          </cell>
          <cell r="AC118">
            <v>2925.7</v>
          </cell>
          <cell r="AD118">
            <v>2797.3</v>
          </cell>
          <cell r="AF118">
            <v>2970.7000000000003</v>
          </cell>
          <cell r="AG118">
            <v>2735.8500000000004</v>
          </cell>
          <cell r="AH118">
            <v>2443.0505000000003</v>
          </cell>
          <cell r="AI118">
            <v>2369.6504999999997</v>
          </cell>
          <cell r="AJ118">
            <v>2629.8127500000001</v>
          </cell>
          <cell r="AL118">
            <v>2319.0499999999997</v>
          </cell>
          <cell r="AM118">
            <v>2267.0500000000002</v>
          </cell>
          <cell r="AN118">
            <v>2254.25</v>
          </cell>
          <cell r="AO118">
            <v>2264.8500000000004</v>
          </cell>
          <cell r="AP118">
            <v>2276.3000000000002</v>
          </cell>
          <cell r="AR118">
            <v>2274.4045358586764</v>
          </cell>
          <cell r="AS118">
            <v>2299.3956298270123</v>
          </cell>
          <cell r="AT118">
            <v>2324.7534392638263</v>
          </cell>
          <cell r="AU118">
            <v>2350.4833452954904</v>
          </cell>
          <cell r="AV118">
            <v>2312.2592375612512</v>
          </cell>
        </row>
        <row r="119">
          <cell r="D119" t="str">
            <v>Small Group Commercial</v>
          </cell>
          <cell r="F119" t="str">
            <v>NE</v>
          </cell>
          <cell r="H119" t="str">
            <v>NE</v>
          </cell>
          <cell r="I119" t="str">
            <v>NE</v>
          </cell>
          <cell r="J119" t="str">
            <v>NE</v>
          </cell>
          <cell r="K119" t="str">
            <v>NE</v>
          </cell>
          <cell r="L119" t="str">
            <v>NE</v>
          </cell>
          <cell r="N119" t="str">
            <v>NE</v>
          </cell>
          <cell r="O119" t="str">
            <v>NE</v>
          </cell>
          <cell r="P119" t="str">
            <v>NE</v>
          </cell>
          <cell r="Q119" t="str">
            <v>NE</v>
          </cell>
          <cell r="R119" t="str">
            <v>NE</v>
          </cell>
          <cell r="T119">
            <v>1668.7</v>
          </cell>
          <cell r="U119">
            <v>1688.7</v>
          </cell>
          <cell r="V119">
            <v>1690.9</v>
          </cell>
          <cell r="W119">
            <v>1696.7</v>
          </cell>
          <cell r="X119">
            <v>1492.35</v>
          </cell>
          <cell r="Z119">
            <v>1680.1</v>
          </cell>
          <cell r="AA119">
            <v>1681.8</v>
          </cell>
          <cell r="AB119">
            <v>1698</v>
          </cell>
          <cell r="AC119">
            <v>1679.2</v>
          </cell>
          <cell r="AD119">
            <v>1684.7</v>
          </cell>
          <cell r="AF119">
            <v>1608</v>
          </cell>
          <cell r="AG119">
            <v>1509.2</v>
          </cell>
          <cell r="AH119">
            <v>1406</v>
          </cell>
          <cell r="AI119">
            <v>1312</v>
          </cell>
          <cell r="AJ119">
            <v>1458.8</v>
          </cell>
          <cell r="AL119" t="str">
            <v xml:space="preserve">NA </v>
          </cell>
          <cell r="AM119" t="str">
            <v xml:space="preserve">NA </v>
          </cell>
          <cell r="AN119" t="str">
            <v xml:space="preserve">NA </v>
          </cell>
          <cell r="AO119" t="str">
            <v xml:space="preserve">NA </v>
          </cell>
          <cell r="AP119" t="str">
            <v xml:space="preserve">NA </v>
          </cell>
          <cell r="AR119" t="str">
            <v xml:space="preserve">NA </v>
          </cell>
          <cell r="AS119" t="str">
            <v xml:space="preserve">NA </v>
          </cell>
          <cell r="AT119" t="str">
            <v xml:space="preserve">NA </v>
          </cell>
          <cell r="AU119" t="str">
            <v xml:space="preserve">NA </v>
          </cell>
          <cell r="AV119" t="str">
            <v xml:space="preserve">NA </v>
          </cell>
        </row>
        <row r="120">
          <cell r="D120" t="str">
            <v>Large Group Commercial</v>
          </cell>
          <cell r="F120" t="str">
            <v>NE</v>
          </cell>
          <cell r="H120" t="str">
            <v>NE</v>
          </cell>
          <cell r="I120" t="str">
            <v>NE</v>
          </cell>
          <cell r="J120" t="str">
            <v>NE</v>
          </cell>
          <cell r="K120" t="str">
            <v>NE</v>
          </cell>
          <cell r="L120" t="str">
            <v>NE</v>
          </cell>
          <cell r="N120" t="str">
            <v>NE</v>
          </cell>
          <cell r="O120" t="str">
            <v>NE</v>
          </cell>
          <cell r="P120" t="str">
            <v>NE</v>
          </cell>
          <cell r="Q120" t="str">
            <v>NE</v>
          </cell>
          <cell r="R120" t="str">
            <v>NE</v>
          </cell>
          <cell r="T120">
            <v>1576.7</v>
          </cell>
          <cell r="U120">
            <v>1570.6</v>
          </cell>
          <cell r="V120">
            <v>1535.5</v>
          </cell>
          <cell r="W120">
            <v>1553.7</v>
          </cell>
          <cell r="X120">
            <v>1753.0500000000002</v>
          </cell>
          <cell r="Z120">
            <v>1506.3</v>
          </cell>
          <cell r="AA120">
            <v>1504.2</v>
          </cell>
          <cell r="AB120">
            <v>1437.7</v>
          </cell>
          <cell r="AC120">
            <v>1423.2</v>
          </cell>
          <cell r="AD120">
            <v>1465.3</v>
          </cell>
          <cell r="AF120">
            <v>1367.4</v>
          </cell>
          <cell r="AG120">
            <v>1386.5</v>
          </cell>
          <cell r="AH120">
            <v>1318.8</v>
          </cell>
          <cell r="AI120">
            <v>1259.9000000000001</v>
          </cell>
          <cell r="AJ120">
            <v>1333.15</v>
          </cell>
          <cell r="AL120" t="str">
            <v xml:space="preserve">NA </v>
          </cell>
          <cell r="AM120" t="str">
            <v xml:space="preserve">NA </v>
          </cell>
          <cell r="AN120" t="str">
            <v xml:space="preserve">NA </v>
          </cell>
          <cell r="AO120" t="str">
            <v xml:space="preserve">NA </v>
          </cell>
          <cell r="AP120" t="str">
            <v xml:space="preserve">NA </v>
          </cell>
          <cell r="AR120" t="str">
            <v xml:space="preserve">NA </v>
          </cell>
          <cell r="AS120" t="str">
            <v xml:space="preserve">NA </v>
          </cell>
          <cell r="AT120" t="str">
            <v xml:space="preserve">NA </v>
          </cell>
          <cell r="AU120" t="str">
            <v xml:space="preserve">NA </v>
          </cell>
          <cell r="AV120" t="str">
            <v xml:space="preserve">NA </v>
          </cell>
        </row>
        <row r="121">
          <cell r="A121" t="str">
            <v>Average medical</v>
          </cell>
          <cell r="D121" t="str">
            <v>Commercial</v>
          </cell>
          <cell r="F121" t="str">
            <v>NE</v>
          </cell>
          <cell r="H121">
            <v>2823.1000000000004</v>
          </cell>
          <cell r="I121">
            <v>2810.5</v>
          </cell>
          <cell r="J121">
            <v>2801.8</v>
          </cell>
          <cell r="K121">
            <v>2776.75</v>
          </cell>
          <cell r="L121">
            <v>2803.0375000000004</v>
          </cell>
          <cell r="N121">
            <v>2668.7</v>
          </cell>
          <cell r="O121">
            <v>2577.6999999999998</v>
          </cell>
          <cell r="P121">
            <v>2741.5</v>
          </cell>
          <cell r="Q121">
            <v>3252.4</v>
          </cell>
          <cell r="R121">
            <v>2790.8</v>
          </cell>
          <cell r="T121">
            <v>3245.4</v>
          </cell>
          <cell r="U121">
            <v>3259.3</v>
          </cell>
          <cell r="V121">
            <v>3226.4</v>
          </cell>
          <cell r="W121">
            <v>3250.4</v>
          </cell>
          <cell r="X121">
            <v>3245.4</v>
          </cell>
          <cell r="Z121">
            <v>3186.3999999999996</v>
          </cell>
          <cell r="AA121">
            <v>3186</v>
          </cell>
          <cell r="AB121">
            <v>3135.7</v>
          </cell>
          <cell r="AC121">
            <v>3102.4</v>
          </cell>
          <cell r="AD121">
            <v>3150</v>
          </cell>
          <cell r="AF121">
            <v>2975.4</v>
          </cell>
          <cell r="AG121">
            <v>2895.7</v>
          </cell>
          <cell r="AH121">
            <v>2724.8</v>
          </cell>
          <cell r="AI121">
            <v>2571.9</v>
          </cell>
          <cell r="AJ121">
            <v>2791.9500000000003</v>
          </cell>
          <cell r="AL121">
            <v>2411.6999999999998</v>
          </cell>
          <cell r="AM121">
            <v>2356.1999999999998</v>
          </cell>
          <cell r="AN121">
            <v>2318.8000000000002</v>
          </cell>
          <cell r="AO121">
            <v>2307.4</v>
          </cell>
          <cell r="AP121">
            <v>2348.5250000000001</v>
          </cell>
          <cell r="AR121">
            <v>2322.9666666666667</v>
          </cell>
          <cell r="AS121">
            <v>2323.8368008765774</v>
          </cell>
          <cell r="AT121">
            <v>2325.5777211641634</v>
          </cell>
          <cell r="AU121">
            <v>2327.3199456756288</v>
          </cell>
          <cell r="AV121">
            <v>2324.9252835957591</v>
          </cell>
        </row>
        <row r="122">
          <cell r="A122" t="str">
            <v>enrollment</v>
          </cell>
          <cell r="D122" t="str">
            <v>Medicare Risk</v>
          </cell>
          <cell r="F122" t="str">
            <v>NE</v>
          </cell>
          <cell r="H122">
            <v>316.35000000000002</v>
          </cell>
          <cell r="I122">
            <v>327.60000000000002</v>
          </cell>
          <cell r="J122">
            <v>340.15</v>
          </cell>
          <cell r="K122">
            <v>355.95</v>
          </cell>
          <cell r="L122" t="str">
            <v>NE</v>
          </cell>
          <cell r="N122">
            <v>369.35</v>
          </cell>
          <cell r="O122">
            <v>381.9</v>
          </cell>
          <cell r="P122">
            <v>419.7</v>
          </cell>
          <cell r="Q122">
            <v>474.7</v>
          </cell>
          <cell r="R122">
            <v>412</v>
          </cell>
          <cell r="T122">
            <v>491.4</v>
          </cell>
          <cell r="U122">
            <v>499.5</v>
          </cell>
          <cell r="V122">
            <v>501.4</v>
          </cell>
          <cell r="W122">
            <v>502.5</v>
          </cell>
          <cell r="X122">
            <v>498.7</v>
          </cell>
          <cell r="Z122">
            <v>479.6</v>
          </cell>
          <cell r="AA122">
            <v>483.2</v>
          </cell>
          <cell r="AB122">
            <v>486.5</v>
          </cell>
          <cell r="AC122">
            <v>481.7</v>
          </cell>
          <cell r="AD122">
            <v>482.8</v>
          </cell>
          <cell r="AF122">
            <v>497.8</v>
          </cell>
          <cell r="AG122">
            <v>522.79999999999995</v>
          </cell>
          <cell r="AH122">
            <v>517.29999999999995</v>
          </cell>
          <cell r="AI122">
            <v>500.3</v>
          </cell>
          <cell r="AJ122">
            <v>509.54999999999995</v>
          </cell>
          <cell r="AL122">
            <v>431.2</v>
          </cell>
          <cell r="AM122">
            <v>422</v>
          </cell>
          <cell r="AN122">
            <v>408.8</v>
          </cell>
          <cell r="AO122">
            <v>397.1</v>
          </cell>
          <cell r="AP122">
            <v>414.77499999999998</v>
          </cell>
          <cell r="AR122">
            <v>365</v>
          </cell>
          <cell r="AS122">
            <v>364.54202901289682</v>
          </cell>
          <cell r="AT122">
            <v>363.62723628485497</v>
          </cell>
          <cell r="AU122">
            <v>362.71473916518931</v>
          </cell>
          <cell r="AV122">
            <v>363.97100111573525</v>
          </cell>
        </row>
        <row r="123">
          <cell r="D123" t="str">
            <v>TRICARE (a)</v>
          </cell>
          <cell r="F123" t="str">
            <v>NE</v>
          </cell>
          <cell r="H123">
            <v>0</v>
          </cell>
          <cell r="I123">
            <v>0</v>
          </cell>
          <cell r="J123">
            <v>537.65</v>
          </cell>
          <cell r="K123">
            <v>1089.1500000000001</v>
          </cell>
          <cell r="L123" t="str">
            <v>NE</v>
          </cell>
          <cell r="N123">
            <v>1103.05</v>
          </cell>
          <cell r="O123">
            <v>1105.1999999999998</v>
          </cell>
          <cell r="P123">
            <v>1107.3</v>
          </cell>
          <cell r="Q123">
            <v>1110.7</v>
          </cell>
          <cell r="R123">
            <v>1107.3</v>
          </cell>
          <cell r="T123">
            <v>1108.9000000000001</v>
          </cell>
          <cell r="U123">
            <v>1098.7</v>
          </cell>
          <cell r="V123">
            <v>1092</v>
          </cell>
          <cell r="W123">
            <v>1088.9000000000001</v>
          </cell>
          <cell r="X123">
            <v>1097.0999999999999</v>
          </cell>
          <cell r="Z123">
            <v>1085.8</v>
          </cell>
          <cell r="AA123">
            <v>1069.7</v>
          </cell>
          <cell r="AB123">
            <v>1065.3</v>
          </cell>
          <cell r="AC123">
            <v>1057.3</v>
          </cell>
          <cell r="AD123">
            <v>1069.5</v>
          </cell>
          <cell r="AF123">
            <v>1059.2</v>
          </cell>
          <cell r="AG123">
            <v>1051.7</v>
          </cell>
          <cell r="AH123">
            <v>1063.2</v>
          </cell>
          <cell r="AI123">
            <v>1070.3</v>
          </cell>
          <cell r="AJ123">
            <v>1061.1000000000001</v>
          </cell>
          <cell r="AL123">
            <v>1070.7</v>
          </cell>
          <cell r="AM123">
            <v>1509.5</v>
          </cell>
          <cell r="AN123">
            <v>1714.4</v>
          </cell>
          <cell r="AO123">
            <v>1714.6</v>
          </cell>
          <cell r="AP123">
            <v>1502.3000000000002</v>
          </cell>
          <cell r="AR123">
            <v>1714.6</v>
          </cell>
          <cell r="AS123">
            <v>1714.6</v>
          </cell>
          <cell r="AT123">
            <v>1714.6</v>
          </cell>
          <cell r="AU123">
            <v>1714.6</v>
          </cell>
          <cell r="AV123">
            <v>1714.6</v>
          </cell>
        </row>
        <row r="124">
          <cell r="D124" t="str">
            <v>Medicaid</v>
          </cell>
          <cell r="F124" t="str">
            <v>NE</v>
          </cell>
          <cell r="H124">
            <v>50.3</v>
          </cell>
          <cell r="I124">
            <v>51.900000000000006</v>
          </cell>
          <cell r="J124">
            <v>52.35</v>
          </cell>
          <cell r="K124">
            <v>53.85</v>
          </cell>
          <cell r="L124" t="str">
            <v>NE</v>
          </cell>
          <cell r="N124">
            <v>54.2</v>
          </cell>
          <cell r="O124">
            <v>52.1</v>
          </cell>
          <cell r="P124">
            <v>242</v>
          </cell>
          <cell r="Q124">
            <v>637.5</v>
          </cell>
          <cell r="R124">
            <v>246.4</v>
          </cell>
          <cell r="T124">
            <v>632</v>
          </cell>
          <cell r="U124">
            <v>629.5</v>
          </cell>
          <cell r="V124">
            <v>635.29999999999995</v>
          </cell>
          <cell r="W124">
            <v>643.4</v>
          </cell>
          <cell r="X124">
            <v>635.1</v>
          </cell>
          <cell r="Z124">
            <v>646.9</v>
          </cell>
          <cell r="AA124">
            <v>653.29999999999995</v>
          </cell>
          <cell r="AB124">
            <v>651.79999999999995</v>
          </cell>
          <cell r="AC124">
            <v>637.5</v>
          </cell>
          <cell r="AD124">
            <v>647.4</v>
          </cell>
          <cell r="AF124">
            <v>634.1</v>
          </cell>
          <cell r="AG124">
            <v>667.6</v>
          </cell>
          <cell r="AH124">
            <v>585.1</v>
          </cell>
          <cell r="AI124">
            <v>578.20000000000005</v>
          </cell>
          <cell r="AJ124">
            <v>616.25</v>
          </cell>
          <cell r="AL124">
            <v>520.9</v>
          </cell>
          <cell r="AM124">
            <v>489.9</v>
          </cell>
          <cell r="AN124">
            <v>464.9</v>
          </cell>
          <cell r="AO124">
            <v>327.60000000000002</v>
          </cell>
          <cell r="AP124">
            <v>450.82499999999993</v>
          </cell>
          <cell r="AR124">
            <v>491.41235303108812</v>
          </cell>
          <cell r="AS124">
            <v>491.71891155176121</v>
          </cell>
          <cell r="AT124">
            <v>492.33241107485014</v>
          </cell>
          <cell r="AU124">
            <v>492.94667603863292</v>
          </cell>
          <cell r="AV124">
            <v>492.10258792408308</v>
          </cell>
        </row>
        <row r="125">
          <cell r="D125" t="str">
            <v>Medicare supplement</v>
          </cell>
          <cell r="F125" t="str">
            <v>NE</v>
          </cell>
          <cell r="H125">
            <v>112.3</v>
          </cell>
          <cell r="I125">
            <v>107.8</v>
          </cell>
          <cell r="J125">
            <v>103.9</v>
          </cell>
          <cell r="K125">
            <v>99.75</v>
          </cell>
          <cell r="L125" t="str">
            <v>NE</v>
          </cell>
          <cell r="N125">
            <v>95.6</v>
          </cell>
          <cell r="O125">
            <v>84.05</v>
          </cell>
          <cell r="P125">
            <v>72.2</v>
          </cell>
          <cell r="Q125">
            <v>69.7</v>
          </cell>
          <cell r="R125">
            <v>78.099999999999994</v>
          </cell>
          <cell r="T125">
            <v>66.8</v>
          </cell>
          <cell r="U125">
            <v>62.7</v>
          </cell>
          <cell r="V125">
            <v>59.4</v>
          </cell>
          <cell r="W125">
            <v>57.2</v>
          </cell>
          <cell r="X125">
            <v>61.5</v>
          </cell>
          <cell r="Z125">
            <v>53.8</v>
          </cell>
          <cell r="AA125">
            <v>50.1</v>
          </cell>
          <cell r="AB125">
            <v>46.9</v>
          </cell>
          <cell r="AC125">
            <v>45</v>
          </cell>
          <cell r="AD125">
            <v>48.9</v>
          </cell>
          <cell r="AF125">
            <v>42.1</v>
          </cell>
          <cell r="AG125">
            <v>39.700000000000003</v>
          </cell>
          <cell r="AH125">
            <v>1E-4</v>
          </cell>
          <cell r="AI125">
            <v>0</v>
          </cell>
          <cell r="AJ125">
            <v>20.450025000000004</v>
          </cell>
          <cell r="AL125">
            <v>0</v>
          </cell>
          <cell r="AM125">
            <v>0</v>
          </cell>
          <cell r="AN125">
            <v>0</v>
          </cell>
          <cell r="AO125">
            <v>0</v>
          </cell>
          <cell r="AP125">
            <v>0</v>
          </cell>
          <cell r="AR125">
            <v>0</v>
          </cell>
          <cell r="AS125">
            <v>0</v>
          </cell>
          <cell r="AT125">
            <v>0</v>
          </cell>
          <cell r="AU125">
            <v>0</v>
          </cell>
          <cell r="AV125">
            <v>0</v>
          </cell>
        </row>
        <row r="126">
          <cell r="D126" t="str">
            <v xml:space="preserve">Medical Insured </v>
          </cell>
          <cell r="F126" t="str">
            <v>NE</v>
          </cell>
          <cell r="H126">
            <v>3302.05</v>
          </cell>
          <cell r="I126">
            <v>3297.8</v>
          </cell>
          <cell r="J126">
            <v>3835.8500000000004</v>
          </cell>
          <cell r="K126">
            <v>4375.4500000000007</v>
          </cell>
          <cell r="L126" t="str">
            <v>NE</v>
          </cell>
          <cell r="N126">
            <v>4290.8999999999996</v>
          </cell>
          <cell r="O126">
            <v>4200.9500000000007</v>
          </cell>
          <cell r="P126">
            <v>4582.7</v>
          </cell>
          <cell r="Q126">
            <v>5545</v>
          </cell>
          <cell r="R126">
            <v>4634.6000000000004</v>
          </cell>
          <cell r="T126">
            <v>5544.5000000000009</v>
          </cell>
          <cell r="U126">
            <v>5549.7</v>
          </cell>
          <cell r="V126">
            <v>5514.5</v>
          </cell>
          <cell r="W126">
            <v>5542.4</v>
          </cell>
          <cell r="X126">
            <v>5537.8</v>
          </cell>
          <cell r="Z126">
            <v>5452.4999999999991</v>
          </cell>
          <cell r="AA126">
            <v>5442.3</v>
          </cell>
          <cell r="AB126">
            <v>5386.2</v>
          </cell>
          <cell r="AC126">
            <v>5323.9</v>
          </cell>
          <cell r="AD126">
            <v>5398.5999999999995</v>
          </cell>
          <cell r="AF126">
            <v>5208.6000000000013</v>
          </cell>
          <cell r="AG126">
            <v>5177.5</v>
          </cell>
          <cell r="AH126">
            <v>4964.9500005</v>
          </cell>
          <cell r="AI126">
            <v>4743.1000004999996</v>
          </cell>
          <cell r="AJ126">
            <v>5023.5375002500004</v>
          </cell>
          <cell r="AL126">
            <v>4434.4999999999991</v>
          </cell>
          <cell r="AM126">
            <v>4777.5999999999995</v>
          </cell>
          <cell r="AN126">
            <v>4906.8999999999996</v>
          </cell>
          <cell r="AO126">
            <v>4746.7000000000007</v>
          </cell>
          <cell r="AP126">
            <v>4716.4249999999993</v>
          </cell>
          <cell r="AR126">
            <v>4893.9790196977547</v>
          </cell>
          <cell r="AS126">
            <v>4894.6977414412358</v>
          </cell>
          <cell r="AT126">
            <v>4896.1373685238677</v>
          </cell>
          <cell r="AU126">
            <v>4897.5813608794506</v>
          </cell>
          <cell r="AV126">
            <v>4895.5988726355772</v>
          </cell>
        </row>
        <row r="127">
          <cell r="D127" t="str">
            <v>ASO</v>
          </cell>
          <cell r="F127" t="str">
            <v>NE</v>
          </cell>
          <cell r="H127">
            <v>469.9</v>
          </cell>
          <cell r="I127">
            <v>446.29999999999995</v>
          </cell>
          <cell r="J127">
            <v>453.1</v>
          </cell>
          <cell r="K127">
            <v>464.65</v>
          </cell>
          <cell r="L127" t="str">
            <v>NE</v>
          </cell>
          <cell r="N127">
            <v>518.65</v>
          </cell>
          <cell r="O127">
            <v>560.65</v>
          </cell>
          <cell r="P127">
            <v>570.5</v>
          </cell>
          <cell r="Q127">
            <v>643.70000000000005</v>
          </cell>
          <cell r="R127">
            <v>581.4</v>
          </cell>
          <cell r="T127">
            <v>678.4</v>
          </cell>
          <cell r="U127">
            <v>691.3</v>
          </cell>
          <cell r="V127">
            <v>687.6</v>
          </cell>
          <cell r="W127">
            <v>661</v>
          </cell>
          <cell r="X127">
            <v>679.6</v>
          </cell>
          <cell r="Z127">
            <v>611</v>
          </cell>
          <cell r="AA127">
            <v>628.9</v>
          </cell>
          <cell r="AB127">
            <v>639.79999999999995</v>
          </cell>
          <cell r="AC127">
            <v>646.29999999999995</v>
          </cell>
          <cell r="AD127">
            <v>631.5</v>
          </cell>
          <cell r="AF127">
            <v>650.6</v>
          </cell>
          <cell r="AG127">
            <v>656.9</v>
          </cell>
          <cell r="AH127">
            <v>661.6</v>
          </cell>
          <cell r="AI127">
            <v>624.79999999999995</v>
          </cell>
          <cell r="AJ127">
            <v>648.47499999999991</v>
          </cell>
          <cell r="AL127">
            <v>550.20000000000005</v>
          </cell>
          <cell r="AM127">
            <v>546</v>
          </cell>
          <cell r="AN127">
            <v>569.70000000000005</v>
          </cell>
          <cell r="AO127">
            <v>588.4</v>
          </cell>
          <cell r="AP127">
            <v>563.57500000000005</v>
          </cell>
          <cell r="AR127">
            <v>635.83333333333337</v>
          </cell>
          <cell r="AS127">
            <v>638.19134406933767</v>
          </cell>
          <cell r="AT127">
            <v>642.92485507622769</v>
          </cell>
          <cell r="AU127">
            <v>647.6934748740166</v>
          </cell>
          <cell r="AV127">
            <v>641.16075183822886</v>
          </cell>
        </row>
        <row r="128">
          <cell r="D128" t="str">
            <v>TRICARE ASO</v>
          </cell>
          <cell r="F128" t="str">
            <v xml:space="preserve">NA </v>
          </cell>
          <cell r="H128" t="str">
            <v xml:space="preserve">NA </v>
          </cell>
          <cell r="I128" t="str">
            <v xml:space="preserve">NA </v>
          </cell>
          <cell r="J128" t="str">
            <v xml:space="preserve">NA </v>
          </cell>
          <cell r="K128" t="str">
            <v xml:space="preserve">NA </v>
          </cell>
          <cell r="L128" t="str">
            <v xml:space="preserve">NA </v>
          </cell>
          <cell r="N128" t="str">
            <v xml:space="preserve">NA </v>
          </cell>
          <cell r="O128" t="str">
            <v xml:space="preserve">NA </v>
          </cell>
          <cell r="P128" t="str">
            <v xml:space="preserve">NA </v>
          </cell>
          <cell r="Q128" t="str">
            <v xml:space="preserve">NA </v>
          </cell>
          <cell r="R128" t="str">
            <v xml:space="preserve">NA </v>
          </cell>
          <cell r="T128" t="str">
            <v xml:space="preserve">NA </v>
          </cell>
          <cell r="U128" t="str">
            <v xml:space="preserve">NA </v>
          </cell>
          <cell r="V128" t="str">
            <v xml:space="preserve">NA </v>
          </cell>
          <cell r="W128" t="str">
            <v xml:space="preserve">NA </v>
          </cell>
          <cell r="X128" t="str">
            <v xml:space="preserve">NA </v>
          </cell>
          <cell r="Z128" t="str">
            <v xml:space="preserve">NA </v>
          </cell>
          <cell r="AA128" t="str">
            <v xml:space="preserve">NA </v>
          </cell>
          <cell r="AB128" t="str">
            <v xml:space="preserve">NA </v>
          </cell>
          <cell r="AC128" t="str">
            <v xml:space="preserve">NA </v>
          </cell>
          <cell r="AD128" t="str">
            <v xml:space="preserve">NA </v>
          </cell>
          <cell r="AF128" t="str">
            <v xml:space="preserve">NA </v>
          </cell>
          <cell r="AG128" t="str">
            <v xml:space="preserve">NA </v>
          </cell>
          <cell r="AH128" t="str">
            <v xml:space="preserve">NA </v>
          </cell>
          <cell r="AI128" t="str">
            <v xml:space="preserve">NA </v>
          </cell>
          <cell r="AJ128" t="str">
            <v xml:space="preserve">NA </v>
          </cell>
          <cell r="AL128" t="str">
            <v xml:space="preserve">NA </v>
          </cell>
          <cell r="AM128">
            <v>742.1</v>
          </cell>
          <cell r="AN128">
            <v>940.5</v>
          </cell>
          <cell r="AO128">
            <v>942.7</v>
          </cell>
          <cell r="AP128">
            <v>875.1</v>
          </cell>
          <cell r="AR128">
            <v>945.04796338961057</v>
          </cell>
          <cell r="AS128">
            <v>946.22486909633847</v>
          </cell>
          <cell r="AT128">
            <v>948.58161180449292</v>
          </cell>
          <cell r="AU128">
            <v>950.94422440295978</v>
          </cell>
          <cell r="AV128">
            <v>947.69966717335046</v>
          </cell>
        </row>
        <row r="129">
          <cell r="D129" t="str">
            <v>Total ex - Small Group</v>
          </cell>
          <cell r="F129" t="str">
            <v>NE</v>
          </cell>
          <cell r="H129" t="str">
            <v>NE</v>
          </cell>
          <cell r="I129" t="str">
            <v>NE</v>
          </cell>
          <cell r="J129" t="str">
            <v>NE</v>
          </cell>
          <cell r="K129" t="str">
            <v>NE</v>
          </cell>
          <cell r="L129" t="str">
            <v>NE</v>
          </cell>
          <cell r="N129" t="str">
            <v>NE</v>
          </cell>
          <cell r="O129" t="str">
            <v>NE</v>
          </cell>
          <cell r="P129" t="str">
            <v>NE</v>
          </cell>
          <cell r="Q129" t="str">
            <v>NE</v>
          </cell>
          <cell r="R129" t="str">
            <v>NE</v>
          </cell>
          <cell r="T129">
            <v>4554.2</v>
          </cell>
          <cell r="U129">
            <v>4552.3</v>
          </cell>
          <cell r="V129">
            <v>4511.2</v>
          </cell>
          <cell r="W129">
            <v>4506.7</v>
          </cell>
          <cell r="X129">
            <v>4725.05</v>
          </cell>
          <cell r="Z129">
            <v>4383.3999999999996</v>
          </cell>
          <cell r="AA129">
            <v>4389.4000000000005</v>
          </cell>
          <cell r="AB129">
            <v>4328</v>
          </cell>
          <cell r="AC129">
            <v>4291</v>
          </cell>
          <cell r="AD129">
            <v>4345.3999999999996</v>
          </cell>
          <cell r="AF129">
            <v>4251.2</v>
          </cell>
          <cell r="AG129">
            <v>4325.2</v>
          </cell>
          <cell r="AH129">
            <v>4146.0001000000002</v>
          </cell>
          <cell r="AI129">
            <v>4033.5</v>
          </cell>
          <cell r="AJ129">
            <v>4188.9750249999997</v>
          </cell>
          <cell r="AL129" t="str">
            <v xml:space="preserve">NA </v>
          </cell>
          <cell r="AM129" t="str">
            <v xml:space="preserve">NA </v>
          </cell>
          <cell r="AN129" t="str">
            <v xml:space="preserve">NA </v>
          </cell>
          <cell r="AO129" t="str">
            <v xml:space="preserve">NA </v>
          </cell>
          <cell r="AP129" t="str">
            <v xml:space="preserve">NA </v>
          </cell>
          <cell r="AR129" t="str">
            <v xml:space="preserve">NA </v>
          </cell>
          <cell r="AS129" t="str">
            <v xml:space="preserve">NA </v>
          </cell>
          <cell r="AT129" t="str">
            <v xml:space="preserve">NA </v>
          </cell>
          <cell r="AU129" t="str">
            <v xml:space="preserve">NA </v>
          </cell>
          <cell r="AV129" t="str">
            <v xml:space="preserve">NA </v>
          </cell>
        </row>
        <row r="130">
          <cell r="D130" t="str">
            <v>Total Medical Members</v>
          </cell>
          <cell r="F130" t="str">
            <v>NE</v>
          </cell>
          <cell r="H130">
            <v>3771.95</v>
          </cell>
          <cell r="I130">
            <v>3744.1</v>
          </cell>
          <cell r="J130">
            <v>4288.9500000000007</v>
          </cell>
          <cell r="K130">
            <v>4840.1000000000004</v>
          </cell>
          <cell r="L130" t="str">
            <v>NE</v>
          </cell>
          <cell r="N130">
            <v>4809.55</v>
          </cell>
          <cell r="O130">
            <v>4761.6000000000004</v>
          </cell>
          <cell r="P130">
            <v>5153.2</v>
          </cell>
          <cell r="Q130">
            <v>6188.7</v>
          </cell>
          <cell r="R130">
            <v>5216</v>
          </cell>
          <cell r="T130">
            <v>6222.9</v>
          </cell>
          <cell r="U130">
            <v>6241</v>
          </cell>
          <cell r="V130">
            <v>6202.1</v>
          </cell>
          <cell r="W130">
            <v>6203.4</v>
          </cell>
          <cell r="X130">
            <v>6217.4000000000005</v>
          </cell>
          <cell r="Z130">
            <v>6063.4999999999991</v>
          </cell>
          <cell r="AA130">
            <v>6071.2</v>
          </cell>
          <cell r="AB130">
            <v>6026</v>
          </cell>
          <cell r="AC130">
            <v>5970.2</v>
          </cell>
          <cell r="AD130">
            <v>6030.0999999999995</v>
          </cell>
          <cell r="AF130">
            <v>5859.2000000000016</v>
          </cell>
          <cell r="AG130">
            <v>5834.4</v>
          </cell>
          <cell r="AH130">
            <v>5626.5500005000004</v>
          </cell>
          <cell r="AI130">
            <v>5367.9000004999998</v>
          </cell>
          <cell r="AJ130">
            <v>5672.0125002500008</v>
          </cell>
          <cell r="AL130">
            <v>4984.6999999999989</v>
          </cell>
          <cell r="AM130">
            <v>6065.7</v>
          </cell>
          <cell r="AN130">
            <v>6417.0999999999995</v>
          </cell>
          <cell r="AO130">
            <v>6277.8</v>
          </cell>
          <cell r="AP130">
            <v>6155.0999999999995</v>
          </cell>
          <cell r="AR130">
            <v>6474.8603164206979</v>
          </cell>
          <cell r="AS130">
            <v>6479.1139546069126</v>
          </cell>
          <cell r="AT130">
            <v>6487.6438354045886</v>
          </cell>
          <cell r="AU130">
            <v>6496.2190601564271</v>
          </cell>
          <cell r="AV130">
            <v>6484.4592916471565</v>
          </cell>
        </row>
        <row r="345">
          <cell r="A345" t="str">
            <v>Humana Inc. — Balance Sheet</v>
          </cell>
        </row>
        <row r="346">
          <cell r="A346" t="str">
            <v>($ millions)</v>
          </cell>
        </row>
        <row r="347">
          <cell r="H347">
            <v>1996</v>
          </cell>
          <cell r="N347">
            <v>1997</v>
          </cell>
          <cell r="T347">
            <v>1998</v>
          </cell>
          <cell r="Z347">
            <v>1999</v>
          </cell>
          <cell r="AF347">
            <v>2000</v>
          </cell>
          <cell r="AL347">
            <v>2001</v>
          </cell>
          <cell r="AR347" t="str">
            <v>2002E</v>
          </cell>
        </row>
        <row r="348">
          <cell r="F348">
            <v>1995</v>
          </cell>
          <cell r="H348" t="str">
            <v xml:space="preserve">Q1 </v>
          </cell>
          <cell r="I348" t="str">
            <v xml:space="preserve">Q2 </v>
          </cell>
          <cell r="J348" t="str">
            <v xml:space="preserve">Q3 </v>
          </cell>
          <cell r="K348" t="str">
            <v xml:space="preserve">Q4 </v>
          </cell>
          <cell r="L348" t="str">
            <v xml:space="preserve">1996   </v>
          </cell>
          <cell r="N348" t="str">
            <v xml:space="preserve">Q1 </v>
          </cell>
          <cell r="O348" t="str">
            <v xml:space="preserve">Q2 </v>
          </cell>
          <cell r="P348" t="str">
            <v xml:space="preserve">Q3 </v>
          </cell>
          <cell r="Q348" t="str">
            <v xml:space="preserve">Q4 </v>
          </cell>
          <cell r="R348" t="str">
            <v xml:space="preserve">1997   </v>
          </cell>
          <cell r="T348" t="str">
            <v xml:space="preserve">Q1   </v>
          </cell>
          <cell r="U348" t="str">
            <v xml:space="preserve">Q2   </v>
          </cell>
          <cell r="V348" t="str">
            <v xml:space="preserve">Q3   </v>
          </cell>
          <cell r="W348" t="str">
            <v xml:space="preserve">Q4   </v>
          </cell>
          <cell r="X348" t="str">
            <v xml:space="preserve">1998   </v>
          </cell>
          <cell r="Z348" t="str">
            <v xml:space="preserve">Q1   </v>
          </cell>
          <cell r="AA348" t="str">
            <v xml:space="preserve">Q2   </v>
          </cell>
          <cell r="AB348" t="str">
            <v xml:space="preserve">Q3   </v>
          </cell>
          <cell r="AC348" t="str">
            <v xml:space="preserve">Q4   </v>
          </cell>
          <cell r="AD348" t="str">
            <v xml:space="preserve">1999   </v>
          </cell>
          <cell r="AF348" t="str">
            <v xml:space="preserve">Q1(a)   </v>
          </cell>
          <cell r="AG348" t="str">
            <v xml:space="preserve">Q2   </v>
          </cell>
          <cell r="AH348" t="str">
            <v xml:space="preserve">Q3   </v>
          </cell>
          <cell r="AI348" t="str">
            <v xml:space="preserve">Q4(b)   </v>
          </cell>
          <cell r="AJ348">
            <v>2000</v>
          </cell>
          <cell r="AL348" t="str">
            <v>Q1(c)</v>
          </cell>
          <cell r="AM348" t="str">
            <v>Q2(c)</v>
          </cell>
          <cell r="AN348" t="str">
            <v>Q3(d)</v>
          </cell>
          <cell r="AO348" t="str">
            <v xml:space="preserve">Q4   </v>
          </cell>
          <cell r="AP348">
            <v>2001</v>
          </cell>
          <cell r="AR348" t="str">
            <v xml:space="preserve">Q1 </v>
          </cell>
          <cell r="AS348" t="str">
            <v xml:space="preserve">Q2 </v>
          </cell>
          <cell r="AT348" t="str">
            <v xml:space="preserve">Q3 </v>
          </cell>
          <cell r="AU348" t="str">
            <v xml:space="preserve">Q4 </v>
          </cell>
          <cell r="AV348" t="str">
            <v xml:space="preserve">2002E  </v>
          </cell>
        </row>
        <row r="349">
          <cell r="A349" t="str">
            <v>Assets</v>
          </cell>
          <cell r="D349" t="str">
            <v>Cash and cash equivalents</v>
          </cell>
          <cell r="F349">
            <v>182</v>
          </cell>
          <cell r="H349">
            <v>279</v>
          </cell>
          <cell r="I349">
            <v>194</v>
          </cell>
          <cell r="J349">
            <v>276</v>
          </cell>
          <cell r="K349">
            <v>475</v>
          </cell>
          <cell r="L349">
            <v>475</v>
          </cell>
          <cell r="N349">
            <v>341</v>
          </cell>
          <cell r="O349">
            <v>55</v>
          </cell>
          <cell r="P349">
            <v>156</v>
          </cell>
          <cell r="Q349">
            <v>779</v>
          </cell>
          <cell r="R349">
            <v>779</v>
          </cell>
          <cell r="T349">
            <v>556</v>
          </cell>
          <cell r="U349">
            <v>492</v>
          </cell>
          <cell r="V349">
            <v>478</v>
          </cell>
          <cell r="W349">
            <v>913</v>
          </cell>
          <cell r="X349">
            <v>913</v>
          </cell>
          <cell r="Z349">
            <v>636</v>
          </cell>
          <cell r="AA349">
            <v>542</v>
          </cell>
          <cell r="AB349">
            <v>482</v>
          </cell>
          <cell r="AC349">
            <v>978</v>
          </cell>
          <cell r="AD349">
            <v>978</v>
          </cell>
          <cell r="AF349">
            <v>897</v>
          </cell>
          <cell r="AG349">
            <v>789</v>
          </cell>
          <cell r="AH349">
            <v>364</v>
          </cell>
          <cell r="AI349">
            <v>658</v>
          </cell>
          <cell r="AJ349">
            <v>658</v>
          </cell>
          <cell r="AL349">
            <v>570</v>
          </cell>
          <cell r="AM349">
            <v>603</v>
          </cell>
          <cell r="AN349">
            <v>592</v>
          </cell>
          <cell r="AO349">
            <v>651.41999999999996</v>
          </cell>
          <cell r="AP349">
            <v>651.41999999999996</v>
          </cell>
          <cell r="AR349">
            <v>520.37444735421775</v>
          </cell>
          <cell r="AS349">
            <v>541.90875770237119</v>
          </cell>
          <cell r="AT349">
            <v>553.68155327431862</v>
          </cell>
          <cell r="AU349">
            <v>625.75280463956938</v>
          </cell>
          <cell r="AV349">
            <v>625.75280463956938</v>
          </cell>
        </row>
        <row r="350">
          <cell r="D350" t="str">
            <v>Investment securities, mkt</v>
          </cell>
          <cell r="F350">
            <v>1156</v>
          </cell>
          <cell r="H350">
            <v>1186</v>
          </cell>
          <cell r="I350">
            <v>1209</v>
          </cell>
          <cell r="J350">
            <v>1237</v>
          </cell>
          <cell r="K350">
            <v>1262</v>
          </cell>
          <cell r="L350">
            <v>1262</v>
          </cell>
          <cell r="N350">
            <v>1226</v>
          </cell>
          <cell r="O350">
            <v>1261</v>
          </cell>
          <cell r="P350">
            <v>1559</v>
          </cell>
          <cell r="Q350">
            <v>1507</v>
          </cell>
          <cell r="R350">
            <v>1507</v>
          </cell>
          <cell r="T350">
            <v>1427</v>
          </cell>
          <cell r="U350">
            <v>1493</v>
          </cell>
          <cell r="V350">
            <v>1563</v>
          </cell>
          <cell r="W350">
            <v>1594</v>
          </cell>
          <cell r="X350">
            <v>1594</v>
          </cell>
          <cell r="Z350">
            <v>1555</v>
          </cell>
          <cell r="AA350">
            <v>1504</v>
          </cell>
          <cell r="AB350">
            <v>1530</v>
          </cell>
          <cell r="AC350">
            <v>1507</v>
          </cell>
          <cell r="AD350">
            <v>1507</v>
          </cell>
          <cell r="AF350">
            <v>1336</v>
          </cell>
          <cell r="AG350">
            <v>1362</v>
          </cell>
          <cell r="AH350">
            <v>1463</v>
          </cell>
          <cell r="AI350">
            <v>1409</v>
          </cell>
          <cell r="AJ350">
            <v>1409</v>
          </cell>
          <cell r="AL350">
            <v>1398</v>
          </cell>
          <cell r="AM350">
            <v>1380</v>
          </cell>
          <cell r="AN350">
            <v>1392</v>
          </cell>
          <cell r="AO350">
            <v>1389.596</v>
          </cell>
          <cell r="AP350">
            <v>1389.596</v>
          </cell>
          <cell r="AR350">
            <v>1427.6797206400427</v>
          </cell>
          <cell r="AS350">
            <v>1438.9609728741161</v>
          </cell>
          <cell r="AT350">
            <v>1467.9309874966939</v>
          </cell>
          <cell r="AU350">
            <v>1500.1474632602331</v>
          </cell>
          <cell r="AV350">
            <v>1500.1474632602331</v>
          </cell>
        </row>
        <row r="351">
          <cell r="D351" t="str">
            <v>Receivables, net</v>
          </cell>
          <cell r="F351">
            <v>131</v>
          </cell>
          <cell r="H351">
            <v>135</v>
          </cell>
          <cell r="I351">
            <v>141</v>
          </cell>
          <cell r="J351">
            <v>190</v>
          </cell>
          <cell r="K351">
            <v>211</v>
          </cell>
          <cell r="L351">
            <v>211</v>
          </cell>
          <cell r="N351">
            <v>209</v>
          </cell>
          <cell r="O351">
            <v>256</v>
          </cell>
          <cell r="P351">
            <v>291</v>
          </cell>
          <cell r="Q351">
            <v>351</v>
          </cell>
          <cell r="R351">
            <v>351</v>
          </cell>
          <cell r="T351">
            <v>325</v>
          </cell>
          <cell r="U351">
            <v>423</v>
          </cell>
          <cell r="V351">
            <v>245</v>
          </cell>
          <cell r="W351">
            <v>276</v>
          </cell>
          <cell r="X351">
            <v>276</v>
          </cell>
          <cell r="Z351">
            <v>278</v>
          </cell>
          <cell r="AA351">
            <v>278</v>
          </cell>
          <cell r="AB351">
            <v>315</v>
          </cell>
          <cell r="AC351">
            <v>225</v>
          </cell>
          <cell r="AD351">
            <v>225</v>
          </cell>
          <cell r="AF351">
            <v>262</v>
          </cell>
          <cell r="AG351">
            <v>254</v>
          </cell>
          <cell r="AH351">
            <v>207</v>
          </cell>
          <cell r="AI351">
            <v>205</v>
          </cell>
          <cell r="AJ351">
            <v>205</v>
          </cell>
          <cell r="AL351">
            <v>249</v>
          </cell>
          <cell r="AM351">
            <v>269</v>
          </cell>
          <cell r="AN351">
            <v>282</v>
          </cell>
          <cell r="AO351">
            <v>322.06400000000002</v>
          </cell>
          <cell r="AP351">
            <v>322.06400000000002</v>
          </cell>
          <cell r="AR351">
            <v>327.07516139692365</v>
          </cell>
          <cell r="AS351">
            <v>323.14802624885868</v>
          </cell>
          <cell r="AT351">
            <v>321.99026071383463</v>
          </cell>
          <cell r="AU351">
            <v>324.96173440304187</v>
          </cell>
          <cell r="AV351">
            <v>324.96173440304187</v>
          </cell>
        </row>
        <row r="352">
          <cell r="D352" t="str">
            <v>Deferred tax assets</v>
          </cell>
          <cell r="F352">
            <v>52</v>
          </cell>
          <cell r="H352">
            <v>0</v>
          </cell>
          <cell r="I352">
            <v>0</v>
          </cell>
          <cell r="J352">
            <v>0</v>
          </cell>
          <cell r="K352">
            <v>94</v>
          </cell>
          <cell r="L352">
            <v>94</v>
          </cell>
          <cell r="N352">
            <v>93</v>
          </cell>
          <cell r="O352">
            <v>83</v>
          </cell>
          <cell r="P352">
            <v>68</v>
          </cell>
          <cell r="Q352">
            <v>164</v>
          </cell>
          <cell r="R352">
            <v>164</v>
          </cell>
          <cell r="T352">
            <v>164</v>
          </cell>
          <cell r="U352">
            <v>25</v>
          </cell>
          <cell r="V352">
            <v>25</v>
          </cell>
          <cell r="W352">
            <v>129</v>
          </cell>
          <cell r="X352">
            <v>129</v>
          </cell>
          <cell r="Z352">
            <v>129</v>
          </cell>
          <cell r="AA352">
            <v>129</v>
          </cell>
          <cell r="AB352">
            <v>129</v>
          </cell>
          <cell r="AC352">
            <v>161</v>
          </cell>
          <cell r="AD352">
            <v>161</v>
          </cell>
          <cell r="AF352">
            <v>151</v>
          </cell>
          <cell r="AG352">
            <v>151</v>
          </cell>
          <cell r="AH352">
            <v>151</v>
          </cell>
          <cell r="AI352">
            <v>67</v>
          </cell>
          <cell r="AJ352">
            <v>67</v>
          </cell>
          <cell r="AL352">
            <v>67</v>
          </cell>
          <cell r="AM352">
            <v>67</v>
          </cell>
          <cell r="AN352">
            <v>37.1</v>
          </cell>
          <cell r="AO352">
            <v>64.221000000000004</v>
          </cell>
          <cell r="AP352">
            <v>64.221000000000004</v>
          </cell>
          <cell r="AR352">
            <v>64.221000000000004</v>
          </cell>
          <cell r="AS352">
            <v>64.221000000000004</v>
          </cell>
          <cell r="AT352">
            <v>64.221000000000004</v>
          </cell>
          <cell r="AU352">
            <v>64.221000000000004</v>
          </cell>
          <cell r="AV352">
            <v>64.221000000000004</v>
          </cell>
        </row>
        <row r="353">
          <cell r="D353" t="str">
            <v>Other current assets</v>
          </cell>
          <cell r="F353">
            <v>73</v>
          </cell>
          <cell r="H353">
            <v>162</v>
          </cell>
          <cell r="I353">
            <v>173</v>
          </cell>
          <cell r="J353">
            <v>155</v>
          </cell>
          <cell r="K353">
            <v>113</v>
          </cell>
          <cell r="L353">
            <v>113</v>
          </cell>
          <cell r="N353">
            <v>143</v>
          </cell>
          <cell r="O353">
            <v>125</v>
          </cell>
          <cell r="P353">
            <v>213</v>
          </cell>
          <cell r="Q353">
            <v>231</v>
          </cell>
          <cell r="R353">
            <v>231</v>
          </cell>
          <cell r="T353">
            <v>153</v>
          </cell>
          <cell r="U353">
            <v>239</v>
          </cell>
          <cell r="V353">
            <v>239</v>
          </cell>
          <cell r="W353">
            <v>207</v>
          </cell>
          <cell r="X353">
            <v>207</v>
          </cell>
          <cell r="Z353">
            <v>209</v>
          </cell>
          <cell r="AA353">
            <v>235</v>
          </cell>
          <cell r="AB353">
            <v>225</v>
          </cell>
          <cell r="AC353">
            <v>193</v>
          </cell>
          <cell r="AD353">
            <v>193</v>
          </cell>
          <cell r="AF353">
            <v>177</v>
          </cell>
          <cell r="AG353">
            <v>185</v>
          </cell>
          <cell r="AH353">
            <v>153</v>
          </cell>
          <cell r="AI353">
            <v>195</v>
          </cell>
          <cell r="AJ353">
            <v>195</v>
          </cell>
          <cell r="AL353">
            <v>190</v>
          </cell>
          <cell r="AM353">
            <v>190</v>
          </cell>
          <cell r="AN353">
            <v>191</v>
          </cell>
          <cell r="AO353">
            <v>195.637</v>
          </cell>
          <cell r="AP353">
            <v>195.637</v>
          </cell>
          <cell r="AR353">
            <v>206.70262616390377</v>
          </cell>
          <cell r="AS353">
            <v>214.05986185575151</v>
          </cell>
          <cell r="AT353">
            <v>223.36944178527656</v>
          </cell>
          <cell r="AU353">
            <v>233.27169963587377</v>
          </cell>
          <cell r="AV353">
            <v>233.27169963587377</v>
          </cell>
        </row>
        <row r="354">
          <cell r="D354" t="str">
            <v>Total Current Assets</v>
          </cell>
          <cell r="F354">
            <v>1594</v>
          </cell>
          <cell r="H354">
            <v>1762</v>
          </cell>
          <cell r="I354">
            <v>1717</v>
          </cell>
          <cell r="J354">
            <v>1858</v>
          </cell>
          <cell r="K354">
            <v>2155</v>
          </cell>
          <cell r="L354">
            <v>2155</v>
          </cell>
          <cell r="N354">
            <v>2012</v>
          </cell>
          <cell r="O354">
            <v>1780</v>
          </cell>
          <cell r="P354">
            <v>2287</v>
          </cell>
          <cell r="Q354">
            <v>3032</v>
          </cell>
          <cell r="R354">
            <v>3032</v>
          </cell>
          <cell r="T354">
            <v>2625</v>
          </cell>
          <cell r="U354">
            <v>2672</v>
          </cell>
          <cell r="V354">
            <v>2550</v>
          </cell>
          <cell r="W354">
            <v>3119</v>
          </cell>
          <cell r="X354">
            <v>3119</v>
          </cell>
          <cell r="Z354">
            <v>2807</v>
          </cell>
          <cell r="AA354">
            <v>2688</v>
          </cell>
          <cell r="AB354">
            <v>2681</v>
          </cell>
          <cell r="AC354">
            <v>3064</v>
          </cell>
          <cell r="AD354">
            <v>3064</v>
          </cell>
          <cell r="AF354">
            <v>2823</v>
          </cell>
          <cell r="AG354">
            <v>2741</v>
          </cell>
          <cell r="AH354">
            <v>2338</v>
          </cell>
          <cell r="AI354">
            <v>2534</v>
          </cell>
          <cell r="AJ354">
            <v>2534</v>
          </cell>
          <cell r="AL354">
            <v>2474</v>
          </cell>
          <cell r="AM354">
            <v>2509</v>
          </cell>
          <cell r="AN354">
            <v>2494.1</v>
          </cell>
          <cell r="AO354">
            <v>2622.9380000000001</v>
          </cell>
          <cell r="AP354">
            <v>2622.9380000000001</v>
          </cell>
          <cell r="AR354">
            <v>2546.0529555550879</v>
          </cell>
          <cell r="AS354">
            <v>2582.2986186810972</v>
          </cell>
          <cell r="AT354">
            <v>2631.1932432701237</v>
          </cell>
          <cell r="AU354">
            <v>2748.3547019387179</v>
          </cell>
          <cell r="AV354">
            <v>2748.3547019387179</v>
          </cell>
        </row>
        <row r="355">
          <cell r="A355" t="str">
            <v>Non-Current Assets</v>
          </cell>
          <cell r="D355" t="str">
            <v>Non-Current Assets</v>
          </cell>
        </row>
        <row r="356">
          <cell r="D356" t="str">
            <v>Long-term investments</v>
          </cell>
          <cell r="F356">
            <v>180</v>
          </cell>
          <cell r="H356">
            <v>158</v>
          </cell>
          <cell r="I356">
            <v>129</v>
          </cell>
          <cell r="J356">
            <v>132</v>
          </cell>
          <cell r="K356">
            <v>143</v>
          </cell>
          <cell r="L356">
            <v>143</v>
          </cell>
          <cell r="N356">
            <v>148</v>
          </cell>
          <cell r="O356">
            <v>157</v>
          </cell>
          <cell r="P356">
            <v>550</v>
          </cell>
          <cell r="Q356">
            <v>512</v>
          </cell>
          <cell r="R356">
            <v>512</v>
          </cell>
          <cell r="T356">
            <v>463</v>
          </cell>
          <cell r="U356">
            <v>379</v>
          </cell>
          <cell r="V356">
            <v>306</v>
          </cell>
          <cell r="W356">
            <v>305</v>
          </cell>
          <cell r="X356">
            <v>305</v>
          </cell>
          <cell r="Z356">
            <v>337</v>
          </cell>
          <cell r="AA356">
            <v>285</v>
          </cell>
          <cell r="AB356">
            <v>277</v>
          </cell>
          <cell r="AC356">
            <v>253</v>
          </cell>
          <cell r="AD356">
            <v>253</v>
          </cell>
          <cell r="AF356">
            <v>158</v>
          </cell>
          <cell r="AG356">
            <v>166</v>
          </cell>
          <cell r="AH356">
            <v>153</v>
          </cell>
          <cell r="AI356">
            <v>240</v>
          </cell>
          <cell r="AJ356">
            <v>240</v>
          </cell>
          <cell r="AL356">
            <v>226</v>
          </cell>
          <cell r="AM356">
            <v>241</v>
          </cell>
          <cell r="AN356">
            <v>274.47000000000003</v>
          </cell>
          <cell r="AO356">
            <v>280.32</v>
          </cell>
          <cell r="AP356">
            <v>280.32</v>
          </cell>
          <cell r="AR356">
            <v>289.01117971685062</v>
          </cell>
          <cell r="AS356">
            <v>292.30706173255066</v>
          </cell>
          <cell r="AT356">
            <v>298.19196063690447</v>
          </cell>
          <cell r="AU356">
            <v>304.7363378280445</v>
          </cell>
          <cell r="AV356">
            <v>304.7363378280445</v>
          </cell>
        </row>
        <row r="357">
          <cell r="D357" t="str">
            <v>Goodwill, Other Intangibles</v>
          </cell>
          <cell r="F357">
            <v>536</v>
          </cell>
          <cell r="H357">
            <v>533</v>
          </cell>
          <cell r="I357">
            <v>495</v>
          </cell>
          <cell r="J357">
            <v>491</v>
          </cell>
          <cell r="K357">
            <v>488</v>
          </cell>
          <cell r="L357">
            <v>488</v>
          </cell>
          <cell r="N357">
            <v>508</v>
          </cell>
          <cell r="O357">
            <v>502</v>
          </cell>
          <cell r="P357">
            <v>988</v>
          </cell>
          <cell r="Q357">
            <v>1224</v>
          </cell>
          <cell r="R357">
            <v>1224</v>
          </cell>
          <cell r="T357">
            <v>1217</v>
          </cell>
          <cell r="U357">
            <v>1209</v>
          </cell>
          <cell r="V357">
            <v>1197</v>
          </cell>
          <cell r="W357">
            <v>1188</v>
          </cell>
          <cell r="X357">
            <v>1188</v>
          </cell>
          <cell r="Z357">
            <v>1180</v>
          </cell>
          <cell r="AA357">
            <v>1189</v>
          </cell>
          <cell r="AB357">
            <v>1180</v>
          </cell>
          <cell r="AC357">
            <v>806</v>
          </cell>
          <cell r="AD357">
            <v>806</v>
          </cell>
          <cell r="AF357">
            <v>844</v>
          </cell>
          <cell r="AG357">
            <v>834</v>
          </cell>
          <cell r="AH357">
            <v>820</v>
          </cell>
          <cell r="AI357">
            <v>790</v>
          </cell>
          <cell r="AJ357">
            <v>790</v>
          </cell>
          <cell r="AL357">
            <v>786</v>
          </cell>
          <cell r="AM357">
            <v>807</v>
          </cell>
          <cell r="AN357">
            <v>793</v>
          </cell>
          <cell r="AO357">
            <v>776.87400000000002</v>
          </cell>
          <cell r="AP357">
            <v>776.87400000000002</v>
          </cell>
          <cell r="AR357">
            <v>772.755</v>
          </cell>
          <cell r="AS357">
            <v>768.63599999999997</v>
          </cell>
          <cell r="AT357">
            <v>764.51699999999994</v>
          </cell>
          <cell r="AU357">
            <v>760.39799999999991</v>
          </cell>
          <cell r="AV357">
            <v>760.39799999999991</v>
          </cell>
        </row>
        <row r="358">
          <cell r="D358" t="str">
            <v>Property &amp; equipment, net</v>
          </cell>
          <cell r="F358">
            <v>382</v>
          </cell>
          <cell r="H358">
            <v>381</v>
          </cell>
          <cell r="I358">
            <v>378</v>
          </cell>
          <cell r="J358">
            <v>373</v>
          </cell>
          <cell r="K358">
            <v>371</v>
          </cell>
          <cell r="L358">
            <v>371</v>
          </cell>
          <cell r="N358">
            <v>373</v>
          </cell>
          <cell r="O358">
            <v>375</v>
          </cell>
          <cell r="P358">
            <v>421</v>
          </cell>
          <cell r="Q358">
            <v>420</v>
          </cell>
          <cell r="R358">
            <v>420</v>
          </cell>
          <cell r="T358">
            <v>421</v>
          </cell>
          <cell r="U358">
            <v>445</v>
          </cell>
          <cell r="V358">
            <v>429</v>
          </cell>
          <cell r="W358">
            <v>433</v>
          </cell>
          <cell r="X358">
            <v>433</v>
          </cell>
          <cell r="Z358">
            <v>430</v>
          </cell>
          <cell r="AA358">
            <v>442</v>
          </cell>
          <cell r="AB358">
            <v>440</v>
          </cell>
          <cell r="AC358">
            <v>418</v>
          </cell>
          <cell r="AD358">
            <v>418</v>
          </cell>
          <cell r="AF358">
            <v>426</v>
          </cell>
          <cell r="AG358">
            <v>425</v>
          </cell>
          <cell r="AH358">
            <v>429</v>
          </cell>
          <cell r="AI358">
            <v>435</v>
          </cell>
          <cell r="AJ358">
            <v>435</v>
          </cell>
          <cell r="AL358">
            <v>439</v>
          </cell>
          <cell r="AM358">
            <v>449</v>
          </cell>
          <cell r="AN358">
            <v>453</v>
          </cell>
          <cell r="AO358">
            <v>461.76100000000002</v>
          </cell>
          <cell r="AP358">
            <v>461.76100000000002</v>
          </cell>
          <cell r="AR358">
            <v>476.07766608601838</v>
          </cell>
          <cell r="AS358">
            <v>481.50685335575179</v>
          </cell>
          <cell r="AT358">
            <v>481.20083453074227</v>
          </cell>
          <cell r="AU358">
            <v>481.76168184243471</v>
          </cell>
          <cell r="AV358">
            <v>481.76168184243471</v>
          </cell>
        </row>
        <row r="359">
          <cell r="D359" t="str">
            <v>Other non-current assets</v>
          </cell>
          <cell r="F359">
            <v>187</v>
          </cell>
          <cell r="H359">
            <v>180</v>
          </cell>
          <cell r="I359">
            <v>190</v>
          </cell>
          <cell r="J359">
            <v>184</v>
          </cell>
          <cell r="K359">
            <v>149</v>
          </cell>
          <cell r="L359">
            <v>149</v>
          </cell>
          <cell r="N359">
            <v>144</v>
          </cell>
          <cell r="O359">
            <v>144</v>
          </cell>
          <cell r="P359">
            <v>488</v>
          </cell>
          <cell r="Q359">
            <v>412</v>
          </cell>
          <cell r="R359">
            <v>412</v>
          </cell>
          <cell r="T359">
            <v>524</v>
          </cell>
          <cell r="U359">
            <v>519</v>
          </cell>
          <cell r="V359">
            <v>529</v>
          </cell>
          <cell r="W359">
            <v>451</v>
          </cell>
          <cell r="X359">
            <v>451</v>
          </cell>
          <cell r="Z359">
            <v>436</v>
          </cell>
          <cell r="AA359">
            <v>403</v>
          </cell>
          <cell r="AB359">
            <v>373</v>
          </cell>
          <cell r="AC359">
            <v>359</v>
          </cell>
          <cell r="AD359">
            <v>359</v>
          </cell>
          <cell r="AF359">
            <v>170</v>
          </cell>
          <cell r="AG359">
            <v>181</v>
          </cell>
          <cell r="AH359">
            <v>176</v>
          </cell>
          <cell r="AI359">
            <v>307.92</v>
          </cell>
          <cell r="AJ359">
            <v>307.92</v>
          </cell>
          <cell r="AL359">
            <v>312</v>
          </cell>
          <cell r="AM359">
            <v>324</v>
          </cell>
          <cell r="AN359">
            <v>329.04</v>
          </cell>
          <cell r="AO359">
            <v>261.745</v>
          </cell>
          <cell r="AP359">
            <v>261.745</v>
          </cell>
          <cell r="AR359">
            <v>274.86027124353262</v>
          </cell>
          <cell r="AS359">
            <v>277.99477637136033</v>
          </cell>
          <cell r="AT359">
            <v>283.59153186945616</v>
          </cell>
          <cell r="AU359">
            <v>289.81547549557831</v>
          </cell>
          <cell r="AV359">
            <v>289.81547549557831</v>
          </cell>
        </row>
        <row r="360">
          <cell r="D360" t="str">
            <v>Total Non-Current Assets</v>
          </cell>
          <cell r="F360">
            <v>1285</v>
          </cell>
          <cell r="H360">
            <v>1252</v>
          </cell>
          <cell r="I360">
            <v>1192</v>
          </cell>
          <cell r="J360">
            <v>1180</v>
          </cell>
          <cell r="K360">
            <v>1151</v>
          </cell>
          <cell r="L360">
            <v>1151</v>
          </cell>
          <cell r="N360">
            <v>1173</v>
          </cell>
          <cell r="O360">
            <v>1178</v>
          </cell>
          <cell r="P360">
            <v>2447</v>
          </cell>
          <cell r="Q360">
            <v>2568</v>
          </cell>
          <cell r="R360">
            <v>2568</v>
          </cell>
          <cell r="T360">
            <v>2625</v>
          </cell>
          <cell r="U360">
            <v>2552</v>
          </cell>
          <cell r="V360">
            <v>2461</v>
          </cell>
          <cell r="W360">
            <v>2377</v>
          </cell>
          <cell r="X360">
            <v>2377</v>
          </cell>
          <cell r="Z360">
            <v>2383</v>
          </cell>
          <cell r="AA360">
            <v>2319</v>
          </cell>
          <cell r="AB360">
            <v>2270</v>
          </cell>
          <cell r="AC360">
            <v>1836</v>
          </cell>
          <cell r="AD360">
            <v>1836</v>
          </cell>
          <cell r="AF360">
            <v>1598</v>
          </cell>
          <cell r="AG360">
            <v>1606</v>
          </cell>
          <cell r="AH360">
            <v>1578</v>
          </cell>
          <cell r="AI360">
            <v>1772.92</v>
          </cell>
          <cell r="AJ360">
            <v>1772.92</v>
          </cell>
          <cell r="AL360">
            <v>1763</v>
          </cell>
          <cell r="AM360">
            <v>1821</v>
          </cell>
          <cell r="AN360">
            <v>1849.51</v>
          </cell>
          <cell r="AO360">
            <v>1780.6999999999998</v>
          </cell>
          <cell r="AP360">
            <v>1780.6999999999998</v>
          </cell>
          <cell r="AR360">
            <v>1812.7041170464017</v>
          </cell>
          <cell r="AS360">
            <v>1820.4446914596629</v>
          </cell>
          <cell r="AT360">
            <v>1827.5013270371028</v>
          </cell>
          <cell r="AU360">
            <v>1836.7114951660574</v>
          </cell>
          <cell r="AV360">
            <v>1836.7114951660574</v>
          </cell>
        </row>
        <row r="361">
          <cell r="D361" t="str">
            <v>Total Assets</v>
          </cell>
          <cell r="F361">
            <v>2879</v>
          </cell>
          <cell r="H361">
            <v>3014</v>
          </cell>
          <cell r="I361">
            <v>2909</v>
          </cell>
          <cell r="J361">
            <v>3038</v>
          </cell>
          <cell r="K361">
            <v>3306</v>
          </cell>
          <cell r="L361">
            <v>3306</v>
          </cell>
          <cell r="N361">
            <v>3185</v>
          </cell>
          <cell r="O361">
            <v>2958</v>
          </cell>
          <cell r="P361">
            <v>4734</v>
          </cell>
          <cell r="Q361">
            <v>5600</v>
          </cell>
          <cell r="R361">
            <v>5600</v>
          </cell>
          <cell r="T361">
            <v>5250</v>
          </cell>
          <cell r="U361">
            <v>5224</v>
          </cell>
          <cell r="V361">
            <v>5011</v>
          </cell>
          <cell r="W361">
            <v>5496</v>
          </cell>
          <cell r="X361">
            <v>5496</v>
          </cell>
          <cell r="Z361">
            <v>5190</v>
          </cell>
          <cell r="AA361">
            <v>5007</v>
          </cell>
          <cell r="AB361">
            <v>4951</v>
          </cell>
          <cell r="AC361">
            <v>4900</v>
          </cell>
          <cell r="AD361">
            <v>4900</v>
          </cell>
          <cell r="AF361">
            <v>4421</v>
          </cell>
          <cell r="AG361">
            <v>4347</v>
          </cell>
          <cell r="AH361">
            <v>3916</v>
          </cell>
          <cell r="AI361">
            <v>4306.92</v>
          </cell>
          <cell r="AJ361">
            <v>4306.92</v>
          </cell>
          <cell r="AL361">
            <v>4237</v>
          </cell>
          <cell r="AM361">
            <v>4330</v>
          </cell>
          <cell r="AN361">
            <v>4343.6099999999997</v>
          </cell>
          <cell r="AO361">
            <v>4403.6379999999999</v>
          </cell>
          <cell r="AP361">
            <v>4403.6379999999999</v>
          </cell>
          <cell r="AR361">
            <v>4358.7570726014892</v>
          </cell>
          <cell r="AS361">
            <v>4402.7433101407605</v>
          </cell>
          <cell r="AT361">
            <v>4458.694570307227</v>
          </cell>
          <cell r="AU361">
            <v>4585.0661971047757</v>
          </cell>
          <cell r="AV361">
            <v>4585.0661971047757</v>
          </cell>
        </row>
        <row r="362">
          <cell r="A362" t="str">
            <v>Liabilities</v>
          </cell>
          <cell r="D362" t="str">
            <v>Medical costs payable ex-adj</v>
          </cell>
          <cell r="H362" t="str">
            <v xml:space="preserve">NA </v>
          </cell>
          <cell r="I362" t="str">
            <v xml:space="preserve">NA </v>
          </cell>
          <cell r="J362" t="str">
            <v xml:space="preserve">NA </v>
          </cell>
          <cell r="K362" t="str">
            <v xml:space="preserve">NA </v>
          </cell>
          <cell r="L362" t="str">
            <v xml:space="preserve">NA </v>
          </cell>
          <cell r="N362" t="str">
            <v xml:space="preserve">NA </v>
          </cell>
          <cell r="O362" t="str">
            <v xml:space="preserve">NA </v>
          </cell>
          <cell r="P362" t="str">
            <v xml:space="preserve">NA </v>
          </cell>
          <cell r="Q362" t="str">
            <v xml:space="preserve">NA </v>
          </cell>
          <cell r="R362" t="str">
            <v xml:space="preserve">NA </v>
          </cell>
          <cell r="T362" t="str">
            <v xml:space="preserve">NA </v>
          </cell>
          <cell r="U362" t="str">
            <v xml:space="preserve">NA </v>
          </cell>
          <cell r="V362">
            <v>1433.5</v>
          </cell>
          <cell r="W362">
            <v>1447</v>
          </cell>
          <cell r="X362">
            <v>1447</v>
          </cell>
          <cell r="Z362">
            <v>1454</v>
          </cell>
          <cell r="AA362">
            <v>1359</v>
          </cell>
          <cell r="AB362">
            <v>1379.5</v>
          </cell>
          <cell r="AC362">
            <v>1432</v>
          </cell>
          <cell r="AD362">
            <v>1432</v>
          </cell>
          <cell r="AF362">
            <v>1360</v>
          </cell>
          <cell r="AG362">
            <v>1356</v>
          </cell>
          <cell r="AH362">
            <v>1216</v>
          </cell>
          <cell r="AI362">
            <v>1181</v>
          </cell>
          <cell r="AJ362">
            <v>1181</v>
          </cell>
          <cell r="AL362">
            <v>1103</v>
          </cell>
          <cell r="AM362">
            <v>1122</v>
          </cell>
          <cell r="AN362">
            <v>1130</v>
          </cell>
          <cell r="AO362">
            <v>1086.386</v>
          </cell>
          <cell r="AP362">
            <v>1086.386</v>
          </cell>
          <cell r="AR362">
            <v>1163.8050629011007</v>
          </cell>
          <cell r="AS362">
            <v>1170.4214700925511</v>
          </cell>
          <cell r="AT362">
            <v>1176.7456029114378</v>
          </cell>
          <cell r="AU362">
            <v>1200.8656691564804</v>
          </cell>
          <cell r="AV362">
            <v>1200.8656691564804</v>
          </cell>
        </row>
        <row r="363">
          <cell r="D363" t="str">
            <v>Adj. $50mn: 1Q99 (b)</v>
          </cell>
          <cell r="H363" t="str">
            <v xml:space="preserve">NA </v>
          </cell>
          <cell r="I363" t="str">
            <v xml:space="preserve">NA </v>
          </cell>
          <cell r="J363" t="str">
            <v xml:space="preserve">NA </v>
          </cell>
          <cell r="K363" t="str">
            <v xml:space="preserve">NA </v>
          </cell>
          <cell r="L363" t="str">
            <v xml:space="preserve">NA </v>
          </cell>
          <cell r="N363" t="str">
            <v xml:space="preserve">NA </v>
          </cell>
          <cell r="O363" t="str">
            <v xml:space="preserve">NA </v>
          </cell>
          <cell r="P363" t="str">
            <v xml:space="preserve">NA </v>
          </cell>
          <cell r="Q363" t="str">
            <v xml:space="preserve">NA </v>
          </cell>
          <cell r="R363" t="str">
            <v xml:space="preserve">NA </v>
          </cell>
          <cell r="T363" t="str">
            <v xml:space="preserve">NA </v>
          </cell>
          <cell r="U363" t="str">
            <v xml:space="preserve">NA </v>
          </cell>
          <cell r="V363" t="str">
            <v xml:space="preserve">NA </v>
          </cell>
          <cell r="W363" t="str">
            <v xml:space="preserve">NA </v>
          </cell>
          <cell r="X363" t="str">
            <v xml:space="preserve">NA </v>
          </cell>
          <cell r="Z363">
            <v>44</v>
          </cell>
          <cell r="AA363">
            <v>32</v>
          </cell>
          <cell r="AB363">
            <v>15.5</v>
          </cell>
          <cell r="AC363">
            <v>0</v>
          </cell>
          <cell r="AD363">
            <v>0</v>
          </cell>
          <cell r="AF363">
            <v>0</v>
          </cell>
          <cell r="AG363">
            <v>0</v>
          </cell>
          <cell r="AH363">
            <v>0</v>
          </cell>
          <cell r="AI363">
            <v>0</v>
          </cell>
          <cell r="AJ363">
            <v>0</v>
          </cell>
          <cell r="AL363">
            <v>0</v>
          </cell>
          <cell r="AM363">
            <v>0</v>
          </cell>
          <cell r="AN363">
            <v>0</v>
          </cell>
          <cell r="AO363">
            <v>0</v>
          </cell>
          <cell r="AP363">
            <v>0</v>
          </cell>
          <cell r="AR363">
            <v>0</v>
          </cell>
          <cell r="AS363">
            <v>0</v>
          </cell>
          <cell r="AT363">
            <v>0</v>
          </cell>
          <cell r="AU363">
            <v>0</v>
          </cell>
          <cell r="AV363">
            <v>0</v>
          </cell>
        </row>
        <row r="364">
          <cell r="D364" t="str">
            <v>Adj. $46mn: 3Q98 (b)</v>
          </cell>
          <cell r="H364" t="str">
            <v xml:space="preserve">NA </v>
          </cell>
          <cell r="I364" t="str">
            <v xml:space="preserve">NA </v>
          </cell>
          <cell r="J364" t="str">
            <v xml:space="preserve">NA </v>
          </cell>
          <cell r="K364" t="str">
            <v xml:space="preserve">NA </v>
          </cell>
          <cell r="L364" t="str">
            <v xml:space="preserve">NA </v>
          </cell>
          <cell r="N364" t="str">
            <v xml:space="preserve">NA </v>
          </cell>
          <cell r="O364" t="str">
            <v xml:space="preserve">NA </v>
          </cell>
          <cell r="P364" t="str">
            <v xml:space="preserve">NA </v>
          </cell>
          <cell r="Q364" t="str">
            <v xml:space="preserve">NA </v>
          </cell>
          <cell r="R364" t="str">
            <v xml:space="preserve">NA </v>
          </cell>
          <cell r="T364" t="str">
            <v xml:space="preserve">NA </v>
          </cell>
          <cell r="U364" t="str">
            <v xml:space="preserve">NA </v>
          </cell>
          <cell r="V364">
            <v>34.5</v>
          </cell>
          <cell r="W364">
            <v>23</v>
          </cell>
          <cell r="X364">
            <v>23</v>
          </cell>
          <cell r="Z364">
            <v>15</v>
          </cell>
          <cell r="AA364">
            <v>3</v>
          </cell>
          <cell r="AB364">
            <v>0</v>
          </cell>
          <cell r="AC364">
            <v>0</v>
          </cell>
          <cell r="AD364">
            <v>0</v>
          </cell>
          <cell r="AF364">
            <v>0</v>
          </cell>
          <cell r="AG364">
            <v>0</v>
          </cell>
          <cell r="AH364">
            <v>0</v>
          </cell>
          <cell r="AI364">
            <v>0</v>
          </cell>
          <cell r="AJ364">
            <v>0</v>
          </cell>
          <cell r="AL364">
            <v>0</v>
          </cell>
          <cell r="AM364">
            <v>0</v>
          </cell>
          <cell r="AN364">
            <v>0</v>
          </cell>
          <cell r="AO364">
            <v>0</v>
          </cell>
          <cell r="AP364">
            <v>0</v>
          </cell>
          <cell r="AR364">
            <v>0</v>
          </cell>
          <cell r="AS364">
            <v>0</v>
          </cell>
          <cell r="AT364">
            <v>0</v>
          </cell>
          <cell r="AU364">
            <v>0</v>
          </cell>
          <cell r="AV364">
            <v>0</v>
          </cell>
        </row>
        <row r="365">
          <cell r="D365" t="str">
            <v>Medical Costs Payable</v>
          </cell>
          <cell r="F365">
            <v>866</v>
          </cell>
          <cell r="H365">
            <v>936</v>
          </cell>
          <cell r="I365">
            <v>1045</v>
          </cell>
          <cell r="J365">
            <v>1075</v>
          </cell>
          <cell r="K365">
            <v>1099</v>
          </cell>
          <cell r="L365">
            <v>1099</v>
          </cell>
          <cell r="N365">
            <v>1063</v>
          </cell>
          <cell r="O365">
            <v>997</v>
          </cell>
          <cell r="P365">
            <v>1402</v>
          </cell>
          <cell r="Q365">
            <v>1478</v>
          </cell>
          <cell r="R365">
            <v>1478</v>
          </cell>
          <cell r="T365">
            <v>1427</v>
          </cell>
          <cell r="U365">
            <v>1374</v>
          </cell>
          <cell r="V365">
            <v>1468</v>
          </cell>
          <cell r="W365">
            <v>1470</v>
          </cell>
          <cell r="X365">
            <v>1470</v>
          </cell>
          <cell r="Z365">
            <v>1513</v>
          </cell>
          <cell r="AA365">
            <v>1394</v>
          </cell>
          <cell r="AB365">
            <v>1395</v>
          </cell>
          <cell r="AC365">
            <v>1432</v>
          </cell>
          <cell r="AD365">
            <v>1432</v>
          </cell>
          <cell r="AF365">
            <v>1360</v>
          </cell>
          <cell r="AG365">
            <v>1356</v>
          </cell>
          <cell r="AH365">
            <v>1216</v>
          </cell>
          <cell r="AI365">
            <v>1181</v>
          </cell>
          <cell r="AJ365">
            <v>1181</v>
          </cell>
          <cell r="AL365">
            <v>1103</v>
          </cell>
          <cell r="AM365">
            <v>1122</v>
          </cell>
          <cell r="AN365">
            <v>1130</v>
          </cell>
          <cell r="AO365">
            <v>1086.386</v>
          </cell>
          <cell r="AP365">
            <v>1086.386</v>
          </cell>
          <cell r="AR365">
            <v>1163.8050629011007</v>
          </cell>
          <cell r="AS365">
            <v>1170.4214700925511</v>
          </cell>
          <cell r="AT365">
            <v>1176.7456029114378</v>
          </cell>
          <cell r="AU365">
            <v>1200.8656691564804</v>
          </cell>
          <cell r="AV365">
            <v>1200.8656691564804</v>
          </cell>
        </row>
        <row r="366">
          <cell r="D366" t="str">
            <v xml:space="preserve">A/P, accrd exp, other                                                </v>
          </cell>
          <cell r="F366">
            <v>291</v>
          </cell>
          <cell r="H366">
            <v>299</v>
          </cell>
          <cell r="I366">
            <v>296</v>
          </cell>
          <cell r="J366">
            <v>331</v>
          </cell>
          <cell r="K366">
            <v>369</v>
          </cell>
          <cell r="L366">
            <v>369</v>
          </cell>
          <cell r="N366">
            <v>367</v>
          </cell>
          <cell r="O366">
            <v>370</v>
          </cell>
          <cell r="P366">
            <v>433</v>
          </cell>
          <cell r="Q366">
            <v>511</v>
          </cell>
          <cell r="R366">
            <v>511</v>
          </cell>
          <cell r="T366">
            <v>438</v>
          </cell>
          <cell r="U366">
            <v>449</v>
          </cell>
          <cell r="V366">
            <v>378</v>
          </cell>
          <cell r="W366">
            <v>395</v>
          </cell>
          <cell r="X366">
            <v>395</v>
          </cell>
          <cell r="Z366">
            <v>433</v>
          </cell>
          <cell r="AA366">
            <v>432</v>
          </cell>
          <cell r="AB366">
            <v>437</v>
          </cell>
          <cell r="AC366">
            <v>392</v>
          </cell>
          <cell r="AD366">
            <v>392</v>
          </cell>
          <cell r="AF366">
            <v>363</v>
          </cell>
          <cell r="AG366">
            <v>358</v>
          </cell>
          <cell r="AH366">
            <v>408</v>
          </cell>
          <cell r="AI366">
            <v>429</v>
          </cell>
          <cell r="AJ366">
            <v>429</v>
          </cell>
          <cell r="AL366">
            <v>406</v>
          </cell>
          <cell r="AM366">
            <v>411</v>
          </cell>
          <cell r="AN366">
            <v>438</v>
          </cell>
          <cell r="AO366">
            <v>479.14</v>
          </cell>
          <cell r="AP366">
            <v>479.14</v>
          </cell>
          <cell r="AR366">
            <v>485.99549318468826</v>
          </cell>
          <cell r="AS366">
            <v>483.53778330394243</v>
          </cell>
          <cell r="AT366">
            <v>485.27265236359801</v>
          </cell>
          <cell r="AU366">
            <v>487.92286329091201</v>
          </cell>
          <cell r="AV366">
            <v>487.92286329091201</v>
          </cell>
        </row>
        <row r="367">
          <cell r="D367" t="str">
            <v>Income taxes payable (E)</v>
          </cell>
          <cell r="F367">
            <v>35</v>
          </cell>
          <cell r="H367">
            <v>65</v>
          </cell>
          <cell r="I367">
            <v>16</v>
          </cell>
          <cell r="J367">
            <v>26</v>
          </cell>
          <cell r="K367">
            <v>32</v>
          </cell>
          <cell r="L367">
            <v>32</v>
          </cell>
          <cell r="N367">
            <v>83</v>
          </cell>
          <cell r="O367">
            <v>66</v>
          </cell>
          <cell r="P367">
            <v>13</v>
          </cell>
          <cell r="Q367">
            <v>0</v>
          </cell>
          <cell r="R367">
            <v>0</v>
          </cell>
          <cell r="T367">
            <v>27</v>
          </cell>
          <cell r="U367">
            <v>5</v>
          </cell>
          <cell r="V367">
            <v>5</v>
          </cell>
          <cell r="W367">
            <v>0</v>
          </cell>
          <cell r="X367">
            <v>0</v>
          </cell>
          <cell r="Z367">
            <v>0</v>
          </cell>
          <cell r="AA367">
            <v>0</v>
          </cell>
          <cell r="AB367">
            <v>0</v>
          </cell>
          <cell r="AC367">
            <v>0</v>
          </cell>
          <cell r="AD367">
            <v>0</v>
          </cell>
          <cell r="AF367">
            <v>0</v>
          </cell>
          <cell r="AG367">
            <v>0</v>
          </cell>
          <cell r="AH367">
            <v>0</v>
          </cell>
          <cell r="AI367">
            <v>0</v>
          </cell>
          <cell r="AJ367">
            <v>0</v>
          </cell>
          <cell r="AL367">
            <v>0</v>
          </cell>
          <cell r="AM367">
            <v>0</v>
          </cell>
          <cell r="AN367">
            <v>0</v>
          </cell>
          <cell r="AO367">
            <v>0</v>
          </cell>
          <cell r="AP367">
            <v>0</v>
          </cell>
          <cell r="AR367">
            <v>0</v>
          </cell>
          <cell r="AS367">
            <v>0</v>
          </cell>
          <cell r="AT367">
            <v>0</v>
          </cell>
          <cell r="AU367">
            <v>0</v>
          </cell>
          <cell r="AV367">
            <v>0</v>
          </cell>
        </row>
        <row r="368">
          <cell r="D368" t="str">
            <v>Unearned premium revenue</v>
          </cell>
          <cell r="H368" t="str">
            <v>NA</v>
          </cell>
          <cell r="I368" t="str">
            <v>NA</v>
          </cell>
          <cell r="J368" t="str">
            <v>NA</v>
          </cell>
          <cell r="K368" t="str">
            <v>NA</v>
          </cell>
          <cell r="L368" t="str">
            <v>NA</v>
          </cell>
          <cell r="N368" t="str">
            <v>NA</v>
          </cell>
          <cell r="O368" t="str">
            <v>NA</v>
          </cell>
          <cell r="P368" t="str">
            <v>NA</v>
          </cell>
          <cell r="Q368">
            <v>304</v>
          </cell>
          <cell r="R368">
            <v>304</v>
          </cell>
          <cell r="T368">
            <v>43</v>
          </cell>
          <cell r="U368">
            <v>61</v>
          </cell>
          <cell r="V368">
            <v>68</v>
          </cell>
          <cell r="W368">
            <v>294</v>
          </cell>
          <cell r="X368">
            <v>294</v>
          </cell>
          <cell r="Z368">
            <v>66</v>
          </cell>
          <cell r="AA368">
            <v>66</v>
          </cell>
          <cell r="AB368">
            <v>72</v>
          </cell>
          <cell r="AC368">
            <v>349</v>
          </cell>
          <cell r="AD368">
            <v>349</v>
          </cell>
          <cell r="AF368">
            <v>402</v>
          </cell>
          <cell r="AG368">
            <v>397</v>
          </cell>
          <cell r="AH368">
            <v>90</v>
          </cell>
          <cell r="AI368">
            <v>333</v>
          </cell>
          <cell r="AJ368">
            <v>333</v>
          </cell>
          <cell r="AL368">
            <v>340</v>
          </cell>
          <cell r="AM368">
            <v>313</v>
          </cell>
          <cell r="AN368">
            <v>283</v>
          </cell>
          <cell r="AO368">
            <v>325.04000000000002</v>
          </cell>
          <cell r="AP368">
            <v>325.04000000000002</v>
          </cell>
          <cell r="AR368">
            <v>278.94728027071426</v>
          </cell>
          <cell r="AS368">
            <v>278.59728092469965</v>
          </cell>
          <cell r="AT368">
            <v>277.89816053155255</v>
          </cell>
          <cell r="AU368">
            <v>327.20079453213992</v>
          </cell>
          <cell r="AV368">
            <v>327.20079453213992</v>
          </cell>
        </row>
        <row r="369">
          <cell r="D369" t="str">
            <v>Short term debt</v>
          </cell>
          <cell r="H369">
            <v>0</v>
          </cell>
          <cell r="I369">
            <v>0</v>
          </cell>
          <cell r="J369">
            <v>0</v>
          </cell>
          <cell r="K369">
            <v>0</v>
          </cell>
          <cell r="L369">
            <v>0</v>
          </cell>
          <cell r="N369">
            <v>0</v>
          </cell>
          <cell r="O369">
            <v>0</v>
          </cell>
          <cell r="P369">
            <v>0</v>
          </cell>
          <cell r="Q369">
            <v>0</v>
          </cell>
          <cell r="R369">
            <v>0</v>
          </cell>
          <cell r="T369">
            <v>0</v>
          </cell>
          <cell r="U369">
            <v>0</v>
          </cell>
          <cell r="V369">
            <v>0</v>
          </cell>
          <cell r="W369">
            <v>250</v>
          </cell>
          <cell r="X369">
            <v>250</v>
          </cell>
          <cell r="Z369">
            <v>200</v>
          </cell>
          <cell r="AA369">
            <v>75</v>
          </cell>
          <cell r="AB369">
            <v>0</v>
          </cell>
          <cell r="AC369">
            <v>686</v>
          </cell>
          <cell r="AD369">
            <v>686</v>
          </cell>
          <cell r="AF369">
            <v>679</v>
          </cell>
          <cell r="AG369">
            <v>615</v>
          </cell>
          <cell r="AH369">
            <v>610</v>
          </cell>
          <cell r="AI369">
            <v>600</v>
          </cell>
          <cell r="AJ369">
            <v>600</v>
          </cell>
          <cell r="AL369">
            <v>590</v>
          </cell>
          <cell r="AM369">
            <v>580</v>
          </cell>
          <cell r="AN369">
            <v>271</v>
          </cell>
          <cell r="AO369">
            <v>263.85599999999999</v>
          </cell>
          <cell r="AP369">
            <v>263.85599999999999</v>
          </cell>
          <cell r="AR369">
            <v>258.85599999999999</v>
          </cell>
          <cell r="AS369">
            <v>253.85599999999999</v>
          </cell>
          <cell r="AT369">
            <v>248.85599999999999</v>
          </cell>
          <cell r="AU369">
            <v>243.85599999999999</v>
          </cell>
          <cell r="AV369">
            <v>243.85599999999999</v>
          </cell>
        </row>
        <row r="370">
          <cell r="D370" t="str">
            <v>Accrual-losses on business for sale</v>
          </cell>
          <cell r="L370" t="str">
            <v xml:space="preserve">NA </v>
          </cell>
          <cell r="N370" t="str">
            <v>NA</v>
          </cell>
          <cell r="O370" t="str">
            <v>NA</v>
          </cell>
          <cell r="P370" t="str">
            <v>NA</v>
          </cell>
          <cell r="Q370" t="str">
            <v>NA</v>
          </cell>
          <cell r="R370" t="str">
            <v xml:space="preserve">NA </v>
          </cell>
          <cell r="T370" t="str">
            <v xml:space="preserve">NA </v>
          </cell>
          <cell r="U370" t="str">
            <v xml:space="preserve">NA </v>
          </cell>
          <cell r="V370" t="str">
            <v xml:space="preserve">NA </v>
          </cell>
          <cell r="W370" t="str">
            <v xml:space="preserve">NA </v>
          </cell>
          <cell r="X370" t="str">
            <v xml:space="preserve">NA </v>
          </cell>
          <cell r="Z370" t="str">
            <v xml:space="preserve">NA </v>
          </cell>
          <cell r="AA370" t="str">
            <v xml:space="preserve">NA </v>
          </cell>
          <cell r="AB370" t="str">
            <v xml:space="preserve">NA </v>
          </cell>
          <cell r="AC370">
            <v>90</v>
          </cell>
          <cell r="AD370">
            <v>90</v>
          </cell>
          <cell r="AF370">
            <v>0</v>
          </cell>
          <cell r="AG370">
            <v>0</v>
          </cell>
          <cell r="AH370">
            <v>0</v>
          </cell>
          <cell r="AI370">
            <v>0</v>
          </cell>
          <cell r="AJ370">
            <v>0</v>
          </cell>
          <cell r="AL370">
            <v>0</v>
          </cell>
          <cell r="AM370">
            <v>0</v>
          </cell>
          <cell r="AN370">
            <v>0</v>
          </cell>
          <cell r="AO370">
            <v>0</v>
          </cell>
          <cell r="AP370">
            <v>0</v>
          </cell>
          <cell r="AR370">
            <v>0</v>
          </cell>
          <cell r="AS370">
            <v>0</v>
          </cell>
          <cell r="AT370">
            <v>0</v>
          </cell>
          <cell r="AU370">
            <v>0</v>
          </cell>
          <cell r="AV370">
            <v>0</v>
          </cell>
        </row>
        <row r="371">
          <cell r="D371" t="str">
            <v>Book overdraft</v>
          </cell>
          <cell r="F371">
            <v>0</v>
          </cell>
          <cell r="H371">
            <v>0</v>
          </cell>
          <cell r="I371">
            <v>0</v>
          </cell>
          <cell r="J371">
            <v>0</v>
          </cell>
          <cell r="K371">
            <v>153</v>
          </cell>
          <cell r="L371">
            <v>153</v>
          </cell>
          <cell r="N371">
            <v>0</v>
          </cell>
          <cell r="O371">
            <v>0</v>
          </cell>
          <cell r="P371">
            <v>0</v>
          </cell>
          <cell r="Q371">
            <v>152</v>
          </cell>
          <cell r="R371">
            <v>152</v>
          </cell>
          <cell r="T371">
            <v>204</v>
          </cell>
          <cell r="U371">
            <v>182</v>
          </cell>
          <cell r="V371">
            <v>0</v>
          </cell>
          <cell r="W371">
            <v>234</v>
          </cell>
          <cell r="X371">
            <v>234</v>
          </cell>
          <cell r="Z371">
            <v>197</v>
          </cell>
          <cell r="AA371">
            <v>210</v>
          </cell>
          <cell r="AB371">
            <v>216</v>
          </cell>
          <cell r="AC371">
            <v>215</v>
          </cell>
          <cell r="AD371">
            <v>215</v>
          </cell>
          <cell r="AF371">
            <v>165</v>
          </cell>
          <cell r="AG371">
            <v>165</v>
          </cell>
          <cell r="AH371">
            <v>129</v>
          </cell>
          <cell r="AI371">
            <v>149</v>
          </cell>
          <cell r="AJ371">
            <v>149</v>
          </cell>
          <cell r="AL371">
            <v>128</v>
          </cell>
          <cell r="AM371">
            <v>167</v>
          </cell>
          <cell r="AN371">
            <v>141</v>
          </cell>
          <cell r="AO371">
            <v>152.75700000000001</v>
          </cell>
          <cell r="AP371">
            <v>152.75700000000001</v>
          </cell>
          <cell r="AR371">
            <v>152.75700000000001</v>
          </cell>
          <cell r="AS371">
            <v>152.75700000000001</v>
          </cell>
          <cell r="AT371">
            <v>152.75700000000001</v>
          </cell>
          <cell r="AU371">
            <v>152.75700000000001</v>
          </cell>
          <cell r="AV371">
            <v>152.75700000000001</v>
          </cell>
        </row>
        <row r="372">
          <cell r="D372" t="str">
            <v xml:space="preserve">Total Current Liabilities                                                       </v>
          </cell>
          <cell r="F372">
            <v>1192</v>
          </cell>
          <cell r="H372">
            <v>1300</v>
          </cell>
          <cell r="I372">
            <v>1357</v>
          </cell>
          <cell r="J372">
            <v>1432</v>
          </cell>
          <cell r="K372">
            <v>1653</v>
          </cell>
          <cell r="L372">
            <v>1653</v>
          </cell>
          <cell r="N372">
            <v>1513</v>
          </cell>
          <cell r="O372">
            <v>1433</v>
          </cell>
          <cell r="P372">
            <v>1848</v>
          </cell>
          <cell r="Q372">
            <v>2445</v>
          </cell>
          <cell r="R372">
            <v>2445</v>
          </cell>
          <cell r="T372">
            <v>2139</v>
          </cell>
          <cell r="U372">
            <v>2071</v>
          </cell>
          <cell r="V372">
            <v>1919</v>
          </cell>
          <cell r="W372">
            <v>2643</v>
          </cell>
          <cell r="X372">
            <v>2643</v>
          </cell>
          <cell r="Z372">
            <v>2409</v>
          </cell>
          <cell r="AA372">
            <v>2177</v>
          </cell>
          <cell r="AB372">
            <v>2120</v>
          </cell>
          <cell r="AC372">
            <v>3164</v>
          </cell>
          <cell r="AD372">
            <v>3164</v>
          </cell>
          <cell r="AF372">
            <v>2969</v>
          </cell>
          <cell r="AG372">
            <v>2891</v>
          </cell>
          <cell r="AH372">
            <v>2453</v>
          </cell>
          <cell r="AI372">
            <v>2692</v>
          </cell>
          <cell r="AJ372">
            <v>2692</v>
          </cell>
          <cell r="AL372">
            <v>2567</v>
          </cell>
          <cell r="AM372">
            <v>2593</v>
          </cell>
          <cell r="AN372">
            <v>2263</v>
          </cell>
          <cell r="AO372">
            <v>2307.1789999999996</v>
          </cell>
          <cell r="AP372">
            <v>2307.1789999999996</v>
          </cell>
          <cell r="AR372">
            <v>2340.3608363565031</v>
          </cell>
          <cell r="AS372">
            <v>2339.1695343211932</v>
          </cell>
          <cell r="AT372">
            <v>2341.5294158065885</v>
          </cell>
          <cell r="AU372">
            <v>2412.6023269795323</v>
          </cell>
          <cell r="AV372">
            <v>2412.6023269795323</v>
          </cell>
        </row>
        <row r="373">
          <cell r="A373" t="str">
            <v>Non-Current Liabilities</v>
          </cell>
          <cell r="D373" t="str">
            <v>Non-Current Liabilities</v>
          </cell>
        </row>
        <row r="374">
          <cell r="D374" t="str">
            <v xml:space="preserve">Reserves for future policy benefits                                          </v>
          </cell>
          <cell r="F374">
            <v>0</v>
          </cell>
          <cell r="H374">
            <v>0</v>
          </cell>
          <cell r="I374">
            <v>0</v>
          </cell>
          <cell r="J374">
            <v>0</v>
          </cell>
          <cell r="K374">
            <v>0</v>
          </cell>
          <cell r="L374">
            <v>0</v>
          </cell>
          <cell r="N374">
            <v>0</v>
          </cell>
          <cell r="O374">
            <v>0</v>
          </cell>
          <cell r="P374">
            <v>626</v>
          </cell>
          <cell r="Q374">
            <v>597</v>
          </cell>
          <cell r="R374">
            <v>597</v>
          </cell>
          <cell r="T374">
            <v>515</v>
          </cell>
          <cell r="U374">
            <v>493</v>
          </cell>
          <cell r="V374">
            <v>463</v>
          </cell>
          <cell r="W374">
            <v>438</v>
          </cell>
          <cell r="X374">
            <v>438</v>
          </cell>
          <cell r="Z374">
            <v>413</v>
          </cell>
          <cell r="AA374">
            <v>381</v>
          </cell>
          <cell r="AB374">
            <v>351</v>
          </cell>
          <cell r="AC374">
            <v>324</v>
          </cell>
          <cell r="AD374">
            <v>324</v>
          </cell>
          <cell r="AF374">
            <v>0</v>
          </cell>
          <cell r="AG374">
            <v>0</v>
          </cell>
          <cell r="AH374">
            <v>0</v>
          </cell>
          <cell r="AI374">
            <v>0</v>
          </cell>
          <cell r="AJ374">
            <v>0</v>
          </cell>
          <cell r="AL374">
            <v>0</v>
          </cell>
          <cell r="AM374">
            <v>0</v>
          </cell>
          <cell r="AN374">
            <v>0</v>
          </cell>
          <cell r="AO374">
            <v>0</v>
          </cell>
          <cell r="AP374">
            <v>0</v>
          </cell>
          <cell r="AR374">
            <v>0</v>
          </cell>
          <cell r="AS374">
            <v>0</v>
          </cell>
          <cell r="AT374">
            <v>0</v>
          </cell>
          <cell r="AU374">
            <v>0</v>
          </cell>
          <cell r="AV374">
            <v>0</v>
          </cell>
        </row>
        <row r="375">
          <cell r="D375" t="str">
            <v>Legal Fund</v>
          </cell>
          <cell r="N375">
            <v>0</v>
          </cell>
          <cell r="O375">
            <v>0</v>
          </cell>
          <cell r="P375">
            <v>0</v>
          </cell>
          <cell r="Q375">
            <v>0</v>
          </cell>
          <cell r="R375">
            <v>0</v>
          </cell>
          <cell r="T375">
            <v>0</v>
          </cell>
          <cell r="U375">
            <v>0</v>
          </cell>
          <cell r="V375">
            <v>0</v>
          </cell>
          <cell r="W375">
            <v>0</v>
          </cell>
          <cell r="X375">
            <v>0</v>
          </cell>
          <cell r="Z375">
            <v>0</v>
          </cell>
          <cell r="AA375">
            <v>0</v>
          </cell>
          <cell r="AB375">
            <v>0</v>
          </cell>
          <cell r="AC375">
            <v>35</v>
          </cell>
          <cell r="AD375">
            <v>35</v>
          </cell>
          <cell r="AF375">
            <v>35</v>
          </cell>
          <cell r="AG375">
            <v>35</v>
          </cell>
          <cell r="AH375">
            <v>35</v>
          </cell>
          <cell r="AI375">
            <v>0</v>
          </cell>
          <cell r="AJ375">
            <v>0</v>
          </cell>
          <cell r="AL375">
            <v>0</v>
          </cell>
          <cell r="AM375">
            <v>0</v>
          </cell>
          <cell r="AN375">
            <v>0</v>
          </cell>
          <cell r="AO375">
            <v>0</v>
          </cell>
          <cell r="AP375">
            <v>0</v>
          </cell>
          <cell r="AR375">
            <v>0</v>
          </cell>
          <cell r="AS375">
            <v>0</v>
          </cell>
          <cell r="AT375">
            <v>0</v>
          </cell>
          <cell r="AU375">
            <v>0</v>
          </cell>
          <cell r="AV375">
            <v>0</v>
          </cell>
        </row>
        <row r="376">
          <cell r="D376" t="str">
            <v xml:space="preserve">Long-term debt                                                                            </v>
          </cell>
          <cell r="F376">
            <v>250</v>
          </cell>
          <cell r="H376">
            <v>230</v>
          </cell>
          <cell r="I376">
            <v>177</v>
          </cell>
          <cell r="J376">
            <v>203</v>
          </cell>
          <cell r="K376">
            <v>225</v>
          </cell>
          <cell r="L376">
            <v>225</v>
          </cell>
          <cell r="N376">
            <v>203</v>
          </cell>
          <cell r="O376">
            <v>3</v>
          </cell>
          <cell r="P376">
            <v>616</v>
          </cell>
          <cell r="Q376">
            <v>889</v>
          </cell>
          <cell r="R376">
            <v>889</v>
          </cell>
          <cell r="T376">
            <v>847</v>
          </cell>
          <cell r="U376">
            <v>922</v>
          </cell>
          <cell r="V376">
            <v>907</v>
          </cell>
          <cell r="W376">
            <v>573</v>
          </cell>
          <cell r="X376">
            <v>573</v>
          </cell>
          <cell r="Z376">
            <v>579</v>
          </cell>
          <cell r="AA376">
            <v>643</v>
          </cell>
          <cell r="AB376">
            <v>667</v>
          </cell>
          <cell r="AC376">
            <v>0</v>
          </cell>
          <cell r="AD376">
            <v>0</v>
          </cell>
          <cell r="AF376">
            <v>0</v>
          </cell>
          <cell r="AG376">
            <v>0</v>
          </cell>
          <cell r="AH376">
            <v>0</v>
          </cell>
          <cell r="AI376">
            <v>0</v>
          </cell>
          <cell r="AJ376">
            <v>0</v>
          </cell>
          <cell r="AL376">
            <v>0</v>
          </cell>
          <cell r="AM376">
            <v>0</v>
          </cell>
          <cell r="AN376">
            <v>318</v>
          </cell>
          <cell r="AO376">
            <v>315.48899999999998</v>
          </cell>
          <cell r="AP376">
            <v>315.48899999999998</v>
          </cell>
          <cell r="AR376">
            <v>315.48899999999998</v>
          </cell>
          <cell r="AS376">
            <v>315.48899999999998</v>
          </cell>
          <cell r="AT376">
            <v>315.48899999999998</v>
          </cell>
          <cell r="AU376">
            <v>315.48899999999998</v>
          </cell>
          <cell r="AV376">
            <v>315.48899999999998</v>
          </cell>
        </row>
        <row r="377">
          <cell r="D377" t="str">
            <v xml:space="preserve">Other non-current liabilities                                                              </v>
          </cell>
          <cell r="F377">
            <v>149</v>
          </cell>
          <cell r="H377">
            <v>152</v>
          </cell>
          <cell r="I377">
            <v>141</v>
          </cell>
          <cell r="J377">
            <v>135</v>
          </cell>
          <cell r="K377">
            <v>136</v>
          </cell>
          <cell r="L377">
            <v>136</v>
          </cell>
          <cell r="N377">
            <v>145</v>
          </cell>
          <cell r="O377">
            <v>138</v>
          </cell>
          <cell r="P377">
            <v>190</v>
          </cell>
          <cell r="Q377">
            <v>168</v>
          </cell>
          <cell r="R377">
            <v>168</v>
          </cell>
          <cell r="T377">
            <v>161</v>
          </cell>
          <cell r="U377">
            <v>90</v>
          </cell>
          <cell r="V377">
            <v>93</v>
          </cell>
          <cell r="W377">
            <v>154</v>
          </cell>
          <cell r="X377">
            <v>154</v>
          </cell>
          <cell r="Z377">
            <v>121</v>
          </cell>
          <cell r="AA377">
            <v>129</v>
          </cell>
          <cell r="AB377">
            <v>122</v>
          </cell>
          <cell r="AC377">
            <v>109</v>
          </cell>
          <cell r="AD377">
            <v>109</v>
          </cell>
          <cell r="AF377">
            <v>118</v>
          </cell>
          <cell r="AG377">
            <v>110</v>
          </cell>
          <cell r="AH377">
            <v>107</v>
          </cell>
          <cell r="AI377">
            <v>255</v>
          </cell>
          <cell r="AJ377">
            <v>255</v>
          </cell>
          <cell r="AL377">
            <v>263</v>
          </cell>
          <cell r="AM377">
            <v>317</v>
          </cell>
          <cell r="AN377">
            <v>299</v>
          </cell>
          <cell r="AO377">
            <v>273.02100000000002</v>
          </cell>
          <cell r="AP377">
            <v>273.02100000000002</v>
          </cell>
          <cell r="AR377">
            <v>148.02100000000002</v>
          </cell>
          <cell r="AS377">
            <v>148.02100000000002</v>
          </cell>
          <cell r="AT377">
            <v>148.02100000000002</v>
          </cell>
          <cell r="AU377">
            <v>148.02100000000002</v>
          </cell>
          <cell r="AV377">
            <v>148.02100000000002</v>
          </cell>
        </row>
        <row r="378">
          <cell r="D378" t="str">
            <v>Total Non-Current Liabilities</v>
          </cell>
          <cell r="F378">
            <v>399</v>
          </cell>
          <cell r="H378">
            <v>382</v>
          </cell>
          <cell r="I378">
            <v>318</v>
          </cell>
          <cell r="J378">
            <v>338</v>
          </cell>
          <cell r="K378">
            <v>361</v>
          </cell>
          <cell r="L378">
            <v>361</v>
          </cell>
          <cell r="N378">
            <v>348</v>
          </cell>
          <cell r="O378">
            <v>141</v>
          </cell>
          <cell r="P378">
            <v>1432</v>
          </cell>
          <cell r="Q378">
            <v>1654</v>
          </cell>
          <cell r="R378">
            <v>1654</v>
          </cell>
          <cell r="T378">
            <v>1523</v>
          </cell>
          <cell r="U378">
            <v>1505</v>
          </cell>
          <cell r="V378">
            <v>1463</v>
          </cell>
          <cell r="W378">
            <v>1165</v>
          </cell>
          <cell r="X378">
            <v>1165</v>
          </cell>
          <cell r="Z378">
            <v>1113</v>
          </cell>
          <cell r="AA378">
            <v>1153</v>
          </cell>
          <cell r="AB378">
            <v>1140</v>
          </cell>
          <cell r="AC378">
            <v>468</v>
          </cell>
          <cell r="AD378">
            <v>468</v>
          </cell>
          <cell r="AF378">
            <v>153</v>
          </cell>
          <cell r="AG378">
            <v>145</v>
          </cell>
          <cell r="AH378">
            <v>142</v>
          </cell>
          <cell r="AI378">
            <v>255</v>
          </cell>
          <cell r="AJ378">
            <v>255</v>
          </cell>
          <cell r="AL378">
            <v>263</v>
          </cell>
          <cell r="AM378">
            <v>317</v>
          </cell>
          <cell r="AN378">
            <v>617</v>
          </cell>
          <cell r="AO378">
            <v>588.51</v>
          </cell>
          <cell r="AP378">
            <v>588.51</v>
          </cell>
          <cell r="AR378">
            <v>463.51</v>
          </cell>
          <cell r="AS378">
            <v>463.51</v>
          </cell>
          <cell r="AT378">
            <v>463.51</v>
          </cell>
          <cell r="AU378">
            <v>463.51</v>
          </cell>
          <cell r="AV378">
            <v>463.51</v>
          </cell>
        </row>
        <row r="379">
          <cell r="D379" t="str">
            <v xml:space="preserve">Total Liabilities                                                               </v>
          </cell>
          <cell r="F379">
            <v>1591</v>
          </cell>
          <cell r="H379">
            <v>1682</v>
          </cell>
          <cell r="I379">
            <v>1675</v>
          </cell>
          <cell r="J379">
            <v>1770</v>
          </cell>
          <cell r="K379">
            <v>2014</v>
          </cell>
          <cell r="L379">
            <v>2014</v>
          </cell>
          <cell r="N379">
            <v>1861</v>
          </cell>
          <cell r="O379">
            <v>1574</v>
          </cell>
          <cell r="P379">
            <v>3280</v>
          </cell>
          <cell r="Q379">
            <v>4099</v>
          </cell>
          <cell r="R379">
            <v>4099</v>
          </cell>
          <cell r="T379">
            <v>3662</v>
          </cell>
          <cell r="U379">
            <v>3576</v>
          </cell>
          <cell r="V379">
            <v>3382</v>
          </cell>
          <cell r="W379">
            <v>3808</v>
          </cell>
          <cell r="X379">
            <v>3808</v>
          </cell>
          <cell r="Z379">
            <v>3522</v>
          </cell>
          <cell r="AA379">
            <v>3330</v>
          </cell>
          <cell r="AB379">
            <v>3260</v>
          </cell>
          <cell r="AC379">
            <v>3632</v>
          </cell>
          <cell r="AD379">
            <v>3632</v>
          </cell>
          <cell r="AF379">
            <v>3122</v>
          </cell>
          <cell r="AG379">
            <v>3036</v>
          </cell>
          <cell r="AH379">
            <v>2595</v>
          </cell>
          <cell r="AI379">
            <v>2947</v>
          </cell>
          <cell r="AJ379">
            <v>2947</v>
          </cell>
          <cell r="AL379">
            <v>2830</v>
          </cell>
          <cell r="AM379">
            <v>2910</v>
          </cell>
          <cell r="AN379">
            <v>2880</v>
          </cell>
          <cell r="AO379">
            <v>2895.6889999999994</v>
          </cell>
          <cell r="AP379">
            <v>2895.6889999999994</v>
          </cell>
          <cell r="AR379">
            <v>2803.8708363565029</v>
          </cell>
          <cell r="AS379">
            <v>2802.6795343211934</v>
          </cell>
          <cell r="AT379">
            <v>2805.0394158065883</v>
          </cell>
          <cell r="AU379">
            <v>2876.1123269795326</v>
          </cell>
          <cell r="AV379">
            <v>2876.1123269795326</v>
          </cell>
        </row>
        <row r="380">
          <cell r="A380" t="str">
            <v xml:space="preserve">Stockholders' </v>
          </cell>
          <cell r="D380" t="str">
            <v>Common Stock</v>
          </cell>
          <cell r="F380">
            <v>27</v>
          </cell>
          <cell r="H380">
            <v>27</v>
          </cell>
          <cell r="I380">
            <v>27</v>
          </cell>
          <cell r="J380">
            <v>27</v>
          </cell>
          <cell r="K380">
            <v>27</v>
          </cell>
          <cell r="L380">
            <v>27</v>
          </cell>
          <cell r="N380">
            <v>27</v>
          </cell>
          <cell r="O380">
            <v>27</v>
          </cell>
          <cell r="P380">
            <v>27</v>
          </cell>
          <cell r="Q380">
            <v>27</v>
          </cell>
          <cell r="R380">
            <v>27</v>
          </cell>
          <cell r="T380">
            <v>28</v>
          </cell>
          <cell r="U380">
            <v>28</v>
          </cell>
          <cell r="V380">
            <v>28</v>
          </cell>
          <cell r="W380">
            <v>28</v>
          </cell>
          <cell r="X380">
            <v>28</v>
          </cell>
          <cell r="Z380">
            <v>28</v>
          </cell>
          <cell r="AA380">
            <v>28</v>
          </cell>
          <cell r="AB380">
            <v>28</v>
          </cell>
          <cell r="AC380">
            <v>28</v>
          </cell>
          <cell r="AD380">
            <v>28</v>
          </cell>
          <cell r="AF380">
            <v>28</v>
          </cell>
          <cell r="AG380">
            <v>28</v>
          </cell>
          <cell r="AH380">
            <v>28</v>
          </cell>
          <cell r="AI380">
            <v>28</v>
          </cell>
          <cell r="AJ380">
            <v>28</v>
          </cell>
          <cell r="AL380">
            <v>28</v>
          </cell>
          <cell r="AM380">
            <v>28</v>
          </cell>
          <cell r="AN380">
            <v>28</v>
          </cell>
          <cell r="AO380">
            <v>28.451000000000001</v>
          </cell>
          <cell r="AP380">
            <v>28.451000000000001</v>
          </cell>
          <cell r="AR380">
            <v>28.451000000000001</v>
          </cell>
          <cell r="AS380">
            <v>28.451000000000001</v>
          </cell>
          <cell r="AT380">
            <v>28.451000000000001</v>
          </cell>
          <cell r="AU380">
            <v>28.451000000000001</v>
          </cell>
          <cell r="AV380">
            <v>28.451000000000001</v>
          </cell>
        </row>
        <row r="381">
          <cell r="A381" t="str">
            <v>equity</v>
          </cell>
          <cell r="D381" t="str">
            <v>APIC, Retained Earnings, &amp; Other</v>
          </cell>
          <cell r="F381">
            <v>1260</v>
          </cell>
          <cell r="H381">
            <v>1305</v>
          </cell>
          <cell r="I381">
            <v>1207</v>
          </cell>
          <cell r="J381">
            <v>1241</v>
          </cell>
          <cell r="K381">
            <v>1265</v>
          </cell>
          <cell r="L381">
            <v>1265</v>
          </cell>
          <cell r="N381">
            <v>1297</v>
          </cell>
          <cell r="O381">
            <v>1357</v>
          </cell>
          <cell r="P381">
            <v>1427</v>
          </cell>
          <cell r="Q381">
            <v>1474</v>
          </cell>
          <cell r="R381">
            <v>1474</v>
          </cell>
          <cell r="T381">
            <v>1560</v>
          </cell>
          <cell r="U381">
            <v>1620</v>
          </cell>
          <cell r="V381">
            <v>1601</v>
          </cell>
          <cell r="W381">
            <v>1660</v>
          </cell>
          <cell r="X381">
            <v>1660</v>
          </cell>
          <cell r="Z381">
            <v>1640</v>
          </cell>
          <cell r="AA381">
            <v>1649</v>
          </cell>
          <cell r="AB381">
            <v>1663</v>
          </cell>
          <cell r="AC381">
            <v>1240</v>
          </cell>
          <cell r="AD381">
            <v>1240</v>
          </cell>
          <cell r="AF381">
            <v>1271</v>
          </cell>
          <cell r="AG381">
            <v>1283</v>
          </cell>
          <cell r="AH381">
            <v>1293</v>
          </cell>
          <cell r="AI381">
            <v>1332</v>
          </cell>
          <cell r="AJ381">
            <v>1331.92</v>
          </cell>
          <cell r="AL381">
            <v>1367</v>
          </cell>
          <cell r="AM381">
            <v>1392</v>
          </cell>
          <cell r="AN381">
            <v>1435.6099999999997</v>
          </cell>
          <cell r="AO381">
            <v>1479.4980000000003</v>
          </cell>
          <cell r="AP381">
            <v>1479.4980000000003</v>
          </cell>
          <cell r="AR381">
            <v>1526.4352362449861</v>
          </cell>
          <cell r="AS381">
            <v>1571.6127758195673</v>
          </cell>
          <cell r="AT381">
            <v>1625.2041545006384</v>
          </cell>
          <cell r="AU381">
            <v>1680.5028701252434</v>
          </cell>
          <cell r="AV381">
            <v>1680.5028701252434</v>
          </cell>
        </row>
        <row r="382">
          <cell r="D382" t="str">
            <v xml:space="preserve">Total Stockholders' Equity                                                      </v>
          </cell>
          <cell r="F382">
            <v>1287</v>
          </cell>
          <cell r="H382">
            <v>1332</v>
          </cell>
          <cell r="I382">
            <v>1234</v>
          </cell>
          <cell r="J382">
            <v>1268</v>
          </cell>
          <cell r="K382">
            <v>1292</v>
          </cell>
          <cell r="L382">
            <v>1292</v>
          </cell>
          <cell r="N382">
            <v>1324</v>
          </cell>
          <cell r="O382">
            <v>1384</v>
          </cell>
          <cell r="P382">
            <v>1454</v>
          </cell>
          <cell r="Q382">
            <v>1501</v>
          </cell>
          <cell r="R382">
            <v>1501</v>
          </cell>
          <cell r="T382">
            <v>1588</v>
          </cell>
          <cell r="U382">
            <v>1648</v>
          </cell>
          <cell r="V382">
            <v>1629</v>
          </cell>
          <cell r="W382">
            <v>1688</v>
          </cell>
          <cell r="X382">
            <v>1688</v>
          </cell>
          <cell r="Z382">
            <v>1668</v>
          </cell>
          <cell r="AA382">
            <v>1677</v>
          </cell>
          <cell r="AB382">
            <v>1691</v>
          </cell>
          <cell r="AC382">
            <v>1268</v>
          </cell>
          <cell r="AD382">
            <v>1268</v>
          </cell>
          <cell r="AF382">
            <v>1299</v>
          </cell>
          <cell r="AG382">
            <v>1311</v>
          </cell>
          <cell r="AH382">
            <v>1321</v>
          </cell>
          <cell r="AI382">
            <v>1360</v>
          </cell>
          <cell r="AJ382">
            <v>1359.92</v>
          </cell>
          <cell r="AL382">
            <v>1395</v>
          </cell>
          <cell r="AM382">
            <v>1420</v>
          </cell>
          <cell r="AN382">
            <v>1463.6099999999997</v>
          </cell>
          <cell r="AO382">
            <v>1507.9490000000003</v>
          </cell>
          <cell r="AP382">
            <v>1507.9490000000003</v>
          </cell>
          <cell r="AR382">
            <v>1554.8862362449861</v>
          </cell>
          <cell r="AS382">
            <v>1600.0637758195674</v>
          </cell>
          <cell r="AT382">
            <v>1653.6551545006384</v>
          </cell>
          <cell r="AU382">
            <v>1708.9538701252434</v>
          </cell>
          <cell r="AV382">
            <v>1708.9538701252434</v>
          </cell>
        </row>
        <row r="383">
          <cell r="D383" t="str">
            <v>Tangible Equity</v>
          </cell>
          <cell r="K383">
            <v>804</v>
          </cell>
          <cell r="L383">
            <v>804</v>
          </cell>
          <cell r="N383">
            <v>816</v>
          </cell>
          <cell r="O383">
            <v>882</v>
          </cell>
          <cell r="P383">
            <v>466</v>
          </cell>
          <cell r="Q383">
            <v>277</v>
          </cell>
          <cell r="R383">
            <v>277</v>
          </cell>
          <cell r="T383">
            <v>371</v>
          </cell>
          <cell r="U383">
            <v>439</v>
          </cell>
          <cell r="V383">
            <v>432</v>
          </cell>
          <cell r="W383">
            <v>500</v>
          </cell>
          <cell r="X383">
            <v>500</v>
          </cell>
          <cell r="Z383">
            <v>488</v>
          </cell>
          <cell r="AA383">
            <v>488</v>
          </cell>
          <cell r="AB383">
            <v>511</v>
          </cell>
          <cell r="AC383">
            <v>462</v>
          </cell>
          <cell r="AD383">
            <v>462</v>
          </cell>
          <cell r="AF383">
            <v>455</v>
          </cell>
          <cell r="AG383">
            <v>477</v>
          </cell>
          <cell r="AH383">
            <v>501</v>
          </cell>
          <cell r="AI383">
            <v>570</v>
          </cell>
          <cell r="AJ383">
            <v>569.92000000000007</v>
          </cell>
          <cell r="AL383">
            <v>609</v>
          </cell>
          <cell r="AM383">
            <v>613</v>
          </cell>
          <cell r="AN383">
            <v>670.60999999999967</v>
          </cell>
          <cell r="AO383">
            <v>731.07500000000027</v>
          </cell>
          <cell r="AP383">
            <v>731.07500000000027</v>
          </cell>
          <cell r="AR383">
            <v>782.1312362449861</v>
          </cell>
          <cell r="AS383">
            <v>831.42777581956739</v>
          </cell>
          <cell r="AT383">
            <v>889.13815450063851</v>
          </cell>
          <cell r="AU383">
            <v>948.55587012524347</v>
          </cell>
          <cell r="AV383">
            <v>948.55587012524347</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BPTACShadowWks0001"/>
      <sheetName val="Instructions"/>
      <sheetName val="----"/>
      <sheetName val="Control"/>
      <sheetName val="---"/>
      <sheetName val="One Pager"/>
      <sheetName val="Model"/>
      <sheetName val="Worksheet"/>
      <sheetName val="-----"/>
      <sheetName val="Financials"/>
      <sheetName val="Segments"/>
      <sheetName val="Company Industry Specific"/>
      <sheetName val="Bonds"/>
      <sheetName val="Misc Data"/>
      <sheetName val="Consensus 2"/>
      <sheetName val="Consensus"/>
      <sheetName val="Lookups"/>
      <sheetName val="Prism One Pager"/>
      <sheetName val="Fins"/>
      <sheetName val="Generic"/>
      <sheetName val="Retail"/>
      <sheetName val="REIT"/>
      <sheetName val="Utes"/>
      <sheetName val="WBS"/>
      <sheetName val="------"/>
      <sheetName val="AB_Credit_Model"/>
    </sheetNames>
    <sheetDataSet>
      <sheetData sheetId="0"/>
      <sheetData sheetId="1"/>
      <sheetData sheetId="2"/>
      <sheetData sheetId="3">
        <row r="8">
          <cell r="B8" t="str">
            <v>FTR</v>
          </cell>
        </row>
        <row r="9">
          <cell r="B9" t="str">
            <v>Frontier Communications Corp</v>
          </cell>
        </row>
        <row r="11">
          <cell r="B11"/>
        </row>
        <row r="12">
          <cell r="B12" t="str">
            <v>Equity</v>
          </cell>
        </row>
        <row r="15">
          <cell r="B15"/>
        </row>
        <row r="26">
          <cell r="B26" t="str">
            <v>Y</v>
          </cell>
        </row>
        <row r="28">
          <cell r="B28" t="str">
            <v>FQ</v>
          </cell>
        </row>
        <row r="38">
          <cell r="B38" t="str">
            <v>N</v>
          </cell>
        </row>
      </sheetData>
      <sheetData sheetId="4"/>
      <sheetData sheetId="5"/>
      <sheetData sheetId="6">
        <row r="6">
          <cell r="C6" t="str">
            <v>USD</v>
          </cell>
        </row>
      </sheetData>
      <sheetData sheetId="7"/>
      <sheetData sheetId="8"/>
      <sheetData sheetId="9">
        <row r="1">
          <cell r="A1"/>
          <cell r="B1"/>
          <cell r="C1"/>
          <cell r="F1">
            <v>-20</v>
          </cell>
          <cell r="G1">
            <v>-19</v>
          </cell>
          <cell r="H1">
            <v>-18</v>
          </cell>
          <cell r="I1">
            <v>-17</v>
          </cell>
          <cell r="J1">
            <v>-16</v>
          </cell>
          <cell r="K1">
            <v>-15</v>
          </cell>
          <cell r="L1">
            <v>-14</v>
          </cell>
          <cell r="M1">
            <v>-13</v>
          </cell>
          <cell r="N1">
            <v>-12</v>
          </cell>
          <cell r="O1">
            <v>-11</v>
          </cell>
          <cell r="P1">
            <v>-10</v>
          </cell>
          <cell r="Q1">
            <v>-9</v>
          </cell>
          <cell r="R1">
            <v>-8</v>
          </cell>
          <cell r="S1">
            <v>-7</v>
          </cell>
          <cell r="T1">
            <v>-6</v>
          </cell>
          <cell r="U1">
            <v>-5</v>
          </cell>
          <cell r="V1">
            <v>-4</v>
          </cell>
          <cell r="W1">
            <v>-3</v>
          </cell>
          <cell r="X1">
            <v>-2</v>
          </cell>
          <cell r="Y1">
            <v>-1</v>
          </cell>
          <cell r="Z1" t="str">
            <v>-0</v>
          </cell>
          <cell r="AB1"/>
          <cell r="AC1"/>
          <cell r="AD1"/>
          <cell r="AE1"/>
          <cell r="AF1"/>
          <cell r="AG1"/>
          <cell r="AH1"/>
          <cell r="AI1"/>
          <cell r="AJ1"/>
          <cell r="AK1"/>
          <cell r="AL1"/>
        </row>
        <row r="2">
          <cell r="A2">
            <v>2</v>
          </cell>
          <cell r="B2"/>
          <cell r="C2"/>
          <cell r="D2"/>
          <cell r="E2"/>
          <cell r="F2" t="str">
            <v>-20FQ</v>
          </cell>
          <cell r="G2" t="str">
            <v>-19FQ</v>
          </cell>
          <cell r="H2" t="str">
            <v>-18FQ</v>
          </cell>
          <cell r="I2" t="str">
            <v>-17FQ</v>
          </cell>
          <cell r="J2" t="str">
            <v>-16FQ</v>
          </cell>
          <cell r="K2" t="str">
            <v>-15FQ</v>
          </cell>
          <cell r="L2" t="str">
            <v>-14FQ</v>
          </cell>
          <cell r="M2" t="str">
            <v>-13FQ</v>
          </cell>
          <cell r="N2" t="str">
            <v>-12FQ</v>
          </cell>
          <cell r="O2" t="str">
            <v>-11FQ</v>
          </cell>
          <cell r="P2" t="str">
            <v>-10FQ</v>
          </cell>
          <cell r="Q2" t="str">
            <v>-9FQ</v>
          </cell>
          <cell r="R2" t="str">
            <v>-8FQ</v>
          </cell>
          <cell r="S2" t="str">
            <v>-7FQ</v>
          </cell>
          <cell r="T2" t="str">
            <v>-6FQ</v>
          </cell>
          <cell r="U2" t="str">
            <v>-5FQ</v>
          </cell>
          <cell r="V2" t="str">
            <v>-4FQ</v>
          </cell>
          <cell r="W2" t="str">
            <v>-3FQ</v>
          </cell>
          <cell r="X2" t="str">
            <v>-2FQ</v>
          </cell>
          <cell r="Y2" t="str">
            <v>-1FQ</v>
          </cell>
          <cell r="Z2" t="str">
            <v>-0FQ</v>
          </cell>
          <cell r="AB2" t="str">
            <v>-10FY</v>
          </cell>
          <cell r="AC2" t="str">
            <v>-9FY</v>
          </cell>
          <cell r="AD2" t="str">
            <v>-8FY</v>
          </cell>
          <cell r="AE2" t="str">
            <v>-7FY</v>
          </cell>
          <cell r="AF2" t="str">
            <v>-6FY</v>
          </cell>
          <cell r="AG2" t="str">
            <v>-5FY</v>
          </cell>
          <cell r="AH2" t="str">
            <v>-4FY</v>
          </cell>
          <cell r="AI2" t="str">
            <v>-3FY</v>
          </cell>
          <cell r="AJ2" t="str">
            <v>-2FY</v>
          </cell>
          <cell r="AK2" t="str">
            <v>-1FY</v>
          </cell>
          <cell r="AL2" t="str">
            <v>-0FY</v>
          </cell>
        </row>
        <row r="3">
          <cell r="A3" t="str">
            <v>#First Data Row:</v>
          </cell>
          <cell r="B3">
            <v>11</v>
          </cell>
          <cell r="C3"/>
          <cell r="D3" t="str">
            <v>#Year:</v>
          </cell>
          <cell r="E3"/>
          <cell r="F3" t="str">
            <v>2011</v>
          </cell>
          <cell r="G3" t="str">
            <v>2011</v>
          </cell>
          <cell r="H3" t="str">
            <v>2012</v>
          </cell>
          <cell r="I3" t="str">
            <v>2012</v>
          </cell>
          <cell r="J3" t="str">
            <v>2012</v>
          </cell>
          <cell r="K3" t="str">
            <v>2012</v>
          </cell>
          <cell r="L3" t="str">
            <v>2013</v>
          </cell>
          <cell r="M3" t="str">
            <v>2013</v>
          </cell>
          <cell r="N3" t="str">
            <v>2013</v>
          </cell>
          <cell r="O3" t="str">
            <v>2013</v>
          </cell>
          <cell r="P3" t="str">
            <v>2014</v>
          </cell>
          <cell r="Q3" t="str">
            <v>2014</v>
          </cell>
          <cell r="R3" t="str">
            <v>2014</v>
          </cell>
          <cell r="S3" t="str">
            <v>2014</v>
          </cell>
          <cell r="T3" t="str">
            <v>2015</v>
          </cell>
          <cell r="U3" t="str">
            <v>2015</v>
          </cell>
          <cell r="V3" t="str">
            <v>2015</v>
          </cell>
          <cell r="W3" t="str">
            <v>2015</v>
          </cell>
          <cell r="X3" t="str">
            <v>2016</v>
          </cell>
          <cell r="Y3" t="str">
            <v>2016</v>
          </cell>
          <cell r="Z3" t="str">
            <v>2016</v>
          </cell>
          <cell r="AB3" t="str">
            <v>2005</v>
          </cell>
          <cell r="AC3" t="str">
            <v>2006</v>
          </cell>
          <cell r="AD3" t="str">
            <v>2007</v>
          </cell>
          <cell r="AE3" t="str">
            <v>2008</v>
          </cell>
          <cell r="AF3" t="str">
            <v>2009</v>
          </cell>
          <cell r="AG3" t="str">
            <v>2010</v>
          </cell>
          <cell r="AH3" t="str">
            <v>2011</v>
          </cell>
          <cell r="AI3" t="str">
            <v>2012</v>
          </cell>
          <cell r="AJ3" t="str">
            <v>2013</v>
          </cell>
          <cell r="AK3" t="str">
            <v>2014</v>
          </cell>
          <cell r="AL3" t="str">
            <v>2015</v>
          </cell>
        </row>
        <row r="4">
          <cell r="A4" t="str">
            <v>#First Data Column:</v>
          </cell>
          <cell r="B4">
            <v>6</v>
          </cell>
          <cell r="C4"/>
          <cell r="D4" t="str">
            <v>#Q Code:</v>
          </cell>
          <cell r="E4"/>
          <cell r="F4" t="str">
            <v>Q3</v>
          </cell>
          <cell r="G4" t="str">
            <v>Q4</v>
          </cell>
          <cell r="H4" t="str">
            <v>Q1</v>
          </cell>
          <cell r="I4" t="str">
            <v>Q2</v>
          </cell>
          <cell r="J4" t="str">
            <v>Q3</v>
          </cell>
          <cell r="K4" t="str">
            <v>Q4</v>
          </cell>
          <cell r="L4" t="str">
            <v>Q1</v>
          </cell>
          <cell r="M4" t="str">
            <v>Q2</v>
          </cell>
          <cell r="N4" t="str">
            <v>Q3</v>
          </cell>
          <cell r="O4" t="str">
            <v>Q4</v>
          </cell>
          <cell r="P4" t="str">
            <v>Q1</v>
          </cell>
          <cell r="Q4" t="str">
            <v>Q2</v>
          </cell>
          <cell r="R4" t="str">
            <v>Q3</v>
          </cell>
          <cell r="S4" t="str">
            <v>Q4</v>
          </cell>
          <cell r="T4" t="str">
            <v>Q1</v>
          </cell>
          <cell r="U4" t="str">
            <v>Q2</v>
          </cell>
          <cell r="V4" t="str">
            <v>Q3</v>
          </cell>
          <cell r="W4" t="str">
            <v>Q4</v>
          </cell>
          <cell r="X4" t="str">
            <v>Q1</v>
          </cell>
          <cell r="Y4" t="str">
            <v>Q2</v>
          </cell>
          <cell r="Z4" t="str">
            <v>Q3</v>
          </cell>
          <cell r="AA4"/>
          <cell r="AB4" t="str">
            <v>Y</v>
          </cell>
          <cell r="AC4" t="str">
            <v>Y</v>
          </cell>
          <cell r="AD4" t="str">
            <v>Y</v>
          </cell>
          <cell r="AE4" t="str">
            <v>Y</v>
          </cell>
          <cell r="AF4" t="str">
            <v>Y</v>
          </cell>
          <cell r="AG4" t="str">
            <v>Y</v>
          </cell>
          <cell r="AH4" t="str">
            <v>Y</v>
          </cell>
          <cell r="AI4" t="str">
            <v>Y</v>
          </cell>
          <cell r="AJ4" t="str">
            <v>Y</v>
          </cell>
          <cell r="AK4" t="str">
            <v>Y</v>
          </cell>
          <cell r="AL4" t="str">
            <v>Y</v>
          </cell>
        </row>
        <row r="5">
          <cell r="A5" t="str">
            <v>#Formula for First Cell:</v>
          </cell>
          <cell r="B5" t="str">
            <v>=IF(OR(ISBLANK($B11),ISBLANK(F$2)),"",BDP(TICKER,$B11,$C11,F$2,"EQY_FUND_CRNCY",BB_CRNCY,"FA_ADJUSTED",$D11,"Fill=0"))</v>
          </cell>
          <cell r="C5"/>
          <cell r="D5" t="str">
            <v>#Q Number:</v>
          </cell>
          <cell r="E5"/>
          <cell r="F5" t="str">
            <v>3</v>
          </cell>
          <cell r="G5" t="str">
            <v>4</v>
          </cell>
          <cell r="H5" t="str">
            <v>1</v>
          </cell>
          <cell r="I5" t="str">
            <v>2</v>
          </cell>
          <cell r="J5" t="str">
            <v>3</v>
          </cell>
          <cell r="K5" t="str">
            <v>4</v>
          </cell>
          <cell r="L5" t="str">
            <v>1</v>
          </cell>
          <cell r="M5" t="str">
            <v>2</v>
          </cell>
          <cell r="N5" t="str">
            <v>3</v>
          </cell>
          <cell r="O5" t="str">
            <v>4</v>
          </cell>
          <cell r="P5" t="str">
            <v>1</v>
          </cell>
          <cell r="Q5" t="str">
            <v>2</v>
          </cell>
          <cell r="R5" t="str">
            <v>3</v>
          </cell>
          <cell r="S5" t="str">
            <v>4</v>
          </cell>
          <cell r="T5" t="str">
            <v>1</v>
          </cell>
          <cell r="U5" t="str">
            <v>2</v>
          </cell>
          <cell r="V5" t="str">
            <v>3</v>
          </cell>
          <cell r="W5" t="str">
            <v>4</v>
          </cell>
          <cell r="X5" t="str">
            <v>1</v>
          </cell>
          <cell r="Y5" t="str">
            <v>2</v>
          </cell>
          <cell r="Z5" t="str">
            <v>3</v>
          </cell>
        </row>
        <row r="6">
          <cell r="A6"/>
          <cell r="B6"/>
          <cell r="C6"/>
          <cell r="D6"/>
          <cell r="E6"/>
          <cell r="F6"/>
          <cell r="G6"/>
          <cell r="H6"/>
          <cell r="I6"/>
          <cell r="J6"/>
          <cell r="K6"/>
          <cell r="L6"/>
          <cell r="M6"/>
          <cell r="N6"/>
          <cell r="O6"/>
          <cell r="P6"/>
          <cell r="Q6"/>
          <cell r="R6"/>
          <cell r="S6"/>
          <cell r="T6"/>
          <cell r="U6"/>
          <cell r="V6"/>
          <cell r="W6"/>
          <cell r="X6"/>
          <cell r="Y6"/>
          <cell r="Z6"/>
        </row>
        <row r="7">
          <cell r="A7"/>
          <cell r="B7"/>
          <cell r="C7"/>
          <cell r="D7"/>
          <cell r="E7"/>
          <cell r="F7"/>
          <cell r="G7"/>
          <cell r="H7"/>
          <cell r="I7"/>
          <cell r="J7"/>
          <cell r="K7"/>
          <cell r="L7"/>
          <cell r="M7"/>
          <cell r="N7"/>
          <cell r="O7"/>
          <cell r="P7"/>
          <cell r="Q7"/>
          <cell r="R7"/>
          <cell r="S7"/>
          <cell r="T7"/>
          <cell r="U7"/>
          <cell r="V7"/>
          <cell r="W7"/>
          <cell r="X7"/>
          <cell r="Y7"/>
          <cell r="Z7">
            <v>26</v>
          </cell>
        </row>
        <row r="8">
          <cell r="A8"/>
          <cell r="B8"/>
          <cell r="C8"/>
          <cell r="D8"/>
          <cell r="E8"/>
          <cell r="F8">
            <v>40816</v>
          </cell>
          <cell r="G8">
            <v>40908</v>
          </cell>
          <cell r="H8">
            <v>40999</v>
          </cell>
          <cell r="I8">
            <v>41090</v>
          </cell>
          <cell r="J8">
            <v>41182</v>
          </cell>
          <cell r="K8">
            <v>41274</v>
          </cell>
          <cell r="L8">
            <v>41364</v>
          </cell>
          <cell r="M8">
            <v>41455</v>
          </cell>
          <cell r="N8">
            <v>41547</v>
          </cell>
          <cell r="O8">
            <v>41639</v>
          </cell>
          <cell r="P8">
            <v>41729</v>
          </cell>
          <cell r="Q8">
            <v>41820</v>
          </cell>
          <cell r="R8">
            <v>41912</v>
          </cell>
          <cell r="S8">
            <v>42004</v>
          </cell>
          <cell r="T8">
            <v>42094</v>
          </cell>
          <cell r="U8">
            <v>42185</v>
          </cell>
          <cell r="V8">
            <v>42277</v>
          </cell>
          <cell r="W8">
            <v>42369</v>
          </cell>
          <cell r="X8">
            <v>42460</v>
          </cell>
          <cell r="Y8">
            <v>42551</v>
          </cell>
          <cell r="Z8">
            <v>42643</v>
          </cell>
          <cell r="AA8"/>
          <cell r="AB8">
            <v>38717</v>
          </cell>
          <cell r="AC8">
            <v>39082</v>
          </cell>
          <cell r="AD8">
            <v>39447</v>
          </cell>
          <cell r="AE8">
            <v>39813</v>
          </cell>
          <cell r="AF8">
            <v>40178</v>
          </cell>
          <cell r="AG8">
            <v>40543</v>
          </cell>
          <cell r="AH8">
            <v>40908</v>
          </cell>
          <cell r="AI8">
            <v>41274</v>
          </cell>
          <cell r="AJ8">
            <v>41639</v>
          </cell>
          <cell r="AK8">
            <v>42004</v>
          </cell>
          <cell r="AL8">
            <v>42369</v>
          </cell>
        </row>
        <row r="9">
          <cell r="A9"/>
          <cell r="B9"/>
          <cell r="C9"/>
          <cell r="D9" t="str">
            <v>Year Label Adj.</v>
          </cell>
          <cell r="E9"/>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B9">
            <v>0</v>
          </cell>
          <cell r="AC9">
            <v>0</v>
          </cell>
          <cell r="AD9">
            <v>0</v>
          </cell>
          <cell r="AE9">
            <v>0</v>
          </cell>
          <cell r="AF9">
            <v>0</v>
          </cell>
          <cell r="AG9">
            <v>0</v>
          </cell>
          <cell r="AH9">
            <v>0</v>
          </cell>
          <cell r="AI9">
            <v>0</v>
          </cell>
          <cell r="AJ9">
            <v>0</v>
          </cell>
          <cell r="AK9">
            <v>0</v>
          </cell>
          <cell r="AL9">
            <v>0</v>
          </cell>
        </row>
        <row r="10">
          <cell r="A10" t="str">
            <v>INCOME STATEMENT</v>
          </cell>
          <cell r="B10" t="str">
            <v>X</v>
          </cell>
          <cell r="C10"/>
          <cell r="D10" t="str">
            <v>X</v>
          </cell>
          <cell r="E10"/>
          <cell r="F10" t="str">
            <v>2011 Q3</v>
          </cell>
          <cell r="G10" t="str">
            <v>2011 Q4</v>
          </cell>
          <cell r="H10" t="str">
            <v>2012 Q1</v>
          </cell>
          <cell r="I10" t="str">
            <v>2012 Q2</v>
          </cell>
          <cell r="J10" t="str">
            <v>2012 Q3</v>
          </cell>
          <cell r="K10" t="str">
            <v>2012 Q4</v>
          </cell>
          <cell r="L10" t="str">
            <v>2013 Q1</v>
          </cell>
          <cell r="M10" t="str">
            <v>2013 Q2</v>
          </cell>
          <cell r="N10" t="str">
            <v>2013 Q3</v>
          </cell>
          <cell r="O10" t="str">
            <v>2013 Q4</v>
          </cell>
          <cell r="P10" t="str">
            <v>2014 Q1</v>
          </cell>
          <cell r="Q10" t="str">
            <v>2014 Q2</v>
          </cell>
          <cell r="R10" t="str">
            <v>2014 Q3</v>
          </cell>
          <cell r="S10" t="str">
            <v>2014 Q4</v>
          </cell>
          <cell r="T10" t="str">
            <v>2015 Q1</v>
          </cell>
          <cell r="U10" t="str">
            <v>2015 Q2</v>
          </cell>
          <cell r="V10" t="str">
            <v>2015 Q3</v>
          </cell>
          <cell r="W10" t="str">
            <v>2015 Q4</v>
          </cell>
          <cell r="X10" t="str">
            <v>2016 Q1</v>
          </cell>
          <cell r="Y10" t="str">
            <v>2016 Q2</v>
          </cell>
          <cell r="Z10" t="str">
            <v>2016 Q3</v>
          </cell>
          <cell r="AA10"/>
          <cell r="AB10" t="str">
            <v>2005 Y</v>
          </cell>
          <cell r="AC10" t="str">
            <v>2006 Y</v>
          </cell>
          <cell r="AD10" t="str">
            <v>2007 Y</v>
          </cell>
          <cell r="AE10" t="str">
            <v>2008 Y</v>
          </cell>
          <cell r="AF10" t="str">
            <v>2009 Y</v>
          </cell>
          <cell r="AG10" t="str">
            <v>2010 Y</v>
          </cell>
          <cell r="AH10" t="str">
            <v>2011 Y</v>
          </cell>
          <cell r="AI10" t="str">
            <v>2012 Y</v>
          </cell>
          <cell r="AJ10" t="str">
            <v>2013 Y</v>
          </cell>
          <cell r="AK10" t="str">
            <v>2014 Y</v>
          </cell>
          <cell r="AL10" t="str">
            <v>2015 Y</v>
          </cell>
          <cell r="AM10"/>
          <cell r="AN10"/>
        </row>
        <row r="11">
          <cell r="A11" t="str">
            <v>Date</v>
          </cell>
          <cell r="B11" t="str">
            <v>BEST_PERIOD_END_DATE</v>
          </cell>
          <cell r="C11" t="str">
            <v>BEST_FPERIOD_OVERRIDE</v>
          </cell>
          <cell r="D11"/>
          <cell r="E11"/>
          <cell r="F11" t="str">
            <v>9/30/2011</v>
          </cell>
          <cell r="G11" t="str">
            <v>12/31/2011</v>
          </cell>
          <cell r="H11" t="str">
            <v>3/31/2012</v>
          </cell>
          <cell r="I11" t="str">
            <v>6/30/2012</v>
          </cell>
          <cell r="J11" t="str">
            <v>9/30/2012</v>
          </cell>
          <cell r="K11" t="str">
            <v>12/31/2012</v>
          </cell>
          <cell r="L11" t="str">
            <v>3/31/2013</v>
          </cell>
          <cell r="M11" t="str">
            <v>6/30/2013</v>
          </cell>
          <cell r="N11" t="str">
            <v>9/30/2013</v>
          </cell>
          <cell r="O11" t="str">
            <v>12/31/2013</v>
          </cell>
          <cell r="P11" t="str">
            <v>3/31/2014</v>
          </cell>
          <cell r="Q11" t="str">
            <v>6/30/2014</v>
          </cell>
          <cell r="R11" t="str">
            <v>9/30/2014</v>
          </cell>
          <cell r="S11" t="str">
            <v>12/31/2014</v>
          </cell>
          <cell r="T11" t="str">
            <v>3/31/2015</v>
          </cell>
          <cell r="U11" t="str">
            <v>6/30/2015</v>
          </cell>
          <cell r="V11" t="str">
            <v>9/30/2015</v>
          </cell>
          <cell r="W11" t="str">
            <v>12/31/2015</v>
          </cell>
          <cell r="X11" t="str">
            <v>3/31/2016</v>
          </cell>
          <cell r="Y11" t="str">
            <v>6/30/2016</v>
          </cell>
          <cell r="Z11" t="str">
            <v>9/30/2016</v>
          </cell>
          <cell r="AA11" t="str">
            <v/>
          </cell>
          <cell r="AB11" t="str">
            <v>12/31/2005</v>
          </cell>
          <cell r="AC11" t="str">
            <v>12/31/2006</v>
          </cell>
          <cell r="AD11" t="str">
            <v>12/31/2007</v>
          </cell>
          <cell r="AE11" t="str">
            <v>12/31/2008</v>
          </cell>
          <cell r="AF11" t="str">
            <v>12/31/2009</v>
          </cell>
          <cell r="AG11" t="str">
            <v>12/31/2010</v>
          </cell>
          <cell r="AH11" t="str">
            <v>12/31/2011</v>
          </cell>
          <cell r="AI11" t="str">
            <v>12/31/2012</v>
          </cell>
          <cell r="AJ11" t="str">
            <v>12/31/2013</v>
          </cell>
          <cell r="AK11" t="str">
            <v>12/31/2014</v>
          </cell>
          <cell r="AL11" t="str">
            <v>12/31/2015</v>
          </cell>
          <cell r="AM11"/>
          <cell r="AN11"/>
        </row>
        <row r="12">
          <cell r="A12"/>
          <cell r="B12" t="str">
            <v>FISCAL_YEAR_PERIOD</v>
          </cell>
          <cell r="C12" t="str">
            <v>EQY_FUND_RELATIVE_PERIOD</v>
          </cell>
          <cell r="D12"/>
          <cell r="E12"/>
          <cell r="F12" t="str">
            <v>2011 Q3</v>
          </cell>
          <cell r="G12" t="str">
            <v>2011 Q4</v>
          </cell>
          <cell r="H12" t="str">
            <v>2012 Q1</v>
          </cell>
          <cell r="I12" t="str">
            <v>2012 Q2</v>
          </cell>
          <cell r="J12" t="str">
            <v>2012 Q3</v>
          </cell>
          <cell r="K12" t="str">
            <v>2012 Q4</v>
          </cell>
          <cell r="L12" t="str">
            <v>2013 Q1</v>
          </cell>
          <cell r="M12" t="str">
            <v>2013 Q2</v>
          </cell>
          <cell r="N12" t="str">
            <v>2013 Q3</v>
          </cell>
          <cell r="O12" t="str">
            <v>2013 Q4</v>
          </cell>
          <cell r="P12" t="str">
            <v>2014 Q1</v>
          </cell>
          <cell r="Q12" t="str">
            <v>2014 Q2</v>
          </cell>
          <cell r="R12" t="str">
            <v>2014 Q3</v>
          </cell>
          <cell r="S12" t="str">
            <v>2014 Q4</v>
          </cell>
          <cell r="T12" t="str">
            <v>2015 Q1</v>
          </cell>
          <cell r="U12" t="str">
            <v>2015 Q2</v>
          </cell>
          <cell r="V12" t="str">
            <v>2015 Q3</v>
          </cell>
          <cell r="W12" t="str">
            <v>2015 Q4</v>
          </cell>
          <cell r="X12" t="str">
            <v>2016 Q1</v>
          </cell>
          <cell r="Y12" t="str">
            <v>2016 Q2</v>
          </cell>
          <cell r="Z12" t="str">
            <v>2016 Q3</v>
          </cell>
          <cell r="AA12" t="str">
            <v/>
          </cell>
          <cell r="AB12" t="str">
            <v>2005 Y</v>
          </cell>
          <cell r="AC12" t="str">
            <v>2006 Y</v>
          </cell>
          <cell r="AD12" t="str">
            <v>2007 Y</v>
          </cell>
          <cell r="AE12" t="str">
            <v>2008 Y</v>
          </cell>
          <cell r="AF12" t="str">
            <v>2009 Y</v>
          </cell>
          <cell r="AG12" t="str">
            <v>2010 Y</v>
          </cell>
          <cell r="AH12" t="str">
            <v>2011 Y</v>
          </cell>
          <cell r="AI12" t="str">
            <v>2012 Y</v>
          </cell>
          <cell r="AJ12" t="str">
            <v>2013 Y</v>
          </cell>
          <cell r="AK12" t="str">
            <v>2014 Y</v>
          </cell>
          <cell r="AL12" t="str">
            <v>2015 Y</v>
          </cell>
          <cell r="AM12"/>
          <cell r="AN12"/>
        </row>
        <row r="13">
          <cell r="A13" t="str">
            <v>Revenue</v>
          </cell>
          <cell r="B13" t="str">
            <v>SALES_REV_TURN</v>
          </cell>
          <cell r="C13" t="str">
            <v>EQY_FUND_RELATIVE_PERIOD</v>
          </cell>
          <cell r="D13"/>
          <cell r="E13"/>
          <cell r="F13">
            <v>1290.9390000000001</v>
          </cell>
          <cell r="G13">
            <v>1283.152</v>
          </cell>
          <cell r="H13">
            <v>1268.0540000000001</v>
          </cell>
          <cell r="I13">
            <v>1258.777</v>
          </cell>
          <cell r="J13">
            <v>1252.4690000000001</v>
          </cell>
          <cell r="K13">
            <v>1232.5530000000001</v>
          </cell>
          <cell r="L13">
            <v>1205.396</v>
          </cell>
          <cell r="M13">
            <v>1190.5329999999999</v>
          </cell>
          <cell r="N13">
            <v>1185.278</v>
          </cell>
          <cell r="O13">
            <v>1180.3689999999999</v>
          </cell>
          <cell r="P13">
            <v>1154.046</v>
          </cell>
          <cell r="Q13">
            <v>1147.2650000000001</v>
          </cell>
          <cell r="R13">
            <v>1140.874</v>
          </cell>
          <cell r="S13">
            <v>1330.3050000000001</v>
          </cell>
          <cell r="T13">
            <v>1371</v>
          </cell>
          <cell r="U13">
            <v>1368</v>
          </cell>
          <cell r="V13">
            <v>1424</v>
          </cell>
          <cell r="W13">
            <v>1413</v>
          </cell>
          <cell r="X13">
            <v>1355</v>
          </cell>
          <cell r="Y13">
            <v>2608</v>
          </cell>
          <cell r="Z13">
            <v>2524</v>
          </cell>
          <cell r="AA13" t="str">
            <v/>
          </cell>
          <cell r="AB13">
            <v>2017.0409999999999</v>
          </cell>
          <cell r="AC13">
            <v>2025.367</v>
          </cell>
          <cell r="AD13">
            <v>2288.0149999999999</v>
          </cell>
          <cell r="AE13">
            <v>2237.018</v>
          </cell>
          <cell r="AF13">
            <v>2117.8939999999998</v>
          </cell>
          <cell r="AG13">
            <v>3797.6750000000002</v>
          </cell>
          <cell r="AH13">
            <v>5243.0429999999997</v>
          </cell>
          <cell r="AI13">
            <v>5011.8530000000001</v>
          </cell>
          <cell r="AJ13">
            <v>4761.576</v>
          </cell>
          <cell r="AK13">
            <v>4772.49</v>
          </cell>
          <cell r="AL13">
            <v>5576</v>
          </cell>
          <cell r="AM13"/>
          <cell r="AN13"/>
        </row>
        <row r="14">
          <cell r="A14" t="str">
            <v>Sales &amp; Services Revenue</v>
          </cell>
          <cell r="B14" t="str">
            <v>IS_S&amp;SR_GAAP</v>
          </cell>
          <cell r="C14" t="str">
            <v>EQY_FUND_RELATIVE_PERIOD</v>
          </cell>
          <cell r="F14">
            <v>1290.9390000000001</v>
          </cell>
          <cell r="G14">
            <v>1283.152</v>
          </cell>
          <cell r="H14">
            <v>1268.0540000000001</v>
          </cell>
          <cell r="I14">
            <v>1258.777</v>
          </cell>
          <cell r="J14">
            <v>1252.4690000000001</v>
          </cell>
          <cell r="K14">
            <v>1232.5530000000001</v>
          </cell>
          <cell r="L14">
            <v>1205.396</v>
          </cell>
          <cell r="M14">
            <v>1190.5329999999999</v>
          </cell>
          <cell r="N14">
            <v>1185.278</v>
          </cell>
          <cell r="O14">
            <v>1180.3689999999999</v>
          </cell>
          <cell r="P14">
            <v>1154.046</v>
          </cell>
          <cell r="Q14">
            <v>1147.2650000000001</v>
          </cell>
          <cell r="R14">
            <v>1140.874</v>
          </cell>
          <cell r="S14">
            <v>1330.3050000000001</v>
          </cell>
          <cell r="T14">
            <v>1371</v>
          </cell>
          <cell r="U14">
            <v>1368</v>
          </cell>
          <cell r="V14">
            <v>1424</v>
          </cell>
          <cell r="W14">
            <v>1413</v>
          </cell>
          <cell r="X14">
            <v>1355</v>
          </cell>
          <cell r="Y14">
            <v>2608</v>
          </cell>
          <cell r="Z14">
            <v>2524</v>
          </cell>
          <cell r="AA14" t="str">
            <v/>
          </cell>
          <cell r="AB14">
            <v>0</v>
          </cell>
          <cell r="AC14">
            <v>0</v>
          </cell>
          <cell r="AD14">
            <v>0</v>
          </cell>
          <cell r="AE14">
            <v>0</v>
          </cell>
          <cell r="AF14">
            <v>2117.8939999999998</v>
          </cell>
          <cell r="AG14">
            <v>3797.6750000000002</v>
          </cell>
          <cell r="AH14">
            <v>5243.0429999999997</v>
          </cell>
          <cell r="AI14">
            <v>5011.8530000000001</v>
          </cell>
          <cell r="AJ14">
            <v>4761.576</v>
          </cell>
          <cell r="AK14">
            <v>4772.49</v>
          </cell>
          <cell r="AL14">
            <v>5576</v>
          </cell>
        </row>
        <row r="15">
          <cell r="A15" t="str">
            <v>Financing Revenue</v>
          </cell>
          <cell r="B15" t="str">
            <v>IS_FINANCING_REVENUE_GAAP</v>
          </cell>
          <cell r="C15" t="str">
            <v>EQY_FUND_RELATIVE_PERIOD</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t="str">
            <v/>
          </cell>
          <cell r="AB15">
            <v>0</v>
          </cell>
          <cell r="AC15">
            <v>0</v>
          </cell>
          <cell r="AD15">
            <v>0</v>
          </cell>
          <cell r="AE15">
            <v>0</v>
          </cell>
          <cell r="AF15">
            <v>0</v>
          </cell>
          <cell r="AG15">
            <v>0</v>
          </cell>
          <cell r="AH15">
            <v>0</v>
          </cell>
          <cell r="AI15">
            <v>0</v>
          </cell>
          <cell r="AJ15">
            <v>0</v>
          </cell>
          <cell r="AK15">
            <v>0</v>
          </cell>
          <cell r="AL15">
            <v>0</v>
          </cell>
        </row>
        <row r="16">
          <cell r="A16" t="str">
            <v>Other Revenue</v>
          </cell>
          <cell r="B16" t="str">
            <v>IS_OTHER_REVENUE_GAAP</v>
          </cell>
          <cell r="C16" t="str">
            <v>EQY_FUND_RELATIVE_PERIOD</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t="str">
            <v/>
          </cell>
          <cell r="AB16">
            <v>0</v>
          </cell>
          <cell r="AC16">
            <v>0</v>
          </cell>
          <cell r="AD16">
            <v>0</v>
          </cell>
          <cell r="AE16">
            <v>0</v>
          </cell>
          <cell r="AF16">
            <v>0</v>
          </cell>
          <cell r="AG16">
            <v>0</v>
          </cell>
          <cell r="AH16">
            <v>0</v>
          </cell>
          <cell r="AI16">
            <v>0</v>
          </cell>
          <cell r="AJ16">
            <v>0</v>
          </cell>
          <cell r="AK16">
            <v>0</v>
          </cell>
          <cell r="AL16">
            <v>0</v>
          </cell>
        </row>
        <row r="17">
          <cell r="A17" t="str">
            <v>Cost of Revenue</v>
          </cell>
          <cell r="B17" t="str">
            <v>IS_COGS_TO_FE_AND_PP_AND_G</v>
          </cell>
          <cell r="C17" t="str">
            <v>EQY_FUND_RELATIVE_PERIOD</v>
          </cell>
          <cell r="D17"/>
          <cell r="E17"/>
          <cell r="F17">
            <v>119.94099999999999</v>
          </cell>
          <cell r="G17">
            <v>120.82799999999999</v>
          </cell>
          <cell r="H17">
            <v>115.56899999999999</v>
          </cell>
          <cell r="I17">
            <v>115.43299999999999</v>
          </cell>
          <cell r="J17">
            <v>102.051</v>
          </cell>
          <cell r="K17">
            <v>108.535</v>
          </cell>
          <cell r="L17">
            <v>109.398</v>
          </cell>
          <cell r="M17">
            <v>107.11399999999999</v>
          </cell>
          <cell r="N17">
            <v>103.955</v>
          </cell>
          <cell r="O17">
            <v>110.60599999999999</v>
          </cell>
          <cell r="P17">
            <v>107.092</v>
          </cell>
          <cell r="Q17">
            <v>106.22399999999999</v>
          </cell>
          <cell r="R17">
            <v>107.866</v>
          </cell>
          <cell r="S17">
            <v>144.21299999999999</v>
          </cell>
          <cell r="T17">
            <v>155</v>
          </cell>
          <cell r="U17">
            <v>161</v>
          </cell>
          <cell r="V17">
            <v>159</v>
          </cell>
          <cell r="W17">
            <v>165</v>
          </cell>
          <cell r="X17">
            <v>160</v>
          </cell>
          <cell r="Y17">
            <v>453</v>
          </cell>
          <cell r="Z17">
            <v>440</v>
          </cell>
          <cell r="AA17" t="str">
            <v/>
          </cell>
          <cell r="AB17">
            <v>156.822</v>
          </cell>
          <cell r="AC17">
            <v>171.24699999999999</v>
          </cell>
          <cell r="AD17">
            <v>228.24199999999999</v>
          </cell>
          <cell r="AE17">
            <v>222.01299999999998</v>
          </cell>
          <cell r="AF17">
            <v>225.90699999999998</v>
          </cell>
          <cell r="AG17">
            <v>383.67899999999997</v>
          </cell>
          <cell r="AH17">
            <v>518.68200000000002</v>
          </cell>
          <cell r="AI17">
            <v>441.58799999999997</v>
          </cell>
          <cell r="AJ17">
            <v>431.07299999999998</v>
          </cell>
          <cell r="AK17">
            <v>465.39499999999998</v>
          </cell>
          <cell r="AL17">
            <v>640</v>
          </cell>
          <cell r="AM17"/>
          <cell r="AN17"/>
        </row>
        <row r="18">
          <cell r="A18" t="str">
            <v>Cost of Goods &amp; Services</v>
          </cell>
          <cell r="B18" t="str">
            <v>IS_COG&amp;SS_GAAP</v>
          </cell>
          <cell r="C18" t="str">
            <v>EQY_FUND_RELATIVE_PERIOD</v>
          </cell>
          <cell r="F18">
            <v>119.941</v>
          </cell>
          <cell r="G18">
            <v>120.828</v>
          </cell>
          <cell r="H18">
            <v>115.569</v>
          </cell>
          <cell r="I18">
            <v>115.43300000000001</v>
          </cell>
          <cell r="J18">
            <v>102.051</v>
          </cell>
          <cell r="K18">
            <v>108.535</v>
          </cell>
          <cell r="L18">
            <v>109.398</v>
          </cell>
          <cell r="M18">
            <v>107.114</v>
          </cell>
          <cell r="N18">
            <v>103.955</v>
          </cell>
          <cell r="O18">
            <v>110.60599999999999</v>
          </cell>
          <cell r="P18">
            <v>107.092</v>
          </cell>
          <cell r="Q18">
            <v>106.224</v>
          </cell>
          <cell r="R18">
            <v>107.866</v>
          </cell>
          <cell r="S18">
            <v>144.21299999999999</v>
          </cell>
          <cell r="T18">
            <v>155</v>
          </cell>
          <cell r="U18">
            <v>161</v>
          </cell>
          <cell r="V18">
            <v>159</v>
          </cell>
          <cell r="W18">
            <v>165</v>
          </cell>
          <cell r="X18">
            <v>160</v>
          </cell>
          <cell r="Y18">
            <v>453</v>
          </cell>
          <cell r="Z18">
            <v>440</v>
          </cell>
          <cell r="AA18" t="str">
            <v/>
          </cell>
          <cell r="AB18">
            <v>0</v>
          </cell>
          <cell r="AC18">
            <v>0</v>
          </cell>
          <cell r="AD18">
            <v>0</v>
          </cell>
          <cell r="AE18">
            <v>0</v>
          </cell>
          <cell r="AF18">
            <v>225.90700000000001</v>
          </cell>
          <cell r="AG18">
            <v>383.67899999999997</v>
          </cell>
          <cell r="AH18">
            <v>518.68200000000002</v>
          </cell>
          <cell r="AI18">
            <v>441.58800000000002</v>
          </cell>
          <cell r="AJ18">
            <v>431.07299999999998</v>
          </cell>
          <cell r="AK18">
            <v>465.39499999999998</v>
          </cell>
          <cell r="AL18">
            <v>640</v>
          </cell>
        </row>
        <row r="19">
          <cell r="A19" t="str">
            <v>Cost of Financing Revenue</v>
          </cell>
          <cell r="B19" t="str">
            <v>IS_COST_OF_FINANCING_REV_GAAP</v>
          </cell>
          <cell r="C19" t="str">
            <v>EQY_FUND_RELATIVE_PERIOD</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t="str">
            <v/>
          </cell>
          <cell r="AB19">
            <v>0</v>
          </cell>
          <cell r="AC19">
            <v>0</v>
          </cell>
          <cell r="AD19">
            <v>0</v>
          </cell>
          <cell r="AE19">
            <v>0</v>
          </cell>
          <cell r="AF19">
            <v>0</v>
          </cell>
          <cell r="AG19">
            <v>0</v>
          </cell>
          <cell r="AH19">
            <v>0</v>
          </cell>
          <cell r="AI19">
            <v>0</v>
          </cell>
          <cell r="AJ19">
            <v>0</v>
          </cell>
          <cell r="AK19">
            <v>0</v>
          </cell>
          <cell r="AL19">
            <v>0</v>
          </cell>
        </row>
        <row r="20">
          <cell r="A20" t="str">
            <v>Research &amp; Development</v>
          </cell>
          <cell r="B20" t="str">
            <v>IS_R&amp;D_GAAP</v>
          </cell>
          <cell r="C20" t="str">
            <v>EQY_FUND_RELATIVE_PERIOD</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t="str">
            <v/>
          </cell>
          <cell r="AB20">
            <v>0</v>
          </cell>
          <cell r="AC20">
            <v>0</v>
          </cell>
          <cell r="AD20">
            <v>0</v>
          </cell>
          <cell r="AE20">
            <v>0</v>
          </cell>
          <cell r="AF20">
            <v>0</v>
          </cell>
          <cell r="AG20">
            <v>0</v>
          </cell>
          <cell r="AH20">
            <v>0</v>
          </cell>
          <cell r="AI20">
            <v>0</v>
          </cell>
          <cell r="AJ20">
            <v>0</v>
          </cell>
          <cell r="AK20">
            <v>0</v>
          </cell>
          <cell r="AL20">
            <v>0</v>
          </cell>
        </row>
        <row r="21">
          <cell r="A21" t="str">
            <v>Gross Profit</v>
          </cell>
          <cell r="B21" t="str">
            <v>GROSS_PROFIT</v>
          </cell>
          <cell r="C21" t="str">
            <v>EQY_FUND_RELATIVE_PERIOD</v>
          </cell>
          <cell r="D21"/>
          <cell r="E21"/>
          <cell r="F21">
            <v>1170.998</v>
          </cell>
          <cell r="G21">
            <v>1162.3240000000001</v>
          </cell>
          <cell r="H21">
            <v>1152.4850000000001</v>
          </cell>
          <cell r="I21">
            <v>1143.3440000000001</v>
          </cell>
          <cell r="J21">
            <v>1150.4180000000001</v>
          </cell>
          <cell r="K21">
            <v>1124.018</v>
          </cell>
          <cell r="L21">
            <v>1095.998</v>
          </cell>
          <cell r="M21">
            <v>1083.4189999999999</v>
          </cell>
          <cell r="N21">
            <v>1081.3230000000001</v>
          </cell>
          <cell r="O21">
            <v>1069.7629999999999</v>
          </cell>
          <cell r="P21">
            <v>1046.954</v>
          </cell>
          <cell r="Q21">
            <v>1041.0410000000002</v>
          </cell>
          <cell r="R21">
            <v>1033.008</v>
          </cell>
          <cell r="S21">
            <v>1186.0920000000001</v>
          </cell>
          <cell r="T21">
            <v>1216</v>
          </cell>
          <cell r="U21">
            <v>1207</v>
          </cell>
          <cell r="V21">
            <v>1265</v>
          </cell>
          <cell r="W21">
            <v>1248</v>
          </cell>
          <cell r="X21">
            <v>1195</v>
          </cell>
          <cell r="Y21">
            <v>2155</v>
          </cell>
          <cell r="Z21">
            <v>2084</v>
          </cell>
          <cell r="AA21" t="str">
            <v/>
          </cell>
          <cell r="AB21">
            <v>1860.2190000000001</v>
          </cell>
          <cell r="AC21">
            <v>1854.12</v>
          </cell>
          <cell r="AD21">
            <v>2059.7729999999997</v>
          </cell>
          <cell r="AE21">
            <v>2015.0050000000001</v>
          </cell>
          <cell r="AF21">
            <v>1891.9869999999999</v>
          </cell>
          <cell r="AG21">
            <v>3413.9960000000001</v>
          </cell>
          <cell r="AH21">
            <v>4724.3609999999999</v>
          </cell>
          <cell r="AI21">
            <v>4570.2650000000003</v>
          </cell>
          <cell r="AJ21">
            <v>4330.5029999999997</v>
          </cell>
          <cell r="AK21">
            <v>4307.0949999999993</v>
          </cell>
          <cell r="AL21">
            <v>4936</v>
          </cell>
          <cell r="AM21"/>
          <cell r="AN21"/>
        </row>
        <row r="22">
          <cell r="A22" t="str">
            <v>Other Operating Income</v>
          </cell>
          <cell r="B22" t="str">
            <v>IS_OTHER_OPER_INC</v>
          </cell>
          <cell r="C22" t="str">
            <v>EQY_FUND_RELATIVE_PERIOD</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t="str">
            <v/>
          </cell>
          <cell r="AB22">
            <v>0</v>
          </cell>
          <cell r="AC22">
            <v>0</v>
          </cell>
          <cell r="AD22">
            <v>0</v>
          </cell>
          <cell r="AE22">
            <v>0</v>
          </cell>
          <cell r="AF22">
            <v>0</v>
          </cell>
          <cell r="AG22">
            <v>0</v>
          </cell>
          <cell r="AH22">
            <v>0</v>
          </cell>
          <cell r="AI22">
            <v>0</v>
          </cell>
          <cell r="AJ22">
            <v>0</v>
          </cell>
          <cell r="AK22">
            <v>0</v>
          </cell>
          <cell r="AL22">
            <v>0</v>
          </cell>
        </row>
        <row r="23">
          <cell r="A23" t="str">
            <v>Operating Expenses</v>
          </cell>
          <cell r="B23" t="str">
            <v>IS_OPERATING_EXPN</v>
          </cell>
          <cell r="C23" t="str">
            <v>EQY_FUND_RELATIVE_PERIOD</v>
          </cell>
          <cell r="D23"/>
          <cell r="E23"/>
          <cell r="F23">
            <v>919.69799999999998</v>
          </cell>
          <cell r="G23">
            <v>888.53300000000002</v>
          </cell>
          <cell r="H23">
            <v>902.35399999999993</v>
          </cell>
          <cell r="I23">
            <v>845.47799999999995</v>
          </cell>
          <cell r="J23">
            <v>863.92</v>
          </cell>
          <cell r="K23">
            <v>857.56099999999992</v>
          </cell>
          <cell r="L23">
            <v>842.75900000000001</v>
          </cell>
          <cell r="M23">
            <v>827.572</v>
          </cell>
          <cell r="N23">
            <v>832.19299999999998</v>
          </cell>
          <cell r="O23">
            <v>796.56700000000001</v>
          </cell>
          <cell r="P23">
            <v>809.94499999999994</v>
          </cell>
          <cell r="Q23">
            <v>796.00299999999993</v>
          </cell>
          <cell r="R23">
            <v>818.55184615384599</v>
          </cell>
          <cell r="S23">
            <v>955.2751538461539</v>
          </cell>
          <cell r="T23">
            <v>933.78670769230791</v>
          </cell>
          <cell r="U23">
            <v>979</v>
          </cell>
          <cell r="V23">
            <v>999</v>
          </cell>
          <cell r="W23">
            <v>980</v>
          </cell>
          <cell r="X23">
            <v>999</v>
          </cell>
          <cell r="Y23">
            <v>1717</v>
          </cell>
          <cell r="Z23">
            <v>1687</v>
          </cell>
          <cell r="AA23" t="str">
            <v/>
          </cell>
          <cell r="AB23">
            <v>1271.251</v>
          </cell>
          <cell r="AC23">
            <v>1209.6299999999999</v>
          </cell>
          <cell r="AD23">
            <v>1354.357</v>
          </cell>
          <cell r="AE23">
            <v>1372.549</v>
          </cell>
          <cell r="AF23">
            <v>1253.7</v>
          </cell>
          <cell r="AG23">
            <v>2494.4939999999997</v>
          </cell>
          <cell r="AH23">
            <v>3665.866</v>
          </cell>
          <cell r="AI23">
            <v>3469.3129999999996</v>
          </cell>
          <cell r="AJ23">
            <v>3299.0909999999999</v>
          </cell>
          <cell r="AK23">
            <v>3379.7749999999996</v>
          </cell>
          <cell r="AL23">
            <v>3953</v>
          </cell>
          <cell r="AM23"/>
          <cell r="AN23"/>
        </row>
        <row r="24">
          <cell r="A24" t="str">
            <v>Selling, General &amp; Admin</v>
          </cell>
          <cell r="B24" t="str">
            <v>IS_SG&amp;A_EXPENSE</v>
          </cell>
          <cell r="C24" t="str">
            <v>EQY_FUND_RELATIVE_PERIOD</v>
          </cell>
          <cell r="F24">
            <v>0</v>
          </cell>
          <cell r="G24">
            <v>0</v>
          </cell>
          <cell r="H24">
            <v>0</v>
          </cell>
          <cell r="I24">
            <v>0</v>
          </cell>
          <cell r="J24">
            <v>0</v>
          </cell>
          <cell r="K24">
            <v>0</v>
          </cell>
          <cell r="L24">
            <v>0</v>
          </cell>
          <cell r="M24">
            <v>0</v>
          </cell>
          <cell r="N24">
            <v>0</v>
          </cell>
          <cell r="O24">
            <v>0</v>
          </cell>
          <cell r="P24">
            <v>0</v>
          </cell>
          <cell r="Q24">
            <v>0</v>
          </cell>
          <cell r="R24">
            <v>0</v>
          </cell>
          <cell r="S24">
            <v>300.798</v>
          </cell>
          <cell r="T24">
            <v>330</v>
          </cell>
          <cell r="U24">
            <v>331</v>
          </cell>
          <cell r="V24">
            <v>344</v>
          </cell>
          <cell r="W24">
            <v>343</v>
          </cell>
          <cell r="X24">
            <v>357</v>
          </cell>
          <cell r="Y24">
            <v>596</v>
          </cell>
          <cell r="Z24">
            <v>593</v>
          </cell>
          <cell r="AA24" t="str">
            <v/>
          </cell>
          <cell r="AB24">
            <v>0</v>
          </cell>
          <cell r="AC24">
            <v>0</v>
          </cell>
          <cell r="AD24">
            <v>0</v>
          </cell>
          <cell r="AE24">
            <v>0</v>
          </cell>
          <cell r="AF24">
            <v>0</v>
          </cell>
          <cell r="AG24">
            <v>0</v>
          </cell>
          <cell r="AH24">
            <v>0</v>
          </cell>
          <cell r="AI24">
            <v>0</v>
          </cell>
          <cell r="AJ24">
            <v>0</v>
          </cell>
          <cell r="AK24">
            <v>1088.18</v>
          </cell>
          <cell r="AL24">
            <v>1348</v>
          </cell>
        </row>
        <row r="25">
          <cell r="A25" t="str">
            <v>Selling &amp; Marketing</v>
          </cell>
          <cell r="B25" t="str">
            <v>IS_SELLING_EXPENSES</v>
          </cell>
          <cell r="C25" t="str">
            <v>EQY_FUND_RELATIVE_PERIOD</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t="str">
            <v/>
          </cell>
          <cell r="AB25">
            <v>0</v>
          </cell>
          <cell r="AC25">
            <v>0</v>
          </cell>
          <cell r="AD25">
            <v>0</v>
          </cell>
          <cell r="AE25">
            <v>0</v>
          </cell>
          <cell r="AF25">
            <v>0</v>
          </cell>
          <cell r="AG25">
            <v>0</v>
          </cell>
          <cell r="AH25">
            <v>0</v>
          </cell>
          <cell r="AI25">
            <v>0</v>
          </cell>
          <cell r="AJ25">
            <v>0</v>
          </cell>
          <cell r="AK25">
            <v>0</v>
          </cell>
          <cell r="AL25">
            <v>0</v>
          </cell>
        </row>
        <row r="26">
          <cell r="A26" t="str">
            <v>General &amp; Administrative</v>
          </cell>
          <cell r="B26" t="str">
            <v>IS_GENERAL_AND_ADMIN_GAAP</v>
          </cell>
          <cell r="C26" t="str">
            <v>EQY_FUND_RELATIVE_PERIOD</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t="str">
            <v/>
          </cell>
          <cell r="AB26">
            <v>0</v>
          </cell>
          <cell r="AC26">
            <v>0</v>
          </cell>
          <cell r="AD26">
            <v>0</v>
          </cell>
          <cell r="AE26">
            <v>0</v>
          </cell>
          <cell r="AF26">
            <v>0</v>
          </cell>
          <cell r="AG26">
            <v>0</v>
          </cell>
          <cell r="AH26">
            <v>0</v>
          </cell>
          <cell r="AI26">
            <v>0</v>
          </cell>
          <cell r="AJ26">
            <v>0</v>
          </cell>
          <cell r="AK26">
            <v>0</v>
          </cell>
          <cell r="AL26">
            <v>0</v>
          </cell>
        </row>
        <row r="27">
          <cell r="A27" t="str">
            <v>Research &amp; Development</v>
          </cell>
          <cell r="B27" t="str">
            <v>IS_OPEX_R&amp;D_GAAP</v>
          </cell>
          <cell r="C27" t="str">
            <v>EQY_FUND_RELATIVE_PERIOD</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t="str">
            <v/>
          </cell>
          <cell r="AB27">
            <v>0</v>
          </cell>
          <cell r="AC27">
            <v>0</v>
          </cell>
          <cell r="AD27">
            <v>0</v>
          </cell>
          <cell r="AE27">
            <v>0</v>
          </cell>
          <cell r="AF27">
            <v>0</v>
          </cell>
          <cell r="AG27">
            <v>0</v>
          </cell>
          <cell r="AH27">
            <v>0</v>
          </cell>
          <cell r="AI27">
            <v>0</v>
          </cell>
          <cell r="AJ27">
            <v>0</v>
          </cell>
          <cell r="AK27">
            <v>0</v>
          </cell>
          <cell r="AL27">
            <v>0</v>
          </cell>
        </row>
        <row r="28">
          <cell r="A28" t="str">
            <v>IS Depreciation &amp; Amortization</v>
          </cell>
          <cell r="B28" t="str">
            <v>IS_D&amp;A_GAAP</v>
          </cell>
          <cell r="C28" t="str">
            <v>EQY_FUND_RELATIVE_PERIOD</v>
          </cell>
          <cell r="F28">
            <v>351.90699999999998</v>
          </cell>
          <cell r="G28">
            <v>341.02499999999998</v>
          </cell>
          <cell r="H28">
            <v>357.3</v>
          </cell>
          <cell r="I28">
            <v>307.04700000000003</v>
          </cell>
          <cell r="J28">
            <v>298.416</v>
          </cell>
          <cell r="K28">
            <v>304.04399999999998</v>
          </cell>
          <cell r="L28">
            <v>303.67500000000001</v>
          </cell>
          <cell r="M28">
            <v>297.84899999999999</v>
          </cell>
          <cell r="N28">
            <v>285.70100000000002</v>
          </cell>
          <cell r="O28">
            <v>282.27499999999998</v>
          </cell>
          <cell r="P28">
            <v>281.40699999999998</v>
          </cell>
          <cell r="Q28">
            <v>273.46300000000002</v>
          </cell>
          <cell r="R28">
            <v>260.89699999999999</v>
          </cell>
          <cell r="S28">
            <v>323.17500000000001</v>
          </cell>
          <cell r="T28">
            <v>341</v>
          </cell>
          <cell r="U28">
            <v>335</v>
          </cell>
          <cell r="V28">
            <v>325</v>
          </cell>
          <cell r="W28">
            <v>319</v>
          </cell>
          <cell r="X28">
            <v>316</v>
          </cell>
          <cell r="Y28">
            <v>575</v>
          </cell>
          <cell r="Z28">
            <v>578</v>
          </cell>
          <cell r="AA28" t="str">
            <v/>
          </cell>
          <cell r="AB28">
            <v>0</v>
          </cell>
          <cell r="AC28">
            <v>0</v>
          </cell>
          <cell r="AD28">
            <v>0</v>
          </cell>
          <cell r="AE28">
            <v>0</v>
          </cell>
          <cell r="AF28">
            <v>476.39100000000002</v>
          </cell>
          <cell r="AG28">
            <v>893.71900000000005</v>
          </cell>
          <cell r="AH28">
            <v>1403.175</v>
          </cell>
          <cell r="AI28">
            <v>1266.807</v>
          </cell>
          <cell r="AJ28">
            <v>1169.5</v>
          </cell>
          <cell r="AK28">
            <v>1138.942</v>
          </cell>
          <cell r="AL28">
            <v>1320</v>
          </cell>
        </row>
        <row r="29">
          <cell r="A29" t="str">
            <v>Prov For Doubtful Accts</v>
          </cell>
          <cell r="B29" t="str">
            <v>IS_PROVISION_DOUBTFUL_ACCOUNTS</v>
          </cell>
          <cell r="C29" t="str">
            <v>EQY_FUND_RELATIVE_PERIOD</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t="str">
            <v/>
          </cell>
          <cell r="AB29">
            <v>0</v>
          </cell>
          <cell r="AC29">
            <v>0</v>
          </cell>
          <cell r="AD29">
            <v>0</v>
          </cell>
          <cell r="AE29">
            <v>0</v>
          </cell>
          <cell r="AF29">
            <v>0</v>
          </cell>
          <cell r="AG29">
            <v>0</v>
          </cell>
          <cell r="AH29">
            <v>0</v>
          </cell>
          <cell r="AI29">
            <v>0</v>
          </cell>
          <cell r="AJ29">
            <v>0</v>
          </cell>
          <cell r="AK29">
            <v>0</v>
          </cell>
          <cell r="AL29">
            <v>0</v>
          </cell>
        </row>
        <row r="30">
          <cell r="A30" t="str">
            <v>Other Operating Expense</v>
          </cell>
          <cell r="B30" t="str">
            <v>OTHER_OPERATING_EXPENSES_RATIO</v>
          </cell>
          <cell r="C30" t="str">
            <v>EQY_FUND_RELATIVE_PERIOD</v>
          </cell>
          <cell r="F30">
            <v>567.79100000000005</v>
          </cell>
          <cell r="G30">
            <v>547.50800000000004</v>
          </cell>
          <cell r="H30">
            <v>545.05399999999997</v>
          </cell>
          <cell r="I30">
            <v>538.43100000000004</v>
          </cell>
          <cell r="J30">
            <v>565.50400000000002</v>
          </cell>
          <cell r="K30">
            <v>553.51700000000005</v>
          </cell>
          <cell r="L30">
            <v>539.08399999999995</v>
          </cell>
          <cell r="M30">
            <v>529.72299999999996</v>
          </cell>
          <cell r="N30">
            <v>546.49199999999996</v>
          </cell>
          <cell r="O30">
            <v>514.29200000000003</v>
          </cell>
          <cell r="P30">
            <v>528.53800000000001</v>
          </cell>
          <cell r="Q30">
            <v>522.54</v>
          </cell>
          <cell r="R30">
            <v>557.65484615384605</v>
          </cell>
          <cell r="S30">
            <v>331.302153846154</v>
          </cell>
          <cell r="T30">
            <v>262.78670769230803</v>
          </cell>
          <cell r="U30">
            <v>313</v>
          </cell>
          <cell r="V30">
            <v>330</v>
          </cell>
          <cell r="W30">
            <v>318</v>
          </cell>
          <cell r="X30">
            <v>326</v>
          </cell>
          <cell r="Y30">
            <v>546</v>
          </cell>
          <cell r="Z30">
            <v>516</v>
          </cell>
          <cell r="AA30" t="str">
            <v/>
          </cell>
          <cell r="AB30">
            <v>0</v>
          </cell>
          <cell r="AC30">
            <v>0</v>
          </cell>
          <cell r="AD30">
            <v>0</v>
          </cell>
          <cell r="AE30">
            <v>0</v>
          </cell>
          <cell r="AF30">
            <v>777.30899999999997</v>
          </cell>
          <cell r="AG30">
            <v>1600.7750000000001</v>
          </cell>
          <cell r="AH30">
            <v>2262.6909999999998</v>
          </cell>
          <cell r="AI30">
            <v>2202.5059999999999</v>
          </cell>
          <cell r="AJ30">
            <v>2129.5909999999999</v>
          </cell>
          <cell r="AK30">
            <v>1152.653</v>
          </cell>
          <cell r="AL30">
            <v>1285</v>
          </cell>
        </row>
        <row r="31">
          <cell r="A31" t="str">
            <v>Operating Income (Loss), GAAP</v>
          </cell>
          <cell r="B31" t="str">
            <v>IS_OPER_INC</v>
          </cell>
          <cell r="C31" t="str">
            <v>EQY_FUND_RELATIVE_PERIOD</v>
          </cell>
          <cell r="D31" t="str">
            <v>GAAP</v>
          </cell>
          <cell r="E31"/>
          <cell r="F31">
            <v>180.291</v>
          </cell>
          <cell r="G31">
            <v>230.45699999999999</v>
          </cell>
          <cell r="H31">
            <v>208.458</v>
          </cell>
          <cell r="I31">
            <v>267.78399999999999</v>
          </cell>
          <cell r="J31">
            <v>275.19599999999997</v>
          </cell>
          <cell r="K31">
            <v>235.73</v>
          </cell>
          <cell r="L31">
            <v>250.82399999999998</v>
          </cell>
          <cell r="M31">
            <v>266.15600000000001</v>
          </cell>
          <cell r="N31">
            <v>206.172</v>
          </cell>
          <cell r="O31">
            <v>257.56900000000002</v>
          </cell>
          <cell r="P31">
            <v>226.02499999999998</v>
          </cell>
          <cell r="Q31">
            <v>224.34199999999998</v>
          </cell>
          <cell r="R31">
            <v>197.03099999999998</v>
          </cell>
          <cell r="S31">
            <v>172.54300000000001</v>
          </cell>
          <cell r="T31">
            <v>163</v>
          </cell>
          <cell r="U31">
            <v>193</v>
          </cell>
          <cell r="V31">
            <v>207</v>
          </cell>
          <cell r="W31">
            <v>182</v>
          </cell>
          <cell r="X31">
            <v>58</v>
          </cell>
          <cell r="Y31">
            <v>311</v>
          </cell>
          <cell r="Z31">
            <v>264</v>
          </cell>
          <cell r="AA31" t="str">
            <v/>
          </cell>
          <cell r="AB31">
            <v>588.96799999999996</v>
          </cell>
          <cell r="AC31">
            <v>644.49</v>
          </cell>
          <cell r="AD31">
            <v>705.41599999999994</v>
          </cell>
          <cell r="AE31">
            <v>642.45600000000002</v>
          </cell>
          <cell r="AF31">
            <v>606.16499999999996</v>
          </cell>
          <cell r="AG31">
            <v>771.99799999999993</v>
          </cell>
          <cell r="AH31">
            <v>899.62099999999998</v>
          </cell>
          <cell r="AI31">
            <v>987.16800000000001</v>
          </cell>
          <cell r="AJ31">
            <v>980.721</v>
          </cell>
          <cell r="AK31">
            <v>819.94099999999992</v>
          </cell>
          <cell r="AL31">
            <v>745</v>
          </cell>
          <cell r="AM31"/>
          <cell r="AN31"/>
        </row>
        <row r="32">
          <cell r="A32" t="str">
            <v>Acquired In-Process R&amp;D</v>
          </cell>
          <cell r="B32" t="str">
            <v>IS_AIP_R&amp;D_EXPENSE_OP</v>
          </cell>
          <cell r="C32" t="str">
            <v>EQY_FUND_RELATIVE_PERIOD</v>
          </cell>
          <cell r="D32"/>
          <cell r="E32"/>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t="str">
            <v/>
          </cell>
          <cell r="AB32">
            <v>0</v>
          </cell>
          <cell r="AC32">
            <v>0</v>
          </cell>
          <cell r="AD32">
            <v>0</v>
          </cell>
          <cell r="AE32">
            <v>0</v>
          </cell>
          <cell r="AF32">
            <v>0</v>
          </cell>
          <cell r="AG32">
            <v>0</v>
          </cell>
          <cell r="AH32">
            <v>0</v>
          </cell>
          <cell r="AI32">
            <v>0</v>
          </cell>
          <cell r="AJ32">
            <v>0</v>
          </cell>
          <cell r="AK32">
            <v>0</v>
          </cell>
          <cell r="AL32">
            <v>0</v>
          </cell>
          <cell r="AM32"/>
          <cell r="AN32"/>
        </row>
        <row r="33">
          <cell r="A33" t="str">
            <v>Merger Expense</v>
          </cell>
          <cell r="B33" t="str">
            <v>IS_MERGER_&amp;_ACQUIS_EXPN_OP</v>
          </cell>
          <cell r="C33" t="str">
            <v>EQY_FUND_RELATIVE_PERIOD</v>
          </cell>
          <cell r="D33"/>
          <cell r="E33"/>
          <cell r="F33">
            <v>67.412000000000006</v>
          </cell>
          <cell r="G33">
            <v>42.247</v>
          </cell>
          <cell r="H33">
            <v>35.143999999999998</v>
          </cell>
          <cell r="I33">
            <v>28.602</v>
          </cell>
          <cell r="J33">
            <v>4.4580000000000002</v>
          </cell>
          <cell r="K33">
            <v>13.532999999999999</v>
          </cell>
          <cell r="L33">
            <v>0</v>
          </cell>
          <cell r="M33">
            <v>0</v>
          </cell>
          <cell r="N33">
            <v>0</v>
          </cell>
          <cell r="O33">
            <v>9.6519999999999992</v>
          </cell>
          <cell r="P33">
            <v>10.596</v>
          </cell>
          <cell r="Q33">
            <v>19.850999999999999</v>
          </cell>
          <cell r="R33">
            <v>41.610999999999997</v>
          </cell>
          <cell r="S33">
            <v>69.546999999999997</v>
          </cell>
          <cell r="T33">
            <v>57</v>
          </cell>
          <cell r="U33">
            <v>35</v>
          </cell>
          <cell r="V33">
            <v>58</v>
          </cell>
          <cell r="W33">
            <v>86</v>
          </cell>
          <cell r="X33">
            <v>138</v>
          </cell>
          <cell r="Y33">
            <v>127</v>
          </cell>
          <cell r="Z33">
            <v>122</v>
          </cell>
          <cell r="AA33" t="str">
            <v/>
          </cell>
          <cell r="AB33">
            <v>0</v>
          </cell>
          <cell r="AC33">
            <v>0</v>
          </cell>
          <cell r="AD33">
            <v>0</v>
          </cell>
          <cell r="AE33">
            <v>0</v>
          </cell>
          <cell r="AF33">
            <v>28.334</v>
          </cell>
          <cell r="AG33">
            <v>137.142</v>
          </cell>
          <cell r="AH33">
            <v>143.14599999999999</v>
          </cell>
          <cell r="AI33">
            <v>81.736999999999995</v>
          </cell>
          <cell r="AJ33">
            <v>9.6519999999999992</v>
          </cell>
          <cell r="AK33">
            <v>141.60499999999999</v>
          </cell>
          <cell r="AL33">
            <v>236</v>
          </cell>
          <cell r="AM33"/>
          <cell r="AN33"/>
        </row>
        <row r="34">
          <cell r="A34" t="str">
            <v>Derivatives/Hedging</v>
          </cell>
          <cell r="B34" t="str">
            <v>IS_GAIN_LOSS_ON_DERIVATIVES_OP</v>
          </cell>
          <cell r="C34" t="str">
            <v>EQY_FUND_RELATIVE_PERIOD</v>
          </cell>
          <cell r="D34"/>
          <cell r="E34"/>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t="str">
            <v/>
          </cell>
          <cell r="AB34">
            <v>0</v>
          </cell>
          <cell r="AC34">
            <v>0</v>
          </cell>
          <cell r="AD34">
            <v>0</v>
          </cell>
          <cell r="AE34">
            <v>0</v>
          </cell>
          <cell r="AF34">
            <v>0</v>
          </cell>
          <cell r="AG34">
            <v>0</v>
          </cell>
          <cell r="AH34">
            <v>0</v>
          </cell>
          <cell r="AI34">
            <v>0</v>
          </cell>
          <cell r="AJ34">
            <v>0</v>
          </cell>
          <cell r="AK34">
            <v>0</v>
          </cell>
          <cell r="AL34">
            <v>0</v>
          </cell>
          <cell r="AM34"/>
          <cell r="AN34"/>
        </row>
        <row r="35">
          <cell r="A35" t="str">
            <v>Disposal of Assets</v>
          </cell>
          <cell r="B35" t="str">
            <v>IS_GAIN_LOSS_ON_DISP_OF_AST_OP</v>
          </cell>
          <cell r="C35" t="str">
            <v>EQY_FUND_RELATIVE_PERIOD</v>
          </cell>
          <cell r="D35"/>
          <cell r="E35"/>
          <cell r="F35">
            <v>0</v>
          </cell>
          <cell r="G35">
            <v>0</v>
          </cell>
          <cell r="H35">
            <v>0</v>
          </cell>
          <cell r="I35">
            <v>0</v>
          </cell>
          <cell r="J35">
            <v>0</v>
          </cell>
          <cell r="K35">
            <v>0</v>
          </cell>
          <cell r="L35">
            <v>0</v>
          </cell>
          <cell r="M35">
            <v>0</v>
          </cell>
          <cell r="N35">
            <v>0</v>
          </cell>
          <cell r="O35">
            <v>0</v>
          </cell>
          <cell r="P35">
            <v>0</v>
          </cell>
          <cell r="Q35">
            <v>0</v>
          </cell>
          <cell r="R35">
            <v>-24.573846153845999</v>
          </cell>
          <cell r="S35">
            <v>-11.566153846154</v>
          </cell>
          <cell r="T35">
            <v>0</v>
          </cell>
          <cell r="U35">
            <v>0</v>
          </cell>
          <cell r="V35">
            <v>0</v>
          </cell>
          <cell r="W35">
            <v>0</v>
          </cell>
          <cell r="X35">
            <v>0</v>
          </cell>
          <cell r="Y35">
            <v>0</v>
          </cell>
          <cell r="Z35">
            <v>0</v>
          </cell>
          <cell r="AA35" t="str">
            <v/>
          </cell>
          <cell r="AB35">
            <v>0</v>
          </cell>
          <cell r="AC35">
            <v>0</v>
          </cell>
          <cell r="AD35">
            <v>0</v>
          </cell>
          <cell r="AE35">
            <v>0</v>
          </cell>
          <cell r="AF35">
            <v>0</v>
          </cell>
          <cell r="AG35">
            <v>0</v>
          </cell>
          <cell r="AH35">
            <v>0</v>
          </cell>
          <cell r="AI35">
            <v>0</v>
          </cell>
          <cell r="AJ35">
            <v>0</v>
          </cell>
          <cell r="AK35">
            <v>-36.14</v>
          </cell>
          <cell r="AL35">
            <v>0</v>
          </cell>
          <cell r="AM35"/>
          <cell r="AN35"/>
        </row>
        <row r="36">
          <cell r="A36" t="str">
            <v>Early Extinguishment of Debt</v>
          </cell>
          <cell r="B36" t="str">
            <v>IS_GAIN_LOSS_ON_EEOD_OBLIG_OP</v>
          </cell>
          <cell r="C36" t="str">
            <v>EQY_FUND_RELATIVE_PERIOD</v>
          </cell>
          <cell r="D36"/>
          <cell r="E36"/>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t="str">
            <v/>
          </cell>
          <cell r="AB36">
            <v>0</v>
          </cell>
          <cell r="AC36">
            <v>0</v>
          </cell>
          <cell r="AD36">
            <v>0</v>
          </cell>
          <cell r="AE36">
            <v>0</v>
          </cell>
          <cell r="AF36">
            <v>0</v>
          </cell>
          <cell r="AG36">
            <v>0</v>
          </cell>
          <cell r="AH36">
            <v>0</v>
          </cell>
          <cell r="AI36">
            <v>0</v>
          </cell>
          <cell r="AJ36">
            <v>0</v>
          </cell>
          <cell r="AK36">
            <v>0</v>
          </cell>
          <cell r="AL36">
            <v>0</v>
          </cell>
          <cell r="AM36"/>
          <cell r="AN36"/>
        </row>
        <row r="37">
          <cell r="A37" t="str">
            <v>Asset Write-Down</v>
          </cell>
          <cell r="B37" t="str">
            <v>IS_WRTDWN_IOA_OP</v>
          </cell>
          <cell r="C37" t="str">
            <v>EQY_FUND_RELATIVE_PERIOD</v>
          </cell>
          <cell r="D37"/>
          <cell r="E37"/>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t="str">
            <v/>
          </cell>
          <cell r="AB37">
            <v>0</v>
          </cell>
          <cell r="AC37">
            <v>0</v>
          </cell>
          <cell r="AD37">
            <v>0</v>
          </cell>
          <cell r="AE37">
            <v>0</v>
          </cell>
          <cell r="AF37">
            <v>0</v>
          </cell>
          <cell r="AG37">
            <v>0</v>
          </cell>
          <cell r="AH37">
            <v>0</v>
          </cell>
          <cell r="AI37">
            <v>0</v>
          </cell>
          <cell r="AJ37">
            <v>0</v>
          </cell>
          <cell r="AK37">
            <v>0</v>
          </cell>
          <cell r="AL37">
            <v>0</v>
          </cell>
          <cell r="AM37"/>
          <cell r="AN37"/>
        </row>
        <row r="38">
          <cell r="A38" t="str">
            <v>Impairment of Goodwill</v>
          </cell>
          <cell r="B38" t="str">
            <v>IS_IMPAIRMENT_OF_GOODWILL_OP</v>
          </cell>
          <cell r="C38" t="str">
            <v>EQY_FUND_RELATIVE_PERIOD</v>
          </cell>
          <cell r="D38"/>
          <cell r="E38"/>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t="str">
            <v/>
          </cell>
          <cell r="AB38">
            <v>0</v>
          </cell>
          <cell r="AC38">
            <v>0</v>
          </cell>
          <cell r="AD38">
            <v>0</v>
          </cell>
          <cell r="AE38">
            <v>0</v>
          </cell>
          <cell r="AF38">
            <v>0</v>
          </cell>
          <cell r="AG38">
            <v>0</v>
          </cell>
          <cell r="AH38">
            <v>0</v>
          </cell>
          <cell r="AI38">
            <v>0</v>
          </cell>
          <cell r="AJ38">
            <v>0</v>
          </cell>
          <cell r="AK38">
            <v>0</v>
          </cell>
          <cell r="AL38">
            <v>0</v>
          </cell>
          <cell r="AM38"/>
          <cell r="AN38"/>
        </row>
        <row r="39">
          <cell r="A39" t="str">
            <v>Impairment of Intangible Assets</v>
          </cell>
          <cell r="B39" t="str">
            <v>IS_IIA_OP</v>
          </cell>
          <cell r="C39" t="str">
            <v>EQY_FUND_RELATIVE_PERIOD</v>
          </cell>
          <cell r="D39"/>
          <cell r="E39"/>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t="str">
            <v/>
          </cell>
          <cell r="AB39">
            <v>0</v>
          </cell>
          <cell r="AC39">
            <v>0</v>
          </cell>
          <cell r="AD39">
            <v>0</v>
          </cell>
          <cell r="AE39">
            <v>0</v>
          </cell>
          <cell r="AF39">
            <v>0</v>
          </cell>
          <cell r="AG39">
            <v>0</v>
          </cell>
          <cell r="AH39">
            <v>0</v>
          </cell>
          <cell r="AI39">
            <v>0</v>
          </cell>
          <cell r="AJ39">
            <v>0</v>
          </cell>
          <cell r="AK39">
            <v>0</v>
          </cell>
          <cell r="AL39">
            <v>0</v>
          </cell>
          <cell r="AM39"/>
          <cell r="AN39"/>
        </row>
        <row r="40">
          <cell r="A40" t="str">
            <v>Sale of Business</v>
          </cell>
          <cell r="B40" t="str">
            <v>IS_GAIN_LOSS_ON_SALE_ACQ_BUSN_OP</v>
          </cell>
          <cell r="C40" t="str">
            <v>EQY_FUND_RELATIVE_PERIOD</v>
          </cell>
          <cell r="D40"/>
          <cell r="E40"/>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t="str">
            <v/>
          </cell>
          <cell r="AB40">
            <v>0</v>
          </cell>
          <cell r="AC40">
            <v>0</v>
          </cell>
          <cell r="AD40">
            <v>0</v>
          </cell>
          <cell r="AE40">
            <v>0</v>
          </cell>
          <cell r="AF40">
            <v>0</v>
          </cell>
          <cell r="AG40">
            <v>0</v>
          </cell>
          <cell r="AH40">
            <v>0</v>
          </cell>
          <cell r="AI40">
            <v>0</v>
          </cell>
          <cell r="AJ40">
            <v>0</v>
          </cell>
          <cell r="AK40">
            <v>0</v>
          </cell>
          <cell r="AL40">
            <v>0</v>
          </cell>
          <cell r="AM40"/>
          <cell r="AN40"/>
        </row>
        <row r="41">
          <cell r="A41" t="str">
            <v>Legal Expense</v>
          </cell>
          <cell r="B41" t="str">
            <v>IS_LEGAL_LIT_SETTLE_EXPN_OP</v>
          </cell>
          <cell r="C41" t="str">
            <v>EQY_FUND_RELATIVE_PERIOD</v>
          </cell>
          <cell r="D41"/>
          <cell r="E41"/>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t="str">
            <v/>
          </cell>
          <cell r="AB41">
            <v>0</v>
          </cell>
          <cell r="AC41">
            <v>0</v>
          </cell>
          <cell r="AD41">
            <v>0</v>
          </cell>
          <cell r="AE41">
            <v>0</v>
          </cell>
          <cell r="AF41">
            <v>0</v>
          </cell>
          <cell r="AG41">
            <v>0</v>
          </cell>
          <cell r="AH41">
            <v>0</v>
          </cell>
          <cell r="AI41">
            <v>0</v>
          </cell>
          <cell r="AJ41">
            <v>0</v>
          </cell>
          <cell r="AK41">
            <v>0</v>
          </cell>
          <cell r="AL41">
            <v>0</v>
          </cell>
          <cell r="AM41"/>
          <cell r="AN41"/>
        </row>
        <row r="42">
          <cell r="A42" t="str">
            <v>Restructuring Expense</v>
          </cell>
          <cell r="B42" t="str">
            <v>IS_RESTRUCTURING_OP</v>
          </cell>
          <cell r="C42" t="str">
            <v>EQY_FUND_RELATIVE_PERIOD</v>
          </cell>
          <cell r="D42"/>
          <cell r="E42"/>
          <cell r="F42">
            <v>3.597</v>
          </cell>
          <cell r="G42">
            <v>1.087</v>
          </cell>
          <cell r="H42">
            <v>6.5289999999999999</v>
          </cell>
          <cell r="I42">
            <v>1.48</v>
          </cell>
          <cell r="J42">
            <v>6.8440000000000003</v>
          </cell>
          <cell r="K42">
            <v>17.193999999999999</v>
          </cell>
          <cell r="L42">
            <v>2.415</v>
          </cell>
          <cell r="M42">
            <v>4.2919999999999998</v>
          </cell>
          <cell r="N42">
            <v>2.649</v>
          </cell>
          <cell r="O42">
            <v>2.121</v>
          </cell>
          <cell r="P42">
            <v>0.38800000000000001</v>
          </cell>
          <cell r="Q42">
            <v>0.84499999999999997</v>
          </cell>
          <cell r="R42">
            <v>0.38800000000000001</v>
          </cell>
          <cell r="S42">
            <v>0.29299999999999998</v>
          </cell>
          <cell r="T42">
            <v>1</v>
          </cell>
          <cell r="U42">
            <v>0</v>
          </cell>
          <cell r="V42">
            <v>1</v>
          </cell>
          <cell r="W42">
            <v>0</v>
          </cell>
          <cell r="X42">
            <v>0</v>
          </cell>
          <cell r="Y42">
            <v>0</v>
          </cell>
          <cell r="Z42">
            <v>11</v>
          </cell>
          <cell r="AA42" t="str">
            <v/>
          </cell>
          <cell r="AB42">
            <v>0</v>
          </cell>
          <cell r="AC42">
            <v>0</v>
          </cell>
          <cell r="AD42">
            <v>0</v>
          </cell>
          <cell r="AE42">
            <v>0</v>
          </cell>
          <cell r="AF42">
            <v>3.7879999999999998</v>
          </cell>
          <cell r="AG42">
            <v>10.362</v>
          </cell>
          <cell r="AH42">
            <v>15.728</v>
          </cell>
          <cell r="AI42">
            <v>32.046999999999997</v>
          </cell>
          <cell r="AJ42">
            <v>11.477</v>
          </cell>
          <cell r="AK42">
            <v>1.9139999999999999</v>
          </cell>
          <cell r="AL42">
            <v>2</v>
          </cell>
          <cell r="AM42"/>
          <cell r="AN42"/>
        </row>
        <row r="43">
          <cell r="A43" t="str">
            <v>Sale of Investments</v>
          </cell>
          <cell r="B43" t="str">
            <v>IS_GAIN_LOSS_SALE_OF_INVEST_OP</v>
          </cell>
          <cell r="C43" t="str">
            <v>EQY_FUND_RELATIVE_PERIOD</v>
          </cell>
          <cell r="D43"/>
          <cell r="E43"/>
          <cell r="F43">
            <v>0</v>
          </cell>
          <cell r="G43">
            <v>0</v>
          </cell>
          <cell r="H43">
            <v>0</v>
          </cell>
          <cell r="I43">
            <v>0</v>
          </cell>
          <cell r="J43">
            <v>0</v>
          </cell>
          <cell r="K43">
            <v>0</v>
          </cell>
          <cell r="L43">
            <v>0</v>
          </cell>
          <cell r="M43">
            <v>-14.601000000000001</v>
          </cell>
          <cell r="N43">
            <v>0</v>
          </cell>
          <cell r="O43">
            <v>0</v>
          </cell>
          <cell r="P43">
            <v>0</v>
          </cell>
          <cell r="Q43">
            <v>0</v>
          </cell>
          <cell r="R43">
            <v>0</v>
          </cell>
          <cell r="S43">
            <v>0</v>
          </cell>
          <cell r="T43">
            <v>0</v>
          </cell>
          <cell r="U43">
            <v>0</v>
          </cell>
          <cell r="V43">
            <v>0</v>
          </cell>
          <cell r="W43">
            <v>0</v>
          </cell>
          <cell r="X43">
            <v>0</v>
          </cell>
          <cell r="Y43">
            <v>0</v>
          </cell>
          <cell r="Z43">
            <v>0</v>
          </cell>
          <cell r="AA43" t="str">
            <v/>
          </cell>
          <cell r="AB43">
            <v>0</v>
          </cell>
          <cell r="AC43">
            <v>0</v>
          </cell>
          <cell r="AD43">
            <v>0</v>
          </cell>
          <cell r="AE43">
            <v>0</v>
          </cell>
          <cell r="AF43">
            <v>0</v>
          </cell>
          <cell r="AG43">
            <v>0</v>
          </cell>
          <cell r="AH43">
            <v>0</v>
          </cell>
          <cell r="AI43">
            <v>0</v>
          </cell>
          <cell r="AJ43">
            <v>-14.601000000000001</v>
          </cell>
          <cell r="AK43">
            <v>0</v>
          </cell>
          <cell r="AL43">
            <v>0</v>
          </cell>
          <cell r="AM43"/>
          <cell r="AN43"/>
        </row>
        <row r="44">
          <cell r="A44" t="str">
            <v>Unrealized Investments</v>
          </cell>
          <cell r="B44" t="str">
            <v>IS_UNRLZD_GAIN_LOSS_ON_SECS_OP</v>
          </cell>
          <cell r="C44" t="str">
            <v>EQY_FUND_RELATIVE_PERIOD</v>
          </cell>
          <cell r="D44"/>
          <cell r="E44"/>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t="str">
            <v/>
          </cell>
          <cell r="AB44">
            <v>0</v>
          </cell>
          <cell r="AC44">
            <v>0</v>
          </cell>
          <cell r="AD44">
            <v>0</v>
          </cell>
          <cell r="AE44">
            <v>0</v>
          </cell>
          <cell r="AF44">
            <v>0</v>
          </cell>
          <cell r="AG44">
            <v>0</v>
          </cell>
          <cell r="AH44">
            <v>0</v>
          </cell>
          <cell r="AI44">
            <v>0</v>
          </cell>
          <cell r="AJ44">
            <v>0</v>
          </cell>
          <cell r="AK44">
            <v>0</v>
          </cell>
          <cell r="AL44">
            <v>0</v>
          </cell>
          <cell r="AM44"/>
          <cell r="AN44"/>
        </row>
        <row r="45">
          <cell r="A45" t="str">
            <v>Insurance Settlements</v>
          </cell>
          <cell r="B45" t="str">
            <v>IS_INSURANCE_SETTLEMENTS_OP</v>
          </cell>
          <cell r="C45" t="str">
            <v>EQY_FUND_RELATIVE_PERIOD</v>
          </cell>
          <cell r="D45"/>
          <cell r="E45"/>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t="str">
            <v/>
          </cell>
          <cell r="AB45">
            <v>0</v>
          </cell>
          <cell r="AC45">
            <v>0</v>
          </cell>
          <cell r="AD45">
            <v>0</v>
          </cell>
          <cell r="AE45">
            <v>0</v>
          </cell>
          <cell r="AF45">
            <v>0</v>
          </cell>
          <cell r="AG45">
            <v>0</v>
          </cell>
          <cell r="AH45">
            <v>0</v>
          </cell>
          <cell r="AI45">
            <v>0</v>
          </cell>
          <cell r="AJ45">
            <v>0</v>
          </cell>
          <cell r="AK45">
            <v>0</v>
          </cell>
          <cell r="AL45">
            <v>0</v>
          </cell>
          <cell r="AM45"/>
          <cell r="AN45"/>
        </row>
        <row r="46">
          <cell r="A46" t="str">
            <v>Other Abnormal Items</v>
          </cell>
          <cell r="B46" t="str">
            <v>IS_OTHER_ONE_TIME_ITEMS_OP</v>
          </cell>
          <cell r="C46" t="str">
            <v>EQY_FUND_RELATIVE_PERIOD</v>
          </cell>
          <cell r="D46"/>
          <cell r="E46"/>
          <cell r="F46">
            <v>0</v>
          </cell>
          <cell r="G46">
            <v>0</v>
          </cell>
          <cell r="H46">
            <v>0</v>
          </cell>
          <cell r="I46">
            <v>0</v>
          </cell>
          <cell r="J46">
            <v>0</v>
          </cell>
          <cell r="K46">
            <v>0</v>
          </cell>
          <cell r="L46">
            <v>0</v>
          </cell>
          <cell r="M46">
            <v>0</v>
          </cell>
          <cell r="N46">
            <v>40.308999999999997</v>
          </cell>
          <cell r="O46">
            <v>3.8540000000000001</v>
          </cell>
          <cell r="P46">
            <v>0</v>
          </cell>
          <cell r="Q46">
            <v>0</v>
          </cell>
          <cell r="R46">
            <v>0</v>
          </cell>
          <cell r="S46">
            <v>0</v>
          </cell>
          <cell r="T46">
            <v>61.213292307692001</v>
          </cell>
          <cell r="U46">
            <v>0</v>
          </cell>
          <cell r="V46">
            <v>0</v>
          </cell>
          <cell r="W46">
            <v>0</v>
          </cell>
          <cell r="X46">
            <v>0</v>
          </cell>
          <cell r="Y46">
            <v>0</v>
          </cell>
          <cell r="Z46">
            <v>0</v>
          </cell>
          <cell r="AA46" t="str">
            <v/>
          </cell>
          <cell r="AB46">
            <v>0</v>
          </cell>
          <cell r="AC46">
            <v>0</v>
          </cell>
          <cell r="AD46">
            <v>0</v>
          </cell>
          <cell r="AE46">
            <v>0</v>
          </cell>
          <cell r="AF46">
            <v>0</v>
          </cell>
          <cell r="AG46">
            <v>0</v>
          </cell>
          <cell r="AH46">
            <v>0</v>
          </cell>
          <cell r="AI46">
            <v>0</v>
          </cell>
          <cell r="AJ46">
            <v>44.162999999999997</v>
          </cell>
          <cell r="AK46">
            <v>0</v>
          </cell>
          <cell r="AL46">
            <v>0</v>
          </cell>
          <cell r="AM46"/>
          <cell r="AN46"/>
        </row>
        <row r="47">
          <cell r="A47" t="str">
            <v>Operating Income (Loss), Adjusted</v>
          </cell>
          <cell r="B47" t="str">
            <v>IS_OPER_INC</v>
          </cell>
          <cell r="C47" t="str">
            <v>EQY_FUND_RELATIVE_PERIOD</v>
          </cell>
          <cell r="D47" t="str">
            <v>Adjusted</v>
          </cell>
          <cell r="E47"/>
          <cell r="F47">
            <v>251.29999999999998</v>
          </cell>
          <cell r="G47">
            <v>273.791</v>
          </cell>
          <cell r="H47">
            <v>250.131</v>
          </cell>
          <cell r="I47">
            <v>297.86599999999999</v>
          </cell>
          <cell r="J47">
            <v>286.49799999999999</v>
          </cell>
          <cell r="K47">
            <v>266.45699999999999</v>
          </cell>
          <cell r="L47">
            <v>253.23899999999998</v>
          </cell>
          <cell r="M47">
            <v>255.84699999999998</v>
          </cell>
          <cell r="N47">
            <v>249.13</v>
          </cell>
          <cell r="O47">
            <v>273.19599999999997</v>
          </cell>
          <cell r="P47">
            <v>237.00899999999999</v>
          </cell>
          <cell r="Q47">
            <v>245.03799999999998</v>
          </cell>
          <cell r="R47">
            <v>214.456153846154</v>
          </cell>
          <cell r="S47">
            <v>230.81684615384597</v>
          </cell>
          <cell r="T47">
            <v>282.21329230769197</v>
          </cell>
          <cell r="U47">
            <v>228</v>
          </cell>
          <cell r="V47">
            <v>266</v>
          </cell>
          <cell r="W47">
            <v>268</v>
          </cell>
          <cell r="X47">
            <v>196</v>
          </cell>
          <cell r="Y47">
            <v>438</v>
          </cell>
          <cell r="Z47">
            <v>397</v>
          </cell>
          <cell r="AA47" t="str">
            <v/>
          </cell>
          <cell r="AB47">
            <v>588.96799999999996</v>
          </cell>
          <cell r="AC47">
            <v>644.49</v>
          </cell>
          <cell r="AD47">
            <v>705.41599999999994</v>
          </cell>
          <cell r="AE47">
            <v>642.45600000000002</v>
          </cell>
          <cell r="AF47">
            <v>638.28699999999992</v>
          </cell>
          <cell r="AG47">
            <v>919.50199999999995</v>
          </cell>
          <cell r="AH47">
            <v>1058.4949999999999</v>
          </cell>
          <cell r="AI47">
            <v>1100.952</v>
          </cell>
          <cell r="AJ47">
            <v>1031.412</v>
          </cell>
          <cell r="AK47">
            <v>927.31999999999994</v>
          </cell>
          <cell r="AL47">
            <v>983</v>
          </cell>
          <cell r="AM47"/>
          <cell r="AN47"/>
        </row>
        <row r="48">
          <cell r="A48" t="str">
            <v>Operating Income (As reported)</v>
          </cell>
          <cell r="B48" t="str">
            <v>ARD_OPERATING_INCOME</v>
          </cell>
          <cell r="C48" t="str">
            <v>EQY_FUND_RELATIVE_PERIOD</v>
          </cell>
          <cell r="D48"/>
          <cell r="E48"/>
          <cell r="F48">
            <v>180.291</v>
          </cell>
          <cell r="G48">
            <v>230.45699999999999</v>
          </cell>
          <cell r="H48">
            <v>208.458</v>
          </cell>
          <cell r="I48">
            <v>267.78399999999999</v>
          </cell>
          <cell r="J48">
            <v>275.19600000000003</v>
          </cell>
          <cell r="K48">
            <v>235.73</v>
          </cell>
          <cell r="L48">
            <v>250.82400000000001</v>
          </cell>
          <cell r="M48">
            <v>266.15600000000001</v>
          </cell>
          <cell r="N48">
            <v>206.172</v>
          </cell>
          <cell r="O48">
            <v>257.56900000000002</v>
          </cell>
          <cell r="P48">
            <v>226.02500000000001</v>
          </cell>
          <cell r="Q48">
            <v>224.34200000000001</v>
          </cell>
          <cell r="R48">
            <v>197.03100000000001</v>
          </cell>
          <cell r="S48">
            <v>172.54300000000001</v>
          </cell>
          <cell r="T48">
            <v>163</v>
          </cell>
          <cell r="U48">
            <v>193</v>
          </cell>
          <cell r="V48">
            <v>207</v>
          </cell>
          <cell r="W48">
            <v>182</v>
          </cell>
          <cell r="X48">
            <v>58</v>
          </cell>
          <cell r="Y48">
            <v>311</v>
          </cell>
          <cell r="Z48">
            <v>264</v>
          </cell>
          <cell r="AA48" t="str">
            <v/>
          </cell>
          <cell r="AB48">
            <v>588.96799999999996</v>
          </cell>
          <cell r="AC48">
            <v>644.49</v>
          </cell>
          <cell r="AD48">
            <v>705.41600000000005</v>
          </cell>
          <cell r="AE48">
            <v>642.45600000000002</v>
          </cell>
          <cell r="AF48">
            <v>606.16499999999996</v>
          </cell>
          <cell r="AG48">
            <v>771.99800000000005</v>
          </cell>
          <cell r="AH48">
            <v>899.62099999999998</v>
          </cell>
          <cell r="AI48">
            <v>987.16800000000001</v>
          </cell>
          <cell r="AJ48">
            <v>980.721</v>
          </cell>
          <cell r="AK48">
            <v>819.94100000000003</v>
          </cell>
          <cell r="AL48">
            <v>745</v>
          </cell>
          <cell r="AM48"/>
          <cell r="AN48"/>
        </row>
        <row r="49">
          <cell r="A49" t="str">
            <v>NonOperating (Income) Loss</v>
          </cell>
          <cell r="B49" t="str">
            <v>NOI_LOSS_GAAP_RATIO</v>
          </cell>
          <cell r="C49" t="str">
            <v>EQY_FUND_RELATIVE_PERIOD</v>
          </cell>
          <cell r="F49">
            <v>165.155</v>
          </cell>
          <cell r="G49">
            <v>164.91800000000001</v>
          </cell>
          <cell r="H49">
            <v>159.274</v>
          </cell>
          <cell r="I49">
            <v>173.03</v>
          </cell>
          <cell r="J49">
            <v>167.58600000000001</v>
          </cell>
          <cell r="K49">
            <v>177.74299999999999</v>
          </cell>
          <cell r="L49">
            <v>168.06200000000001</v>
          </cell>
          <cell r="M49">
            <v>163.702</v>
          </cell>
          <cell r="N49">
            <v>162.31100000000001</v>
          </cell>
          <cell r="O49">
            <v>165.553</v>
          </cell>
          <cell r="P49">
            <v>169.56200000000001</v>
          </cell>
          <cell r="Q49">
            <v>167.62799999999999</v>
          </cell>
          <cell r="R49">
            <v>145.26499999999999</v>
          </cell>
          <cell r="S49">
            <v>174.04900000000001</v>
          </cell>
          <cell r="T49">
            <v>186</v>
          </cell>
          <cell r="U49">
            <v>186</v>
          </cell>
          <cell r="V49">
            <v>193</v>
          </cell>
          <cell r="W49">
            <v>180</v>
          </cell>
          <cell r="X49">
            <v>174</v>
          </cell>
          <cell r="Y49">
            <v>386</v>
          </cell>
          <cell r="Z49">
            <v>383</v>
          </cell>
          <cell r="AA49" t="str">
            <v/>
          </cell>
          <cell r="AB49">
            <v>325.75600000000003</v>
          </cell>
          <cell r="AC49">
            <v>254.00300000000004</v>
          </cell>
          <cell r="AD49">
            <v>360.88800000000003</v>
          </cell>
          <cell r="AE49">
            <v>351.68600000000004</v>
          </cell>
          <cell r="AF49">
            <v>369.86599999999999</v>
          </cell>
          <cell r="AG49">
            <v>504.64600000000002</v>
          </cell>
          <cell r="AH49">
            <v>655.16499999999996</v>
          </cell>
          <cell r="AI49">
            <v>677.63300000000004</v>
          </cell>
          <cell r="AJ49">
            <v>659.62800000000004</v>
          </cell>
          <cell r="AK49">
            <v>656.50400000000002</v>
          </cell>
          <cell r="AL49">
            <v>745</v>
          </cell>
        </row>
        <row r="50">
          <cell r="A50" t="str">
            <v>Interest Expense, Net</v>
          </cell>
          <cell r="B50" t="str">
            <v>IS_NET_INTEREST_EXPENSE</v>
          </cell>
          <cell r="C50" t="str">
            <v>EQY_FUND_RELATIVE_PERIOD</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174</v>
          </cell>
          <cell r="Y50">
            <v>386</v>
          </cell>
          <cell r="Z50">
            <v>386</v>
          </cell>
          <cell r="AA50" t="str">
            <v/>
          </cell>
          <cell r="AB50">
            <v>338.73499999999996</v>
          </cell>
          <cell r="AC50">
            <v>336.44599999999997</v>
          </cell>
          <cell r="AD50">
            <v>0</v>
          </cell>
          <cell r="AE50">
            <v>0</v>
          </cell>
          <cell r="AF50">
            <v>0</v>
          </cell>
          <cell r="AG50">
            <v>0</v>
          </cell>
          <cell r="AH50">
            <v>0</v>
          </cell>
          <cell r="AI50">
            <v>0</v>
          </cell>
          <cell r="AJ50">
            <v>0</v>
          </cell>
          <cell r="AK50">
            <v>695.5</v>
          </cell>
          <cell r="AL50">
            <v>752</v>
          </cell>
        </row>
        <row r="51">
          <cell r="A51" t="str">
            <v>Interest Expense</v>
          </cell>
          <cell r="B51" t="str">
            <v>IS_INT_EXPENSE</v>
          </cell>
          <cell r="C51" t="str">
            <v>EQY_FUND_RELATIVE_PERIOD</v>
          </cell>
          <cell r="F51">
            <v>165.755</v>
          </cell>
          <cell r="G51">
            <v>165.16200000000001</v>
          </cell>
          <cell r="H51">
            <v>164.86199999999999</v>
          </cell>
          <cell r="I51">
            <v>172.054</v>
          </cell>
          <cell r="J51">
            <v>172.18799999999999</v>
          </cell>
          <cell r="K51">
            <v>178.881</v>
          </cell>
          <cell r="L51">
            <v>171.42</v>
          </cell>
          <cell r="M51">
            <v>166.547</v>
          </cell>
          <cell r="N51">
            <v>163.83499999999998</v>
          </cell>
          <cell r="O51">
            <v>165.596</v>
          </cell>
          <cell r="P51">
            <v>170.95699999999999</v>
          </cell>
          <cell r="Q51">
            <v>167.61099999999999</v>
          </cell>
          <cell r="R51">
            <v>170.37099999999998</v>
          </cell>
          <cell r="S51">
            <v>186.56099999999998</v>
          </cell>
          <cell r="T51">
            <v>187</v>
          </cell>
          <cell r="U51">
            <v>187</v>
          </cell>
          <cell r="V51">
            <v>194</v>
          </cell>
          <cell r="W51">
            <v>184</v>
          </cell>
          <cell r="X51">
            <v>185</v>
          </cell>
          <cell r="Y51">
            <v>386</v>
          </cell>
          <cell r="Z51">
            <v>386</v>
          </cell>
          <cell r="AA51" t="str">
            <v/>
          </cell>
          <cell r="AB51">
            <v>338.73499999999996</v>
          </cell>
          <cell r="AC51">
            <v>336.44599999999997</v>
          </cell>
          <cell r="AD51">
            <v>380.69599999999997</v>
          </cell>
          <cell r="AE51">
            <v>362.63399999999996</v>
          </cell>
          <cell r="AF51">
            <v>378.214</v>
          </cell>
          <cell r="AG51">
            <v>521.82000000000005</v>
          </cell>
          <cell r="AH51">
            <v>665.19600000000003</v>
          </cell>
          <cell r="AI51">
            <v>687.98500000000001</v>
          </cell>
          <cell r="AJ51">
            <v>667.39800000000002</v>
          </cell>
          <cell r="AK51">
            <v>695.5</v>
          </cell>
          <cell r="AL51">
            <v>752</v>
          </cell>
        </row>
        <row r="52">
          <cell r="A52" t="str">
            <v>Interest Income</v>
          </cell>
          <cell r="B52" t="str">
            <v>IS_INT_INC</v>
          </cell>
          <cell r="C52" t="str">
            <v>EQY_FUND_RELATIVE_PERIOD</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11</v>
          </cell>
          <cell r="Y52">
            <v>0</v>
          </cell>
          <cell r="Z52">
            <v>0</v>
          </cell>
          <cell r="AA52" t="str">
            <v/>
          </cell>
          <cell r="AB52">
            <v>0</v>
          </cell>
          <cell r="AC52">
            <v>0</v>
          </cell>
          <cell r="AD52">
            <v>0</v>
          </cell>
          <cell r="AE52">
            <v>0</v>
          </cell>
          <cell r="AF52">
            <v>0</v>
          </cell>
          <cell r="AG52">
            <v>0</v>
          </cell>
          <cell r="AH52">
            <v>0</v>
          </cell>
          <cell r="AI52">
            <v>0</v>
          </cell>
          <cell r="AJ52">
            <v>0</v>
          </cell>
          <cell r="AK52">
            <v>0</v>
          </cell>
          <cell r="AL52">
            <v>0</v>
          </cell>
        </row>
        <row r="53">
          <cell r="A53" t="str">
            <v>Other Investment (Inc) Loss</v>
          </cell>
          <cell r="B53" t="str">
            <v>IS_OTHER_INVEST_INC_LOSS_GAAP</v>
          </cell>
          <cell r="C53" t="str">
            <v>EQY_FUND_RELATIVE_PERIOD</v>
          </cell>
          <cell r="F53">
            <v>0.66600000000000004</v>
          </cell>
          <cell r="G53">
            <v>-1.4870000000000001</v>
          </cell>
          <cell r="H53">
            <v>-2.1030000000000002</v>
          </cell>
          <cell r="I53">
            <v>-0.21099999999999999</v>
          </cell>
          <cell r="J53">
            <v>-0.32300000000000001</v>
          </cell>
          <cell r="K53">
            <v>0</v>
          </cell>
          <cell r="L53">
            <v>-1.766</v>
          </cell>
          <cell r="M53">
            <v>-0.12</v>
          </cell>
          <cell r="N53">
            <v>-0.38200000000000001</v>
          </cell>
          <cell r="O53">
            <v>0</v>
          </cell>
          <cell r="P53">
            <v>0</v>
          </cell>
          <cell r="Q53">
            <v>1.7000000000000001E-2</v>
          </cell>
          <cell r="R53">
            <v>-25.106000000000002</v>
          </cell>
          <cell r="S53">
            <v>0</v>
          </cell>
          <cell r="T53">
            <v>0</v>
          </cell>
          <cell r="U53">
            <v>0</v>
          </cell>
          <cell r="V53">
            <v>0</v>
          </cell>
          <cell r="W53">
            <v>0</v>
          </cell>
          <cell r="X53">
            <v>0</v>
          </cell>
          <cell r="Y53">
            <v>0</v>
          </cell>
          <cell r="Z53">
            <v>0</v>
          </cell>
          <cell r="AA53" t="str">
            <v/>
          </cell>
          <cell r="AB53">
            <v>0</v>
          </cell>
          <cell r="AC53">
            <v>0</v>
          </cell>
          <cell r="AD53">
            <v>0</v>
          </cell>
          <cell r="AE53">
            <v>0</v>
          </cell>
          <cell r="AF53">
            <v>-6.2850000000000001</v>
          </cell>
          <cell r="AG53">
            <v>-6.8479999999999999</v>
          </cell>
          <cell r="AH53">
            <v>-2.391</v>
          </cell>
          <cell r="AI53">
            <v>-3.2309999999999999</v>
          </cell>
          <cell r="AJ53">
            <v>-2.4009999999999998</v>
          </cell>
          <cell r="AK53">
            <v>0</v>
          </cell>
          <cell r="AL53">
            <v>0</v>
          </cell>
        </row>
        <row r="54">
          <cell r="A54" t="str">
            <v>Foreign Exch (Gain) Loss</v>
          </cell>
          <cell r="B54" t="str">
            <v>IS_FOREIGN_EXCH_LOSS</v>
          </cell>
          <cell r="C54" t="str">
            <v>EQY_FUND_RELATIVE_PERIOD</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t="str">
            <v/>
          </cell>
          <cell r="AB54">
            <v>0</v>
          </cell>
          <cell r="AC54">
            <v>0</v>
          </cell>
          <cell r="AD54">
            <v>0</v>
          </cell>
          <cell r="AE54">
            <v>0</v>
          </cell>
          <cell r="AF54">
            <v>0</v>
          </cell>
          <cell r="AG54">
            <v>0</v>
          </cell>
          <cell r="AH54">
            <v>0</v>
          </cell>
          <cell r="AI54">
            <v>0</v>
          </cell>
          <cell r="AJ54">
            <v>0</v>
          </cell>
          <cell r="AK54">
            <v>0</v>
          </cell>
          <cell r="AL54">
            <v>0</v>
          </cell>
        </row>
        <row r="55">
          <cell r="A55" t="str">
            <v>(Income) Loss from Affiliates</v>
          </cell>
          <cell r="B55" t="str">
            <v>INCOME_LOSS_FROM_AFFILIATES</v>
          </cell>
          <cell r="C55" t="str">
            <v>EQY_FUND_RELATIVE_PERIOD</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t="str">
            <v/>
          </cell>
          <cell r="AB55">
            <v>0</v>
          </cell>
          <cell r="AC55">
            <v>0</v>
          </cell>
          <cell r="AD55">
            <v>0</v>
          </cell>
          <cell r="AE55">
            <v>0</v>
          </cell>
          <cell r="AF55">
            <v>0</v>
          </cell>
          <cell r="AG55">
            <v>0</v>
          </cell>
          <cell r="AH55">
            <v>0</v>
          </cell>
          <cell r="AI55">
            <v>0</v>
          </cell>
          <cell r="AJ55">
            <v>0</v>
          </cell>
          <cell r="AK55">
            <v>0</v>
          </cell>
          <cell r="AL55">
            <v>0</v>
          </cell>
        </row>
        <row r="56">
          <cell r="A56" t="str">
            <v>Other NonOp (Income) Loss</v>
          </cell>
          <cell r="B56" t="str">
            <v>OTHER_NOI_LOSS_GAAP_RATIO</v>
          </cell>
          <cell r="C56" t="str">
            <v>EQY_FUND_RELATIVE_PERIOD</v>
          </cell>
          <cell r="F56">
            <v>-1.266</v>
          </cell>
          <cell r="G56">
            <v>1.2430000000000001</v>
          </cell>
          <cell r="H56">
            <v>-3.4849999999999999</v>
          </cell>
          <cell r="I56">
            <v>1.1870000000000001</v>
          </cell>
          <cell r="J56">
            <v>-4.2789999999999999</v>
          </cell>
          <cell r="K56">
            <v>-1.1379999999999999</v>
          </cell>
          <cell r="L56">
            <v>-1.5920000000000001</v>
          </cell>
          <cell r="M56">
            <v>-2.7250000000000001</v>
          </cell>
          <cell r="N56">
            <v>-1.1419999999999999</v>
          </cell>
          <cell r="O56">
            <v>-4.2999999999999997E-2</v>
          </cell>
          <cell r="P56">
            <v>-1.395</v>
          </cell>
          <cell r="Q56">
            <v>0</v>
          </cell>
          <cell r="R56">
            <v>0</v>
          </cell>
          <cell r="S56">
            <v>-12.512</v>
          </cell>
          <cell r="T56">
            <v>-1</v>
          </cell>
          <cell r="U56">
            <v>-1</v>
          </cell>
          <cell r="V56">
            <v>-1</v>
          </cell>
          <cell r="W56">
            <v>-4</v>
          </cell>
          <cell r="X56">
            <v>0</v>
          </cell>
          <cell r="Y56">
            <v>0</v>
          </cell>
          <cell r="Z56">
            <v>-3</v>
          </cell>
          <cell r="AA56" t="str">
            <v/>
          </cell>
          <cell r="AB56">
            <v>-12.978999999999999</v>
          </cell>
          <cell r="AC56">
            <v>-82.442999999999998</v>
          </cell>
          <cell r="AD56">
            <v>-19.808</v>
          </cell>
          <cell r="AE56">
            <v>-10.948</v>
          </cell>
          <cell r="AF56">
            <v>-2.0630000000000002</v>
          </cell>
          <cell r="AG56">
            <v>-10.326000000000001</v>
          </cell>
          <cell r="AH56">
            <v>-7.64</v>
          </cell>
          <cell r="AI56">
            <v>-7.1210000000000004</v>
          </cell>
          <cell r="AJ56">
            <v>-5.3689999999999998</v>
          </cell>
          <cell r="AK56">
            <v>-38.996000000000002</v>
          </cell>
          <cell r="AL56">
            <v>-7</v>
          </cell>
        </row>
        <row r="57">
          <cell r="A57" t="str">
            <v>Pretax Income, GAAP</v>
          </cell>
          <cell r="B57" t="str">
            <v>PRETAX_INC</v>
          </cell>
          <cell r="C57" t="str">
            <v>EQY_FUND_RELATIVE_PERIOD</v>
          </cell>
          <cell r="D57" t="str">
            <v>GAAP</v>
          </cell>
          <cell r="E57"/>
          <cell r="F57">
            <v>15.372</v>
          </cell>
          <cell r="G57">
            <v>66.781999999999996</v>
          </cell>
          <cell r="H57">
            <v>49.183999999999997</v>
          </cell>
          <cell r="I57">
            <v>33.716000000000001</v>
          </cell>
          <cell r="J57">
            <v>107.36499999999999</v>
          </cell>
          <cell r="K57">
            <v>38.686999999999998</v>
          </cell>
          <cell r="L57">
            <v>84.058000000000007</v>
          </cell>
          <cell r="M57">
            <v>-57.215000000000003</v>
          </cell>
          <cell r="N57">
            <v>43.860999999999997</v>
          </cell>
          <cell r="O57">
            <v>92.016000000000005</v>
          </cell>
          <cell r="P57">
            <v>56.463000000000001</v>
          </cell>
          <cell r="Q57">
            <v>56.713999999999999</v>
          </cell>
          <cell r="R57">
            <v>51.765999999999998</v>
          </cell>
          <cell r="S57">
            <v>-1.506</v>
          </cell>
          <cell r="T57">
            <v>-81</v>
          </cell>
          <cell r="U57">
            <v>-66</v>
          </cell>
          <cell r="V57">
            <v>-38</v>
          </cell>
          <cell r="W57">
            <v>-176</v>
          </cell>
          <cell r="X57">
            <v>-304</v>
          </cell>
          <cell r="Y57">
            <v>-75</v>
          </cell>
          <cell r="Z57">
            <v>-126</v>
          </cell>
          <cell r="AA57" t="str">
            <v/>
          </cell>
          <cell r="AB57">
            <v>263.21199999999999</v>
          </cell>
          <cell r="AC57">
            <v>390.48700000000002</v>
          </cell>
          <cell r="AD57">
            <v>344.52800000000002</v>
          </cell>
          <cell r="AE57">
            <v>290.77</v>
          </cell>
          <cell r="AF57">
            <v>193.10900000000001</v>
          </cell>
          <cell r="AG57">
            <v>270.71600000000001</v>
          </cell>
          <cell r="AH57">
            <v>245.95099999999999</v>
          </cell>
          <cell r="AI57">
            <v>228.952</v>
          </cell>
          <cell r="AJ57">
            <v>162.72</v>
          </cell>
          <cell r="AK57">
            <v>163.43700000000001</v>
          </cell>
          <cell r="AL57">
            <v>-361</v>
          </cell>
          <cell r="AM57"/>
          <cell r="AN57"/>
        </row>
        <row r="58">
          <cell r="A58" t="str">
            <v>Acquired In-Process R&amp;D</v>
          </cell>
          <cell r="B58" t="str">
            <v>IS_ACQUIRED_IN_PROCESS_R&amp;D</v>
          </cell>
          <cell r="C58" t="str">
            <v>EQY_FUND_RELATIVE_PERIOD</v>
          </cell>
          <cell r="D58"/>
          <cell r="E58"/>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t="str">
            <v/>
          </cell>
          <cell r="AB58">
            <v>0</v>
          </cell>
          <cell r="AC58">
            <v>0</v>
          </cell>
          <cell r="AD58">
            <v>0</v>
          </cell>
          <cell r="AE58">
            <v>0</v>
          </cell>
          <cell r="AF58">
            <v>0</v>
          </cell>
          <cell r="AG58">
            <v>0</v>
          </cell>
          <cell r="AH58">
            <v>0</v>
          </cell>
          <cell r="AI58">
            <v>0</v>
          </cell>
          <cell r="AJ58">
            <v>0</v>
          </cell>
          <cell r="AK58">
            <v>0</v>
          </cell>
          <cell r="AL58">
            <v>0</v>
          </cell>
          <cell r="AM58"/>
          <cell r="AN58"/>
        </row>
        <row r="59">
          <cell r="A59" t="str">
            <v>Merger Expense</v>
          </cell>
          <cell r="B59" t="str">
            <v>IS_MERGER_ACQUISITION_EXPENSE</v>
          </cell>
          <cell r="C59" t="str">
            <v>EQY_FUND_RELATIVE_PERIOD</v>
          </cell>
          <cell r="D59"/>
          <cell r="E59"/>
          <cell r="F59">
            <v>67.412000000000006</v>
          </cell>
          <cell r="G59">
            <v>42.247</v>
          </cell>
          <cell r="H59">
            <v>35.143999999999998</v>
          </cell>
          <cell r="I59">
            <v>28.602</v>
          </cell>
          <cell r="J59">
            <v>4.4580000000000002</v>
          </cell>
          <cell r="K59">
            <v>13.532999999999999</v>
          </cell>
          <cell r="L59">
            <v>0</v>
          </cell>
          <cell r="M59">
            <v>0</v>
          </cell>
          <cell r="N59">
            <v>0</v>
          </cell>
          <cell r="O59">
            <v>9.6519999999999992</v>
          </cell>
          <cell r="P59">
            <v>10.596</v>
          </cell>
          <cell r="Q59">
            <v>19.850999999999999</v>
          </cell>
          <cell r="R59">
            <v>41.610999999999997</v>
          </cell>
          <cell r="S59">
            <v>69.546999999999997</v>
          </cell>
          <cell r="T59">
            <v>115</v>
          </cell>
          <cell r="U59">
            <v>108</v>
          </cell>
          <cell r="V59">
            <v>110</v>
          </cell>
          <cell r="W59">
            <v>264</v>
          </cell>
          <cell r="X59">
            <v>326</v>
          </cell>
          <cell r="Y59">
            <v>127</v>
          </cell>
          <cell r="Z59">
            <v>122</v>
          </cell>
          <cell r="AA59" t="str">
            <v/>
          </cell>
          <cell r="AB59">
            <v>0</v>
          </cell>
          <cell r="AC59">
            <v>0</v>
          </cell>
          <cell r="AD59">
            <v>0</v>
          </cell>
          <cell r="AE59">
            <v>0</v>
          </cell>
          <cell r="AF59">
            <v>28.334</v>
          </cell>
          <cell r="AG59">
            <v>137.142</v>
          </cell>
          <cell r="AH59">
            <v>143.14599999999999</v>
          </cell>
          <cell r="AI59">
            <v>81.736999999999995</v>
          </cell>
          <cell r="AJ59">
            <v>9.6519999999999992</v>
          </cell>
          <cell r="AK59">
            <v>141.60499999999999</v>
          </cell>
          <cell r="AL59">
            <v>597</v>
          </cell>
          <cell r="AM59"/>
          <cell r="AN59"/>
        </row>
        <row r="60">
          <cell r="A60" t="str">
            <v>Derivatives/Hedging</v>
          </cell>
          <cell r="B60" t="str">
            <v>IS_DERIVATIVES_HEDGING</v>
          </cell>
          <cell r="C60" t="str">
            <v>EQY_FUND_RELATIVE_PERIOD</v>
          </cell>
          <cell r="D60"/>
          <cell r="E60"/>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t="str">
            <v/>
          </cell>
          <cell r="AB60">
            <v>0</v>
          </cell>
          <cell r="AC60">
            <v>0</v>
          </cell>
          <cell r="AD60">
            <v>0</v>
          </cell>
          <cell r="AE60">
            <v>0</v>
          </cell>
          <cell r="AF60">
            <v>0</v>
          </cell>
          <cell r="AG60">
            <v>0</v>
          </cell>
          <cell r="AH60">
            <v>0</v>
          </cell>
          <cell r="AI60">
            <v>0</v>
          </cell>
          <cell r="AJ60">
            <v>0</v>
          </cell>
          <cell r="AK60">
            <v>0</v>
          </cell>
          <cell r="AL60">
            <v>0</v>
          </cell>
          <cell r="AM60"/>
          <cell r="AN60"/>
        </row>
        <row r="61">
          <cell r="A61" t="str">
            <v>Disposal of Assets</v>
          </cell>
          <cell r="B61" t="str">
            <v>IS_GAIN_LOSS_DISPOSAL_ASSETS</v>
          </cell>
          <cell r="C61" t="str">
            <v>EQY_FUND_RELATIVE_PERIOD</v>
          </cell>
          <cell r="D61"/>
          <cell r="E61"/>
          <cell r="F61">
            <v>0</v>
          </cell>
          <cell r="G61">
            <v>0</v>
          </cell>
          <cell r="H61">
            <v>0</v>
          </cell>
          <cell r="I61">
            <v>0</v>
          </cell>
          <cell r="J61">
            <v>0</v>
          </cell>
          <cell r="K61">
            <v>0</v>
          </cell>
          <cell r="L61">
            <v>0</v>
          </cell>
          <cell r="M61">
            <v>0</v>
          </cell>
          <cell r="N61">
            <v>0</v>
          </cell>
          <cell r="O61">
            <v>0</v>
          </cell>
          <cell r="P61">
            <v>0</v>
          </cell>
          <cell r="Q61">
            <v>0</v>
          </cell>
          <cell r="R61">
            <v>-24.573846153845999</v>
          </cell>
          <cell r="S61">
            <v>-11.566153846154</v>
          </cell>
          <cell r="T61">
            <v>0</v>
          </cell>
          <cell r="U61">
            <v>0</v>
          </cell>
          <cell r="V61">
            <v>0</v>
          </cell>
          <cell r="W61">
            <v>0</v>
          </cell>
          <cell r="X61">
            <v>0</v>
          </cell>
          <cell r="Y61">
            <v>0</v>
          </cell>
          <cell r="Z61">
            <v>0</v>
          </cell>
          <cell r="AA61" t="str">
            <v/>
          </cell>
          <cell r="AB61">
            <v>0</v>
          </cell>
          <cell r="AC61">
            <v>0</v>
          </cell>
          <cell r="AD61">
            <v>0</v>
          </cell>
          <cell r="AE61">
            <v>0</v>
          </cell>
          <cell r="AF61">
            <v>0</v>
          </cell>
          <cell r="AG61">
            <v>0</v>
          </cell>
          <cell r="AH61">
            <v>0</v>
          </cell>
          <cell r="AI61">
            <v>0</v>
          </cell>
          <cell r="AJ61">
            <v>0</v>
          </cell>
          <cell r="AK61">
            <v>-36.14</v>
          </cell>
          <cell r="AL61">
            <v>0</v>
          </cell>
          <cell r="AM61"/>
          <cell r="AN61"/>
        </row>
        <row r="62">
          <cell r="A62" t="str">
            <v>Early Extinguishment of Debt</v>
          </cell>
          <cell r="B62" t="str">
            <v>IS_G_L_ON_EXT_DBT_OR_SETTLE_DBT</v>
          </cell>
          <cell r="C62" t="str">
            <v>EQY_FUND_RELATIVE_PERIOD</v>
          </cell>
          <cell r="D62"/>
          <cell r="E62"/>
          <cell r="F62">
            <v>0</v>
          </cell>
          <cell r="G62">
            <v>0</v>
          </cell>
          <cell r="H62">
            <v>0</v>
          </cell>
          <cell r="I62">
            <v>70.817999999999998</v>
          </cell>
          <cell r="J62">
            <v>0.245</v>
          </cell>
          <cell r="K62">
            <v>19.3</v>
          </cell>
          <cell r="L62">
            <v>0</v>
          </cell>
          <cell r="M62">
            <v>159.78</v>
          </cell>
          <cell r="N62">
            <v>0</v>
          </cell>
          <cell r="O62">
            <v>0</v>
          </cell>
          <cell r="P62">
            <v>0</v>
          </cell>
          <cell r="Q62">
            <v>0</v>
          </cell>
          <cell r="R62">
            <v>0</v>
          </cell>
          <cell r="S62">
            <v>0</v>
          </cell>
          <cell r="T62">
            <v>0</v>
          </cell>
          <cell r="U62">
            <v>0</v>
          </cell>
          <cell r="V62">
            <v>0</v>
          </cell>
          <cell r="W62">
            <v>0</v>
          </cell>
          <cell r="X62">
            <v>0</v>
          </cell>
          <cell r="Y62">
            <v>0</v>
          </cell>
          <cell r="Z62">
            <v>7</v>
          </cell>
          <cell r="AA62" t="str">
            <v/>
          </cell>
          <cell r="AB62">
            <v>0</v>
          </cell>
          <cell r="AC62">
            <v>0</v>
          </cell>
          <cell r="AD62">
            <v>0</v>
          </cell>
          <cell r="AE62">
            <v>0</v>
          </cell>
          <cell r="AF62">
            <v>45.939</v>
          </cell>
          <cell r="AG62">
            <v>0</v>
          </cell>
          <cell r="AH62">
            <v>0</v>
          </cell>
          <cell r="AI62">
            <v>90.363</v>
          </cell>
          <cell r="AJ62">
            <v>159.78</v>
          </cell>
          <cell r="AK62">
            <v>0</v>
          </cell>
          <cell r="AL62">
            <v>0</v>
          </cell>
          <cell r="AM62"/>
          <cell r="AN62"/>
        </row>
        <row r="63">
          <cell r="A63" t="str">
            <v>Asset Write-Down</v>
          </cell>
          <cell r="B63" t="str">
            <v>IS_IMPAIRMENT_ASSETS</v>
          </cell>
          <cell r="C63" t="str">
            <v>EQY_FUND_RELATIVE_PERIOD</v>
          </cell>
          <cell r="D63"/>
          <cell r="E63"/>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t="str">
            <v/>
          </cell>
          <cell r="AB63">
            <v>0</v>
          </cell>
          <cell r="AC63">
            <v>0</v>
          </cell>
          <cell r="AD63">
            <v>0</v>
          </cell>
          <cell r="AE63">
            <v>0</v>
          </cell>
          <cell r="AF63">
            <v>0</v>
          </cell>
          <cell r="AG63">
            <v>0</v>
          </cell>
          <cell r="AH63">
            <v>0</v>
          </cell>
          <cell r="AI63">
            <v>0</v>
          </cell>
          <cell r="AJ63">
            <v>0</v>
          </cell>
          <cell r="AK63">
            <v>0</v>
          </cell>
          <cell r="AL63">
            <v>0</v>
          </cell>
          <cell r="AM63"/>
          <cell r="AN63"/>
        </row>
        <row r="64">
          <cell r="A64" t="str">
            <v>Impairment of Goodwill</v>
          </cell>
          <cell r="B64" t="str">
            <v>IS_IMPAIRMENT_GOODWILL_INTANGIBL</v>
          </cell>
          <cell r="C64" t="str">
            <v>EQY_FUND_RELATIVE_PERIOD</v>
          </cell>
          <cell r="D64"/>
          <cell r="E64"/>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t="str">
            <v/>
          </cell>
          <cell r="AB64">
            <v>0</v>
          </cell>
          <cell r="AC64">
            <v>0</v>
          </cell>
          <cell r="AD64">
            <v>0</v>
          </cell>
          <cell r="AE64">
            <v>0</v>
          </cell>
          <cell r="AF64">
            <v>0</v>
          </cell>
          <cell r="AG64">
            <v>0</v>
          </cell>
          <cell r="AH64">
            <v>0</v>
          </cell>
          <cell r="AI64">
            <v>0</v>
          </cell>
          <cell r="AJ64">
            <v>0</v>
          </cell>
          <cell r="AK64">
            <v>0</v>
          </cell>
          <cell r="AL64">
            <v>0</v>
          </cell>
          <cell r="AM64"/>
          <cell r="AN64"/>
        </row>
        <row r="65">
          <cell r="A65" t="str">
            <v>Impairment of Intangible Assets</v>
          </cell>
          <cell r="B65" t="str">
            <v>IS_IMPAIR_OF_INTANG_ASSETS</v>
          </cell>
          <cell r="C65" t="str">
            <v>EQY_FUND_RELATIVE_PERIOD</v>
          </cell>
          <cell r="D65"/>
          <cell r="E65"/>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t="str">
            <v/>
          </cell>
          <cell r="AB65">
            <v>0</v>
          </cell>
          <cell r="AC65">
            <v>0</v>
          </cell>
          <cell r="AD65">
            <v>0</v>
          </cell>
          <cell r="AE65">
            <v>0</v>
          </cell>
          <cell r="AF65">
            <v>0</v>
          </cell>
          <cell r="AG65">
            <v>0</v>
          </cell>
          <cell r="AH65">
            <v>0</v>
          </cell>
          <cell r="AI65">
            <v>0</v>
          </cell>
          <cell r="AJ65">
            <v>0</v>
          </cell>
          <cell r="AK65">
            <v>0</v>
          </cell>
          <cell r="AL65">
            <v>0</v>
          </cell>
          <cell r="AM65"/>
          <cell r="AN65"/>
        </row>
        <row r="66">
          <cell r="A66" t="str">
            <v>Sale of Business</v>
          </cell>
          <cell r="B66" t="str">
            <v>IS_SALE_OF_BUSINESS</v>
          </cell>
          <cell r="C66" t="str">
            <v>EQY_FUND_RELATIVE_PERIOD</v>
          </cell>
          <cell r="D66"/>
          <cell r="E66"/>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t="str">
            <v/>
          </cell>
          <cell r="AB66">
            <v>0</v>
          </cell>
          <cell r="AC66">
            <v>0</v>
          </cell>
          <cell r="AD66">
            <v>0</v>
          </cell>
          <cell r="AE66">
            <v>0</v>
          </cell>
          <cell r="AF66">
            <v>0</v>
          </cell>
          <cell r="AG66">
            <v>0</v>
          </cell>
          <cell r="AH66">
            <v>0</v>
          </cell>
          <cell r="AI66">
            <v>0</v>
          </cell>
          <cell r="AJ66">
            <v>0</v>
          </cell>
          <cell r="AK66">
            <v>0</v>
          </cell>
          <cell r="AL66">
            <v>0</v>
          </cell>
          <cell r="AM66"/>
          <cell r="AN66"/>
        </row>
        <row r="67">
          <cell r="A67" t="str">
            <v>Legal Settlement</v>
          </cell>
          <cell r="B67" t="str">
            <v>IS_LEGAL_LITIGATION_SETTLEMENT</v>
          </cell>
          <cell r="C67" t="str">
            <v>EQY_FUND_RELATIVE_PERIOD</v>
          </cell>
          <cell r="D67"/>
          <cell r="E67"/>
          <cell r="F67">
            <v>-0.23599999999999999</v>
          </cell>
          <cell r="G67">
            <v>-1.2430000000000001</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t="str">
            <v/>
          </cell>
          <cell r="AB67">
            <v>0</v>
          </cell>
          <cell r="AC67">
            <v>0</v>
          </cell>
          <cell r="AD67">
            <v>0</v>
          </cell>
          <cell r="AE67">
            <v>0</v>
          </cell>
          <cell r="AF67">
            <v>-2.7490000000000001</v>
          </cell>
          <cell r="AG67">
            <v>-3.3639999999999999</v>
          </cell>
          <cell r="AH67">
            <v>-1.4950000000000001</v>
          </cell>
          <cell r="AI67">
            <v>0</v>
          </cell>
          <cell r="AJ67">
            <v>0</v>
          </cell>
          <cell r="AK67">
            <v>0</v>
          </cell>
          <cell r="AL67">
            <v>0</v>
          </cell>
          <cell r="AM67"/>
          <cell r="AN67"/>
        </row>
        <row r="68">
          <cell r="A68" t="str">
            <v>Restructuring Expense</v>
          </cell>
          <cell r="B68" t="str">
            <v>IS_RESTRUCTURING_CHARGES</v>
          </cell>
          <cell r="C68" t="str">
            <v>EQY_FUND_RELATIVE_PERIOD</v>
          </cell>
          <cell r="D68"/>
          <cell r="E68"/>
          <cell r="F68">
            <v>3.597</v>
          </cell>
          <cell r="G68">
            <v>1.087</v>
          </cell>
          <cell r="H68">
            <v>6.5289999999999999</v>
          </cell>
          <cell r="I68">
            <v>1.48</v>
          </cell>
          <cell r="J68">
            <v>6.8440000000000003</v>
          </cell>
          <cell r="K68">
            <v>17.193999999999999</v>
          </cell>
          <cell r="L68">
            <v>2.415</v>
          </cell>
          <cell r="M68">
            <v>4.2919999999999998</v>
          </cell>
          <cell r="N68">
            <v>2.649</v>
          </cell>
          <cell r="O68">
            <v>2.121</v>
          </cell>
          <cell r="P68">
            <v>0.38800000000000001</v>
          </cell>
          <cell r="Q68">
            <v>0.84499999999999997</v>
          </cell>
          <cell r="R68">
            <v>0.38800000000000001</v>
          </cell>
          <cell r="S68">
            <v>0.29299999999999998</v>
          </cell>
          <cell r="T68">
            <v>1</v>
          </cell>
          <cell r="U68">
            <v>0</v>
          </cell>
          <cell r="V68">
            <v>1</v>
          </cell>
          <cell r="W68">
            <v>0</v>
          </cell>
          <cell r="X68">
            <v>0</v>
          </cell>
          <cell r="Y68">
            <v>0</v>
          </cell>
          <cell r="Z68">
            <v>11</v>
          </cell>
          <cell r="AA68" t="str">
            <v/>
          </cell>
          <cell r="AB68">
            <v>0</v>
          </cell>
          <cell r="AC68">
            <v>0</v>
          </cell>
          <cell r="AD68">
            <v>0</v>
          </cell>
          <cell r="AE68">
            <v>0</v>
          </cell>
          <cell r="AF68">
            <v>3.7879999999999998</v>
          </cell>
          <cell r="AG68">
            <v>10.362</v>
          </cell>
          <cell r="AH68">
            <v>15.728</v>
          </cell>
          <cell r="AI68">
            <v>32.046999999999997</v>
          </cell>
          <cell r="AJ68">
            <v>11.477</v>
          </cell>
          <cell r="AK68">
            <v>1.9139999999999999</v>
          </cell>
          <cell r="AL68">
            <v>2</v>
          </cell>
          <cell r="AM68"/>
          <cell r="AN68"/>
        </row>
        <row r="69">
          <cell r="A69" t="str">
            <v>Sale of Investments</v>
          </cell>
          <cell r="B69" t="str">
            <v>IS_GAIN_LOSS_ON_INVESTMENTS</v>
          </cell>
          <cell r="C69" t="str">
            <v>EQY_FUND_RELATIVE_PERIOD</v>
          </cell>
          <cell r="D69"/>
          <cell r="E69"/>
          <cell r="F69">
            <v>0</v>
          </cell>
          <cell r="G69">
            <v>0</v>
          </cell>
          <cell r="H69">
            <v>0</v>
          </cell>
          <cell r="I69">
            <v>0</v>
          </cell>
          <cell r="J69">
            <v>0</v>
          </cell>
          <cell r="K69">
            <v>0</v>
          </cell>
          <cell r="L69">
            <v>0</v>
          </cell>
          <cell r="M69">
            <v>-14.600999999999999</v>
          </cell>
          <cell r="N69">
            <v>0</v>
          </cell>
          <cell r="O69">
            <v>0</v>
          </cell>
          <cell r="P69">
            <v>0</v>
          </cell>
          <cell r="Q69">
            <v>0</v>
          </cell>
          <cell r="R69">
            <v>0</v>
          </cell>
          <cell r="S69">
            <v>0</v>
          </cell>
          <cell r="T69">
            <v>0</v>
          </cell>
          <cell r="U69">
            <v>0</v>
          </cell>
          <cell r="V69">
            <v>0</v>
          </cell>
          <cell r="W69">
            <v>0</v>
          </cell>
          <cell r="X69">
            <v>0</v>
          </cell>
          <cell r="Y69">
            <v>0</v>
          </cell>
          <cell r="Z69">
            <v>0</v>
          </cell>
          <cell r="AA69" t="str">
            <v/>
          </cell>
          <cell r="AB69">
            <v>0</v>
          </cell>
          <cell r="AC69">
            <v>0</v>
          </cell>
          <cell r="AD69">
            <v>0</v>
          </cell>
          <cell r="AE69">
            <v>0</v>
          </cell>
          <cell r="AF69">
            <v>0</v>
          </cell>
          <cell r="AG69">
            <v>0</v>
          </cell>
          <cell r="AH69">
            <v>0</v>
          </cell>
          <cell r="AI69">
            <v>0</v>
          </cell>
          <cell r="AJ69">
            <v>-14.600999999999999</v>
          </cell>
          <cell r="AK69">
            <v>0</v>
          </cell>
          <cell r="AL69">
            <v>0</v>
          </cell>
          <cell r="AM69"/>
          <cell r="AN69"/>
        </row>
        <row r="70">
          <cell r="A70" t="str">
            <v>Unrealized Investments</v>
          </cell>
          <cell r="B70" t="str">
            <v>IS_UNREALIZED_INVESTMENTS</v>
          </cell>
          <cell r="C70" t="str">
            <v>EQY_FUND_RELATIVE_PERIOD</v>
          </cell>
          <cell r="D70"/>
          <cell r="E70"/>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t="str">
            <v/>
          </cell>
          <cell r="AB70">
            <v>0</v>
          </cell>
          <cell r="AC70">
            <v>0</v>
          </cell>
          <cell r="AD70">
            <v>0</v>
          </cell>
          <cell r="AE70">
            <v>0</v>
          </cell>
          <cell r="AF70">
            <v>0</v>
          </cell>
          <cell r="AG70">
            <v>0</v>
          </cell>
          <cell r="AH70">
            <v>0</v>
          </cell>
          <cell r="AI70">
            <v>0</v>
          </cell>
          <cell r="AJ70">
            <v>0</v>
          </cell>
          <cell r="AK70">
            <v>0</v>
          </cell>
          <cell r="AL70">
            <v>0</v>
          </cell>
          <cell r="AM70"/>
          <cell r="AN70"/>
        </row>
        <row r="71">
          <cell r="A71" t="str">
            <v>Insurance Settlements</v>
          </cell>
          <cell r="B71" t="str">
            <v>IS_INSURANCE_SETTLEMENTS</v>
          </cell>
          <cell r="C71" t="str">
            <v>EQY_FUND_RELATIVE_PERIOD</v>
          </cell>
          <cell r="D71"/>
          <cell r="E71"/>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t="str">
            <v/>
          </cell>
          <cell r="AB71">
            <v>0</v>
          </cell>
          <cell r="AC71">
            <v>0</v>
          </cell>
          <cell r="AD71">
            <v>0</v>
          </cell>
          <cell r="AE71">
            <v>0</v>
          </cell>
          <cell r="AF71">
            <v>0</v>
          </cell>
          <cell r="AG71">
            <v>0</v>
          </cell>
          <cell r="AH71">
            <v>0</v>
          </cell>
          <cell r="AI71">
            <v>0</v>
          </cell>
          <cell r="AJ71">
            <v>0</v>
          </cell>
          <cell r="AK71">
            <v>0</v>
          </cell>
          <cell r="AL71">
            <v>0</v>
          </cell>
          <cell r="AM71"/>
          <cell r="AN71"/>
        </row>
        <row r="72">
          <cell r="A72" t="str">
            <v>Other Abnormal Items</v>
          </cell>
          <cell r="B72" t="str">
            <v>IS_OTHER_ONE_TIME_ITEMS</v>
          </cell>
          <cell r="C72" t="str">
            <v>EQY_FUND_RELATIVE_PERIOD</v>
          </cell>
          <cell r="D72"/>
          <cell r="E72"/>
          <cell r="F72">
            <v>0</v>
          </cell>
          <cell r="G72">
            <v>0</v>
          </cell>
          <cell r="H72">
            <v>0</v>
          </cell>
          <cell r="I72">
            <v>-9.7799999999999994</v>
          </cell>
          <cell r="J72">
            <v>0</v>
          </cell>
          <cell r="K72">
            <v>0</v>
          </cell>
          <cell r="L72">
            <v>-1.296</v>
          </cell>
          <cell r="M72">
            <v>-0.111</v>
          </cell>
          <cell r="N72">
            <v>40.308999999999997</v>
          </cell>
          <cell r="O72">
            <v>3.8540000000000001</v>
          </cell>
          <cell r="P72">
            <v>0</v>
          </cell>
          <cell r="Q72">
            <v>0</v>
          </cell>
          <cell r="R72">
            <v>0</v>
          </cell>
          <cell r="S72">
            <v>0</v>
          </cell>
          <cell r="T72">
            <v>61.213292307692001</v>
          </cell>
          <cell r="U72">
            <v>0</v>
          </cell>
          <cell r="V72">
            <v>0</v>
          </cell>
          <cell r="W72">
            <v>0</v>
          </cell>
          <cell r="X72">
            <v>0</v>
          </cell>
          <cell r="Y72">
            <v>0</v>
          </cell>
          <cell r="Z72">
            <v>0</v>
          </cell>
          <cell r="AA72" t="str">
            <v/>
          </cell>
          <cell r="AB72">
            <v>0</v>
          </cell>
          <cell r="AC72">
            <v>0</v>
          </cell>
          <cell r="AD72">
            <v>0</v>
          </cell>
          <cell r="AE72">
            <v>0</v>
          </cell>
          <cell r="AF72">
            <v>0</v>
          </cell>
          <cell r="AG72">
            <v>0</v>
          </cell>
          <cell r="AH72">
            <v>0</v>
          </cell>
          <cell r="AI72">
            <v>-9.7799999999999994</v>
          </cell>
          <cell r="AJ72">
            <v>42.756</v>
          </cell>
          <cell r="AK72">
            <v>0</v>
          </cell>
          <cell r="AL72">
            <v>0</v>
          </cell>
          <cell r="AM72"/>
          <cell r="AN72"/>
        </row>
        <row r="73">
          <cell r="A73" t="str">
            <v>Pretax Income, Adjusted</v>
          </cell>
          <cell r="B73" t="str">
            <v>PRETAX_INC</v>
          </cell>
          <cell r="C73" t="str">
            <v>EQY_FUND_RELATIVE_PERIOD</v>
          </cell>
          <cell r="D73" t="str">
            <v>Adjusted</v>
          </cell>
          <cell r="E73"/>
          <cell r="F73">
            <v>86.144999999999996</v>
          </cell>
          <cell r="G73">
            <v>108.873</v>
          </cell>
          <cell r="H73">
            <v>90.856999999999999</v>
          </cell>
          <cell r="I73">
            <v>124.836</v>
          </cell>
          <cell r="J73">
            <v>118.91200000000001</v>
          </cell>
          <cell r="K73">
            <v>88.713999999999999</v>
          </cell>
          <cell r="L73">
            <v>85.177000000000007</v>
          </cell>
          <cell r="M73">
            <v>92.144999999999996</v>
          </cell>
          <cell r="N73">
            <v>86.819000000000003</v>
          </cell>
          <cell r="O73">
            <v>107.643</v>
          </cell>
          <cell r="P73">
            <v>67.447000000000003</v>
          </cell>
          <cell r="Q73">
            <v>77.41</v>
          </cell>
          <cell r="R73">
            <v>69.191153846154009</v>
          </cell>
          <cell r="S73">
            <v>56.767846153846001</v>
          </cell>
          <cell r="T73">
            <v>96.213292307692001</v>
          </cell>
          <cell r="U73">
            <v>42</v>
          </cell>
          <cell r="V73">
            <v>73</v>
          </cell>
          <cell r="W73">
            <v>88</v>
          </cell>
          <cell r="X73">
            <v>22</v>
          </cell>
          <cell r="Y73">
            <v>52</v>
          </cell>
          <cell r="Z73">
            <v>14</v>
          </cell>
          <cell r="AA73" t="str">
            <v/>
          </cell>
          <cell r="AB73">
            <v>263.21199999999999</v>
          </cell>
          <cell r="AC73">
            <v>390.48700000000002</v>
          </cell>
          <cell r="AD73">
            <v>344.52800000000002</v>
          </cell>
          <cell r="AE73">
            <v>290.77</v>
          </cell>
          <cell r="AF73">
            <v>268.42099999999999</v>
          </cell>
          <cell r="AG73">
            <v>414.85599999999999</v>
          </cell>
          <cell r="AH73">
            <v>403.33</v>
          </cell>
          <cell r="AI73">
            <v>423.31900000000002</v>
          </cell>
          <cell r="AJ73">
            <v>371.78399999999999</v>
          </cell>
          <cell r="AK73">
            <v>270.81599999999997</v>
          </cell>
          <cell r="AL73">
            <v>238</v>
          </cell>
          <cell r="AM73"/>
          <cell r="AN73"/>
        </row>
        <row r="74">
          <cell r="A74" t="str">
            <v>Pretax Income, As Reported</v>
          </cell>
          <cell r="B74" t="str">
            <v>ARD_INCOME_BEFORE_INCOME_TAXES</v>
          </cell>
          <cell r="C74" t="str">
            <v>EQY_FUND_RELATIVE_PERIOD</v>
          </cell>
          <cell r="D74"/>
          <cell r="E74"/>
          <cell r="F74">
            <v>15.372</v>
          </cell>
          <cell r="G74">
            <v>66.781999999999996</v>
          </cell>
          <cell r="H74">
            <v>49.183999999999997</v>
          </cell>
          <cell r="I74">
            <v>33.716000000000001</v>
          </cell>
          <cell r="J74">
            <v>107.36499999999999</v>
          </cell>
          <cell r="K74">
            <v>38.686999999999998</v>
          </cell>
          <cell r="L74">
            <v>84.058000000000007</v>
          </cell>
          <cell r="M74">
            <v>-57.215000000000003</v>
          </cell>
          <cell r="N74">
            <v>43.860999999999997</v>
          </cell>
          <cell r="O74">
            <v>92.016000000000005</v>
          </cell>
          <cell r="P74">
            <v>56.463000000000001</v>
          </cell>
          <cell r="Q74">
            <v>56.713999999999999</v>
          </cell>
          <cell r="R74">
            <v>51.765999999999998</v>
          </cell>
          <cell r="S74">
            <v>-1.506</v>
          </cell>
          <cell r="T74">
            <v>-81</v>
          </cell>
          <cell r="U74">
            <v>-66</v>
          </cell>
          <cell r="V74">
            <v>-38</v>
          </cell>
          <cell r="W74">
            <v>-176</v>
          </cell>
          <cell r="X74">
            <v>-304</v>
          </cell>
          <cell r="Y74">
            <v>-75</v>
          </cell>
          <cell r="Z74">
            <v>-126</v>
          </cell>
          <cell r="AA74" t="str">
            <v/>
          </cell>
          <cell r="AB74">
            <v>263.21199999999999</v>
          </cell>
          <cell r="AC74">
            <v>390.48700000000002</v>
          </cell>
          <cell r="AD74">
            <v>344.52800000000002</v>
          </cell>
          <cell r="AE74">
            <v>290.77</v>
          </cell>
          <cell r="AF74">
            <v>193.10900000000001</v>
          </cell>
          <cell r="AG74">
            <v>270.71600000000001</v>
          </cell>
          <cell r="AH74">
            <v>245.95099999999999</v>
          </cell>
          <cell r="AI74">
            <v>228.952</v>
          </cell>
          <cell r="AJ74">
            <v>162.72</v>
          </cell>
          <cell r="AK74">
            <v>163.43700000000001</v>
          </cell>
          <cell r="AL74">
            <v>-361</v>
          </cell>
          <cell r="AM74"/>
          <cell r="AN74"/>
        </row>
        <row r="75">
          <cell r="A75" t="str">
            <v>EBITDA, GAAP</v>
          </cell>
          <cell r="B75" t="str">
            <v>EBITDA</v>
          </cell>
          <cell r="C75" t="str">
            <v>EQY_FUND_RELATIVE_PERIOD</v>
          </cell>
          <cell r="D75" t="str">
            <v>GAAP</v>
          </cell>
          <cell r="E75"/>
          <cell r="F75">
            <v>532.19799999999998</v>
          </cell>
          <cell r="G75">
            <v>571.48199999999997</v>
          </cell>
          <cell r="H75">
            <v>565.75800000000004</v>
          </cell>
          <cell r="I75">
            <v>574.83100000000002</v>
          </cell>
          <cell r="J75">
            <v>573.61200000000008</v>
          </cell>
          <cell r="K75">
            <v>539.774</v>
          </cell>
          <cell r="L75">
            <v>554.49900000000002</v>
          </cell>
          <cell r="M75">
            <v>564.005</v>
          </cell>
          <cell r="N75">
            <v>491.87300000000005</v>
          </cell>
          <cell r="O75">
            <v>539.84400000000005</v>
          </cell>
          <cell r="P75">
            <v>507.43200000000002</v>
          </cell>
          <cell r="Q75">
            <v>497.80500000000006</v>
          </cell>
          <cell r="R75">
            <v>457.928</v>
          </cell>
          <cell r="S75">
            <v>495.71800000000002</v>
          </cell>
          <cell r="T75">
            <v>504</v>
          </cell>
          <cell r="U75">
            <v>528</v>
          </cell>
          <cell r="V75">
            <v>532</v>
          </cell>
          <cell r="W75">
            <v>501</v>
          </cell>
          <cell r="X75">
            <v>374</v>
          </cell>
          <cell r="Y75">
            <v>886</v>
          </cell>
          <cell r="Z75">
            <v>842</v>
          </cell>
          <cell r="AA75" t="str">
            <v/>
          </cell>
          <cell r="AB75">
            <v>1109.172</v>
          </cell>
          <cell r="AC75">
            <v>1120.9770000000001</v>
          </cell>
          <cell r="AD75">
            <v>1251.2719999999999</v>
          </cell>
          <cell r="AE75">
            <v>1204.2570000000001</v>
          </cell>
          <cell r="AF75">
            <v>1082.556</v>
          </cell>
          <cell r="AG75">
            <v>1665.7170000000001</v>
          </cell>
          <cell r="AH75">
            <v>2302.7959999999998</v>
          </cell>
          <cell r="AI75">
            <v>2253.9749999999999</v>
          </cell>
          <cell r="AJ75">
            <v>2150.221</v>
          </cell>
          <cell r="AK75">
            <v>1958.883</v>
          </cell>
          <cell r="AL75">
            <v>2065</v>
          </cell>
          <cell r="AM75"/>
          <cell r="AN75"/>
        </row>
        <row r="76">
          <cell r="A76" t="str">
            <v>EBITDA, Adjusted</v>
          </cell>
          <cell r="B76" t="str">
            <v>EBITDA</v>
          </cell>
          <cell r="C76" t="str">
            <v>EQY_FUND_RELATIVE_PERIOD</v>
          </cell>
          <cell r="D76" t="str">
            <v>Adjusted</v>
          </cell>
          <cell r="E76"/>
          <cell r="F76">
            <v>603.20699999999999</v>
          </cell>
          <cell r="G76">
            <v>614.81600000000003</v>
          </cell>
          <cell r="H76">
            <v>607.43100000000004</v>
          </cell>
          <cell r="I76">
            <v>604.91300000000001</v>
          </cell>
          <cell r="J76">
            <v>584.91399999999999</v>
          </cell>
          <cell r="K76">
            <v>570.50099999999998</v>
          </cell>
          <cell r="L76">
            <v>556.91399999999999</v>
          </cell>
          <cell r="M76">
            <v>553.69600000000003</v>
          </cell>
          <cell r="N76">
            <v>534.83100000000002</v>
          </cell>
          <cell r="O76">
            <v>555.471</v>
          </cell>
          <cell r="P76">
            <v>518.41599999999994</v>
          </cell>
          <cell r="Q76">
            <v>518.50099999999998</v>
          </cell>
          <cell r="R76">
            <v>475.35315384615399</v>
          </cell>
          <cell r="S76">
            <v>553.99184615384604</v>
          </cell>
          <cell r="T76">
            <v>623.21329230769197</v>
          </cell>
          <cell r="U76">
            <v>563</v>
          </cell>
          <cell r="V76">
            <v>591</v>
          </cell>
          <cell r="W76">
            <v>587</v>
          </cell>
          <cell r="X76">
            <v>512</v>
          </cell>
          <cell r="Y76">
            <v>1013</v>
          </cell>
          <cell r="Z76">
            <v>975</v>
          </cell>
          <cell r="AA76" t="str">
            <v/>
          </cell>
          <cell r="AB76">
            <v>1109.172</v>
          </cell>
          <cell r="AC76">
            <v>1120.9770000000001</v>
          </cell>
          <cell r="AD76">
            <v>1251.2719999999999</v>
          </cell>
          <cell r="AE76">
            <v>1204.2570000000001</v>
          </cell>
          <cell r="AF76">
            <v>1114.6780000000001</v>
          </cell>
          <cell r="AG76">
            <v>1813.221</v>
          </cell>
          <cell r="AH76">
            <v>2461.67</v>
          </cell>
          <cell r="AI76">
            <v>2367.759</v>
          </cell>
          <cell r="AJ76">
            <v>2200.9120000000003</v>
          </cell>
          <cell r="AK76">
            <v>2066.2620000000002</v>
          </cell>
          <cell r="AL76">
            <v>2303</v>
          </cell>
          <cell r="AM76"/>
          <cell r="AN76"/>
        </row>
        <row r="77">
          <cell r="A77" t="str">
            <v>EBITDA (As reported, Adjusted)</v>
          </cell>
          <cell r="B77" t="str">
            <v>ARDR_ADJUSTED_EBITDA</v>
          </cell>
          <cell r="C77" t="str">
            <v>EQY_FUND_RELATIVE_PERIOD</v>
          </cell>
          <cell r="D77"/>
          <cell r="E77"/>
          <cell r="F77">
            <v>609.16200000000003</v>
          </cell>
          <cell r="G77">
            <v>616.19799999999998</v>
          </cell>
          <cell r="H77">
            <v>619.83399999999995</v>
          </cell>
          <cell r="I77">
            <v>620.36300000000006</v>
          </cell>
          <cell r="J77">
            <v>581.28099999999995</v>
          </cell>
          <cell r="K77">
            <v>574.36800000000005</v>
          </cell>
          <cell r="L77">
            <v>561.93200000000002</v>
          </cell>
          <cell r="M77">
            <v>557.28599999999994</v>
          </cell>
          <cell r="N77">
            <v>548.78099999999995</v>
          </cell>
          <cell r="O77">
            <v>570.15599999999995</v>
          </cell>
          <cell r="P77">
            <v>521.46900000000005</v>
          </cell>
          <cell r="Q77">
            <v>515.03099999999995</v>
          </cell>
          <cell r="R77">
            <v>479.46899999999999</v>
          </cell>
          <cell r="S77">
            <v>568.40700000000004</v>
          </cell>
          <cell r="T77">
            <v>564</v>
          </cell>
          <cell r="U77">
            <v>561</v>
          </cell>
          <cell r="V77">
            <v>588</v>
          </cell>
          <cell r="W77">
            <v>600</v>
          </cell>
          <cell r="X77">
            <v>528</v>
          </cell>
          <cell r="Y77">
            <v>1032</v>
          </cell>
          <cell r="Z77">
            <v>999</v>
          </cell>
          <cell r="AA77" t="str">
            <v/>
          </cell>
          <cell r="AB77">
            <v>0</v>
          </cell>
          <cell r="AC77">
            <v>0</v>
          </cell>
          <cell r="AD77">
            <v>0</v>
          </cell>
          <cell r="AE77">
            <v>0</v>
          </cell>
          <cell r="AF77">
            <v>1148.874</v>
          </cell>
          <cell r="AG77">
            <v>1853.271</v>
          </cell>
          <cell r="AH77">
            <v>2485.567</v>
          </cell>
          <cell r="AI77">
            <v>2395.846</v>
          </cell>
          <cell r="AJ77">
            <v>2238.1550000000002</v>
          </cell>
          <cell r="AK77">
            <v>2084.3760000000002</v>
          </cell>
          <cell r="AL77">
            <v>2313</v>
          </cell>
          <cell r="AM77"/>
          <cell r="AN77"/>
        </row>
        <row r="78">
          <cell r="A78" t="str">
            <v>Income Tax Expense (Benefit)</v>
          </cell>
          <cell r="B78" t="str">
            <v>IS_INC_TAX_EXP</v>
          </cell>
          <cell r="C78" t="str">
            <v>EQY_FUND_RELATIVE_PERIOD</v>
          </cell>
          <cell r="D78" t="str">
            <v>GAAP</v>
          </cell>
          <cell r="F78">
            <v>-6.9479999999999995</v>
          </cell>
          <cell r="G78">
            <v>21.533999999999999</v>
          </cell>
          <cell r="H78">
            <v>18.693999999999999</v>
          </cell>
          <cell r="I78">
            <v>11.716999999999999</v>
          </cell>
          <cell r="J78">
            <v>35.738999999999997</v>
          </cell>
          <cell r="K78">
            <v>9.4879999999999995</v>
          </cell>
          <cell r="L78">
            <v>33.274999999999999</v>
          </cell>
          <cell r="M78">
            <v>-18.754999999999999</v>
          </cell>
          <cell r="N78">
            <v>8.4610000000000003</v>
          </cell>
          <cell r="O78">
            <v>24.260999999999999</v>
          </cell>
          <cell r="P78">
            <v>17.189</v>
          </cell>
          <cell r="Q78">
            <v>19.033999999999999</v>
          </cell>
          <cell r="R78">
            <v>9.7729999999999997</v>
          </cell>
          <cell r="S78">
            <v>-15.452</v>
          </cell>
          <cell r="T78">
            <v>-30</v>
          </cell>
          <cell r="U78">
            <v>-38</v>
          </cell>
          <cell r="V78">
            <v>-24</v>
          </cell>
          <cell r="W78">
            <v>-73</v>
          </cell>
          <cell r="X78">
            <v>-118</v>
          </cell>
          <cell r="Y78">
            <v>-48</v>
          </cell>
          <cell r="Z78">
            <v>-46</v>
          </cell>
          <cell r="AA78" t="str">
            <v/>
          </cell>
          <cell r="AB78">
            <v>75.27</v>
          </cell>
          <cell r="AC78">
            <v>136.47899999999998</v>
          </cell>
          <cell r="AD78">
            <v>128.01400000000001</v>
          </cell>
          <cell r="AE78">
            <v>106.496</v>
          </cell>
          <cell r="AF78">
            <v>69.927999999999997</v>
          </cell>
          <cell r="AG78">
            <v>114.999</v>
          </cell>
          <cell r="AH78">
            <v>88.342999999999989</v>
          </cell>
          <cell r="AI78">
            <v>75.637999999999991</v>
          </cell>
          <cell r="AJ78">
            <v>47.241999999999997</v>
          </cell>
          <cell r="AK78">
            <v>30.543999999999997</v>
          </cell>
          <cell r="AL78">
            <v>-165</v>
          </cell>
          <cell r="AM78"/>
        </row>
        <row r="79">
          <cell r="A79" t="str">
            <v>Current Income Tax</v>
          </cell>
          <cell r="B79" t="str">
            <v>IS_CURRENT_INCOME_TAX_BENEFIT</v>
          </cell>
          <cell r="C79" t="str">
            <v>EQY_FUND_RELATIVE_PERIOD</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t="str">
            <v/>
          </cell>
          <cell r="AB79">
            <v>0</v>
          </cell>
          <cell r="AC79">
            <v>0</v>
          </cell>
          <cell r="AD79">
            <v>0</v>
          </cell>
          <cell r="AE79">
            <v>0</v>
          </cell>
          <cell r="AF79">
            <v>8.9879999999999995</v>
          </cell>
          <cell r="AG79">
            <v>28.562000000000001</v>
          </cell>
          <cell r="AH79">
            <v>0.93200000000000005</v>
          </cell>
          <cell r="AI79">
            <v>-4.8630000000000004</v>
          </cell>
          <cell r="AJ79">
            <v>54.752000000000002</v>
          </cell>
          <cell r="AK79">
            <v>108.42</v>
          </cell>
          <cell r="AL79">
            <v>2</v>
          </cell>
        </row>
        <row r="80">
          <cell r="A80" t="str">
            <v>Deferred Income Tax</v>
          </cell>
          <cell r="B80" t="str">
            <v>IS_DEFERRED_INCOME_TAX_BENEFIT</v>
          </cell>
          <cell r="C80" t="str">
            <v>EQY_FUND_RELATIVE_PERIOD</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t="str">
            <v/>
          </cell>
          <cell r="AB80">
            <v>0</v>
          </cell>
          <cell r="AC80">
            <v>0</v>
          </cell>
          <cell r="AD80">
            <v>0</v>
          </cell>
          <cell r="AE80">
            <v>0</v>
          </cell>
          <cell r="AF80">
            <v>60.94</v>
          </cell>
          <cell r="AG80">
            <v>86.436999999999998</v>
          </cell>
          <cell r="AH80">
            <v>87.411000000000001</v>
          </cell>
          <cell r="AI80">
            <v>80.501000000000005</v>
          </cell>
          <cell r="AJ80">
            <v>-7.51</v>
          </cell>
          <cell r="AK80">
            <v>-77.876000000000005</v>
          </cell>
          <cell r="AL80">
            <v>-167</v>
          </cell>
        </row>
        <row r="81">
          <cell r="A81" t="str">
            <v>Tax Allowance/Credit</v>
          </cell>
          <cell r="B81" t="str">
            <v>IS_TAX_VALN_ALLOWNCE_CREDITS</v>
          </cell>
          <cell r="C81" t="str">
            <v>EQY_FUND_RELATIVE_PERIOD</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t="str">
            <v/>
          </cell>
          <cell r="AB81">
            <v>0</v>
          </cell>
          <cell r="AC81">
            <v>0</v>
          </cell>
          <cell r="AD81">
            <v>0</v>
          </cell>
          <cell r="AE81">
            <v>0</v>
          </cell>
          <cell r="AF81">
            <v>0</v>
          </cell>
          <cell r="AG81">
            <v>0</v>
          </cell>
          <cell r="AH81">
            <v>0</v>
          </cell>
          <cell r="AI81">
            <v>0</v>
          </cell>
          <cell r="AJ81">
            <v>0</v>
          </cell>
          <cell r="AK81">
            <v>0</v>
          </cell>
          <cell r="AL81">
            <v>0</v>
          </cell>
        </row>
        <row r="82">
          <cell r="A82" t="str">
            <v>(Income) Loss from Affiliates</v>
          </cell>
          <cell r="B82" t="str">
            <v>IS_SH_PRO_EQY_MT_INV_NET_OF_TAX</v>
          </cell>
          <cell r="C82" t="str">
            <v>EQY_FUND_RELATIVE_PERIOD</v>
          </cell>
          <cell r="D82"/>
          <cell r="E82"/>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t="str">
            <v/>
          </cell>
          <cell r="AB82">
            <v>0</v>
          </cell>
          <cell r="AC82">
            <v>0</v>
          </cell>
          <cell r="AD82">
            <v>0</v>
          </cell>
          <cell r="AE82">
            <v>0</v>
          </cell>
          <cell r="AF82">
            <v>0</v>
          </cell>
          <cell r="AG82">
            <v>0</v>
          </cell>
          <cell r="AH82">
            <v>0</v>
          </cell>
          <cell r="AI82">
            <v>0</v>
          </cell>
          <cell r="AJ82">
            <v>0</v>
          </cell>
          <cell r="AK82">
            <v>0</v>
          </cell>
          <cell r="AL82">
            <v>0</v>
          </cell>
          <cell r="AM82"/>
          <cell r="AN82"/>
        </row>
        <row r="83">
          <cell r="A83" t="str">
            <v>Income (Loss) from Cont Ops</v>
          </cell>
          <cell r="B83" t="str">
            <v>IS_INC_BEF_XO_ITEM</v>
          </cell>
          <cell r="C83" t="str">
            <v>EQY_FUND_RELATIVE_PERIOD</v>
          </cell>
          <cell r="F83">
            <v>22.32</v>
          </cell>
          <cell r="G83">
            <v>45.247999999999998</v>
          </cell>
          <cell r="H83">
            <v>30.49</v>
          </cell>
          <cell r="I83">
            <v>21.998999999999999</v>
          </cell>
          <cell r="J83">
            <v>71.625999999999991</v>
          </cell>
          <cell r="K83">
            <v>29.198999999999998</v>
          </cell>
          <cell r="L83">
            <v>50.783000000000001</v>
          </cell>
          <cell r="M83">
            <v>-38.46</v>
          </cell>
          <cell r="N83">
            <v>35.4</v>
          </cell>
          <cell r="O83">
            <v>67.754999999999995</v>
          </cell>
          <cell r="P83">
            <v>39.274000000000001</v>
          </cell>
          <cell r="Q83">
            <v>37.68</v>
          </cell>
          <cell r="R83">
            <v>41.992999999999995</v>
          </cell>
          <cell r="S83">
            <v>13.946</v>
          </cell>
          <cell r="T83">
            <v>-51</v>
          </cell>
          <cell r="U83">
            <v>-28</v>
          </cell>
          <cell r="V83">
            <v>-14</v>
          </cell>
          <cell r="W83">
            <v>-103</v>
          </cell>
          <cell r="X83">
            <v>-186</v>
          </cell>
          <cell r="Y83">
            <v>-27</v>
          </cell>
          <cell r="Z83">
            <v>-80</v>
          </cell>
          <cell r="AA83" t="str">
            <v/>
          </cell>
          <cell r="AB83">
            <v>187.94199999999998</v>
          </cell>
          <cell r="AC83">
            <v>254.00799999999998</v>
          </cell>
          <cell r="AD83">
            <v>216.51399999999998</v>
          </cell>
          <cell r="AE83">
            <v>184.274</v>
          </cell>
          <cell r="AF83">
            <v>123.181</v>
          </cell>
          <cell r="AG83">
            <v>155.71699999999998</v>
          </cell>
          <cell r="AH83">
            <v>157.608</v>
          </cell>
          <cell r="AI83">
            <v>153.31399999999999</v>
          </cell>
          <cell r="AJ83">
            <v>115.47799999999999</v>
          </cell>
          <cell r="AK83">
            <v>132.893</v>
          </cell>
          <cell r="AL83">
            <v>-196</v>
          </cell>
          <cell r="AM83"/>
        </row>
        <row r="84">
          <cell r="A84" t="str">
            <v>Net Extraordinary Losses (Gains)</v>
          </cell>
          <cell r="B84" t="str">
            <v>XO_GL_NET_OF_TAX</v>
          </cell>
          <cell r="C84" t="str">
            <v>EQY_FUND_RELATIVE_PERIOD</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t="str">
            <v/>
          </cell>
          <cell r="AB84">
            <v>-14.433</v>
          </cell>
          <cell r="AC84">
            <v>-90.546999999999997</v>
          </cell>
          <cell r="AD84">
            <v>0</v>
          </cell>
          <cell r="AE84">
            <v>0</v>
          </cell>
          <cell r="AF84">
            <v>0</v>
          </cell>
          <cell r="AG84">
            <v>0</v>
          </cell>
          <cell r="AH84">
            <v>0</v>
          </cell>
          <cell r="AI84">
            <v>0</v>
          </cell>
          <cell r="AJ84">
            <v>0</v>
          </cell>
          <cell r="AK84">
            <v>0</v>
          </cell>
          <cell r="AL84">
            <v>0</v>
          </cell>
        </row>
        <row r="85">
          <cell r="A85" t="str">
            <v>Discontinued Operations</v>
          </cell>
          <cell r="B85" t="str">
            <v>IS_DISCONTINUED_OPERATIONS</v>
          </cell>
          <cell r="C85" t="str">
            <v>EQY_FUND_RELATIVE_PERIOD</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t="str">
            <v/>
          </cell>
          <cell r="AB85">
            <v>0</v>
          </cell>
          <cell r="AC85">
            <v>0</v>
          </cell>
          <cell r="AD85">
            <v>0</v>
          </cell>
          <cell r="AE85">
            <v>0</v>
          </cell>
          <cell r="AF85">
            <v>0</v>
          </cell>
          <cell r="AG85">
            <v>0</v>
          </cell>
          <cell r="AH85">
            <v>0</v>
          </cell>
          <cell r="AI85">
            <v>0</v>
          </cell>
          <cell r="AJ85">
            <v>0</v>
          </cell>
          <cell r="AK85">
            <v>0</v>
          </cell>
          <cell r="AL85">
            <v>0</v>
          </cell>
        </row>
        <row r="86">
          <cell r="A86" t="str">
            <v>XO &amp; Accounting Changes</v>
          </cell>
          <cell r="B86" t="str">
            <v>IS_EXTRAORD_ITEMS_&amp;_ACCTG_CHNG</v>
          </cell>
          <cell r="C86" t="str">
            <v>EQY_FUND_RELATIVE_PERIOD</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t="str">
            <v/>
          </cell>
          <cell r="AB86">
            <v>0</v>
          </cell>
          <cell r="AC86">
            <v>0</v>
          </cell>
          <cell r="AD86">
            <v>0</v>
          </cell>
          <cell r="AE86">
            <v>0</v>
          </cell>
          <cell r="AF86">
            <v>0</v>
          </cell>
          <cell r="AG86">
            <v>0</v>
          </cell>
          <cell r="AH86">
            <v>0</v>
          </cell>
          <cell r="AI86">
            <v>0</v>
          </cell>
          <cell r="AJ86">
            <v>0</v>
          </cell>
          <cell r="AK86">
            <v>0</v>
          </cell>
          <cell r="AL86">
            <v>0</v>
          </cell>
        </row>
        <row r="87">
          <cell r="A87" t="str">
            <v>Income (Loss) Incl. MI</v>
          </cell>
          <cell r="B87" t="str">
            <v>NI_INCLUDING_MINORITY_INT_RATIO</v>
          </cell>
          <cell r="C87" t="str">
            <v>EQY_FUND_RELATIVE_PERIOD</v>
          </cell>
          <cell r="D87" t="str">
            <v>GAAP</v>
          </cell>
          <cell r="F87">
            <v>22.32</v>
          </cell>
          <cell r="G87">
            <v>45.247999999999998</v>
          </cell>
          <cell r="H87">
            <v>30.49</v>
          </cell>
          <cell r="I87">
            <v>21.998999999999999</v>
          </cell>
          <cell r="J87">
            <v>71.626000000000005</v>
          </cell>
          <cell r="K87">
            <v>29.199000000000002</v>
          </cell>
          <cell r="L87">
            <v>50.783000000000001</v>
          </cell>
          <cell r="M87">
            <v>-38.46</v>
          </cell>
          <cell r="N87">
            <v>35.4</v>
          </cell>
          <cell r="O87">
            <v>67.754999999999995</v>
          </cell>
          <cell r="P87">
            <v>39.274000000000001</v>
          </cell>
          <cell r="Q87">
            <v>37.68</v>
          </cell>
          <cell r="R87">
            <v>41.993000000000002</v>
          </cell>
          <cell r="S87">
            <v>13.946</v>
          </cell>
          <cell r="T87">
            <v>-51</v>
          </cell>
          <cell r="U87">
            <v>-28</v>
          </cell>
          <cell r="V87">
            <v>-14</v>
          </cell>
          <cell r="W87">
            <v>-103</v>
          </cell>
          <cell r="X87">
            <v>-186</v>
          </cell>
          <cell r="Y87">
            <v>-27</v>
          </cell>
          <cell r="Z87">
            <v>-80</v>
          </cell>
          <cell r="AA87" t="str">
            <v/>
          </cell>
          <cell r="AB87">
            <v>202.375</v>
          </cell>
          <cell r="AC87">
            <v>344.55500000000001</v>
          </cell>
          <cell r="AD87">
            <v>216.51400000000001</v>
          </cell>
          <cell r="AE87">
            <v>184.274</v>
          </cell>
          <cell r="AF87">
            <v>123.181</v>
          </cell>
          <cell r="AG87">
            <v>155.71700000000001</v>
          </cell>
          <cell r="AH87">
            <v>157.608</v>
          </cell>
          <cell r="AI87">
            <v>153.31399999999999</v>
          </cell>
          <cell r="AJ87">
            <v>115.47799999999999</v>
          </cell>
          <cell r="AK87">
            <v>132.893</v>
          </cell>
          <cell r="AL87">
            <v>-196</v>
          </cell>
        </row>
        <row r="88">
          <cell r="A88" t="str">
            <v>Minority Interest</v>
          </cell>
          <cell r="B88" t="str">
            <v>MIN_NONCONTROL_INTEREST_CREDITS</v>
          </cell>
          <cell r="C88" t="str">
            <v>EQY_FUND_RELATIVE_PERIOD</v>
          </cell>
          <cell r="F88">
            <v>1.9249999999999998</v>
          </cell>
          <cell r="G88">
            <v>3.0009999999999999</v>
          </cell>
          <cell r="H88">
            <v>3.722</v>
          </cell>
          <cell r="I88">
            <v>4.01</v>
          </cell>
          <cell r="J88">
            <v>4.6259999999999994</v>
          </cell>
          <cell r="K88">
            <v>4.3199999999999994</v>
          </cell>
          <cell r="L88">
            <v>2.6429999999999998</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t="str">
            <v/>
          </cell>
          <cell r="AB88">
            <v>0</v>
          </cell>
          <cell r="AC88">
            <v>0</v>
          </cell>
          <cell r="AD88">
            <v>1.8599999999999999</v>
          </cell>
          <cell r="AE88">
            <v>1.6139999999999999</v>
          </cell>
          <cell r="AF88">
            <v>2.3979999999999997</v>
          </cell>
          <cell r="AG88">
            <v>3.044</v>
          </cell>
          <cell r="AH88">
            <v>7.9939999999999998</v>
          </cell>
          <cell r="AI88">
            <v>16.678000000000001</v>
          </cell>
          <cell r="AJ88">
            <v>2.6429999999999998</v>
          </cell>
          <cell r="AK88">
            <v>0</v>
          </cell>
          <cell r="AL88">
            <v>0</v>
          </cell>
        </row>
        <row r="89">
          <cell r="A89" t="str">
            <v>Net Income, GAAP</v>
          </cell>
          <cell r="B89" t="str">
            <v>NET_INCOME</v>
          </cell>
          <cell r="C89" t="str">
            <v>EQY_FUND_RELATIVE_PERIOD</v>
          </cell>
          <cell r="F89">
            <v>50.179650000000002</v>
          </cell>
          <cell r="G89">
            <v>68.245599999999996</v>
          </cell>
          <cell r="H89">
            <v>52.711849999999998</v>
          </cell>
          <cell r="I89">
            <v>75.313999999999993</v>
          </cell>
          <cell r="J89">
            <v>66.777000000000001</v>
          </cell>
          <cell r="K89">
            <v>57.947000000000003</v>
          </cell>
          <cell r="L89">
            <v>48.817</v>
          </cell>
          <cell r="M89">
            <v>61.298999999999999</v>
          </cell>
          <cell r="N89">
            <v>56.469000000000001</v>
          </cell>
          <cell r="O89">
            <v>71.462000000000003</v>
          </cell>
          <cell r="P89">
            <v>43.514000000000003</v>
          </cell>
          <cell r="Q89">
            <v>48.951000000000001</v>
          </cell>
          <cell r="R89">
            <v>47.651000000000003</v>
          </cell>
          <cell r="S89">
            <v>36</v>
          </cell>
          <cell r="T89">
            <v>60.788640000000001</v>
          </cell>
          <cell r="U89">
            <v>27</v>
          </cell>
          <cell r="V89">
            <v>35.65</v>
          </cell>
          <cell r="W89">
            <v>56</v>
          </cell>
          <cell r="X89">
            <v>14</v>
          </cell>
          <cell r="Y89">
            <v>32</v>
          </cell>
          <cell r="Z89">
            <v>8.5500000000000007</v>
          </cell>
          <cell r="AA89" t="str">
            <v/>
          </cell>
          <cell r="AB89">
            <v>202.375</v>
          </cell>
          <cell r="AC89">
            <v>344.55500000000001</v>
          </cell>
          <cell r="AD89">
            <v>214.654</v>
          </cell>
          <cell r="AE89">
            <v>182.66</v>
          </cell>
          <cell r="AF89">
            <v>168.15835000000001</v>
          </cell>
          <cell r="AG89">
            <v>242.92169999999999</v>
          </cell>
          <cell r="AH89">
            <v>247.26544999999999</v>
          </cell>
          <cell r="AI89">
            <v>254.64099999999999</v>
          </cell>
          <cell r="AJ89">
            <v>238.05699999999999</v>
          </cell>
          <cell r="AK89">
            <v>185.69800000000001</v>
          </cell>
          <cell r="AL89">
            <v>140</v>
          </cell>
        </row>
        <row r="90">
          <cell r="A90" t="str">
            <v>Preferred Dividends</v>
          </cell>
          <cell r="B90" t="str">
            <v>IS_TOT_CASH_PFD_DVD</v>
          </cell>
          <cell r="C90" t="str">
            <v>EQY_FUND_RELATIVE_PERIOD</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67</v>
          </cell>
          <cell r="W90">
            <v>53</v>
          </cell>
          <cell r="X90">
            <v>54</v>
          </cell>
          <cell r="Y90">
            <v>53</v>
          </cell>
          <cell r="Z90">
            <v>54</v>
          </cell>
          <cell r="AA90" t="str">
            <v/>
          </cell>
          <cell r="AB90">
            <v>0</v>
          </cell>
          <cell r="AC90">
            <v>0</v>
          </cell>
          <cell r="AD90">
            <v>0</v>
          </cell>
          <cell r="AE90">
            <v>0</v>
          </cell>
          <cell r="AF90">
            <v>0</v>
          </cell>
          <cell r="AG90">
            <v>0</v>
          </cell>
          <cell r="AH90">
            <v>0</v>
          </cell>
          <cell r="AI90">
            <v>0</v>
          </cell>
          <cell r="AJ90">
            <v>0</v>
          </cell>
          <cell r="AK90">
            <v>0</v>
          </cell>
          <cell r="AL90">
            <v>120</v>
          </cell>
        </row>
        <row r="91">
          <cell r="A91" t="str">
            <v>Other Adjustments</v>
          </cell>
          <cell r="B91" t="str">
            <v>OTHER_ADJUSTMENTS</v>
          </cell>
          <cell r="C91" t="str">
            <v>EQY_FUND_RELATIVE_PERIOD</v>
          </cell>
          <cell r="F91">
            <v>0</v>
          </cell>
          <cell r="G91">
            <v>0</v>
          </cell>
          <cell r="H91">
            <v>0</v>
          </cell>
          <cell r="I91">
            <v>0</v>
          </cell>
          <cell r="J91">
            <v>0</v>
          </cell>
          <cell r="K91">
            <v>2.9009999999999998</v>
          </cell>
          <cell r="L91">
            <v>-0.52100000000000002</v>
          </cell>
          <cell r="M91">
            <v>-0.755</v>
          </cell>
          <cell r="N91">
            <v>0</v>
          </cell>
          <cell r="O91">
            <v>0</v>
          </cell>
          <cell r="P91">
            <v>-0.76700000000000002</v>
          </cell>
          <cell r="Q91">
            <v>-0.746</v>
          </cell>
          <cell r="R91">
            <v>-0.749</v>
          </cell>
          <cell r="S91">
            <v>0</v>
          </cell>
          <cell r="T91">
            <v>-1</v>
          </cell>
          <cell r="U91">
            <v>0</v>
          </cell>
          <cell r="V91">
            <v>1</v>
          </cell>
          <cell r="W91">
            <v>0</v>
          </cell>
          <cell r="X91">
            <v>0</v>
          </cell>
          <cell r="Y91">
            <v>0</v>
          </cell>
          <cell r="Z91">
            <v>0</v>
          </cell>
          <cell r="AA91" t="str">
            <v/>
          </cell>
          <cell r="AB91">
            <v>0</v>
          </cell>
          <cell r="AC91">
            <v>0</v>
          </cell>
          <cell r="AD91">
            <v>0</v>
          </cell>
          <cell r="AE91">
            <v>0</v>
          </cell>
          <cell r="AF91">
            <v>0</v>
          </cell>
          <cell r="AG91">
            <v>0</v>
          </cell>
          <cell r="AH91">
            <v>0</v>
          </cell>
          <cell r="AI91">
            <v>2.9009999999999998</v>
          </cell>
          <cell r="AJ91">
            <v>2.5309999999999997</v>
          </cell>
          <cell r="AK91">
            <v>3.0429999999999997</v>
          </cell>
          <cell r="AL91">
            <v>3</v>
          </cell>
        </row>
        <row r="92">
          <cell r="A92" t="str">
            <v>Net Income Avail to Common, GAAP</v>
          </cell>
          <cell r="B92" t="str">
            <v>EARN_FOR_COMMON</v>
          </cell>
          <cell r="C92" t="str">
            <v>EQY_FUND_RELATIVE_PERIOD</v>
          </cell>
          <cell r="D92"/>
          <cell r="E92"/>
          <cell r="F92">
            <v>50.179650000000002</v>
          </cell>
          <cell r="G92">
            <v>68.245599999999996</v>
          </cell>
          <cell r="H92">
            <v>52.711849999999998</v>
          </cell>
          <cell r="I92">
            <v>75.313999999999993</v>
          </cell>
          <cell r="J92">
            <v>66.777000000000001</v>
          </cell>
          <cell r="K92">
            <v>55.046000000000006</v>
          </cell>
          <cell r="L92">
            <v>49.338000000000001</v>
          </cell>
          <cell r="M92">
            <v>62.054000000000002</v>
          </cell>
          <cell r="N92">
            <v>56.469000000000001</v>
          </cell>
          <cell r="O92">
            <v>71.462000000000003</v>
          </cell>
          <cell r="P92">
            <v>44.281000000000006</v>
          </cell>
          <cell r="Q92">
            <v>49.697000000000003</v>
          </cell>
          <cell r="R92">
            <v>48.400000000000006</v>
          </cell>
          <cell r="S92">
            <v>36</v>
          </cell>
          <cell r="T92">
            <v>61.788640000000001</v>
          </cell>
          <cell r="U92">
            <v>27</v>
          </cell>
          <cell r="V92">
            <v>-32.35</v>
          </cell>
          <cell r="W92">
            <v>3</v>
          </cell>
          <cell r="X92">
            <v>-40</v>
          </cell>
          <cell r="Y92">
            <v>-21</v>
          </cell>
          <cell r="Z92">
            <v>-45.45</v>
          </cell>
          <cell r="AA92" t="str">
            <v/>
          </cell>
          <cell r="AB92">
            <v>202.375</v>
          </cell>
          <cell r="AC92">
            <v>344.55500000000001</v>
          </cell>
          <cell r="AD92">
            <v>214.654</v>
          </cell>
          <cell r="AE92">
            <v>182.66</v>
          </cell>
          <cell r="AF92">
            <v>168.15835000000001</v>
          </cell>
          <cell r="AG92">
            <v>242.92169999999999</v>
          </cell>
          <cell r="AH92">
            <v>247.26544999999999</v>
          </cell>
          <cell r="AI92">
            <v>251.73999999999998</v>
          </cell>
          <cell r="AJ92">
            <v>235.52599999999998</v>
          </cell>
          <cell r="AK92">
            <v>182.655</v>
          </cell>
          <cell r="AL92">
            <v>17</v>
          </cell>
          <cell r="AM92"/>
          <cell r="AN92"/>
        </row>
        <row r="93">
          <cell r="F93" t="str">
            <v/>
          </cell>
          <cell r="G93" t="str">
            <v/>
          </cell>
          <cell r="H93" t="str">
            <v/>
          </cell>
          <cell r="I93" t="str">
            <v/>
          </cell>
          <cell r="J93" t="str">
            <v/>
          </cell>
          <cell r="K93" t="str">
            <v/>
          </cell>
          <cell r="L93" t="str">
            <v/>
          </cell>
          <cell r="M93" t="str">
            <v/>
          </cell>
          <cell r="N93" t="str">
            <v/>
          </cell>
          <cell r="O93" t="str">
            <v/>
          </cell>
          <cell r="P93" t="str">
            <v/>
          </cell>
          <cell r="Q93" t="str">
            <v/>
          </cell>
          <cell r="R93" t="str">
            <v/>
          </cell>
          <cell r="S93" t="str">
            <v/>
          </cell>
          <cell r="T93" t="str">
            <v/>
          </cell>
          <cell r="U93" t="str">
            <v/>
          </cell>
          <cell r="V93" t="str">
            <v/>
          </cell>
          <cell r="W93" t="str">
            <v/>
          </cell>
          <cell r="X93" t="str">
            <v/>
          </cell>
          <cell r="Y93" t="str">
            <v/>
          </cell>
          <cell r="Z93" t="str">
            <v/>
          </cell>
          <cell r="AA93" t="str">
            <v/>
          </cell>
          <cell r="AB93" t="str">
            <v/>
          </cell>
          <cell r="AC93" t="str">
            <v/>
          </cell>
          <cell r="AD93" t="str">
            <v/>
          </cell>
          <cell r="AE93" t="str">
            <v/>
          </cell>
          <cell r="AF93" t="str">
            <v/>
          </cell>
          <cell r="AG93" t="str">
            <v/>
          </cell>
          <cell r="AH93" t="str">
            <v/>
          </cell>
          <cell r="AI93" t="str">
            <v/>
          </cell>
          <cell r="AJ93" t="str">
            <v/>
          </cell>
          <cell r="AK93" t="str">
            <v/>
          </cell>
          <cell r="AL93" t="str">
            <v/>
          </cell>
        </row>
        <row r="94">
          <cell r="A94" t="str">
            <v>Net Income Avail to Common, Adj</v>
          </cell>
          <cell r="B94" t="str">
            <v>EARN_FOR_COMMON</v>
          </cell>
          <cell r="C94" t="str">
            <v>EQY_FUND_RELATIVE_PERIOD</v>
          </cell>
          <cell r="D94" t="str">
            <v>Adjusted</v>
          </cell>
          <cell r="E94"/>
          <cell r="F94">
            <v>50.179650000000002</v>
          </cell>
          <cell r="G94">
            <v>68.245599999999996</v>
          </cell>
          <cell r="H94">
            <v>52.711849999999998</v>
          </cell>
          <cell r="I94">
            <v>75.313999999999993</v>
          </cell>
          <cell r="J94">
            <v>66.777000000000001</v>
          </cell>
          <cell r="K94">
            <v>55.046000000000006</v>
          </cell>
          <cell r="L94">
            <v>49.338000000000001</v>
          </cell>
          <cell r="M94">
            <v>62.054000000000002</v>
          </cell>
          <cell r="N94">
            <v>56.469000000000001</v>
          </cell>
          <cell r="O94">
            <v>71.462000000000003</v>
          </cell>
          <cell r="P94">
            <v>44.281000000000006</v>
          </cell>
          <cell r="Q94">
            <v>49.697000000000003</v>
          </cell>
          <cell r="R94">
            <v>48.400000000000006</v>
          </cell>
          <cell r="S94">
            <v>36</v>
          </cell>
          <cell r="T94">
            <v>61.788640000000001</v>
          </cell>
          <cell r="U94">
            <v>27</v>
          </cell>
          <cell r="V94">
            <v>-32.35</v>
          </cell>
          <cell r="W94">
            <v>3</v>
          </cell>
          <cell r="X94">
            <v>-40</v>
          </cell>
          <cell r="Y94">
            <v>-21</v>
          </cell>
          <cell r="Z94">
            <v>-45.45</v>
          </cell>
          <cell r="AA94" t="str">
            <v/>
          </cell>
          <cell r="AB94">
            <v>202.375</v>
          </cell>
          <cell r="AC94">
            <v>344.55500000000001</v>
          </cell>
          <cell r="AD94">
            <v>214.654</v>
          </cell>
          <cell r="AE94">
            <v>182.66</v>
          </cell>
          <cell r="AF94">
            <v>168.15835000000001</v>
          </cell>
          <cell r="AG94">
            <v>242.92169999999999</v>
          </cell>
          <cell r="AH94">
            <v>247.26544999999999</v>
          </cell>
          <cell r="AI94">
            <v>251.73999999999998</v>
          </cell>
          <cell r="AJ94">
            <v>235.52599999999998</v>
          </cell>
          <cell r="AK94">
            <v>182.655</v>
          </cell>
          <cell r="AL94">
            <v>17</v>
          </cell>
          <cell r="AM94"/>
          <cell r="AN94"/>
        </row>
        <row r="95">
          <cell r="A95" t="str">
            <v>Net Abnormal Losses (Gains)</v>
          </cell>
          <cell r="B95" t="str">
            <v>IS_NET_ABNORMAL_ITEMS</v>
          </cell>
          <cell r="C95" t="str">
            <v>EQY_FUND_RELATIVE_PERIOD</v>
          </cell>
          <cell r="F95">
            <v>29.784649999999999</v>
          </cell>
          <cell r="G95">
            <v>25.9986</v>
          </cell>
          <cell r="H95">
            <v>25.943850000000001</v>
          </cell>
          <cell r="I95">
            <v>57.325000000000003</v>
          </cell>
          <cell r="J95">
            <v>-0.223</v>
          </cell>
          <cell r="K95">
            <v>33.067999999999998</v>
          </cell>
          <cell r="L95">
            <v>0.67700000000000005</v>
          </cell>
          <cell r="M95">
            <v>99.759</v>
          </cell>
          <cell r="N95">
            <v>21.068999999999999</v>
          </cell>
          <cell r="O95">
            <v>3.7069999999999999</v>
          </cell>
          <cell r="P95">
            <v>4.24</v>
          </cell>
          <cell r="Q95">
            <v>11.271000000000001</v>
          </cell>
          <cell r="R95">
            <v>5.6580000000000004</v>
          </cell>
          <cell r="S95">
            <v>22.053999999999998</v>
          </cell>
          <cell r="T95">
            <v>111.78864</v>
          </cell>
          <cell r="U95">
            <v>55</v>
          </cell>
          <cell r="V95">
            <v>49.65</v>
          </cell>
          <cell r="W95">
            <v>159</v>
          </cell>
          <cell r="X95">
            <v>200</v>
          </cell>
          <cell r="Y95">
            <v>59</v>
          </cell>
          <cell r="Z95">
            <v>88.55</v>
          </cell>
          <cell r="AA95" t="str">
            <v/>
          </cell>
          <cell r="AB95">
            <v>0</v>
          </cell>
          <cell r="AC95">
            <v>0</v>
          </cell>
          <cell r="AD95">
            <v>20.153148000000002</v>
          </cell>
          <cell r="AE95">
            <v>8.1475340000000003</v>
          </cell>
          <cell r="AF95">
            <v>47.375349999999997</v>
          </cell>
          <cell r="AG95">
            <v>90.248699999999999</v>
          </cell>
          <cell r="AH95">
            <v>97.651449999999997</v>
          </cell>
          <cell r="AI95">
            <v>118.005</v>
          </cell>
          <cell r="AJ95">
            <v>125.22199999999999</v>
          </cell>
          <cell r="AK95">
            <v>52.805</v>
          </cell>
          <cell r="AL95">
            <v>336</v>
          </cell>
        </row>
        <row r="96">
          <cell r="A96" t="str">
            <v>Net Extraordinary Losses (Gains)</v>
          </cell>
          <cell r="B96" t="str">
            <v>XO_GL_NET_OF_TAX</v>
          </cell>
          <cell r="C96" t="str">
            <v>EQY_FUND_RELATIVE_PERIOD</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t="str">
            <v/>
          </cell>
          <cell r="AB96">
            <v>-14.433</v>
          </cell>
          <cell r="AC96">
            <v>-90.546999999999997</v>
          </cell>
          <cell r="AD96">
            <v>0</v>
          </cell>
          <cell r="AE96">
            <v>0</v>
          </cell>
          <cell r="AF96">
            <v>0</v>
          </cell>
          <cell r="AG96">
            <v>0</v>
          </cell>
          <cell r="AH96">
            <v>0</v>
          </cell>
          <cell r="AI96">
            <v>0</v>
          </cell>
          <cell r="AJ96">
            <v>0</v>
          </cell>
          <cell r="AK96">
            <v>0</v>
          </cell>
          <cell r="AL96">
            <v>0</v>
          </cell>
        </row>
        <row r="97">
          <cell r="F97" t="str">
            <v/>
          </cell>
          <cell r="G97" t="str">
            <v/>
          </cell>
          <cell r="H97" t="str">
            <v/>
          </cell>
          <cell r="I97" t="str">
            <v/>
          </cell>
          <cell r="J97" t="str">
            <v/>
          </cell>
          <cell r="K97" t="str">
            <v/>
          </cell>
          <cell r="L97" t="str">
            <v/>
          </cell>
          <cell r="M97" t="str">
            <v/>
          </cell>
          <cell r="N97" t="str">
            <v/>
          </cell>
          <cell r="O97" t="str">
            <v/>
          </cell>
          <cell r="P97" t="str">
            <v/>
          </cell>
          <cell r="Q97" t="str">
            <v/>
          </cell>
          <cell r="R97" t="str">
            <v/>
          </cell>
          <cell r="S97" t="str">
            <v/>
          </cell>
          <cell r="T97" t="str">
            <v/>
          </cell>
          <cell r="U97" t="str">
            <v/>
          </cell>
          <cell r="V97" t="str">
            <v/>
          </cell>
          <cell r="W97" t="str">
            <v/>
          </cell>
          <cell r="X97" t="str">
            <v/>
          </cell>
          <cell r="Y97" t="str">
            <v/>
          </cell>
          <cell r="Z97" t="str">
            <v/>
          </cell>
          <cell r="AA97" t="str">
            <v/>
          </cell>
          <cell r="AB97" t="str">
            <v/>
          </cell>
          <cell r="AC97" t="str">
            <v/>
          </cell>
          <cell r="AD97" t="str">
            <v/>
          </cell>
          <cell r="AE97" t="str">
            <v/>
          </cell>
          <cell r="AF97" t="str">
            <v/>
          </cell>
          <cell r="AG97" t="str">
            <v/>
          </cell>
          <cell r="AH97" t="str">
            <v/>
          </cell>
          <cell r="AI97" t="str">
            <v/>
          </cell>
          <cell r="AJ97" t="str">
            <v/>
          </cell>
          <cell r="AK97" t="str">
            <v/>
          </cell>
          <cell r="AL97" t="str">
            <v/>
          </cell>
        </row>
        <row r="98">
          <cell r="A98" t="str">
            <v>Basic Weighted Avg Shares</v>
          </cell>
          <cell r="B98" t="str">
            <v>IS_AVG_NUM_SH_FOR_EPS</v>
          </cell>
          <cell r="C98" t="str">
            <v>EQY_FUND_RELATIVE_PERIOD</v>
          </cell>
          <cell r="F98">
            <v>990.25900000000001</v>
          </cell>
          <cell r="G98">
            <v>990.27599999999995</v>
          </cell>
          <cell r="H98">
            <v>988.87300000000005</v>
          </cell>
          <cell r="I98">
            <v>991.18299999999999</v>
          </cell>
          <cell r="J98">
            <v>991.29499999999996</v>
          </cell>
          <cell r="K98">
            <v>991.31600000000003</v>
          </cell>
          <cell r="L98">
            <v>991.87300000000005</v>
          </cell>
          <cell r="M98">
            <v>992.61099999999999</v>
          </cell>
          <cell r="N98">
            <v>993.11500000000001</v>
          </cell>
          <cell r="O98">
            <v>993.245</v>
          </cell>
          <cell r="P98">
            <v>994.02599999999995</v>
          </cell>
          <cell r="Q98">
            <v>994.62800000000004</v>
          </cell>
          <cell r="R98">
            <v>994.64700000000005</v>
          </cell>
          <cell r="S98">
            <v>994.54100000000005</v>
          </cell>
          <cell r="T98">
            <v>994.71600000000001</v>
          </cell>
          <cell r="U98">
            <v>1037.4069999999999</v>
          </cell>
          <cell r="V98">
            <v>1161.2070000000001</v>
          </cell>
          <cell r="W98">
            <v>1161.1479999999999</v>
          </cell>
          <cell r="X98">
            <v>1164.0409999999999</v>
          </cell>
          <cell r="Y98">
            <v>1164.2619999999999</v>
          </cell>
          <cell r="Z98">
            <v>1164.172</v>
          </cell>
          <cell r="AA98" t="str">
            <v/>
          </cell>
          <cell r="AB98">
            <v>337.065</v>
          </cell>
          <cell r="AC98">
            <v>322.64100000000002</v>
          </cell>
          <cell r="AD98">
            <v>331.03699999999998</v>
          </cell>
          <cell r="AE98">
            <v>317.50099999999998</v>
          </cell>
          <cell r="AF98">
            <v>310.02100000000002</v>
          </cell>
          <cell r="AG98">
            <v>649.82799999999997</v>
          </cell>
          <cell r="AH98">
            <v>989.85199999999998</v>
          </cell>
          <cell r="AI98">
            <v>990.53700000000003</v>
          </cell>
          <cell r="AJ98">
            <v>992.65899999999999</v>
          </cell>
          <cell r="AK98">
            <v>994.41800000000001</v>
          </cell>
          <cell r="AL98">
            <v>1084.606</v>
          </cell>
        </row>
        <row r="99">
          <cell r="A99" t="str">
            <v>Basic EPS, GAAP</v>
          </cell>
          <cell r="B99" t="str">
            <v>IS_EPS</v>
          </cell>
          <cell r="C99" t="str">
            <v>EQY_FUND_RELATIVE_PERIOD</v>
          </cell>
          <cell r="F99">
            <v>5.0673000000000003E-2</v>
          </cell>
          <cell r="G99">
            <v>6.8916000000000005E-2</v>
          </cell>
          <cell r="H99">
            <v>5.3304999999999998E-2</v>
          </cell>
          <cell r="I99">
            <v>7.5983999999999996E-2</v>
          </cell>
          <cell r="J99">
            <v>6.7363000000000006E-2</v>
          </cell>
          <cell r="K99">
            <v>5.5528000000000001E-2</v>
          </cell>
          <cell r="L99">
            <v>4.9742000000000001E-2</v>
          </cell>
          <cell r="M99">
            <v>6.2516000000000002E-2</v>
          </cell>
          <cell r="N99">
            <v>5.6860000000000001E-2</v>
          </cell>
          <cell r="O99">
            <v>7.1947999999999998E-2</v>
          </cell>
          <cell r="P99">
            <v>4.4547000000000003E-2</v>
          </cell>
          <cell r="Q99">
            <v>4.9965000000000002E-2</v>
          </cell>
          <cell r="R99">
            <v>4.8660000000000002E-2</v>
          </cell>
          <cell r="S99">
            <v>3.6198000000000001E-2</v>
          </cell>
          <cell r="T99">
            <v>6.2116999999999999E-2</v>
          </cell>
          <cell r="U99">
            <v>2.6026000000000001E-2</v>
          </cell>
          <cell r="V99">
            <v>-2.7858999999999998E-2</v>
          </cell>
          <cell r="W99">
            <v>2.5839999999999999E-3</v>
          </cell>
          <cell r="X99">
            <v>-3.4362999999999998E-2</v>
          </cell>
          <cell r="Y99">
            <v>-1.8037000000000001E-2</v>
          </cell>
          <cell r="Z99">
            <v>-3.9040999999999999E-2</v>
          </cell>
          <cell r="AA99" t="str">
            <v/>
          </cell>
          <cell r="AB99">
            <v>0.6</v>
          </cell>
          <cell r="AC99">
            <v>1.07</v>
          </cell>
          <cell r="AD99">
            <v>0.7</v>
          </cell>
          <cell r="AE99">
            <v>0.6</v>
          </cell>
          <cell r="AF99">
            <v>0.54240999999999995</v>
          </cell>
          <cell r="AG99">
            <v>0.37382500000000002</v>
          </cell>
          <cell r="AH99">
            <v>0.24979999999999999</v>
          </cell>
          <cell r="AI99">
            <v>0.25414500000000001</v>
          </cell>
          <cell r="AJ99">
            <v>0.23726800000000001</v>
          </cell>
          <cell r="AK99">
            <v>0.18368000000000001</v>
          </cell>
          <cell r="AL99">
            <v>1.5674E-2</v>
          </cell>
          <cell r="AM99"/>
          <cell r="AN99"/>
        </row>
        <row r="100">
          <cell r="A100" t="str">
            <v>Basic EPS from Cont Ops</v>
          </cell>
          <cell r="B100" t="str">
            <v>IS_EARN_BEF_XO_ITEMS_PER_SH</v>
          </cell>
          <cell r="C100" t="str">
            <v>EQY_FUND_RELATIVE_PERIOD</v>
          </cell>
          <cell r="F100">
            <v>0.02</v>
          </cell>
          <cell r="G100">
            <v>0.04</v>
          </cell>
          <cell r="H100">
            <v>0.03</v>
          </cell>
          <cell r="I100">
            <v>0.02</v>
          </cell>
          <cell r="J100">
            <v>7.0000000000000007E-2</v>
          </cell>
          <cell r="K100">
            <v>0.02</v>
          </cell>
          <cell r="L100">
            <v>0.05</v>
          </cell>
          <cell r="M100">
            <v>-0.04</v>
          </cell>
          <cell r="N100">
            <v>0.04</v>
          </cell>
          <cell r="O100">
            <v>7.0000000000000007E-2</v>
          </cell>
          <cell r="P100">
            <v>0.04</v>
          </cell>
          <cell r="Q100">
            <v>0.04</v>
          </cell>
          <cell r="R100">
            <v>0.04</v>
          </cell>
          <cell r="S100">
            <v>0.01</v>
          </cell>
          <cell r="T100">
            <v>-0.05</v>
          </cell>
          <cell r="U100">
            <v>-0.03</v>
          </cell>
          <cell r="V100">
            <v>-7.0000000000000007E-2</v>
          </cell>
          <cell r="W100">
            <v>-0.14000000000000001</v>
          </cell>
          <cell r="X100">
            <v>-0.21</v>
          </cell>
          <cell r="Y100">
            <v>-7.0000000000000007E-2</v>
          </cell>
          <cell r="Z100">
            <v>-0.12</v>
          </cell>
          <cell r="AA100" t="str">
            <v/>
          </cell>
          <cell r="AB100">
            <v>0.56000000000000005</v>
          </cell>
          <cell r="AC100">
            <v>0.79</v>
          </cell>
          <cell r="AD100">
            <v>0.64</v>
          </cell>
          <cell r="AE100">
            <v>0.56999999999999995</v>
          </cell>
          <cell r="AF100">
            <v>0.38</v>
          </cell>
          <cell r="AG100">
            <v>0.23</v>
          </cell>
          <cell r="AH100">
            <v>0.15</v>
          </cell>
          <cell r="AI100">
            <v>0.14000000000000001</v>
          </cell>
          <cell r="AJ100">
            <v>0.11</v>
          </cell>
          <cell r="AK100">
            <v>0.13</v>
          </cell>
          <cell r="AL100">
            <v>-0.28999999999999998</v>
          </cell>
          <cell r="AM100"/>
          <cell r="AN100"/>
        </row>
        <row r="101">
          <cell r="A101" t="str">
            <v>Basic EPS from Cont Ops, Adjusted</v>
          </cell>
          <cell r="B101" t="str">
            <v>IS_BASIC_EPS_CONT_OPS</v>
          </cell>
          <cell r="C101" t="str">
            <v>EQY_FUND_RELATIVE_PERIOD</v>
          </cell>
          <cell r="F101">
            <v>5.0673000000000003E-2</v>
          </cell>
          <cell r="G101">
            <v>6.8916000000000005E-2</v>
          </cell>
          <cell r="H101">
            <v>5.3304999999999998E-2</v>
          </cell>
          <cell r="I101">
            <v>7.5983999999999996E-2</v>
          </cell>
          <cell r="J101">
            <v>6.7363000000000006E-2</v>
          </cell>
          <cell r="K101">
            <v>5.5528000000000001E-2</v>
          </cell>
          <cell r="L101">
            <v>4.9742000000000001E-2</v>
          </cell>
          <cell r="M101">
            <v>6.2516000000000002E-2</v>
          </cell>
          <cell r="N101">
            <v>5.6860000000000001E-2</v>
          </cell>
          <cell r="O101">
            <v>7.1947999999999998E-2</v>
          </cell>
          <cell r="P101">
            <v>4.4547000000000003E-2</v>
          </cell>
          <cell r="Q101">
            <v>4.9965000000000002E-2</v>
          </cell>
          <cell r="R101">
            <v>4.8660000000000002E-2</v>
          </cell>
          <cell r="S101">
            <v>3.6198000000000001E-2</v>
          </cell>
          <cell r="T101">
            <v>6.2116999999999999E-2</v>
          </cell>
          <cell r="U101">
            <v>2.6026000000000001E-2</v>
          </cell>
          <cell r="V101">
            <v>-2.7858999999999998E-2</v>
          </cell>
          <cell r="W101">
            <v>2.5839999999999999E-3</v>
          </cell>
          <cell r="X101">
            <v>-3.4362999999999998E-2</v>
          </cell>
          <cell r="Y101">
            <v>-1.8037000000000001E-2</v>
          </cell>
          <cell r="Z101">
            <v>-3.9040999999999999E-2</v>
          </cell>
          <cell r="AA101" t="str">
            <v/>
          </cell>
          <cell r="AB101">
            <v>0.56000000000000005</v>
          </cell>
          <cell r="AC101">
            <v>0.79</v>
          </cell>
          <cell r="AD101">
            <v>0.7</v>
          </cell>
          <cell r="AE101">
            <v>0.6</v>
          </cell>
          <cell r="AF101">
            <v>0.54240999999999995</v>
          </cell>
          <cell r="AG101">
            <v>0.37382500000000002</v>
          </cell>
          <cell r="AH101">
            <v>0.24979999999999999</v>
          </cell>
          <cell r="AI101">
            <v>0.25414500000000001</v>
          </cell>
          <cell r="AJ101">
            <v>0.23726800000000001</v>
          </cell>
          <cell r="AK101">
            <v>0.18368000000000001</v>
          </cell>
          <cell r="AL101">
            <v>1.5674E-2</v>
          </cell>
          <cell r="AM101"/>
          <cell r="AN101"/>
        </row>
        <row r="102">
          <cell r="F102" t="str">
            <v/>
          </cell>
          <cell r="G102" t="str">
            <v/>
          </cell>
          <cell r="H102" t="str">
            <v/>
          </cell>
          <cell r="I102" t="str">
            <v/>
          </cell>
          <cell r="J102" t="str">
            <v/>
          </cell>
          <cell r="K102" t="str">
            <v/>
          </cell>
          <cell r="L102" t="str">
            <v/>
          </cell>
          <cell r="M102" t="str">
            <v/>
          </cell>
          <cell r="N102" t="str">
            <v/>
          </cell>
          <cell r="O102" t="str">
            <v/>
          </cell>
          <cell r="P102" t="str">
            <v/>
          </cell>
          <cell r="Q102" t="str">
            <v/>
          </cell>
          <cell r="R102" t="str">
            <v/>
          </cell>
          <cell r="S102" t="str">
            <v/>
          </cell>
          <cell r="T102" t="str">
            <v/>
          </cell>
          <cell r="U102" t="str">
            <v/>
          </cell>
          <cell r="V102" t="str">
            <v/>
          </cell>
          <cell r="W102" t="str">
            <v/>
          </cell>
          <cell r="X102" t="str">
            <v/>
          </cell>
          <cell r="Y102" t="str">
            <v/>
          </cell>
          <cell r="Z102" t="str">
            <v/>
          </cell>
          <cell r="AA102" t="str">
            <v/>
          </cell>
          <cell r="AB102" t="str">
            <v/>
          </cell>
          <cell r="AC102" t="str">
            <v/>
          </cell>
          <cell r="AD102" t="str">
            <v/>
          </cell>
          <cell r="AE102" t="str">
            <v/>
          </cell>
          <cell r="AF102" t="str">
            <v/>
          </cell>
          <cell r="AG102" t="str">
            <v/>
          </cell>
          <cell r="AH102" t="str">
            <v/>
          </cell>
          <cell r="AI102" t="str">
            <v/>
          </cell>
          <cell r="AJ102" t="str">
            <v/>
          </cell>
          <cell r="AK102" t="str">
            <v/>
          </cell>
          <cell r="AL102" t="str">
            <v/>
          </cell>
          <cell r="AM102"/>
          <cell r="AN102"/>
        </row>
        <row r="103">
          <cell r="A103" t="str">
            <v>Diluted Weighted Avg Shares</v>
          </cell>
          <cell r="B103" t="str">
            <v>IS_SH_FOR_DILUTED_EPS</v>
          </cell>
          <cell r="C103" t="str">
            <v>EQY_FUND_RELATIVE_PERIOD</v>
          </cell>
          <cell r="F103">
            <v>991.28399999999999</v>
          </cell>
          <cell r="G103">
            <v>990.27599999999995</v>
          </cell>
          <cell r="H103">
            <v>989.50799999999992</v>
          </cell>
          <cell r="I103">
            <v>991.18299999999999</v>
          </cell>
          <cell r="J103">
            <v>991.45799999999997</v>
          </cell>
          <cell r="K103">
            <v>991.31599999999992</v>
          </cell>
          <cell r="L103">
            <v>992.548</v>
          </cell>
          <cell r="M103">
            <v>993.21399999999994</v>
          </cell>
          <cell r="N103">
            <v>994.1049999999999</v>
          </cell>
          <cell r="O103">
            <v>993.245</v>
          </cell>
          <cell r="P103">
            <v>995.52799999999991</v>
          </cell>
          <cell r="Q103">
            <v>996.78499999999997</v>
          </cell>
          <cell r="R103">
            <v>997.8549999999999</v>
          </cell>
          <cell r="S103">
            <v>994.54099999999994</v>
          </cell>
          <cell r="T103">
            <v>994.71600000000001</v>
          </cell>
          <cell r="U103">
            <v>1037.4069999999999</v>
          </cell>
          <cell r="V103">
            <v>1161.2069999999999</v>
          </cell>
          <cell r="W103">
            <v>1161.1479999999999</v>
          </cell>
          <cell r="X103">
            <v>1164.0409999999999</v>
          </cell>
          <cell r="Y103">
            <v>1164.2619999999999</v>
          </cell>
          <cell r="Z103">
            <v>1164.172</v>
          </cell>
          <cell r="AA103" t="str">
            <v/>
          </cell>
          <cell r="AB103">
            <v>341.67500000000001</v>
          </cell>
          <cell r="AC103">
            <v>324.54499999999996</v>
          </cell>
          <cell r="AD103">
            <v>332.37799999999999</v>
          </cell>
          <cell r="AE103">
            <v>318.24199999999996</v>
          </cell>
          <cell r="AF103">
            <v>310.113</v>
          </cell>
          <cell r="AG103">
            <v>650.99099999999999</v>
          </cell>
          <cell r="AH103">
            <v>991.82399999999996</v>
          </cell>
          <cell r="AI103">
            <v>991.8</v>
          </cell>
          <cell r="AJ103">
            <v>993.99699999999996</v>
          </cell>
          <cell r="AK103">
            <v>998.16199999999992</v>
          </cell>
          <cell r="AL103">
            <v>1084.606</v>
          </cell>
          <cell r="AM103"/>
          <cell r="AN103"/>
        </row>
        <row r="104">
          <cell r="A104" t="str">
            <v>Diluted EPS, GAAP</v>
          </cell>
          <cell r="B104" t="str">
            <v>IS_DILUTED_EPS</v>
          </cell>
          <cell r="C104" t="str">
            <v>EQY_FUND_RELATIVE_PERIOD</v>
          </cell>
          <cell r="F104">
            <v>5.0047000000000001E-2</v>
          </cell>
          <cell r="G104">
            <v>6.6253999999999993E-2</v>
          </cell>
          <cell r="H104">
            <v>5.3304999999999998E-2</v>
          </cell>
          <cell r="I104">
            <v>7.5983999999999996E-2</v>
          </cell>
          <cell r="J104">
            <v>6.7363000000000006E-2</v>
          </cell>
          <cell r="K104">
            <v>5.3358000000000003E-2</v>
          </cell>
          <cell r="L104">
            <v>4.9742000000000001E-2</v>
          </cell>
          <cell r="M104">
            <v>6.0441000000000002E-2</v>
          </cell>
          <cell r="N104">
            <v>5.6860000000000001E-2</v>
          </cell>
          <cell r="O104">
            <v>7.1947999999999998E-2</v>
          </cell>
          <cell r="P104">
            <v>4.4259E-2</v>
          </cell>
          <cell r="Q104">
            <v>4.9965000000000002E-2</v>
          </cell>
          <cell r="R104">
            <v>4.5670000000000002E-2</v>
          </cell>
          <cell r="S104">
            <v>3.2175000000000002E-2</v>
          </cell>
          <cell r="T104">
            <v>6.2116999999999999E-2</v>
          </cell>
          <cell r="U104">
            <v>2.3016999999999999E-2</v>
          </cell>
          <cell r="V104">
            <v>-2.7858999999999998E-2</v>
          </cell>
          <cell r="W104">
            <v>-3.0669999999999998E-3</v>
          </cell>
          <cell r="X104">
            <v>-3.8184999999999997E-2</v>
          </cell>
          <cell r="Y104">
            <v>-1.9324000000000001E-2</v>
          </cell>
          <cell r="Z104">
            <v>-4.3936999999999997E-2</v>
          </cell>
          <cell r="AA104" t="str">
            <v/>
          </cell>
          <cell r="AB104">
            <v>0.6</v>
          </cell>
          <cell r="AC104">
            <v>1.06</v>
          </cell>
          <cell r="AD104">
            <v>0.7</v>
          </cell>
          <cell r="AE104">
            <v>0.6</v>
          </cell>
          <cell r="AF104">
            <v>0.53276800000000002</v>
          </cell>
          <cell r="AG104">
            <v>0.36863299999999999</v>
          </cell>
          <cell r="AH104">
            <v>0.24845600000000001</v>
          </cell>
          <cell r="AI104">
            <v>0.24898100000000001</v>
          </cell>
          <cell r="AJ104">
            <v>0.23597799999999999</v>
          </cell>
          <cell r="AK104">
            <v>0.18290200000000001</v>
          </cell>
          <cell r="AL104">
            <v>1.5674E-2</v>
          </cell>
          <cell r="AM104"/>
          <cell r="AN104"/>
        </row>
        <row r="105">
          <cell r="A105" t="str">
            <v>Diluted EPS from Cont Ops</v>
          </cell>
          <cell r="B105" t="str">
            <v>IS_DIL_EPS_BEF_XO</v>
          </cell>
          <cell r="C105" t="str">
            <v>EQY_FUND_RELATIVE_PERIOD</v>
          </cell>
          <cell r="F105">
            <v>0.02</v>
          </cell>
          <cell r="G105">
            <v>0.04</v>
          </cell>
          <cell r="H105">
            <v>0.03</v>
          </cell>
          <cell r="I105">
            <v>0.02</v>
          </cell>
          <cell r="J105">
            <v>7.0000000000000007E-2</v>
          </cell>
          <cell r="K105">
            <v>0.02</v>
          </cell>
          <cell r="L105">
            <v>0.05</v>
          </cell>
          <cell r="M105">
            <v>-0.04</v>
          </cell>
          <cell r="N105">
            <v>0.04</v>
          </cell>
          <cell r="O105">
            <v>7.0000000000000007E-2</v>
          </cell>
          <cell r="P105">
            <v>0.04</v>
          </cell>
          <cell r="Q105">
            <v>0.04</v>
          </cell>
          <cell r="R105">
            <v>0.04</v>
          </cell>
          <cell r="S105">
            <v>0.01</v>
          </cell>
          <cell r="T105">
            <v>-0.05</v>
          </cell>
          <cell r="U105">
            <v>-0.03</v>
          </cell>
          <cell r="V105">
            <v>-7.0000000000000007E-2</v>
          </cell>
          <cell r="W105">
            <v>-0.14000000000000001</v>
          </cell>
          <cell r="X105">
            <v>-0.21</v>
          </cell>
          <cell r="Y105">
            <v>-7.0000000000000007E-2</v>
          </cell>
          <cell r="Z105">
            <v>-0.12</v>
          </cell>
          <cell r="AA105" t="str">
            <v/>
          </cell>
          <cell r="AB105">
            <v>0.56000000000000005</v>
          </cell>
          <cell r="AC105">
            <v>0.78</v>
          </cell>
          <cell r="AD105">
            <v>0.64</v>
          </cell>
          <cell r="AE105">
            <v>0.56999999999999995</v>
          </cell>
          <cell r="AF105">
            <v>0.38</v>
          </cell>
          <cell r="AG105">
            <v>0.23</v>
          </cell>
          <cell r="AH105">
            <v>0.15</v>
          </cell>
          <cell r="AI105">
            <v>0.13</v>
          </cell>
          <cell r="AJ105">
            <v>0.11</v>
          </cell>
          <cell r="AK105">
            <v>0.13</v>
          </cell>
          <cell r="AL105">
            <v>-0.28999999999999998</v>
          </cell>
          <cell r="AM105"/>
          <cell r="AN105"/>
        </row>
        <row r="106">
          <cell r="A106" t="str">
            <v>Diluted EPS from Cont Ops, Adjusted</v>
          </cell>
          <cell r="B106" t="str">
            <v>IS_DIL_EPS_CONT_OPS</v>
          </cell>
          <cell r="C106" t="str">
            <v>EQY_FUND_RELATIVE_PERIOD</v>
          </cell>
          <cell r="F106">
            <v>5.0047000000000001E-2</v>
          </cell>
          <cell r="G106">
            <v>6.6253999999999993E-2</v>
          </cell>
          <cell r="H106">
            <v>5.3304999999999998E-2</v>
          </cell>
          <cell r="I106">
            <v>7.5983999999999996E-2</v>
          </cell>
          <cell r="J106">
            <v>6.7363000000000006E-2</v>
          </cell>
          <cell r="K106">
            <v>5.3358000000000003E-2</v>
          </cell>
          <cell r="L106">
            <v>4.9742000000000001E-2</v>
          </cell>
          <cell r="M106">
            <v>6.0441000000000002E-2</v>
          </cell>
          <cell r="N106">
            <v>5.6860000000000001E-2</v>
          </cell>
          <cell r="O106">
            <v>7.1947999999999998E-2</v>
          </cell>
          <cell r="P106">
            <v>4.4259E-2</v>
          </cell>
          <cell r="Q106">
            <v>4.9965000000000002E-2</v>
          </cell>
          <cell r="R106">
            <v>4.5670000000000002E-2</v>
          </cell>
          <cell r="S106">
            <v>3.2175000000000002E-2</v>
          </cell>
          <cell r="T106">
            <v>6.2116999999999999E-2</v>
          </cell>
          <cell r="U106">
            <v>2.3016999999999999E-2</v>
          </cell>
          <cell r="V106">
            <v>-2.7858999999999998E-2</v>
          </cell>
          <cell r="W106">
            <v>-3.0669999999999998E-3</v>
          </cell>
          <cell r="X106">
            <v>-3.8184999999999997E-2</v>
          </cell>
          <cell r="Y106">
            <v>-1.9324000000000001E-2</v>
          </cell>
          <cell r="Z106">
            <v>-4.3936999999999997E-2</v>
          </cell>
          <cell r="AA106" t="str">
            <v/>
          </cell>
          <cell r="AB106">
            <v>0.56000000000000005</v>
          </cell>
          <cell r="AC106">
            <v>0.78</v>
          </cell>
          <cell r="AD106">
            <v>0.7</v>
          </cell>
          <cell r="AE106">
            <v>0.6</v>
          </cell>
          <cell r="AF106">
            <v>0.53276800000000002</v>
          </cell>
          <cell r="AG106">
            <v>0.36863299999999999</v>
          </cell>
          <cell r="AH106">
            <v>0.24845600000000001</v>
          </cell>
          <cell r="AI106">
            <v>0.24898100000000001</v>
          </cell>
          <cell r="AJ106">
            <v>0.23597799999999999</v>
          </cell>
          <cell r="AK106">
            <v>0.18290200000000001</v>
          </cell>
          <cell r="AL106">
            <v>1.5674E-2</v>
          </cell>
          <cell r="AM106"/>
          <cell r="AN106"/>
        </row>
        <row r="107">
          <cell r="F107" t="str">
            <v/>
          </cell>
          <cell r="G107" t="str">
            <v/>
          </cell>
          <cell r="H107" t="str">
            <v/>
          </cell>
          <cell r="I107" t="str">
            <v/>
          </cell>
          <cell r="J107" t="str">
            <v/>
          </cell>
          <cell r="K107" t="str">
            <v/>
          </cell>
          <cell r="L107" t="str">
            <v/>
          </cell>
          <cell r="M107" t="str">
            <v/>
          </cell>
          <cell r="N107" t="str">
            <v/>
          </cell>
          <cell r="O107" t="str">
            <v/>
          </cell>
          <cell r="P107" t="str">
            <v/>
          </cell>
          <cell r="Q107" t="str">
            <v/>
          </cell>
          <cell r="R107" t="str">
            <v/>
          </cell>
          <cell r="S107" t="str">
            <v/>
          </cell>
          <cell r="T107" t="str">
            <v/>
          </cell>
          <cell r="U107" t="str">
            <v/>
          </cell>
          <cell r="V107" t="str">
            <v/>
          </cell>
          <cell r="W107" t="str">
            <v/>
          </cell>
          <cell r="X107" t="str">
            <v/>
          </cell>
          <cell r="Y107" t="str">
            <v/>
          </cell>
          <cell r="Z107" t="str">
            <v/>
          </cell>
          <cell r="AA107" t="str">
            <v/>
          </cell>
          <cell r="AB107" t="str">
            <v/>
          </cell>
          <cell r="AC107" t="str">
            <v/>
          </cell>
          <cell r="AD107" t="str">
            <v/>
          </cell>
          <cell r="AE107" t="str">
            <v/>
          </cell>
          <cell r="AF107" t="str">
            <v/>
          </cell>
          <cell r="AG107" t="str">
            <v/>
          </cell>
          <cell r="AH107" t="str">
            <v/>
          </cell>
          <cell r="AI107" t="str">
            <v/>
          </cell>
          <cell r="AJ107" t="str">
            <v/>
          </cell>
          <cell r="AK107" t="str">
            <v/>
          </cell>
          <cell r="AL107" t="str">
            <v/>
          </cell>
          <cell r="AM107"/>
          <cell r="AN107"/>
        </row>
        <row r="108">
          <cell r="A108" t="str">
            <v>Reference Items</v>
          </cell>
          <cell r="F108" t="str">
            <v/>
          </cell>
          <cell r="G108" t="str">
            <v/>
          </cell>
          <cell r="H108" t="str">
            <v/>
          </cell>
          <cell r="I108" t="str">
            <v/>
          </cell>
          <cell r="J108" t="str">
            <v/>
          </cell>
          <cell r="K108" t="str">
            <v/>
          </cell>
          <cell r="L108" t="str">
            <v/>
          </cell>
          <cell r="M108" t="str">
            <v/>
          </cell>
          <cell r="N108" t="str">
            <v/>
          </cell>
          <cell r="O108" t="str">
            <v/>
          </cell>
          <cell r="P108" t="str">
            <v/>
          </cell>
          <cell r="Q108" t="str">
            <v/>
          </cell>
          <cell r="R108" t="str">
            <v/>
          </cell>
          <cell r="S108" t="str">
            <v/>
          </cell>
          <cell r="T108" t="str">
            <v/>
          </cell>
          <cell r="U108" t="str">
            <v/>
          </cell>
          <cell r="V108" t="str">
            <v/>
          </cell>
          <cell r="W108" t="str">
            <v/>
          </cell>
          <cell r="X108" t="str">
            <v/>
          </cell>
          <cell r="Y108" t="str">
            <v/>
          </cell>
          <cell r="Z108" t="str">
            <v/>
          </cell>
          <cell r="AA108" t="str">
            <v/>
          </cell>
          <cell r="AB108" t="str">
            <v/>
          </cell>
          <cell r="AC108" t="str">
            <v/>
          </cell>
          <cell r="AD108" t="str">
            <v/>
          </cell>
          <cell r="AE108" t="str">
            <v/>
          </cell>
          <cell r="AF108" t="str">
            <v/>
          </cell>
          <cell r="AG108" t="str">
            <v/>
          </cell>
          <cell r="AH108" t="str">
            <v/>
          </cell>
          <cell r="AI108" t="str">
            <v/>
          </cell>
          <cell r="AJ108" t="str">
            <v/>
          </cell>
          <cell r="AK108" t="str">
            <v/>
          </cell>
          <cell r="AL108" t="str">
            <v/>
          </cell>
          <cell r="AM108"/>
          <cell r="AN108"/>
        </row>
        <row r="109">
          <cell r="A109" t="str">
            <v>Accounting Standard</v>
          </cell>
          <cell r="B109" t="str">
            <v>ACCOUNTING_STANDARD</v>
          </cell>
          <cell r="C109" t="str">
            <v>EQY_FUND_RELATIVE_PERIOD</v>
          </cell>
          <cell r="F109" t="str">
            <v>US GAAP</v>
          </cell>
          <cell r="G109" t="str">
            <v>US GAAP</v>
          </cell>
          <cell r="H109" t="str">
            <v>US GAAP</v>
          </cell>
          <cell r="I109" t="str">
            <v>US GAAP</v>
          </cell>
          <cell r="J109" t="str">
            <v>US GAAP</v>
          </cell>
          <cell r="K109" t="str">
            <v>US GAAP</v>
          </cell>
          <cell r="L109" t="str">
            <v>US GAAP</v>
          </cell>
          <cell r="M109" t="str">
            <v>US GAAP</v>
          </cell>
          <cell r="N109" t="str">
            <v>US GAAP</v>
          </cell>
          <cell r="O109" t="str">
            <v>US GAAP</v>
          </cell>
          <cell r="P109" t="str">
            <v>US GAAP</v>
          </cell>
          <cell r="Q109" t="str">
            <v>US GAAP</v>
          </cell>
          <cell r="R109" t="str">
            <v>US GAAP</v>
          </cell>
          <cell r="S109" t="str">
            <v>US GAAP</v>
          </cell>
          <cell r="T109" t="str">
            <v>US GAAP</v>
          </cell>
          <cell r="U109" t="str">
            <v>US GAAP</v>
          </cell>
          <cell r="V109" t="str">
            <v>US GAAP</v>
          </cell>
          <cell r="W109" t="str">
            <v>US GAAP</v>
          </cell>
          <cell r="X109" t="str">
            <v>US GAAP</v>
          </cell>
          <cell r="Y109" t="str">
            <v>US GAAP</v>
          </cell>
          <cell r="Z109" t="str">
            <v>US GAAP</v>
          </cell>
          <cell r="AA109" t="str">
            <v/>
          </cell>
          <cell r="AB109" t="str">
            <v>US GAAP</v>
          </cell>
          <cell r="AC109" t="str">
            <v>US GAAP</v>
          </cell>
          <cell r="AD109" t="str">
            <v>US GAAP</v>
          </cell>
          <cell r="AE109" t="str">
            <v>US GAAP</v>
          </cell>
          <cell r="AF109" t="str">
            <v>US GAAP</v>
          </cell>
          <cell r="AG109" t="str">
            <v>US GAAP</v>
          </cell>
          <cell r="AH109" t="str">
            <v>US GAAP</v>
          </cell>
          <cell r="AI109" t="str">
            <v>US GAAP</v>
          </cell>
          <cell r="AJ109" t="str">
            <v>US GAAP</v>
          </cell>
          <cell r="AK109" t="str">
            <v>US GAAP</v>
          </cell>
          <cell r="AL109" t="str">
            <v>US GAAP</v>
          </cell>
          <cell r="AM109"/>
          <cell r="AN109"/>
        </row>
        <row r="110">
          <cell r="A110" t="str">
            <v>EBITDA</v>
          </cell>
          <cell r="B110" t="str">
            <v>EBITDA</v>
          </cell>
          <cell r="C110" t="str">
            <v>EQY_FUND_RELATIVE_PERIOD</v>
          </cell>
          <cell r="F110">
            <v>603.20699999999999</v>
          </cell>
          <cell r="G110">
            <v>614.81600000000003</v>
          </cell>
          <cell r="H110">
            <v>607.43100000000004</v>
          </cell>
          <cell r="I110">
            <v>604.91300000000001</v>
          </cell>
          <cell r="J110">
            <v>584.91399999999999</v>
          </cell>
          <cell r="K110">
            <v>570.50099999999998</v>
          </cell>
          <cell r="L110">
            <v>556.91399999999999</v>
          </cell>
          <cell r="M110">
            <v>553.69600000000003</v>
          </cell>
          <cell r="N110">
            <v>534.83100000000002</v>
          </cell>
          <cell r="O110">
            <v>555.471</v>
          </cell>
          <cell r="P110">
            <v>518.41599999999994</v>
          </cell>
          <cell r="Q110">
            <v>518.50099999999998</v>
          </cell>
          <cell r="R110">
            <v>475.35315384615399</v>
          </cell>
          <cell r="S110">
            <v>553.99184615384604</v>
          </cell>
          <cell r="T110">
            <v>623.21329230769197</v>
          </cell>
          <cell r="U110">
            <v>563</v>
          </cell>
          <cell r="V110">
            <v>591</v>
          </cell>
          <cell r="W110">
            <v>587</v>
          </cell>
          <cell r="X110">
            <v>512</v>
          </cell>
          <cell r="Y110">
            <v>1013</v>
          </cell>
          <cell r="Z110">
            <v>975</v>
          </cell>
          <cell r="AA110" t="str">
            <v/>
          </cell>
          <cell r="AB110">
            <v>1109.172</v>
          </cell>
          <cell r="AC110">
            <v>1120.9770000000001</v>
          </cell>
          <cell r="AD110">
            <v>1251.2719999999999</v>
          </cell>
          <cell r="AE110">
            <v>1204.2570000000001</v>
          </cell>
          <cell r="AF110">
            <v>1114.6780000000001</v>
          </cell>
          <cell r="AG110">
            <v>1813.221</v>
          </cell>
          <cell r="AH110">
            <v>2461.67</v>
          </cell>
          <cell r="AI110">
            <v>2367.759</v>
          </cell>
          <cell r="AJ110">
            <v>2200.9120000000003</v>
          </cell>
          <cell r="AK110">
            <v>2066.2620000000002</v>
          </cell>
          <cell r="AL110">
            <v>2303</v>
          </cell>
          <cell r="AM110"/>
          <cell r="AN110"/>
        </row>
        <row r="111">
          <cell r="A111" t="str">
            <v>EBITDA Margin (T12M)</v>
          </cell>
          <cell r="B111" t="str">
            <v>EBITDA_MARGIN</v>
          </cell>
          <cell r="C111" t="str">
            <v>EQY_FUND_RELATIVE_PERIOD</v>
          </cell>
          <cell r="F111">
            <v>46.126978241691631</v>
          </cell>
          <cell r="G111">
            <v>46.951169387700993</v>
          </cell>
          <cell r="H111">
            <v>47.51651692355356</v>
          </cell>
          <cell r="I111">
            <v>47.645641317393206</v>
          </cell>
          <cell r="J111">
            <v>47.646357930899882</v>
          </cell>
          <cell r="K111">
            <v>47.24318530491616</v>
          </cell>
          <cell r="L111">
            <v>46.820583953552045</v>
          </cell>
          <cell r="M111">
            <v>46.425891183910686</v>
          </cell>
          <cell r="N111">
            <v>46.033495645815329</v>
          </cell>
          <cell r="O111">
            <v>46.222343190573881</v>
          </cell>
          <cell r="P111">
            <v>45.908922416886149</v>
          </cell>
          <cell r="Q111">
            <v>45.580418765285643</v>
          </cell>
          <cell r="R111">
            <v>44.731573797648522</v>
          </cell>
          <cell r="S111">
            <v>43.295260964402217</v>
          </cell>
          <cell r="T111">
            <v>43.51305059857755</v>
          </cell>
          <cell r="U111">
            <v>42.523650191436637</v>
          </cell>
          <cell r="V111">
            <v>42.437205625057004</v>
          </cell>
          <cell r="W111">
            <v>42.399807968215427</v>
          </cell>
          <cell r="X111">
            <v>40.521582733812949</v>
          </cell>
          <cell r="Y111">
            <v>39.75</v>
          </cell>
          <cell r="Z111">
            <v>39.075949367088612</v>
          </cell>
          <cell r="AA111" t="str">
            <v/>
          </cell>
          <cell r="AB111">
            <v>54.99005721747848</v>
          </cell>
          <cell r="AC111">
            <v>55.346858124971924</v>
          </cell>
          <cell r="AD111">
            <v>54.688103006317704</v>
          </cell>
          <cell r="AE111">
            <v>53.833138580020368</v>
          </cell>
          <cell r="AF111">
            <v>52.63143481212942</v>
          </cell>
          <cell r="AG111">
            <v>47.745554846057125</v>
          </cell>
          <cell r="AH111">
            <v>46.951169387701</v>
          </cell>
          <cell r="AI111">
            <v>47.24318530491616</v>
          </cell>
          <cell r="AJ111">
            <v>46.222343190573881</v>
          </cell>
          <cell r="AK111">
            <v>43.295260964402239</v>
          </cell>
          <cell r="AL111">
            <v>41.30200860832138</v>
          </cell>
          <cell r="AM111"/>
          <cell r="AN111"/>
        </row>
        <row r="112">
          <cell r="A112" t="str">
            <v>Gross Margin</v>
          </cell>
          <cell r="B112" t="str">
            <v>GROSS_MARGIN</v>
          </cell>
          <cell r="C112" t="str">
            <v>EQY_FUND_RELATIVE_PERIOD</v>
          </cell>
          <cell r="F112">
            <v>90.709011037702012</v>
          </cell>
          <cell r="G112">
            <v>90.583500629699358</v>
          </cell>
          <cell r="H112">
            <v>90.886113682855779</v>
          </cell>
          <cell r="I112">
            <v>90.829749828603482</v>
          </cell>
          <cell r="J112">
            <v>91.852013902140499</v>
          </cell>
          <cell r="K112">
            <v>91.19429347054448</v>
          </cell>
          <cell r="L112">
            <v>90.924310351121136</v>
          </cell>
          <cell r="M112">
            <v>91.002853343838424</v>
          </cell>
          <cell r="N112">
            <v>91.229483716056478</v>
          </cell>
          <cell r="O112">
            <v>90.629540423376071</v>
          </cell>
          <cell r="P112">
            <v>90.720300577273349</v>
          </cell>
          <cell r="Q112">
            <v>90.741110379903517</v>
          </cell>
          <cell r="R112">
            <v>90.545318764385897</v>
          </cell>
          <cell r="S112">
            <v>89.159403294733167</v>
          </cell>
          <cell r="T112">
            <v>88.694383661560906</v>
          </cell>
          <cell r="U112">
            <v>88.230994152046776</v>
          </cell>
          <cell r="V112">
            <v>88.834269662921344</v>
          </cell>
          <cell r="W112">
            <v>88.322717622080688</v>
          </cell>
          <cell r="X112">
            <v>88.191881918819192</v>
          </cell>
          <cell r="Y112">
            <v>82.630368098159508</v>
          </cell>
          <cell r="Z112">
            <v>82.567353407290014</v>
          </cell>
          <cell r="AA112" t="str">
            <v/>
          </cell>
          <cell r="AB112">
            <v>92.22514564651884</v>
          </cell>
          <cell r="AC112">
            <v>91.544890382829379</v>
          </cell>
          <cell r="AD112">
            <v>90.024453511012823</v>
          </cell>
          <cell r="AE112">
            <v>90.075493357675256</v>
          </cell>
          <cell r="AF112">
            <v>89.333413286972814</v>
          </cell>
          <cell r="AG112">
            <v>89.897002771432525</v>
          </cell>
          <cell r="AH112">
            <v>90.107233528315518</v>
          </cell>
          <cell r="AI112">
            <v>91.189127055402466</v>
          </cell>
          <cell r="AJ112">
            <v>90.946841969969611</v>
          </cell>
          <cell r="AK112">
            <v>90.248381871936871</v>
          </cell>
          <cell r="AL112">
            <v>88.522238163558114</v>
          </cell>
          <cell r="AM112"/>
          <cell r="AN112"/>
        </row>
        <row r="113">
          <cell r="A113" t="str">
            <v>Operating Margin</v>
          </cell>
          <cell r="B113" t="str">
            <v>OPER_MARGIN</v>
          </cell>
          <cell r="C113" t="str">
            <v>EQY_FUND_RELATIVE_PERIOD</v>
          </cell>
          <cell r="F113">
            <v>19.466450389987443</v>
          </cell>
          <cell r="G113">
            <v>21.337378580246146</v>
          </cell>
          <cell r="H113">
            <v>19.725579510020864</v>
          </cell>
          <cell r="I113">
            <v>23.66312698754426</v>
          </cell>
          <cell r="J113">
            <v>22.874657975566659</v>
          </cell>
          <cell r="K113">
            <v>21.61829957819258</v>
          </cell>
          <cell r="L113">
            <v>21.008780516942153</v>
          </cell>
          <cell r="M113">
            <v>21.490122491354715</v>
          </cell>
          <cell r="N113">
            <v>21.018697723234546</v>
          </cell>
          <cell r="O113">
            <v>23.144965684459695</v>
          </cell>
          <cell r="P113">
            <v>20.537222952984539</v>
          </cell>
          <cell r="Q113">
            <v>21.358448135347981</v>
          </cell>
          <cell r="R113">
            <v>18.797531878731043</v>
          </cell>
          <cell r="S113">
            <v>17.350671173441125</v>
          </cell>
          <cell r="T113">
            <v>20.584485215732457</v>
          </cell>
          <cell r="U113">
            <v>16.666666666666664</v>
          </cell>
          <cell r="V113">
            <v>18.679775280898877</v>
          </cell>
          <cell r="W113">
            <v>18.966737438075018</v>
          </cell>
          <cell r="X113">
            <v>14.464944649446496</v>
          </cell>
          <cell r="Y113">
            <v>16.794478527607364</v>
          </cell>
          <cell r="Z113">
            <v>15.729001584786054</v>
          </cell>
          <cell r="AA113" t="str">
            <v/>
          </cell>
          <cell r="AB113">
            <v>29.199604767577853</v>
          </cell>
          <cell r="AC113">
            <v>31.82089961967387</v>
          </cell>
          <cell r="AD113">
            <v>30.830916755353442</v>
          </cell>
          <cell r="AE113">
            <v>28.719304002024121</v>
          </cell>
          <cell r="AF113">
            <v>30.137816151327691</v>
          </cell>
          <cell r="AG113">
            <v>24.21223511753902</v>
          </cell>
          <cell r="AH113">
            <v>20.188562252874902</v>
          </cell>
          <cell r="AI113">
            <v>21.966965112504298</v>
          </cell>
          <cell r="AJ113">
            <v>21.661147485622408</v>
          </cell>
          <cell r="AK113">
            <v>19.430527879576491</v>
          </cell>
          <cell r="AL113">
            <v>17.629124820659971</v>
          </cell>
          <cell r="AM113"/>
          <cell r="AN113"/>
        </row>
        <row r="114">
          <cell r="A114" t="str">
            <v>Profit Margin</v>
          </cell>
          <cell r="B114" t="str">
            <v>PROF_MARGIN</v>
          </cell>
          <cell r="C114" t="str">
            <v>EQY_FUND_RELATIVE_PERIOD</v>
          </cell>
          <cell r="F114">
            <v>3.8870659264302962</v>
          </cell>
          <cell r="G114">
            <v>5.3185904709652476</v>
          </cell>
          <cell r="H114">
            <v>4.1569089329003335</v>
          </cell>
          <cell r="I114">
            <v>5.9831090018327311</v>
          </cell>
          <cell r="J114">
            <v>5.3316289664654377</v>
          </cell>
          <cell r="K114">
            <v>4.7013799812259593</v>
          </cell>
          <cell r="L114">
            <v>4.0498724070761805</v>
          </cell>
          <cell r="M114">
            <v>5.1488702959094796</v>
          </cell>
          <cell r="N114">
            <v>4.7641987786831441</v>
          </cell>
          <cell r="O114">
            <v>6.0542084720964384</v>
          </cell>
          <cell r="P114">
            <v>3.7705602722941718</v>
          </cell>
          <cell r="Q114">
            <v>4.2667561548552424</v>
          </cell>
          <cell r="R114">
            <v>4.176710136263952</v>
          </cell>
          <cell r="S114">
            <v>2.7061463348630577</v>
          </cell>
          <cell r="T114">
            <v>4.4338905908096287</v>
          </cell>
          <cell r="U114">
            <v>1.9736842105263157</v>
          </cell>
          <cell r="V114">
            <v>2.503511235955056</v>
          </cell>
          <cell r="W114">
            <v>3.9631988676574665</v>
          </cell>
          <cell r="X114">
            <v>1.033210332103321</v>
          </cell>
          <cell r="Y114">
            <v>1.2269938650306749</v>
          </cell>
          <cell r="Z114">
            <v>0.33874801901743268</v>
          </cell>
          <cell r="AA114" t="str">
            <v/>
          </cell>
          <cell r="AB114">
            <v>10.033261594583353</v>
          </cell>
          <cell r="AC114">
            <v>17.01197856980982</v>
          </cell>
          <cell r="AD114">
            <v>9.3816692635319257</v>
          </cell>
          <cell r="AE114">
            <v>8.1653343871171344</v>
          </cell>
          <cell r="AF114">
            <v>7.9398850933993872</v>
          </cell>
          <cell r="AG114">
            <v>6.3965900188931375</v>
          </cell>
          <cell r="AH114">
            <v>4.7160675584770138</v>
          </cell>
          <cell r="AI114">
            <v>5.0807755135675361</v>
          </cell>
          <cell r="AJ114">
            <v>4.9995421683913053</v>
          </cell>
          <cell r="AK114">
            <v>3.8910086768123144</v>
          </cell>
          <cell r="AL114">
            <v>2.5107604017216643</v>
          </cell>
          <cell r="AM114"/>
          <cell r="AN114"/>
        </row>
        <row r="115">
          <cell r="A115" t="str">
            <v>Current Profit</v>
          </cell>
          <cell r="B115" t="str">
            <v>CUR_PROFIT_JAPAN</v>
          </cell>
          <cell r="C115" t="str">
            <v>EQY_FUND_RELATIVE_PERIOD</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t="str">
            <v/>
          </cell>
          <cell r="AB115">
            <v>0</v>
          </cell>
          <cell r="AC115">
            <v>0</v>
          </cell>
          <cell r="AD115">
            <v>0</v>
          </cell>
          <cell r="AE115">
            <v>0</v>
          </cell>
          <cell r="AF115">
            <v>0</v>
          </cell>
          <cell r="AG115">
            <v>0</v>
          </cell>
          <cell r="AH115">
            <v>0</v>
          </cell>
          <cell r="AI115">
            <v>0</v>
          </cell>
          <cell r="AJ115">
            <v>0</v>
          </cell>
          <cell r="AK115">
            <v>0</v>
          </cell>
          <cell r="AL115">
            <v>0</v>
          </cell>
        </row>
        <row r="116">
          <cell r="A116" t="str">
            <v>Sales per Employee</v>
          </cell>
          <cell r="B116" t="str">
            <v>ACTUAL_SALES_PER_EMPL</v>
          </cell>
          <cell r="C116" t="str">
            <v>EQY_FUND_RELATIVE_PERIOD</v>
          </cell>
          <cell r="F116">
            <v>84651.737704918036</v>
          </cell>
          <cell r="G116">
            <v>83321.558441558445</v>
          </cell>
          <cell r="H116">
            <v>81809.93548387097</v>
          </cell>
          <cell r="I116">
            <v>82273.006535947716</v>
          </cell>
          <cell r="J116">
            <v>82129.114754098366</v>
          </cell>
          <cell r="K116">
            <v>83847.14285714287</v>
          </cell>
          <cell r="L116">
            <v>83708.055555555547</v>
          </cell>
          <cell r="M116">
            <v>84434.964539007095</v>
          </cell>
          <cell r="N116">
            <v>85271.798561151081</v>
          </cell>
          <cell r="O116">
            <v>86473.919413919415</v>
          </cell>
          <cell r="P116">
            <v>84236.934306569354</v>
          </cell>
          <cell r="Q116">
            <v>82477.713874910143</v>
          </cell>
          <cell r="R116">
            <v>78680.965517241377</v>
          </cell>
          <cell r="S116">
            <v>76454.310344827594</v>
          </cell>
          <cell r="T116">
            <v>77022.471910112363</v>
          </cell>
          <cell r="U116">
            <v>75164.835164835153</v>
          </cell>
          <cell r="V116">
            <v>76559.139784946237</v>
          </cell>
          <cell r="W116">
            <v>73593.75</v>
          </cell>
          <cell r="X116">
            <v>66369.514106583068</v>
          </cell>
          <cell r="Y116">
            <v>86049.887818397779</v>
          </cell>
          <cell r="Z116">
            <v>83141.18189604058</v>
          </cell>
          <cell r="AA116" t="str">
            <v/>
          </cell>
          <cell r="AB116">
            <v>330499.91807307885</v>
          </cell>
          <cell r="AC116">
            <v>371899.92655159748</v>
          </cell>
          <cell r="AD116">
            <v>387799.15254237287</v>
          </cell>
          <cell r="AE116">
            <v>394466.23170516663</v>
          </cell>
          <cell r="AF116">
            <v>392202.59259259253</v>
          </cell>
          <cell r="AG116">
            <v>256599.66216216219</v>
          </cell>
          <cell r="AH116">
            <v>340457.33766233764</v>
          </cell>
          <cell r="AI116">
            <v>340942.38095238095</v>
          </cell>
          <cell r="AJ116">
            <v>348833.40659340663</v>
          </cell>
          <cell r="AK116">
            <v>274281.03448275861</v>
          </cell>
          <cell r="AL116">
            <v>290416.66666666663</v>
          </cell>
        </row>
        <row r="117">
          <cell r="A117" t="str">
            <v>Dividends per Share</v>
          </cell>
          <cell r="B117" t="str">
            <v>EQY_DPS</v>
          </cell>
          <cell r="C117" t="str">
            <v>EQY_FUND_RELATIVE_PERIOD</v>
          </cell>
          <cell r="F117">
            <v>0.1875</v>
          </cell>
          <cell r="G117">
            <v>0.1875</v>
          </cell>
          <cell r="H117">
            <v>0.1</v>
          </cell>
          <cell r="I117">
            <v>0.1</v>
          </cell>
          <cell r="J117">
            <v>0.1</v>
          </cell>
          <cell r="K117">
            <v>0.1</v>
          </cell>
          <cell r="L117">
            <v>0.1</v>
          </cell>
          <cell r="M117">
            <v>0.1</v>
          </cell>
          <cell r="N117">
            <v>0.1</v>
          </cell>
          <cell r="O117">
            <v>0.1</v>
          </cell>
          <cell r="P117">
            <v>0.1</v>
          </cell>
          <cell r="Q117">
            <v>0.1</v>
          </cell>
          <cell r="R117">
            <v>0.1</v>
          </cell>
          <cell r="S117">
            <v>0.1</v>
          </cell>
          <cell r="T117">
            <v>0.1</v>
          </cell>
          <cell r="U117">
            <v>0.105</v>
          </cell>
          <cell r="V117">
            <v>0.105</v>
          </cell>
          <cell r="W117">
            <v>0.105</v>
          </cell>
          <cell r="X117">
            <v>0.105</v>
          </cell>
          <cell r="Y117">
            <v>0.105</v>
          </cell>
          <cell r="Z117">
            <v>0.105</v>
          </cell>
          <cell r="AA117" t="str">
            <v/>
          </cell>
          <cell r="AB117">
            <v>1</v>
          </cell>
          <cell r="AC117">
            <v>1</v>
          </cell>
          <cell r="AD117">
            <v>1</v>
          </cell>
          <cell r="AE117">
            <v>1</v>
          </cell>
          <cell r="AF117">
            <v>1</v>
          </cell>
          <cell r="AG117">
            <v>0.875</v>
          </cell>
          <cell r="AH117">
            <v>0.75</v>
          </cell>
          <cell r="AI117">
            <v>0.4</v>
          </cell>
          <cell r="AJ117">
            <v>0.4</v>
          </cell>
          <cell r="AK117">
            <v>0.4</v>
          </cell>
          <cell r="AL117">
            <v>0.42</v>
          </cell>
        </row>
        <row r="118">
          <cell r="A118" t="str">
            <v>Total Cash Common Dividends</v>
          </cell>
          <cell r="B118" t="str">
            <v>IS_TOT_CASH_COM_DVD</v>
          </cell>
          <cell r="C118" t="str">
            <v>EQY_FUND_RELATIVE_PERIOD</v>
          </cell>
          <cell r="F118">
            <v>186.58799999999999</v>
          </cell>
          <cell r="G118">
            <v>186.584</v>
          </cell>
          <cell r="H118">
            <v>99.850999999999999</v>
          </cell>
          <cell r="I118">
            <v>99.850999999999999</v>
          </cell>
          <cell r="J118">
            <v>99.844999999999999</v>
          </cell>
          <cell r="K118">
            <v>99.842999999999989</v>
          </cell>
          <cell r="L118">
            <v>99.811999999999998</v>
          </cell>
          <cell r="M118">
            <v>99.261099999999999</v>
          </cell>
          <cell r="N118">
            <v>99.955999999999989</v>
          </cell>
          <cell r="O118">
            <v>99.945999999999998</v>
          </cell>
          <cell r="P118">
            <v>100.22799999999999</v>
          </cell>
          <cell r="Q118">
            <v>100.20899999999999</v>
          </cell>
          <cell r="R118">
            <v>100.208</v>
          </cell>
          <cell r="S118">
            <v>100.247</v>
          </cell>
          <cell r="T118">
            <v>105</v>
          </cell>
          <cell r="U118">
            <v>106</v>
          </cell>
          <cell r="V118">
            <v>121.92673499999999</v>
          </cell>
          <cell r="W118">
            <v>123</v>
          </cell>
          <cell r="X118">
            <v>122.224305</v>
          </cell>
          <cell r="Y118">
            <v>123</v>
          </cell>
          <cell r="Z118">
            <v>124</v>
          </cell>
          <cell r="AA118" t="str">
            <v/>
          </cell>
          <cell r="AB118">
            <v>338.36399999999998</v>
          </cell>
          <cell r="AC118">
            <v>323.67099999999999</v>
          </cell>
          <cell r="AD118">
            <v>336.02499999999998</v>
          </cell>
          <cell r="AE118">
            <v>318.43700000000001</v>
          </cell>
          <cell r="AF118">
            <v>312.36599999999999</v>
          </cell>
          <cell r="AG118">
            <v>529.38900000000001</v>
          </cell>
          <cell r="AH118">
            <v>746.38699999999994</v>
          </cell>
          <cell r="AI118">
            <v>399.39</v>
          </cell>
          <cell r="AJ118">
            <v>399.76799999999997</v>
          </cell>
          <cell r="AK118">
            <v>400.892</v>
          </cell>
          <cell r="AL118">
            <v>456</v>
          </cell>
        </row>
        <row r="119">
          <cell r="A119" t="str">
            <v>Tot cash pref. dvd</v>
          </cell>
          <cell r="B119" t="str">
            <v>IS_TOT_CASH_PFD_DVD</v>
          </cell>
          <cell r="C119" t="str">
            <v>EQY_FUND_RELATIVE_PERIOD</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67</v>
          </cell>
          <cell r="W119">
            <v>53</v>
          </cell>
          <cell r="X119">
            <v>54</v>
          </cell>
          <cell r="Y119">
            <v>53</v>
          </cell>
          <cell r="Z119">
            <v>54</v>
          </cell>
          <cell r="AA119" t="str">
            <v/>
          </cell>
          <cell r="AB119">
            <v>0</v>
          </cell>
          <cell r="AC119">
            <v>0</v>
          </cell>
          <cell r="AD119">
            <v>0</v>
          </cell>
          <cell r="AE119">
            <v>0</v>
          </cell>
          <cell r="AF119">
            <v>0</v>
          </cell>
          <cell r="AG119">
            <v>0</v>
          </cell>
          <cell r="AH119">
            <v>0</v>
          </cell>
          <cell r="AI119">
            <v>0</v>
          </cell>
          <cell r="AJ119">
            <v>0</v>
          </cell>
          <cell r="AK119">
            <v>0</v>
          </cell>
          <cell r="AL119">
            <v>120</v>
          </cell>
        </row>
        <row r="120">
          <cell r="A120" t="str">
            <v>Capitalized Interest Expense</v>
          </cell>
          <cell r="B120" t="str">
            <v>IS_CAP_INT_EXP</v>
          </cell>
          <cell r="C120" t="str">
            <v>EQY_FUND_RELATIVE_PERIOD</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t="str">
            <v/>
          </cell>
          <cell r="AB120">
            <v>0</v>
          </cell>
          <cell r="AC120">
            <v>0</v>
          </cell>
          <cell r="AD120">
            <v>5.7139999999999995</v>
          </cell>
          <cell r="AE120">
            <v>5.5919999999999996</v>
          </cell>
          <cell r="AF120">
            <v>3.4279999999999999</v>
          </cell>
          <cell r="AG120">
            <v>3.7489999999999997</v>
          </cell>
          <cell r="AH120">
            <v>8.4139999999999997</v>
          </cell>
          <cell r="AI120">
            <v>2.2029999999999998</v>
          </cell>
          <cell r="AJ120">
            <v>2.7229999999999999</v>
          </cell>
          <cell r="AK120">
            <v>2.968</v>
          </cell>
          <cell r="AL120">
            <v>4</v>
          </cell>
        </row>
        <row r="121">
          <cell r="A121" t="str">
            <v>Personnel Expense</v>
          </cell>
          <cell r="B121" t="str">
            <v>IS_PERSONNEL_EXP</v>
          </cell>
          <cell r="C121" t="str">
            <v>EQY_FUND_RELATIVE_PERIOD</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t="str">
            <v/>
          </cell>
          <cell r="AB121">
            <v>0</v>
          </cell>
          <cell r="AC121">
            <v>0</v>
          </cell>
          <cell r="AD121">
            <v>0</v>
          </cell>
          <cell r="AE121">
            <v>0</v>
          </cell>
          <cell r="AF121">
            <v>0</v>
          </cell>
          <cell r="AG121">
            <v>0</v>
          </cell>
          <cell r="AH121">
            <v>0</v>
          </cell>
          <cell r="AI121">
            <v>0</v>
          </cell>
          <cell r="AJ121">
            <v>0</v>
          </cell>
          <cell r="AK121">
            <v>0</v>
          </cell>
          <cell r="AL121">
            <v>0</v>
          </cell>
        </row>
        <row r="122">
          <cell r="A122" t="str">
            <v>Export sales</v>
          </cell>
          <cell r="B122" t="str">
            <v>IS_EXPORT_SALES</v>
          </cell>
          <cell r="C122" t="str">
            <v>EQY_FUND_RELATIVE_PERIOD</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t="str">
            <v/>
          </cell>
          <cell r="AB122">
            <v>0</v>
          </cell>
          <cell r="AC122">
            <v>0</v>
          </cell>
          <cell r="AD122">
            <v>0</v>
          </cell>
          <cell r="AE122">
            <v>0</v>
          </cell>
          <cell r="AF122">
            <v>0</v>
          </cell>
          <cell r="AG122">
            <v>0</v>
          </cell>
          <cell r="AH122">
            <v>0</v>
          </cell>
          <cell r="AI122">
            <v>0</v>
          </cell>
          <cell r="AJ122">
            <v>0</v>
          </cell>
          <cell r="AK122">
            <v>0</v>
          </cell>
          <cell r="AL122">
            <v>0</v>
          </cell>
        </row>
        <row r="123">
          <cell r="A123" t="str">
            <v>Depreciation Expense</v>
          </cell>
          <cell r="B123" t="str">
            <v>IS_DEPR_EXP</v>
          </cell>
          <cell r="C123" t="str">
            <v>EQY_FUND_RELATIVE_PERIOD</v>
          </cell>
          <cell r="F123">
            <v>226.702</v>
          </cell>
          <cell r="G123">
            <v>210.31</v>
          </cell>
          <cell r="H123">
            <v>210.346</v>
          </cell>
          <cell r="I123">
            <v>208.53</v>
          </cell>
          <cell r="J123">
            <v>209.947</v>
          </cell>
          <cell r="K123">
            <v>215.81799999999998</v>
          </cell>
          <cell r="L123">
            <v>216.654</v>
          </cell>
          <cell r="M123">
            <v>210.828</v>
          </cell>
          <cell r="N123">
            <v>208.71899999999999</v>
          </cell>
          <cell r="O123">
            <v>205.25399999999999</v>
          </cell>
          <cell r="P123">
            <v>205.51599999999999</v>
          </cell>
          <cell r="Q123">
            <v>197.572</v>
          </cell>
          <cell r="R123">
            <v>195.04399999999998</v>
          </cell>
          <cell r="S123">
            <v>199.32</v>
          </cell>
          <cell r="T123">
            <v>198</v>
          </cell>
          <cell r="U123">
            <v>247</v>
          </cell>
          <cell r="V123">
            <v>245</v>
          </cell>
          <cell r="W123">
            <v>242</v>
          </cell>
          <cell r="X123">
            <v>240</v>
          </cell>
          <cell r="Y123">
            <v>446</v>
          </cell>
          <cell r="Z123">
            <v>323</v>
          </cell>
          <cell r="AA123" t="str">
            <v/>
          </cell>
          <cell r="AB123">
            <v>393.82599999999996</v>
          </cell>
          <cell r="AC123">
            <v>350.10699999999997</v>
          </cell>
          <cell r="AD123">
            <v>374.435</v>
          </cell>
          <cell r="AE123">
            <v>379.49</v>
          </cell>
          <cell r="AF123">
            <v>362.22800000000001</v>
          </cell>
          <cell r="AG123">
            <v>599.66199999999992</v>
          </cell>
          <cell r="AH123">
            <v>881.48099999999999</v>
          </cell>
          <cell r="AI123">
            <v>844.64099999999996</v>
          </cell>
          <cell r="AJ123">
            <v>841.45499999999993</v>
          </cell>
          <cell r="AK123">
            <v>797.452</v>
          </cell>
          <cell r="AL123">
            <v>983</v>
          </cell>
        </row>
        <row r="124">
          <cell r="A124" t="str">
            <v>Rental Expense</v>
          </cell>
          <cell r="B124" t="str">
            <v>BS_CURR_RENTAL_EXPENSE</v>
          </cell>
          <cell r="C124" t="str">
            <v>EQY_FUND_RELATIVE_PERIOD</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t="str">
            <v/>
          </cell>
          <cell r="AB124">
            <v>16.858999999999998</v>
          </cell>
          <cell r="AC124">
            <v>16.280999999999999</v>
          </cell>
          <cell r="AD124">
            <v>23.599999999999998</v>
          </cell>
          <cell r="AE124">
            <v>24.299999999999997</v>
          </cell>
          <cell r="AF124">
            <v>25.9</v>
          </cell>
          <cell r="AG124">
            <v>48.5</v>
          </cell>
          <cell r="AH124">
            <v>70.2</v>
          </cell>
          <cell r="AI124">
            <v>79.3</v>
          </cell>
          <cell r="AJ124">
            <v>84.399999999999991</v>
          </cell>
          <cell r="AK124">
            <v>100</v>
          </cell>
          <cell r="AL124">
            <v>119</v>
          </cell>
        </row>
        <row r="125">
          <cell r="F125" t="str">
            <v/>
          </cell>
          <cell r="G125" t="str">
            <v/>
          </cell>
          <cell r="H125" t="str">
            <v/>
          </cell>
          <cell r="I125" t="str">
            <v/>
          </cell>
          <cell r="J125" t="str">
            <v/>
          </cell>
          <cell r="K125" t="str">
            <v/>
          </cell>
          <cell r="L125" t="str">
            <v/>
          </cell>
          <cell r="M125" t="str">
            <v/>
          </cell>
          <cell r="N125" t="str">
            <v/>
          </cell>
          <cell r="O125" t="str">
            <v/>
          </cell>
          <cell r="P125" t="str">
            <v/>
          </cell>
          <cell r="Q125" t="str">
            <v/>
          </cell>
          <cell r="R125" t="str">
            <v/>
          </cell>
          <cell r="S125" t="str">
            <v/>
          </cell>
          <cell r="T125" t="str">
            <v/>
          </cell>
          <cell r="U125" t="str">
            <v/>
          </cell>
          <cell r="V125" t="str">
            <v/>
          </cell>
          <cell r="W125" t="str">
            <v/>
          </cell>
          <cell r="X125" t="str">
            <v/>
          </cell>
          <cell r="Y125" t="str">
            <v/>
          </cell>
          <cell r="Z125" t="str">
            <v/>
          </cell>
          <cell r="AA125" t="str">
            <v/>
          </cell>
          <cell r="AB125" t="str">
            <v/>
          </cell>
          <cell r="AC125" t="str">
            <v/>
          </cell>
          <cell r="AD125" t="str">
            <v/>
          </cell>
          <cell r="AE125" t="str">
            <v/>
          </cell>
          <cell r="AF125" t="str">
            <v/>
          </cell>
          <cell r="AG125" t="str">
            <v/>
          </cell>
          <cell r="AH125" t="str">
            <v/>
          </cell>
          <cell r="AI125" t="str">
            <v/>
          </cell>
          <cell r="AJ125" t="str">
            <v/>
          </cell>
          <cell r="AK125" t="str">
            <v/>
          </cell>
          <cell r="AL125" t="str">
            <v/>
          </cell>
        </row>
        <row r="126">
          <cell r="F126" t="str">
            <v/>
          </cell>
          <cell r="G126" t="str">
            <v/>
          </cell>
          <cell r="H126" t="str">
            <v/>
          </cell>
          <cell r="I126" t="str">
            <v/>
          </cell>
          <cell r="J126" t="str">
            <v/>
          </cell>
          <cell r="K126" t="str">
            <v/>
          </cell>
          <cell r="L126" t="str">
            <v/>
          </cell>
          <cell r="M126" t="str">
            <v/>
          </cell>
          <cell r="N126" t="str">
            <v/>
          </cell>
          <cell r="O126" t="str">
            <v/>
          </cell>
          <cell r="P126" t="str">
            <v/>
          </cell>
          <cell r="Q126" t="str">
            <v/>
          </cell>
          <cell r="R126" t="str">
            <v/>
          </cell>
          <cell r="S126" t="str">
            <v/>
          </cell>
          <cell r="T126" t="str">
            <v/>
          </cell>
          <cell r="U126" t="str">
            <v/>
          </cell>
          <cell r="V126" t="str">
            <v/>
          </cell>
          <cell r="W126" t="str">
            <v/>
          </cell>
          <cell r="X126" t="str">
            <v/>
          </cell>
          <cell r="Y126" t="str">
            <v/>
          </cell>
          <cell r="Z126" t="str">
            <v/>
          </cell>
          <cell r="AA126" t="str">
            <v/>
          </cell>
          <cell r="AB126" t="str">
            <v/>
          </cell>
          <cell r="AC126" t="str">
            <v/>
          </cell>
          <cell r="AD126" t="str">
            <v/>
          </cell>
          <cell r="AE126" t="str">
            <v/>
          </cell>
          <cell r="AF126" t="str">
            <v/>
          </cell>
          <cell r="AG126" t="str">
            <v/>
          </cell>
          <cell r="AH126" t="str">
            <v/>
          </cell>
          <cell r="AI126" t="str">
            <v/>
          </cell>
          <cell r="AJ126" t="str">
            <v/>
          </cell>
          <cell r="AK126" t="str">
            <v/>
          </cell>
          <cell r="AL126" t="str">
            <v/>
          </cell>
        </row>
        <row r="127">
          <cell r="A127" t="str">
            <v>BALANCE SHEET</v>
          </cell>
          <cell r="B127"/>
          <cell r="C127"/>
          <cell r="D127"/>
          <cell r="E127"/>
          <cell r="F127" t="str">
            <v/>
          </cell>
          <cell r="G127" t="str">
            <v/>
          </cell>
          <cell r="H127" t="str">
            <v/>
          </cell>
          <cell r="I127" t="str">
            <v/>
          </cell>
          <cell r="J127" t="str">
            <v/>
          </cell>
          <cell r="K127" t="str">
            <v/>
          </cell>
          <cell r="L127" t="str">
            <v/>
          </cell>
          <cell r="M127" t="str">
            <v/>
          </cell>
          <cell r="N127" t="str">
            <v/>
          </cell>
          <cell r="O127" t="str">
            <v/>
          </cell>
          <cell r="P127" t="str">
            <v/>
          </cell>
          <cell r="Q127" t="str">
            <v/>
          </cell>
          <cell r="R127" t="str">
            <v/>
          </cell>
          <cell r="S127" t="str">
            <v/>
          </cell>
          <cell r="T127" t="str">
            <v/>
          </cell>
          <cell r="U127" t="str">
            <v/>
          </cell>
          <cell r="V127" t="str">
            <v/>
          </cell>
          <cell r="W127" t="str">
            <v/>
          </cell>
          <cell r="X127" t="str">
            <v/>
          </cell>
          <cell r="Y127" t="str">
            <v/>
          </cell>
          <cell r="Z127" t="str">
            <v/>
          </cell>
          <cell r="AA127" t="str">
            <v/>
          </cell>
          <cell r="AB127" t="str">
            <v/>
          </cell>
          <cell r="AC127" t="str">
            <v/>
          </cell>
          <cell r="AD127" t="str">
            <v/>
          </cell>
          <cell r="AE127" t="str">
            <v/>
          </cell>
          <cell r="AF127" t="str">
            <v/>
          </cell>
          <cell r="AG127" t="str">
            <v/>
          </cell>
          <cell r="AH127" t="str">
            <v/>
          </cell>
          <cell r="AI127" t="str">
            <v/>
          </cell>
          <cell r="AJ127" t="str">
            <v/>
          </cell>
          <cell r="AK127" t="str">
            <v/>
          </cell>
          <cell r="AL127" t="str">
            <v/>
          </cell>
          <cell r="AM127"/>
          <cell r="AN127"/>
        </row>
        <row r="128">
          <cell r="A128"/>
          <cell r="F128" t="str">
            <v/>
          </cell>
          <cell r="G128" t="str">
            <v/>
          </cell>
          <cell r="H128" t="str">
            <v/>
          </cell>
          <cell r="I128" t="str">
            <v/>
          </cell>
          <cell r="J128" t="str">
            <v/>
          </cell>
          <cell r="K128" t="str">
            <v/>
          </cell>
          <cell r="L128" t="str">
            <v/>
          </cell>
          <cell r="M128" t="str">
            <v/>
          </cell>
          <cell r="N128" t="str">
            <v/>
          </cell>
          <cell r="O128" t="str">
            <v/>
          </cell>
          <cell r="P128" t="str">
            <v/>
          </cell>
          <cell r="Q128" t="str">
            <v/>
          </cell>
          <cell r="R128" t="str">
            <v/>
          </cell>
          <cell r="S128" t="str">
            <v/>
          </cell>
          <cell r="T128" t="str">
            <v/>
          </cell>
          <cell r="U128" t="str">
            <v/>
          </cell>
          <cell r="V128" t="str">
            <v/>
          </cell>
          <cell r="W128" t="str">
            <v/>
          </cell>
          <cell r="X128" t="str">
            <v/>
          </cell>
          <cell r="Y128" t="str">
            <v/>
          </cell>
          <cell r="Z128" t="str">
            <v/>
          </cell>
          <cell r="AA128" t="str">
            <v/>
          </cell>
          <cell r="AB128" t="str">
            <v/>
          </cell>
          <cell r="AC128" t="str">
            <v/>
          </cell>
          <cell r="AD128" t="str">
            <v/>
          </cell>
          <cell r="AE128" t="str">
            <v/>
          </cell>
          <cell r="AF128" t="str">
            <v/>
          </cell>
          <cell r="AG128" t="str">
            <v/>
          </cell>
          <cell r="AH128" t="str">
            <v/>
          </cell>
          <cell r="AI128" t="str">
            <v/>
          </cell>
          <cell r="AJ128" t="str">
            <v/>
          </cell>
          <cell r="AK128" t="str">
            <v/>
          </cell>
          <cell r="AL128" t="str">
            <v/>
          </cell>
        </row>
        <row r="129">
          <cell r="A129" t="str">
            <v>Cash, Cash Equivalents &amp; STI</v>
          </cell>
          <cell r="B129" t="str">
            <v>C&amp;CE_AND_STI_DETAILED</v>
          </cell>
          <cell r="C129" t="str">
            <v>EQY_FUND_RELATIVE_PERIOD</v>
          </cell>
          <cell r="F129">
            <v>205.81700000000001</v>
          </cell>
          <cell r="G129">
            <v>326.09399999999999</v>
          </cell>
          <cell r="H129">
            <v>365.81400000000002</v>
          </cell>
          <cell r="I129">
            <v>410.01400000000001</v>
          </cell>
          <cell r="J129">
            <v>1099.489</v>
          </cell>
          <cell r="K129">
            <v>1326.5319999999999</v>
          </cell>
          <cell r="L129">
            <v>875.90899999999999</v>
          </cell>
          <cell r="M129">
            <v>548.63</v>
          </cell>
          <cell r="N129">
            <v>660.99699999999996</v>
          </cell>
          <cell r="O129">
            <v>880.03899999999999</v>
          </cell>
          <cell r="P129">
            <v>954.24099999999999</v>
          </cell>
          <cell r="Q129">
            <v>801.697</v>
          </cell>
          <cell r="R129">
            <v>808.51800000000003</v>
          </cell>
          <cell r="S129">
            <v>682</v>
          </cell>
          <cell r="T129">
            <v>509</v>
          </cell>
          <cell r="U129">
            <v>1246</v>
          </cell>
          <cell r="V129">
            <v>1011</v>
          </cell>
          <cell r="W129">
            <v>936</v>
          </cell>
          <cell r="X129">
            <v>500</v>
          </cell>
          <cell r="Y129">
            <v>683</v>
          </cell>
          <cell r="Z129">
            <v>331</v>
          </cell>
          <cell r="AA129" t="str">
            <v/>
          </cell>
          <cell r="AB129">
            <v>263.74900000000002</v>
          </cell>
          <cell r="AC129">
            <v>1041.106</v>
          </cell>
          <cell r="AD129">
            <v>226.46600000000001</v>
          </cell>
          <cell r="AE129">
            <v>163.62700000000001</v>
          </cell>
          <cell r="AF129">
            <v>358.69299999999998</v>
          </cell>
          <cell r="AG129">
            <v>251.26300000000001</v>
          </cell>
          <cell r="AH129">
            <v>326.09399999999999</v>
          </cell>
          <cell r="AI129">
            <v>1326.5319999999999</v>
          </cell>
          <cell r="AJ129">
            <v>880.03899999999999</v>
          </cell>
          <cell r="AK129">
            <v>682</v>
          </cell>
          <cell r="AL129">
            <v>936</v>
          </cell>
        </row>
        <row r="130">
          <cell r="A130" t="str">
            <v>Cash &amp; Cash Equivalents</v>
          </cell>
          <cell r="B130" t="str">
            <v>BS_CASH_NEAR_CASH_ITEM</v>
          </cell>
          <cell r="C130" t="str">
            <v>EQY_FUND_RELATIVE_PERIOD</v>
          </cell>
          <cell r="F130">
            <v>205.81699999999998</v>
          </cell>
          <cell r="G130">
            <v>326.09399999999999</v>
          </cell>
          <cell r="H130">
            <v>365.81399999999996</v>
          </cell>
          <cell r="I130">
            <v>410.01399999999995</v>
          </cell>
          <cell r="J130">
            <v>1099.489</v>
          </cell>
          <cell r="K130">
            <v>1326.5319999999999</v>
          </cell>
          <cell r="L130">
            <v>875.90899999999999</v>
          </cell>
          <cell r="M130">
            <v>548.63</v>
          </cell>
          <cell r="N130">
            <v>660.99699999999996</v>
          </cell>
          <cell r="O130">
            <v>880.03899999999999</v>
          </cell>
          <cell r="P130">
            <v>954.24099999999999</v>
          </cell>
          <cell r="Q130">
            <v>801.697</v>
          </cell>
          <cell r="R130">
            <v>808.51799999999992</v>
          </cell>
          <cell r="S130">
            <v>682</v>
          </cell>
          <cell r="T130">
            <v>509</v>
          </cell>
          <cell r="U130">
            <v>1246</v>
          </cell>
          <cell r="V130">
            <v>1011</v>
          </cell>
          <cell r="W130">
            <v>936</v>
          </cell>
          <cell r="X130">
            <v>500</v>
          </cell>
          <cell r="Y130">
            <v>683</v>
          </cell>
          <cell r="Z130">
            <v>331</v>
          </cell>
          <cell r="AA130" t="str">
            <v/>
          </cell>
          <cell r="AB130">
            <v>263.74900000000002</v>
          </cell>
          <cell r="AC130">
            <v>1041.106</v>
          </cell>
          <cell r="AD130">
            <v>226.46599999999998</v>
          </cell>
          <cell r="AE130">
            <v>163.62699999999998</v>
          </cell>
          <cell r="AF130">
            <v>358.69299999999998</v>
          </cell>
          <cell r="AG130">
            <v>251.26299999999998</v>
          </cell>
          <cell r="AH130">
            <v>326.09399999999999</v>
          </cell>
          <cell r="AI130">
            <v>1326.5319999999999</v>
          </cell>
          <cell r="AJ130">
            <v>880.03899999999999</v>
          </cell>
          <cell r="AK130">
            <v>682</v>
          </cell>
          <cell r="AL130">
            <v>936</v>
          </cell>
        </row>
        <row r="131">
          <cell r="A131" t="str">
            <v>ST Investments</v>
          </cell>
          <cell r="B131" t="str">
            <v>BS_MKT_SEC_OTHER_ST_INVEST</v>
          </cell>
          <cell r="C131" t="str">
            <v>EQY_FUND_RELATIVE_PERIOD</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t="str">
            <v/>
          </cell>
          <cell r="AB131">
            <v>0</v>
          </cell>
          <cell r="AC131">
            <v>0</v>
          </cell>
          <cell r="AD131">
            <v>0</v>
          </cell>
          <cell r="AE131">
            <v>0</v>
          </cell>
          <cell r="AF131">
            <v>0</v>
          </cell>
          <cell r="AG131">
            <v>0</v>
          </cell>
          <cell r="AH131">
            <v>0</v>
          </cell>
          <cell r="AI131">
            <v>0</v>
          </cell>
          <cell r="AJ131">
            <v>0</v>
          </cell>
          <cell r="AK131">
            <v>0</v>
          </cell>
          <cell r="AL131">
            <v>0</v>
          </cell>
          <cell r="AM131"/>
          <cell r="AN131"/>
        </row>
        <row r="132">
          <cell r="A132" t="str">
            <v>Accounts &amp; Notes Receiv</v>
          </cell>
          <cell r="B132" t="str">
            <v>BS_ACCT_NOTE_RCV</v>
          </cell>
          <cell r="C132" t="str">
            <v>EQY_FUND_RELATIVE_PERIOD</v>
          </cell>
          <cell r="F132">
            <v>527.39499999999998</v>
          </cell>
          <cell r="G132">
            <v>616.15699999999993</v>
          </cell>
          <cell r="H132">
            <v>525.25199999999995</v>
          </cell>
          <cell r="I132">
            <v>545.81799999999998</v>
          </cell>
          <cell r="J132">
            <v>557.57299999999998</v>
          </cell>
          <cell r="K132">
            <v>533.70399999999995</v>
          </cell>
          <cell r="L132">
            <v>480.74599999999998</v>
          </cell>
          <cell r="M132">
            <v>486.495</v>
          </cell>
          <cell r="N132">
            <v>472.22299999999996</v>
          </cell>
          <cell r="O132">
            <v>479.21</v>
          </cell>
          <cell r="P132">
            <v>463.08099999999996</v>
          </cell>
          <cell r="Q132">
            <v>463.93199999999996</v>
          </cell>
          <cell r="R132">
            <v>462.29899999999998</v>
          </cell>
          <cell r="S132">
            <v>614</v>
          </cell>
          <cell r="T132">
            <v>526</v>
          </cell>
          <cell r="U132">
            <v>541</v>
          </cell>
          <cell r="V132">
            <v>554</v>
          </cell>
          <cell r="W132">
            <v>571</v>
          </cell>
          <cell r="X132">
            <v>544</v>
          </cell>
          <cell r="Y132">
            <v>1034</v>
          </cell>
          <cell r="Z132">
            <v>1004</v>
          </cell>
          <cell r="AA132" t="str">
            <v/>
          </cell>
          <cell r="AB132">
            <v>203.07</v>
          </cell>
          <cell r="AC132">
            <v>187.73699999999999</v>
          </cell>
          <cell r="AD132">
            <v>234.762</v>
          </cell>
          <cell r="AE132">
            <v>222.24699999999999</v>
          </cell>
          <cell r="AF132">
            <v>190.745</v>
          </cell>
          <cell r="AG132">
            <v>568.30799999999999</v>
          </cell>
          <cell r="AH132">
            <v>616.15699999999993</v>
          </cell>
          <cell r="AI132">
            <v>533.70399999999995</v>
          </cell>
          <cell r="AJ132">
            <v>479.21</v>
          </cell>
          <cell r="AK132">
            <v>614</v>
          </cell>
          <cell r="AL132">
            <v>571</v>
          </cell>
          <cell r="AM132"/>
          <cell r="AN132"/>
        </row>
        <row r="133">
          <cell r="A133" t="str">
            <v>Accounts Receivable, Net</v>
          </cell>
          <cell r="B133" t="str">
            <v>BS_ACCTS_REC_EXCL_NOTES_REC</v>
          </cell>
          <cell r="C133" t="str">
            <v>EQY_FUND_RELATIVE_PERIOD</v>
          </cell>
          <cell r="F133">
            <v>527.39499999999998</v>
          </cell>
          <cell r="G133">
            <v>616.15699999999993</v>
          </cell>
          <cell r="H133">
            <v>525.25199999999995</v>
          </cell>
          <cell r="I133">
            <v>545.81799999999998</v>
          </cell>
          <cell r="J133">
            <v>557.57299999999998</v>
          </cell>
          <cell r="K133">
            <v>533.70399999999995</v>
          </cell>
          <cell r="L133">
            <v>480.74599999999998</v>
          </cell>
          <cell r="M133">
            <v>486.495</v>
          </cell>
          <cell r="N133">
            <v>472.22299999999996</v>
          </cell>
          <cell r="O133">
            <v>479.21</v>
          </cell>
          <cell r="P133">
            <v>463.08099999999996</v>
          </cell>
          <cell r="Q133">
            <v>463.93199999999996</v>
          </cell>
          <cell r="R133">
            <v>462.29899999999998</v>
          </cell>
          <cell r="S133">
            <v>614</v>
          </cell>
          <cell r="T133">
            <v>526</v>
          </cell>
          <cell r="U133">
            <v>541</v>
          </cell>
          <cell r="V133">
            <v>554</v>
          </cell>
          <cell r="W133">
            <v>571</v>
          </cell>
          <cell r="X133">
            <v>544</v>
          </cell>
          <cell r="Y133">
            <v>1034</v>
          </cell>
          <cell r="Z133">
            <v>1004</v>
          </cell>
          <cell r="AA133" t="str">
            <v/>
          </cell>
          <cell r="AB133">
            <v>203.07</v>
          </cell>
          <cell r="AC133">
            <v>187.73699999999999</v>
          </cell>
          <cell r="AD133">
            <v>234.762</v>
          </cell>
          <cell r="AE133">
            <v>222.24699999999999</v>
          </cell>
          <cell r="AF133">
            <v>190.745</v>
          </cell>
          <cell r="AG133">
            <v>568.30799999999999</v>
          </cell>
          <cell r="AH133">
            <v>616.15699999999993</v>
          </cell>
          <cell r="AI133">
            <v>533.70399999999995</v>
          </cell>
          <cell r="AJ133">
            <v>479.21</v>
          </cell>
          <cell r="AK133">
            <v>614</v>
          </cell>
          <cell r="AL133">
            <v>571</v>
          </cell>
          <cell r="AM133"/>
          <cell r="AN133"/>
        </row>
        <row r="134">
          <cell r="A134" t="str">
            <v>Notes Receivable, Net</v>
          </cell>
          <cell r="B134" t="str">
            <v>NOTES_RECEIVABLE</v>
          </cell>
          <cell r="C134" t="str">
            <v>EQY_FUND_RELATIVE_PERIOD</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t="str">
            <v/>
          </cell>
          <cell r="AB134">
            <v>0</v>
          </cell>
          <cell r="AC134">
            <v>0</v>
          </cell>
          <cell r="AD134">
            <v>0</v>
          </cell>
          <cell r="AE134">
            <v>0</v>
          </cell>
          <cell r="AF134">
            <v>0</v>
          </cell>
          <cell r="AG134">
            <v>0</v>
          </cell>
          <cell r="AH134">
            <v>0</v>
          </cell>
          <cell r="AI134">
            <v>0</v>
          </cell>
          <cell r="AJ134">
            <v>0</v>
          </cell>
          <cell r="AK134">
            <v>0</v>
          </cell>
          <cell r="AL134">
            <v>0</v>
          </cell>
          <cell r="AM134"/>
          <cell r="AN134"/>
        </row>
        <row r="135">
          <cell r="A135" t="str">
            <v>Unbilled Revenues</v>
          </cell>
          <cell r="B135" t="str">
            <v>BS_UNBILLED_REVENUES</v>
          </cell>
          <cell r="C135" t="str">
            <v>EQY_FUND_RELATIVE_PERIOD</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t="str">
            <v/>
          </cell>
          <cell r="AB135">
            <v>0</v>
          </cell>
          <cell r="AC135">
            <v>0</v>
          </cell>
          <cell r="AD135">
            <v>0</v>
          </cell>
          <cell r="AE135">
            <v>0</v>
          </cell>
          <cell r="AF135">
            <v>0</v>
          </cell>
          <cell r="AG135">
            <v>0</v>
          </cell>
          <cell r="AH135">
            <v>0</v>
          </cell>
          <cell r="AI135">
            <v>0</v>
          </cell>
          <cell r="AJ135">
            <v>0</v>
          </cell>
          <cell r="AK135">
            <v>0</v>
          </cell>
          <cell r="AL135">
            <v>0</v>
          </cell>
          <cell r="AM135"/>
          <cell r="AN135"/>
        </row>
        <row r="136">
          <cell r="A136" t="str">
            <v>Inventories</v>
          </cell>
          <cell r="B136" t="str">
            <v>BS_INVENTORIES</v>
          </cell>
          <cell r="C136" t="str">
            <v>EQY_FUND_RELATIVE_PERIOD</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t="str">
            <v/>
          </cell>
          <cell r="AB136">
            <v>0</v>
          </cell>
          <cell r="AC136">
            <v>0</v>
          </cell>
          <cell r="AD136">
            <v>0</v>
          </cell>
          <cell r="AE136">
            <v>0</v>
          </cell>
          <cell r="AF136">
            <v>0</v>
          </cell>
          <cell r="AG136">
            <v>0</v>
          </cell>
          <cell r="AH136">
            <v>0</v>
          </cell>
          <cell r="AI136">
            <v>0</v>
          </cell>
          <cell r="AJ136">
            <v>0</v>
          </cell>
          <cell r="AK136">
            <v>0</v>
          </cell>
          <cell r="AL136">
            <v>0</v>
          </cell>
          <cell r="AM136"/>
          <cell r="AN136"/>
        </row>
        <row r="137">
          <cell r="A137" t="str">
            <v>Raw Materials</v>
          </cell>
          <cell r="B137" t="str">
            <v>INVTRY_RAW_MATERIALS</v>
          </cell>
          <cell r="C137" t="str">
            <v>EQY_FUND_RELATIVE_PERIOD</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t="str">
            <v/>
          </cell>
          <cell r="AB137">
            <v>0</v>
          </cell>
          <cell r="AC137">
            <v>0</v>
          </cell>
          <cell r="AD137">
            <v>0</v>
          </cell>
          <cell r="AE137">
            <v>0</v>
          </cell>
          <cell r="AF137">
            <v>0</v>
          </cell>
          <cell r="AG137">
            <v>0</v>
          </cell>
          <cell r="AH137">
            <v>0</v>
          </cell>
          <cell r="AI137">
            <v>0</v>
          </cell>
          <cell r="AJ137">
            <v>0</v>
          </cell>
          <cell r="AK137">
            <v>0</v>
          </cell>
          <cell r="AL137">
            <v>0</v>
          </cell>
          <cell r="AM137"/>
          <cell r="AN137"/>
        </row>
        <row r="138">
          <cell r="A138" t="str">
            <v>Work In Process</v>
          </cell>
          <cell r="B138" t="str">
            <v>INVTRY_IN_PROGRESS</v>
          </cell>
          <cell r="C138" t="str">
            <v>EQY_FUND_RELATIVE_PERIOD</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t="str">
            <v/>
          </cell>
          <cell r="AB138">
            <v>0</v>
          </cell>
          <cell r="AC138">
            <v>0</v>
          </cell>
          <cell r="AD138">
            <v>0</v>
          </cell>
          <cell r="AE138">
            <v>0</v>
          </cell>
          <cell r="AF138">
            <v>0</v>
          </cell>
          <cell r="AG138">
            <v>0</v>
          </cell>
          <cell r="AH138">
            <v>0</v>
          </cell>
          <cell r="AI138">
            <v>0</v>
          </cell>
          <cell r="AJ138">
            <v>0</v>
          </cell>
          <cell r="AK138">
            <v>0</v>
          </cell>
          <cell r="AL138">
            <v>0</v>
          </cell>
          <cell r="AM138"/>
          <cell r="AN138"/>
        </row>
        <row r="139">
          <cell r="A139" t="str">
            <v>Finished Goods</v>
          </cell>
          <cell r="B139" t="str">
            <v>INVTRY_FINISHED_GOODS</v>
          </cell>
          <cell r="C139" t="str">
            <v>EQY_FUND_RELATIVE_PERIOD</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t="str">
            <v/>
          </cell>
          <cell r="AB139">
            <v>0</v>
          </cell>
          <cell r="AC139">
            <v>0</v>
          </cell>
          <cell r="AD139">
            <v>0</v>
          </cell>
          <cell r="AE139">
            <v>0</v>
          </cell>
          <cell r="AF139">
            <v>0</v>
          </cell>
          <cell r="AG139">
            <v>0</v>
          </cell>
          <cell r="AH139">
            <v>0</v>
          </cell>
          <cell r="AI139">
            <v>0</v>
          </cell>
          <cell r="AJ139">
            <v>0</v>
          </cell>
          <cell r="AK139">
            <v>0</v>
          </cell>
          <cell r="AL139">
            <v>0</v>
          </cell>
          <cell r="AM139"/>
          <cell r="AN139"/>
        </row>
        <row r="140">
          <cell r="A140" t="str">
            <v>Other Inventory</v>
          </cell>
          <cell r="B140" t="str">
            <v>BS_OTHER_INV</v>
          </cell>
          <cell r="C140" t="str">
            <v>EQY_FUND_RELATIVE_PERIOD</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t="str">
            <v/>
          </cell>
          <cell r="AB140">
            <v>0</v>
          </cell>
          <cell r="AC140">
            <v>0</v>
          </cell>
          <cell r="AD140">
            <v>0</v>
          </cell>
          <cell r="AE140">
            <v>0</v>
          </cell>
          <cell r="AF140">
            <v>0</v>
          </cell>
          <cell r="AG140">
            <v>0</v>
          </cell>
          <cell r="AH140">
            <v>0</v>
          </cell>
          <cell r="AI140">
            <v>0</v>
          </cell>
          <cell r="AJ140">
            <v>0</v>
          </cell>
          <cell r="AK140">
            <v>0</v>
          </cell>
          <cell r="AL140">
            <v>0</v>
          </cell>
          <cell r="AM140"/>
          <cell r="AN140"/>
        </row>
        <row r="141">
          <cell r="A141" t="str">
            <v>Other ST Assets</v>
          </cell>
          <cell r="B141" t="str">
            <v>OTHER_CURRENT_ASSETS_DETAILED</v>
          </cell>
          <cell r="C141" t="str">
            <v>EQY_FUND_RELATIVE_PERIOD</v>
          </cell>
          <cell r="F141">
            <v>236.53399999999999</v>
          </cell>
          <cell r="G141">
            <v>327.779</v>
          </cell>
          <cell r="H141">
            <v>326.11</v>
          </cell>
          <cell r="I141">
            <v>342.947</v>
          </cell>
          <cell r="J141">
            <v>472.16399999999999</v>
          </cell>
          <cell r="K141">
            <v>226.96699999999996</v>
          </cell>
          <cell r="L141">
            <v>191.5</v>
          </cell>
          <cell r="M141">
            <v>241.816</v>
          </cell>
          <cell r="N141">
            <v>190.316</v>
          </cell>
          <cell r="O141">
            <v>259.58999999999997</v>
          </cell>
          <cell r="P141">
            <v>182.09200000000001</v>
          </cell>
          <cell r="Q141">
            <v>145.626</v>
          </cell>
          <cell r="R141">
            <v>1656.5319999999999</v>
          </cell>
          <cell r="S141">
            <v>119</v>
          </cell>
          <cell r="T141">
            <v>373</v>
          </cell>
          <cell r="U141">
            <v>2301</v>
          </cell>
          <cell r="V141">
            <v>8630</v>
          </cell>
          <cell r="W141">
            <v>8624</v>
          </cell>
          <cell r="X141">
            <v>8532</v>
          </cell>
          <cell r="Y141">
            <v>164</v>
          </cell>
          <cell r="Z141">
            <v>309</v>
          </cell>
          <cell r="AA141" t="str">
            <v/>
          </cell>
          <cell r="AB141">
            <v>202.916</v>
          </cell>
          <cell r="AC141">
            <v>44.15</v>
          </cell>
          <cell r="AD141">
            <v>62.926000000000002</v>
          </cell>
          <cell r="AE141">
            <v>82.084999999999994</v>
          </cell>
          <cell r="AF141">
            <v>130.642</v>
          </cell>
          <cell r="AG141">
            <v>308.84800000000001</v>
          </cell>
          <cell r="AH141">
            <v>327.779</v>
          </cell>
          <cell r="AI141">
            <v>226.96699999999996</v>
          </cell>
          <cell r="AJ141">
            <v>259.58999999999997</v>
          </cell>
          <cell r="AK141">
            <v>119</v>
          </cell>
          <cell r="AL141">
            <v>8624</v>
          </cell>
          <cell r="AM141"/>
          <cell r="AN141"/>
        </row>
        <row r="142">
          <cell r="A142" t="str">
            <v>Prepaid Expenses</v>
          </cell>
          <cell r="B142" t="str">
            <v>BS_PREPAY</v>
          </cell>
          <cell r="C142" t="str">
            <v>EQY_FUND_RELATIVE_PERIOD</v>
          </cell>
          <cell r="F142">
            <v>84.403999999999996</v>
          </cell>
          <cell r="G142">
            <v>63.421999999999997</v>
          </cell>
          <cell r="H142">
            <v>61.948999999999998</v>
          </cell>
          <cell r="I142">
            <v>63.473999999999997</v>
          </cell>
          <cell r="J142">
            <v>69.594999999999999</v>
          </cell>
          <cell r="K142">
            <v>66.971999999999994</v>
          </cell>
          <cell r="L142">
            <v>65.762</v>
          </cell>
          <cell r="M142">
            <v>69.953999999999994</v>
          </cell>
          <cell r="N142">
            <v>64.492000000000004</v>
          </cell>
          <cell r="O142">
            <v>68.572999999999993</v>
          </cell>
          <cell r="P142">
            <v>62.546999999999997</v>
          </cell>
          <cell r="Q142">
            <v>64.596000000000004</v>
          </cell>
          <cell r="R142">
            <v>70.74499999999999</v>
          </cell>
          <cell r="S142">
            <v>61</v>
          </cell>
          <cell r="T142">
            <v>62</v>
          </cell>
          <cell r="U142">
            <v>68</v>
          </cell>
          <cell r="V142">
            <v>86</v>
          </cell>
          <cell r="W142">
            <v>100</v>
          </cell>
          <cell r="X142">
            <v>129</v>
          </cell>
          <cell r="Y142">
            <v>108</v>
          </cell>
          <cell r="Z142">
            <v>109</v>
          </cell>
          <cell r="AA142" t="str">
            <v/>
          </cell>
          <cell r="AB142">
            <v>0</v>
          </cell>
          <cell r="AC142">
            <v>0</v>
          </cell>
          <cell r="AD142">
            <v>0</v>
          </cell>
          <cell r="AE142">
            <v>0</v>
          </cell>
          <cell r="AF142">
            <v>28.081</v>
          </cell>
          <cell r="AG142">
            <v>100.60299999999999</v>
          </cell>
          <cell r="AH142">
            <v>63.421999999999997</v>
          </cell>
          <cell r="AI142">
            <v>66.971999999999994</v>
          </cell>
          <cell r="AJ142">
            <v>68.572999999999993</v>
          </cell>
          <cell r="AK142">
            <v>61</v>
          </cell>
          <cell r="AL142">
            <v>100</v>
          </cell>
          <cell r="AM142"/>
          <cell r="AN142"/>
        </row>
        <row r="143">
          <cell r="A143" t="str">
            <v>Derivative &amp; Hedging Assets</v>
          </cell>
          <cell r="B143" t="str">
            <v>BS_DERIV_&amp;_HEDGING_ASSETS_ST</v>
          </cell>
          <cell r="C143" t="str">
            <v>EQY_FUND_RELATIVE_PERIOD</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t="str">
            <v/>
          </cell>
          <cell r="AB143">
            <v>0</v>
          </cell>
          <cell r="AC143">
            <v>0</v>
          </cell>
          <cell r="AD143">
            <v>0</v>
          </cell>
          <cell r="AE143">
            <v>0</v>
          </cell>
          <cell r="AF143">
            <v>0</v>
          </cell>
          <cell r="AG143">
            <v>0</v>
          </cell>
          <cell r="AH143">
            <v>0</v>
          </cell>
          <cell r="AI143">
            <v>0</v>
          </cell>
          <cell r="AJ143">
            <v>0</v>
          </cell>
          <cell r="AK143">
            <v>0</v>
          </cell>
          <cell r="AL143">
            <v>0</v>
          </cell>
          <cell r="AM143"/>
          <cell r="AN143"/>
        </row>
        <row r="144">
          <cell r="A144" t="str">
            <v>Assets HeldforSale</v>
          </cell>
          <cell r="B144" t="str">
            <v>BS_ASSETS_HELD_FOR_SALE_ST</v>
          </cell>
          <cell r="C144" t="str">
            <v>EQY_FUND_RELATIVE_PERIOD</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t="str">
            <v/>
          </cell>
          <cell r="AB144">
            <v>0</v>
          </cell>
          <cell r="AC144">
            <v>0</v>
          </cell>
          <cell r="AD144">
            <v>0</v>
          </cell>
          <cell r="AE144">
            <v>0</v>
          </cell>
          <cell r="AF144">
            <v>0</v>
          </cell>
          <cell r="AG144">
            <v>0</v>
          </cell>
          <cell r="AH144">
            <v>0</v>
          </cell>
          <cell r="AI144">
            <v>0</v>
          </cell>
          <cell r="AJ144">
            <v>0</v>
          </cell>
          <cell r="AK144">
            <v>0</v>
          </cell>
          <cell r="AL144">
            <v>0</v>
          </cell>
          <cell r="AM144"/>
          <cell r="AN144"/>
        </row>
        <row r="145">
          <cell r="A145" t="str">
            <v>Deferred Tax Assets</v>
          </cell>
          <cell r="B145" t="str">
            <v>BS_DEFERRED_TAX_ASSETS_ST</v>
          </cell>
          <cell r="C145" t="str">
            <v>EQY_FUND_RELATIVE_PERIOD</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t="str">
            <v/>
          </cell>
          <cell r="AB145">
            <v>0</v>
          </cell>
          <cell r="AC145">
            <v>0</v>
          </cell>
          <cell r="AD145">
            <v>0</v>
          </cell>
          <cell r="AE145">
            <v>0</v>
          </cell>
          <cell r="AF145">
            <v>0</v>
          </cell>
          <cell r="AG145">
            <v>0</v>
          </cell>
          <cell r="AH145">
            <v>0</v>
          </cell>
          <cell r="AI145">
            <v>0</v>
          </cell>
          <cell r="AJ145">
            <v>0</v>
          </cell>
          <cell r="AK145">
            <v>0</v>
          </cell>
          <cell r="AL145">
            <v>0</v>
          </cell>
          <cell r="AM145"/>
          <cell r="AN145"/>
        </row>
        <row r="146">
          <cell r="A146" t="str">
            <v>Income Taxes Receivable</v>
          </cell>
          <cell r="B146" t="str">
            <v>BS_INCOME_TAX_RECEIVABLE_ST</v>
          </cell>
          <cell r="C146" t="str">
            <v>EQY_FUND_RELATIVE_PERIOD</v>
          </cell>
          <cell r="F146">
            <v>152.13</v>
          </cell>
          <cell r="G146">
            <v>264.35700000000003</v>
          </cell>
          <cell r="H146">
            <v>264.161</v>
          </cell>
          <cell r="I146">
            <v>279.47300000000001</v>
          </cell>
          <cell r="J146">
            <v>347.60199999999998</v>
          </cell>
          <cell r="K146">
            <v>144.58699999999999</v>
          </cell>
          <cell r="L146">
            <v>103.61199999999999</v>
          </cell>
          <cell r="M146">
            <v>162.602</v>
          </cell>
          <cell r="N146">
            <v>116.56399999999999</v>
          </cell>
          <cell r="O146">
            <v>0</v>
          </cell>
          <cell r="P146">
            <v>108.133</v>
          </cell>
          <cell r="Q146">
            <v>77.83</v>
          </cell>
          <cell r="R146">
            <v>66.787000000000006</v>
          </cell>
          <cell r="S146">
            <v>58</v>
          </cell>
          <cell r="T146">
            <v>311</v>
          </cell>
          <cell r="U146">
            <v>393</v>
          </cell>
          <cell r="V146">
            <v>104</v>
          </cell>
          <cell r="W146">
            <v>80</v>
          </cell>
          <cell r="X146">
            <v>51</v>
          </cell>
          <cell r="Y146">
            <v>56</v>
          </cell>
          <cell r="Z146">
            <v>200</v>
          </cell>
          <cell r="AA146" t="str">
            <v/>
          </cell>
          <cell r="AB146">
            <v>0</v>
          </cell>
          <cell r="AC146">
            <v>0</v>
          </cell>
          <cell r="AD146">
            <v>0</v>
          </cell>
          <cell r="AE146">
            <v>0</v>
          </cell>
          <cell r="AF146">
            <v>102.56100000000001</v>
          </cell>
          <cell r="AG146">
            <v>208.245</v>
          </cell>
          <cell r="AH146">
            <v>264.35700000000003</v>
          </cell>
          <cell r="AI146">
            <v>144.58699999999999</v>
          </cell>
          <cell r="AJ146">
            <v>0</v>
          </cell>
          <cell r="AK146">
            <v>58</v>
          </cell>
          <cell r="AL146">
            <v>80</v>
          </cell>
          <cell r="AM146"/>
          <cell r="AN146"/>
        </row>
        <row r="147">
          <cell r="A147" t="str">
            <v>Discontinued Operations</v>
          </cell>
          <cell r="B147" t="str">
            <v>BS_ASSETS_OF_DISCONTINUED_OPS_ST</v>
          </cell>
          <cell r="C147" t="str">
            <v>EQY_FUND_RELATIVE_PERIOD</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t="str">
            <v/>
          </cell>
          <cell r="AB147">
            <v>0</v>
          </cell>
          <cell r="AC147">
            <v>0</v>
          </cell>
          <cell r="AD147">
            <v>0</v>
          </cell>
          <cell r="AE147">
            <v>0</v>
          </cell>
          <cell r="AF147">
            <v>0</v>
          </cell>
          <cell r="AG147">
            <v>0</v>
          </cell>
          <cell r="AH147">
            <v>0</v>
          </cell>
          <cell r="AI147">
            <v>0</v>
          </cell>
          <cell r="AJ147">
            <v>0</v>
          </cell>
          <cell r="AK147">
            <v>0</v>
          </cell>
          <cell r="AL147">
            <v>0</v>
          </cell>
          <cell r="AM147"/>
          <cell r="AN147"/>
        </row>
        <row r="148">
          <cell r="A148" t="str">
            <v>Misc ST Assets</v>
          </cell>
          <cell r="B148" t="str">
            <v>BS_OTHER_CUR_ASSET_LESS_PREPAY</v>
          </cell>
          <cell r="C148" t="str">
            <v>EQY_FUND_RELATIVE_PERIOD</v>
          </cell>
          <cell r="F148">
            <v>0</v>
          </cell>
          <cell r="G148">
            <v>0</v>
          </cell>
          <cell r="H148">
            <v>0</v>
          </cell>
          <cell r="I148">
            <v>0</v>
          </cell>
          <cell r="J148">
            <v>54.966999999999999</v>
          </cell>
          <cell r="K148">
            <v>15.407999999999999</v>
          </cell>
          <cell r="L148">
            <v>22.125999999999998</v>
          </cell>
          <cell r="M148">
            <v>9.26</v>
          </cell>
          <cell r="N148">
            <v>9.26</v>
          </cell>
          <cell r="O148">
            <v>191.017</v>
          </cell>
          <cell r="P148">
            <v>11.411999999999999</v>
          </cell>
          <cell r="Q148">
            <v>3.1999999999999997</v>
          </cell>
          <cell r="R148">
            <v>1519</v>
          </cell>
          <cell r="S148">
            <v>0</v>
          </cell>
          <cell r="T148">
            <v>0</v>
          </cell>
          <cell r="U148">
            <v>1840</v>
          </cell>
          <cell r="V148">
            <v>8440</v>
          </cell>
          <cell r="W148">
            <v>8444</v>
          </cell>
          <cell r="X148">
            <v>8352</v>
          </cell>
          <cell r="Y148">
            <v>0</v>
          </cell>
          <cell r="Z148">
            <v>0</v>
          </cell>
          <cell r="AA148" t="str">
            <v/>
          </cell>
          <cell r="AB148">
            <v>0</v>
          </cell>
          <cell r="AC148">
            <v>0</v>
          </cell>
          <cell r="AD148">
            <v>0</v>
          </cell>
          <cell r="AE148">
            <v>0</v>
          </cell>
          <cell r="AF148">
            <v>0</v>
          </cell>
          <cell r="AG148">
            <v>0</v>
          </cell>
          <cell r="AH148">
            <v>0</v>
          </cell>
          <cell r="AI148">
            <v>15.407999999999999</v>
          </cell>
          <cell r="AJ148">
            <v>191.017</v>
          </cell>
          <cell r="AK148">
            <v>0</v>
          </cell>
          <cell r="AL148">
            <v>8444</v>
          </cell>
          <cell r="AM148"/>
          <cell r="AN148"/>
        </row>
        <row r="149">
          <cell r="A149" t="str">
            <v>Total Current Assets</v>
          </cell>
          <cell r="B149" t="str">
            <v>BS_CUR_ASSET_REPORT</v>
          </cell>
          <cell r="C149" t="str">
            <v>EQY_FUND_RELATIVE_PERIOD</v>
          </cell>
          <cell r="F149">
            <v>969.74599999999998</v>
          </cell>
          <cell r="G149">
            <v>1270.03</v>
          </cell>
          <cell r="H149">
            <v>1217.1759999999999</v>
          </cell>
          <cell r="I149">
            <v>1298.779</v>
          </cell>
          <cell r="J149">
            <v>2129.2260000000001</v>
          </cell>
          <cell r="K149">
            <v>2087.203</v>
          </cell>
          <cell r="L149">
            <v>1548.155</v>
          </cell>
          <cell r="M149">
            <v>1276.941</v>
          </cell>
          <cell r="N149">
            <v>1323.5359999999998</v>
          </cell>
          <cell r="O149">
            <v>1618.8389999999999</v>
          </cell>
          <cell r="P149">
            <v>1599.414</v>
          </cell>
          <cell r="Q149">
            <v>1411.2549999999999</v>
          </cell>
          <cell r="R149">
            <v>2927.3489999999997</v>
          </cell>
          <cell r="S149">
            <v>1415</v>
          </cell>
          <cell r="T149">
            <v>1408</v>
          </cell>
          <cell r="U149">
            <v>4088</v>
          </cell>
          <cell r="V149">
            <v>10195</v>
          </cell>
          <cell r="W149">
            <v>10131</v>
          </cell>
          <cell r="X149">
            <v>9576</v>
          </cell>
          <cell r="Y149">
            <v>1881</v>
          </cell>
          <cell r="Z149">
            <v>1644</v>
          </cell>
          <cell r="AA149" t="str">
            <v/>
          </cell>
          <cell r="AB149">
            <v>669.73500000000001</v>
          </cell>
          <cell r="AC149">
            <v>1272.9929999999999</v>
          </cell>
          <cell r="AD149">
            <v>524.154</v>
          </cell>
          <cell r="AE149">
            <v>467.959</v>
          </cell>
          <cell r="AF149">
            <v>680.07999999999993</v>
          </cell>
          <cell r="AG149">
            <v>1128.4189999999999</v>
          </cell>
          <cell r="AH149">
            <v>1270.03</v>
          </cell>
          <cell r="AI149">
            <v>2087.203</v>
          </cell>
          <cell r="AJ149">
            <v>1618.8389999999999</v>
          </cell>
          <cell r="AK149">
            <v>1415</v>
          </cell>
          <cell r="AL149">
            <v>10131</v>
          </cell>
          <cell r="AM149"/>
          <cell r="AN149"/>
        </row>
        <row r="150">
          <cell r="A150" t="str">
            <v>Property, Plant &amp; Equip, Net</v>
          </cell>
          <cell r="B150" t="str">
            <v>BS_NET_FIX_ASSET</v>
          </cell>
          <cell r="C150" t="str">
            <v>EQY_FUND_RELATIVE_PERIOD</v>
          </cell>
          <cell r="F150">
            <v>7630.5149999999994</v>
          </cell>
          <cell r="G150">
            <v>7547.5229999999992</v>
          </cell>
          <cell r="H150">
            <v>7501.1489999999994</v>
          </cell>
          <cell r="I150">
            <v>7481.8959999999997</v>
          </cell>
          <cell r="J150">
            <v>7482.9</v>
          </cell>
          <cell r="K150">
            <v>7504.8959999999997</v>
          </cell>
          <cell r="L150">
            <v>7417.7460000000001</v>
          </cell>
          <cell r="M150">
            <v>7361.7559999999994</v>
          </cell>
          <cell r="N150">
            <v>7289.567</v>
          </cell>
          <cell r="O150">
            <v>7255.7619999999997</v>
          </cell>
          <cell r="P150">
            <v>7190.2579999999998</v>
          </cell>
          <cell r="Q150">
            <v>7162.6489999999994</v>
          </cell>
          <cell r="R150">
            <v>7152.4609999999993</v>
          </cell>
          <cell r="S150">
            <v>8566</v>
          </cell>
          <cell r="T150">
            <v>8478</v>
          </cell>
          <cell r="U150">
            <v>8432</v>
          </cell>
          <cell r="V150">
            <v>8439</v>
          </cell>
          <cell r="W150">
            <v>8493</v>
          </cell>
          <cell r="X150">
            <v>8495</v>
          </cell>
          <cell r="Y150">
            <v>16161</v>
          </cell>
          <cell r="Z150">
            <v>14899</v>
          </cell>
          <cell r="AA150" t="str">
            <v/>
          </cell>
          <cell r="AB150">
            <v>3058.3119999999999</v>
          </cell>
          <cell r="AC150">
            <v>2983.5039999999999</v>
          </cell>
          <cell r="AD150">
            <v>3335.2439999999997</v>
          </cell>
          <cell r="AE150">
            <v>3239.973</v>
          </cell>
          <cell r="AF150">
            <v>3133.5209999999997</v>
          </cell>
          <cell r="AG150">
            <v>7590.6139999999996</v>
          </cell>
          <cell r="AH150">
            <v>7547.5229999999992</v>
          </cell>
          <cell r="AI150">
            <v>7504.8959999999997</v>
          </cell>
          <cell r="AJ150">
            <v>7255.7619999999997</v>
          </cell>
          <cell r="AK150">
            <v>8566</v>
          </cell>
          <cell r="AL150">
            <v>8493</v>
          </cell>
          <cell r="AM150"/>
          <cell r="AN150"/>
        </row>
        <row r="151">
          <cell r="A151" t="str">
            <v>Property, Plant &amp; Equip</v>
          </cell>
          <cell r="B151" t="str">
            <v>BS_GROSS_FIX_ASSET</v>
          </cell>
          <cell r="C151" t="str">
            <v>EQY_FUND_RELATIVE_PERIOD</v>
          </cell>
          <cell r="F151">
            <v>13364.226999999999</v>
          </cell>
          <cell r="G151">
            <v>13638.135999999999</v>
          </cell>
          <cell r="H151">
            <v>13779.23</v>
          </cell>
          <cell r="I151">
            <v>13962.614</v>
          </cell>
          <cell r="J151">
            <v>14133.934999999999</v>
          </cell>
          <cell r="K151">
            <v>14353.762999999999</v>
          </cell>
          <cell r="L151">
            <v>14429.251</v>
          </cell>
          <cell r="M151">
            <v>14579.735999999999</v>
          </cell>
          <cell r="N151">
            <v>14710.341999999999</v>
          </cell>
          <cell r="O151">
            <v>14850.697</v>
          </cell>
          <cell r="P151">
            <v>14984.356</v>
          </cell>
          <cell r="Q151">
            <v>15139.271999999999</v>
          </cell>
          <cell r="R151">
            <v>15311.983999999999</v>
          </cell>
          <cell r="S151">
            <v>16946</v>
          </cell>
          <cell r="T151">
            <v>17095</v>
          </cell>
          <cell r="U151">
            <v>17280</v>
          </cell>
          <cell r="V151">
            <v>17522</v>
          </cell>
          <cell r="W151">
            <v>17801</v>
          </cell>
          <cell r="X151">
            <v>18035</v>
          </cell>
          <cell r="Y151">
            <v>26140</v>
          </cell>
          <cell r="Z151">
            <v>25186</v>
          </cell>
          <cell r="AA151" t="str">
            <v/>
          </cell>
          <cell r="AB151">
            <v>6433.1189999999997</v>
          </cell>
          <cell r="AC151">
            <v>6685.4659999999994</v>
          </cell>
          <cell r="AD151">
            <v>7375.2969999999996</v>
          </cell>
          <cell r="AE151">
            <v>7581.0599999999995</v>
          </cell>
          <cell r="AF151">
            <v>7803.0619999999999</v>
          </cell>
          <cell r="AG151">
            <v>12795.279999999999</v>
          </cell>
          <cell r="AH151">
            <v>13638.135999999999</v>
          </cell>
          <cell r="AI151">
            <v>14353.762999999999</v>
          </cell>
          <cell r="AJ151">
            <v>14850.697</v>
          </cell>
          <cell r="AK151">
            <v>16946</v>
          </cell>
          <cell r="AL151">
            <v>17801</v>
          </cell>
          <cell r="AM151"/>
          <cell r="AN151"/>
        </row>
        <row r="152">
          <cell r="A152" t="str">
            <v>Accumulated Depreciation</v>
          </cell>
          <cell r="B152" t="str">
            <v>BS_ACCUM_DEPR</v>
          </cell>
          <cell r="C152" t="str">
            <v>EQY_FUND_RELATIVE_PERIOD</v>
          </cell>
          <cell r="F152">
            <v>5733.7119999999995</v>
          </cell>
          <cell r="G152">
            <v>6090.6129999999994</v>
          </cell>
          <cell r="H152">
            <v>6278.0810000000001</v>
          </cell>
          <cell r="I152">
            <v>6480.7179999999998</v>
          </cell>
          <cell r="J152">
            <v>6651.0349999999999</v>
          </cell>
          <cell r="K152">
            <v>6848.8669999999993</v>
          </cell>
          <cell r="L152">
            <v>7011.5050000000001</v>
          </cell>
          <cell r="M152">
            <v>7217.98</v>
          </cell>
          <cell r="N152">
            <v>7420.7749999999996</v>
          </cell>
          <cell r="O152">
            <v>7594.9349999999995</v>
          </cell>
          <cell r="P152">
            <v>7794.098</v>
          </cell>
          <cell r="Q152">
            <v>7976.6229999999996</v>
          </cell>
          <cell r="R152">
            <v>8159.5229999999992</v>
          </cell>
          <cell r="S152">
            <v>8380</v>
          </cell>
          <cell r="T152">
            <v>8617</v>
          </cell>
          <cell r="U152">
            <v>8848</v>
          </cell>
          <cell r="V152">
            <v>9083</v>
          </cell>
          <cell r="W152">
            <v>9308</v>
          </cell>
          <cell r="X152">
            <v>9540</v>
          </cell>
          <cell r="Y152">
            <v>9979</v>
          </cell>
          <cell r="Z152">
            <v>10287</v>
          </cell>
          <cell r="AA152" t="str">
            <v/>
          </cell>
          <cell r="AB152">
            <v>3374.8069999999998</v>
          </cell>
          <cell r="AC152">
            <v>3701.962</v>
          </cell>
          <cell r="AD152">
            <v>4040.0529999999999</v>
          </cell>
          <cell r="AE152">
            <v>4341.0869999999995</v>
          </cell>
          <cell r="AF152">
            <v>4669.5410000000002</v>
          </cell>
          <cell r="AG152">
            <v>5204.6660000000002</v>
          </cell>
          <cell r="AH152">
            <v>6090.6129999999994</v>
          </cell>
          <cell r="AI152">
            <v>6848.8669999999993</v>
          </cell>
          <cell r="AJ152">
            <v>7594.9349999999995</v>
          </cell>
          <cell r="AK152">
            <v>8380</v>
          </cell>
          <cell r="AL152">
            <v>9308</v>
          </cell>
          <cell r="AM152"/>
          <cell r="AN152"/>
        </row>
        <row r="153">
          <cell r="A153" t="str">
            <v>LT Investments &amp; Receivables</v>
          </cell>
          <cell r="B153" t="str">
            <v>BS_LT_INVEST</v>
          </cell>
          <cell r="C153" t="str">
            <v>EQY_FUND_RELATIVE_PERIOD</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t="str">
            <v/>
          </cell>
          <cell r="AB153">
            <v>15.998999999999999</v>
          </cell>
          <cell r="AC153">
            <v>16.474</v>
          </cell>
          <cell r="AD153">
            <v>21.190999999999999</v>
          </cell>
          <cell r="AE153">
            <v>0</v>
          </cell>
          <cell r="AF153">
            <v>0</v>
          </cell>
          <cell r="AG153">
            <v>0</v>
          </cell>
          <cell r="AH153">
            <v>0</v>
          </cell>
          <cell r="AI153">
            <v>0</v>
          </cell>
          <cell r="AJ153">
            <v>0</v>
          </cell>
          <cell r="AK153">
            <v>0</v>
          </cell>
          <cell r="AL153">
            <v>0</v>
          </cell>
          <cell r="AM153"/>
          <cell r="AN153"/>
        </row>
        <row r="154">
          <cell r="A154" t="str">
            <v>LT Investments</v>
          </cell>
          <cell r="B154" t="str">
            <v>BS_LONG_TERM_INVESTMENTS</v>
          </cell>
          <cell r="C154" t="str">
            <v>EQY_FUND_RELATIVE_PERIOD</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t="str">
            <v/>
          </cell>
          <cell r="AB154">
            <v>0</v>
          </cell>
          <cell r="AC154">
            <v>0</v>
          </cell>
          <cell r="AD154">
            <v>0</v>
          </cell>
          <cell r="AE154">
            <v>0</v>
          </cell>
          <cell r="AF154">
            <v>0</v>
          </cell>
          <cell r="AG154">
            <v>0</v>
          </cell>
          <cell r="AH154">
            <v>0</v>
          </cell>
          <cell r="AI154">
            <v>0</v>
          </cell>
          <cell r="AJ154">
            <v>0</v>
          </cell>
          <cell r="AK154">
            <v>0</v>
          </cell>
          <cell r="AL154">
            <v>0</v>
          </cell>
          <cell r="AM154"/>
          <cell r="AN154"/>
        </row>
        <row r="155">
          <cell r="A155" t="str">
            <v>LT Marketable Securities</v>
          </cell>
          <cell r="B155" t="str">
            <v>BS_LT_MARKETABLE_SECURITIES</v>
          </cell>
          <cell r="C155" t="str">
            <v>EQY_FUND_RELATIVE_PERIOD</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t="str">
            <v/>
          </cell>
          <cell r="AB155">
            <v>0</v>
          </cell>
          <cell r="AC155">
            <v>0</v>
          </cell>
          <cell r="AD155">
            <v>0</v>
          </cell>
          <cell r="AE155">
            <v>0</v>
          </cell>
          <cell r="AF155">
            <v>0</v>
          </cell>
          <cell r="AG155">
            <v>0</v>
          </cell>
          <cell r="AH155">
            <v>0</v>
          </cell>
          <cell r="AI155">
            <v>0</v>
          </cell>
          <cell r="AJ155">
            <v>0</v>
          </cell>
          <cell r="AK155">
            <v>0</v>
          </cell>
          <cell r="AL155">
            <v>0</v>
          </cell>
          <cell r="AM155"/>
          <cell r="AN155"/>
        </row>
        <row r="156">
          <cell r="A156" t="str">
            <v>LT Receivables</v>
          </cell>
          <cell r="B156" t="str">
            <v>BS_LT_RECEIVABLES</v>
          </cell>
          <cell r="C156" t="str">
            <v>EQY_FUND_RELATIVE_PERIOD</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t="str">
            <v/>
          </cell>
          <cell r="AB156">
            <v>0</v>
          </cell>
          <cell r="AC156">
            <v>0</v>
          </cell>
          <cell r="AD156">
            <v>0</v>
          </cell>
          <cell r="AE156">
            <v>0</v>
          </cell>
          <cell r="AF156">
            <v>0</v>
          </cell>
          <cell r="AG156">
            <v>0</v>
          </cell>
          <cell r="AH156">
            <v>0</v>
          </cell>
          <cell r="AI156">
            <v>0</v>
          </cell>
          <cell r="AJ156">
            <v>0</v>
          </cell>
          <cell r="AK156">
            <v>0</v>
          </cell>
          <cell r="AL156">
            <v>0</v>
          </cell>
          <cell r="AM156"/>
          <cell r="AN156"/>
        </row>
        <row r="157">
          <cell r="A157" t="str">
            <v>Other LT Assets</v>
          </cell>
          <cell r="B157" t="str">
            <v>BS_OTHER_ASSETS_DEF_CHRG_OTHER</v>
          </cell>
          <cell r="C157" t="str">
            <v>EQY_FUND_RELATIVE_PERIOD</v>
          </cell>
          <cell r="F157">
            <v>8893.5059999999994</v>
          </cell>
          <cell r="G157">
            <v>8643.2150000000001</v>
          </cell>
          <cell r="H157">
            <v>8499.9249999999993</v>
          </cell>
          <cell r="I157">
            <v>8364.92</v>
          </cell>
          <cell r="J157">
            <v>8226.36</v>
          </cell>
          <cell r="K157">
            <v>8141.5319999999992</v>
          </cell>
          <cell r="L157">
            <v>8043.6610000000001</v>
          </cell>
          <cell r="M157">
            <v>7961.3689999999997</v>
          </cell>
          <cell r="N157">
            <v>7880.3109999999997</v>
          </cell>
          <cell r="O157">
            <v>7760.8829999999998</v>
          </cell>
          <cell r="P157">
            <v>7679.2019999999993</v>
          </cell>
          <cell r="Q157">
            <v>7605.3739999999998</v>
          </cell>
          <cell r="R157">
            <v>7559.8779999999997</v>
          </cell>
          <cell r="S157">
            <v>8829</v>
          </cell>
          <cell r="T157">
            <v>8835</v>
          </cell>
          <cell r="U157">
            <v>8766</v>
          </cell>
          <cell r="V157">
            <v>8731</v>
          </cell>
          <cell r="W157">
            <v>8460</v>
          </cell>
          <cell r="X157">
            <v>8383</v>
          </cell>
          <cell r="Y157">
            <v>11414</v>
          </cell>
          <cell r="Z157">
            <v>12502</v>
          </cell>
          <cell r="AA157" t="str">
            <v/>
          </cell>
          <cell r="AB157">
            <v>2683.5209999999997</v>
          </cell>
          <cell r="AC157">
            <v>2518.2339999999999</v>
          </cell>
          <cell r="AD157">
            <v>3375.48</v>
          </cell>
          <cell r="AE157">
            <v>3180.7439999999997</v>
          </cell>
          <cell r="AF157">
            <v>3064.654</v>
          </cell>
          <cell r="AG157">
            <v>9171.1970000000001</v>
          </cell>
          <cell r="AH157">
            <v>8643.2150000000001</v>
          </cell>
          <cell r="AI157">
            <v>8141.5319999999992</v>
          </cell>
          <cell r="AJ157">
            <v>7760.8829999999998</v>
          </cell>
          <cell r="AK157">
            <v>8829</v>
          </cell>
          <cell r="AL157">
            <v>8460</v>
          </cell>
          <cell r="AM157"/>
          <cell r="AN157"/>
        </row>
        <row r="158">
          <cell r="A158" t="str">
            <v>Total Intangible Assets</v>
          </cell>
          <cell r="B158" t="str">
            <v>BS_DISCLOSED_INTANGIBLES</v>
          </cell>
          <cell r="C158" t="str">
            <v>EQY_FUND_RELATIVE_PERIOD</v>
          </cell>
          <cell r="F158">
            <v>8511.6929999999993</v>
          </cell>
          <cell r="G158">
            <v>8302.2240000000002</v>
          </cell>
          <cell r="H158">
            <v>8155.62</v>
          </cell>
          <cell r="I158">
            <v>8057.1529999999993</v>
          </cell>
          <cell r="J158">
            <v>7968.6839999999993</v>
          </cell>
          <cell r="K158">
            <v>7880.4579999999996</v>
          </cell>
          <cell r="L158">
            <v>7793.6749999999993</v>
          </cell>
          <cell r="M158">
            <v>7706.6539999999995</v>
          </cell>
          <cell r="N158">
            <v>7629.6729999999998</v>
          </cell>
          <cell r="O158">
            <v>7552.6509999999998</v>
          </cell>
          <cell r="P158">
            <v>7476.7599999999993</v>
          </cell>
          <cell r="Q158">
            <v>7400.8689999999997</v>
          </cell>
          <cell r="R158">
            <v>7335.0159999999996</v>
          </cell>
          <cell r="S158">
            <v>8705</v>
          </cell>
          <cell r="T158">
            <v>8621</v>
          </cell>
          <cell r="U158">
            <v>8534</v>
          </cell>
          <cell r="V158">
            <v>8386</v>
          </cell>
          <cell r="W158">
            <v>8309</v>
          </cell>
          <cell r="X158">
            <v>8233</v>
          </cell>
          <cell r="Y158">
            <v>11296</v>
          </cell>
          <cell r="Z158">
            <v>12379</v>
          </cell>
          <cell r="AA158" t="str">
            <v/>
          </cell>
          <cell r="AB158">
            <v>2480.1979999999999</v>
          </cell>
          <cell r="AC158">
            <v>2350.1039999999998</v>
          </cell>
          <cell r="AD158">
            <v>3182.2939999999999</v>
          </cell>
          <cell r="AE158">
            <v>3001.9969999999998</v>
          </cell>
          <cell r="AF158">
            <v>2889.85</v>
          </cell>
          <cell r="AG158">
            <v>8783.3889999999992</v>
          </cell>
          <cell r="AH158">
            <v>8302.2240000000002</v>
          </cell>
          <cell r="AI158">
            <v>7880.4579999999996</v>
          </cell>
          <cell r="AJ158">
            <v>7552.6509999999998</v>
          </cell>
          <cell r="AK158">
            <v>8705</v>
          </cell>
          <cell r="AL158">
            <v>8309</v>
          </cell>
          <cell r="AM158"/>
          <cell r="AN158"/>
        </row>
        <row r="159">
          <cell r="A159" t="str">
            <v>Goodwill</v>
          </cell>
          <cell r="B159" t="str">
            <v>BS_GOODWILL</v>
          </cell>
          <cell r="C159" t="str">
            <v>EQY_FUND_RELATIVE_PERIOD</v>
          </cell>
          <cell r="F159">
            <v>6416.473</v>
          </cell>
          <cell r="G159">
            <v>6337.7190000000001</v>
          </cell>
          <cell r="H159">
            <v>6337.7190000000001</v>
          </cell>
          <cell r="I159">
            <v>6337.7190000000001</v>
          </cell>
          <cell r="J159">
            <v>6337.7190000000001</v>
          </cell>
          <cell r="K159">
            <v>6337.7190000000001</v>
          </cell>
          <cell r="L159">
            <v>6337.7190000000001</v>
          </cell>
          <cell r="M159">
            <v>6337.7190000000001</v>
          </cell>
          <cell r="N159">
            <v>6337.7190000000001</v>
          </cell>
          <cell r="O159">
            <v>6337.7190000000001</v>
          </cell>
          <cell r="P159">
            <v>6337.7190000000001</v>
          </cell>
          <cell r="Q159">
            <v>6337.7190000000001</v>
          </cell>
          <cell r="R159">
            <v>6337.7190000000001</v>
          </cell>
          <cell r="S159">
            <v>7205</v>
          </cell>
          <cell r="T159">
            <v>7213</v>
          </cell>
          <cell r="U159">
            <v>7234</v>
          </cell>
          <cell r="V159">
            <v>7166</v>
          </cell>
          <cell r="W159">
            <v>7166</v>
          </cell>
          <cell r="X159">
            <v>7166</v>
          </cell>
          <cell r="Y159">
            <v>9198</v>
          </cell>
          <cell r="Z159">
            <v>9507</v>
          </cell>
          <cell r="AA159" t="str">
            <v/>
          </cell>
          <cell r="AB159">
            <v>1921.4649999999999</v>
          </cell>
          <cell r="AC159">
            <v>1917.751</v>
          </cell>
          <cell r="AD159">
            <v>2634.5589999999997</v>
          </cell>
          <cell r="AE159">
            <v>2642.3229999999999</v>
          </cell>
          <cell r="AF159">
            <v>2642.3229999999999</v>
          </cell>
          <cell r="AG159">
            <v>6292.1939999999995</v>
          </cell>
          <cell r="AH159">
            <v>6337.7190000000001</v>
          </cell>
          <cell r="AI159">
            <v>6337.7190000000001</v>
          </cell>
          <cell r="AJ159">
            <v>6337.7190000000001</v>
          </cell>
          <cell r="AK159">
            <v>7205</v>
          </cell>
          <cell r="AL159">
            <v>7166</v>
          </cell>
          <cell r="AM159"/>
          <cell r="AN159"/>
        </row>
        <row r="160">
          <cell r="A160" t="str">
            <v>Other Intangible Assets</v>
          </cell>
          <cell r="B160" t="str">
            <v>OTHER_INTANGIBLE_ASSETS_DETAILED</v>
          </cell>
          <cell r="C160" t="str">
            <v>EQY_FUND_RELATIVE_PERIOD</v>
          </cell>
          <cell r="F160">
            <v>2095.2199999999993</v>
          </cell>
          <cell r="G160">
            <v>1964.5050000000001</v>
          </cell>
          <cell r="H160">
            <v>1817.9010000000001</v>
          </cell>
          <cell r="I160">
            <v>1719.434</v>
          </cell>
          <cell r="J160">
            <v>1630.9649999999999</v>
          </cell>
          <cell r="K160">
            <v>1542.739</v>
          </cell>
          <cell r="L160">
            <v>1455.9559999999999</v>
          </cell>
          <cell r="M160">
            <v>1368.9350000000004</v>
          </cell>
          <cell r="N160">
            <v>1291.9539999999997</v>
          </cell>
          <cell r="O160">
            <v>1214.9319999999998</v>
          </cell>
          <cell r="P160">
            <v>1139.0409999999999</v>
          </cell>
          <cell r="Q160">
            <v>1063.1499999999996</v>
          </cell>
          <cell r="R160">
            <v>997.29699999999957</v>
          </cell>
          <cell r="S160">
            <v>1500</v>
          </cell>
          <cell r="T160">
            <v>1408</v>
          </cell>
          <cell r="U160">
            <v>1300</v>
          </cell>
          <cell r="V160">
            <v>1220</v>
          </cell>
          <cell r="W160">
            <v>1143</v>
          </cell>
          <cell r="X160">
            <v>1067</v>
          </cell>
          <cell r="Y160">
            <v>2098</v>
          </cell>
          <cell r="Z160">
            <v>2872</v>
          </cell>
          <cell r="AA160" t="str">
            <v/>
          </cell>
          <cell r="AB160">
            <v>558.73299999999995</v>
          </cell>
          <cell r="AC160">
            <v>432.35299999999984</v>
          </cell>
          <cell r="AD160">
            <v>547.73499999999967</v>
          </cell>
          <cell r="AE160">
            <v>359.67399999999998</v>
          </cell>
          <cell r="AF160">
            <v>247.52700000000004</v>
          </cell>
          <cell r="AG160">
            <v>2491.1949999999988</v>
          </cell>
          <cell r="AH160">
            <v>1964.5050000000001</v>
          </cell>
          <cell r="AI160">
            <v>1542.739</v>
          </cell>
          <cell r="AJ160">
            <v>1214.9319999999998</v>
          </cell>
          <cell r="AK160">
            <v>1500</v>
          </cell>
          <cell r="AL160">
            <v>1143</v>
          </cell>
          <cell r="AM160"/>
          <cell r="AN160"/>
        </row>
        <row r="161">
          <cell r="A161" t="str">
            <v>Prepaid Expense</v>
          </cell>
          <cell r="B161" t="str">
            <v>BS_PREPAID_EXPENSE_LT</v>
          </cell>
          <cell r="C161" t="str">
            <v>EQY_FUND_RELATIVE_PERIOD</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t="str">
            <v/>
          </cell>
          <cell r="AB161">
            <v>0</v>
          </cell>
          <cell r="AC161">
            <v>0</v>
          </cell>
          <cell r="AD161">
            <v>0</v>
          </cell>
          <cell r="AE161">
            <v>0</v>
          </cell>
          <cell r="AF161">
            <v>0</v>
          </cell>
          <cell r="AG161">
            <v>0</v>
          </cell>
          <cell r="AH161">
            <v>0</v>
          </cell>
          <cell r="AI161">
            <v>0</v>
          </cell>
          <cell r="AJ161">
            <v>0</v>
          </cell>
          <cell r="AK161">
            <v>0</v>
          </cell>
          <cell r="AL161">
            <v>0</v>
          </cell>
          <cell r="AM161"/>
          <cell r="AN161"/>
        </row>
        <row r="162">
          <cell r="A162" t="str">
            <v>Deferred Tax Assets</v>
          </cell>
          <cell r="B162" t="str">
            <v>BS_DEFERRED_TAX_ASSETS_LT</v>
          </cell>
          <cell r="C162" t="str">
            <v>EQY_FUND_RELATIVE_PERIOD</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t="str">
            <v/>
          </cell>
          <cell r="AB162">
            <v>0</v>
          </cell>
          <cell r="AC162">
            <v>0</v>
          </cell>
          <cell r="AD162">
            <v>0</v>
          </cell>
          <cell r="AE162">
            <v>0</v>
          </cell>
          <cell r="AF162">
            <v>0</v>
          </cell>
          <cell r="AG162">
            <v>0</v>
          </cell>
          <cell r="AH162">
            <v>0</v>
          </cell>
          <cell r="AI162">
            <v>0</v>
          </cell>
          <cell r="AJ162">
            <v>0</v>
          </cell>
          <cell r="AK162">
            <v>0</v>
          </cell>
          <cell r="AL162">
            <v>0</v>
          </cell>
          <cell r="AM162"/>
          <cell r="AN162"/>
        </row>
        <row r="163">
          <cell r="A163" t="str">
            <v>Derivative &amp; Hedging Assets</v>
          </cell>
          <cell r="B163" t="str">
            <v>BS_DERIV_&amp;_HEDGING_ASSETS_LT</v>
          </cell>
          <cell r="C163" t="str">
            <v>EQY_FUND_RELATIVE_PERIOD</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t="str">
            <v/>
          </cell>
          <cell r="AB163">
            <v>0</v>
          </cell>
          <cell r="AC163">
            <v>0</v>
          </cell>
          <cell r="AD163">
            <v>0</v>
          </cell>
          <cell r="AE163">
            <v>0</v>
          </cell>
          <cell r="AF163">
            <v>0</v>
          </cell>
          <cell r="AG163">
            <v>0</v>
          </cell>
          <cell r="AH163">
            <v>0</v>
          </cell>
          <cell r="AI163">
            <v>0</v>
          </cell>
          <cell r="AJ163">
            <v>0</v>
          </cell>
          <cell r="AK163">
            <v>0</v>
          </cell>
          <cell r="AL163">
            <v>0</v>
          </cell>
        </row>
        <row r="164">
          <cell r="A164" t="str">
            <v>Prepaid Pension Costs</v>
          </cell>
          <cell r="B164" t="str">
            <v>BS_PREPAID_PENSION_COSTS_LT</v>
          </cell>
          <cell r="C164" t="str">
            <v>EQY_FUND_RELATIVE_PERIOD</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t="str">
            <v/>
          </cell>
          <cell r="AB164">
            <v>0</v>
          </cell>
          <cell r="AC164">
            <v>0</v>
          </cell>
          <cell r="AD164">
            <v>0</v>
          </cell>
          <cell r="AE164">
            <v>0</v>
          </cell>
          <cell r="AF164">
            <v>0</v>
          </cell>
          <cell r="AG164">
            <v>0</v>
          </cell>
          <cell r="AH164">
            <v>0</v>
          </cell>
          <cell r="AI164">
            <v>0</v>
          </cell>
          <cell r="AJ164">
            <v>0</v>
          </cell>
          <cell r="AK164">
            <v>0</v>
          </cell>
          <cell r="AL164">
            <v>0</v>
          </cell>
        </row>
        <row r="165">
          <cell r="A165" t="str">
            <v>Discontinued Operations</v>
          </cell>
          <cell r="B165" t="str">
            <v>BS_ASSETS_OF_DISCONTINUED_OPS_LT</v>
          </cell>
          <cell r="C165" t="str">
            <v>EQY_FUND_RELATIVE_PERIOD</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t="str">
            <v/>
          </cell>
          <cell r="AB165">
            <v>0</v>
          </cell>
          <cell r="AC165">
            <v>0</v>
          </cell>
          <cell r="AD165">
            <v>0</v>
          </cell>
          <cell r="AE165">
            <v>0</v>
          </cell>
          <cell r="AF165">
            <v>0</v>
          </cell>
          <cell r="AG165">
            <v>0</v>
          </cell>
          <cell r="AH165">
            <v>0</v>
          </cell>
          <cell r="AI165">
            <v>0</v>
          </cell>
          <cell r="AJ165">
            <v>0</v>
          </cell>
          <cell r="AK165">
            <v>0</v>
          </cell>
          <cell r="AL165">
            <v>0</v>
          </cell>
        </row>
        <row r="166">
          <cell r="A166" t="str">
            <v>Investments in Affiliates</v>
          </cell>
          <cell r="B166" t="str">
            <v>BS_INVEST_IN_ASSOC_CO</v>
          </cell>
          <cell r="C166" t="str">
            <v>EQY_FUND_RELATIVE_PERIOD</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t="str">
            <v/>
          </cell>
          <cell r="AB166">
            <v>0</v>
          </cell>
          <cell r="AC166">
            <v>0</v>
          </cell>
          <cell r="AD166">
            <v>0</v>
          </cell>
          <cell r="AE166">
            <v>0</v>
          </cell>
          <cell r="AF166">
            <v>0</v>
          </cell>
          <cell r="AG166">
            <v>0</v>
          </cell>
          <cell r="AH166">
            <v>0</v>
          </cell>
          <cell r="AI166">
            <v>0</v>
          </cell>
          <cell r="AJ166">
            <v>0</v>
          </cell>
          <cell r="AK166">
            <v>0</v>
          </cell>
          <cell r="AL166">
            <v>0</v>
          </cell>
        </row>
        <row r="167">
          <cell r="A167" t="str">
            <v>Misc LT Assets</v>
          </cell>
          <cell r="B167" t="str">
            <v>OTHER_NONCURRENT_ASSETS_DETAILED</v>
          </cell>
          <cell r="C167" t="str">
            <v>EQY_FUND_RELATIVE_PERIOD</v>
          </cell>
          <cell r="F167">
            <v>381.8130000000001</v>
          </cell>
          <cell r="G167">
            <v>340.99099999999999</v>
          </cell>
          <cell r="H167">
            <v>344.30500000000001</v>
          </cell>
          <cell r="I167">
            <v>307.767</v>
          </cell>
          <cell r="J167">
            <v>257.67599999999999</v>
          </cell>
          <cell r="K167">
            <v>261.07400000000001</v>
          </cell>
          <cell r="L167">
            <v>249.98599999999999</v>
          </cell>
          <cell r="M167">
            <v>254.71499999999924</v>
          </cell>
          <cell r="N167">
            <v>250.63799999999992</v>
          </cell>
          <cell r="O167">
            <v>208.23199999999997</v>
          </cell>
          <cell r="P167">
            <v>202.44200000000001</v>
          </cell>
          <cell r="Q167">
            <v>204.50500000000011</v>
          </cell>
          <cell r="R167">
            <v>224.86200000000008</v>
          </cell>
          <cell r="S167">
            <v>124</v>
          </cell>
          <cell r="T167">
            <v>214</v>
          </cell>
          <cell r="U167">
            <v>232</v>
          </cell>
          <cell r="V167">
            <v>345</v>
          </cell>
          <cell r="W167">
            <v>151</v>
          </cell>
          <cell r="X167">
            <v>150</v>
          </cell>
          <cell r="Y167">
            <v>118</v>
          </cell>
          <cell r="Z167">
            <v>123</v>
          </cell>
          <cell r="AA167" t="str">
            <v/>
          </cell>
          <cell r="AB167">
            <v>203.32300000000032</v>
          </cell>
          <cell r="AC167">
            <v>168.13000000000011</v>
          </cell>
          <cell r="AD167">
            <v>193.18600000000015</v>
          </cell>
          <cell r="AE167">
            <v>178.7470000000003</v>
          </cell>
          <cell r="AF167">
            <v>174.80400000000009</v>
          </cell>
          <cell r="AG167">
            <v>387.8080000000009</v>
          </cell>
          <cell r="AH167">
            <v>340.99099999999999</v>
          </cell>
          <cell r="AI167">
            <v>261.07400000000001</v>
          </cell>
          <cell r="AJ167">
            <v>208.23199999999997</v>
          </cell>
          <cell r="AK167">
            <v>124</v>
          </cell>
          <cell r="AL167">
            <v>151</v>
          </cell>
        </row>
        <row r="168">
          <cell r="A168" t="str">
            <v>Total Noncurrent Assets</v>
          </cell>
          <cell r="B168" t="str">
            <v>BS_TOT_NON_CUR_ASSET</v>
          </cell>
          <cell r="C168" t="str">
            <v>EQY_FUND_RELATIVE_PERIOD</v>
          </cell>
          <cell r="D168"/>
          <cell r="E168"/>
          <cell r="F168">
            <v>16524.021000000001</v>
          </cell>
          <cell r="G168">
            <v>16190.738000000001</v>
          </cell>
          <cell r="H168">
            <v>16001.074000000001</v>
          </cell>
          <cell r="I168">
            <v>15846.815999999999</v>
          </cell>
          <cell r="J168">
            <v>15709.26</v>
          </cell>
          <cell r="K168">
            <v>15646.428</v>
          </cell>
          <cell r="L168">
            <v>15461.406999999999</v>
          </cell>
          <cell r="M168">
            <v>15323.125</v>
          </cell>
          <cell r="N168">
            <v>15169.878000000001</v>
          </cell>
          <cell r="O168">
            <v>15016.645</v>
          </cell>
          <cell r="P168">
            <v>14869.46</v>
          </cell>
          <cell r="Q168">
            <v>14768.023000000001</v>
          </cell>
          <cell r="R168">
            <v>14712.339</v>
          </cell>
          <cell r="S168">
            <v>17395</v>
          </cell>
          <cell r="T168">
            <v>17313</v>
          </cell>
          <cell r="U168">
            <v>17198</v>
          </cell>
          <cell r="V168">
            <v>17170</v>
          </cell>
          <cell r="W168">
            <v>16953</v>
          </cell>
          <cell r="X168">
            <v>16878</v>
          </cell>
          <cell r="Y168">
            <v>27575</v>
          </cell>
          <cell r="Z168">
            <v>27401</v>
          </cell>
          <cell r="AA168" t="str">
            <v/>
          </cell>
          <cell r="AB168">
            <v>5757.8320000000003</v>
          </cell>
          <cell r="AC168">
            <v>5518.2119999999995</v>
          </cell>
          <cell r="AD168">
            <v>6731.915</v>
          </cell>
          <cell r="AE168">
            <v>6420.7169999999996</v>
          </cell>
          <cell r="AF168">
            <v>6198.1750000000002</v>
          </cell>
          <cell r="AG168">
            <v>16761.811000000002</v>
          </cell>
          <cell r="AH168">
            <v>16190.738000000001</v>
          </cell>
          <cell r="AI168">
            <v>15646.428</v>
          </cell>
          <cell r="AJ168">
            <v>15016.645</v>
          </cell>
          <cell r="AK168">
            <v>17395</v>
          </cell>
          <cell r="AL168">
            <v>16953</v>
          </cell>
          <cell r="AM168"/>
          <cell r="AN168"/>
        </row>
        <row r="169">
          <cell r="A169" t="str">
            <v>Total Assets</v>
          </cell>
          <cell r="B169" t="str">
            <v>BS_TOT_ASSET</v>
          </cell>
          <cell r="C169" t="str">
            <v>EQY_FUND_RELATIVE_PERIOD</v>
          </cell>
          <cell r="D169"/>
          <cell r="E169"/>
          <cell r="F169">
            <v>17493.767</v>
          </cell>
          <cell r="G169">
            <v>17460.768</v>
          </cell>
          <cell r="H169">
            <v>17218.25</v>
          </cell>
          <cell r="I169">
            <v>17145.595000000001</v>
          </cell>
          <cell r="J169">
            <v>17838.486000000001</v>
          </cell>
          <cell r="K169">
            <v>17733.630999999998</v>
          </cell>
          <cell r="L169">
            <v>17009.562000000002</v>
          </cell>
          <cell r="M169">
            <v>16600.065999999999</v>
          </cell>
          <cell r="N169">
            <v>16493.414000000001</v>
          </cell>
          <cell r="O169">
            <v>16635.484</v>
          </cell>
          <cell r="P169">
            <v>16468.874</v>
          </cell>
          <cell r="Q169">
            <v>16179.277999999998</v>
          </cell>
          <cell r="R169">
            <v>17639.687999999998</v>
          </cell>
          <cell r="S169">
            <v>18810</v>
          </cell>
          <cell r="T169">
            <v>18721</v>
          </cell>
          <cell r="U169">
            <v>21286</v>
          </cell>
          <cell r="V169">
            <v>27365</v>
          </cell>
          <cell r="W169">
            <v>27084</v>
          </cell>
          <cell r="X169">
            <v>26454</v>
          </cell>
          <cell r="Y169">
            <v>29456</v>
          </cell>
          <cell r="Z169">
            <v>29045</v>
          </cell>
          <cell r="AA169" t="str">
            <v/>
          </cell>
          <cell r="AB169">
            <v>6427.567</v>
          </cell>
          <cell r="AC169">
            <v>6791.2049999999999</v>
          </cell>
          <cell r="AD169">
            <v>7256.0689999999995</v>
          </cell>
          <cell r="AE169">
            <v>6888.6759999999995</v>
          </cell>
          <cell r="AF169">
            <v>6878.2550000000001</v>
          </cell>
          <cell r="AG169">
            <v>17890.23</v>
          </cell>
          <cell r="AH169">
            <v>17460.768</v>
          </cell>
          <cell r="AI169">
            <v>17733.630999999998</v>
          </cell>
          <cell r="AJ169">
            <v>16635.484</v>
          </cell>
          <cell r="AK169">
            <v>18810</v>
          </cell>
          <cell r="AL169">
            <v>27084</v>
          </cell>
          <cell r="AM169"/>
          <cell r="AN169"/>
        </row>
        <row r="170">
          <cell r="A170"/>
          <cell r="F170" t="str">
            <v/>
          </cell>
          <cell r="G170" t="str">
            <v/>
          </cell>
          <cell r="H170" t="str">
            <v/>
          </cell>
          <cell r="I170" t="str">
            <v/>
          </cell>
          <cell r="J170" t="str">
            <v/>
          </cell>
          <cell r="K170" t="str">
            <v/>
          </cell>
          <cell r="L170" t="str">
            <v/>
          </cell>
          <cell r="M170" t="str">
            <v/>
          </cell>
          <cell r="N170" t="str">
            <v/>
          </cell>
          <cell r="O170" t="str">
            <v/>
          </cell>
          <cell r="P170" t="str">
            <v/>
          </cell>
          <cell r="Q170" t="str">
            <v/>
          </cell>
          <cell r="R170" t="str">
            <v/>
          </cell>
          <cell r="S170" t="str">
            <v/>
          </cell>
          <cell r="T170" t="str">
            <v/>
          </cell>
          <cell r="U170" t="str">
            <v/>
          </cell>
          <cell r="V170" t="str">
            <v/>
          </cell>
          <cell r="W170" t="str">
            <v/>
          </cell>
          <cell r="X170" t="str">
            <v/>
          </cell>
          <cell r="Y170" t="str">
            <v/>
          </cell>
          <cell r="Z170" t="str">
            <v/>
          </cell>
          <cell r="AA170" t="str">
            <v/>
          </cell>
          <cell r="AB170" t="str">
            <v/>
          </cell>
          <cell r="AC170" t="str">
            <v/>
          </cell>
          <cell r="AD170" t="str">
            <v/>
          </cell>
          <cell r="AE170" t="str">
            <v/>
          </cell>
          <cell r="AF170" t="str">
            <v/>
          </cell>
          <cell r="AG170" t="str">
            <v/>
          </cell>
          <cell r="AH170" t="str">
            <v/>
          </cell>
          <cell r="AI170" t="str">
            <v/>
          </cell>
          <cell r="AJ170" t="str">
            <v/>
          </cell>
          <cell r="AK170" t="str">
            <v/>
          </cell>
          <cell r="AL170" t="str">
            <v/>
          </cell>
        </row>
        <row r="171">
          <cell r="A171" t="str">
            <v>Liabilities &amp; Shareholders' Equity</v>
          </cell>
          <cell r="F171" t="str">
            <v/>
          </cell>
          <cell r="G171" t="str">
            <v/>
          </cell>
          <cell r="H171" t="str">
            <v/>
          </cell>
          <cell r="I171" t="str">
            <v/>
          </cell>
          <cell r="J171" t="str">
            <v/>
          </cell>
          <cell r="K171" t="str">
            <v/>
          </cell>
          <cell r="L171" t="str">
            <v/>
          </cell>
          <cell r="M171" t="str">
            <v/>
          </cell>
          <cell r="N171" t="str">
            <v/>
          </cell>
          <cell r="O171" t="str">
            <v/>
          </cell>
          <cell r="P171" t="str">
            <v/>
          </cell>
          <cell r="Q171" t="str">
            <v/>
          </cell>
          <cell r="R171" t="str">
            <v/>
          </cell>
          <cell r="S171" t="str">
            <v/>
          </cell>
          <cell r="T171" t="str">
            <v/>
          </cell>
          <cell r="U171" t="str">
            <v/>
          </cell>
          <cell r="V171" t="str">
            <v/>
          </cell>
          <cell r="W171" t="str">
            <v/>
          </cell>
          <cell r="X171" t="str">
            <v/>
          </cell>
          <cell r="Y171" t="str">
            <v/>
          </cell>
          <cell r="Z171" t="str">
            <v/>
          </cell>
          <cell r="AA171" t="str">
            <v/>
          </cell>
          <cell r="AB171" t="str">
            <v/>
          </cell>
          <cell r="AC171" t="str">
            <v/>
          </cell>
          <cell r="AD171" t="str">
            <v/>
          </cell>
          <cell r="AE171" t="str">
            <v/>
          </cell>
          <cell r="AF171" t="str">
            <v/>
          </cell>
          <cell r="AG171" t="str">
            <v/>
          </cell>
          <cell r="AH171" t="str">
            <v/>
          </cell>
          <cell r="AI171" t="str">
            <v/>
          </cell>
          <cell r="AJ171" t="str">
            <v/>
          </cell>
          <cell r="AK171" t="str">
            <v/>
          </cell>
          <cell r="AL171" t="str">
            <v/>
          </cell>
        </row>
        <row r="172">
          <cell r="A172" t="str">
            <v>Payables &amp; Accruals</v>
          </cell>
          <cell r="B172" t="str">
            <v>ACCT_PAYABLE_&amp;_ACCRUALS_DETAILED</v>
          </cell>
          <cell r="C172" t="str">
            <v>EQY_FUND_RELATIVE_PERIOD</v>
          </cell>
          <cell r="F172">
            <v>753.04200000000003</v>
          </cell>
          <cell r="G172">
            <v>753.28</v>
          </cell>
          <cell r="H172">
            <v>612.59799999999996</v>
          </cell>
          <cell r="I172">
            <v>552.36599999999999</v>
          </cell>
          <cell r="J172">
            <v>624.33100000000002</v>
          </cell>
          <cell r="K172">
            <v>613.81700000000001</v>
          </cell>
          <cell r="L172">
            <v>501.12599999999998</v>
          </cell>
          <cell r="M172">
            <v>525.827</v>
          </cell>
          <cell r="N172">
            <v>508.24299999999999</v>
          </cell>
          <cell r="O172">
            <v>582.17100000000005</v>
          </cell>
          <cell r="P172">
            <v>501.42200000000003</v>
          </cell>
          <cell r="Q172">
            <v>567.62800000000004</v>
          </cell>
          <cell r="R172">
            <v>636.38900000000001</v>
          </cell>
          <cell r="S172">
            <v>673</v>
          </cell>
          <cell r="T172">
            <v>539</v>
          </cell>
          <cell r="U172">
            <v>614</v>
          </cell>
          <cell r="V172">
            <v>656</v>
          </cell>
          <cell r="W172">
            <v>957</v>
          </cell>
          <cell r="X172">
            <v>794</v>
          </cell>
          <cell r="Y172">
            <v>1282</v>
          </cell>
          <cell r="Z172">
            <v>1098</v>
          </cell>
          <cell r="AA172" t="str">
            <v/>
          </cell>
          <cell r="AB172">
            <v>140.494</v>
          </cell>
          <cell r="AC172">
            <v>153.88999999999999</v>
          </cell>
          <cell r="AD172">
            <v>179.40199999999999</v>
          </cell>
          <cell r="AE172">
            <v>141.94</v>
          </cell>
          <cell r="AF172">
            <v>275.42500000000001</v>
          </cell>
          <cell r="AG172">
            <v>774.971</v>
          </cell>
          <cell r="AH172">
            <v>753.28</v>
          </cell>
          <cell r="AI172">
            <v>613.81700000000001</v>
          </cell>
          <cell r="AJ172">
            <v>582.17100000000005</v>
          </cell>
          <cell r="AK172">
            <v>673</v>
          </cell>
          <cell r="AL172">
            <v>957</v>
          </cell>
        </row>
        <row r="173">
          <cell r="A173" t="str">
            <v>Accounts Payable</v>
          </cell>
          <cell r="B173" t="str">
            <v>BS_ACCT_PAYABLE</v>
          </cell>
          <cell r="C173" t="str">
            <v>EQY_FUND_RELATIVE_PERIOD</v>
          </cell>
          <cell r="F173">
            <v>469.21899999999999</v>
          </cell>
          <cell r="G173">
            <v>519.548</v>
          </cell>
          <cell r="H173">
            <v>327.584</v>
          </cell>
          <cell r="I173">
            <v>314.70599999999996</v>
          </cell>
          <cell r="J173">
            <v>322.81099999999998</v>
          </cell>
          <cell r="K173">
            <v>338.14799999999997</v>
          </cell>
          <cell r="L173">
            <v>219.00899999999999</v>
          </cell>
          <cell r="M173">
            <v>271.94200000000001</v>
          </cell>
          <cell r="N173">
            <v>231.45099999999999</v>
          </cell>
          <cell r="O173">
            <v>327.25599999999997</v>
          </cell>
          <cell r="P173">
            <v>218.02199999999999</v>
          </cell>
          <cell r="Q173">
            <v>275.11899999999997</v>
          </cell>
          <cell r="R173">
            <v>282.79599999999999</v>
          </cell>
          <cell r="S173">
            <v>379</v>
          </cell>
          <cell r="T173">
            <v>260</v>
          </cell>
          <cell r="U173">
            <v>324</v>
          </cell>
          <cell r="V173">
            <v>335</v>
          </cell>
          <cell r="W173">
            <v>467</v>
          </cell>
          <cell r="X173">
            <v>474</v>
          </cell>
          <cell r="Y173">
            <v>722</v>
          </cell>
          <cell r="Z173">
            <v>700</v>
          </cell>
          <cell r="AA173" t="str">
            <v/>
          </cell>
          <cell r="AB173">
            <v>140.494</v>
          </cell>
          <cell r="AC173">
            <v>153.88999999999999</v>
          </cell>
          <cell r="AD173">
            <v>179.40199999999999</v>
          </cell>
          <cell r="AE173">
            <v>141.94</v>
          </cell>
          <cell r="AF173">
            <v>139.55599999999998</v>
          </cell>
          <cell r="AG173">
            <v>436.88599999999997</v>
          </cell>
          <cell r="AH173">
            <v>519.548</v>
          </cell>
          <cell r="AI173">
            <v>338.14799999999997</v>
          </cell>
          <cell r="AJ173">
            <v>327.25599999999997</v>
          </cell>
          <cell r="AK173">
            <v>379</v>
          </cell>
          <cell r="AL173">
            <v>467</v>
          </cell>
        </row>
        <row r="174">
          <cell r="A174" t="str">
            <v>Accrued Income Taxes</v>
          </cell>
          <cell r="B174" t="str">
            <v>BS_TAXES_PAYABLE</v>
          </cell>
          <cell r="C174" t="str">
            <v>EQY_FUND_RELATIVE_PERIOD</v>
          </cell>
          <cell r="F174">
            <v>71.694000000000003</v>
          </cell>
          <cell r="G174">
            <v>64.391999999999996</v>
          </cell>
          <cell r="H174">
            <v>72.906999999999996</v>
          </cell>
          <cell r="I174">
            <v>71.388000000000005</v>
          </cell>
          <cell r="J174">
            <v>83.995000000000005</v>
          </cell>
          <cell r="K174">
            <v>66.341999999999999</v>
          </cell>
          <cell r="L174">
            <v>74.003</v>
          </cell>
          <cell r="M174">
            <v>65.337000000000003</v>
          </cell>
          <cell r="N174">
            <v>73.409000000000006</v>
          </cell>
          <cell r="O174">
            <v>66.275999999999996</v>
          </cell>
          <cell r="P174">
            <v>81.075999999999993</v>
          </cell>
          <cell r="Q174">
            <v>107.379</v>
          </cell>
          <cell r="R174">
            <v>154.57</v>
          </cell>
          <cell r="S174">
            <v>80</v>
          </cell>
          <cell r="T174">
            <v>71</v>
          </cell>
          <cell r="U174">
            <v>70</v>
          </cell>
          <cell r="V174">
            <v>106</v>
          </cell>
          <cell r="W174">
            <v>87</v>
          </cell>
          <cell r="X174">
            <v>87</v>
          </cell>
          <cell r="Y174">
            <v>126</v>
          </cell>
          <cell r="Z174">
            <v>158</v>
          </cell>
          <cell r="AA174" t="str">
            <v/>
          </cell>
          <cell r="AB174">
            <v>0</v>
          </cell>
          <cell r="AC174">
            <v>0</v>
          </cell>
          <cell r="AD174">
            <v>0</v>
          </cell>
          <cell r="AE174">
            <v>0</v>
          </cell>
          <cell r="AF174">
            <v>28.75</v>
          </cell>
          <cell r="AG174">
            <v>167.857</v>
          </cell>
          <cell r="AH174">
            <v>64.391999999999996</v>
          </cell>
          <cell r="AI174">
            <v>66.341999999999999</v>
          </cell>
          <cell r="AJ174">
            <v>66.275999999999996</v>
          </cell>
          <cell r="AK174">
            <v>80</v>
          </cell>
          <cell r="AL174">
            <v>87</v>
          </cell>
        </row>
        <row r="175">
          <cell r="A175" t="str">
            <v>Interest &amp; Dividends Payable</v>
          </cell>
          <cell r="B175" t="str">
            <v>BS_INTEREST_&amp;_DIVIDENDS_PAYABLE</v>
          </cell>
          <cell r="C175" t="str">
            <v>EQY_FUND_RELATIVE_PERIOD</v>
          </cell>
          <cell r="F175">
            <v>212.12899999999999</v>
          </cell>
          <cell r="G175">
            <v>169.34</v>
          </cell>
          <cell r="H175">
            <v>212.107</v>
          </cell>
          <cell r="I175">
            <v>166.27199999999999</v>
          </cell>
          <cell r="J175">
            <v>217.52500000000001</v>
          </cell>
          <cell r="K175">
            <v>209.327</v>
          </cell>
          <cell r="L175">
            <v>208.114</v>
          </cell>
          <cell r="M175">
            <v>188.548</v>
          </cell>
          <cell r="N175">
            <v>203.38300000000001</v>
          </cell>
          <cell r="O175">
            <v>188.63900000000001</v>
          </cell>
          <cell r="P175">
            <v>202.32400000000001</v>
          </cell>
          <cell r="Q175">
            <v>185.13</v>
          </cell>
          <cell r="R175">
            <v>199.023</v>
          </cell>
          <cell r="S175">
            <v>214</v>
          </cell>
          <cell r="T175">
            <v>208</v>
          </cell>
          <cell r="U175">
            <v>220</v>
          </cell>
          <cell r="V175">
            <v>215</v>
          </cell>
          <cell r="W175">
            <v>403</v>
          </cell>
          <cell r="X175">
            <v>233</v>
          </cell>
          <cell r="Y175">
            <v>434</v>
          </cell>
          <cell r="Z175">
            <v>240</v>
          </cell>
          <cell r="AA175" t="str">
            <v/>
          </cell>
          <cell r="AB175">
            <v>0</v>
          </cell>
          <cell r="AC175">
            <v>0</v>
          </cell>
          <cell r="AD175">
            <v>0</v>
          </cell>
          <cell r="AE175">
            <v>0</v>
          </cell>
          <cell r="AF175">
            <v>107.119</v>
          </cell>
          <cell r="AG175">
            <v>170.22800000000001</v>
          </cell>
          <cell r="AH175">
            <v>169.34</v>
          </cell>
          <cell r="AI175">
            <v>209.327</v>
          </cell>
          <cell r="AJ175">
            <v>188.63900000000001</v>
          </cell>
          <cell r="AK175">
            <v>214</v>
          </cell>
          <cell r="AL175">
            <v>403</v>
          </cell>
        </row>
        <row r="176">
          <cell r="A176" t="str">
            <v>Other Accrued Liabilities</v>
          </cell>
          <cell r="B176" t="str">
            <v>BS_ACCRUAL</v>
          </cell>
          <cell r="C176" t="str">
            <v>EQY_FUND_RELATIVE_PERIOD</v>
          </cell>
          <cell r="F176">
            <v>0</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t="str">
            <v/>
          </cell>
          <cell r="AB176">
            <v>0</v>
          </cell>
          <cell r="AC176">
            <v>0</v>
          </cell>
          <cell r="AD176">
            <v>0</v>
          </cell>
          <cell r="AE176">
            <v>0</v>
          </cell>
          <cell r="AF176">
            <v>0</v>
          </cell>
          <cell r="AG176">
            <v>0</v>
          </cell>
          <cell r="AH176">
            <v>0</v>
          </cell>
          <cell r="AI176">
            <v>0</v>
          </cell>
          <cell r="AJ176">
            <v>0</v>
          </cell>
          <cell r="AK176">
            <v>0</v>
          </cell>
          <cell r="AL176">
            <v>0</v>
          </cell>
        </row>
        <row r="177">
          <cell r="A177" t="str">
            <v>ST Debt</v>
          </cell>
          <cell r="B177" t="str">
            <v>BS_ST_BORROW</v>
          </cell>
          <cell r="C177" t="str">
            <v>EQY_FUND_RELATIVE_PERIOD</v>
          </cell>
          <cell r="F177">
            <v>43.762999999999998</v>
          </cell>
          <cell r="G177">
            <v>94.015999999999991</v>
          </cell>
          <cell r="H177">
            <v>674.74599999999998</v>
          </cell>
          <cell r="I177">
            <v>616.57499999999993</v>
          </cell>
          <cell r="J177">
            <v>596.54499999999996</v>
          </cell>
          <cell r="K177">
            <v>560.54999999999995</v>
          </cell>
          <cell r="L177">
            <v>57.899000000000001</v>
          </cell>
          <cell r="M177">
            <v>257.90499999999997</v>
          </cell>
          <cell r="N177">
            <v>257.91000000000003</v>
          </cell>
          <cell r="O177">
            <v>257.916</v>
          </cell>
          <cell r="P177">
            <v>365.625</v>
          </cell>
          <cell r="Q177">
            <v>262.52699999999999</v>
          </cell>
          <cell r="R177">
            <v>262.53399999999999</v>
          </cell>
          <cell r="S177">
            <v>298</v>
          </cell>
          <cell r="T177">
            <v>193</v>
          </cell>
          <cell r="U177">
            <v>97</v>
          </cell>
          <cell r="V177">
            <v>97</v>
          </cell>
          <cell r="W177">
            <v>384</v>
          </cell>
          <cell r="X177">
            <v>370</v>
          </cell>
          <cell r="Y177">
            <v>1043</v>
          </cell>
          <cell r="Z177">
            <v>509</v>
          </cell>
          <cell r="AA177" t="str">
            <v/>
          </cell>
          <cell r="AB177">
            <v>227.69299999999998</v>
          </cell>
          <cell r="AC177">
            <v>39.271000000000001</v>
          </cell>
          <cell r="AD177">
            <v>2.448</v>
          </cell>
          <cell r="AE177">
            <v>3.8569999999999998</v>
          </cell>
          <cell r="AF177">
            <v>7.2359999999999998</v>
          </cell>
          <cell r="AG177">
            <v>280.00200000000001</v>
          </cell>
          <cell r="AH177">
            <v>94.015999999999991</v>
          </cell>
          <cell r="AI177">
            <v>560.54999999999995</v>
          </cell>
          <cell r="AJ177">
            <v>257.916</v>
          </cell>
          <cell r="AK177">
            <v>298</v>
          </cell>
          <cell r="AL177">
            <v>384</v>
          </cell>
        </row>
        <row r="178">
          <cell r="A178" t="str">
            <v>ST Borrowings</v>
          </cell>
          <cell r="B178" t="str">
            <v>SHORT_TERM_DEBT_DETAILED</v>
          </cell>
          <cell r="C178" t="str">
            <v>EQY_FUND_RELATIVE_PERIOD</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t="str">
            <v/>
          </cell>
          <cell r="AB178">
            <v>0</v>
          </cell>
          <cell r="AC178">
            <v>0</v>
          </cell>
          <cell r="AD178">
            <v>2.448</v>
          </cell>
          <cell r="AE178">
            <v>3.8570000000000002</v>
          </cell>
          <cell r="AF178">
            <v>0</v>
          </cell>
          <cell r="AG178">
            <v>0</v>
          </cell>
          <cell r="AH178">
            <v>0</v>
          </cell>
          <cell r="AI178">
            <v>0</v>
          </cell>
          <cell r="AJ178">
            <v>0</v>
          </cell>
          <cell r="AK178">
            <v>0</v>
          </cell>
          <cell r="AL178">
            <v>0</v>
          </cell>
        </row>
        <row r="179">
          <cell r="A179" t="str">
            <v>ST Capital Leases</v>
          </cell>
          <cell r="B179" t="str">
            <v>ST_CAPITAL_LEASE_OBLIGATIONS</v>
          </cell>
          <cell r="C179" t="str">
            <v>EQY_FUND_RELATIVE_PERIOD</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t="str">
            <v/>
          </cell>
          <cell r="AB179">
            <v>0</v>
          </cell>
          <cell r="AC179">
            <v>0</v>
          </cell>
          <cell r="AD179">
            <v>0</v>
          </cell>
          <cell r="AE179">
            <v>0</v>
          </cell>
          <cell r="AF179">
            <v>0</v>
          </cell>
          <cell r="AG179">
            <v>0</v>
          </cell>
          <cell r="AH179">
            <v>0</v>
          </cell>
          <cell r="AI179">
            <v>0</v>
          </cell>
          <cell r="AJ179">
            <v>0</v>
          </cell>
          <cell r="AK179">
            <v>0</v>
          </cell>
          <cell r="AL179">
            <v>0</v>
          </cell>
          <cell r="AM179"/>
          <cell r="AN179"/>
        </row>
        <row r="180">
          <cell r="A180" t="str">
            <v>Current Portion of LT Debt</v>
          </cell>
          <cell r="B180" t="str">
            <v>BS_CURR_PORTION_LT_DEBT</v>
          </cell>
          <cell r="C180" t="str">
            <v>EQY_FUND_RELATIVE_PERIOD</v>
          </cell>
          <cell r="F180">
            <v>43.762999999999998</v>
          </cell>
          <cell r="G180">
            <v>94.015999999999991</v>
          </cell>
          <cell r="H180">
            <v>674.74599999999998</v>
          </cell>
          <cell r="I180">
            <v>616.57499999999993</v>
          </cell>
          <cell r="J180">
            <v>596.54499999999996</v>
          </cell>
          <cell r="K180">
            <v>560.54999999999995</v>
          </cell>
          <cell r="L180">
            <v>57.899000000000001</v>
          </cell>
          <cell r="M180">
            <v>257.90499999999997</v>
          </cell>
          <cell r="N180">
            <v>257.91000000000003</v>
          </cell>
          <cell r="O180">
            <v>257.916</v>
          </cell>
          <cell r="P180">
            <v>365.625</v>
          </cell>
          <cell r="Q180">
            <v>262.52699999999999</v>
          </cell>
          <cell r="R180">
            <v>262.53399999999999</v>
          </cell>
          <cell r="S180">
            <v>298</v>
          </cell>
          <cell r="T180">
            <v>193</v>
          </cell>
          <cell r="U180">
            <v>97</v>
          </cell>
          <cell r="V180">
            <v>97</v>
          </cell>
          <cell r="W180">
            <v>384</v>
          </cell>
          <cell r="X180">
            <v>370</v>
          </cell>
          <cell r="Y180">
            <v>1043</v>
          </cell>
          <cell r="Z180">
            <v>509</v>
          </cell>
          <cell r="AA180" t="str">
            <v/>
          </cell>
          <cell r="AB180">
            <v>0</v>
          </cell>
          <cell r="AC180">
            <v>0</v>
          </cell>
          <cell r="AD180">
            <v>0</v>
          </cell>
          <cell r="AE180">
            <v>0</v>
          </cell>
          <cell r="AF180">
            <v>7.2359999999999998</v>
          </cell>
          <cell r="AG180">
            <v>280.00200000000001</v>
          </cell>
          <cell r="AH180">
            <v>94.015999999999991</v>
          </cell>
          <cell r="AI180">
            <v>560.54999999999995</v>
          </cell>
          <cell r="AJ180">
            <v>257.916</v>
          </cell>
          <cell r="AK180">
            <v>298</v>
          </cell>
          <cell r="AL180">
            <v>384</v>
          </cell>
          <cell r="AM180"/>
          <cell r="AN180"/>
        </row>
        <row r="181">
          <cell r="A181" t="str">
            <v>Other ST Liabilities</v>
          </cell>
          <cell r="B181" t="str">
            <v>OTHER_CURRENT_LIABS_SUB_DETAILED</v>
          </cell>
          <cell r="C181" t="str">
            <v>EQY_FUND_RELATIVE_PERIOD</v>
          </cell>
          <cell r="F181">
            <v>371.33699999999999</v>
          </cell>
          <cell r="G181">
            <v>335.91999999999996</v>
          </cell>
          <cell r="H181">
            <v>288.87300000000005</v>
          </cell>
          <cell r="I181">
            <v>370.61099999999999</v>
          </cell>
          <cell r="J181">
            <v>300.11</v>
          </cell>
          <cell r="K181">
            <v>379.15300000000002</v>
          </cell>
          <cell r="L181">
            <v>356.91200000000003</v>
          </cell>
          <cell r="M181">
            <v>364.428</v>
          </cell>
          <cell r="N181">
            <v>358.738</v>
          </cell>
          <cell r="O181">
            <v>461.5</v>
          </cell>
          <cell r="P181">
            <v>464.82900000000006</v>
          </cell>
          <cell r="Q181">
            <v>452.09899999999999</v>
          </cell>
          <cell r="R181">
            <v>439.44600000000003</v>
          </cell>
          <cell r="S181">
            <v>541</v>
          </cell>
          <cell r="T181">
            <v>708</v>
          </cell>
          <cell r="U181">
            <v>697</v>
          </cell>
          <cell r="V181">
            <v>675</v>
          </cell>
          <cell r="W181">
            <v>552</v>
          </cell>
          <cell r="X181">
            <v>570</v>
          </cell>
          <cell r="Y181">
            <v>867</v>
          </cell>
          <cell r="Z181">
            <v>799</v>
          </cell>
          <cell r="AA181" t="str">
            <v/>
          </cell>
          <cell r="AB181">
            <v>273.572</v>
          </cell>
          <cell r="AC181">
            <v>232.48199999999997</v>
          </cell>
          <cell r="AD181">
            <v>264.04100000000005</v>
          </cell>
          <cell r="AE181">
            <v>236.97799999999998</v>
          </cell>
          <cell r="AF181">
            <v>110.01599999999999</v>
          </cell>
          <cell r="AG181">
            <v>384.38400000000001</v>
          </cell>
          <cell r="AH181">
            <v>335.91999999999996</v>
          </cell>
          <cell r="AI181">
            <v>379.15300000000002</v>
          </cell>
          <cell r="AJ181">
            <v>461.5</v>
          </cell>
          <cell r="AK181">
            <v>541</v>
          </cell>
          <cell r="AL181">
            <v>552</v>
          </cell>
          <cell r="AM181"/>
          <cell r="AN181"/>
        </row>
        <row r="182">
          <cell r="A182" t="str">
            <v>Deferred Revenue</v>
          </cell>
          <cell r="B182" t="str">
            <v>ST_DEFERRED_REVENUE</v>
          </cell>
          <cell r="C182" t="str">
            <v>EQY_FUND_RELATIVE_PERIOD</v>
          </cell>
          <cell r="F182">
            <v>161.94399999999999</v>
          </cell>
          <cell r="G182">
            <v>152.78399999999999</v>
          </cell>
          <cell r="H182">
            <v>150.17400000000001</v>
          </cell>
          <cell r="I182">
            <v>147.64099999999999</v>
          </cell>
          <cell r="J182">
            <v>147.22799999999998</v>
          </cell>
          <cell r="K182">
            <v>146.31700000000001</v>
          </cell>
          <cell r="L182">
            <v>143.768</v>
          </cell>
          <cell r="M182">
            <v>140.005</v>
          </cell>
          <cell r="N182">
            <v>139.50399999999999</v>
          </cell>
          <cell r="O182">
            <v>137.31899999999999</v>
          </cell>
          <cell r="P182">
            <v>135.24599999999998</v>
          </cell>
          <cell r="Q182">
            <v>133.56</v>
          </cell>
          <cell r="R182">
            <v>132.84800000000001</v>
          </cell>
          <cell r="S182">
            <v>179</v>
          </cell>
          <cell r="T182">
            <v>176</v>
          </cell>
          <cell r="U182">
            <v>170</v>
          </cell>
          <cell r="V182">
            <v>165</v>
          </cell>
          <cell r="W182">
            <v>160</v>
          </cell>
          <cell r="X182">
            <v>158</v>
          </cell>
          <cell r="Y182">
            <v>323</v>
          </cell>
          <cell r="Z182">
            <v>312</v>
          </cell>
          <cell r="AA182" t="str">
            <v/>
          </cell>
          <cell r="AB182">
            <v>0</v>
          </cell>
          <cell r="AC182">
            <v>0</v>
          </cell>
          <cell r="AD182">
            <v>0</v>
          </cell>
          <cell r="AE182">
            <v>0</v>
          </cell>
          <cell r="AF182">
            <v>49.588999999999999</v>
          </cell>
          <cell r="AG182">
            <v>171.602</v>
          </cell>
          <cell r="AH182">
            <v>152.78399999999999</v>
          </cell>
          <cell r="AI182">
            <v>146.31700000000001</v>
          </cell>
          <cell r="AJ182">
            <v>137.31899999999999</v>
          </cell>
          <cell r="AK182">
            <v>179</v>
          </cell>
          <cell r="AL182">
            <v>160</v>
          </cell>
          <cell r="AM182"/>
          <cell r="AN182"/>
        </row>
        <row r="183">
          <cell r="A183" t="str">
            <v>Derivatives &amp; Hedging</v>
          </cell>
          <cell r="B183" t="str">
            <v>BS_DERIVATIVE_&amp;_HEDGING_LIABS_ST</v>
          </cell>
          <cell r="C183" t="str">
            <v>EQY_FUND_RELATIVE_PERIOD</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t="str">
            <v/>
          </cell>
          <cell r="AB183">
            <v>0</v>
          </cell>
          <cell r="AC183">
            <v>0</v>
          </cell>
          <cell r="AD183">
            <v>0</v>
          </cell>
          <cell r="AE183">
            <v>0</v>
          </cell>
          <cell r="AF183">
            <v>0</v>
          </cell>
          <cell r="AG183">
            <v>0</v>
          </cell>
          <cell r="AH183">
            <v>0</v>
          </cell>
          <cell r="AI183">
            <v>0</v>
          </cell>
          <cell r="AJ183">
            <v>0</v>
          </cell>
          <cell r="AK183">
            <v>0</v>
          </cell>
          <cell r="AL183">
            <v>0</v>
          </cell>
          <cell r="AM183"/>
          <cell r="AN183"/>
        </row>
        <row r="184">
          <cell r="A184" t="str">
            <v>Deferred Tax Liabilities</v>
          </cell>
          <cell r="B184" t="str">
            <v>BS_DEFERRED_TAX_LIABS_ST</v>
          </cell>
          <cell r="C184" t="str">
            <v>EQY_FUND_RELATIVE_PERIOD</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t="str">
            <v/>
          </cell>
          <cell r="AB184">
            <v>0</v>
          </cell>
          <cell r="AC184">
            <v>0</v>
          </cell>
          <cell r="AD184">
            <v>0</v>
          </cell>
          <cell r="AE184">
            <v>0</v>
          </cell>
          <cell r="AF184">
            <v>0</v>
          </cell>
          <cell r="AG184">
            <v>0</v>
          </cell>
          <cell r="AH184">
            <v>0</v>
          </cell>
          <cell r="AI184">
            <v>0</v>
          </cell>
          <cell r="AJ184">
            <v>0</v>
          </cell>
          <cell r="AK184">
            <v>0</v>
          </cell>
          <cell r="AL184">
            <v>0</v>
          </cell>
          <cell r="AM184"/>
          <cell r="AN184"/>
        </row>
        <row r="185">
          <cell r="A185" t="str">
            <v>Discontinued Operations</v>
          </cell>
          <cell r="B185" t="str">
            <v>BS_LIABS_OF_DISCONTINUED_OPS_ST</v>
          </cell>
          <cell r="C185" t="str">
            <v>EQY_FUND_RELATIVE_PERIOD</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t="str">
            <v/>
          </cell>
          <cell r="AB185">
            <v>0</v>
          </cell>
          <cell r="AC185">
            <v>0</v>
          </cell>
          <cell r="AD185">
            <v>0</v>
          </cell>
          <cell r="AE185">
            <v>0</v>
          </cell>
          <cell r="AF185">
            <v>0</v>
          </cell>
          <cell r="AG185">
            <v>0</v>
          </cell>
          <cell r="AH185">
            <v>0</v>
          </cell>
          <cell r="AI185">
            <v>0</v>
          </cell>
          <cell r="AJ185">
            <v>0</v>
          </cell>
          <cell r="AK185">
            <v>0</v>
          </cell>
          <cell r="AL185">
            <v>0</v>
          </cell>
          <cell r="AM185"/>
          <cell r="AN185"/>
        </row>
        <row r="186">
          <cell r="A186" t="str">
            <v>Misc ST Liabilities</v>
          </cell>
          <cell r="B186" t="str">
            <v>OTHER_CURRENT_LIABS_DETAILED</v>
          </cell>
          <cell r="C186" t="str">
            <v>EQY_FUND_RELATIVE_PERIOD</v>
          </cell>
          <cell r="F186">
            <v>209.393</v>
          </cell>
          <cell r="G186">
            <v>183.136</v>
          </cell>
          <cell r="H186">
            <v>138.69900000000001</v>
          </cell>
          <cell r="I186">
            <v>222.97</v>
          </cell>
          <cell r="J186">
            <v>152.88200000000001</v>
          </cell>
          <cell r="K186">
            <v>232.83600000000001</v>
          </cell>
          <cell r="L186">
            <v>213.14400000000001</v>
          </cell>
          <cell r="M186">
            <v>224.423</v>
          </cell>
          <cell r="N186">
            <v>219.23400000000001</v>
          </cell>
          <cell r="O186">
            <v>324.18099999999998</v>
          </cell>
          <cell r="P186">
            <v>329.58300000000003</v>
          </cell>
          <cell r="Q186">
            <v>318.53899999999999</v>
          </cell>
          <cell r="R186">
            <v>306.59800000000001</v>
          </cell>
          <cell r="S186">
            <v>362</v>
          </cell>
          <cell r="T186">
            <v>532</v>
          </cell>
          <cell r="U186">
            <v>527</v>
          </cell>
          <cell r="V186">
            <v>510</v>
          </cell>
          <cell r="W186">
            <v>392</v>
          </cell>
          <cell r="X186">
            <v>412</v>
          </cell>
          <cell r="Y186">
            <v>544</v>
          </cell>
          <cell r="Z186">
            <v>487</v>
          </cell>
          <cell r="AA186" t="str">
            <v/>
          </cell>
          <cell r="AB186">
            <v>273.572</v>
          </cell>
          <cell r="AC186">
            <v>232.48199999999997</v>
          </cell>
          <cell r="AD186">
            <v>264.04100000000005</v>
          </cell>
          <cell r="AE186">
            <v>236.97799999999998</v>
          </cell>
          <cell r="AF186">
            <v>60.427</v>
          </cell>
          <cell r="AG186">
            <v>212.78200000000001</v>
          </cell>
          <cell r="AH186">
            <v>183.136</v>
          </cell>
          <cell r="AI186">
            <v>232.83600000000001</v>
          </cell>
          <cell r="AJ186">
            <v>324.18099999999998</v>
          </cell>
          <cell r="AK186">
            <v>362</v>
          </cell>
          <cell r="AL186">
            <v>392</v>
          </cell>
          <cell r="AM186"/>
          <cell r="AN186"/>
        </row>
        <row r="187">
          <cell r="A187" t="str">
            <v>Total Current Liabilities</v>
          </cell>
          <cell r="B187" t="str">
            <v>BS_CUR_LIAB</v>
          </cell>
          <cell r="C187" t="str">
            <v>EQY_FUND_RELATIVE_PERIOD</v>
          </cell>
          <cell r="F187">
            <v>1168.1420000000001</v>
          </cell>
          <cell r="G187">
            <v>1183.2159999999999</v>
          </cell>
          <cell r="H187">
            <v>1576.2169999999999</v>
          </cell>
          <cell r="I187">
            <v>1539.5519999999999</v>
          </cell>
          <cell r="J187">
            <v>1520.9859999999999</v>
          </cell>
          <cell r="K187">
            <v>1553.52</v>
          </cell>
          <cell r="L187">
            <v>915.93700000000001</v>
          </cell>
          <cell r="M187">
            <v>1148.1599999999999</v>
          </cell>
          <cell r="N187">
            <v>1124.8909999999998</v>
          </cell>
          <cell r="O187">
            <v>1301.587</v>
          </cell>
          <cell r="P187">
            <v>1331.876</v>
          </cell>
          <cell r="Q187">
            <v>1282.2539999999999</v>
          </cell>
          <cell r="R187">
            <v>1338.3689999999999</v>
          </cell>
          <cell r="S187">
            <v>1512</v>
          </cell>
          <cell r="T187">
            <v>1440</v>
          </cell>
          <cell r="U187">
            <v>1408</v>
          </cell>
          <cell r="V187">
            <v>1428</v>
          </cell>
          <cell r="W187">
            <v>1893</v>
          </cell>
          <cell r="X187">
            <v>1734</v>
          </cell>
          <cell r="Y187">
            <v>3192</v>
          </cell>
          <cell r="Z187">
            <v>2406</v>
          </cell>
          <cell r="AA187" t="str">
            <v/>
          </cell>
          <cell r="AB187">
            <v>641.75900000000001</v>
          </cell>
          <cell r="AC187">
            <v>425.64299999999997</v>
          </cell>
          <cell r="AD187">
            <v>445.89099999999996</v>
          </cell>
          <cell r="AE187">
            <v>382.77499999999998</v>
          </cell>
          <cell r="AF187">
            <v>392.67699999999996</v>
          </cell>
          <cell r="AG187">
            <v>1439.357</v>
          </cell>
          <cell r="AH187">
            <v>1183.2159999999999</v>
          </cell>
          <cell r="AI187">
            <v>1553.52</v>
          </cell>
          <cell r="AJ187">
            <v>1301.587</v>
          </cell>
          <cell r="AK187">
            <v>1512</v>
          </cell>
          <cell r="AL187">
            <v>1893</v>
          </cell>
          <cell r="AM187"/>
          <cell r="AN187"/>
        </row>
        <row r="188">
          <cell r="A188" t="str">
            <v>LT Debt</v>
          </cell>
          <cell r="B188" t="str">
            <v>BS_LT_BORROW</v>
          </cell>
          <cell r="C188" t="str">
            <v>EQY_FUND_RELATIVE_PERIOD</v>
          </cell>
          <cell r="F188">
            <v>8151.0809999999992</v>
          </cell>
          <cell r="G188">
            <v>8205.8410000000003</v>
          </cell>
          <cell r="H188">
            <v>7614.3919999999998</v>
          </cell>
          <cell r="I188">
            <v>7670.5169999999998</v>
          </cell>
          <cell r="J188">
            <v>8257.5990000000002</v>
          </cell>
          <cell r="K188">
            <v>8381.9470000000001</v>
          </cell>
          <cell r="L188">
            <v>8368.7289999999994</v>
          </cell>
          <cell r="M188">
            <v>7900.9219999999996</v>
          </cell>
          <cell r="N188">
            <v>7887.2959999999994</v>
          </cell>
          <cell r="O188">
            <v>7873.6669999999995</v>
          </cell>
          <cell r="P188">
            <v>7762.6719999999996</v>
          </cell>
          <cell r="Q188">
            <v>7650.8329999999996</v>
          </cell>
          <cell r="R188">
            <v>9185.6029999999992</v>
          </cell>
          <cell r="S188">
            <v>9393</v>
          </cell>
          <cell r="T188">
            <v>9464</v>
          </cell>
          <cell r="U188">
            <v>9440</v>
          </cell>
          <cell r="V188">
            <v>16016</v>
          </cell>
          <cell r="W188">
            <v>15508</v>
          </cell>
          <cell r="X188">
            <v>15496</v>
          </cell>
          <cell r="Y188">
            <v>16923</v>
          </cell>
          <cell r="Z188">
            <v>17434</v>
          </cell>
          <cell r="AA188" t="str">
            <v/>
          </cell>
          <cell r="AB188">
            <v>3995.1299999999997</v>
          </cell>
          <cell r="AC188">
            <v>4460.7550000000001</v>
          </cell>
          <cell r="AD188">
            <v>4736.8969999999999</v>
          </cell>
          <cell r="AE188">
            <v>4721.6849999999995</v>
          </cell>
          <cell r="AF188">
            <v>4794.1289999999999</v>
          </cell>
          <cell r="AG188">
            <v>7983.6929999999993</v>
          </cell>
          <cell r="AH188">
            <v>8205.8410000000003</v>
          </cell>
          <cell r="AI188">
            <v>8381.9470000000001</v>
          </cell>
          <cell r="AJ188">
            <v>7873.6669999999995</v>
          </cell>
          <cell r="AK188">
            <v>9393</v>
          </cell>
          <cell r="AL188">
            <v>15508</v>
          </cell>
          <cell r="AM188"/>
          <cell r="AN188"/>
        </row>
        <row r="189">
          <cell r="A189" t="str">
            <v>LT Borrowings</v>
          </cell>
          <cell r="B189" t="str">
            <v>LONG_TERM_BORROWINGS_DETAILED</v>
          </cell>
          <cell r="C189" t="str">
            <v>EQY_FUND_RELATIVE_PERIOD</v>
          </cell>
          <cell r="F189">
            <v>8151.0810000000001</v>
          </cell>
          <cell r="G189">
            <v>8205.8410000000003</v>
          </cell>
          <cell r="H189">
            <v>7614.3919999999998</v>
          </cell>
          <cell r="I189">
            <v>7670.5169999999998</v>
          </cell>
          <cell r="J189">
            <v>8257.5990000000002</v>
          </cell>
          <cell r="K189">
            <v>8381.9470000000001</v>
          </cell>
          <cell r="L189">
            <v>8368.7289999999994</v>
          </cell>
          <cell r="M189">
            <v>7900.9219999999996</v>
          </cell>
          <cell r="N189">
            <v>7887.2960000000003</v>
          </cell>
          <cell r="O189">
            <v>7873.6670000000004</v>
          </cell>
          <cell r="P189">
            <v>7762.6719999999996</v>
          </cell>
          <cell r="Q189">
            <v>7650.8329999999996</v>
          </cell>
          <cell r="R189">
            <v>9185.6029999999992</v>
          </cell>
          <cell r="S189">
            <v>9393</v>
          </cell>
          <cell r="T189">
            <v>9464</v>
          </cell>
          <cell r="U189">
            <v>9440</v>
          </cell>
          <cell r="V189">
            <v>16016</v>
          </cell>
          <cell r="W189">
            <v>15508</v>
          </cell>
          <cell r="X189">
            <v>15496</v>
          </cell>
          <cell r="Y189">
            <v>16923</v>
          </cell>
          <cell r="Z189">
            <v>17434</v>
          </cell>
          <cell r="AA189" t="str">
            <v/>
          </cell>
          <cell r="AB189">
            <v>0</v>
          </cell>
          <cell r="AC189">
            <v>0</v>
          </cell>
          <cell r="AD189">
            <v>4736.8969999999999</v>
          </cell>
          <cell r="AE189">
            <v>4721.6850000000004</v>
          </cell>
          <cell r="AF189">
            <v>4794.1289999999999</v>
          </cell>
          <cell r="AG189">
            <v>7983.6930000000002</v>
          </cell>
          <cell r="AH189">
            <v>8205.8410000000003</v>
          </cell>
          <cell r="AI189">
            <v>8381.9470000000001</v>
          </cell>
          <cell r="AJ189">
            <v>7873.6670000000004</v>
          </cell>
          <cell r="AK189">
            <v>9393</v>
          </cell>
          <cell r="AL189">
            <v>15508</v>
          </cell>
          <cell r="AM189"/>
          <cell r="AN189"/>
        </row>
        <row r="190">
          <cell r="A190" t="str">
            <v>LT Capital Leases</v>
          </cell>
          <cell r="B190" t="str">
            <v>LT_CAPITAL_LEASE_OBLIGATIONS</v>
          </cell>
          <cell r="C190" t="str">
            <v>EQY_FUND_RELATIVE_PERIOD</v>
          </cell>
          <cell r="F190">
            <v>0</v>
          </cell>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t="str">
            <v/>
          </cell>
          <cell r="AB190">
            <v>0</v>
          </cell>
          <cell r="AC190">
            <v>0</v>
          </cell>
          <cell r="AD190">
            <v>0</v>
          </cell>
          <cell r="AE190">
            <v>0</v>
          </cell>
          <cell r="AF190">
            <v>0</v>
          </cell>
          <cell r="AG190">
            <v>0</v>
          </cell>
          <cell r="AH190">
            <v>0</v>
          </cell>
          <cell r="AI190">
            <v>0</v>
          </cell>
          <cell r="AJ190">
            <v>0</v>
          </cell>
          <cell r="AK190">
            <v>0</v>
          </cell>
          <cell r="AL190">
            <v>0</v>
          </cell>
          <cell r="AM190"/>
          <cell r="AN190"/>
        </row>
        <row r="191">
          <cell r="A191" t="str">
            <v>Other LT Liabilities</v>
          </cell>
          <cell r="B191" t="str">
            <v>OTHER_NONCUR_LIABS_SUB_DETAILED</v>
          </cell>
          <cell r="C191" t="str">
            <v>EQY_FUND_RELATIVE_PERIOD</v>
          </cell>
          <cell r="F191">
            <v>3397.9560000000001</v>
          </cell>
          <cell r="G191">
            <v>3602.5770000000002</v>
          </cell>
          <cell r="H191">
            <v>3627.6610000000001</v>
          </cell>
          <cell r="I191">
            <v>3603.9020000000005</v>
          </cell>
          <cell r="J191">
            <v>3756.5010000000002</v>
          </cell>
          <cell r="K191">
            <v>3678.893</v>
          </cell>
          <cell r="L191">
            <v>3654.5140000000001</v>
          </cell>
          <cell r="M191">
            <v>3615.9789999999998</v>
          </cell>
          <cell r="N191">
            <v>3575.165</v>
          </cell>
          <cell r="O191">
            <v>3404.7489999999998</v>
          </cell>
          <cell r="P191">
            <v>3376.654</v>
          </cell>
          <cell r="Q191">
            <v>3303.0410000000002</v>
          </cell>
          <cell r="R191">
            <v>3223.1970000000001</v>
          </cell>
          <cell r="S191">
            <v>4247</v>
          </cell>
          <cell r="T191">
            <v>4310</v>
          </cell>
          <cell r="U191">
            <v>4390</v>
          </cell>
          <cell r="V191">
            <v>4066</v>
          </cell>
          <cell r="W191">
            <v>4069</v>
          </cell>
          <cell r="X191">
            <v>3970</v>
          </cell>
          <cell r="Y191">
            <v>4279</v>
          </cell>
          <cell r="Z191">
            <v>4448</v>
          </cell>
          <cell r="AA191" t="str">
            <v/>
          </cell>
          <cell r="AB191">
            <v>748.86900000000003</v>
          </cell>
          <cell r="AC191">
            <v>846.77499999999998</v>
          </cell>
          <cell r="AD191">
            <v>1075.3820000000001</v>
          </cell>
          <cell r="AE191">
            <v>1254.6099999999999</v>
          </cell>
          <cell r="AF191">
            <v>1352.3789999999999</v>
          </cell>
          <cell r="AG191">
            <v>3257.4369999999999</v>
          </cell>
          <cell r="AH191">
            <v>3602.5770000000002</v>
          </cell>
          <cell r="AI191">
            <v>3678.893</v>
          </cell>
          <cell r="AJ191">
            <v>3404.7489999999998</v>
          </cell>
          <cell r="AK191">
            <v>4247</v>
          </cell>
          <cell r="AL191">
            <v>4069</v>
          </cell>
          <cell r="AM191"/>
          <cell r="AN191"/>
        </row>
        <row r="192">
          <cell r="A192" t="str">
            <v>Accrued Liabilities</v>
          </cell>
          <cell r="B192" t="str">
            <v>BS_ACCRUED_LIABILITIES</v>
          </cell>
          <cell r="C192" t="str">
            <v>EQY_FUND_RELATIVE_PERIOD</v>
          </cell>
          <cell r="F192">
            <v>0</v>
          </cell>
          <cell r="G192">
            <v>0</v>
          </cell>
          <cell r="H192">
            <v>0</v>
          </cell>
          <cell r="I192">
            <v>0</v>
          </cell>
          <cell r="J192">
            <v>0</v>
          </cell>
          <cell r="K192">
            <v>0</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t="str">
            <v/>
          </cell>
          <cell r="AB192">
            <v>0</v>
          </cell>
          <cell r="AC192">
            <v>0</v>
          </cell>
          <cell r="AD192">
            <v>0</v>
          </cell>
          <cell r="AE192">
            <v>0</v>
          </cell>
          <cell r="AF192">
            <v>0</v>
          </cell>
          <cell r="AG192">
            <v>0</v>
          </cell>
          <cell r="AH192">
            <v>0</v>
          </cell>
          <cell r="AI192">
            <v>0</v>
          </cell>
          <cell r="AJ192">
            <v>0</v>
          </cell>
          <cell r="AK192">
            <v>0</v>
          </cell>
          <cell r="AL192">
            <v>0</v>
          </cell>
          <cell r="AM192"/>
          <cell r="AN192"/>
        </row>
        <row r="193">
          <cell r="A193" t="str">
            <v>Pension Liabilities</v>
          </cell>
          <cell r="B193" t="str">
            <v>PENSION_LIABILITIES</v>
          </cell>
          <cell r="C193" t="str">
            <v>EQY_FUND_RELATIVE_PERIOD</v>
          </cell>
          <cell r="F193">
            <v>780.14199999999994</v>
          </cell>
          <cell r="G193">
            <v>918.70099999999991</v>
          </cell>
          <cell r="H193">
            <v>929.20999999999992</v>
          </cell>
          <cell r="I193">
            <v>908.976</v>
          </cell>
          <cell r="J193">
            <v>923.63400000000001</v>
          </cell>
          <cell r="K193">
            <v>1055.058</v>
          </cell>
          <cell r="L193">
            <v>1054.2460000000001</v>
          </cell>
          <cell r="M193">
            <v>1045.9780000000001</v>
          </cell>
          <cell r="N193">
            <v>1022.765</v>
          </cell>
          <cell r="O193">
            <v>725.33299999999997</v>
          </cell>
          <cell r="P193">
            <v>713.77699999999993</v>
          </cell>
          <cell r="Q193">
            <v>697.70799999999997</v>
          </cell>
          <cell r="R193">
            <v>676.56399999999996</v>
          </cell>
          <cell r="S193">
            <v>1141</v>
          </cell>
          <cell r="T193">
            <v>1173</v>
          </cell>
          <cell r="U193">
            <v>1122</v>
          </cell>
          <cell r="V193">
            <v>1146</v>
          </cell>
          <cell r="W193">
            <v>1163</v>
          </cell>
          <cell r="X193">
            <v>1178</v>
          </cell>
          <cell r="Y193">
            <v>1470</v>
          </cell>
          <cell r="Z193">
            <v>1570</v>
          </cell>
          <cell r="AA193" t="str">
            <v/>
          </cell>
          <cell r="AB193">
            <v>0</v>
          </cell>
          <cell r="AC193">
            <v>0</v>
          </cell>
          <cell r="AD193">
            <v>0</v>
          </cell>
          <cell r="AE193">
            <v>0</v>
          </cell>
          <cell r="AF193">
            <v>454.161</v>
          </cell>
          <cell r="AG193">
            <v>816.58799999999997</v>
          </cell>
          <cell r="AH193">
            <v>918.70099999999991</v>
          </cell>
          <cell r="AI193">
            <v>1055.058</v>
          </cell>
          <cell r="AJ193">
            <v>725.33299999999997</v>
          </cell>
          <cell r="AK193">
            <v>1141</v>
          </cell>
          <cell r="AL193">
            <v>1163</v>
          </cell>
          <cell r="AM193"/>
          <cell r="AN193"/>
        </row>
        <row r="194">
          <cell r="A194" t="str">
            <v>Pensions</v>
          </cell>
          <cell r="B194" t="str">
            <v>BS_PENSIONS_LT_LIABS</v>
          </cell>
          <cell r="C194" t="str">
            <v>EQY_FUND_RELATIVE_PERIOD</v>
          </cell>
          <cell r="F194">
            <v>0</v>
          </cell>
          <cell r="G194">
            <v>0</v>
          </cell>
          <cell r="H194">
            <v>0</v>
          </cell>
          <cell r="I194">
            <v>0</v>
          </cell>
          <cell r="J194">
            <v>0</v>
          </cell>
          <cell r="K194">
            <v>630.67899999999997</v>
          </cell>
          <cell r="L194">
            <v>0</v>
          </cell>
          <cell r="M194">
            <v>0</v>
          </cell>
          <cell r="N194">
            <v>0</v>
          </cell>
          <cell r="O194">
            <v>351.99599999999998</v>
          </cell>
          <cell r="P194">
            <v>0</v>
          </cell>
          <cell r="Q194">
            <v>0</v>
          </cell>
          <cell r="R194">
            <v>0</v>
          </cell>
          <cell r="S194">
            <v>0</v>
          </cell>
          <cell r="T194">
            <v>0</v>
          </cell>
          <cell r="U194">
            <v>0</v>
          </cell>
          <cell r="V194">
            <v>0</v>
          </cell>
          <cell r="W194">
            <v>0</v>
          </cell>
          <cell r="X194">
            <v>0</v>
          </cell>
          <cell r="Y194">
            <v>0</v>
          </cell>
          <cell r="Z194">
            <v>0</v>
          </cell>
          <cell r="AA194" t="str">
            <v/>
          </cell>
          <cell r="AB194">
            <v>0</v>
          </cell>
          <cell r="AC194">
            <v>0</v>
          </cell>
          <cell r="AD194">
            <v>0</v>
          </cell>
          <cell r="AE194">
            <v>0</v>
          </cell>
          <cell r="AF194">
            <v>0</v>
          </cell>
          <cell r="AG194">
            <v>0</v>
          </cell>
          <cell r="AH194">
            <v>0</v>
          </cell>
          <cell r="AI194">
            <v>630.67899999999997</v>
          </cell>
          <cell r="AJ194">
            <v>351.99599999999998</v>
          </cell>
          <cell r="AK194">
            <v>0</v>
          </cell>
          <cell r="AL194">
            <v>0</v>
          </cell>
          <cell r="AM194"/>
          <cell r="AN194"/>
        </row>
        <row r="195">
          <cell r="A195" t="str">
            <v>Other PostRet Benefits</v>
          </cell>
          <cell r="B195" t="str">
            <v>BS_OPRB_LT_LIABS</v>
          </cell>
          <cell r="C195" t="str">
            <v>EQY_FUND_RELATIVE_PERIOD</v>
          </cell>
          <cell r="F195">
            <v>0</v>
          </cell>
          <cell r="G195">
            <v>0</v>
          </cell>
          <cell r="H195">
            <v>0</v>
          </cell>
          <cell r="I195">
            <v>0</v>
          </cell>
          <cell r="J195">
            <v>0</v>
          </cell>
          <cell r="K195">
            <v>424.37900000000002</v>
          </cell>
          <cell r="L195">
            <v>0</v>
          </cell>
          <cell r="M195">
            <v>0</v>
          </cell>
          <cell r="N195">
            <v>0</v>
          </cell>
          <cell r="O195">
            <v>373.33699999999999</v>
          </cell>
          <cell r="P195">
            <v>0</v>
          </cell>
          <cell r="Q195">
            <v>0</v>
          </cell>
          <cell r="R195">
            <v>0</v>
          </cell>
          <cell r="S195">
            <v>0</v>
          </cell>
          <cell r="T195">
            <v>0</v>
          </cell>
          <cell r="U195">
            <v>0</v>
          </cell>
          <cell r="V195">
            <v>0</v>
          </cell>
          <cell r="W195">
            <v>0</v>
          </cell>
          <cell r="X195">
            <v>0</v>
          </cell>
          <cell r="Y195">
            <v>0</v>
          </cell>
          <cell r="Z195">
            <v>0</v>
          </cell>
          <cell r="AA195" t="str">
            <v/>
          </cell>
          <cell r="AB195">
            <v>0</v>
          </cell>
          <cell r="AC195">
            <v>0</v>
          </cell>
          <cell r="AD195">
            <v>0</v>
          </cell>
          <cell r="AE195">
            <v>0</v>
          </cell>
          <cell r="AF195">
            <v>0</v>
          </cell>
          <cell r="AG195">
            <v>0</v>
          </cell>
          <cell r="AH195">
            <v>0</v>
          </cell>
          <cell r="AI195">
            <v>424.37900000000002</v>
          </cell>
          <cell r="AJ195">
            <v>373.33699999999999</v>
          </cell>
          <cell r="AK195">
            <v>0</v>
          </cell>
          <cell r="AL195">
            <v>0</v>
          </cell>
          <cell r="AM195"/>
          <cell r="AN195"/>
        </row>
        <row r="196">
          <cell r="A196" t="str">
            <v>Deferred Compensation</v>
          </cell>
          <cell r="B196" t="str">
            <v>BS_DEFERRED_COMP_LT_LIABS</v>
          </cell>
          <cell r="C196" t="str">
            <v>EQY_FUND_RELATIVE_PERIOD</v>
          </cell>
          <cell r="F196">
            <v>0</v>
          </cell>
          <cell r="G196">
            <v>0</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t="str">
            <v/>
          </cell>
          <cell r="AB196">
            <v>0</v>
          </cell>
          <cell r="AC196">
            <v>0</v>
          </cell>
          <cell r="AD196">
            <v>0</v>
          </cell>
          <cell r="AE196">
            <v>0</v>
          </cell>
          <cell r="AF196">
            <v>0</v>
          </cell>
          <cell r="AG196">
            <v>0</v>
          </cell>
          <cell r="AH196">
            <v>0</v>
          </cell>
          <cell r="AI196">
            <v>0</v>
          </cell>
          <cell r="AJ196">
            <v>0</v>
          </cell>
          <cell r="AK196">
            <v>0</v>
          </cell>
          <cell r="AL196">
            <v>0</v>
          </cell>
          <cell r="AM196"/>
          <cell r="AN196"/>
        </row>
        <row r="197">
          <cell r="A197" t="str">
            <v>Deferred Revenue</v>
          </cell>
          <cell r="B197" t="str">
            <v>LT_DEFERRED_REVENUE</v>
          </cell>
          <cell r="C197" t="str">
            <v>EQY_FUND_RELATIVE_PERIOD</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t="str">
            <v/>
          </cell>
          <cell r="AB197">
            <v>0</v>
          </cell>
          <cell r="AC197">
            <v>0</v>
          </cell>
          <cell r="AD197">
            <v>0</v>
          </cell>
          <cell r="AE197">
            <v>0</v>
          </cell>
          <cell r="AF197">
            <v>0</v>
          </cell>
          <cell r="AG197">
            <v>0</v>
          </cell>
          <cell r="AH197">
            <v>0</v>
          </cell>
          <cell r="AI197">
            <v>0</v>
          </cell>
          <cell r="AJ197">
            <v>0</v>
          </cell>
          <cell r="AK197">
            <v>0</v>
          </cell>
          <cell r="AL197">
            <v>0</v>
          </cell>
          <cell r="AM197"/>
          <cell r="AN197"/>
        </row>
        <row r="198">
          <cell r="A198" t="str">
            <v>Deferred Tax Liabilities</v>
          </cell>
          <cell r="B198" t="str">
            <v>BS_DEFERRED_TAX_LIABILITIES_LT</v>
          </cell>
          <cell r="C198" t="str">
            <v>EQY_FUND_RELATIVE_PERIOD</v>
          </cell>
          <cell r="F198">
            <v>2377.518</v>
          </cell>
          <cell r="G198">
            <v>2458.018</v>
          </cell>
          <cell r="H198">
            <v>2478.924</v>
          </cell>
          <cell r="I198">
            <v>2491.8670000000002</v>
          </cell>
          <cell r="J198">
            <v>2608.0509999999999</v>
          </cell>
          <cell r="K198">
            <v>2357.21</v>
          </cell>
          <cell r="L198">
            <v>2335.2860000000001</v>
          </cell>
          <cell r="M198">
            <v>2317.1129999999998</v>
          </cell>
          <cell r="N198">
            <v>2297.4470000000001</v>
          </cell>
          <cell r="O198">
            <v>2417.1080000000002</v>
          </cell>
          <cell r="P198">
            <v>2396.4479999999999</v>
          </cell>
          <cell r="Q198">
            <v>2355.4940000000001</v>
          </cell>
          <cell r="R198">
            <v>2306.326</v>
          </cell>
          <cell r="S198">
            <v>2868</v>
          </cell>
          <cell r="T198">
            <v>2930</v>
          </cell>
          <cell r="U198">
            <v>3060</v>
          </cell>
          <cell r="V198">
            <v>2704</v>
          </cell>
          <cell r="W198">
            <v>2666</v>
          </cell>
          <cell r="X198">
            <v>2551</v>
          </cell>
          <cell r="Y198">
            <v>2501</v>
          </cell>
          <cell r="Z198">
            <v>2552</v>
          </cell>
          <cell r="AA198" t="str">
            <v/>
          </cell>
          <cell r="AB198">
            <v>0</v>
          </cell>
          <cell r="AC198">
            <v>0</v>
          </cell>
          <cell r="AD198">
            <v>0</v>
          </cell>
          <cell r="AE198">
            <v>0</v>
          </cell>
          <cell r="AF198">
            <v>722.19200000000001</v>
          </cell>
          <cell r="AG198">
            <v>2220.6770000000001</v>
          </cell>
          <cell r="AH198">
            <v>2458.018</v>
          </cell>
          <cell r="AI198">
            <v>2357.21</v>
          </cell>
          <cell r="AJ198">
            <v>2417.1080000000002</v>
          </cell>
          <cell r="AK198">
            <v>2868</v>
          </cell>
          <cell r="AL198">
            <v>2666</v>
          </cell>
          <cell r="AM198"/>
          <cell r="AN198"/>
        </row>
        <row r="199">
          <cell r="A199" t="str">
            <v>Derivatives &amp; Hedging</v>
          </cell>
          <cell r="B199" t="str">
            <v>BS_DERIVATIVE_&amp;_HEDGING_LIABS_LT</v>
          </cell>
          <cell r="C199" t="str">
            <v>EQY_FUND_RELATIVE_PERIOD</v>
          </cell>
          <cell r="F199">
            <v>0</v>
          </cell>
          <cell r="G199">
            <v>0</v>
          </cell>
          <cell r="H199">
            <v>0</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t="str">
            <v/>
          </cell>
          <cell r="AB199">
            <v>0</v>
          </cell>
          <cell r="AC199">
            <v>0</v>
          </cell>
          <cell r="AD199">
            <v>0</v>
          </cell>
          <cell r="AE199">
            <v>0</v>
          </cell>
          <cell r="AF199">
            <v>0</v>
          </cell>
          <cell r="AG199">
            <v>0</v>
          </cell>
          <cell r="AH199">
            <v>0</v>
          </cell>
          <cell r="AI199">
            <v>0</v>
          </cell>
          <cell r="AJ199">
            <v>0</v>
          </cell>
          <cell r="AK199">
            <v>0</v>
          </cell>
          <cell r="AL199">
            <v>0</v>
          </cell>
          <cell r="AM199"/>
          <cell r="AN199"/>
        </row>
        <row r="200">
          <cell r="A200" t="str">
            <v>Discontinued Operations</v>
          </cell>
          <cell r="B200" t="str">
            <v>BS_LIABS_OF_DISCONTINUED_OPS_LT</v>
          </cell>
          <cell r="C200" t="str">
            <v>EQY_FUND_RELATIVE_PERIOD</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t="str">
            <v/>
          </cell>
          <cell r="AB200">
            <v>0</v>
          </cell>
          <cell r="AC200">
            <v>0</v>
          </cell>
          <cell r="AD200">
            <v>0</v>
          </cell>
          <cell r="AE200">
            <v>0</v>
          </cell>
          <cell r="AF200">
            <v>0</v>
          </cell>
          <cell r="AG200">
            <v>0</v>
          </cell>
          <cell r="AH200">
            <v>0</v>
          </cell>
          <cell r="AI200">
            <v>0</v>
          </cell>
          <cell r="AJ200">
            <v>0</v>
          </cell>
          <cell r="AK200">
            <v>0</v>
          </cell>
          <cell r="AL200">
            <v>0</v>
          </cell>
          <cell r="AM200"/>
          <cell r="AN200"/>
        </row>
        <row r="201">
          <cell r="A201" t="str">
            <v>Misc LT Liabilities</v>
          </cell>
          <cell r="B201" t="str">
            <v>OTHER_NONCURRENT_LIABS_DETAILED</v>
          </cell>
          <cell r="C201" t="str">
            <v>EQY_FUND_RELATIVE_PERIOD</v>
          </cell>
          <cell r="F201">
            <v>240.29599999999999</v>
          </cell>
          <cell r="G201">
            <v>225.858</v>
          </cell>
          <cell r="H201">
            <v>219.52699999999999</v>
          </cell>
          <cell r="I201">
            <v>203.059</v>
          </cell>
          <cell r="J201">
            <v>224.816</v>
          </cell>
          <cell r="K201">
            <v>266.625</v>
          </cell>
          <cell r="L201">
            <v>264.98200000000003</v>
          </cell>
          <cell r="M201">
            <v>252.88800000000001</v>
          </cell>
          <cell r="N201">
            <v>254.953</v>
          </cell>
          <cell r="O201">
            <v>262.30799999999999</v>
          </cell>
          <cell r="P201">
            <v>266.42899999999997</v>
          </cell>
          <cell r="Q201">
            <v>249.839</v>
          </cell>
          <cell r="R201">
            <v>240.30699999999999</v>
          </cell>
          <cell r="S201">
            <v>238</v>
          </cell>
          <cell r="T201">
            <v>207</v>
          </cell>
          <cell r="U201">
            <v>208</v>
          </cell>
          <cell r="V201">
            <v>216</v>
          </cell>
          <cell r="W201">
            <v>240</v>
          </cell>
          <cell r="X201">
            <v>241</v>
          </cell>
          <cell r="Y201">
            <v>308</v>
          </cell>
          <cell r="Z201">
            <v>326</v>
          </cell>
          <cell r="AA201" t="str">
            <v/>
          </cell>
          <cell r="AB201">
            <v>748.86900000000003</v>
          </cell>
          <cell r="AC201">
            <v>846.77499999999998</v>
          </cell>
          <cell r="AD201">
            <v>1075.3820000000001</v>
          </cell>
          <cell r="AE201">
            <v>1254.6099999999999</v>
          </cell>
          <cell r="AF201">
            <v>176.02600000000001</v>
          </cell>
          <cell r="AG201">
            <v>220.172</v>
          </cell>
          <cell r="AH201">
            <v>225.858</v>
          </cell>
          <cell r="AI201">
            <v>266.625</v>
          </cell>
          <cell r="AJ201">
            <v>262.30799999999999</v>
          </cell>
          <cell r="AK201">
            <v>238</v>
          </cell>
          <cell r="AL201">
            <v>240</v>
          </cell>
          <cell r="AM201"/>
          <cell r="AN201"/>
        </row>
        <row r="202">
          <cell r="A202" t="str">
            <v>Total Noncurrent Liabilities</v>
          </cell>
          <cell r="B202" t="str">
            <v>NON_CUR_LIAB</v>
          </cell>
          <cell r="C202" t="str">
            <v>EQY_FUND_RELATIVE_PERIOD</v>
          </cell>
          <cell r="F202">
            <v>11549.037</v>
          </cell>
          <cell r="G202">
            <v>11808.418000000001</v>
          </cell>
          <cell r="H202">
            <v>11242.053</v>
          </cell>
          <cell r="I202">
            <v>11274.419</v>
          </cell>
          <cell r="J202">
            <v>12014.1</v>
          </cell>
          <cell r="K202">
            <v>12060.84</v>
          </cell>
          <cell r="L202">
            <v>12023.242999999999</v>
          </cell>
          <cell r="M202">
            <v>11516.901</v>
          </cell>
          <cell r="N202">
            <v>11462.460999999999</v>
          </cell>
          <cell r="O202">
            <v>11278.416000000001</v>
          </cell>
          <cell r="P202">
            <v>11139.325999999999</v>
          </cell>
          <cell r="Q202">
            <v>10953.874</v>
          </cell>
          <cell r="R202">
            <v>12408.8</v>
          </cell>
          <cell r="S202">
            <v>13640</v>
          </cell>
          <cell r="T202">
            <v>13774</v>
          </cell>
          <cell r="U202">
            <v>13830</v>
          </cell>
          <cell r="V202">
            <v>20082</v>
          </cell>
          <cell r="W202">
            <v>19577</v>
          </cell>
          <cell r="X202">
            <v>19466</v>
          </cell>
          <cell r="Y202">
            <v>21202</v>
          </cell>
          <cell r="Z202">
            <v>21882</v>
          </cell>
          <cell r="AA202" t="str">
            <v/>
          </cell>
          <cell r="AB202">
            <v>4743.9989999999998</v>
          </cell>
          <cell r="AC202">
            <v>5307.53</v>
          </cell>
          <cell r="AD202">
            <v>5812.2790000000005</v>
          </cell>
          <cell r="AE202">
            <v>5976.2950000000001</v>
          </cell>
          <cell r="AF202">
            <v>6146.5079999999998</v>
          </cell>
          <cell r="AG202">
            <v>11241.130000000001</v>
          </cell>
          <cell r="AH202">
            <v>11808.418000000001</v>
          </cell>
          <cell r="AI202">
            <v>12060.84</v>
          </cell>
          <cell r="AJ202">
            <v>11278.416000000001</v>
          </cell>
          <cell r="AK202">
            <v>13640</v>
          </cell>
          <cell r="AL202">
            <v>19577</v>
          </cell>
          <cell r="AM202"/>
          <cell r="AN202"/>
        </row>
        <row r="203">
          <cell r="A203" t="str">
            <v>Total Liabilities</v>
          </cell>
          <cell r="B203" t="str">
            <v>BS_TOT_LIAB2</v>
          </cell>
          <cell r="C203" t="str">
            <v>EQY_FUND_RELATIVE_PERIOD</v>
          </cell>
          <cell r="F203">
            <v>12717.179</v>
          </cell>
          <cell r="G203">
            <v>12991.634000000002</v>
          </cell>
          <cell r="H203">
            <v>12818.27</v>
          </cell>
          <cell r="I203">
            <v>12813.971</v>
          </cell>
          <cell r="J203">
            <v>13535.086000000001</v>
          </cell>
          <cell r="K203">
            <v>13614.36</v>
          </cell>
          <cell r="L203">
            <v>12939.18</v>
          </cell>
          <cell r="M203">
            <v>12665.061</v>
          </cell>
          <cell r="N203">
            <v>12587.351999999999</v>
          </cell>
          <cell r="O203">
            <v>12580.003000000001</v>
          </cell>
          <cell r="P203">
            <v>12471.201999999999</v>
          </cell>
          <cell r="Q203">
            <v>12236.128000000001</v>
          </cell>
          <cell r="R203">
            <v>13747.169</v>
          </cell>
          <cell r="S203">
            <v>15152</v>
          </cell>
          <cell r="T203">
            <v>15214</v>
          </cell>
          <cell r="U203">
            <v>15238</v>
          </cell>
          <cell r="V203">
            <v>21510</v>
          </cell>
          <cell r="W203">
            <v>21470</v>
          </cell>
          <cell r="X203">
            <v>21200</v>
          </cell>
          <cell r="Y203">
            <v>24394</v>
          </cell>
          <cell r="Z203">
            <v>24288</v>
          </cell>
          <cell r="AA203" t="str">
            <v/>
          </cell>
          <cell r="AB203">
            <v>5385.7579999999998</v>
          </cell>
          <cell r="AC203">
            <v>5733.1729999999998</v>
          </cell>
          <cell r="AD203">
            <v>6258.17</v>
          </cell>
          <cell r="AE203">
            <v>6359.07</v>
          </cell>
          <cell r="AF203">
            <v>6539.1849999999995</v>
          </cell>
          <cell r="AG203">
            <v>12680.486999999999</v>
          </cell>
          <cell r="AH203">
            <v>12991.634000000002</v>
          </cell>
          <cell r="AI203">
            <v>13614.36</v>
          </cell>
          <cell r="AJ203">
            <v>12580.003000000001</v>
          </cell>
          <cell r="AK203">
            <v>15152</v>
          </cell>
          <cell r="AL203">
            <v>21470</v>
          </cell>
          <cell r="AM203"/>
          <cell r="AN203"/>
        </row>
        <row r="204">
          <cell r="A204" t="str">
            <v>Preferred Equity</v>
          </cell>
          <cell r="B204" t="str">
            <v>BS_PFD_EQY</v>
          </cell>
          <cell r="C204" t="str">
            <v>EQY_FUND_RELATIVE_PERIOD</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214.15625</v>
          </cell>
          <cell r="Y204">
            <v>214.15625</v>
          </cell>
          <cell r="Z204">
            <v>214.15625</v>
          </cell>
          <cell r="AA204" t="str">
            <v/>
          </cell>
          <cell r="AB204">
            <v>0</v>
          </cell>
          <cell r="AC204">
            <v>0</v>
          </cell>
          <cell r="AD204">
            <v>0</v>
          </cell>
          <cell r="AE204">
            <v>0</v>
          </cell>
          <cell r="AF204">
            <v>0</v>
          </cell>
          <cell r="AG204">
            <v>0</v>
          </cell>
          <cell r="AH204">
            <v>0</v>
          </cell>
          <cell r="AI204">
            <v>0</v>
          </cell>
          <cell r="AJ204">
            <v>0</v>
          </cell>
          <cell r="AK204">
            <v>0</v>
          </cell>
          <cell r="AL204">
            <v>0</v>
          </cell>
          <cell r="AM204"/>
          <cell r="AN204"/>
        </row>
        <row r="205">
          <cell r="A205" t="str">
            <v>Share Capital &amp; APIC</v>
          </cell>
          <cell r="B205" t="str">
            <v>BS_SH_CAP_AND_APIC</v>
          </cell>
          <cell r="C205" t="str">
            <v>EQY_FUND_RELATIVE_PERIOD</v>
          </cell>
          <cell r="F205">
            <v>5213.34</v>
          </cell>
          <cell r="G205">
            <v>5030.38</v>
          </cell>
          <cell r="H205">
            <v>4986.335</v>
          </cell>
          <cell r="I205">
            <v>4989.3899999999994</v>
          </cell>
          <cell r="J205">
            <v>4992.5129999999999</v>
          </cell>
          <cell r="K205">
            <v>4896.5599999999995</v>
          </cell>
          <cell r="L205">
            <v>4793.6539999999995</v>
          </cell>
          <cell r="M205">
            <v>4665.6489999999994</v>
          </cell>
          <cell r="N205">
            <v>4574.4699999999993</v>
          </cell>
          <cell r="O205">
            <v>4578.0529999999999</v>
          </cell>
          <cell r="P205">
            <v>4438.4799999999996</v>
          </cell>
          <cell r="Q205">
            <v>4343.5450000000001</v>
          </cell>
          <cell r="R205">
            <v>4248.5860000000002</v>
          </cell>
          <cell r="S205">
            <v>4247</v>
          </cell>
          <cell r="T205">
            <v>4134</v>
          </cell>
          <cell r="U205">
            <v>6692</v>
          </cell>
          <cell r="V205">
            <v>6508</v>
          </cell>
          <cell r="W205">
            <v>6332</v>
          </cell>
          <cell r="X205">
            <v>5884.84375</v>
          </cell>
          <cell r="Y205">
            <v>5704.84375</v>
          </cell>
          <cell r="Z205">
            <v>5539.84375</v>
          </cell>
          <cell r="AA205" t="str">
            <v/>
          </cell>
          <cell r="AB205">
            <v>1460.5989999999999</v>
          </cell>
          <cell r="AC205">
            <v>1293.3879999999999</v>
          </cell>
          <cell r="AD205">
            <v>1367.8719999999998</v>
          </cell>
          <cell r="AE205">
            <v>1205.3</v>
          </cell>
          <cell r="AF205">
            <v>1043.7650000000001</v>
          </cell>
          <cell r="AG205">
            <v>5782.4679999999998</v>
          </cell>
          <cell r="AH205">
            <v>5030.38</v>
          </cell>
          <cell r="AI205">
            <v>4896.5599999999995</v>
          </cell>
          <cell r="AJ205">
            <v>4578.0529999999999</v>
          </cell>
          <cell r="AK205">
            <v>4247</v>
          </cell>
          <cell r="AL205">
            <v>6332</v>
          </cell>
          <cell r="AM205"/>
          <cell r="AN205"/>
        </row>
        <row r="206">
          <cell r="A206" t="str">
            <v>Common Stock</v>
          </cell>
          <cell r="B206" t="str">
            <v>BS_COMMON_STOCK</v>
          </cell>
          <cell r="C206" t="str">
            <v>EQY_FUND_RELATIVE_PERIOD</v>
          </cell>
          <cell r="F206">
            <v>256.99700000000001</v>
          </cell>
          <cell r="G206">
            <v>256.99700000000001</v>
          </cell>
          <cell r="H206">
            <v>256.99700000000001</v>
          </cell>
          <cell r="I206">
            <v>256.99700000000001</v>
          </cell>
          <cell r="J206">
            <v>256.99700000000001</v>
          </cell>
          <cell r="K206">
            <v>256.99700000000001</v>
          </cell>
          <cell r="L206">
            <v>256.99700000000001</v>
          </cell>
          <cell r="M206">
            <v>256.99700000000001</v>
          </cell>
          <cell r="N206">
            <v>256.99700000000001</v>
          </cell>
          <cell r="O206">
            <v>256.99700000000001</v>
          </cell>
          <cell r="P206">
            <v>256.99700000000001</v>
          </cell>
          <cell r="Q206">
            <v>256.99700000000001</v>
          </cell>
          <cell r="R206">
            <v>256.99700000000001</v>
          </cell>
          <cell r="S206">
            <v>257</v>
          </cell>
          <cell r="T206">
            <v>257</v>
          </cell>
          <cell r="U206">
            <v>298</v>
          </cell>
          <cell r="V206">
            <v>298</v>
          </cell>
          <cell r="W206">
            <v>298</v>
          </cell>
          <cell r="X206">
            <v>298</v>
          </cell>
          <cell r="Y206">
            <v>298</v>
          </cell>
          <cell r="Z206">
            <v>298</v>
          </cell>
          <cell r="AA206" t="str">
            <v/>
          </cell>
          <cell r="AB206">
            <v>0</v>
          </cell>
          <cell r="AC206">
            <v>0</v>
          </cell>
          <cell r="AD206">
            <v>0</v>
          </cell>
          <cell r="AE206">
            <v>0</v>
          </cell>
          <cell r="AF206">
            <v>87.36399999999999</v>
          </cell>
          <cell r="AG206">
            <v>256.99700000000001</v>
          </cell>
          <cell r="AH206">
            <v>256.99700000000001</v>
          </cell>
          <cell r="AI206">
            <v>256.99700000000001</v>
          </cell>
          <cell r="AJ206">
            <v>256.99700000000001</v>
          </cell>
          <cell r="AK206">
            <v>257</v>
          </cell>
          <cell r="AL206">
            <v>298</v>
          </cell>
          <cell r="AM206"/>
          <cell r="AN206"/>
        </row>
        <row r="207">
          <cell r="A207" t="str">
            <v>Additional Paid in Capital</v>
          </cell>
          <cell r="B207" t="str">
            <v>BS_ADD_PAID_IN_CAP</v>
          </cell>
          <cell r="C207" t="str">
            <v>EQY_FUND_RELATIVE_PERIOD</v>
          </cell>
          <cell r="F207">
            <v>4956.3429999999998</v>
          </cell>
          <cell r="G207">
            <v>4773.3829999999998</v>
          </cell>
          <cell r="H207">
            <v>4729.3379999999997</v>
          </cell>
          <cell r="I207">
            <v>4732.393</v>
          </cell>
          <cell r="J207">
            <v>4735.5159999999996</v>
          </cell>
          <cell r="K207">
            <v>4639.5630000000001</v>
          </cell>
          <cell r="L207">
            <v>4536.6570000000002</v>
          </cell>
          <cell r="M207">
            <v>4408.652</v>
          </cell>
          <cell r="N207">
            <v>4317.473</v>
          </cell>
          <cell r="O207">
            <v>4321.0559999999996</v>
          </cell>
          <cell r="P207">
            <v>4181.4830000000002</v>
          </cell>
          <cell r="Q207">
            <v>4086.5479999999998</v>
          </cell>
          <cell r="R207">
            <v>3991.5889999999999</v>
          </cell>
          <cell r="S207">
            <v>3990</v>
          </cell>
          <cell r="T207">
            <v>3877</v>
          </cell>
          <cell r="U207">
            <v>6394</v>
          </cell>
          <cell r="V207">
            <v>6210</v>
          </cell>
          <cell r="W207">
            <v>6034</v>
          </cell>
          <cell r="X207">
            <v>5586.84375</v>
          </cell>
          <cell r="Y207">
            <v>5406.84375</v>
          </cell>
          <cell r="Z207">
            <v>5241.84375</v>
          </cell>
          <cell r="AA207" t="str">
            <v/>
          </cell>
          <cell r="AB207">
            <v>0</v>
          </cell>
          <cell r="AC207">
            <v>0</v>
          </cell>
          <cell r="AD207">
            <v>0</v>
          </cell>
          <cell r="AE207">
            <v>0</v>
          </cell>
          <cell r="AF207">
            <v>956.40099999999995</v>
          </cell>
          <cell r="AG207">
            <v>5525.4709999999995</v>
          </cell>
          <cell r="AH207">
            <v>4773.3829999999998</v>
          </cell>
          <cell r="AI207">
            <v>4639.5630000000001</v>
          </cell>
          <cell r="AJ207">
            <v>4321.0559999999996</v>
          </cell>
          <cell r="AK207">
            <v>3990</v>
          </cell>
          <cell r="AL207">
            <v>6034</v>
          </cell>
          <cell r="AM207"/>
          <cell r="AN207"/>
        </row>
        <row r="208">
          <cell r="A208" t="str">
            <v>Other Share Capital</v>
          </cell>
          <cell r="B208" t="str">
            <v>BS_OTHER_SHARE_CAPITAL</v>
          </cell>
          <cell r="C208" t="str">
            <v>EQY_FUND_RELATIVE_PERIOD</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t="str">
            <v/>
          </cell>
          <cell r="AB208">
            <v>0</v>
          </cell>
          <cell r="AC208">
            <v>0</v>
          </cell>
          <cell r="AD208">
            <v>0</v>
          </cell>
          <cell r="AE208">
            <v>0</v>
          </cell>
          <cell r="AF208">
            <v>0</v>
          </cell>
          <cell r="AG208">
            <v>0</v>
          </cell>
          <cell r="AH208">
            <v>0</v>
          </cell>
          <cell r="AI208">
            <v>0</v>
          </cell>
          <cell r="AJ208">
            <v>0</v>
          </cell>
          <cell r="AK208">
            <v>0</v>
          </cell>
          <cell r="AL208">
            <v>0</v>
          </cell>
          <cell r="AM208"/>
          <cell r="AN208"/>
        </row>
        <row r="209">
          <cell r="A209" t="str">
            <v>Treasury Stock</v>
          </cell>
          <cell r="B209" t="str">
            <v>BS_AMT_OF_TSY_STOCK</v>
          </cell>
          <cell r="C209" t="str">
            <v>EQY_FUND_RELATIVE_PERIOD</v>
          </cell>
          <cell r="F209">
            <v>414.99699999999996</v>
          </cell>
          <cell r="G209">
            <v>415.00099999999998</v>
          </cell>
          <cell r="H209">
            <v>370.01599999999996</v>
          </cell>
          <cell r="I209">
            <v>369.142</v>
          </cell>
          <cell r="J209">
            <v>368.57799999999997</v>
          </cell>
          <cell r="K209">
            <v>368.59299999999996</v>
          </cell>
          <cell r="L209">
            <v>365.70499999999998</v>
          </cell>
          <cell r="M209">
            <v>333.44499999999999</v>
          </cell>
          <cell r="N209">
            <v>337.91399999999999</v>
          </cell>
          <cell r="O209">
            <v>338.15</v>
          </cell>
          <cell r="P209">
            <v>298.69900000000001</v>
          </cell>
          <cell r="Q209">
            <v>298.85599999999999</v>
          </cell>
          <cell r="R209">
            <v>298.98099999999999</v>
          </cell>
          <cell r="S209">
            <v>294</v>
          </cell>
          <cell r="T209">
            <v>284</v>
          </cell>
          <cell r="U209">
            <v>278</v>
          </cell>
          <cell r="V209">
            <v>278</v>
          </cell>
          <cell r="W209">
            <v>278</v>
          </cell>
          <cell r="X209">
            <v>225</v>
          </cell>
          <cell r="Y209">
            <v>215</v>
          </cell>
          <cell r="Z209">
            <v>214</v>
          </cell>
          <cell r="AA209" t="str">
            <v/>
          </cell>
          <cell r="AB209">
            <v>210.20399999999998</v>
          </cell>
          <cell r="AC209">
            <v>288.16199999999998</v>
          </cell>
          <cell r="AD209">
            <v>305.97899999999998</v>
          </cell>
          <cell r="AE209">
            <v>487.26599999999996</v>
          </cell>
          <cell r="AF209">
            <v>473.39099999999996</v>
          </cell>
          <cell r="AG209">
            <v>433.286</v>
          </cell>
          <cell r="AH209">
            <v>415.00099999999998</v>
          </cell>
          <cell r="AI209">
            <v>368.59299999999996</v>
          </cell>
          <cell r="AJ209">
            <v>338.15</v>
          </cell>
          <cell r="AK209">
            <v>294</v>
          </cell>
          <cell r="AL209">
            <v>278</v>
          </cell>
          <cell r="AM209"/>
          <cell r="AN209"/>
        </row>
        <row r="210">
          <cell r="A210" t="str">
            <v>Retained Earnings</v>
          </cell>
          <cell r="B210" t="str">
            <v>BS_PURE_RETAINED_EARNINGS</v>
          </cell>
          <cell r="C210" t="str">
            <v>EQY_FUND_RELATIVE_PERIOD</v>
          </cell>
          <cell r="F210">
            <v>184.47399999999999</v>
          </cell>
          <cell r="G210">
            <v>226.721</v>
          </cell>
          <cell r="H210">
            <v>153.63800000000001</v>
          </cell>
          <cell r="I210">
            <v>71.775999999999996</v>
          </cell>
          <cell r="J210">
            <v>38.930999999999997</v>
          </cell>
          <cell r="K210">
            <v>63.204999999999998</v>
          </cell>
          <cell r="L210">
            <v>111.345</v>
          </cell>
          <cell r="M210">
            <v>72.884999999999991</v>
          </cell>
          <cell r="N210">
            <v>108.285</v>
          </cell>
          <cell r="O210">
            <v>76.10799999999999</v>
          </cell>
          <cell r="P210">
            <v>115.38199999999999</v>
          </cell>
          <cell r="Q210">
            <v>153.06199999999998</v>
          </cell>
          <cell r="R210">
            <v>195.05499999999998</v>
          </cell>
          <cell r="S210">
            <v>109</v>
          </cell>
          <cell r="T210">
            <v>58</v>
          </cell>
          <cell r="U210">
            <v>30</v>
          </cell>
          <cell r="V210">
            <v>16</v>
          </cell>
          <cell r="W210">
            <v>-87</v>
          </cell>
          <cell r="X210">
            <v>-273</v>
          </cell>
          <cell r="Y210">
            <v>-300</v>
          </cell>
          <cell r="Z210">
            <v>-380</v>
          </cell>
          <cell r="AA210" t="str">
            <v/>
          </cell>
          <cell r="AB210">
            <v>-85.343999999999994</v>
          </cell>
          <cell r="AC210">
            <v>134.70499999999998</v>
          </cell>
          <cell r="AD210">
            <v>14.000999999999999</v>
          </cell>
          <cell r="AE210">
            <v>38.162999999999997</v>
          </cell>
          <cell r="AF210">
            <v>2.7559999999999998</v>
          </cell>
          <cell r="AG210">
            <v>77.106999999999999</v>
          </cell>
          <cell r="AH210">
            <v>226.721</v>
          </cell>
          <cell r="AI210">
            <v>63.204999999999998</v>
          </cell>
          <cell r="AJ210">
            <v>76.10799999999999</v>
          </cell>
          <cell r="AK210">
            <v>109</v>
          </cell>
          <cell r="AL210">
            <v>-87</v>
          </cell>
          <cell r="AM210"/>
          <cell r="AN210"/>
        </row>
        <row r="211">
          <cell r="A211" t="str">
            <v>Other Equity</v>
          </cell>
          <cell r="B211" t="str">
            <v>OTHER_INS_RES_TO_SHRHLDR_EQY</v>
          </cell>
          <cell r="C211" t="str">
            <v>EQY_FUND_RELATIVE_PERIOD</v>
          </cell>
          <cell r="F211">
            <v>-221.22499999999999</v>
          </cell>
          <cell r="G211">
            <v>-386.96300000000002</v>
          </cell>
          <cell r="H211">
            <v>-382.69600000000003</v>
          </cell>
          <cell r="I211">
            <v>-377.12900000000002</v>
          </cell>
          <cell r="J211">
            <v>-374.82100000000003</v>
          </cell>
          <cell r="K211">
            <v>-483.57600000000002</v>
          </cell>
          <cell r="L211">
            <v>-476.83</v>
          </cell>
          <cell r="M211">
            <v>-470.084</v>
          </cell>
          <cell r="N211">
            <v>-438.779</v>
          </cell>
          <cell r="O211">
            <v>-260.52999999999997</v>
          </cell>
          <cell r="P211">
            <v>-257.49099999999999</v>
          </cell>
          <cell r="Q211">
            <v>-254.601</v>
          </cell>
          <cell r="R211">
            <v>-252.14099999999999</v>
          </cell>
          <cell r="S211">
            <v>-404</v>
          </cell>
          <cell r="T211">
            <v>-401</v>
          </cell>
          <cell r="U211">
            <v>-396</v>
          </cell>
          <cell r="V211">
            <v>-391</v>
          </cell>
          <cell r="W211">
            <v>-353</v>
          </cell>
          <cell r="X211">
            <v>-347</v>
          </cell>
          <cell r="Y211">
            <v>-342</v>
          </cell>
          <cell r="Z211">
            <v>-403</v>
          </cell>
          <cell r="AA211" t="str">
            <v/>
          </cell>
          <cell r="AB211">
            <v>-123.24199999999996</v>
          </cell>
          <cell r="AC211">
            <v>-81.899000000000029</v>
          </cell>
          <cell r="AD211">
            <v>-77.994999999999976</v>
          </cell>
          <cell r="AE211">
            <v>-237.15199999999999</v>
          </cell>
          <cell r="AF211">
            <v>-245.51900000000001</v>
          </cell>
          <cell r="AG211">
            <v>-229.54900000000001</v>
          </cell>
          <cell r="AH211">
            <v>-386.96300000000002</v>
          </cell>
          <cell r="AI211">
            <v>-483.57600000000002</v>
          </cell>
          <cell r="AJ211">
            <v>-260.52999999999997</v>
          </cell>
          <cell r="AK211">
            <v>-404</v>
          </cell>
          <cell r="AL211">
            <v>-353</v>
          </cell>
        </row>
        <row r="212">
          <cell r="A212" t="str">
            <v>Equity Before Minority Interest</v>
          </cell>
          <cell r="B212" t="str">
            <v>EQTY_BEF_MINORITY_INT_DETAILED</v>
          </cell>
          <cell r="C212" t="str">
            <v>EQY_FUND_RELATIVE_PERIOD</v>
          </cell>
          <cell r="D212"/>
          <cell r="E212"/>
          <cell r="F212">
            <v>4761.5920000000006</v>
          </cell>
          <cell r="G212">
            <v>4455.1369999999997</v>
          </cell>
          <cell r="H212">
            <v>4387.2610000000004</v>
          </cell>
          <cell r="I212">
            <v>4314.8950000000004</v>
          </cell>
          <cell r="J212">
            <v>4288.0450000000001</v>
          </cell>
          <cell r="K212">
            <v>4107.5959999999995</v>
          </cell>
          <cell r="L212">
            <v>4062.4639999999999</v>
          </cell>
          <cell r="M212">
            <v>3935.0050000000001</v>
          </cell>
          <cell r="N212">
            <v>3906.0620000000004</v>
          </cell>
          <cell r="O212">
            <v>4055.4809999999998</v>
          </cell>
          <cell r="P212">
            <v>3997.672</v>
          </cell>
          <cell r="Q212">
            <v>3943.15</v>
          </cell>
          <cell r="R212">
            <v>3892.5189999999998</v>
          </cell>
          <cell r="S212">
            <v>3658</v>
          </cell>
          <cell r="T212">
            <v>3507</v>
          </cell>
          <cell r="U212">
            <v>6048</v>
          </cell>
          <cell r="V212">
            <v>5855</v>
          </cell>
          <cell r="W212">
            <v>5614</v>
          </cell>
          <cell r="X212">
            <v>5254</v>
          </cell>
          <cell r="Y212">
            <v>5062</v>
          </cell>
          <cell r="Z212">
            <v>4757</v>
          </cell>
          <cell r="AA212" t="str">
            <v/>
          </cell>
          <cell r="AB212">
            <v>1041.809</v>
          </cell>
          <cell r="AC212">
            <v>1058.0319999999999</v>
          </cell>
          <cell r="AD212">
            <v>997.89900000000011</v>
          </cell>
          <cell r="AE212">
            <v>519.04499999999996</v>
          </cell>
          <cell r="AF212">
            <v>327.6110000000001</v>
          </cell>
          <cell r="AG212">
            <v>5196.74</v>
          </cell>
          <cell r="AH212">
            <v>4455.1369999999997</v>
          </cell>
          <cell r="AI212">
            <v>4107.5959999999995</v>
          </cell>
          <cell r="AJ212">
            <v>4055.4809999999998</v>
          </cell>
          <cell r="AK212">
            <v>3658</v>
          </cell>
          <cell r="AL212">
            <v>5614</v>
          </cell>
          <cell r="AM212"/>
          <cell r="AN212"/>
        </row>
        <row r="213">
          <cell r="A213" t="str">
            <v>Minority Interest</v>
          </cell>
          <cell r="B213" t="str">
            <v>MINORITY_NONCONTROLLING_INTEREST</v>
          </cell>
          <cell r="C213" t="str">
            <v>EQY_FUND_RELATIVE_PERIOD</v>
          </cell>
          <cell r="F213">
            <v>14.995999999999999</v>
          </cell>
          <cell r="G213">
            <v>13.997</v>
          </cell>
          <cell r="H213">
            <v>12.718999999999999</v>
          </cell>
          <cell r="I213">
            <v>16.728999999999999</v>
          </cell>
          <cell r="J213">
            <v>15.354999999999999</v>
          </cell>
          <cell r="K213">
            <v>11.674999999999999</v>
          </cell>
          <cell r="L213">
            <v>7.9179999999999993</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t="str">
            <v/>
          </cell>
          <cell r="AB213">
            <v>0</v>
          </cell>
          <cell r="AC213">
            <v>0</v>
          </cell>
          <cell r="AD213">
            <v>0</v>
          </cell>
          <cell r="AE213">
            <v>10.561</v>
          </cell>
          <cell r="AF213">
            <v>11.459</v>
          </cell>
          <cell r="AG213">
            <v>13.003</v>
          </cell>
          <cell r="AH213">
            <v>13.997</v>
          </cell>
          <cell r="AI213">
            <v>11.674999999999999</v>
          </cell>
          <cell r="AJ213">
            <v>0</v>
          </cell>
          <cell r="AK213">
            <v>0</v>
          </cell>
          <cell r="AL213">
            <v>0</v>
          </cell>
        </row>
        <row r="214">
          <cell r="A214" t="str">
            <v>Total Equity</v>
          </cell>
          <cell r="B214" t="str">
            <v>TOTAL_EQUITY</v>
          </cell>
          <cell r="C214" t="str">
            <v>EQY_FUND_RELATIVE_PERIOD</v>
          </cell>
          <cell r="D214"/>
          <cell r="E214"/>
          <cell r="F214">
            <v>4776.5879999999997</v>
          </cell>
          <cell r="G214">
            <v>4469.134</v>
          </cell>
          <cell r="H214">
            <v>4399.9799999999996</v>
          </cell>
          <cell r="I214">
            <v>4331.6239999999998</v>
          </cell>
          <cell r="J214">
            <v>4303.3999999999996</v>
          </cell>
          <cell r="K214">
            <v>4119.2709999999997</v>
          </cell>
          <cell r="L214">
            <v>4070.3820000000005</v>
          </cell>
          <cell r="M214">
            <v>3935.0049999999997</v>
          </cell>
          <cell r="N214">
            <v>3906.0619999999999</v>
          </cell>
          <cell r="O214">
            <v>4055.4809999999998</v>
          </cell>
          <cell r="P214">
            <v>3997.672</v>
          </cell>
          <cell r="Q214">
            <v>3943.1499999999996</v>
          </cell>
          <cell r="R214">
            <v>3892.5189999999998</v>
          </cell>
          <cell r="S214">
            <v>3658</v>
          </cell>
          <cell r="T214">
            <v>3507</v>
          </cell>
          <cell r="U214">
            <v>6048</v>
          </cell>
          <cell r="V214">
            <v>5855</v>
          </cell>
          <cell r="W214">
            <v>5614</v>
          </cell>
          <cell r="X214">
            <v>5254</v>
          </cell>
          <cell r="Y214">
            <v>5062</v>
          </cell>
          <cell r="Z214">
            <v>4757</v>
          </cell>
          <cell r="AA214" t="str">
            <v/>
          </cell>
          <cell r="AB214">
            <v>1041.809</v>
          </cell>
          <cell r="AC214">
            <v>1058.0319999999999</v>
          </cell>
          <cell r="AD214">
            <v>997.89900000000011</v>
          </cell>
          <cell r="AE214">
            <v>529.60599999999999</v>
          </cell>
          <cell r="AF214">
            <v>339.07000000000011</v>
          </cell>
          <cell r="AG214">
            <v>5209.7429999999995</v>
          </cell>
          <cell r="AH214">
            <v>4469.134</v>
          </cell>
          <cell r="AI214">
            <v>4119.2709999999997</v>
          </cell>
          <cell r="AJ214">
            <v>4055.4809999999998</v>
          </cell>
          <cell r="AK214">
            <v>3658</v>
          </cell>
          <cell r="AL214">
            <v>5614</v>
          </cell>
          <cell r="AM214"/>
          <cell r="AN214"/>
        </row>
        <row r="215">
          <cell r="A215" t="str">
            <v>Total Liabilities &amp; Equity</v>
          </cell>
          <cell r="B215" t="str">
            <v>TOT_LIAB_AND_EQY</v>
          </cell>
          <cell r="C215" t="str">
            <v>EQY_FUND_RELATIVE_PERIOD</v>
          </cell>
          <cell r="D215"/>
          <cell r="E215"/>
          <cell r="F215">
            <v>17493.767</v>
          </cell>
          <cell r="G215">
            <v>17460.768000000004</v>
          </cell>
          <cell r="H215">
            <v>17218.25</v>
          </cell>
          <cell r="I215">
            <v>17145.595000000001</v>
          </cell>
          <cell r="J215">
            <v>17838.486000000001</v>
          </cell>
          <cell r="K215">
            <v>17733.631000000001</v>
          </cell>
          <cell r="L215">
            <v>17009.562000000002</v>
          </cell>
          <cell r="M215">
            <v>16600.065999999999</v>
          </cell>
          <cell r="N215">
            <v>16493.413999999997</v>
          </cell>
          <cell r="O215">
            <v>16635.484</v>
          </cell>
          <cell r="P215">
            <v>16468.874</v>
          </cell>
          <cell r="Q215">
            <v>16179.278</v>
          </cell>
          <cell r="R215">
            <v>17639.687999999998</v>
          </cell>
          <cell r="S215">
            <v>18810</v>
          </cell>
          <cell r="T215">
            <v>18721</v>
          </cell>
          <cell r="U215">
            <v>21286</v>
          </cell>
          <cell r="V215">
            <v>27365</v>
          </cell>
          <cell r="W215">
            <v>27084</v>
          </cell>
          <cell r="X215">
            <v>26454</v>
          </cell>
          <cell r="Y215">
            <v>29456</v>
          </cell>
          <cell r="Z215">
            <v>29045</v>
          </cell>
          <cell r="AA215" t="str">
            <v/>
          </cell>
          <cell r="AB215">
            <v>6427.567</v>
          </cell>
          <cell r="AC215">
            <v>6791.2049999999999</v>
          </cell>
          <cell r="AD215">
            <v>7256.0690000000004</v>
          </cell>
          <cell r="AE215">
            <v>6888.6760000000004</v>
          </cell>
          <cell r="AF215">
            <v>6878.2549999999992</v>
          </cell>
          <cell r="AG215">
            <v>17890.23</v>
          </cell>
          <cell r="AH215">
            <v>17460.768000000004</v>
          </cell>
          <cell r="AI215">
            <v>17733.631000000001</v>
          </cell>
          <cell r="AJ215">
            <v>16635.484</v>
          </cell>
          <cell r="AK215">
            <v>18810</v>
          </cell>
          <cell r="AL215">
            <v>27084</v>
          </cell>
          <cell r="AM215"/>
          <cell r="AN215"/>
        </row>
        <row r="216">
          <cell r="A216"/>
          <cell r="F216" t="str">
            <v/>
          </cell>
          <cell r="G216" t="str">
            <v/>
          </cell>
          <cell r="H216" t="str">
            <v/>
          </cell>
          <cell r="I216" t="str">
            <v/>
          </cell>
          <cell r="J216" t="str">
            <v/>
          </cell>
          <cell r="K216" t="str">
            <v/>
          </cell>
          <cell r="L216" t="str">
            <v/>
          </cell>
          <cell r="M216" t="str">
            <v/>
          </cell>
          <cell r="N216" t="str">
            <v/>
          </cell>
          <cell r="O216" t="str">
            <v/>
          </cell>
          <cell r="P216" t="str">
            <v/>
          </cell>
          <cell r="Q216" t="str">
            <v/>
          </cell>
          <cell r="R216" t="str">
            <v/>
          </cell>
          <cell r="S216" t="str">
            <v/>
          </cell>
          <cell r="T216" t="str">
            <v/>
          </cell>
          <cell r="U216" t="str">
            <v/>
          </cell>
          <cell r="V216" t="str">
            <v/>
          </cell>
          <cell r="W216" t="str">
            <v/>
          </cell>
          <cell r="X216" t="str">
            <v/>
          </cell>
          <cell r="Y216" t="str">
            <v/>
          </cell>
          <cell r="Z216" t="str">
            <v/>
          </cell>
          <cell r="AA216" t="str">
            <v/>
          </cell>
          <cell r="AB216" t="str">
            <v/>
          </cell>
          <cell r="AC216" t="str">
            <v/>
          </cell>
          <cell r="AD216" t="str">
            <v/>
          </cell>
          <cell r="AE216" t="str">
            <v/>
          </cell>
          <cell r="AF216" t="str">
            <v/>
          </cell>
          <cell r="AG216" t="str">
            <v/>
          </cell>
          <cell r="AH216" t="str">
            <v/>
          </cell>
          <cell r="AI216" t="str">
            <v/>
          </cell>
          <cell r="AJ216" t="str">
            <v/>
          </cell>
          <cell r="AK216" t="str">
            <v/>
          </cell>
          <cell r="AL216" t="str">
            <v/>
          </cell>
        </row>
        <row r="217">
          <cell r="A217" t="str">
            <v>Publication Date</v>
          </cell>
          <cell r="B217" t="str">
            <v>FUNDAMENTAL_PUBLIC_DATE</v>
          </cell>
          <cell r="C217" t="str">
            <v>EQY_FUND_RELATIVE_PERIOD</v>
          </cell>
          <cell r="F217" t="str">
            <v>2/25/2016</v>
          </cell>
          <cell r="G217" t="str">
            <v>2/25/2016</v>
          </cell>
          <cell r="H217" t="str">
            <v>2/25/2016</v>
          </cell>
          <cell r="I217" t="str">
            <v>2/25/2016</v>
          </cell>
          <cell r="J217" t="str">
            <v>2/25/2016</v>
          </cell>
          <cell r="K217" t="str">
            <v>2/25/2016</v>
          </cell>
          <cell r="L217" t="str">
            <v>2/25/2016</v>
          </cell>
          <cell r="M217" t="str">
            <v>2/25/2016</v>
          </cell>
          <cell r="N217" t="str">
            <v>2/25/2016</v>
          </cell>
          <cell r="O217" t="str">
            <v>2/25/2016</v>
          </cell>
          <cell r="P217" t="str">
            <v>2/25/2016</v>
          </cell>
          <cell r="Q217" t="str">
            <v>2/25/2016</v>
          </cell>
          <cell r="R217" t="str">
            <v>2/25/2016</v>
          </cell>
          <cell r="S217" t="str">
            <v>2/25/2016</v>
          </cell>
          <cell r="T217" t="str">
            <v>2/25/2016</v>
          </cell>
          <cell r="U217" t="str">
            <v>2/25/2016</v>
          </cell>
          <cell r="V217" t="str">
            <v>2/25/2016</v>
          </cell>
          <cell r="W217" t="str">
            <v>2/25/2016</v>
          </cell>
          <cell r="X217" t="str">
            <v>2/25/2016</v>
          </cell>
          <cell r="Y217" t="str">
            <v>2/25/2016</v>
          </cell>
          <cell r="Z217" t="str">
            <v>2/25/2016</v>
          </cell>
          <cell r="AA217" t="str">
            <v/>
          </cell>
          <cell r="AB217" t="str">
            <v>2/25/2016</v>
          </cell>
          <cell r="AC217" t="str">
            <v>2/25/2016</v>
          </cell>
          <cell r="AD217" t="str">
            <v>2/25/2016</v>
          </cell>
          <cell r="AE217" t="str">
            <v>2/25/2016</v>
          </cell>
          <cell r="AF217" t="str">
            <v>2/25/2016</v>
          </cell>
          <cell r="AG217" t="str">
            <v>2/25/2016</v>
          </cell>
          <cell r="AH217" t="str">
            <v>2/25/2016</v>
          </cell>
          <cell r="AI217" t="str">
            <v>2/25/2016</v>
          </cell>
          <cell r="AJ217" t="str">
            <v>2/25/2016</v>
          </cell>
          <cell r="AK217" t="str">
            <v>2/25/2016</v>
          </cell>
          <cell r="AL217" t="str">
            <v>2/25/2016</v>
          </cell>
        </row>
        <row r="218">
          <cell r="A218" t="str">
            <v>Shares Outstanding</v>
          </cell>
          <cell r="B218" t="str">
            <v>BS_SH_OUT</v>
          </cell>
          <cell r="C218" t="str">
            <v>EQY_FUND_RELATIVE_PERIOD</v>
          </cell>
          <cell r="F218">
            <v>995.13699999999994</v>
          </cell>
          <cell r="G218">
            <v>995.12800000000004</v>
          </cell>
          <cell r="H218">
            <v>998.51199999999994</v>
          </cell>
          <cell r="I218">
            <v>998.50099999999998</v>
          </cell>
          <cell r="J218">
            <v>998.45299999999997</v>
          </cell>
          <cell r="K218">
            <v>998.41</v>
          </cell>
          <cell r="L218">
            <v>998.13099999999997</v>
          </cell>
          <cell r="M218">
            <v>1000.523</v>
          </cell>
          <cell r="N218">
            <v>999.51700000000005</v>
          </cell>
          <cell r="O218">
            <v>999.46199999999999</v>
          </cell>
          <cell r="P218">
            <v>1002.2809999999999</v>
          </cell>
          <cell r="Q218">
            <v>1002.131</v>
          </cell>
          <cell r="R218">
            <v>1002.081</v>
          </cell>
          <cell r="S218">
            <v>1002.4690000000001</v>
          </cell>
          <cell r="T218">
            <v>1002.872</v>
          </cell>
          <cell r="U218">
            <v>1168.2660000000001</v>
          </cell>
          <cell r="V218">
            <v>1168.2180000000001</v>
          </cell>
          <cell r="W218">
            <v>1168.2</v>
          </cell>
          <cell r="X218">
            <v>1172.6579999999999</v>
          </cell>
          <cell r="Y218">
            <v>1173.0709999999999</v>
          </cell>
          <cell r="Z218">
            <v>1173.1079999999999</v>
          </cell>
          <cell r="AA218" t="str">
            <v/>
          </cell>
          <cell r="AB218">
            <v>328.16800000000001</v>
          </cell>
          <cell r="AC218">
            <v>322.26499999999999</v>
          </cell>
          <cell r="AD218">
            <v>327.74900000000002</v>
          </cell>
          <cell r="AE218">
            <v>311.31400000000002</v>
          </cell>
          <cell r="AF218">
            <v>312.32799999999997</v>
          </cell>
          <cell r="AG218">
            <v>993.85500000000002</v>
          </cell>
          <cell r="AH218">
            <v>995.12800000000004</v>
          </cell>
          <cell r="AI218">
            <v>998.41</v>
          </cell>
          <cell r="AJ218">
            <v>999.46199999999999</v>
          </cell>
          <cell r="AK218">
            <v>1002.4690000000001</v>
          </cell>
          <cell r="AL218">
            <v>1168.2</v>
          </cell>
        </row>
        <row r="219">
          <cell r="A219" t="str">
            <v>Number of Treasury Shares</v>
          </cell>
          <cell r="B219" t="str">
            <v>BS_NUM_OF_TSY_SH</v>
          </cell>
          <cell r="C219" t="str">
            <v>EQY_FUND_RELATIVE_PERIOD</v>
          </cell>
          <cell r="F219">
            <v>32.848999999999997</v>
          </cell>
          <cell r="G219">
            <v>32.857999999999997</v>
          </cell>
          <cell r="H219">
            <v>29.474</v>
          </cell>
          <cell r="I219">
            <v>29.484999999999999</v>
          </cell>
          <cell r="J219">
            <v>29.532999999999998</v>
          </cell>
          <cell r="K219">
            <v>29.575999999999997</v>
          </cell>
          <cell r="L219">
            <v>29.854999999999997</v>
          </cell>
          <cell r="M219">
            <v>27.462999999999997</v>
          </cell>
          <cell r="N219">
            <v>28.468999999999998</v>
          </cell>
          <cell r="O219">
            <v>28.523999999999997</v>
          </cell>
          <cell r="P219">
            <v>25.704999999999998</v>
          </cell>
          <cell r="Q219">
            <v>25.855</v>
          </cell>
          <cell r="R219">
            <v>25.904999999999998</v>
          </cell>
          <cell r="S219">
            <v>25.516999999999999</v>
          </cell>
          <cell r="T219">
            <v>25.113999999999997</v>
          </cell>
          <cell r="U219">
            <v>24.72</v>
          </cell>
          <cell r="V219">
            <v>24.767999999999997</v>
          </cell>
          <cell r="W219">
            <v>24.785999999999998</v>
          </cell>
          <cell r="X219">
            <v>20.327999999999999</v>
          </cell>
          <cell r="Y219">
            <v>19.914999999999999</v>
          </cell>
          <cell r="Z219">
            <v>19.878</v>
          </cell>
          <cell r="AA219" t="str">
            <v/>
          </cell>
          <cell r="AB219">
            <v>15.787999999999998</v>
          </cell>
          <cell r="AC219">
            <v>21.690999999999999</v>
          </cell>
          <cell r="AD219">
            <v>21.707000000000001</v>
          </cell>
          <cell r="AE219">
            <v>38.141999999999996</v>
          </cell>
          <cell r="AF219">
            <v>37.128</v>
          </cell>
          <cell r="AG219">
            <v>34.131</v>
          </cell>
          <cell r="AH219">
            <v>32.857999999999997</v>
          </cell>
          <cell r="AI219">
            <v>29.575999999999997</v>
          </cell>
          <cell r="AJ219">
            <v>28.523999999999997</v>
          </cell>
          <cell r="AK219">
            <v>25.516999999999999</v>
          </cell>
          <cell r="AL219">
            <v>24.785999999999998</v>
          </cell>
        </row>
        <row r="220">
          <cell r="A220" t="str">
            <v>Pension Obligations</v>
          </cell>
          <cell r="B220" t="str">
            <v>BS_PENSION_RSRV</v>
          </cell>
          <cell r="C220" t="str">
            <v>EQY_FUND_RELATIVE_PERIOD</v>
          </cell>
          <cell r="F220">
            <v>780.14199999999994</v>
          </cell>
          <cell r="G220">
            <v>918.70099999999991</v>
          </cell>
          <cell r="H220">
            <v>929.20999999999992</v>
          </cell>
          <cell r="I220">
            <v>908.976</v>
          </cell>
          <cell r="J220">
            <v>923.63400000000001</v>
          </cell>
          <cell r="K220">
            <v>1055.058</v>
          </cell>
          <cell r="L220">
            <v>1054.2460000000001</v>
          </cell>
          <cell r="M220">
            <v>1045.9780000000001</v>
          </cell>
          <cell r="N220">
            <v>1022.765</v>
          </cell>
          <cell r="O220">
            <v>725.33299999999997</v>
          </cell>
          <cell r="P220">
            <v>713.77699999999993</v>
          </cell>
          <cell r="Q220">
            <v>697.70799999999997</v>
          </cell>
          <cell r="R220">
            <v>676.56399999999996</v>
          </cell>
          <cell r="S220">
            <v>1141</v>
          </cell>
          <cell r="T220">
            <v>1173</v>
          </cell>
          <cell r="U220">
            <v>1122</v>
          </cell>
          <cell r="V220">
            <v>1146</v>
          </cell>
          <cell r="W220">
            <v>1163</v>
          </cell>
          <cell r="X220">
            <v>1178</v>
          </cell>
          <cell r="Y220">
            <v>1470</v>
          </cell>
          <cell r="Z220">
            <v>1570</v>
          </cell>
          <cell r="AA220" t="str">
            <v/>
          </cell>
          <cell r="AB220">
            <v>226.584</v>
          </cell>
          <cell r="AC220">
            <v>151.36099999999999</v>
          </cell>
          <cell r="AD220">
            <v>158.49599999999998</v>
          </cell>
          <cell r="AE220">
            <v>403.47299999999996</v>
          </cell>
          <cell r="AF220">
            <v>454.161</v>
          </cell>
          <cell r="AG220">
            <v>816.58799999999997</v>
          </cell>
          <cell r="AH220">
            <v>918.70099999999991</v>
          </cell>
          <cell r="AI220">
            <v>1055.058</v>
          </cell>
          <cell r="AJ220">
            <v>725.33299999999997</v>
          </cell>
          <cell r="AK220">
            <v>1141</v>
          </cell>
          <cell r="AL220">
            <v>1163</v>
          </cell>
        </row>
        <row r="221">
          <cell r="A221"/>
          <cell r="F221" t="str">
            <v/>
          </cell>
          <cell r="G221" t="str">
            <v/>
          </cell>
          <cell r="H221" t="str">
            <v/>
          </cell>
          <cell r="I221" t="str">
            <v/>
          </cell>
          <cell r="J221" t="str">
            <v/>
          </cell>
          <cell r="K221" t="str">
            <v/>
          </cell>
          <cell r="L221" t="str">
            <v/>
          </cell>
          <cell r="M221" t="str">
            <v/>
          </cell>
          <cell r="N221" t="str">
            <v/>
          </cell>
          <cell r="O221" t="str">
            <v/>
          </cell>
          <cell r="P221" t="str">
            <v/>
          </cell>
          <cell r="Q221" t="str">
            <v/>
          </cell>
          <cell r="R221" t="str">
            <v/>
          </cell>
          <cell r="S221" t="str">
            <v/>
          </cell>
          <cell r="T221" t="str">
            <v/>
          </cell>
          <cell r="U221" t="str">
            <v/>
          </cell>
          <cell r="V221" t="str">
            <v/>
          </cell>
          <cell r="W221" t="str">
            <v/>
          </cell>
          <cell r="X221" t="str">
            <v/>
          </cell>
          <cell r="Y221" t="str">
            <v/>
          </cell>
          <cell r="Z221" t="str">
            <v/>
          </cell>
          <cell r="AA221" t="str">
            <v/>
          </cell>
          <cell r="AB221" t="str">
            <v/>
          </cell>
          <cell r="AC221" t="str">
            <v/>
          </cell>
          <cell r="AD221" t="str">
            <v/>
          </cell>
          <cell r="AE221" t="str">
            <v/>
          </cell>
          <cell r="AF221" t="str">
            <v/>
          </cell>
          <cell r="AG221" t="str">
            <v/>
          </cell>
          <cell r="AH221" t="str">
            <v/>
          </cell>
          <cell r="AI221" t="str">
            <v/>
          </cell>
          <cell r="AJ221" t="str">
            <v/>
          </cell>
          <cell r="AK221" t="str">
            <v/>
          </cell>
          <cell r="AL221" t="str">
            <v/>
          </cell>
        </row>
        <row r="222">
          <cell r="A222" t="str">
            <v>Total Line of Credit</v>
          </cell>
          <cell r="B222" t="str">
            <v>BS_TOTAL_LINE_OF_CREDIT</v>
          </cell>
          <cell r="C222" t="str">
            <v>EQY_FUND_RELATIVE_PERIOD</v>
          </cell>
          <cell r="F222">
            <v>750</v>
          </cell>
          <cell r="G222">
            <v>750</v>
          </cell>
          <cell r="H222">
            <v>750</v>
          </cell>
          <cell r="I222">
            <v>750</v>
          </cell>
          <cell r="J222">
            <v>750</v>
          </cell>
          <cell r="K222">
            <v>750</v>
          </cell>
          <cell r="L222">
            <v>750</v>
          </cell>
          <cell r="M222">
            <v>750</v>
          </cell>
          <cell r="N222">
            <v>750</v>
          </cell>
          <cell r="O222">
            <v>750</v>
          </cell>
          <cell r="P222">
            <v>750</v>
          </cell>
          <cell r="Q222">
            <v>750</v>
          </cell>
          <cell r="R222">
            <v>750</v>
          </cell>
          <cell r="S222">
            <v>750</v>
          </cell>
          <cell r="T222">
            <v>750</v>
          </cell>
          <cell r="U222">
            <v>750</v>
          </cell>
          <cell r="V222">
            <v>750</v>
          </cell>
          <cell r="W222">
            <v>750</v>
          </cell>
          <cell r="X222">
            <v>750</v>
          </cell>
          <cell r="Y222">
            <v>750</v>
          </cell>
          <cell r="Z222">
            <v>750</v>
          </cell>
          <cell r="AA222" t="str">
            <v/>
          </cell>
          <cell r="AB222">
            <v>250</v>
          </cell>
          <cell r="AC222">
            <v>250</v>
          </cell>
          <cell r="AD222">
            <v>250</v>
          </cell>
          <cell r="AE222">
            <v>250</v>
          </cell>
          <cell r="AF222">
            <v>250</v>
          </cell>
          <cell r="AG222">
            <v>750</v>
          </cell>
          <cell r="AH222">
            <v>750</v>
          </cell>
          <cell r="AI222">
            <v>750</v>
          </cell>
          <cell r="AJ222">
            <v>750</v>
          </cell>
          <cell r="AK222">
            <v>750</v>
          </cell>
          <cell r="AL222">
            <v>750</v>
          </cell>
        </row>
        <row r="223">
          <cell r="A223" t="str">
            <v>Amt of Revolved drawn</v>
          </cell>
          <cell r="B223" t="str">
            <v>LINE_OF_CREDIT_UTILIZED_AMOUNT</v>
          </cell>
          <cell r="C223" t="str">
            <v>EQY_FUND_RELATIVE_PERIOD</v>
          </cell>
          <cell r="F223">
            <v>0</v>
          </cell>
          <cell r="G223">
            <v>0</v>
          </cell>
          <cell r="H223">
            <v>0</v>
          </cell>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t="str">
            <v/>
          </cell>
          <cell r="AB223">
            <v>0</v>
          </cell>
          <cell r="AC223">
            <v>0.40000000000000568</v>
          </cell>
          <cell r="AD223">
            <v>0</v>
          </cell>
          <cell r="AE223">
            <v>0</v>
          </cell>
          <cell r="AF223">
            <v>0</v>
          </cell>
          <cell r="AG223">
            <v>0</v>
          </cell>
          <cell r="AH223">
            <v>0</v>
          </cell>
          <cell r="AI223">
            <v>0</v>
          </cell>
          <cell r="AJ223">
            <v>0</v>
          </cell>
          <cell r="AK223">
            <v>0</v>
          </cell>
          <cell r="AL223">
            <v>0</v>
          </cell>
        </row>
        <row r="224">
          <cell r="A224" t="str">
            <v>Revolver amt available</v>
          </cell>
          <cell r="B224" t="str">
            <v>BS_TOTAL_AVAIL_LINE_OF_CREDIT</v>
          </cell>
          <cell r="C224" t="str">
            <v>EQY_FUND_RELATIVE_PERIOD</v>
          </cell>
          <cell r="F224">
            <v>750</v>
          </cell>
          <cell r="G224">
            <v>750</v>
          </cell>
          <cell r="H224">
            <v>750</v>
          </cell>
          <cell r="I224">
            <v>750</v>
          </cell>
          <cell r="J224">
            <v>750</v>
          </cell>
          <cell r="K224">
            <v>750</v>
          </cell>
          <cell r="L224">
            <v>750</v>
          </cell>
          <cell r="M224">
            <v>750</v>
          </cell>
          <cell r="N224">
            <v>750</v>
          </cell>
          <cell r="O224">
            <v>750</v>
          </cell>
          <cell r="P224">
            <v>750</v>
          </cell>
          <cell r="Q224">
            <v>750</v>
          </cell>
          <cell r="R224">
            <v>750</v>
          </cell>
          <cell r="S224">
            <v>750</v>
          </cell>
          <cell r="T224">
            <v>750</v>
          </cell>
          <cell r="U224">
            <v>750</v>
          </cell>
          <cell r="V224">
            <v>750</v>
          </cell>
          <cell r="W224">
            <v>750</v>
          </cell>
          <cell r="X224">
            <v>750</v>
          </cell>
          <cell r="Y224">
            <v>750</v>
          </cell>
          <cell r="Z224">
            <v>750</v>
          </cell>
          <cell r="AA224" t="str">
            <v/>
          </cell>
          <cell r="AB224">
            <v>250</v>
          </cell>
          <cell r="AC224">
            <v>249.6</v>
          </cell>
          <cell r="AD224">
            <v>250</v>
          </cell>
          <cell r="AE224">
            <v>250</v>
          </cell>
          <cell r="AF224">
            <v>250</v>
          </cell>
          <cell r="AG224">
            <v>750</v>
          </cell>
          <cell r="AH224">
            <v>750</v>
          </cell>
          <cell r="AI224">
            <v>750</v>
          </cell>
          <cell r="AJ224">
            <v>750</v>
          </cell>
          <cell r="AK224">
            <v>750</v>
          </cell>
          <cell r="AL224">
            <v>750</v>
          </cell>
        </row>
        <row r="225">
          <cell r="F225" t="str">
            <v/>
          </cell>
          <cell r="G225" t="str">
            <v/>
          </cell>
          <cell r="H225" t="str">
            <v/>
          </cell>
          <cell r="I225" t="str">
            <v/>
          </cell>
          <cell r="J225" t="str">
            <v/>
          </cell>
          <cell r="K225" t="str">
            <v/>
          </cell>
          <cell r="L225" t="str">
            <v/>
          </cell>
          <cell r="M225" t="str">
            <v/>
          </cell>
          <cell r="N225" t="str">
            <v/>
          </cell>
          <cell r="O225" t="str">
            <v/>
          </cell>
          <cell r="P225" t="str">
            <v/>
          </cell>
          <cell r="Q225" t="str">
            <v/>
          </cell>
          <cell r="R225" t="str">
            <v/>
          </cell>
          <cell r="S225" t="str">
            <v/>
          </cell>
          <cell r="T225" t="str">
            <v/>
          </cell>
          <cell r="U225" t="str">
            <v/>
          </cell>
          <cell r="V225" t="str">
            <v/>
          </cell>
          <cell r="W225" t="str">
            <v/>
          </cell>
          <cell r="X225" t="str">
            <v/>
          </cell>
          <cell r="Y225" t="str">
            <v/>
          </cell>
          <cell r="Z225" t="str">
            <v/>
          </cell>
          <cell r="AA225" t="str">
            <v/>
          </cell>
          <cell r="AB225" t="str">
            <v/>
          </cell>
          <cell r="AC225" t="str">
            <v/>
          </cell>
          <cell r="AD225" t="str">
            <v/>
          </cell>
          <cell r="AE225" t="str">
            <v/>
          </cell>
          <cell r="AF225" t="str">
            <v/>
          </cell>
          <cell r="AG225" t="str">
            <v/>
          </cell>
          <cell r="AH225" t="str">
            <v/>
          </cell>
          <cell r="AI225" t="str">
            <v/>
          </cell>
          <cell r="AJ225" t="str">
            <v/>
          </cell>
          <cell r="AK225" t="str">
            <v/>
          </cell>
          <cell r="AL225" t="str">
            <v/>
          </cell>
        </row>
        <row r="226">
          <cell r="A226" t="str">
            <v>CASH FLOW STATEMENT</v>
          </cell>
          <cell r="B226"/>
          <cell r="C226"/>
          <cell r="D226"/>
          <cell r="E226"/>
          <cell r="F226" t="str">
            <v/>
          </cell>
          <cell r="G226" t="str">
            <v/>
          </cell>
          <cell r="H226" t="str">
            <v/>
          </cell>
          <cell r="I226" t="str">
            <v/>
          </cell>
          <cell r="J226" t="str">
            <v/>
          </cell>
          <cell r="K226" t="str">
            <v/>
          </cell>
          <cell r="L226" t="str">
            <v/>
          </cell>
          <cell r="M226" t="str">
            <v/>
          </cell>
          <cell r="N226" t="str">
            <v/>
          </cell>
          <cell r="O226" t="str">
            <v/>
          </cell>
          <cell r="P226" t="str">
            <v/>
          </cell>
          <cell r="Q226" t="str">
            <v/>
          </cell>
          <cell r="R226" t="str">
            <v/>
          </cell>
          <cell r="S226" t="str">
            <v/>
          </cell>
          <cell r="T226" t="str">
            <v/>
          </cell>
          <cell r="U226" t="str">
            <v/>
          </cell>
          <cell r="V226" t="str">
            <v/>
          </cell>
          <cell r="W226" t="str">
            <v/>
          </cell>
          <cell r="X226" t="str">
            <v/>
          </cell>
          <cell r="Y226" t="str">
            <v/>
          </cell>
          <cell r="Z226" t="str">
            <v/>
          </cell>
          <cell r="AA226" t="str">
            <v/>
          </cell>
          <cell r="AB226" t="str">
            <v/>
          </cell>
          <cell r="AC226" t="str">
            <v/>
          </cell>
          <cell r="AD226" t="str">
            <v/>
          </cell>
          <cell r="AE226" t="str">
            <v/>
          </cell>
          <cell r="AF226" t="str">
            <v/>
          </cell>
          <cell r="AG226" t="str">
            <v/>
          </cell>
          <cell r="AH226" t="str">
            <v/>
          </cell>
          <cell r="AI226" t="str">
            <v/>
          </cell>
          <cell r="AJ226" t="str">
            <v/>
          </cell>
          <cell r="AK226" t="str">
            <v/>
          </cell>
          <cell r="AL226" t="str">
            <v/>
          </cell>
          <cell r="AM226"/>
          <cell r="AN226"/>
        </row>
        <row r="227">
          <cell r="A227" t="str">
            <v>Net Income</v>
          </cell>
          <cell r="B227" t="str">
            <v>CF_NET_INC</v>
          </cell>
          <cell r="C227" t="str">
            <v>EQY_FUND_RELATIVE_PERIOD</v>
          </cell>
          <cell r="F227">
            <v>20.395</v>
          </cell>
          <cell r="G227">
            <v>42.247</v>
          </cell>
          <cell r="H227">
            <v>26.767999999999997</v>
          </cell>
          <cell r="I227">
            <v>17.989000000000001</v>
          </cell>
          <cell r="J227">
            <v>67</v>
          </cell>
          <cell r="K227">
            <v>24.878999999999998</v>
          </cell>
          <cell r="L227">
            <v>48.14</v>
          </cell>
          <cell r="M227">
            <v>-38.46</v>
          </cell>
          <cell r="N227">
            <v>35.4</v>
          </cell>
          <cell r="O227">
            <v>67.754999999999995</v>
          </cell>
          <cell r="P227">
            <v>39.274000000000001</v>
          </cell>
          <cell r="Q227">
            <v>37.68</v>
          </cell>
          <cell r="R227">
            <v>41.992999999999995</v>
          </cell>
          <cell r="S227">
            <v>13.946</v>
          </cell>
          <cell r="T227">
            <v>-51</v>
          </cell>
          <cell r="U227">
            <v>-28</v>
          </cell>
          <cell r="V227">
            <v>-14</v>
          </cell>
          <cell r="W227">
            <v>-103</v>
          </cell>
          <cell r="X227">
            <v>-186</v>
          </cell>
          <cell r="Y227">
            <v>-27</v>
          </cell>
          <cell r="Z227">
            <v>-80</v>
          </cell>
          <cell r="AA227" t="str">
            <v/>
          </cell>
          <cell r="AB227">
            <v>202.375</v>
          </cell>
          <cell r="AC227">
            <v>344.55500000000001</v>
          </cell>
          <cell r="AD227">
            <v>214.654</v>
          </cell>
          <cell r="AE227">
            <v>182.66</v>
          </cell>
          <cell r="AF227">
            <v>120.783</v>
          </cell>
          <cell r="AG227">
            <v>152.673</v>
          </cell>
          <cell r="AH227">
            <v>149.614</v>
          </cell>
          <cell r="AI227">
            <v>136.636</v>
          </cell>
          <cell r="AJ227">
            <v>112.83499999999999</v>
          </cell>
          <cell r="AK227">
            <v>132.893</v>
          </cell>
          <cell r="AL227">
            <v>-196</v>
          </cell>
        </row>
        <row r="228">
          <cell r="A228" t="str">
            <v>CF Depreciation &amp; Amortization</v>
          </cell>
          <cell r="B228" t="str">
            <v>CF_DEPR_AMORT</v>
          </cell>
          <cell r="C228" t="str">
            <v>EQY_FUND_RELATIVE_PERIOD</v>
          </cell>
          <cell r="F228">
            <v>351.90699999999998</v>
          </cell>
          <cell r="G228">
            <v>341.02499999999998</v>
          </cell>
          <cell r="H228">
            <v>357.3</v>
          </cell>
          <cell r="I228">
            <v>307.04699999999997</v>
          </cell>
          <cell r="J228">
            <v>298.416</v>
          </cell>
          <cell r="K228">
            <v>304.04399999999998</v>
          </cell>
          <cell r="L228">
            <v>303.67500000000001</v>
          </cell>
          <cell r="M228">
            <v>297.84899999999999</v>
          </cell>
          <cell r="N228">
            <v>285.70099999999996</v>
          </cell>
          <cell r="O228">
            <v>282.27499999999998</v>
          </cell>
          <cell r="P228">
            <v>281.40699999999998</v>
          </cell>
          <cell r="Q228">
            <v>273.46299999999997</v>
          </cell>
          <cell r="R228">
            <v>260.89699999999999</v>
          </cell>
          <cell r="S228">
            <v>323.17500000000001</v>
          </cell>
          <cell r="T228">
            <v>341</v>
          </cell>
          <cell r="U228">
            <v>335</v>
          </cell>
          <cell r="V228">
            <v>325</v>
          </cell>
          <cell r="W228">
            <v>319</v>
          </cell>
          <cell r="X228">
            <v>316</v>
          </cell>
          <cell r="Y228">
            <v>575</v>
          </cell>
          <cell r="Z228">
            <v>578</v>
          </cell>
          <cell r="AA228" t="str">
            <v/>
          </cell>
          <cell r="AB228">
            <v>520.20399999999995</v>
          </cell>
          <cell r="AC228">
            <v>476.48699999999997</v>
          </cell>
          <cell r="AD228">
            <v>545.85599999999999</v>
          </cell>
          <cell r="AE228">
            <v>561.80099999999993</v>
          </cell>
          <cell r="AF228">
            <v>476.39099999999996</v>
          </cell>
          <cell r="AG228">
            <v>893.71899999999994</v>
          </cell>
          <cell r="AH228">
            <v>1403.175</v>
          </cell>
          <cell r="AI228">
            <v>1266.807</v>
          </cell>
          <cell r="AJ228">
            <v>1169.5</v>
          </cell>
          <cell r="AK228">
            <v>1138.942</v>
          </cell>
          <cell r="AL228">
            <v>1320</v>
          </cell>
        </row>
        <row r="229">
          <cell r="A229" t="str">
            <v>NonCash Items</v>
          </cell>
          <cell r="B229" t="str">
            <v>NON_CASH_ITEMS_DETAILED</v>
          </cell>
          <cell r="C229" t="str">
            <v>EQY_FUND_RELATIVE_PERIOD</v>
          </cell>
          <cell r="F229">
            <v>-16.567</v>
          </cell>
          <cell r="G229">
            <v>50.338999999999999</v>
          </cell>
          <cell r="H229">
            <v>37.143999999999998</v>
          </cell>
          <cell r="I229">
            <v>112.578</v>
          </cell>
          <cell r="J229">
            <v>37.703000000000003</v>
          </cell>
          <cell r="K229">
            <v>55.298000000000002</v>
          </cell>
          <cell r="L229">
            <v>3.1230000000000002</v>
          </cell>
          <cell r="M229">
            <v>148.654</v>
          </cell>
          <cell r="N229">
            <v>35.515999999999998</v>
          </cell>
          <cell r="O229">
            <v>62.421999999999997</v>
          </cell>
          <cell r="P229">
            <v>-3.1349999999999998</v>
          </cell>
          <cell r="Q229">
            <v>-32.316000000000003</v>
          </cell>
          <cell r="R229">
            <v>-87.322999999999993</v>
          </cell>
          <cell r="S229">
            <v>45.422000000000004</v>
          </cell>
          <cell r="T229">
            <v>26</v>
          </cell>
          <cell r="U229">
            <v>229</v>
          </cell>
          <cell r="V229">
            <v>-208</v>
          </cell>
          <cell r="W229">
            <v>14</v>
          </cell>
          <cell r="X229">
            <v>-74</v>
          </cell>
          <cell r="Y229">
            <v>-17</v>
          </cell>
          <cell r="Z229">
            <v>53</v>
          </cell>
          <cell r="AA229" t="str">
            <v/>
          </cell>
          <cell r="AB229">
            <v>147.251</v>
          </cell>
          <cell r="AC229">
            <v>15.853</v>
          </cell>
          <cell r="AD229">
            <v>80.108000000000004</v>
          </cell>
          <cell r="AE229">
            <v>41.164000000000001</v>
          </cell>
          <cell r="AF229">
            <v>155.19800000000001</v>
          </cell>
          <cell r="AG229">
            <v>153.071</v>
          </cell>
          <cell r="AH229">
            <v>105.47499999999999</v>
          </cell>
          <cell r="AI229">
            <v>242.72300000000001</v>
          </cell>
          <cell r="AJ229">
            <v>249.715</v>
          </cell>
          <cell r="AK229">
            <v>-77.352000000000004</v>
          </cell>
          <cell r="AL229">
            <v>61</v>
          </cell>
        </row>
        <row r="230">
          <cell r="A230" t="str">
            <v>Stock Compensation</v>
          </cell>
          <cell r="B230" t="str">
            <v>CF_STOCK_BASED_COMPENSATION</v>
          </cell>
          <cell r="C230" t="str">
            <v>EQY_FUND_RELATIVE_PERIOD</v>
          </cell>
          <cell r="F230">
            <v>3.052</v>
          </cell>
          <cell r="G230">
            <v>3.48</v>
          </cell>
          <cell r="H230">
            <v>3.718</v>
          </cell>
          <cell r="I230">
            <v>4.0570000000000004</v>
          </cell>
          <cell r="J230">
            <v>5.1749999999999998</v>
          </cell>
          <cell r="K230">
            <v>3.8249999999999997</v>
          </cell>
          <cell r="L230">
            <v>3.8849999999999998</v>
          </cell>
          <cell r="M230">
            <v>5.0419999999999998</v>
          </cell>
          <cell r="N230">
            <v>3.6339999999999999</v>
          </cell>
          <cell r="O230">
            <v>4.3709999999999996</v>
          </cell>
          <cell r="P230">
            <v>6.1509999999999998</v>
          </cell>
          <cell r="Q230">
            <v>5.7409999999999997</v>
          </cell>
          <cell r="R230">
            <v>6.4579999999999993</v>
          </cell>
          <cell r="S230">
            <v>5.1120000000000001</v>
          </cell>
          <cell r="T230">
            <v>7</v>
          </cell>
          <cell r="U230">
            <v>5</v>
          </cell>
          <cell r="V230">
            <v>7</v>
          </cell>
          <cell r="W230">
            <v>8</v>
          </cell>
          <cell r="X230">
            <v>8</v>
          </cell>
          <cell r="Y230">
            <v>7</v>
          </cell>
          <cell r="Z230">
            <v>6</v>
          </cell>
          <cell r="AA230" t="str">
            <v/>
          </cell>
          <cell r="AB230">
            <v>0</v>
          </cell>
          <cell r="AC230">
            <v>0</v>
          </cell>
          <cell r="AD230">
            <v>9.0220000000000002</v>
          </cell>
          <cell r="AE230">
            <v>7.7879999999999994</v>
          </cell>
          <cell r="AF230">
            <v>9.3680000000000003</v>
          </cell>
          <cell r="AG230">
            <v>14.472999999999999</v>
          </cell>
          <cell r="AH230">
            <v>14.209</v>
          </cell>
          <cell r="AI230">
            <v>16.774999999999999</v>
          </cell>
          <cell r="AJ230">
            <v>16.931999999999999</v>
          </cell>
          <cell r="AK230">
            <v>23.462</v>
          </cell>
          <cell r="AL230">
            <v>27</v>
          </cell>
        </row>
        <row r="231">
          <cell r="A231" t="str">
            <v>Deferred Income Taxes</v>
          </cell>
          <cell r="B231" t="str">
            <v>CF_DEF_INC_TAX</v>
          </cell>
          <cell r="C231" t="str">
            <v>EQY_FUND_RELATIVE_PERIOD</v>
          </cell>
          <cell r="F231">
            <v>-30.913999999999998</v>
          </cell>
          <cell r="G231">
            <v>67.191999999999993</v>
          </cell>
          <cell r="H231">
            <v>15.763999999999999</v>
          </cell>
          <cell r="I231">
            <v>11.394</v>
          </cell>
          <cell r="J231">
            <v>32.636000000000003</v>
          </cell>
          <cell r="K231">
            <v>20.707000000000001</v>
          </cell>
          <cell r="L231">
            <v>-10.132999999999999</v>
          </cell>
          <cell r="M231">
            <v>-9.0149999999999988</v>
          </cell>
          <cell r="N231">
            <v>-24.161999999999999</v>
          </cell>
          <cell r="O231">
            <v>35.799999999999997</v>
          </cell>
          <cell r="P231">
            <v>-22.478999999999999</v>
          </cell>
          <cell r="Q231">
            <v>-44.013999999999996</v>
          </cell>
          <cell r="R231">
            <v>-58.263999999999996</v>
          </cell>
          <cell r="S231">
            <v>46.881</v>
          </cell>
          <cell r="T231">
            <v>-33</v>
          </cell>
          <cell r="U231">
            <v>148</v>
          </cell>
          <cell r="V231">
            <v>-278</v>
          </cell>
          <cell r="W231">
            <v>-4</v>
          </cell>
          <cell r="X231">
            <v>-119</v>
          </cell>
          <cell r="Y231">
            <v>-52</v>
          </cell>
          <cell r="Z231">
            <v>8</v>
          </cell>
          <cell r="AA231" t="str">
            <v/>
          </cell>
          <cell r="AB231">
            <v>100.636</v>
          </cell>
          <cell r="AC231">
            <v>132.03100000000001</v>
          </cell>
          <cell r="AD231">
            <v>81.010999999999996</v>
          </cell>
          <cell r="AE231">
            <v>33.966999999999999</v>
          </cell>
          <cell r="AF231">
            <v>61.216999999999999</v>
          </cell>
          <cell r="AG231">
            <v>85.432000000000002</v>
          </cell>
          <cell r="AH231">
            <v>87.411000000000001</v>
          </cell>
          <cell r="AI231">
            <v>80.500999999999991</v>
          </cell>
          <cell r="AJ231">
            <v>-7.51</v>
          </cell>
          <cell r="AK231">
            <v>-77.875999999999991</v>
          </cell>
          <cell r="AL231">
            <v>-167</v>
          </cell>
        </row>
        <row r="232">
          <cell r="A232" t="str">
            <v>Other NonCash Adj</v>
          </cell>
          <cell r="B232" t="str">
            <v>OTHER_NON_CASH_ADJ_LESS_DETAILED</v>
          </cell>
          <cell r="C232" t="str">
            <v>EQY_FUND_RELATIVE_PERIOD</v>
          </cell>
          <cell r="F232">
            <v>11.295000000000002</v>
          </cell>
          <cell r="G232">
            <v>-20.332999999999991</v>
          </cell>
          <cell r="H232">
            <v>17.662000000000003</v>
          </cell>
          <cell r="I232">
            <v>97.126999999999995</v>
          </cell>
          <cell r="J232">
            <v>-0.10799999999999699</v>
          </cell>
          <cell r="K232">
            <v>30.765999999999998</v>
          </cell>
          <cell r="L232">
            <v>9.3709999999999987</v>
          </cell>
          <cell r="M232">
            <v>152.62700000000001</v>
          </cell>
          <cell r="N232">
            <v>56.043999999999997</v>
          </cell>
          <cell r="O232">
            <v>22.250999999999998</v>
          </cell>
          <cell r="P232">
            <v>13.193</v>
          </cell>
          <cell r="Q232">
            <v>5.9570000000000007</v>
          </cell>
          <cell r="R232">
            <v>-35.516999999999989</v>
          </cell>
          <cell r="S232">
            <v>-6.5709999999999997</v>
          </cell>
          <cell r="T232">
            <v>52</v>
          </cell>
          <cell r="U232">
            <v>76</v>
          </cell>
          <cell r="V232">
            <v>63</v>
          </cell>
          <cell r="W232">
            <v>10</v>
          </cell>
          <cell r="X232">
            <v>37</v>
          </cell>
          <cell r="Y232">
            <v>28</v>
          </cell>
          <cell r="Z232">
            <v>39</v>
          </cell>
          <cell r="AA232" t="str">
            <v/>
          </cell>
          <cell r="AB232">
            <v>46.615000000000009</v>
          </cell>
          <cell r="AC232">
            <v>-116.17800000000001</v>
          </cell>
          <cell r="AD232">
            <v>-9.9249999999999972</v>
          </cell>
          <cell r="AE232">
            <v>-0.59099999999999397</v>
          </cell>
          <cell r="AF232">
            <v>84.613000000000014</v>
          </cell>
          <cell r="AG232">
            <v>53.165999999999983</v>
          </cell>
          <cell r="AH232">
            <v>3.8549999999999898</v>
          </cell>
          <cell r="AI232">
            <v>145.447</v>
          </cell>
          <cell r="AJ232">
            <v>240.29300000000001</v>
          </cell>
          <cell r="AK232">
            <v>-22.938000000000002</v>
          </cell>
          <cell r="AL232">
            <v>201</v>
          </cell>
        </row>
        <row r="233">
          <cell r="A233" t="str">
            <v>Inc (Dec) in Operating Capital</v>
          </cell>
          <cell r="B233" t="str">
            <v>CF_CHNG_NON_CASH_WORK_CAP</v>
          </cell>
          <cell r="C233" t="str">
            <v>EQY_FUND_RELATIVE_PERIOD</v>
          </cell>
          <cell r="F233">
            <v>52.687999999999995</v>
          </cell>
          <cell r="G233">
            <v>-133.584</v>
          </cell>
          <cell r="H233">
            <v>-38.698999999999998</v>
          </cell>
          <cell r="I233">
            <v>-62.333999999999996</v>
          </cell>
          <cell r="J233">
            <v>-0.627</v>
          </cell>
          <cell r="K233">
            <v>7.9669999999999996</v>
          </cell>
          <cell r="L233">
            <v>4.3540000000000001</v>
          </cell>
          <cell r="M233">
            <v>-86.628</v>
          </cell>
          <cell r="N233">
            <v>38.016999999999996</v>
          </cell>
          <cell r="O233">
            <v>7.8339999999999996</v>
          </cell>
          <cell r="P233">
            <v>-4.6819999999999995</v>
          </cell>
          <cell r="Q233">
            <v>49.427999999999997</v>
          </cell>
          <cell r="R233">
            <v>85.38</v>
          </cell>
          <cell r="S233">
            <v>-54.536999999999999</v>
          </cell>
          <cell r="T233">
            <v>-67</v>
          </cell>
          <cell r="U233">
            <v>-169</v>
          </cell>
          <cell r="V233">
            <v>242</v>
          </cell>
          <cell r="W233">
            <v>110</v>
          </cell>
          <cell r="X233">
            <v>-118</v>
          </cell>
          <cell r="Y233">
            <v>162</v>
          </cell>
          <cell r="Z233">
            <v>-230</v>
          </cell>
          <cell r="AA233" t="str">
            <v/>
          </cell>
          <cell r="AB233">
            <v>-23.161999999999999</v>
          </cell>
          <cell r="AC233">
            <v>10.120999999999999</v>
          </cell>
          <cell r="AD233">
            <v>-18.934999999999999</v>
          </cell>
          <cell r="AE233">
            <v>-46.358999999999995</v>
          </cell>
          <cell r="AF233">
            <v>-9.6519999999999992</v>
          </cell>
          <cell r="AG233">
            <v>22.716999999999999</v>
          </cell>
          <cell r="AH233">
            <v>-85.582999999999998</v>
          </cell>
          <cell r="AI233">
            <v>-93.692999999999998</v>
          </cell>
          <cell r="AJ233">
            <v>-36.423000000000002</v>
          </cell>
          <cell r="AK233">
            <v>75.588999999999999</v>
          </cell>
          <cell r="AL233">
            <v>116</v>
          </cell>
        </row>
        <row r="234">
          <cell r="A234" t="str">
            <v>(Inc) Dec in Accts Receiv</v>
          </cell>
          <cell r="B234" t="str">
            <v>CF_ACCT_RCV_UNBILLED_REV</v>
          </cell>
          <cell r="C234" t="str">
            <v>EQY_FUND_RELATIVE_PERIOD</v>
          </cell>
          <cell r="F234">
            <v>-13.542999999999999</v>
          </cell>
          <cell r="G234">
            <v>-88.762</v>
          </cell>
          <cell r="H234">
            <v>59.904999999999994</v>
          </cell>
          <cell r="I234">
            <v>-28.209</v>
          </cell>
          <cell r="J234">
            <v>-11.754999999999999</v>
          </cell>
          <cell r="K234">
            <v>23.872</v>
          </cell>
          <cell r="L234">
            <v>48.951000000000001</v>
          </cell>
          <cell r="M234">
            <v>-5.7489999999999997</v>
          </cell>
          <cell r="N234">
            <v>14.272</v>
          </cell>
          <cell r="O234">
            <v>-6.9870000000000001</v>
          </cell>
          <cell r="P234">
            <v>16.129000000000001</v>
          </cell>
          <cell r="Q234">
            <v>-0.85099999999999998</v>
          </cell>
          <cell r="R234">
            <v>1.633</v>
          </cell>
          <cell r="S234">
            <v>-78.438999999999993</v>
          </cell>
          <cell r="T234">
            <v>87</v>
          </cell>
          <cell r="U234">
            <v>-10</v>
          </cell>
          <cell r="V234">
            <v>-18</v>
          </cell>
          <cell r="W234">
            <v>3</v>
          </cell>
          <cell r="X234">
            <v>26</v>
          </cell>
          <cell r="Y234">
            <v>-167</v>
          </cell>
          <cell r="Z234">
            <v>85</v>
          </cell>
          <cell r="AA234" t="str">
            <v/>
          </cell>
          <cell r="AB234">
            <v>8.782</v>
          </cell>
          <cell r="AC234">
            <v>15.333</v>
          </cell>
          <cell r="AD234">
            <v>-4.7139999999999995</v>
          </cell>
          <cell r="AE234">
            <v>9.7460000000000004</v>
          </cell>
          <cell r="AF234">
            <v>21.905999999999999</v>
          </cell>
          <cell r="AG234">
            <v>-33.146000000000001</v>
          </cell>
          <cell r="AH234">
            <v>-72.599999999999994</v>
          </cell>
          <cell r="AI234">
            <v>43.812999999999995</v>
          </cell>
          <cell r="AJ234">
            <v>50.486999999999995</v>
          </cell>
          <cell r="AK234">
            <v>-61.527999999999999</v>
          </cell>
          <cell r="AL234">
            <v>62</v>
          </cell>
        </row>
        <row r="235">
          <cell r="A235" t="str">
            <v>(Inc) Dec in Inventories</v>
          </cell>
          <cell r="B235" t="str">
            <v>CF_CHANGE_IN_INVENTORIES</v>
          </cell>
          <cell r="C235" t="str">
            <v>EQY_FUND_RELATIVE_PERIOD</v>
          </cell>
          <cell r="F235">
            <v>0</v>
          </cell>
          <cell r="G235">
            <v>0</v>
          </cell>
          <cell r="H235">
            <v>0</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t="str">
            <v/>
          </cell>
          <cell r="AB235">
            <v>0</v>
          </cell>
          <cell r="AC235">
            <v>0</v>
          </cell>
          <cell r="AD235">
            <v>0</v>
          </cell>
          <cell r="AE235">
            <v>0</v>
          </cell>
          <cell r="AF235">
            <v>0</v>
          </cell>
          <cell r="AG235">
            <v>0</v>
          </cell>
          <cell r="AH235">
            <v>0</v>
          </cell>
          <cell r="AI235">
            <v>0</v>
          </cell>
          <cell r="AJ235">
            <v>0</v>
          </cell>
          <cell r="AK235">
            <v>0</v>
          </cell>
          <cell r="AL235">
            <v>0</v>
          </cell>
        </row>
        <row r="236">
          <cell r="A236" t="str">
            <v>Inc (Dec) in Accts Payable</v>
          </cell>
          <cell r="B236" t="str">
            <v>CF_CHANGE_IN_ACCOUNTS_PAYABLE</v>
          </cell>
          <cell r="C236" t="str">
            <v>EQY_FUND_RELATIVE_PERIOD</v>
          </cell>
          <cell r="F236">
            <v>0</v>
          </cell>
          <cell r="G236">
            <v>0</v>
          </cell>
          <cell r="H236">
            <v>0</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t="str">
            <v/>
          </cell>
          <cell r="AB236">
            <v>0</v>
          </cell>
          <cell r="AC236">
            <v>0</v>
          </cell>
          <cell r="AD236">
            <v>0</v>
          </cell>
          <cell r="AE236">
            <v>0</v>
          </cell>
          <cell r="AF236">
            <v>0</v>
          </cell>
          <cell r="AG236">
            <v>0</v>
          </cell>
          <cell r="AH236">
            <v>0</v>
          </cell>
          <cell r="AI236">
            <v>0</v>
          </cell>
          <cell r="AJ236">
            <v>0</v>
          </cell>
          <cell r="AK236">
            <v>0</v>
          </cell>
          <cell r="AL236">
            <v>0</v>
          </cell>
        </row>
        <row r="237">
          <cell r="A237" t="str">
            <v>Inc (Dec) in Other</v>
          </cell>
          <cell r="B237" t="str">
            <v>INC_DEC_IN_OT_OP_AST_LIAB_DETAIL</v>
          </cell>
          <cell r="C237" t="str">
            <v>EQY_FUND_RELATIVE_PERIOD</v>
          </cell>
          <cell r="F237">
            <v>66.230999999999995</v>
          </cell>
          <cell r="G237">
            <v>-44.822000000000003</v>
          </cell>
          <cell r="H237">
            <v>-98.603999999999999</v>
          </cell>
          <cell r="I237">
            <v>-34.125</v>
          </cell>
          <cell r="J237">
            <v>11.128</v>
          </cell>
          <cell r="K237">
            <v>-15.904999999999999</v>
          </cell>
          <cell r="L237">
            <v>-44.597000000000001</v>
          </cell>
          <cell r="M237">
            <v>-80.879000000000005</v>
          </cell>
          <cell r="N237">
            <v>23.745000000000005</v>
          </cell>
          <cell r="O237">
            <v>14.821</v>
          </cell>
          <cell r="P237">
            <v>-20.811</v>
          </cell>
          <cell r="Q237">
            <v>50.279000000000003</v>
          </cell>
          <cell r="R237">
            <v>83.747</v>
          </cell>
          <cell r="S237">
            <v>23.902000000000001</v>
          </cell>
          <cell r="T237">
            <v>-154</v>
          </cell>
          <cell r="U237">
            <v>-159</v>
          </cell>
          <cell r="V237">
            <v>260</v>
          </cell>
          <cell r="W237">
            <v>107</v>
          </cell>
          <cell r="X237">
            <v>-144</v>
          </cell>
          <cell r="Y237">
            <v>329</v>
          </cell>
          <cell r="Z237">
            <v>-315</v>
          </cell>
          <cell r="AA237" t="str">
            <v/>
          </cell>
          <cell r="AB237">
            <v>-31.943999999999999</v>
          </cell>
          <cell r="AC237">
            <v>-5.2119999999999997</v>
          </cell>
          <cell r="AD237">
            <v>-14.220999999999998</v>
          </cell>
          <cell r="AE237">
            <v>-56.105000000000004</v>
          </cell>
          <cell r="AF237">
            <v>-31.558</v>
          </cell>
          <cell r="AG237">
            <v>55.863</v>
          </cell>
          <cell r="AH237">
            <v>-12.983000000000004</v>
          </cell>
          <cell r="AI237">
            <v>-137.506</v>
          </cell>
          <cell r="AJ237">
            <v>-86.91</v>
          </cell>
          <cell r="AK237">
            <v>137.11699999999999</v>
          </cell>
          <cell r="AL237">
            <v>54</v>
          </cell>
        </row>
        <row r="238">
          <cell r="A238" t="str">
            <v>Net Cash From Disc Ops</v>
          </cell>
          <cell r="B238" t="str">
            <v>CF_NET_CASH_DISCONT_OPS_OPER</v>
          </cell>
          <cell r="C238" t="str">
            <v>EQY_FUND_RELATIVE_PERIOD</v>
          </cell>
          <cell r="F238">
            <v>0</v>
          </cell>
          <cell r="G238">
            <v>0</v>
          </cell>
          <cell r="H238">
            <v>0</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t="str">
            <v/>
          </cell>
          <cell r="AB238">
            <v>0</v>
          </cell>
          <cell r="AC238">
            <v>0</v>
          </cell>
          <cell r="AD238">
            <v>0</v>
          </cell>
          <cell r="AE238">
            <v>0</v>
          </cell>
          <cell r="AF238">
            <v>0</v>
          </cell>
          <cell r="AG238">
            <v>0</v>
          </cell>
          <cell r="AH238">
            <v>0</v>
          </cell>
          <cell r="AI238">
            <v>0</v>
          </cell>
          <cell r="AJ238">
            <v>0</v>
          </cell>
          <cell r="AK238">
            <v>0</v>
          </cell>
          <cell r="AL238">
            <v>0</v>
          </cell>
        </row>
        <row r="239">
          <cell r="A239" t="str">
            <v>Cash from Operating Activities</v>
          </cell>
          <cell r="B239" t="str">
            <v>CF_CASH_FROM_OPER</v>
          </cell>
          <cell r="C239" t="str">
            <v>EQY_FUND_RELATIVE_PERIOD</v>
          </cell>
          <cell r="D239"/>
          <cell r="E239"/>
          <cell r="F239">
            <v>408.423</v>
          </cell>
          <cell r="G239">
            <v>300.02699999999999</v>
          </cell>
          <cell r="H239">
            <v>382.51299999999998</v>
          </cell>
          <cell r="I239">
            <v>375.28</v>
          </cell>
          <cell r="J239">
            <v>402.49199999999996</v>
          </cell>
          <cell r="K239">
            <v>392.18799999999999</v>
          </cell>
          <cell r="L239">
            <v>359.29199999999997</v>
          </cell>
          <cell r="M239">
            <v>321.41499999999996</v>
          </cell>
          <cell r="N239">
            <v>394.63399999999996</v>
          </cell>
          <cell r="O239">
            <v>420.286</v>
          </cell>
          <cell r="P239">
            <v>312.86399999999998</v>
          </cell>
          <cell r="Q239">
            <v>328.255</v>
          </cell>
          <cell r="R239">
            <v>300.947</v>
          </cell>
          <cell r="S239">
            <v>328.00599999999997</v>
          </cell>
          <cell r="T239">
            <v>249</v>
          </cell>
          <cell r="U239">
            <v>367</v>
          </cell>
          <cell r="V239">
            <v>345</v>
          </cell>
          <cell r="W239">
            <v>340</v>
          </cell>
          <cell r="X239">
            <v>-62</v>
          </cell>
          <cell r="Y239">
            <v>693</v>
          </cell>
          <cell r="Z239">
            <v>321</v>
          </cell>
          <cell r="AA239" t="str">
            <v/>
          </cell>
          <cell r="AB239">
            <v>846.66800000000001</v>
          </cell>
          <cell r="AC239">
            <v>847.01599999999996</v>
          </cell>
          <cell r="AD239">
            <v>821.68299999999999</v>
          </cell>
          <cell r="AE239">
            <v>739.26599999999996</v>
          </cell>
          <cell r="AF239">
            <v>742.71999999999991</v>
          </cell>
          <cell r="AG239">
            <v>1222.1799999999998</v>
          </cell>
          <cell r="AH239">
            <v>1572.681</v>
          </cell>
          <cell r="AI239">
            <v>1552.473</v>
          </cell>
          <cell r="AJ239">
            <v>1495.627</v>
          </cell>
          <cell r="AK239">
            <v>1270.0719999999999</v>
          </cell>
          <cell r="AL239">
            <v>1301</v>
          </cell>
          <cell r="AM239"/>
          <cell r="AN239"/>
        </row>
        <row r="240">
          <cell r="A240"/>
          <cell r="F240" t="str">
            <v/>
          </cell>
          <cell r="G240" t="str">
            <v/>
          </cell>
          <cell r="H240" t="str">
            <v/>
          </cell>
          <cell r="I240" t="str">
            <v/>
          </cell>
          <cell r="J240" t="str">
            <v/>
          </cell>
          <cell r="K240" t="str">
            <v/>
          </cell>
          <cell r="L240" t="str">
            <v/>
          </cell>
          <cell r="M240" t="str">
            <v/>
          </cell>
          <cell r="N240" t="str">
            <v/>
          </cell>
          <cell r="O240" t="str">
            <v/>
          </cell>
          <cell r="P240" t="str">
            <v/>
          </cell>
          <cell r="Q240" t="str">
            <v/>
          </cell>
          <cell r="R240" t="str">
            <v/>
          </cell>
          <cell r="S240" t="str">
            <v/>
          </cell>
          <cell r="T240" t="str">
            <v/>
          </cell>
          <cell r="U240" t="str">
            <v/>
          </cell>
          <cell r="V240" t="str">
            <v/>
          </cell>
          <cell r="W240" t="str">
            <v/>
          </cell>
          <cell r="X240" t="str">
            <v/>
          </cell>
          <cell r="Y240" t="str">
            <v/>
          </cell>
          <cell r="Z240" t="str">
            <v/>
          </cell>
          <cell r="AA240" t="str">
            <v/>
          </cell>
          <cell r="AB240" t="str">
            <v/>
          </cell>
          <cell r="AC240" t="str">
            <v/>
          </cell>
          <cell r="AD240" t="str">
            <v/>
          </cell>
          <cell r="AE240" t="str">
            <v/>
          </cell>
          <cell r="AF240" t="str">
            <v/>
          </cell>
          <cell r="AG240" t="str">
            <v/>
          </cell>
          <cell r="AH240" t="str">
            <v/>
          </cell>
          <cell r="AI240" t="str">
            <v/>
          </cell>
          <cell r="AJ240" t="str">
            <v/>
          </cell>
          <cell r="AK240" t="str">
            <v/>
          </cell>
          <cell r="AL240" t="str">
            <v/>
          </cell>
        </row>
        <row r="241">
          <cell r="A241" t="str">
            <v>Change in Fixed &amp; Intang</v>
          </cell>
          <cell r="B241" t="str">
            <v>CHG_IN_FXD_&amp;_INTANG_AST_DETAILED</v>
          </cell>
          <cell r="C241" t="str">
            <v>EQY_FUND_RELATIVE_PERIOD</v>
          </cell>
          <cell r="F241">
            <v>-266.185</v>
          </cell>
          <cell r="G241">
            <v>-125.629</v>
          </cell>
          <cell r="H241">
            <v>-224.25299999999999</v>
          </cell>
          <cell r="I241">
            <v>-179.76</v>
          </cell>
          <cell r="J241">
            <v>-205.86199999999999</v>
          </cell>
          <cell r="K241">
            <v>-192.62899999999999</v>
          </cell>
          <cell r="L241">
            <v>-189.00899999999999</v>
          </cell>
          <cell r="M241">
            <v>-137.51300000000001</v>
          </cell>
          <cell r="N241">
            <v>-157.56</v>
          </cell>
          <cell r="O241">
            <v>-150.60300000000001</v>
          </cell>
          <cell r="P241">
            <v>-145.40700000000001</v>
          </cell>
          <cell r="Q241">
            <v>-156.76300000000001</v>
          </cell>
          <cell r="R241">
            <v>-168.12200000000001</v>
          </cell>
          <cell r="S241">
            <v>-217.804</v>
          </cell>
          <cell r="T241">
            <v>-180</v>
          </cell>
          <cell r="U241">
            <v>-206</v>
          </cell>
          <cell r="V241">
            <v>-240</v>
          </cell>
          <cell r="W241">
            <v>-215</v>
          </cell>
          <cell r="X241">
            <v>-259</v>
          </cell>
          <cell r="Y241">
            <v>-386</v>
          </cell>
          <cell r="Z241">
            <v>-414</v>
          </cell>
          <cell r="AA241" t="str">
            <v/>
          </cell>
          <cell r="AB241">
            <v>-235.25299999999999</v>
          </cell>
          <cell r="AC241">
            <v>-268.80599999999998</v>
          </cell>
          <cell r="AD241">
            <v>-315.79300000000001</v>
          </cell>
          <cell r="AE241">
            <v>-288.26400000000001</v>
          </cell>
          <cell r="AF241">
            <v>-255.965</v>
          </cell>
          <cell r="AG241">
            <v>-577.87900000000002</v>
          </cell>
          <cell r="AH241">
            <v>-824.83900000000006</v>
          </cell>
          <cell r="AI241">
            <v>-802.50400000000002</v>
          </cell>
          <cell r="AJ241">
            <v>-634.68499999999995</v>
          </cell>
          <cell r="AK241">
            <v>-688.096</v>
          </cell>
          <cell r="AL241">
            <v>-841</v>
          </cell>
        </row>
        <row r="242">
          <cell r="A242" t="str">
            <v>Disp in Fixed &amp; Intang</v>
          </cell>
          <cell r="B242" t="str">
            <v>DISP_FXD_&amp;_INTANGIBLES_DETAILED</v>
          </cell>
          <cell r="C242" t="str">
            <v>EQY_FUND_RELATIVE_PERIOD</v>
          </cell>
          <cell r="F242">
            <v>0</v>
          </cell>
          <cell r="G242">
            <v>0</v>
          </cell>
          <cell r="H242">
            <v>0</v>
          </cell>
          <cell r="I242">
            <v>0</v>
          </cell>
          <cell r="J242">
            <v>0</v>
          </cell>
          <cell r="K242">
            <v>0</v>
          </cell>
          <cell r="L242">
            <v>0</v>
          </cell>
          <cell r="M242">
            <v>0</v>
          </cell>
          <cell r="N242">
            <v>0</v>
          </cell>
          <cell r="O242">
            <v>0</v>
          </cell>
          <cell r="P242">
            <v>0</v>
          </cell>
          <cell r="Q242">
            <v>0</v>
          </cell>
          <cell r="R242">
            <v>25</v>
          </cell>
          <cell r="S242">
            <v>0</v>
          </cell>
          <cell r="T242">
            <v>0</v>
          </cell>
          <cell r="U242">
            <v>0</v>
          </cell>
          <cell r="V242">
            <v>0</v>
          </cell>
          <cell r="W242">
            <v>22</v>
          </cell>
          <cell r="X242">
            <v>0</v>
          </cell>
          <cell r="Y242">
            <v>0</v>
          </cell>
          <cell r="Z242">
            <v>0</v>
          </cell>
          <cell r="AA242" t="str">
            <v/>
          </cell>
          <cell r="AB242">
            <v>24.195</v>
          </cell>
          <cell r="AC242">
            <v>0</v>
          </cell>
          <cell r="AD242">
            <v>0</v>
          </cell>
          <cell r="AE242">
            <v>0</v>
          </cell>
          <cell r="AF242">
            <v>0</v>
          </cell>
          <cell r="AG242">
            <v>0</v>
          </cell>
          <cell r="AH242">
            <v>0</v>
          </cell>
          <cell r="AI242">
            <v>0</v>
          </cell>
          <cell r="AJ242">
            <v>0</v>
          </cell>
          <cell r="AK242">
            <v>0</v>
          </cell>
          <cell r="AL242">
            <v>22</v>
          </cell>
        </row>
        <row r="243">
          <cell r="A243" t="str">
            <v>Disp of Fixed Assets</v>
          </cell>
          <cell r="B243" t="str">
            <v>CF_DISP_FIX_ASSET</v>
          </cell>
          <cell r="C243" t="str">
            <v>EQY_FUND_RELATIVE_PERIOD</v>
          </cell>
          <cell r="F243">
            <v>0</v>
          </cell>
          <cell r="G243">
            <v>0</v>
          </cell>
          <cell r="H243">
            <v>0</v>
          </cell>
          <cell r="I243">
            <v>0</v>
          </cell>
          <cell r="J243">
            <v>0</v>
          </cell>
          <cell r="K243">
            <v>0</v>
          </cell>
          <cell r="L243">
            <v>0</v>
          </cell>
          <cell r="M243">
            <v>0</v>
          </cell>
          <cell r="N243">
            <v>0</v>
          </cell>
          <cell r="O243">
            <v>0</v>
          </cell>
          <cell r="P243">
            <v>0</v>
          </cell>
          <cell r="Q243">
            <v>0</v>
          </cell>
          <cell r="R243">
            <v>25</v>
          </cell>
          <cell r="S243">
            <v>0</v>
          </cell>
          <cell r="T243">
            <v>0</v>
          </cell>
          <cell r="U243">
            <v>0</v>
          </cell>
          <cell r="V243">
            <v>0</v>
          </cell>
          <cell r="W243">
            <v>22</v>
          </cell>
          <cell r="X243">
            <v>0</v>
          </cell>
          <cell r="Y243">
            <v>0</v>
          </cell>
          <cell r="Z243">
            <v>0</v>
          </cell>
          <cell r="AA243" t="str">
            <v/>
          </cell>
          <cell r="AB243">
            <v>24.195</v>
          </cell>
          <cell r="AC243">
            <v>0</v>
          </cell>
          <cell r="AD243">
            <v>0</v>
          </cell>
          <cell r="AE243">
            <v>0</v>
          </cell>
          <cell r="AF243">
            <v>0</v>
          </cell>
          <cell r="AG243">
            <v>0</v>
          </cell>
          <cell r="AH243">
            <v>0</v>
          </cell>
          <cell r="AI243">
            <v>0</v>
          </cell>
          <cell r="AJ243">
            <v>0</v>
          </cell>
          <cell r="AK243">
            <v>0</v>
          </cell>
          <cell r="AL243">
            <v>22</v>
          </cell>
        </row>
        <row r="244">
          <cell r="A244" t="str">
            <v>Disp of Intangible Assets</v>
          </cell>
          <cell r="B244" t="str">
            <v>CF_DISPOSAL_OF_INTANGIBLE_ASSETS</v>
          </cell>
          <cell r="C244" t="str">
            <v>EQY_FUND_RELATIVE_PERIOD</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0</v>
          </cell>
          <cell r="X244">
            <v>0</v>
          </cell>
          <cell r="Y244">
            <v>0</v>
          </cell>
          <cell r="Z244">
            <v>0</v>
          </cell>
          <cell r="AA244" t="str">
            <v/>
          </cell>
          <cell r="AB244">
            <v>0</v>
          </cell>
          <cell r="AC244">
            <v>0</v>
          </cell>
          <cell r="AD244">
            <v>0</v>
          </cell>
          <cell r="AE244">
            <v>0</v>
          </cell>
          <cell r="AF244">
            <v>0</v>
          </cell>
          <cell r="AG244">
            <v>0</v>
          </cell>
          <cell r="AH244">
            <v>0</v>
          </cell>
          <cell r="AI244">
            <v>0</v>
          </cell>
          <cell r="AJ244">
            <v>0</v>
          </cell>
          <cell r="AK244">
            <v>0</v>
          </cell>
          <cell r="AL244">
            <v>0</v>
          </cell>
        </row>
        <row r="245">
          <cell r="A245" t="str">
            <v>Acq of Fixed &amp; Intang</v>
          </cell>
          <cell r="B245" t="str">
            <v>ACQUIS_FXD_&amp;_INTANG_DETAILED</v>
          </cell>
          <cell r="C245" t="str">
            <v>EQY_FUND_RELATIVE_PERIOD</v>
          </cell>
          <cell r="F245">
            <v>-266.185</v>
          </cell>
          <cell r="G245">
            <v>-125.629</v>
          </cell>
          <cell r="H245">
            <v>-224.25299999999999</v>
          </cell>
          <cell r="I245">
            <v>-179.76</v>
          </cell>
          <cell r="J245">
            <v>-205.86199999999999</v>
          </cell>
          <cell r="K245">
            <v>-192.62899999999999</v>
          </cell>
          <cell r="L245">
            <v>-189.00899999999999</v>
          </cell>
          <cell r="M245">
            <v>-137.51300000000001</v>
          </cell>
          <cell r="N245">
            <v>-157.56</v>
          </cell>
          <cell r="O245">
            <v>-150.60300000000001</v>
          </cell>
          <cell r="P245">
            <v>-145.40700000000001</v>
          </cell>
          <cell r="Q245">
            <v>-156.76300000000001</v>
          </cell>
          <cell r="R245">
            <v>-193.12200000000001</v>
          </cell>
          <cell r="S245">
            <v>-217.804</v>
          </cell>
          <cell r="T245">
            <v>-180</v>
          </cell>
          <cell r="U245">
            <v>-206</v>
          </cell>
          <cell r="V245">
            <v>-240</v>
          </cell>
          <cell r="W245">
            <v>-237</v>
          </cell>
          <cell r="X245">
            <v>-259</v>
          </cell>
          <cell r="Y245">
            <v>-386</v>
          </cell>
          <cell r="Z245">
            <v>-414</v>
          </cell>
          <cell r="AA245" t="str">
            <v/>
          </cell>
          <cell r="AB245">
            <v>-259.44799999999998</v>
          </cell>
          <cell r="AC245">
            <v>-268.80599999999998</v>
          </cell>
          <cell r="AD245">
            <v>-315.79300000000001</v>
          </cell>
          <cell r="AE245">
            <v>-288.26400000000001</v>
          </cell>
          <cell r="AF245">
            <v>-255.965</v>
          </cell>
          <cell r="AG245">
            <v>-577.87900000000002</v>
          </cell>
          <cell r="AH245">
            <v>-824.83900000000006</v>
          </cell>
          <cell r="AI245">
            <v>-802.50400000000002</v>
          </cell>
          <cell r="AJ245">
            <v>-634.68499999999995</v>
          </cell>
          <cell r="AK245">
            <v>-688.096</v>
          </cell>
          <cell r="AL245">
            <v>-863</v>
          </cell>
        </row>
        <row r="246">
          <cell r="A246" t="str">
            <v>Capital Expenditures</v>
          </cell>
          <cell r="B246" t="str">
            <v>CF_CAP_EXPEND_PRPTY_ADD</v>
          </cell>
          <cell r="C246" t="str">
            <v>EQY_FUND_RELATIVE_PERIOD</v>
          </cell>
          <cell r="F246">
            <v>-266.185</v>
          </cell>
          <cell r="G246">
            <v>-125.62899999999999</v>
          </cell>
          <cell r="H246">
            <v>-224.25299999999999</v>
          </cell>
          <cell r="I246">
            <v>-179.76</v>
          </cell>
          <cell r="J246">
            <v>-205.86199999999999</v>
          </cell>
          <cell r="K246">
            <v>-192.62899999999999</v>
          </cell>
          <cell r="L246">
            <v>-189.00899999999999</v>
          </cell>
          <cell r="M246">
            <v>-137.51300000000001</v>
          </cell>
          <cell r="N246">
            <v>-157.56</v>
          </cell>
          <cell r="O246">
            <v>-150.60299999999998</v>
          </cell>
          <cell r="P246">
            <v>-145.40699999999998</v>
          </cell>
          <cell r="Q246">
            <v>-156.76300000000001</v>
          </cell>
          <cell r="R246">
            <v>-193.12199999999999</v>
          </cell>
          <cell r="S246">
            <v>-217.804</v>
          </cell>
          <cell r="T246">
            <v>-180</v>
          </cell>
          <cell r="U246">
            <v>-206</v>
          </cell>
          <cell r="V246">
            <v>-240</v>
          </cell>
          <cell r="W246">
            <v>-237</v>
          </cell>
          <cell r="X246">
            <v>-259</v>
          </cell>
          <cell r="Y246">
            <v>-386</v>
          </cell>
          <cell r="Z246">
            <v>-414</v>
          </cell>
          <cell r="AA246" t="str">
            <v/>
          </cell>
          <cell r="AB246">
            <v>-259.44799999999998</v>
          </cell>
          <cell r="AC246">
            <v>-268.80599999999998</v>
          </cell>
          <cell r="AD246">
            <v>-315.79300000000001</v>
          </cell>
          <cell r="AE246">
            <v>-288.26400000000001</v>
          </cell>
          <cell r="AF246">
            <v>-255.96499999999997</v>
          </cell>
          <cell r="AG246">
            <v>-577.87900000000002</v>
          </cell>
          <cell r="AH246">
            <v>-824.83899999999994</v>
          </cell>
          <cell r="AI246">
            <v>-802.50400000000002</v>
          </cell>
          <cell r="AJ246">
            <v>-634.68499999999995</v>
          </cell>
          <cell r="AK246">
            <v>-688.096</v>
          </cell>
          <cell r="AL246">
            <v>-863</v>
          </cell>
        </row>
        <row r="247">
          <cell r="A247" t="str">
            <v>Acq of Intangible Assets</v>
          </cell>
          <cell r="B247" t="str">
            <v>CF_ACQUISITION_OF_INTANG_ASSETS</v>
          </cell>
          <cell r="C247" t="str">
            <v>EQY_FUND_RELATIVE_PERIOD</v>
          </cell>
          <cell r="F247">
            <v>0</v>
          </cell>
          <cell r="G247">
            <v>0</v>
          </cell>
          <cell r="H247">
            <v>0</v>
          </cell>
          <cell r="I247">
            <v>0</v>
          </cell>
          <cell r="J247">
            <v>0</v>
          </cell>
          <cell r="K247">
            <v>0</v>
          </cell>
          <cell r="L247">
            <v>0</v>
          </cell>
          <cell r="M247">
            <v>0</v>
          </cell>
          <cell r="N247">
            <v>0</v>
          </cell>
          <cell r="O247">
            <v>0</v>
          </cell>
          <cell r="P247">
            <v>0</v>
          </cell>
          <cell r="Q247">
            <v>0</v>
          </cell>
          <cell r="R247">
            <v>0</v>
          </cell>
          <cell r="S247">
            <v>0</v>
          </cell>
          <cell r="T247">
            <v>0</v>
          </cell>
          <cell r="U247">
            <v>0</v>
          </cell>
          <cell r="V247">
            <v>0</v>
          </cell>
          <cell r="W247">
            <v>0</v>
          </cell>
          <cell r="X247">
            <v>0</v>
          </cell>
          <cell r="Y247">
            <v>0</v>
          </cell>
          <cell r="Z247">
            <v>0</v>
          </cell>
          <cell r="AA247" t="str">
            <v/>
          </cell>
          <cell r="AB247">
            <v>0</v>
          </cell>
          <cell r="AC247">
            <v>0</v>
          </cell>
          <cell r="AD247">
            <v>0</v>
          </cell>
          <cell r="AE247">
            <v>0</v>
          </cell>
          <cell r="AF247">
            <v>0</v>
          </cell>
          <cell r="AG247">
            <v>0</v>
          </cell>
          <cell r="AH247">
            <v>0</v>
          </cell>
          <cell r="AI247">
            <v>0</v>
          </cell>
          <cell r="AJ247">
            <v>0</v>
          </cell>
          <cell r="AK247">
            <v>0</v>
          </cell>
          <cell r="AL247">
            <v>0</v>
          </cell>
        </row>
        <row r="248">
          <cell r="A248" t="str">
            <v>Net Change in LT Investment</v>
          </cell>
          <cell r="B248" t="str">
            <v>NET_CHG_IN_LT_INVEST_DETAILED</v>
          </cell>
          <cell r="C248" t="str">
            <v>EQY_FUND_RELATIVE_PERIOD</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0</v>
          </cell>
          <cell r="X248">
            <v>0</v>
          </cell>
          <cell r="Y248">
            <v>0</v>
          </cell>
          <cell r="Z248">
            <v>0</v>
          </cell>
          <cell r="AA248" t="str">
            <v/>
          </cell>
          <cell r="AB248">
            <v>0</v>
          </cell>
          <cell r="AC248">
            <v>0</v>
          </cell>
          <cell r="AD248">
            <v>0</v>
          </cell>
          <cell r="AE248">
            <v>0</v>
          </cell>
          <cell r="AF248">
            <v>0</v>
          </cell>
          <cell r="AG248">
            <v>0</v>
          </cell>
          <cell r="AH248">
            <v>0</v>
          </cell>
          <cell r="AI248">
            <v>0</v>
          </cell>
          <cell r="AJ248">
            <v>0</v>
          </cell>
          <cell r="AK248">
            <v>0</v>
          </cell>
          <cell r="AL248">
            <v>0</v>
          </cell>
        </row>
        <row r="249">
          <cell r="A249" t="str">
            <v>Dec in LT Investment</v>
          </cell>
          <cell r="B249" t="str">
            <v>CF_DECR_INVEST</v>
          </cell>
          <cell r="C249" t="str">
            <v>EQY_FUND_RELATIVE_PERIOD</v>
          </cell>
          <cell r="F249">
            <v>0</v>
          </cell>
          <cell r="G249">
            <v>0</v>
          </cell>
          <cell r="H249">
            <v>0</v>
          </cell>
          <cell r="I249">
            <v>0</v>
          </cell>
          <cell r="J249">
            <v>0</v>
          </cell>
          <cell r="K249">
            <v>0</v>
          </cell>
          <cell r="L249">
            <v>0</v>
          </cell>
          <cell r="M249">
            <v>0</v>
          </cell>
          <cell r="N249">
            <v>0</v>
          </cell>
          <cell r="O249">
            <v>0</v>
          </cell>
          <cell r="P249">
            <v>0</v>
          </cell>
          <cell r="Q249">
            <v>0</v>
          </cell>
          <cell r="R249">
            <v>0</v>
          </cell>
          <cell r="S249">
            <v>0</v>
          </cell>
          <cell r="T249">
            <v>0</v>
          </cell>
          <cell r="U249">
            <v>0</v>
          </cell>
          <cell r="V249">
            <v>0</v>
          </cell>
          <cell r="W249">
            <v>0</v>
          </cell>
          <cell r="X249">
            <v>0</v>
          </cell>
          <cell r="Y249">
            <v>0</v>
          </cell>
          <cell r="Z249">
            <v>0</v>
          </cell>
          <cell r="AA249" t="str">
            <v/>
          </cell>
          <cell r="AB249">
            <v>0</v>
          </cell>
          <cell r="AC249">
            <v>0</v>
          </cell>
          <cell r="AD249">
            <v>0</v>
          </cell>
          <cell r="AE249">
            <v>0</v>
          </cell>
          <cell r="AF249">
            <v>0</v>
          </cell>
          <cell r="AG249">
            <v>0</v>
          </cell>
          <cell r="AH249">
            <v>0</v>
          </cell>
          <cell r="AI249">
            <v>0</v>
          </cell>
          <cell r="AJ249">
            <v>0</v>
          </cell>
          <cell r="AK249">
            <v>0</v>
          </cell>
          <cell r="AL249">
            <v>0</v>
          </cell>
        </row>
        <row r="250">
          <cell r="A250" t="str">
            <v>Inc in LT Investment</v>
          </cell>
          <cell r="B250" t="str">
            <v>CF_INCR_INVEST</v>
          </cell>
          <cell r="C250" t="str">
            <v>EQY_FUND_RELATIVE_PERIOD</v>
          </cell>
          <cell r="F250">
            <v>0</v>
          </cell>
          <cell r="G250">
            <v>0</v>
          </cell>
          <cell r="H250">
            <v>0</v>
          </cell>
          <cell r="I250">
            <v>0</v>
          </cell>
          <cell r="J250">
            <v>0</v>
          </cell>
          <cell r="K250">
            <v>0</v>
          </cell>
          <cell r="L250">
            <v>0</v>
          </cell>
          <cell r="M250">
            <v>0</v>
          </cell>
          <cell r="N250">
            <v>0</v>
          </cell>
          <cell r="O250">
            <v>0</v>
          </cell>
          <cell r="P250">
            <v>0</v>
          </cell>
          <cell r="Q250">
            <v>0</v>
          </cell>
          <cell r="R250">
            <v>0</v>
          </cell>
          <cell r="S250">
            <v>0</v>
          </cell>
          <cell r="T250">
            <v>0</v>
          </cell>
          <cell r="U250">
            <v>0</v>
          </cell>
          <cell r="V250">
            <v>0</v>
          </cell>
          <cell r="W250">
            <v>0</v>
          </cell>
          <cell r="X250">
            <v>0</v>
          </cell>
          <cell r="Y250">
            <v>0</v>
          </cell>
          <cell r="Z250">
            <v>0</v>
          </cell>
          <cell r="AA250" t="str">
            <v/>
          </cell>
          <cell r="AB250">
            <v>0</v>
          </cell>
          <cell r="AC250">
            <v>0</v>
          </cell>
          <cell r="AD250">
            <v>0</v>
          </cell>
          <cell r="AE250">
            <v>0</v>
          </cell>
          <cell r="AF250">
            <v>0</v>
          </cell>
          <cell r="AG250">
            <v>0</v>
          </cell>
          <cell r="AH250">
            <v>0</v>
          </cell>
          <cell r="AI250">
            <v>0</v>
          </cell>
          <cell r="AJ250">
            <v>0</v>
          </cell>
          <cell r="AK250">
            <v>0</v>
          </cell>
          <cell r="AL250">
            <v>0</v>
          </cell>
        </row>
        <row r="251">
          <cell r="A251" t="str">
            <v>Net Cash From Acq &amp; Div</v>
          </cell>
          <cell r="B251" t="str">
            <v>CF_NT_CSH_RCVD_PD_FOR_ACQUIS_DIV</v>
          </cell>
          <cell r="C251" t="str">
            <v>EQY_FUND_RELATIVE_PERIOD</v>
          </cell>
          <cell r="F251">
            <v>0</v>
          </cell>
          <cell r="G251">
            <v>0</v>
          </cell>
          <cell r="H251">
            <v>0</v>
          </cell>
          <cell r="I251">
            <v>0</v>
          </cell>
          <cell r="J251">
            <v>0</v>
          </cell>
          <cell r="K251">
            <v>0</v>
          </cell>
          <cell r="L251">
            <v>0</v>
          </cell>
          <cell r="M251">
            <v>17.754999999999999</v>
          </cell>
          <cell r="N251">
            <v>0</v>
          </cell>
          <cell r="O251">
            <v>0</v>
          </cell>
          <cell r="P251">
            <v>0</v>
          </cell>
          <cell r="Q251">
            <v>0</v>
          </cell>
          <cell r="R251">
            <v>0</v>
          </cell>
          <cell r="S251">
            <v>0</v>
          </cell>
          <cell r="T251">
            <v>0</v>
          </cell>
          <cell r="U251">
            <v>-16</v>
          </cell>
          <cell r="V251">
            <v>-1</v>
          </cell>
          <cell r="W251">
            <v>0</v>
          </cell>
          <cell r="X251">
            <v>0</v>
          </cell>
          <cell r="Y251">
            <v>-9886</v>
          </cell>
          <cell r="Z251">
            <v>0</v>
          </cell>
          <cell r="AA251" t="str">
            <v/>
          </cell>
          <cell r="AB251">
            <v>0</v>
          </cell>
          <cell r="AC251">
            <v>0</v>
          </cell>
          <cell r="AD251">
            <v>0</v>
          </cell>
          <cell r="AE251">
            <v>0</v>
          </cell>
          <cell r="AF251">
            <v>0</v>
          </cell>
          <cell r="AG251">
            <v>-82.56</v>
          </cell>
          <cell r="AH251">
            <v>0</v>
          </cell>
          <cell r="AI251">
            <v>0</v>
          </cell>
          <cell r="AJ251">
            <v>17.754999999999999</v>
          </cell>
          <cell r="AK251">
            <v>-1979.1509999999998</v>
          </cell>
          <cell r="AL251">
            <v>-17</v>
          </cell>
        </row>
        <row r="252">
          <cell r="A252" t="str">
            <v>Cash from Divestitures</v>
          </cell>
          <cell r="B252" t="str">
            <v>CF_CASH_FOR_DIVESTITURES</v>
          </cell>
          <cell r="C252" t="str">
            <v>EQY_FUND_RELATIVE_PERIOD</v>
          </cell>
          <cell r="F252">
            <v>0</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t="str">
            <v/>
          </cell>
          <cell r="AB252">
            <v>0</v>
          </cell>
          <cell r="AC252">
            <v>0</v>
          </cell>
          <cell r="AD252">
            <v>0</v>
          </cell>
          <cell r="AE252">
            <v>0</v>
          </cell>
          <cell r="AF252">
            <v>0</v>
          </cell>
          <cell r="AG252">
            <v>0</v>
          </cell>
          <cell r="AH252">
            <v>0</v>
          </cell>
          <cell r="AI252">
            <v>0</v>
          </cell>
          <cell r="AJ252">
            <v>0</v>
          </cell>
          <cell r="AK252">
            <v>0</v>
          </cell>
          <cell r="AL252">
            <v>0</v>
          </cell>
        </row>
        <row r="253">
          <cell r="A253" t="str">
            <v>Cash for Acq of Subs</v>
          </cell>
          <cell r="B253" t="str">
            <v>CF_CASH_FOR_ACQUIS_SUBSIDIARIES</v>
          </cell>
          <cell r="C253" t="str">
            <v>EQY_FUND_RELATIVE_PERIOD</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-16</v>
          </cell>
          <cell r="V253">
            <v>-1</v>
          </cell>
          <cell r="W253">
            <v>0</v>
          </cell>
          <cell r="X253">
            <v>0</v>
          </cell>
          <cell r="Y253">
            <v>-9886</v>
          </cell>
          <cell r="Z253">
            <v>0</v>
          </cell>
          <cell r="AA253" t="str">
            <v/>
          </cell>
          <cell r="AB253">
            <v>0</v>
          </cell>
          <cell r="AC253">
            <v>0</v>
          </cell>
          <cell r="AD253">
            <v>0</v>
          </cell>
          <cell r="AE253">
            <v>0</v>
          </cell>
          <cell r="AF253">
            <v>0</v>
          </cell>
          <cell r="AG253">
            <v>-82.56</v>
          </cell>
          <cell r="AH253">
            <v>0</v>
          </cell>
          <cell r="AI253">
            <v>0</v>
          </cell>
          <cell r="AJ253">
            <v>0</v>
          </cell>
          <cell r="AK253">
            <v>-2017.7869999999998</v>
          </cell>
          <cell r="AL253">
            <v>-17</v>
          </cell>
        </row>
        <row r="254">
          <cell r="A254" t="str">
            <v>Cash for JVs</v>
          </cell>
          <cell r="B254" t="str">
            <v>CF_CASH_FOR_JOINT_VENTURES_ASSOC</v>
          </cell>
          <cell r="C254" t="str">
            <v>EQY_FUND_RELATIVE_PERIOD</v>
          </cell>
          <cell r="F254">
            <v>0</v>
          </cell>
          <cell r="G254">
            <v>0</v>
          </cell>
          <cell r="H254">
            <v>0</v>
          </cell>
          <cell r="I254">
            <v>0</v>
          </cell>
          <cell r="J254">
            <v>0</v>
          </cell>
          <cell r="K254">
            <v>0</v>
          </cell>
          <cell r="L254">
            <v>0</v>
          </cell>
          <cell r="M254">
            <v>17.754999999999999</v>
          </cell>
          <cell r="N254">
            <v>0</v>
          </cell>
          <cell r="O254">
            <v>0</v>
          </cell>
          <cell r="P254">
            <v>0</v>
          </cell>
          <cell r="Q254">
            <v>0</v>
          </cell>
          <cell r="R254">
            <v>0</v>
          </cell>
          <cell r="S254">
            <v>0</v>
          </cell>
          <cell r="T254">
            <v>0</v>
          </cell>
          <cell r="U254">
            <v>0</v>
          </cell>
          <cell r="V254">
            <v>0</v>
          </cell>
          <cell r="W254">
            <v>0</v>
          </cell>
          <cell r="X254">
            <v>0</v>
          </cell>
          <cell r="Y254">
            <v>0</v>
          </cell>
          <cell r="Z254">
            <v>0</v>
          </cell>
          <cell r="AA254" t="str">
            <v/>
          </cell>
          <cell r="AB254">
            <v>0</v>
          </cell>
          <cell r="AC254">
            <v>0</v>
          </cell>
          <cell r="AD254">
            <v>0</v>
          </cell>
          <cell r="AE254">
            <v>0</v>
          </cell>
          <cell r="AF254">
            <v>0</v>
          </cell>
          <cell r="AG254">
            <v>0</v>
          </cell>
          <cell r="AH254">
            <v>0</v>
          </cell>
          <cell r="AI254">
            <v>0</v>
          </cell>
          <cell r="AJ254">
            <v>17.754999999999999</v>
          </cell>
          <cell r="AK254">
            <v>38.635999999999996</v>
          </cell>
          <cell r="AL254">
            <v>0</v>
          </cell>
        </row>
        <row r="255">
          <cell r="A255" t="str">
            <v>Other Investing Activities</v>
          </cell>
          <cell r="B255" t="str">
            <v>OTHER_INVESTING_ACT_DETAILED</v>
          </cell>
          <cell r="C255" t="str">
            <v>EQY_FUND_RELATIVE_PERIOD</v>
          </cell>
          <cell r="F255">
            <v>17.161000000000001</v>
          </cell>
          <cell r="G255">
            <v>39.931000000000012</v>
          </cell>
          <cell r="H255">
            <v>-0.49300000000002342</v>
          </cell>
          <cell r="I255">
            <v>27.496999999999986</v>
          </cell>
          <cell r="J255">
            <v>55.232999999999997</v>
          </cell>
          <cell r="K255">
            <v>85.327999999999989</v>
          </cell>
          <cell r="L255">
            <v>4.6999999999999886</v>
          </cell>
          <cell r="M255">
            <v>15.576000000000001</v>
          </cell>
          <cell r="N255">
            <v>-9.9960000000000093</v>
          </cell>
          <cell r="O255">
            <v>64.157000000000011</v>
          </cell>
          <cell r="P255">
            <v>11.585000000000008</v>
          </cell>
          <cell r="Q255">
            <v>-2.2080000000000002</v>
          </cell>
          <cell r="R255">
            <v>-1527.1089999999999</v>
          </cell>
          <cell r="S255">
            <v>-2324.0949999999998</v>
          </cell>
          <cell r="T255">
            <v>-9</v>
          </cell>
          <cell r="U255">
            <v>-1846</v>
          </cell>
          <cell r="V255">
            <v>-6609</v>
          </cell>
          <cell r="W255">
            <v>0</v>
          </cell>
          <cell r="X255">
            <v>92</v>
          </cell>
          <cell r="Y255">
            <v>8358</v>
          </cell>
          <cell r="Z255">
            <v>-6</v>
          </cell>
          <cell r="AA255" t="str">
            <v/>
          </cell>
          <cell r="AB255">
            <v>33.149999999999977</v>
          </cell>
          <cell r="AC255">
            <v>315.762</v>
          </cell>
          <cell r="AD255">
            <v>-718.91899999999998</v>
          </cell>
          <cell r="AE255">
            <v>5.4890000000000327</v>
          </cell>
          <cell r="AF255">
            <v>0.67300000000000182</v>
          </cell>
          <cell r="AG255">
            <v>-113.51600000000001</v>
          </cell>
          <cell r="AH255">
            <v>62.16700000000003</v>
          </cell>
          <cell r="AI255">
            <v>167.56500000000005</v>
          </cell>
          <cell r="AJ255">
            <v>74.436999999999998</v>
          </cell>
          <cell r="AK255">
            <v>-8.4740000000000002</v>
          </cell>
          <cell r="AL255">
            <v>-8464</v>
          </cell>
        </row>
        <row r="256">
          <cell r="A256" t="str">
            <v>Net Cash From Disc Ops</v>
          </cell>
          <cell r="B256" t="str">
            <v>CF_NET_CASH_DISCONTINUED_OPS_INV</v>
          </cell>
          <cell r="C256" t="str">
            <v>EQY_FUND_RELATIVE_PERIOD</v>
          </cell>
          <cell r="F256">
            <v>0</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t="str">
            <v/>
          </cell>
          <cell r="AB256">
            <v>0</v>
          </cell>
          <cell r="AC256">
            <v>0</v>
          </cell>
          <cell r="AD256">
            <v>0</v>
          </cell>
          <cell r="AE256">
            <v>0</v>
          </cell>
          <cell r="AF256">
            <v>0</v>
          </cell>
          <cell r="AG256">
            <v>0</v>
          </cell>
          <cell r="AH256">
            <v>0</v>
          </cell>
          <cell r="AI256">
            <v>0</v>
          </cell>
          <cell r="AJ256">
            <v>0</v>
          </cell>
          <cell r="AK256">
            <v>0</v>
          </cell>
          <cell r="AL256">
            <v>0</v>
          </cell>
        </row>
        <row r="257">
          <cell r="A257" t="str">
            <v>Cash from Investing Activities</v>
          </cell>
          <cell r="B257" t="str">
            <v>CF_CASH_FROM_INV_ACT</v>
          </cell>
          <cell r="C257" t="str">
            <v>EQY_FUND_RELATIVE_PERIOD</v>
          </cell>
          <cell r="D257"/>
          <cell r="E257"/>
          <cell r="F257">
            <v>-249.024</v>
          </cell>
          <cell r="G257">
            <v>-85.697999999999993</v>
          </cell>
          <cell r="H257">
            <v>-224.74599999999998</v>
          </cell>
          <cell r="I257">
            <v>-152.26300000000001</v>
          </cell>
          <cell r="J257">
            <v>-150.62899999999999</v>
          </cell>
          <cell r="K257">
            <v>-107.301</v>
          </cell>
          <cell r="L257">
            <v>-184.309</v>
          </cell>
          <cell r="M257">
            <v>-104.182</v>
          </cell>
          <cell r="N257">
            <v>-167.55599999999998</v>
          </cell>
          <cell r="O257">
            <v>-86.445999999999998</v>
          </cell>
          <cell r="P257">
            <v>-133.822</v>
          </cell>
          <cell r="Q257">
            <v>-158.971</v>
          </cell>
          <cell r="R257">
            <v>-1695.231</v>
          </cell>
          <cell r="S257">
            <v>-687.697</v>
          </cell>
          <cell r="T257">
            <v>-189</v>
          </cell>
          <cell r="U257">
            <v>-2068</v>
          </cell>
          <cell r="V257">
            <v>-6850</v>
          </cell>
          <cell r="W257">
            <v>-215</v>
          </cell>
          <cell r="X257">
            <v>-167</v>
          </cell>
          <cell r="Y257">
            <v>-1914</v>
          </cell>
          <cell r="Z257">
            <v>-420</v>
          </cell>
          <cell r="AA257" t="str">
            <v/>
          </cell>
          <cell r="AB257">
            <v>-202.10299999999998</v>
          </cell>
          <cell r="AC257">
            <v>46.955999999999996</v>
          </cell>
          <cell r="AD257">
            <v>-1034.712</v>
          </cell>
          <cell r="AE257">
            <v>-282.77499999999998</v>
          </cell>
          <cell r="AF257">
            <v>-255.292</v>
          </cell>
          <cell r="AG257">
            <v>-773.95499999999993</v>
          </cell>
          <cell r="AH257">
            <v>-762.67199999999991</v>
          </cell>
          <cell r="AI257">
            <v>-634.93899999999996</v>
          </cell>
          <cell r="AJ257">
            <v>-542.49299999999994</v>
          </cell>
          <cell r="AK257">
            <v>-2675.721</v>
          </cell>
          <cell r="AL257">
            <v>-9322</v>
          </cell>
          <cell r="AM257"/>
          <cell r="AN257"/>
        </row>
        <row r="258">
          <cell r="A258"/>
          <cell r="F258" t="str">
            <v/>
          </cell>
          <cell r="G258" t="str">
            <v/>
          </cell>
          <cell r="H258" t="str">
            <v/>
          </cell>
          <cell r="I258" t="str">
            <v/>
          </cell>
          <cell r="J258" t="str">
            <v/>
          </cell>
          <cell r="K258" t="str">
            <v/>
          </cell>
          <cell r="L258" t="str">
            <v/>
          </cell>
          <cell r="M258" t="str">
            <v/>
          </cell>
          <cell r="N258" t="str">
            <v/>
          </cell>
          <cell r="O258" t="str">
            <v/>
          </cell>
          <cell r="P258" t="str">
            <v/>
          </cell>
          <cell r="Q258" t="str">
            <v/>
          </cell>
          <cell r="R258" t="str">
            <v/>
          </cell>
          <cell r="S258" t="str">
            <v/>
          </cell>
          <cell r="T258" t="str">
            <v/>
          </cell>
          <cell r="U258" t="str">
            <v/>
          </cell>
          <cell r="V258" t="str">
            <v/>
          </cell>
          <cell r="W258" t="str">
            <v/>
          </cell>
          <cell r="X258" t="str">
            <v/>
          </cell>
          <cell r="Y258" t="str">
            <v/>
          </cell>
          <cell r="Z258" t="str">
            <v/>
          </cell>
          <cell r="AA258" t="str">
            <v/>
          </cell>
          <cell r="AB258" t="str">
            <v/>
          </cell>
          <cell r="AC258" t="str">
            <v/>
          </cell>
          <cell r="AD258" t="str">
            <v/>
          </cell>
          <cell r="AE258" t="str">
            <v/>
          </cell>
          <cell r="AF258" t="str">
            <v/>
          </cell>
          <cell r="AG258" t="str">
            <v/>
          </cell>
          <cell r="AH258" t="str">
            <v/>
          </cell>
          <cell r="AI258" t="str">
            <v/>
          </cell>
          <cell r="AJ258" t="str">
            <v/>
          </cell>
          <cell r="AK258" t="str">
            <v/>
          </cell>
          <cell r="AL258" t="str">
            <v/>
          </cell>
        </row>
        <row r="259">
          <cell r="A259" t="str">
            <v>Dividends Paid</v>
          </cell>
          <cell r="B259" t="str">
            <v>CF_DVD_PAID</v>
          </cell>
          <cell r="C259" t="str">
            <v>EQY_FUND_RELATIVE_PERIOD</v>
          </cell>
          <cell r="F259">
            <v>-186.58799999999999</v>
          </cell>
          <cell r="G259">
            <v>-186.584</v>
          </cell>
          <cell r="H259">
            <v>-99.850999999999999</v>
          </cell>
          <cell r="I259">
            <v>-99.850999999999999</v>
          </cell>
          <cell r="J259">
            <v>-99.844999999999999</v>
          </cell>
          <cell r="K259">
            <v>-99.842999999999989</v>
          </cell>
          <cell r="L259">
            <v>-99.811999999999998</v>
          </cell>
          <cell r="M259">
            <v>-100.054</v>
          </cell>
          <cell r="N259">
            <v>-99.955999999999989</v>
          </cell>
          <cell r="O259">
            <v>-99.945999999999998</v>
          </cell>
          <cell r="P259">
            <v>-100.22799999999999</v>
          </cell>
          <cell r="Q259">
            <v>-100.20899999999999</v>
          </cell>
          <cell r="R259">
            <v>-100.208</v>
          </cell>
          <cell r="S259">
            <v>-100.247</v>
          </cell>
          <cell r="T259">
            <v>-105</v>
          </cell>
          <cell r="U259">
            <v>-106</v>
          </cell>
          <cell r="V259">
            <v>-189</v>
          </cell>
          <cell r="W259">
            <v>-176</v>
          </cell>
          <cell r="X259">
            <v>-177</v>
          </cell>
          <cell r="Y259">
            <v>-176</v>
          </cell>
          <cell r="Z259">
            <v>-178</v>
          </cell>
          <cell r="AA259" t="str">
            <v/>
          </cell>
          <cell r="AB259">
            <v>-338.36399999999998</v>
          </cell>
          <cell r="AC259">
            <v>-323.67099999999999</v>
          </cell>
          <cell r="AD259">
            <v>-336.02499999999998</v>
          </cell>
          <cell r="AE259">
            <v>-318.43700000000001</v>
          </cell>
          <cell r="AF259">
            <v>-312.36599999999999</v>
          </cell>
          <cell r="AG259">
            <v>-529.38900000000001</v>
          </cell>
          <cell r="AH259">
            <v>-746.38699999999994</v>
          </cell>
          <cell r="AI259">
            <v>-399.39</v>
          </cell>
          <cell r="AJ259">
            <v>-399.76799999999997</v>
          </cell>
          <cell r="AK259">
            <v>-400.892</v>
          </cell>
          <cell r="AL259">
            <v>-576</v>
          </cell>
        </row>
        <row r="260">
          <cell r="A260" t="str">
            <v>Cash From (Repayment) Debt</v>
          </cell>
          <cell r="B260" t="str">
            <v>PROC_FR_REPAYMNTS_BOR_DETAILED</v>
          </cell>
          <cell r="C260" t="str">
            <v>EQY_FUND_RELATIVE_PERIOD</v>
          </cell>
          <cell r="F260">
            <v>-0.96599999999999997</v>
          </cell>
          <cell r="G260">
            <v>-473.404</v>
          </cell>
          <cell r="H260">
            <v>-14.502000000000001</v>
          </cell>
          <cell r="I260">
            <v>-22.466000000000008</v>
          </cell>
          <cell r="J260">
            <v>565.49599999999998</v>
          </cell>
          <cell r="K260">
            <v>75.144000000000005</v>
          </cell>
          <cell r="L260">
            <v>-517.12900000000002</v>
          </cell>
          <cell r="M260">
            <v>-266.94500000000005</v>
          </cell>
          <cell r="N260">
            <v>-14.474</v>
          </cell>
          <cell r="O260">
            <v>-14.474</v>
          </cell>
          <cell r="P260">
            <v>-3.7729999999999997</v>
          </cell>
          <cell r="Q260">
            <v>-215.05199999999999</v>
          </cell>
          <cell r="R260">
            <v>1534.846</v>
          </cell>
          <cell r="S260">
            <v>335.16900000000004</v>
          </cell>
          <cell r="T260">
            <v>-126</v>
          </cell>
          <cell r="U260">
            <v>-121</v>
          </cell>
          <cell r="V260">
            <v>6576</v>
          </cell>
          <cell r="W260">
            <v>-24</v>
          </cell>
          <cell r="X260">
            <v>-24</v>
          </cell>
          <cell r="Y260">
            <v>1580</v>
          </cell>
          <cell r="Z260">
            <v>-44</v>
          </cell>
          <cell r="AA260" t="str">
            <v/>
          </cell>
          <cell r="AB260">
            <v>-6.2990000000000004</v>
          </cell>
          <cell r="AC260">
            <v>322.30700000000002</v>
          </cell>
          <cell r="AD260">
            <v>3.92999999999995</v>
          </cell>
          <cell r="AE260">
            <v>-7.4799999999999898</v>
          </cell>
          <cell r="AF260">
            <v>90.068000000000211</v>
          </cell>
          <cell r="AG260">
            <v>-7.2359999999999998</v>
          </cell>
          <cell r="AH260">
            <v>22.605999999999995</v>
          </cell>
          <cell r="AI260">
            <v>603.67200000000003</v>
          </cell>
          <cell r="AJ260">
            <v>-813.02199999999993</v>
          </cell>
          <cell r="AK260">
            <v>1651.19</v>
          </cell>
          <cell r="AL260">
            <v>6305</v>
          </cell>
        </row>
        <row r="261">
          <cell r="A261" t="str">
            <v>Cash From (Repay) ST Debt</v>
          </cell>
          <cell r="B261" t="str">
            <v>CF_INCR_ST_BORROW</v>
          </cell>
          <cell r="C261" t="str">
            <v>EQY_FUND_RELATIVE_PERIOD</v>
          </cell>
          <cell r="F261">
            <v>0</v>
          </cell>
          <cell r="G261">
            <v>0</v>
          </cell>
          <cell r="H261">
            <v>0</v>
          </cell>
          <cell r="I261">
            <v>0</v>
          </cell>
          <cell r="J261">
            <v>0</v>
          </cell>
          <cell r="K261">
            <v>0</v>
          </cell>
          <cell r="L261">
            <v>0</v>
          </cell>
          <cell r="M261">
            <v>0</v>
          </cell>
          <cell r="N261">
            <v>0</v>
          </cell>
          <cell r="O261">
            <v>0</v>
          </cell>
          <cell r="P261">
            <v>0</v>
          </cell>
          <cell r="Q261">
            <v>0</v>
          </cell>
          <cell r="R261">
            <v>0</v>
          </cell>
          <cell r="S261">
            <v>0</v>
          </cell>
          <cell r="T261">
            <v>0</v>
          </cell>
          <cell r="U261">
            <v>0</v>
          </cell>
          <cell r="V261">
            <v>0</v>
          </cell>
          <cell r="W261">
            <v>0</v>
          </cell>
          <cell r="X261">
            <v>0</v>
          </cell>
          <cell r="Y261">
            <v>0</v>
          </cell>
          <cell r="Z261">
            <v>0</v>
          </cell>
          <cell r="AA261" t="str">
            <v/>
          </cell>
          <cell r="AB261">
            <v>0</v>
          </cell>
          <cell r="AC261">
            <v>0</v>
          </cell>
          <cell r="AD261">
            <v>0</v>
          </cell>
          <cell r="AE261">
            <v>0</v>
          </cell>
          <cell r="AF261">
            <v>0</v>
          </cell>
          <cell r="AG261">
            <v>0</v>
          </cell>
          <cell r="AH261">
            <v>0</v>
          </cell>
          <cell r="AI261">
            <v>0</v>
          </cell>
          <cell r="AJ261">
            <v>0</v>
          </cell>
          <cell r="AK261">
            <v>0</v>
          </cell>
          <cell r="AL261">
            <v>0</v>
          </cell>
        </row>
        <row r="262">
          <cell r="A262" t="str">
            <v>Cash From LT Debt</v>
          </cell>
          <cell r="B262" t="str">
            <v>CF_INCR_LT_BORROW</v>
          </cell>
          <cell r="C262" t="str">
            <v>EQY_FUND_RELATIVE_PERIOD</v>
          </cell>
          <cell r="F262">
            <v>0</v>
          </cell>
          <cell r="G262">
            <v>575</v>
          </cell>
          <cell r="H262">
            <v>0</v>
          </cell>
          <cell r="I262">
            <v>500</v>
          </cell>
          <cell r="J262">
            <v>600</v>
          </cell>
          <cell r="K262">
            <v>260.625</v>
          </cell>
          <cell r="L262">
            <v>0</v>
          </cell>
          <cell r="M262">
            <v>750</v>
          </cell>
          <cell r="N262">
            <v>0</v>
          </cell>
          <cell r="O262">
            <v>0</v>
          </cell>
          <cell r="P262">
            <v>10.706</v>
          </cell>
          <cell r="Q262">
            <v>9.5000000000000001E-2</v>
          </cell>
          <cell r="R262">
            <v>1550</v>
          </cell>
          <cell r="S262">
            <v>350.32400000000001</v>
          </cell>
          <cell r="T262">
            <v>3</v>
          </cell>
          <cell r="U262">
            <v>0</v>
          </cell>
          <cell r="V262">
            <v>6600</v>
          </cell>
          <cell r="W262">
            <v>0</v>
          </cell>
          <cell r="X262">
            <v>0</v>
          </cell>
          <cell r="Y262">
            <v>1625</v>
          </cell>
          <cell r="Z262">
            <v>0</v>
          </cell>
          <cell r="AA262" t="str">
            <v/>
          </cell>
          <cell r="AB262">
            <v>0</v>
          </cell>
          <cell r="AC262">
            <v>550</v>
          </cell>
          <cell r="AD262">
            <v>950</v>
          </cell>
          <cell r="AE262">
            <v>135</v>
          </cell>
          <cell r="AF262">
            <v>1117.4759999999999</v>
          </cell>
          <cell r="AG262">
            <v>0</v>
          </cell>
          <cell r="AH262">
            <v>575</v>
          </cell>
          <cell r="AI262">
            <v>1360.625</v>
          </cell>
          <cell r="AJ262">
            <v>750</v>
          </cell>
          <cell r="AK262">
            <v>1911.125</v>
          </cell>
          <cell r="AL262">
            <v>6603</v>
          </cell>
        </row>
        <row r="263">
          <cell r="A263" t="str">
            <v>Repayments of LT Debt</v>
          </cell>
          <cell r="B263" t="str">
            <v>CF_REIMB_LT_BORROW</v>
          </cell>
          <cell r="C263" t="str">
            <v>EQY_FUND_RELATIVE_PERIOD</v>
          </cell>
          <cell r="F263">
            <v>-0.96599999999999997</v>
          </cell>
          <cell r="G263">
            <v>-473.404</v>
          </cell>
          <cell r="H263">
            <v>-14.501999999999999</v>
          </cell>
          <cell r="I263">
            <v>-522.46600000000001</v>
          </cell>
          <cell r="J263">
            <v>-34.503999999999998</v>
          </cell>
          <cell r="K263">
            <v>-185.48099999999999</v>
          </cell>
          <cell r="L263">
            <v>-517.12900000000002</v>
          </cell>
          <cell r="M263">
            <v>-1016.9449999999999</v>
          </cell>
          <cell r="N263">
            <v>-14.474</v>
          </cell>
          <cell r="O263">
            <v>-14.474</v>
          </cell>
          <cell r="P263">
            <v>-14.478999999999999</v>
          </cell>
          <cell r="Q263">
            <v>-215.14699999999999</v>
          </cell>
          <cell r="R263">
            <v>-15.154</v>
          </cell>
          <cell r="S263">
            <v>-15.154999999999999</v>
          </cell>
          <cell r="T263">
            <v>-129</v>
          </cell>
          <cell r="U263">
            <v>-121</v>
          </cell>
          <cell r="V263">
            <v>-24</v>
          </cell>
          <cell r="W263">
            <v>-24</v>
          </cell>
          <cell r="X263">
            <v>-24</v>
          </cell>
          <cell r="Y263">
            <v>-45</v>
          </cell>
          <cell r="Z263">
            <v>-44</v>
          </cell>
          <cell r="AA263" t="str">
            <v/>
          </cell>
          <cell r="AB263">
            <v>-6.2989999999999995</v>
          </cell>
          <cell r="AC263">
            <v>-227.69299999999998</v>
          </cell>
          <cell r="AD263">
            <v>-946.06999999999994</v>
          </cell>
          <cell r="AE263">
            <v>-142.47999999999999</v>
          </cell>
          <cell r="AF263">
            <v>-1027.4079999999999</v>
          </cell>
          <cell r="AG263">
            <v>-7.2359999999999998</v>
          </cell>
          <cell r="AH263">
            <v>-552.39400000000001</v>
          </cell>
          <cell r="AI263">
            <v>-756.95299999999997</v>
          </cell>
          <cell r="AJ263">
            <v>-1563.0219999999999</v>
          </cell>
          <cell r="AK263">
            <v>-259.935</v>
          </cell>
          <cell r="AL263">
            <v>-298</v>
          </cell>
        </row>
        <row r="264">
          <cell r="A264" t="str">
            <v>Cash (Repurchase) of Equity</v>
          </cell>
          <cell r="B264" t="str">
            <v>PROC_FR_REPURCH_EQTY_DETAILED</v>
          </cell>
          <cell r="C264" t="str">
            <v>EQY_FUND_RELATIVE_PERIOD</v>
          </cell>
          <cell r="F264">
            <v>0</v>
          </cell>
          <cell r="G264">
            <v>0</v>
          </cell>
          <cell r="H264">
            <v>0</v>
          </cell>
          <cell r="I264">
            <v>0</v>
          </cell>
          <cell r="J264">
            <v>0</v>
          </cell>
          <cell r="K264">
            <v>0</v>
          </cell>
          <cell r="L264">
            <v>0</v>
          </cell>
          <cell r="M264">
            <v>0</v>
          </cell>
          <cell r="N264">
            <v>0</v>
          </cell>
          <cell r="O264">
            <v>0</v>
          </cell>
          <cell r="P264">
            <v>0</v>
          </cell>
          <cell r="Q264">
            <v>0</v>
          </cell>
          <cell r="R264">
            <v>0</v>
          </cell>
          <cell r="S264">
            <v>0</v>
          </cell>
          <cell r="T264">
            <v>0</v>
          </cell>
          <cell r="U264">
            <v>2665</v>
          </cell>
          <cell r="V264">
            <v>0</v>
          </cell>
          <cell r="W264">
            <v>0</v>
          </cell>
          <cell r="X264">
            <v>0</v>
          </cell>
          <cell r="Y264">
            <v>0</v>
          </cell>
          <cell r="Z264">
            <v>0</v>
          </cell>
          <cell r="AA264" t="str">
            <v/>
          </cell>
          <cell r="AB264">
            <v>-202.45</v>
          </cell>
          <cell r="AC264">
            <v>-108.039</v>
          </cell>
          <cell r="AD264">
            <v>-236.19200000000001</v>
          </cell>
          <cell r="AE264">
            <v>-198.602</v>
          </cell>
          <cell r="AF264">
            <v>0.751</v>
          </cell>
          <cell r="AG264">
            <v>0</v>
          </cell>
          <cell r="AH264">
            <v>0</v>
          </cell>
          <cell r="AI264">
            <v>0</v>
          </cell>
          <cell r="AJ264">
            <v>0</v>
          </cell>
          <cell r="AK264">
            <v>0</v>
          </cell>
          <cell r="AL264">
            <v>2665</v>
          </cell>
        </row>
        <row r="265">
          <cell r="A265" t="str">
            <v>Increase in Capital Stock</v>
          </cell>
          <cell r="B265" t="str">
            <v>CF_INCR_CAP_STOCK</v>
          </cell>
          <cell r="C265" t="str">
            <v>EQY_FUND_RELATIVE_PERIOD</v>
          </cell>
          <cell r="F265">
            <v>0</v>
          </cell>
          <cell r="G265">
            <v>0</v>
          </cell>
          <cell r="H265">
            <v>0</v>
          </cell>
          <cell r="I265">
            <v>0</v>
          </cell>
          <cell r="J265">
            <v>0</v>
          </cell>
          <cell r="K265">
            <v>0</v>
          </cell>
          <cell r="L265">
            <v>0</v>
          </cell>
          <cell r="M265">
            <v>0</v>
          </cell>
          <cell r="N265">
            <v>0</v>
          </cell>
          <cell r="O265">
            <v>0</v>
          </cell>
          <cell r="P265">
            <v>0</v>
          </cell>
          <cell r="Q265">
            <v>0</v>
          </cell>
          <cell r="R265">
            <v>0</v>
          </cell>
          <cell r="S265">
            <v>0</v>
          </cell>
          <cell r="T265">
            <v>0</v>
          </cell>
          <cell r="U265">
            <v>2665</v>
          </cell>
          <cell r="V265">
            <v>0</v>
          </cell>
          <cell r="W265">
            <v>0</v>
          </cell>
          <cell r="X265">
            <v>0</v>
          </cell>
          <cell r="Y265">
            <v>0</v>
          </cell>
          <cell r="Z265">
            <v>0</v>
          </cell>
          <cell r="AA265" t="str">
            <v/>
          </cell>
          <cell r="AB265">
            <v>47.55</v>
          </cell>
          <cell r="AC265">
            <v>27.2</v>
          </cell>
          <cell r="AD265">
            <v>13.808</v>
          </cell>
          <cell r="AE265">
            <v>1.3979999999999999</v>
          </cell>
          <cell r="AF265">
            <v>0.751</v>
          </cell>
          <cell r="AG265">
            <v>0</v>
          </cell>
          <cell r="AH265">
            <v>0</v>
          </cell>
          <cell r="AI265">
            <v>0</v>
          </cell>
          <cell r="AJ265">
            <v>0</v>
          </cell>
          <cell r="AK265">
            <v>0</v>
          </cell>
          <cell r="AL265">
            <v>2665</v>
          </cell>
        </row>
        <row r="266">
          <cell r="A266" t="str">
            <v>Decrease in Capital Stock</v>
          </cell>
          <cell r="B266" t="str">
            <v>CF_DECR_CAP_STOCK</v>
          </cell>
          <cell r="C266" t="str">
            <v>EQY_FUND_RELATIVE_PERIOD</v>
          </cell>
          <cell r="F266">
            <v>0</v>
          </cell>
          <cell r="G266">
            <v>0</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cell r="V266">
            <v>0</v>
          </cell>
          <cell r="W266">
            <v>0</v>
          </cell>
          <cell r="X266">
            <v>0</v>
          </cell>
          <cell r="Y266">
            <v>0</v>
          </cell>
          <cell r="Z266">
            <v>0</v>
          </cell>
          <cell r="AA266" t="str">
            <v/>
          </cell>
          <cell r="AB266">
            <v>-250</v>
          </cell>
          <cell r="AC266">
            <v>-135.239</v>
          </cell>
          <cell r="AD266">
            <v>-250</v>
          </cell>
          <cell r="AE266">
            <v>-200</v>
          </cell>
          <cell r="AF266">
            <v>0</v>
          </cell>
          <cell r="AG266">
            <v>0</v>
          </cell>
          <cell r="AH266">
            <v>0</v>
          </cell>
          <cell r="AI266">
            <v>0</v>
          </cell>
          <cell r="AJ266">
            <v>0</v>
          </cell>
          <cell r="AK266">
            <v>0</v>
          </cell>
          <cell r="AL266">
            <v>0</v>
          </cell>
        </row>
        <row r="267">
          <cell r="A267" t="str">
            <v>Other Financing Activities</v>
          </cell>
          <cell r="B267" t="str">
            <v>CF_OTHER_FINANCING_ACT_EXCL_FX</v>
          </cell>
          <cell r="C267" t="str">
            <v>EQY_FUND_RELATIVE_PERIOD</v>
          </cell>
          <cell r="F267">
            <v>1.3</v>
          </cell>
          <cell r="G267">
            <v>-9.0640000000000001</v>
          </cell>
          <cell r="H267">
            <v>-3.694</v>
          </cell>
          <cell r="I267">
            <v>-56.5</v>
          </cell>
          <cell r="J267">
            <v>-28.038999999999998</v>
          </cell>
          <cell r="K267">
            <v>-33.145000000000003</v>
          </cell>
          <cell r="L267">
            <v>-7.2789999999999999</v>
          </cell>
          <cell r="M267">
            <v>-178.899</v>
          </cell>
          <cell r="N267">
            <v>-0.28099999999999997</v>
          </cell>
          <cell r="O267">
            <v>-0.378</v>
          </cell>
          <cell r="P267">
            <v>-0.83899999999999997</v>
          </cell>
          <cell r="Q267">
            <v>-6.5669999999999993</v>
          </cell>
          <cell r="R267">
            <v>-33.533000000000001</v>
          </cell>
          <cell r="S267">
            <v>-1.615</v>
          </cell>
          <cell r="T267">
            <v>-2</v>
          </cell>
          <cell r="U267">
            <v>0</v>
          </cell>
          <cell r="V267">
            <v>-117</v>
          </cell>
          <cell r="W267">
            <v>0</v>
          </cell>
          <cell r="X267">
            <v>-6</v>
          </cell>
          <cell r="Y267">
            <v>0</v>
          </cell>
          <cell r="Z267">
            <v>-31</v>
          </cell>
          <cell r="AA267" t="str">
            <v/>
          </cell>
          <cell r="AB267">
            <v>0</v>
          </cell>
          <cell r="AC267">
            <v>0</v>
          </cell>
          <cell r="AD267">
            <v>0</v>
          </cell>
          <cell r="AE267">
            <v>0</v>
          </cell>
          <cell r="AF267">
            <v>-70.814999999999998</v>
          </cell>
          <cell r="AG267">
            <v>-19.029999999999998</v>
          </cell>
          <cell r="AH267">
            <v>-11.397</v>
          </cell>
          <cell r="AI267">
            <v>-121.378</v>
          </cell>
          <cell r="AJ267">
            <v>-186.83699999999999</v>
          </cell>
          <cell r="AK267">
            <v>-42.553999999999995</v>
          </cell>
          <cell r="AL267">
            <v>-119</v>
          </cell>
        </row>
        <row r="268">
          <cell r="A268" t="str">
            <v>Net Cash From Disc Ops</v>
          </cell>
          <cell r="B268" t="str">
            <v>CF_NET_CASH_DISCONTINUED_OPS_FIN</v>
          </cell>
          <cell r="C268" t="str">
            <v>EQY_FUND_RELATIVE_PERIOD</v>
          </cell>
          <cell r="F268">
            <v>0</v>
          </cell>
          <cell r="G268">
            <v>0</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cell r="W268">
            <v>0</v>
          </cell>
          <cell r="X268">
            <v>0</v>
          </cell>
          <cell r="Y268">
            <v>0</v>
          </cell>
          <cell r="Z268">
            <v>0</v>
          </cell>
          <cell r="AA268" t="str">
            <v/>
          </cell>
          <cell r="AB268">
            <v>0</v>
          </cell>
          <cell r="AC268">
            <v>0</v>
          </cell>
          <cell r="AD268">
            <v>0</v>
          </cell>
          <cell r="AE268">
            <v>0</v>
          </cell>
          <cell r="AF268">
            <v>0</v>
          </cell>
          <cell r="AG268">
            <v>0</v>
          </cell>
          <cell r="AH268">
            <v>0</v>
          </cell>
          <cell r="AI268">
            <v>0</v>
          </cell>
          <cell r="AJ268">
            <v>0</v>
          </cell>
          <cell r="AK268">
            <v>0</v>
          </cell>
          <cell r="AL268">
            <v>0</v>
          </cell>
        </row>
        <row r="269">
          <cell r="A269" t="str">
            <v>Cash from Financing Activities</v>
          </cell>
          <cell r="B269" t="str">
            <v>CFF_ACTIVITIES_DETAILED</v>
          </cell>
          <cell r="C269" t="str">
            <v>EQY_FUND_RELATIVE_PERIOD</v>
          </cell>
          <cell r="D269"/>
          <cell r="E269"/>
          <cell r="F269">
            <v>-186.25399999999999</v>
          </cell>
          <cell r="G269">
            <v>-94.051999999999992</v>
          </cell>
          <cell r="H269">
            <v>-118.047</v>
          </cell>
          <cell r="I269">
            <v>-178.81700000000001</v>
          </cell>
          <cell r="J269">
            <v>437.61199999999997</v>
          </cell>
          <cell r="K269">
            <v>-57.844000000000001</v>
          </cell>
          <cell r="L269">
            <v>-624.22</v>
          </cell>
          <cell r="M269">
            <v>-545.89800000000002</v>
          </cell>
          <cell r="N269">
            <v>-114.71100000000001</v>
          </cell>
          <cell r="O269">
            <v>-114.798</v>
          </cell>
          <cell r="P269">
            <v>-104.83999999999999</v>
          </cell>
          <cell r="Q269">
            <v>-321.82799999999997</v>
          </cell>
          <cell r="R269">
            <v>1401.105</v>
          </cell>
          <cell r="S269">
            <v>233.30699999999999</v>
          </cell>
          <cell r="T269">
            <v>-233</v>
          </cell>
          <cell r="U269">
            <v>2438</v>
          </cell>
          <cell r="V269">
            <v>6270</v>
          </cell>
          <cell r="W269">
            <v>-200</v>
          </cell>
          <cell r="X269">
            <v>-207</v>
          </cell>
          <cell r="Y269">
            <v>1404</v>
          </cell>
          <cell r="Z269">
            <v>-253</v>
          </cell>
          <cell r="AA269" t="str">
            <v/>
          </cell>
          <cell r="AB269">
            <v>-548.90899999999999</v>
          </cell>
          <cell r="AC269">
            <v>-116.61499999999998</v>
          </cell>
          <cell r="AD269">
            <v>-601.61099999999999</v>
          </cell>
          <cell r="AE269">
            <v>-519.33000000000004</v>
          </cell>
          <cell r="AF269">
            <v>-292.36199999999974</v>
          </cell>
          <cell r="AG269">
            <v>-555.65499999999997</v>
          </cell>
          <cell r="AH269">
            <v>-735.178</v>
          </cell>
          <cell r="AI269">
            <v>82.904000000000039</v>
          </cell>
          <cell r="AJ269">
            <v>-1399.627</v>
          </cell>
          <cell r="AK269">
            <v>1207.7439999999999</v>
          </cell>
          <cell r="AL269">
            <v>8275</v>
          </cell>
          <cell r="AM269"/>
          <cell r="AN269"/>
        </row>
        <row r="270">
          <cell r="A270"/>
          <cell r="F270" t="str">
            <v/>
          </cell>
          <cell r="G270" t="str">
            <v/>
          </cell>
          <cell r="H270" t="str">
            <v/>
          </cell>
          <cell r="I270" t="str">
            <v/>
          </cell>
          <cell r="J270" t="str">
            <v/>
          </cell>
          <cell r="K270" t="str">
            <v/>
          </cell>
          <cell r="L270" t="str">
            <v/>
          </cell>
          <cell r="M270" t="str">
            <v/>
          </cell>
          <cell r="N270" t="str">
            <v/>
          </cell>
          <cell r="O270" t="str">
            <v/>
          </cell>
          <cell r="P270" t="str">
            <v/>
          </cell>
          <cell r="Q270" t="str">
            <v/>
          </cell>
          <cell r="R270" t="str">
            <v/>
          </cell>
          <cell r="S270" t="str">
            <v/>
          </cell>
          <cell r="T270" t="str">
            <v/>
          </cell>
          <cell r="U270" t="str">
            <v/>
          </cell>
          <cell r="V270" t="str">
            <v/>
          </cell>
          <cell r="W270" t="str">
            <v/>
          </cell>
          <cell r="X270" t="str">
            <v/>
          </cell>
          <cell r="Y270" t="str">
            <v/>
          </cell>
          <cell r="Z270" t="str">
            <v/>
          </cell>
          <cell r="AA270" t="str">
            <v/>
          </cell>
          <cell r="AB270" t="str">
            <v/>
          </cell>
          <cell r="AC270" t="str">
            <v/>
          </cell>
          <cell r="AD270" t="str">
            <v/>
          </cell>
          <cell r="AE270" t="str">
            <v/>
          </cell>
          <cell r="AF270" t="str">
            <v/>
          </cell>
          <cell r="AG270" t="str">
            <v/>
          </cell>
          <cell r="AH270" t="str">
            <v/>
          </cell>
          <cell r="AI270" t="str">
            <v/>
          </cell>
          <cell r="AJ270" t="str">
            <v/>
          </cell>
          <cell r="AK270" t="str">
            <v/>
          </cell>
          <cell r="AL270" t="str">
            <v/>
          </cell>
        </row>
        <row r="271">
          <cell r="A271" t="str">
            <v>Effect of Foreign Exchanges</v>
          </cell>
          <cell r="B271" t="str">
            <v>CF_EFFECT_FOREIGN_EXCHANGES</v>
          </cell>
          <cell r="C271" t="str">
            <v>EQY_FUND_RELATIVE_PERIOD</v>
          </cell>
          <cell r="F271">
            <v>0</v>
          </cell>
          <cell r="G271">
            <v>0</v>
          </cell>
          <cell r="H271">
            <v>0</v>
          </cell>
          <cell r="I271">
            <v>0</v>
          </cell>
          <cell r="J271">
            <v>0</v>
          </cell>
          <cell r="K271">
            <v>0</v>
          </cell>
          <cell r="L271">
            <v>0</v>
          </cell>
          <cell r="M271">
            <v>0</v>
          </cell>
          <cell r="N271">
            <v>0</v>
          </cell>
          <cell r="O271">
            <v>0</v>
          </cell>
          <cell r="P271">
            <v>0</v>
          </cell>
          <cell r="Q271">
            <v>0</v>
          </cell>
          <cell r="R271">
            <v>0</v>
          </cell>
          <cell r="S271">
            <v>0</v>
          </cell>
          <cell r="T271">
            <v>0</v>
          </cell>
          <cell r="U271">
            <v>0</v>
          </cell>
          <cell r="V271">
            <v>0</v>
          </cell>
          <cell r="W271">
            <v>0</v>
          </cell>
          <cell r="X271">
            <v>0</v>
          </cell>
          <cell r="Y271">
            <v>0</v>
          </cell>
          <cell r="Z271">
            <v>0</v>
          </cell>
          <cell r="AA271" t="str">
            <v/>
          </cell>
          <cell r="AB271">
            <v>0</v>
          </cell>
          <cell r="AC271">
            <v>0</v>
          </cell>
          <cell r="AD271">
            <v>0</v>
          </cell>
          <cell r="AE271">
            <v>0</v>
          </cell>
          <cell r="AF271">
            <v>0</v>
          </cell>
          <cell r="AG271">
            <v>0</v>
          </cell>
          <cell r="AH271">
            <v>0</v>
          </cell>
          <cell r="AI271">
            <v>0</v>
          </cell>
          <cell r="AJ271">
            <v>0</v>
          </cell>
          <cell r="AK271">
            <v>0</v>
          </cell>
          <cell r="AL271">
            <v>0</v>
          </cell>
        </row>
        <row r="272">
          <cell r="A272"/>
          <cell r="F272" t="str">
            <v/>
          </cell>
          <cell r="G272" t="str">
            <v/>
          </cell>
          <cell r="H272" t="str">
            <v/>
          </cell>
          <cell r="I272" t="str">
            <v/>
          </cell>
          <cell r="J272" t="str">
            <v/>
          </cell>
          <cell r="K272" t="str">
            <v/>
          </cell>
          <cell r="L272" t="str">
            <v/>
          </cell>
          <cell r="M272" t="str">
            <v/>
          </cell>
          <cell r="N272" t="str">
            <v/>
          </cell>
          <cell r="O272" t="str">
            <v/>
          </cell>
          <cell r="P272" t="str">
            <v/>
          </cell>
          <cell r="Q272" t="str">
            <v/>
          </cell>
          <cell r="R272" t="str">
            <v/>
          </cell>
          <cell r="S272" t="str">
            <v/>
          </cell>
          <cell r="T272" t="str">
            <v/>
          </cell>
          <cell r="U272" t="str">
            <v/>
          </cell>
          <cell r="V272" t="str">
            <v/>
          </cell>
          <cell r="W272" t="str">
            <v/>
          </cell>
          <cell r="X272" t="str">
            <v/>
          </cell>
          <cell r="Y272" t="str">
            <v/>
          </cell>
          <cell r="Z272" t="str">
            <v/>
          </cell>
          <cell r="AA272" t="str">
            <v/>
          </cell>
          <cell r="AB272" t="str">
            <v/>
          </cell>
          <cell r="AC272" t="str">
            <v/>
          </cell>
          <cell r="AD272" t="str">
            <v/>
          </cell>
          <cell r="AE272" t="str">
            <v/>
          </cell>
          <cell r="AF272" t="str">
            <v/>
          </cell>
          <cell r="AG272" t="str">
            <v/>
          </cell>
          <cell r="AH272" t="str">
            <v/>
          </cell>
          <cell r="AI272" t="str">
            <v/>
          </cell>
          <cell r="AJ272" t="str">
            <v/>
          </cell>
          <cell r="AK272" t="str">
            <v/>
          </cell>
          <cell r="AL272" t="str">
            <v/>
          </cell>
        </row>
        <row r="273">
          <cell r="A273" t="str">
            <v>Net Changes in Cash</v>
          </cell>
          <cell r="B273" t="str">
            <v>CF_NET_CHNG_CASH</v>
          </cell>
          <cell r="C273" t="str">
            <v>EQY_FUND_RELATIVE_PERIOD</v>
          </cell>
          <cell r="D273"/>
          <cell r="E273"/>
          <cell r="F273">
            <v>-26.855</v>
          </cell>
          <cell r="G273">
            <v>120.277</v>
          </cell>
          <cell r="H273">
            <v>39.72</v>
          </cell>
          <cell r="I273">
            <v>44.199999999999996</v>
          </cell>
          <cell r="J273">
            <v>689.47500000000002</v>
          </cell>
          <cell r="K273">
            <v>227.04299999999998</v>
          </cell>
          <cell r="L273">
            <v>-449.23699999999997</v>
          </cell>
          <cell r="M273">
            <v>-328.66499999999996</v>
          </cell>
          <cell r="N273">
            <v>112.36699999999999</v>
          </cell>
          <cell r="O273">
            <v>219.042</v>
          </cell>
          <cell r="P273">
            <v>74.201999999999998</v>
          </cell>
          <cell r="Q273">
            <v>-152.54399999999998</v>
          </cell>
          <cell r="R273">
            <v>6.8209999999999997</v>
          </cell>
          <cell r="S273">
            <v>-126.384</v>
          </cell>
          <cell r="T273">
            <v>-173</v>
          </cell>
          <cell r="U273">
            <v>737</v>
          </cell>
          <cell r="V273">
            <v>-235</v>
          </cell>
          <cell r="W273">
            <v>-75</v>
          </cell>
          <cell r="X273">
            <v>-436</v>
          </cell>
          <cell r="Y273">
            <v>183</v>
          </cell>
          <cell r="Z273">
            <v>-352</v>
          </cell>
          <cell r="AA273" t="str">
            <v/>
          </cell>
          <cell r="AB273">
            <v>95.655999999999992</v>
          </cell>
          <cell r="AC273">
            <v>777.35699999999997</v>
          </cell>
          <cell r="AD273">
            <v>-814.64</v>
          </cell>
          <cell r="AE273">
            <v>-62.838999999999999</v>
          </cell>
          <cell r="AF273">
            <v>195.066</v>
          </cell>
          <cell r="AG273">
            <v>-107.42999999999999</v>
          </cell>
          <cell r="AH273">
            <v>74.831000000000003</v>
          </cell>
          <cell r="AI273">
            <v>1000.438</v>
          </cell>
          <cell r="AJ273">
            <v>-446.49299999999999</v>
          </cell>
          <cell r="AK273">
            <v>-197.905</v>
          </cell>
          <cell r="AL273">
            <v>254</v>
          </cell>
          <cell r="AM273"/>
          <cell r="AN273"/>
        </row>
        <row r="274">
          <cell r="A274"/>
          <cell r="F274" t="str">
            <v/>
          </cell>
          <cell r="G274" t="str">
            <v/>
          </cell>
          <cell r="H274" t="str">
            <v/>
          </cell>
          <cell r="I274" t="str">
            <v/>
          </cell>
          <cell r="J274" t="str">
            <v/>
          </cell>
          <cell r="K274" t="str">
            <v/>
          </cell>
          <cell r="L274" t="str">
            <v/>
          </cell>
          <cell r="M274" t="str">
            <v/>
          </cell>
          <cell r="N274" t="str">
            <v/>
          </cell>
          <cell r="O274" t="str">
            <v/>
          </cell>
          <cell r="P274" t="str">
            <v/>
          </cell>
          <cell r="Q274" t="str">
            <v/>
          </cell>
          <cell r="R274" t="str">
            <v/>
          </cell>
          <cell r="S274" t="str">
            <v/>
          </cell>
          <cell r="T274" t="str">
            <v/>
          </cell>
          <cell r="U274" t="str">
            <v/>
          </cell>
          <cell r="V274" t="str">
            <v/>
          </cell>
          <cell r="W274" t="str">
            <v/>
          </cell>
          <cell r="X274" t="str">
            <v/>
          </cell>
          <cell r="Y274" t="str">
            <v/>
          </cell>
          <cell r="Z274" t="str">
            <v/>
          </cell>
          <cell r="AA274" t="str">
            <v/>
          </cell>
          <cell r="AB274" t="str">
            <v/>
          </cell>
          <cell r="AC274" t="str">
            <v/>
          </cell>
          <cell r="AD274" t="str">
            <v/>
          </cell>
          <cell r="AE274" t="str">
            <v/>
          </cell>
          <cell r="AF274" t="str">
            <v/>
          </cell>
          <cell r="AG274" t="str">
            <v/>
          </cell>
          <cell r="AH274" t="str">
            <v/>
          </cell>
          <cell r="AI274" t="str">
            <v/>
          </cell>
          <cell r="AJ274" t="str">
            <v/>
          </cell>
          <cell r="AK274" t="str">
            <v/>
          </cell>
          <cell r="AL274" t="str">
            <v/>
          </cell>
        </row>
        <row r="275">
          <cell r="A275" t="str">
            <v>Beginning Cash from CF</v>
          </cell>
          <cell r="B275" t="str">
            <v>ARD_CASH_CASH_EQUIV_BEG_OF_PER</v>
          </cell>
          <cell r="C275" t="str">
            <v>EQY_FUND_RELATIVE_PERIOD</v>
          </cell>
          <cell r="F275">
            <v>251.26300000000001</v>
          </cell>
          <cell r="G275">
            <v>251.26300000000001</v>
          </cell>
          <cell r="H275">
            <v>326.09399999999999</v>
          </cell>
          <cell r="I275">
            <v>326.09399999999999</v>
          </cell>
          <cell r="J275">
            <v>326.09399999999999</v>
          </cell>
          <cell r="K275">
            <v>326.09399999999999</v>
          </cell>
          <cell r="L275">
            <v>1326.5319999999999</v>
          </cell>
          <cell r="M275">
            <v>1326.5319999999999</v>
          </cell>
          <cell r="N275">
            <v>1326.5319999999999</v>
          </cell>
          <cell r="O275">
            <v>1326.5319999999999</v>
          </cell>
          <cell r="P275">
            <v>880.03899999999999</v>
          </cell>
          <cell r="Q275">
            <v>880.03899999999999</v>
          </cell>
          <cell r="R275">
            <v>880.03899999999999</v>
          </cell>
          <cell r="S275">
            <v>880.03899999999999</v>
          </cell>
          <cell r="T275">
            <v>682</v>
          </cell>
          <cell r="U275">
            <v>682</v>
          </cell>
          <cell r="V275">
            <v>682</v>
          </cell>
          <cell r="W275">
            <v>682</v>
          </cell>
          <cell r="X275">
            <v>936</v>
          </cell>
          <cell r="Y275">
            <v>936</v>
          </cell>
          <cell r="Z275">
            <v>936</v>
          </cell>
          <cell r="AA275" t="str">
            <v/>
          </cell>
          <cell r="AB275">
            <v>168.09299999999999</v>
          </cell>
          <cell r="AC275">
            <v>263.74900000000002</v>
          </cell>
          <cell r="AD275">
            <v>1041.106</v>
          </cell>
          <cell r="AE275">
            <v>226.46600000000001</v>
          </cell>
          <cell r="AF275">
            <v>163.62700000000001</v>
          </cell>
          <cell r="AG275">
            <v>358.69299999999998</v>
          </cell>
          <cell r="AH275">
            <v>251.26300000000001</v>
          </cell>
          <cell r="AI275">
            <v>326.09399999999999</v>
          </cell>
          <cell r="AJ275">
            <v>1326.5319999999999</v>
          </cell>
          <cell r="AK275">
            <v>880.03899999999999</v>
          </cell>
          <cell r="AL275">
            <v>682</v>
          </cell>
        </row>
        <row r="276">
          <cell r="A276" t="str">
            <v>Ending Cash from CF</v>
          </cell>
          <cell r="B276" t="str">
            <v>ARD_CASH_CASH_EQUIV_END_OF_PER</v>
          </cell>
          <cell r="C276" t="str">
            <v>EQY_FUND_RELATIVE_PERIOD</v>
          </cell>
          <cell r="F276">
            <v>205.81700000000001</v>
          </cell>
          <cell r="G276">
            <v>326.09399999999999</v>
          </cell>
          <cell r="H276">
            <v>365.81400000000002</v>
          </cell>
          <cell r="I276">
            <v>410.01400000000001</v>
          </cell>
          <cell r="J276">
            <v>1099.489</v>
          </cell>
          <cell r="K276">
            <v>1326.5319999999999</v>
          </cell>
          <cell r="L276">
            <v>875.90899999999999</v>
          </cell>
          <cell r="M276">
            <v>548.63</v>
          </cell>
          <cell r="N276">
            <v>660.99699999999996</v>
          </cell>
          <cell r="O276">
            <v>880.03899999999999</v>
          </cell>
          <cell r="P276">
            <v>954.24099999999999</v>
          </cell>
          <cell r="Q276">
            <v>801.697</v>
          </cell>
          <cell r="R276">
            <v>808.51800000000003</v>
          </cell>
          <cell r="S276">
            <v>682.13400000000001</v>
          </cell>
          <cell r="T276">
            <v>509</v>
          </cell>
          <cell r="U276">
            <v>1246</v>
          </cell>
          <cell r="V276">
            <v>1011</v>
          </cell>
          <cell r="W276">
            <v>936</v>
          </cell>
          <cell r="X276">
            <v>500</v>
          </cell>
          <cell r="Y276">
            <v>683</v>
          </cell>
          <cell r="Z276">
            <v>331</v>
          </cell>
          <cell r="AA276" t="str">
            <v/>
          </cell>
          <cell r="AB276">
            <v>263.74900000000002</v>
          </cell>
          <cell r="AC276">
            <v>1041.106</v>
          </cell>
          <cell r="AD276">
            <v>226.46600000000001</v>
          </cell>
          <cell r="AE276">
            <v>163.62700000000001</v>
          </cell>
          <cell r="AF276">
            <v>358.69299999999998</v>
          </cell>
          <cell r="AG276">
            <v>251.26300000000001</v>
          </cell>
          <cell r="AH276">
            <v>326.09399999999999</v>
          </cell>
          <cell r="AI276">
            <v>1326.5319999999999</v>
          </cell>
          <cell r="AJ276">
            <v>880.03899999999999</v>
          </cell>
          <cell r="AK276">
            <v>682.13400000000001</v>
          </cell>
          <cell r="AL276">
            <v>936</v>
          </cell>
        </row>
        <row r="277">
          <cell r="A277"/>
          <cell r="F277" t="str">
            <v/>
          </cell>
          <cell r="G277" t="str">
            <v/>
          </cell>
          <cell r="H277" t="str">
            <v/>
          </cell>
          <cell r="I277" t="str">
            <v/>
          </cell>
          <cell r="J277" t="str">
            <v/>
          </cell>
          <cell r="K277" t="str">
            <v/>
          </cell>
          <cell r="L277" t="str">
            <v/>
          </cell>
          <cell r="M277" t="str">
            <v/>
          </cell>
          <cell r="N277" t="str">
            <v/>
          </cell>
          <cell r="O277" t="str">
            <v/>
          </cell>
          <cell r="P277" t="str">
            <v/>
          </cell>
          <cell r="Q277" t="str">
            <v/>
          </cell>
          <cell r="R277" t="str">
            <v/>
          </cell>
          <cell r="S277" t="str">
            <v/>
          </cell>
          <cell r="T277" t="str">
            <v/>
          </cell>
          <cell r="U277" t="str">
            <v/>
          </cell>
          <cell r="V277" t="str">
            <v/>
          </cell>
          <cell r="W277" t="str">
            <v/>
          </cell>
          <cell r="X277" t="str">
            <v/>
          </cell>
          <cell r="Y277" t="str">
            <v/>
          </cell>
          <cell r="Z277" t="str">
            <v/>
          </cell>
          <cell r="AA277" t="str">
            <v/>
          </cell>
          <cell r="AB277" t="str">
            <v/>
          </cell>
          <cell r="AC277" t="str">
            <v/>
          </cell>
          <cell r="AD277" t="str">
            <v/>
          </cell>
          <cell r="AE277" t="str">
            <v/>
          </cell>
          <cell r="AF277" t="str">
            <v/>
          </cell>
          <cell r="AG277" t="str">
            <v/>
          </cell>
          <cell r="AH277" t="str">
            <v/>
          </cell>
          <cell r="AI277" t="str">
            <v/>
          </cell>
          <cell r="AJ277" t="str">
            <v/>
          </cell>
          <cell r="AK277" t="str">
            <v/>
          </cell>
          <cell r="AL277" t="str">
            <v/>
          </cell>
        </row>
        <row r="278">
          <cell r="A278" t="str">
            <v>Cash Paid for Taxes</v>
          </cell>
          <cell r="B278" t="str">
            <v>CF_CASH_PAID_FOR_TAX</v>
          </cell>
          <cell r="C278" t="str">
            <v>EQY_FUND_RELATIVE_PERIOD</v>
          </cell>
          <cell r="F278">
            <v>-43.449999999999996</v>
          </cell>
          <cell r="G278">
            <v>-16.824999999999999</v>
          </cell>
          <cell r="H278">
            <v>-0.36899999999999999</v>
          </cell>
          <cell r="I278">
            <v>0.161</v>
          </cell>
          <cell r="J278">
            <v>4.3010000000000002</v>
          </cell>
          <cell r="K278">
            <v>0.622</v>
          </cell>
          <cell r="L278">
            <v>0.94699999999999995</v>
          </cell>
          <cell r="M278">
            <v>82.515000000000001</v>
          </cell>
          <cell r="N278">
            <v>-0.78699999999999992</v>
          </cell>
          <cell r="O278">
            <v>11.485999999999999</v>
          </cell>
          <cell r="P278">
            <v>-4.9279999999999999</v>
          </cell>
          <cell r="Q278">
            <v>19.335999999999999</v>
          </cell>
          <cell r="R278">
            <v>21.677999999999997</v>
          </cell>
          <cell r="S278">
            <v>34.303999999999995</v>
          </cell>
          <cell r="T278">
            <v>17</v>
          </cell>
          <cell r="U278">
            <v>3</v>
          </cell>
          <cell r="V278">
            <v>7</v>
          </cell>
          <cell r="W278">
            <v>1</v>
          </cell>
          <cell r="X278">
            <v>-32</v>
          </cell>
          <cell r="Y278">
            <v>0</v>
          </cell>
          <cell r="Z278">
            <v>-3</v>
          </cell>
          <cell r="AA278" t="str">
            <v/>
          </cell>
          <cell r="AB278">
            <v>4.7109999999999994</v>
          </cell>
          <cell r="AC278">
            <v>5.3649999999999993</v>
          </cell>
          <cell r="AD278">
            <v>54.406999999999996</v>
          </cell>
          <cell r="AE278">
            <v>78.878</v>
          </cell>
          <cell r="AF278">
            <v>59.734999999999999</v>
          </cell>
          <cell r="AG278">
            <v>19.884999999999998</v>
          </cell>
          <cell r="AH278">
            <v>-33.072000000000003</v>
          </cell>
          <cell r="AI278">
            <v>4.7149999999999999</v>
          </cell>
          <cell r="AJ278">
            <v>94.161000000000001</v>
          </cell>
          <cell r="AK278">
            <v>70.39</v>
          </cell>
          <cell r="AL278">
            <v>28</v>
          </cell>
        </row>
        <row r="279">
          <cell r="A279" t="str">
            <v>Cash Paid for Interest</v>
          </cell>
          <cell r="B279" t="str">
            <v>CF_ACT_CASH_PAID_FOR_INT_DEBT</v>
          </cell>
          <cell r="C279" t="str">
            <v>EQY_FUND_RELATIVE_PERIOD</v>
          </cell>
          <cell r="F279">
            <v>118.917</v>
          </cell>
          <cell r="G279">
            <v>205.85499999999999</v>
          </cell>
          <cell r="H279">
            <v>118.524</v>
          </cell>
          <cell r="I279">
            <v>210.24699999999999</v>
          </cell>
          <cell r="J279">
            <v>116.35</v>
          </cell>
          <cell r="K279">
            <v>191.364</v>
          </cell>
          <cell r="L279">
            <v>168.095</v>
          </cell>
          <cell r="M279">
            <v>180.364</v>
          </cell>
          <cell r="N279">
            <v>144.96799999999999</v>
          </cell>
          <cell r="O279">
            <v>174.32599999999999</v>
          </cell>
          <cell r="P279">
            <v>145.62</v>
          </cell>
          <cell r="Q279">
            <v>173.70599999999999</v>
          </cell>
          <cell r="R279">
            <v>145.00799999999998</v>
          </cell>
          <cell r="S279">
            <v>191.197</v>
          </cell>
          <cell r="T279">
            <v>189</v>
          </cell>
          <cell r="U279">
            <v>169</v>
          </cell>
          <cell r="V279">
            <v>195</v>
          </cell>
          <cell r="W279">
            <v>175</v>
          </cell>
          <cell r="X279">
            <v>524</v>
          </cell>
          <cell r="Y279">
            <v>187</v>
          </cell>
          <cell r="Z279">
            <v>566</v>
          </cell>
          <cell r="AA279" t="str">
            <v/>
          </cell>
          <cell r="AB279">
            <v>318.63799999999998</v>
          </cell>
          <cell r="AC279">
            <v>332.20400000000001</v>
          </cell>
          <cell r="AD279">
            <v>364.38099999999997</v>
          </cell>
          <cell r="AE279">
            <v>365.858</v>
          </cell>
          <cell r="AF279">
            <v>364.16699999999997</v>
          </cell>
          <cell r="AG279">
            <v>511.35399999999998</v>
          </cell>
          <cell r="AH279">
            <v>653.5</v>
          </cell>
          <cell r="AI279">
            <v>636.48500000000001</v>
          </cell>
          <cell r="AJ279">
            <v>667.75299999999993</v>
          </cell>
          <cell r="AK279">
            <v>655.53099999999995</v>
          </cell>
          <cell r="AL279">
            <v>728</v>
          </cell>
        </row>
        <row r="280">
          <cell r="A280"/>
          <cell r="F280" t="str">
            <v/>
          </cell>
          <cell r="G280" t="str">
            <v/>
          </cell>
          <cell r="H280" t="str">
            <v/>
          </cell>
          <cell r="I280" t="str">
            <v/>
          </cell>
          <cell r="J280" t="str">
            <v/>
          </cell>
          <cell r="K280" t="str">
            <v/>
          </cell>
          <cell r="L280" t="str">
            <v/>
          </cell>
          <cell r="M280" t="str">
            <v/>
          </cell>
          <cell r="N280" t="str">
            <v/>
          </cell>
          <cell r="O280" t="str">
            <v/>
          </cell>
          <cell r="P280" t="str">
            <v/>
          </cell>
          <cell r="Q280" t="str">
            <v/>
          </cell>
          <cell r="R280" t="str">
            <v/>
          </cell>
          <cell r="S280" t="str">
            <v/>
          </cell>
          <cell r="T280" t="str">
            <v/>
          </cell>
          <cell r="U280" t="str">
            <v/>
          </cell>
          <cell r="V280" t="str">
            <v/>
          </cell>
          <cell r="W280" t="str">
            <v/>
          </cell>
          <cell r="X280" t="str">
            <v/>
          </cell>
          <cell r="Y280" t="str">
            <v/>
          </cell>
          <cell r="Z280" t="str">
            <v/>
          </cell>
          <cell r="AA280" t="str">
            <v/>
          </cell>
          <cell r="AB280" t="str">
            <v/>
          </cell>
          <cell r="AC280" t="str">
            <v/>
          </cell>
          <cell r="AD280" t="str">
            <v/>
          </cell>
          <cell r="AE280" t="str">
            <v/>
          </cell>
          <cell r="AF280" t="str">
            <v/>
          </cell>
          <cell r="AG280" t="str">
            <v/>
          </cell>
          <cell r="AH280" t="str">
            <v/>
          </cell>
          <cell r="AI280" t="str">
            <v/>
          </cell>
          <cell r="AJ280" t="str">
            <v/>
          </cell>
          <cell r="AK280" t="str">
            <v/>
          </cell>
          <cell r="AL280" t="str">
            <v/>
          </cell>
        </row>
        <row r="281">
          <cell r="A281" t="str">
            <v>Interest Received</v>
          </cell>
          <cell r="B281" t="str">
            <v>CF_INTEREST_RECEIVED</v>
          </cell>
          <cell r="C281" t="str">
            <v>EQY_FUND_RELATIVE_PERIOD</v>
          </cell>
          <cell r="F281">
            <v>0</v>
          </cell>
          <cell r="G281">
            <v>0</v>
          </cell>
          <cell r="H281">
            <v>0</v>
          </cell>
          <cell r="I281">
            <v>0</v>
          </cell>
          <cell r="J281">
            <v>0</v>
          </cell>
          <cell r="K281">
            <v>0</v>
          </cell>
          <cell r="L281">
            <v>0</v>
          </cell>
          <cell r="M281">
            <v>0</v>
          </cell>
          <cell r="N281">
            <v>0</v>
          </cell>
          <cell r="O281">
            <v>0</v>
          </cell>
          <cell r="P281">
            <v>0</v>
          </cell>
          <cell r="Q281">
            <v>0</v>
          </cell>
          <cell r="R281">
            <v>0</v>
          </cell>
          <cell r="S281">
            <v>0</v>
          </cell>
          <cell r="T281">
            <v>0</v>
          </cell>
          <cell r="U281">
            <v>0</v>
          </cell>
          <cell r="V281">
            <v>0</v>
          </cell>
          <cell r="W281">
            <v>0</v>
          </cell>
          <cell r="X281">
            <v>0</v>
          </cell>
          <cell r="Y281">
            <v>0</v>
          </cell>
          <cell r="Z281">
            <v>0</v>
          </cell>
          <cell r="AA281" t="str">
            <v/>
          </cell>
          <cell r="AB281">
            <v>0</v>
          </cell>
          <cell r="AC281">
            <v>0</v>
          </cell>
          <cell r="AD281">
            <v>0</v>
          </cell>
          <cell r="AE281">
            <v>0</v>
          </cell>
          <cell r="AF281">
            <v>0</v>
          </cell>
          <cell r="AG281">
            <v>0</v>
          </cell>
          <cell r="AH281">
            <v>0</v>
          </cell>
          <cell r="AI281">
            <v>0</v>
          </cell>
          <cell r="AJ281">
            <v>0</v>
          </cell>
          <cell r="AK281">
            <v>0</v>
          </cell>
          <cell r="AL281">
            <v>0</v>
          </cell>
        </row>
        <row r="282">
          <cell r="A282" t="str">
            <v>Net Cash Paid for Acquisitions</v>
          </cell>
          <cell r="B282" t="str">
            <v>CF_NET_CASH_PAID_FOR_AQUIS</v>
          </cell>
          <cell r="C282" t="str">
            <v>EQY_FUND_RELATIVE_PERIOD</v>
          </cell>
          <cell r="F282">
            <v>0</v>
          </cell>
          <cell r="G282">
            <v>0</v>
          </cell>
          <cell r="H282">
            <v>0</v>
          </cell>
          <cell r="I282">
            <v>0</v>
          </cell>
          <cell r="J282">
            <v>0</v>
          </cell>
          <cell r="K282">
            <v>0</v>
          </cell>
          <cell r="L282">
            <v>0</v>
          </cell>
          <cell r="M282">
            <v>0</v>
          </cell>
          <cell r="N282">
            <v>0</v>
          </cell>
          <cell r="O282">
            <v>0</v>
          </cell>
          <cell r="P282">
            <v>0</v>
          </cell>
          <cell r="Q282">
            <v>0</v>
          </cell>
          <cell r="R282">
            <v>0</v>
          </cell>
          <cell r="S282">
            <v>2017.7869999999998</v>
          </cell>
          <cell r="T282">
            <v>0</v>
          </cell>
          <cell r="U282">
            <v>16</v>
          </cell>
          <cell r="V282">
            <v>1</v>
          </cell>
          <cell r="W282">
            <v>0</v>
          </cell>
          <cell r="X282">
            <v>0</v>
          </cell>
          <cell r="Y282">
            <v>9886</v>
          </cell>
          <cell r="Z282">
            <v>0</v>
          </cell>
          <cell r="AA282" t="str">
            <v/>
          </cell>
          <cell r="AB282">
            <v>0</v>
          </cell>
          <cell r="AC282">
            <v>0</v>
          </cell>
          <cell r="AD282">
            <v>725.548</v>
          </cell>
          <cell r="AE282">
            <v>0</v>
          </cell>
          <cell r="AF282">
            <v>0</v>
          </cell>
          <cell r="AG282">
            <v>82.56</v>
          </cell>
          <cell r="AH282">
            <v>0</v>
          </cell>
          <cell r="AI282">
            <v>0</v>
          </cell>
          <cell r="AJ282">
            <v>0</v>
          </cell>
          <cell r="AK282">
            <v>2017.7869999999998</v>
          </cell>
          <cell r="AL282">
            <v>17</v>
          </cell>
          <cell r="AM282"/>
          <cell r="AN282"/>
        </row>
        <row r="283">
          <cell r="A283" t="str">
            <v>Tax Benefit from Stock Options</v>
          </cell>
          <cell r="B283" t="str">
            <v>CF_TAX_BENEFIT_FRM_STOCK_OPTIONS</v>
          </cell>
          <cell r="C283" t="str">
            <v>EQY_FUND_RELATIVE_PERIOD</v>
          </cell>
          <cell r="F283">
            <v>0</v>
          </cell>
          <cell r="G283">
            <v>0</v>
          </cell>
          <cell r="H283">
            <v>0</v>
          </cell>
          <cell r="I283">
            <v>0</v>
          </cell>
          <cell r="J283">
            <v>0</v>
          </cell>
          <cell r="K283">
            <v>0</v>
          </cell>
          <cell r="L283">
            <v>0</v>
          </cell>
          <cell r="M283">
            <v>0</v>
          </cell>
          <cell r="N283">
            <v>0</v>
          </cell>
          <cell r="O283">
            <v>0</v>
          </cell>
          <cell r="P283">
            <v>0</v>
          </cell>
          <cell r="Q283">
            <v>0</v>
          </cell>
          <cell r="R283">
            <v>0</v>
          </cell>
          <cell r="S283">
            <v>0</v>
          </cell>
          <cell r="T283">
            <v>0</v>
          </cell>
          <cell r="U283">
            <v>0</v>
          </cell>
          <cell r="V283">
            <v>0</v>
          </cell>
          <cell r="W283">
            <v>0</v>
          </cell>
          <cell r="X283">
            <v>0</v>
          </cell>
          <cell r="Y283">
            <v>0</v>
          </cell>
          <cell r="Z283">
            <v>0</v>
          </cell>
          <cell r="AA283" t="str">
            <v/>
          </cell>
          <cell r="AB283">
            <v>0</v>
          </cell>
          <cell r="AC283">
            <v>0</v>
          </cell>
          <cell r="AD283">
            <v>0</v>
          </cell>
          <cell r="AE283">
            <v>0</v>
          </cell>
          <cell r="AF283">
            <v>0</v>
          </cell>
          <cell r="AG283">
            <v>0</v>
          </cell>
          <cell r="AH283">
            <v>0</v>
          </cell>
          <cell r="AI283">
            <v>0</v>
          </cell>
          <cell r="AJ283">
            <v>0</v>
          </cell>
          <cell r="AK283">
            <v>0</v>
          </cell>
          <cell r="AL283">
            <v>0</v>
          </cell>
          <cell r="AM283"/>
          <cell r="AN283"/>
        </row>
        <row r="284">
          <cell r="A284" t="str">
            <v>Free Cash Flow</v>
          </cell>
          <cell r="B284" t="str">
            <v>CF_FREE_CASH_FLOW</v>
          </cell>
          <cell r="C284" t="str">
            <v>EQY_FUND_RELATIVE_PERIOD</v>
          </cell>
          <cell r="F284">
            <v>142.238</v>
          </cell>
          <cell r="G284">
            <v>174.39799999999997</v>
          </cell>
          <cell r="H284">
            <v>158.26</v>
          </cell>
          <cell r="I284">
            <v>195.51999999999998</v>
          </cell>
          <cell r="J284">
            <v>196.63000000000002</v>
          </cell>
          <cell r="K284">
            <v>199.559</v>
          </cell>
          <cell r="L284">
            <v>170.28299999999999</v>
          </cell>
          <cell r="M284">
            <v>183.90200000000002</v>
          </cell>
          <cell r="N284">
            <v>237.07400000000001</v>
          </cell>
          <cell r="O284">
            <v>269.68299999999999</v>
          </cell>
          <cell r="P284">
            <v>167.45699999999997</v>
          </cell>
          <cell r="Q284">
            <v>171.49199999999999</v>
          </cell>
          <cell r="R284">
            <v>107.82499999999999</v>
          </cell>
          <cell r="S284">
            <v>110.20199999999997</v>
          </cell>
          <cell r="T284">
            <v>69</v>
          </cell>
          <cell r="U284">
            <v>161</v>
          </cell>
          <cell r="V284">
            <v>105</v>
          </cell>
          <cell r="W284">
            <v>103</v>
          </cell>
          <cell r="X284">
            <v>-321</v>
          </cell>
          <cell r="Y284">
            <v>307</v>
          </cell>
          <cell r="Z284">
            <v>-93</v>
          </cell>
          <cell r="AA284" t="str">
            <v/>
          </cell>
          <cell r="AB284">
            <v>587.22</v>
          </cell>
          <cell r="AC284">
            <v>578.21</v>
          </cell>
          <cell r="AD284">
            <v>505.89</v>
          </cell>
          <cell r="AE284">
            <v>451.00199999999995</v>
          </cell>
          <cell r="AF284">
            <v>486.755</v>
          </cell>
          <cell r="AG284">
            <v>644.30100000000004</v>
          </cell>
          <cell r="AH284">
            <v>747.84199999999998</v>
          </cell>
          <cell r="AI284">
            <v>749.96899999999994</v>
          </cell>
          <cell r="AJ284">
            <v>860.94200000000001</v>
          </cell>
          <cell r="AK284">
            <v>581.97599999999989</v>
          </cell>
          <cell r="AL284">
            <v>438</v>
          </cell>
          <cell r="AM284"/>
          <cell r="AN284"/>
        </row>
        <row r="285">
          <cell r="A285" t="str">
            <v>Free Cash Flow to Firm</v>
          </cell>
          <cell r="B285" t="str">
            <v>CF_FREE_CASH_FLOW_FIRM</v>
          </cell>
          <cell r="C285" t="str">
            <v>EQY_FUND_RELATIVE_PERIOD</v>
          </cell>
          <cell r="F285">
            <v>242.49461687561669</v>
          </cell>
          <cell r="G285">
            <v>282.48017785125785</v>
          </cell>
          <cell r="H285">
            <v>260.66044662161414</v>
          </cell>
          <cell r="I285">
            <v>304.84752968694926</v>
          </cell>
          <cell r="J285">
            <v>300.02360000672769</v>
          </cell>
          <cell r="K285">
            <v>325.11283848096127</v>
          </cell>
          <cell r="L285">
            <v>273.84702784789317</v>
          </cell>
          <cell r="M285">
            <v>294.69655806609148</v>
          </cell>
          <cell r="N285">
            <v>343.63591173591033</v>
          </cell>
          <cell r="O285">
            <v>379.6188188827885</v>
          </cell>
          <cell r="P285">
            <v>277.75134812519457</v>
          </cell>
          <cell r="Q285">
            <v>277.4825188089394</v>
          </cell>
          <cell r="R285">
            <v>225.15717426972074</v>
          </cell>
          <cell r="S285">
            <v>228.51186121612753</v>
          </cell>
          <cell r="T285">
            <v>187.14870281797022</v>
          </cell>
          <cell r="U285">
            <v>281.21428571428572</v>
          </cell>
          <cell r="V285">
            <v>199.74109589041097</v>
          </cell>
          <cell r="W285">
            <v>220.09090909090909</v>
          </cell>
          <cell r="X285">
            <v>-203.27272727272728</v>
          </cell>
          <cell r="Y285">
            <v>544.53846153846155</v>
          </cell>
          <cell r="Z285">
            <v>142.73571428571429</v>
          </cell>
          <cell r="AA285" t="str">
            <v/>
          </cell>
          <cell r="AB285">
            <v>829.08789876601372</v>
          </cell>
          <cell r="AC285">
            <v>797.06485449707679</v>
          </cell>
          <cell r="AD285">
            <v>745.13329443180237</v>
          </cell>
          <cell r="AE285">
            <v>680.81944236337995</v>
          </cell>
          <cell r="AF285">
            <v>727.07449571345012</v>
          </cell>
          <cell r="AG285">
            <v>953.68503102281284</v>
          </cell>
          <cell r="AH285">
            <v>1168.8311778498996</v>
          </cell>
          <cell r="AI285">
            <v>1190.9211004608817</v>
          </cell>
          <cell r="AJ285">
            <v>1293.0280999935446</v>
          </cell>
          <cell r="AK285">
            <v>1058.8789857910906</v>
          </cell>
          <cell r="AL285">
            <v>880.35294117647061</v>
          </cell>
          <cell r="AM285"/>
          <cell r="AN285"/>
        </row>
        <row r="286">
          <cell r="A286" t="str">
            <v>Free Cash Flow to Equity</v>
          </cell>
          <cell r="B286" t="str">
            <v>FREE_CASH_FLOW_EQUITY</v>
          </cell>
          <cell r="C286" t="str">
            <v>EQY_FUND_RELATIVE_PERIOD</v>
          </cell>
          <cell r="F286">
            <v>141.27199999999999</v>
          </cell>
          <cell r="G286">
            <v>-299.00600000000003</v>
          </cell>
          <cell r="H286">
            <v>143.75799999999998</v>
          </cell>
          <cell r="I286">
            <v>173.05399999999997</v>
          </cell>
          <cell r="J286">
            <v>762.12599999999998</v>
          </cell>
          <cell r="K286">
            <v>274.70299999999997</v>
          </cell>
          <cell r="L286">
            <v>-346.846</v>
          </cell>
          <cell r="M286">
            <v>-83.043000000000035</v>
          </cell>
          <cell r="N286">
            <v>222.60000000000002</v>
          </cell>
          <cell r="O286">
            <v>255.209</v>
          </cell>
          <cell r="P286">
            <v>163.68399999999997</v>
          </cell>
          <cell r="Q286">
            <v>-43.56</v>
          </cell>
          <cell r="R286">
            <v>1667.671</v>
          </cell>
          <cell r="S286">
            <v>445.37099999999998</v>
          </cell>
          <cell r="T286">
            <v>-57</v>
          </cell>
          <cell r="U286">
            <v>40</v>
          </cell>
          <cell r="V286">
            <v>6614</v>
          </cell>
          <cell r="W286">
            <v>48</v>
          </cell>
          <cell r="X286">
            <v>-184.84375</v>
          </cell>
          <cell r="Y286">
            <v>1834</v>
          </cell>
          <cell r="Z286">
            <v>-191</v>
          </cell>
          <cell r="AA286" t="str">
            <v/>
          </cell>
          <cell r="AB286">
            <v>605.1160000000001</v>
          </cell>
          <cell r="AC286">
            <v>900.51700000000005</v>
          </cell>
          <cell r="AD286">
            <v>509.81999999999994</v>
          </cell>
          <cell r="AE286">
            <v>443.52199999999993</v>
          </cell>
          <cell r="AF286">
            <v>576.82300000000021</v>
          </cell>
          <cell r="AG286">
            <v>637.06500000000005</v>
          </cell>
          <cell r="AH286">
            <v>770.44799999999998</v>
          </cell>
          <cell r="AI286">
            <v>1353.6410000000001</v>
          </cell>
          <cell r="AJ286">
            <v>47.920000000000073</v>
          </cell>
          <cell r="AK286">
            <v>2233.1660000000002</v>
          </cell>
          <cell r="AL286">
            <v>6645</v>
          </cell>
          <cell r="AM286"/>
          <cell r="AN286"/>
        </row>
        <row r="287">
          <cell r="A287" t="str">
            <v>Free Cash Flow per Basic Share</v>
          </cell>
          <cell r="B287" t="str">
            <v>FREE_CASH_FLOW_PER_SH</v>
          </cell>
          <cell r="C287" t="str">
            <v>EQY_FUND_RELATIVE_PERIOD</v>
          </cell>
          <cell r="F287">
            <v>0.14363716966975307</v>
          </cell>
          <cell r="G287">
            <v>0.17611049848729038</v>
          </cell>
          <cell r="H287">
            <v>0.16004077368883565</v>
          </cell>
          <cell r="I287">
            <v>0.19725923467210393</v>
          </cell>
          <cell r="J287">
            <v>0.19835669503023826</v>
          </cell>
          <cell r="K287">
            <v>0.20130715130190574</v>
          </cell>
          <cell r="L287">
            <v>0.17167822896681326</v>
          </cell>
          <cell r="M287">
            <v>0.18527096717646693</v>
          </cell>
          <cell r="N287">
            <v>0.23871757047270459</v>
          </cell>
          <cell r="O287">
            <v>0.27151709799696955</v>
          </cell>
          <cell r="P287">
            <v>0.16846340035371304</v>
          </cell>
          <cell r="Q287">
            <v>0.17241823073551116</v>
          </cell>
          <cell r="R287">
            <v>0.1084052935362998</v>
          </cell>
          <cell r="S287">
            <v>0.11080689483892565</v>
          </cell>
          <cell r="T287">
            <v>6.9366532759099084E-2</v>
          </cell>
          <cell r="U287">
            <v>0.15519463431420841</v>
          </cell>
          <cell r="V287">
            <v>9.0423154528004049E-2</v>
          </cell>
          <cell r="W287">
            <v>8.8705315773699833E-2</v>
          </cell>
          <cell r="X287">
            <v>-0.27576348255774497</v>
          </cell>
          <cell r="Y287">
            <v>0.26368635238460075</v>
          </cell>
          <cell r="Z287">
            <v>-7.9885102888576601E-2</v>
          </cell>
          <cell r="AA287" t="str">
            <v/>
          </cell>
          <cell r="AB287">
            <v>1.7421565573405724</v>
          </cell>
          <cell r="AC287">
            <v>1.7921156951534367</v>
          </cell>
          <cell r="AD287">
            <v>1.5281977543295766</v>
          </cell>
          <cell r="AE287">
            <v>1.4204742662227836</v>
          </cell>
          <cell r="AF287">
            <v>1.5700710597024072</v>
          </cell>
          <cell r="AG287">
            <v>0.99149467243639866</v>
          </cell>
          <cell r="AH287">
            <v>0.75550890436146012</v>
          </cell>
          <cell r="AI287">
            <v>0.75713375674003081</v>
          </cell>
          <cell r="AJ287">
            <v>0.86730891474312932</v>
          </cell>
          <cell r="AK287">
            <v>0.58524282545167106</v>
          </cell>
          <cell r="AL287">
            <v>0.40383328139434965</v>
          </cell>
          <cell r="AM287"/>
          <cell r="AN287"/>
        </row>
        <row r="288">
          <cell r="A288" t="str">
            <v>Price to Free Cash Flow</v>
          </cell>
          <cell r="B288" t="str">
            <v>PX_TO_FREE_CASH_FLOW</v>
          </cell>
          <cell r="C288" t="str">
            <v>EQY_FUND_RELATIVE_PERIOD</v>
          </cell>
          <cell r="F288">
            <v>9.1366789335255252</v>
          </cell>
          <cell r="G288">
            <v>6.8169460016333794</v>
          </cell>
          <cell r="H288">
            <v>6.8658919045445108</v>
          </cell>
          <cell r="I288">
            <v>5.6569132910956403</v>
          </cell>
          <cell r="J288">
            <v>6.7166169614913711</v>
          </cell>
          <cell r="K288">
            <v>5.6541669373834997</v>
          </cell>
          <cell r="L288">
            <v>5.1912479828459164</v>
          </cell>
          <cell r="M288">
            <v>5.3528022550993084</v>
          </cell>
          <cell r="N288">
            <v>5.2448391421896581</v>
          </cell>
          <cell r="O288">
            <v>5.3621846412875902</v>
          </cell>
          <cell r="P288">
            <v>6.6032459061425932</v>
          </cell>
          <cell r="Q288">
            <v>6.8615769701821634</v>
          </cell>
          <cell r="R288">
            <v>9.031581117312216</v>
          </cell>
          <cell r="S288">
            <v>11.908719161332149</v>
          </cell>
          <cell r="T288">
            <v>15.292942765466691</v>
          </cell>
          <cell r="U288">
            <v>11.154342502147093</v>
          </cell>
          <cell r="V288">
            <v>11.155702176554165</v>
          </cell>
          <cell r="W288">
            <v>11.568292984597369</v>
          </cell>
          <cell r="X288">
            <v>95.458266353690732</v>
          </cell>
          <cell r="Y288">
            <v>29.57174720177801</v>
          </cell>
          <cell r="Z288">
            <v>0</v>
          </cell>
          <cell r="AA288" t="str">
            <v/>
          </cell>
          <cell r="AB288">
            <v>7.0200349954020638</v>
          </cell>
          <cell r="AC288">
            <v>8.0184555265388013</v>
          </cell>
          <cell r="AD288">
            <v>8.3300737512107368</v>
          </cell>
          <cell r="AE288">
            <v>6.1528745770528737</v>
          </cell>
          <cell r="AF288">
            <v>4.9742971515444117</v>
          </cell>
          <cell r="AG288">
            <v>9.8134667492367686</v>
          </cell>
          <cell r="AH288">
            <v>6.8165973561260271</v>
          </cell>
          <cell r="AI288">
            <v>5.6528981331228367</v>
          </cell>
          <cell r="AJ288">
            <v>5.361411512041462</v>
          </cell>
          <cell r="AK288">
            <v>11.396978672660044</v>
          </cell>
          <cell r="AL288">
            <v>11.56417812785388</v>
          </cell>
          <cell r="AM288"/>
          <cell r="AN288"/>
        </row>
        <row r="289">
          <cell r="A289" t="str">
            <v>Cash Flow to Net Income</v>
          </cell>
          <cell r="B289" t="str">
            <v>CASH_FLOW_TO_NET_INC</v>
          </cell>
          <cell r="C289" t="str">
            <v>EQY_FUND_RELATIVE_PERIOD</v>
          </cell>
          <cell r="F289">
            <v>8.139215797639082</v>
          </cell>
          <cell r="G289">
            <v>4.39628342340019</v>
          </cell>
          <cell r="H289">
            <v>7.2566794752982489</v>
          </cell>
          <cell r="I289">
            <v>4.9828717104389622</v>
          </cell>
          <cell r="J289">
            <v>6.0274046453120089</v>
          </cell>
          <cell r="K289">
            <v>6.768046663330284</v>
          </cell>
          <cell r="L289">
            <v>7.3599770571727055</v>
          </cell>
          <cell r="M289">
            <v>5.2433971190394626</v>
          </cell>
          <cell r="N289">
            <v>6.9885069684251535</v>
          </cell>
          <cell r="O289">
            <v>5.8812515742632447</v>
          </cell>
          <cell r="P289">
            <v>7.1899618513581824</v>
          </cell>
          <cell r="Q289">
            <v>6.7057874200731344</v>
          </cell>
          <cell r="R289">
            <v>6.3156491993872104</v>
          </cell>
          <cell r="S289">
            <v>9.1112777777777776</v>
          </cell>
          <cell r="T289">
            <v>4.096160072013455</v>
          </cell>
          <cell r="U289">
            <v>13.592592592592593</v>
          </cell>
          <cell r="V289">
            <v>9.67741935483871</v>
          </cell>
          <cell r="W289">
            <v>6.0714285714285712</v>
          </cell>
          <cell r="X289">
            <v>-4.4285714285714288</v>
          </cell>
          <cell r="Y289">
            <v>21.65625</v>
          </cell>
          <cell r="Z289">
            <v>37.543859649122801</v>
          </cell>
          <cell r="AA289" t="str">
            <v/>
          </cell>
          <cell r="AB289">
            <v>4.1836590487955529</v>
          </cell>
          <cell r="AC289">
            <v>2.4582896779904515</v>
          </cell>
          <cell r="AD289">
            <v>3.8279417108462921</v>
          </cell>
          <cell r="AE289">
            <v>4.0472243512536954</v>
          </cell>
          <cell r="AF289">
            <v>4.4167892941385309</v>
          </cell>
          <cell r="AG289">
            <v>5.0311684793906846</v>
          </cell>
          <cell r="AH289">
            <v>6.3602941696868696</v>
          </cell>
          <cell r="AI289">
            <v>6.0967126267961564</v>
          </cell>
          <cell r="AJ289">
            <v>6.2826423923682144</v>
          </cell>
          <cell r="AK289">
            <v>6.839448997835194</v>
          </cell>
          <cell r="AL289">
            <v>9.2928571428571427</v>
          </cell>
          <cell r="AM289"/>
          <cell r="AN289"/>
        </row>
        <row r="290">
          <cell r="F290" t="str">
            <v/>
          </cell>
          <cell r="G290" t="str">
            <v/>
          </cell>
          <cell r="H290" t="str">
            <v/>
          </cell>
          <cell r="I290" t="str">
            <v/>
          </cell>
          <cell r="J290" t="str">
            <v/>
          </cell>
          <cell r="K290" t="str">
            <v/>
          </cell>
          <cell r="L290" t="str">
            <v/>
          </cell>
          <cell r="M290" t="str">
            <v/>
          </cell>
          <cell r="N290" t="str">
            <v/>
          </cell>
          <cell r="O290" t="str">
            <v/>
          </cell>
          <cell r="P290" t="str">
            <v/>
          </cell>
          <cell r="Q290" t="str">
            <v/>
          </cell>
          <cell r="R290" t="str">
            <v/>
          </cell>
          <cell r="S290" t="str">
            <v/>
          </cell>
          <cell r="T290" t="str">
            <v/>
          </cell>
          <cell r="U290" t="str">
            <v/>
          </cell>
          <cell r="V290" t="str">
            <v/>
          </cell>
          <cell r="W290" t="str">
            <v/>
          </cell>
          <cell r="X290" t="str">
            <v/>
          </cell>
          <cell r="Y290" t="str">
            <v/>
          </cell>
          <cell r="Z290" t="str">
            <v/>
          </cell>
          <cell r="AA290" t="str">
            <v/>
          </cell>
          <cell r="AB290" t="str">
            <v/>
          </cell>
          <cell r="AC290" t="str">
            <v/>
          </cell>
          <cell r="AD290" t="str">
            <v/>
          </cell>
          <cell r="AE290" t="str">
            <v/>
          </cell>
          <cell r="AF290" t="str">
            <v/>
          </cell>
          <cell r="AG290" t="str">
            <v/>
          </cell>
          <cell r="AH290" t="str">
            <v/>
          </cell>
          <cell r="AI290" t="str">
            <v/>
          </cell>
          <cell r="AJ290" t="str">
            <v/>
          </cell>
          <cell r="AK290" t="str">
            <v/>
          </cell>
          <cell r="AL290" t="str">
            <v/>
          </cell>
        </row>
        <row r="291">
          <cell r="F291" t="str">
            <v/>
          </cell>
          <cell r="G291" t="str">
            <v/>
          </cell>
          <cell r="H291" t="str">
            <v/>
          </cell>
          <cell r="I291" t="str">
            <v/>
          </cell>
          <cell r="J291" t="str">
            <v/>
          </cell>
          <cell r="K291" t="str">
            <v/>
          </cell>
          <cell r="L291" t="str">
            <v/>
          </cell>
          <cell r="M291" t="str">
            <v/>
          </cell>
          <cell r="N291" t="str">
            <v/>
          </cell>
          <cell r="O291" t="str">
            <v/>
          </cell>
          <cell r="P291" t="str">
            <v/>
          </cell>
          <cell r="Q291" t="str">
            <v/>
          </cell>
          <cell r="R291" t="str">
            <v/>
          </cell>
          <cell r="S291" t="str">
            <v/>
          </cell>
          <cell r="T291" t="str">
            <v/>
          </cell>
          <cell r="U291" t="str">
            <v/>
          </cell>
          <cell r="V291" t="str">
            <v/>
          </cell>
          <cell r="W291" t="str">
            <v/>
          </cell>
          <cell r="X291" t="str">
            <v/>
          </cell>
          <cell r="Y291" t="str">
            <v/>
          </cell>
          <cell r="Z291" t="str">
            <v/>
          </cell>
          <cell r="AA291" t="str">
            <v/>
          </cell>
          <cell r="AB291" t="str">
            <v/>
          </cell>
          <cell r="AC291" t="str">
            <v/>
          </cell>
          <cell r="AD291" t="str">
            <v/>
          </cell>
          <cell r="AE291" t="str">
            <v/>
          </cell>
          <cell r="AF291" t="str">
            <v/>
          </cell>
          <cell r="AG291" t="str">
            <v/>
          </cell>
          <cell r="AH291" t="str">
            <v/>
          </cell>
          <cell r="AI291" t="str">
            <v/>
          </cell>
          <cell r="AJ291" t="str">
            <v/>
          </cell>
          <cell r="AK291" t="str">
            <v/>
          </cell>
          <cell r="AL291" t="str">
            <v/>
          </cell>
        </row>
        <row r="292">
          <cell r="F292" t="str">
            <v/>
          </cell>
          <cell r="G292" t="str">
            <v/>
          </cell>
          <cell r="H292" t="str">
            <v/>
          </cell>
          <cell r="I292" t="str">
            <v/>
          </cell>
          <cell r="J292" t="str">
            <v/>
          </cell>
          <cell r="K292" t="str">
            <v/>
          </cell>
          <cell r="L292" t="str">
            <v/>
          </cell>
          <cell r="M292" t="str">
            <v/>
          </cell>
          <cell r="N292" t="str">
            <v/>
          </cell>
          <cell r="O292" t="str">
            <v/>
          </cell>
          <cell r="P292" t="str">
            <v/>
          </cell>
          <cell r="Q292" t="str">
            <v/>
          </cell>
          <cell r="R292" t="str">
            <v/>
          </cell>
          <cell r="S292" t="str">
            <v/>
          </cell>
          <cell r="T292" t="str">
            <v/>
          </cell>
          <cell r="U292" t="str">
            <v/>
          </cell>
          <cell r="V292" t="str">
            <v/>
          </cell>
          <cell r="W292" t="str">
            <v/>
          </cell>
          <cell r="X292" t="str">
            <v/>
          </cell>
          <cell r="Y292" t="str">
            <v/>
          </cell>
          <cell r="Z292" t="str">
            <v/>
          </cell>
          <cell r="AA292" t="str">
            <v/>
          </cell>
          <cell r="AB292" t="str">
            <v/>
          </cell>
          <cell r="AC292" t="str">
            <v/>
          </cell>
          <cell r="AD292" t="str">
            <v/>
          </cell>
          <cell r="AE292" t="str">
            <v/>
          </cell>
          <cell r="AF292" t="str">
            <v/>
          </cell>
          <cell r="AG292" t="str">
            <v/>
          </cell>
          <cell r="AH292" t="str">
            <v/>
          </cell>
          <cell r="AI292" t="str">
            <v/>
          </cell>
          <cell r="AJ292" t="str">
            <v/>
          </cell>
          <cell r="AK292" t="str">
            <v/>
          </cell>
          <cell r="AL292" t="str">
            <v/>
          </cell>
          <cell r="AM292"/>
          <cell r="AN292"/>
        </row>
        <row r="293">
          <cell r="F293" t="str">
            <v/>
          </cell>
          <cell r="G293" t="str">
            <v/>
          </cell>
          <cell r="H293" t="str">
            <v/>
          </cell>
          <cell r="I293" t="str">
            <v/>
          </cell>
          <cell r="J293" t="str">
            <v/>
          </cell>
          <cell r="K293" t="str">
            <v/>
          </cell>
          <cell r="L293" t="str">
            <v/>
          </cell>
          <cell r="M293" t="str">
            <v/>
          </cell>
          <cell r="N293" t="str">
            <v/>
          </cell>
          <cell r="O293" t="str">
            <v/>
          </cell>
          <cell r="P293" t="str">
            <v/>
          </cell>
          <cell r="Q293" t="str">
            <v/>
          </cell>
          <cell r="R293" t="str">
            <v/>
          </cell>
          <cell r="S293" t="str">
            <v/>
          </cell>
          <cell r="T293" t="str">
            <v/>
          </cell>
          <cell r="U293" t="str">
            <v/>
          </cell>
          <cell r="V293" t="str">
            <v/>
          </cell>
          <cell r="W293" t="str">
            <v/>
          </cell>
          <cell r="X293" t="str">
            <v/>
          </cell>
          <cell r="Y293" t="str">
            <v/>
          </cell>
          <cell r="Z293" t="str">
            <v/>
          </cell>
          <cell r="AA293" t="str">
            <v/>
          </cell>
          <cell r="AB293" t="str">
            <v/>
          </cell>
          <cell r="AC293" t="str">
            <v/>
          </cell>
          <cell r="AD293" t="str">
            <v/>
          </cell>
          <cell r="AE293" t="str">
            <v/>
          </cell>
          <cell r="AF293" t="str">
            <v/>
          </cell>
          <cell r="AG293" t="str">
            <v/>
          </cell>
          <cell r="AH293" t="str">
            <v/>
          </cell>
          <cell r="AI293" t="str">
            <v/>
          </cell>
          <cell r="AJ293" t="str">
            <v/>
          </cell>
          <cell r="AK293" t="str">
            <v/>
          </cell>
          <cell r="AL293" t="str">
            <v/>
          </cell>
        </row>
        <row r="294">
          <cell r="F294" t="str">
            <v/>
          </cell>
          <cell r="G294" t="str">
            <v/>
          </cell>
          <cell r="H294" t="str">
            <v/>
          </cell>
          <cell r="I294" t="str">
            <v/>
          </cell>
          <cell r="J294" t="str">
            <v/>
          </cell>
          <cell r="K294" t="str">
            <v/>
          </cell>
          <cell r="L294" t="str">
            <v/>
          </cell>
          <cell r="M294" t="str">
            <v/>
          </cell>
          <cell r="N294" t="str">
            <v/>
          </cell>
          <cell r="O294" t="str">
            <v/>
          </cell>
          <cell r="P294" t="str">
            <v/>
          </cell>
          <cell r="Q294" t="str">
            <v/>
          </cell>
          <cell r="R294" t="str">
            <v/>
          </cell>
          <cell r="S294" t="str">
            <v/>
          </cell>
          <cell r="T294" t="str">
            <v/>
          </cell>
          <cell r="U294" t="str">
            <v/>
          </cell>
          <cell r="V294" t="str">
            <v/>
          </cell>
          <cell r="W294" t="str">
            <v/>
          </cell>
          <cell r="X294" t="str">
            <v/>
          </cell>
          <cell r="Y294" t="str">
            <v/>
          </cell>
          <cell r="Z294" t="str">
            <v/>
          </cell>
          <cell r="AA294" t="str">
            <v/>
          </cell>
          <cell r="AB294" t="str">
            <v/>
          </cell>
          <cell r="AC294" t="str">
            <v/>
          </cell>
          <cell r="AD294" t="str">
            <v/>
          </cell>
          <cell r="AE294" t="str">
            <v/>
          </cell>
          <cell r="AF294" t="str">
            <v/>
          </cell>
          <cell r="AG294" t="str">
            <v/>
          </cell>
          <cell r="AH294" t="str">
            <v/>
          </cell>
          <cell r="AI294" t="str">
            <v/>
          </cell>
          <cell r="AJ294" t="str">
            <v/>
          </cell>
          <cell r="AK294" t="str">
            <v/>
          </cell>
          <cell r="AL294" t="str">
            <v/>
          </cell>
          <cell r="AM294"/>
          <cell r="AN294"/>
        </row>
        <row r="295">
          <cell r="F295" t="str">
            <v/>
          </cell>
          <cell r="G295" t="str">
            <v/>
          </cell>
          <cell r="H295" t="str">
            <v/>
          </cell>
          <cell r="I295" t="str">
            <v/>
          </cell>
          <cell r="J295" t="str">
            <v/>
          </cell>
          <cell r="K295" t="str">
            <v/>
          </cell>
          <cell r="L295" t="str">
            <v/>
          </cell>
          <cell r="M295" t="str">
            <v/>
          </cell>
          <cell r="N295" t="str">
            <v/>
          </cell>
          <cell r="O295" t="str">
            <v/>
          </cell>
          <cell r="P295" t="str">
            <v/>
          </cell>
          <cell r="Q295" t="str">
            <v/>
          </cell>
          <cell r="R295" t="str">
            <v/>
          </cell>
          <cell r="S295" t="str">
            <v/>
          </cell>
          <cell r="T295" t="str">
            <v/>
          </cell>
          <cell r="U295" t="str">
            <v/>
          </cell>
          <cell r="V295" t="str">
            <v/>
          </cell>
          <cell r="W295" t="str">
            <v/>
          </cell>
          <cell r="X295" t="str">
            <v/>
          </cell>
          <cell r="Y295" t="str">
            <v/>
          </cell>
          <cell r="Z295" t="str">
            <v/>
          </cell>
          <cell r="AA295" t="str">
            <v/>
          </cell>
          <cell r="AB295" t="str">
            <v/>
          </cell>
          <cell r="AC295" t="str">
            <v/>
          </cell>
          <cell r="AD295" t="str">
            <v/>
          </cell>
          <cell r="AE295" t="str">
            <v/>
          </cell>
          <cell r="AF295" t="str">
            <v/>
          </cell>
          <cell r="AG295" t="str">
            <v/>
          </cell>
          <cell r="AH295" t="str">
            <v/>
          </cell>
          <cell r="AI295" t="str">
            <v/>
          </cell>
          <cell r="AJ295" t="str">
            <v/>
          </cell>
          <cell r="AK295" t="str">
            <v/>
          </cell>
          <cell r="AL295" t="str">
            <v/>
          </cell>
        </row>
        <row r="296">
          <cell r="F296" t="str">
            <v/>
          </cell>
          <cell r="G296" t="str">
            <v/>
          </cell>
          <cell r="H296" t="str">
            <v/>
          </cell>
          <cell r="I296" t="str">
            <v/>
          </cell>
          <cell r="J296" t="str">
            <v/>
          </cell>
          <cell r="K296" t="str">
            <v/>
          </cell>
          <cell r="L296" t="str">
            <v/>
          </cell>
          <cell r="M296" t="str">
            <v/>
          </cell>
          <cell r="N296" t="str">
            <v/>
          </cell>
          <cell r="O296" t="str">
            <v/>
          </cell>
          <cell r="P296" t="str">
            <v/>
          </cell>
          <cell r="Q296" t="str">
            <v/>
          </cell>
          <cell r="R296" t="str">
            <v/>
          </cell>
          <cell r="S296" t="str">
            <v/>
          </cell>
          <cell r="T296" t="str">
            <v/>
          </cell>
          <cell r="U296" t="str">
            <v/>
          </cell>
          <cell r="V296" t="str">
            <v/>
          </cell>
          <cell r="W296" t="str">
            <v/>
          </cell>
          <cell r="X296" t="str">
            <v/>
          </cell>
          <cell r="Y296" t="str">
            <v/>
          </cell>
          <cell r="Z296" t="str">
            <v/>
          </cell>
          <cell r="AA296" t="str">
            <v/>
          </cell>
          <cell r="AB296" t="str">
            <v/>
          </cell>
          <cell r="AC296" t="str">
            <v/>
          </cell>
          <cell r="AD296" t="str">
            <v/>
          </cell>
          <cell r="AE296" t="str">
            <v/>
          </cell>
          <cell r="AF296" t="str">
            <v/>
          </cell>
          <cell r="AG296" t="str">
            <v/>
          </cell>
          <cell r="AH296" t="str">
            <v/>
          </cell>
          <cell r="AI296" t="str">
            <v/>
          </cell>
          <cell r="AJ296" t="str">
            <v/>
          </cell>
          <cell r="AK296" t="str">
            <v/>
          </cell>
          <cell r="AL296" t="str">
            <v/>
          </cell>
        </row>
        <row r="297">
          <cell r="F297" t="str">
            <v/>
          </cell>
          <cell r="G297" t="str">
            <v/>
          </cell>
          <cell r="H297" t="str">
            <v/>
          </cell>
          <cell r="I297" t="str">
            <v/>
          </cell>
          <cell r="J297" t="str">
            <v/>
          </cell>
          <cell r="K297" t="str">
            <v/>
          </cell>
          <cell r="L297" t="str">
            <v/>
          </cell>
          <cell r="M297" t="str">
            <v/>
          </cell>
          <cell r="N297" t="str">
            <v/>
          </cell>
          <cell r="O297" t="str">
            <v/>
          </cell>
          <cell r="P297" t="str">
            <v/>
          </cell>
          <cell r="Q297" t="str">
            <v/>
          </cell>
          <cell r="R297" t="str">
            <v/>
          </cell>
          <cell r="S297" t="str">
            <v/>
          </cell>
          <cell r="T297" t="str">
            <v/>
          </cell>
          <cell r="U297" t="str">
            <v/>
          </cell>
          <cell r="V297" t="str">
            <v/>
          </cell>
          <cell r="W297" t="str">
            <v/>
          </cell>
          <cell r="X297" t="str">
            <v/>
          </cell>
          <cell r="Y297" t="str">
            <v/>
          </cell>
          <cell r="Z297" t="str">
            <v/>
          </cell>
          <cell r="AA297" t="str">
            <v/>
          </cell>
          <cell r="AB297" t="str">
            <v/>
          </cell>
          <cell r="AC297" t="str">
            <v/>
          </cell>
          <cell r="AD297" t="str">
            <v/>
          </cell>
          <cell r="AE297" t="str">
            <v/>
          </cell>
          <cell r="AF297" t="str">
            <v/>
          </cell>
          <cell r="AG297" t="str">
            <v/>
          </cell>
          <cell r="AH297" t="str">
            <v/>
          </cell>
          <cell r="AI297" t="str">
            <v/>
          </cell>
          <cell r="AJ297" t="str">
            <v/>
          </cell>
          <cell r="AK297" t="str">
            <v/>
          </cell>
          <cell r="AL297" t="str">
            <v/>
          </cell>
        </row>
      </sheetData>
      <sheetData sheetId="10">
        <row r="11">
          <cell r="D11" t="str">
            <v>Data and Internet Services</v>
          </cell>
        </row>
      </sheetData>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ketCapH"/>
      <sheetName val="PricesH"/>
      <sheetName val="ControlsH"/>
      <sheetName val="DataH"/>
      <sheetName val="Tearsheet"/>
      <sheetName val="$ Company Tearsheet - NM"/>
    </sheetNames>
    <sheetDataSet>
      <sheetData sheetId="0"/>
      <sheetData sheetId="1"/>
      <sheetData sheetId="2">
        <row r="3">
          <cell r="B3" t="str">
            <v>SPX</v>
          </cell>
          <cell r="C3" t="str">
            <v>CW</v>
          </cell>
          <cell r="E3">
            <v>1</v>
          </cell>
          <cell r="F3">
            <v>1</v>
          </cell>
          <cell r="G3">
            <v>1</v>
          </cell>
          <cell r="H3">
            <v>1</v>
          </cell>
          <cell r="I3">
            <v>1</v>
          </cell>
        </row>
        <row r="4">
          <cell r="C4" t="str">
            <v/>
          </cell>
        </row>
        <row r="5">
          <cell r="C5" t="str">
            <v>DAYS=A</v>
          </cell>
          <cell r="E5">
            <v>1</v>
          </cell>
          <cell r="F5">
            <v>1</v>
          </cell>
          <cell r="G5">
            <v>1</v>
          </cell>
          <cell r="H5">
            <v>1</v>
          </cell>
          <cell r="I5">
            <v>1</v>
          </cell>
        </row>
        <row r="6">
          <cell r="B6" t="str">
            <v>Halliburton Co</v>
          </cell>
        </row>
        <row r="9">
          <cell r="B9" t="str">
            <v>JPY</v>
          </cell>
        </row>
        <row r="10">
          <cell r="B10">
            <v>40550</v>
          </cell>
        </row>
        <row r="11">
          <cell r="B11">
            <v>41280</v>
          </cell>
        </row>
        <row r="15">
          <cell r="B15" t="str">
            <v>HAL US</v>
          </cell>
        </row>
        <row r="22">
          <cell r="G22">
            <v>41280</v>
          </cell>
        </row>
        <row r="27">
          <cell r="G27">
            <v>40550</v>
          </cell>
        </row>
      </sheetData>
      <sheetData sheetId="3">
        <row r="12">
          <cell r="K12" t="str">
            <v>Weatherford International Ltd. is a Swiss-based, multinational oilfield</v>
          </cell>
        </row>
        <row r="20">
          <cell r="G20">
            <v>2</v>
          </cell>
          <cell r="I20">
            <v>2</v>
          </cell>
        </row>
      </sheetData>
      <sheetData sheetId="4"/>
      <sheetData sheetId="5"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3"/>
      <sheetName val="Sheet3"/>
      <sheetName val="Chart12"/>
      <sheetName val="Sheet1 (2)"/>
      <sheetName val="Sheet1"/>
      <sheetName val="bond crap"/>
      <sheetName val="Chart1"/>
      <sheetName val="Chart2"/>
      <sheetName val="Chart3"/>
      <sheetName val="Chart4"/>
      <sheetName val="Chart5"/>
      <sheetName val="Chart6"/>
      <sheetName val="Chart7"/>
      <sheetName val="Chart8"/>
      <sheetName val="Chart9"/>
      <sheetName val="Chart10"/>
      <sheetName val="Chart11"/>
      <sheetName val="Chart14"/>
      <sheetName val="Chart15"/>
      <sheetName val="Chart17"/>
      <sheetName val="Chart16"/>
      <sheetName val="Chart18"/>
      <sheetName val="graphs"/>
      <sheetName val="valuation"/>
      <sheetName val="ACE-IN"/>
      <sheetName val="interims"/>
      <sheetName val="Op stats"/>
      <sheetName val="Financials"/>
      <sheetName val="circulation"/>
      <sheetName val="dep, interest and other inc "/>
      <sheetName val="employee costs"/>
      <sheetName val="srim request"/>
      <sheetName val="client calling list"/>
      <sheetName val="Profit &amp; Loss"/>
      <sheetName val="mkt cap"/>
      <sheetName val="sales v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y Mkt Segment 95"/>
      <sheetName val="Table of Contents"/>
      <sheetName val="By Mkt Segment 96"/>
    </sheetNames>
    <sheetDataSet>
      <sheetData sheetId="0" refreshError="1">
        <row r="1">
          <cell r="A1" t="str">
            <v>Hotel Sales, By Market Segment and By Brand: 1991 - 1995</v>
          </cell>
        </row>
        <row r="3">
          <cell r="C3">
            <v>1991</v>
          </cell>
          <cell r="F3">
            <v>1992</v>
          </cell>
          <cell r="I3">
            <v>1993</v>
          </cell>
          <cell r="L3">
            <v>1994</v>
          </cell>
          <cell r="O3">
            <v>1995</v>
          </cell>
        </row>
        <row r="4">
          <cell r="B4" t="str">
            <v>Hotels Sold</v>
          </cell>
          <cell r="C4" t="str">
            <v>Avg. # of Rooms</v>
          </cell>
          <cell r="D4" t="str">
            <v>Avg. Selling Price per Room</v>
          </cell>
          <cell r="E4" t="str">
            <v>Hotels Sold</v>
          </cell>
          <cell r="F4" t="str">
            <v>Avg. # of Rooms</v>
          </cell>
          <cell r="G4" t="str">
            <v>Avg. Selling Price per Room</v>
          </cell>
          <cell r="H4" t="str">
            <v>Hotels Sold</v>
          </cell>
          <cell r="I4" t="str">
            <v>Avg. # of Rooms</v>
          </cell>
          <cell r="J4" t="str">
            <v>Avg. Selling Price per Room</v>
          </cell>
          <cell r="K4" t="str">
            <v>Hotels Sold</v>
          </cell>
          <cell r="L4" t="str">
            <v>Avg. # of Rooms</v>
          </cell>
          <cell r="M4" t="str">
            <v>Avg. Selling Price per Room</v>
          </cell>
          <cell r="N4" t="str">
            <v>Hotels Sold</v>
          </cell>
          <cell r="O4" t="str">
            <v>Avg. # of Rooms</v>
          </cell>
          <cell r="P4" t="str">
            <v>Avg. Selling Price per Room</v>
          </cell>
        </row>
        <row r="5">
          <cell r="A5" t="str">
            <v>BUDGET</v>
          </cell>
        </row>
        <row r="6">
          <cell r="A6" t="str">
            <v>Motel 6</v>
          </cell>
          <cell r="B6">
            <v>6</v>
          </cell>
          <cell r="C6">
            <v>123.83333333333333</v>
          </cell>
          <cell r="D6">
            <v>19513.56796769852</v>
          </cell>
          <cell r="E6">
            <v>5</v>
          </cell>
          <cell r="F6">
            <v>114.6</v>
          </cell>
          <cell r="G6">
            <v>14905.759162303664</v>
          </cell>
          <cell r="H6">
            <v>4</v>
          </cell>
          <cell r="I6">
            <v>148.75</v>
          </cell>
          <cell r="J6">
            <v>25705.882352941175</v>
          </cell>
          <cell r="K6">
            <v>3</v>
          </cell>
          <cell r="L6">
            <v>82.666666666666671</v>
          </cell>
          <cell r="M6">
            <v>8790.322580645161</v>
          </cell>
          <cell r="N6">
            <v>7</v>
          </cell>
          <cell r="O6">
            <v>106.14285714285714</v>
          </cell>
          <cell r="P6">
            <v>10910.955585464333</v>
          </cell>
        </row>
        <row r="7">
          <cell r="A7" t="str">
            <v>Other Hotels</v>
          </cell>
          <cell r="B7">
            <v>87</v>
          </cell>
          <cell r="C7">
            <v>63</v>
          </cell>
          <cell r="D7">
            <v>10483.975592045246</v>
          </cell>
          <cell r="E7">
            <v>63</v>
          </cell>
          <cell r="F7">
            <v>62.920634920634917</v>
          </cell>
          <cell r="G7">
            <v>8823.6019172552969</v>
          </cell>
          <cell r="H7">
            <v>62</v>
          </cell>
          <cell r="I7">
            <v>65.790322580645167</v>
          </cell>
          <cell r="J7">
            <v>11787.215248835499</v>
          </cell>
          <cell r="K7">
            <v>62</v>
          </cell>
          <cell r="L7">
            <v>51.435483870967744</v>
          </cell>
          <cell r="M7">
            <v>11705.852618375666</v>
          </cell>
          <cell r="N7">
            <v>39</v>
          </cell>
          <cell r="O7">
            <v>48.179487179487182</v>
          </cell>
          <cell r="P7">
            <v>12156.732304417243</v>
          </cell>
        </row>
        <row r="8">
          <cell r="A8" t="str">
            <v>TOTAL, BUDGET</v>
          </cell>
          <cell r="B8">
            <v>93</v>
          </cell>
          <cell r="C8">
            <v>66.924731182795696</v>
          </cell>
          <cell r="D8">
            <v>11561.897689588688</v>
          </cell>
          <cell r="E8">
            <v>68</v>
          </cell>
          <cell r="F8">
            <v>66.720588235294116</v>
          </cell>
          <cell r="G8">
            <v>9591.7474101829412</v>
          </cell>
          <cell r="H8">
            <v>66</v>
          </cell>
          <cell r="I8">
            <v>70.818181818181813</v>
          </cell>
          <cell r="J8">
            <v>13559.060975609756</v>
          </cell>
          <cell r="K8">
            <v>65</v>
          </cell>
          <cell r="L8">
            <v>52.876923076923077</v>
          </cell>
          <cell r="M8">
            <v>11495.479778876928</v>
          </cell>
          <cell r="N8">
            <v>46</v>
          </cell>
          <cell r="O8">
            <v>57</v>
          </cell>
          <cell r="P8">
            <v>11803.714721586575</v>
          </cell>
        </row>
        <row r="9">
          <cell r="A9" t="str">
            <v>ECONOMY (Limited-Service)</v>
          </cell>
        </row>
        <row r="10">
          <cell r="A10" t="str">
            <v>Econo Lodge</v>
          </cell>
          <cell r="B10">
            <v>13</v>
          </cell>
          <cell r="C10">
            <v>83.538461538461533</v>
          </cell>
          <cell r="D10">
            <v>12381.675874769797</v>
          </cell>
          <cell r="E10">
            <v>16</v>
          </cell>
          <cell r="F10">
            <v>118.25</v>
          </cell>
          <cell r="G10">
            <v>11615.750528541226</v>
          </cell>
          <cell r="H10">
            <v>12</v>
          </cell>
          <cell r="I10">
            <v>78.916666666666671</v>
          </cell>
          <cell r="J10">
            <v>11993.664202745513</v>
          </cell>
          <cell r="K10">
            <v>8</v>
          </cell>
          <cell r="L10">
            <v>87</v>
          </cell>
          <cell r="M10">
            <v>13706.896551724138</v>
          </cell>
          <cell r="N10">
            <v>11</v>
          </cell>
          <cell r="O10">
            <v>71</v>
          </cell>
          <cell r="P10">
            <v>20128.040973111394</v>
          </cell>
        </row>
        <row r="11">
          <cell r="A11" t="str">
            <v>Knights Inn</v>
          </cell>
          <cell r="B11">
            <v>14</v>
          </cell>
          <cell r="C11">
            <v>114.71428571428571</v>
          </cell>
          <cell r="D11">
            <v>12207.347447073475</v>
          </cell>
          <cell r="E11">
            <v>11</v>
          </cell>
          <cell r="F11">
            <v>109.81818181818181</v>
          </cell>
          <cell r="G11">
            <v>12263.21605960265</v>
          </cell>
          <cell r="H11">
            <v>4</v>
          </cell>
          <cell r="I11">
            <v>112.5</v>
          </cell>
          <cell r="J11">
            <v>10222.222222222223</v>
          </cell>
          <cell r="K11">
            <v>1</v>
          </cell>
          <cell r="L11">
            <v>122</v>
          </cell>
          <cell r="M11">
            <v>17827.868852459018</v>
          </cell>
        </row>
        <row r="12">
          <cell r="A12" t="str">
            <v>Super 8</v>
          </cell>
          <cell r="B12">
            <v>6</v>
          </cell>
          <cell r="C12">
            <v>49.333333333333336</v>
          </cell>
          <cell r="D12">
            <v>25726.35135135135</v>
          </cell>
          <cell r="E12">
            <v>7</v>
          </cell>
          <cell r="F12">
            <v>59</v>
          </cell>
          <cell r="G12">
            <v>15362.355932203391</v>
          </cell>
          <cell r="H12">
            <v>6</v>
          </cell>
          <cell r="I12">
            <v>54.833333333333336</v>
          </cell>
          <cell r="J12">
            <v>22203.647416413372</v>
          </cell>
          <cell r="K12">
            <v>6</v>
          </cell>
          <cell r="L12">
            <v>56</v>
          </cell>
          <cell r="M12">
            <v>24313.988095238095</v>
          </cell>
          <cell r="N12">
            <v>6</v>
          </cell>
          <cell r="O12">
            <v>73.333333333333329</v>
          </cell>
          <cell r="P12">
            <v>19649.19090909091</v>
          </cell>
        </row>
        <row r="13">
          <cell r="A13" t="str">
            <v>Travelodge</v>
          </cell>
          <cell r="B13">
            <v>15</v>
          </cell>
          <cell r="C13">
            <v>86.933333333333337</v>
          </cell>
          <cell r="D13">
            <v>21796.167944785277</v>
          </cell>
          <cell r="E13">
            <v>10</v>
          </cell>
          <cell r="F13">
            <v>93.9</v>
          </cell>
          <cell r="G13">
            <v>20638.125665601703</v>
          </cell>
          <cell r="H13">
            <v>13</v>
          </cell>
          <cell r="I13">
            <v>95.538461538461533</v>
          </cell>
          <cell r="J13">
            <v>15953.30112721417</v>
          </cell>
          <cell r="K13">
            <v>9</v>
          </cell>
          <cell r="L13">
            <v>113</v>
          </cell>
          <cell r="M13">
            <v>17515.240904621434</v>
          </cell>
          <cell r="N13">
            <v>7</v>
          </cell>
          <cell r="O13">
            <v>94.714285714285708</v>
          </cell>
          <cell r="P13">
            <v>17872.549019607843</v>
          </cell>
        </row>
        <row r="14">
          <cell r="A14" t="str">
            <v>Other Hotels</v>
          </cell>
          <cell r="B14">
            <v>33</v>
          </cell>
          <cell r="C14">
            <v>58.515151515151516</v>
          </cell>
          <cell r="D14">
            <v>19749.153707923357</v>
          </cell>
          <cell r="E14">
            <v>31</v>
          </cell>
          <cell r="F14">
            <v>54.774193548387096</v>
          </cell>
          <cell r="G14">
            <v>17965.333922261485</v>
          </cell>
          <cell r="H14">
            <v>21</v>
          </cell>
          <cell r="I14">
            <v>75.952380952380949</v>
          </cell>
          <cell r="J14">
            <v>16227.084639498433</v>
          </cell>
          <cell r="K14">
            <v>26</v>
          </cell>
          <cell r="L14">
            <v>49.730769230769234</v>
          </cell>
          <cell r="M14">
            <v>20975.419180201083</v>
          </cell>
          <cell r="N14">
            <v>22</v>
          </cell>
          <cell r="O14">
            <v>52.272727272727273</v>
          </cell>
          <cell r="P14">
            <v>22692.869565217392</v>
          </cell>
        </row>
        <row r="15">
          <cell r="A15" t="str">
            <v>TOTAL, ECON (Ltd-Svc)</v>
          </cell>
          <cell r="B15">
            <v>81</v>
          </cell>
          <cell r="C15">
            <v>76.827160493827165</v>
          </cell>
          <cell r="D15">
            <v>17230.326017997751</v>
          </cell>
          <cell r="E15">
            <v>75</v>
          </cell>
          <cell r="F15">
            <v>82</v>
          </cell>
          <cell r="G15">
            <v>15125.195934959349</v>
          </cell>
          <cell r="H15">
            <v>56</v>
          </cell>
          <cell r="I15">
            <v>81.482142857142861</v>
          </cell>
          <cell r="J15">
            <v>15112.689020381327</v>
          </cell>
          <cell r="K15">
            <v>77</v>
          </cell>
          <cell r="L15">
            <v>88.36363636363636</v>
          </cell>
          <cell r="M15">
            <v>26608.85949441505</v>
          </cell>
          <cell r="N15">
            <v>46</v>
          </cell>
          <cell r="O15">
            <v>65.956521739130437</v>
          </cell>
          <cell r="P15">
            <v>20537.885299934082</v>
          </cell>
        </row>
        <row r="16">
          <cell r="A16" t="str">
            <v>ECONOMY (Full-Service)</v>
          </cell>
        </row>
        <row r="17">
          <cell r="A17" t="str">
            <v>Days Inn</v>
          </cell>
          <cell r="B17">
            <v>30</v>
          </cell>
          <cell r="C17">
            <v>133.96666666666667</v>
          </cell>
          <cell r="D17">
            <v>15725.24259766111</v>
          </cell>
          <cell r="E17">
            <v>38</v>
          </cell>
          <cell r="F17">
            <v>133.10526315789474</v>
          </cell>
          <cell r="G17">
            <v>18637.119414788453</v>
          </cell>
          <cell r="H17">
            <v>44</v>
          </cell>
          <cell r="I17">
            <v>157.75</v>
          </cell>
          <cell r="J17">
            <v>16647.24103155165</v>
          </cell>
          <cell r="K17">
            <v>23</v>
          </cell>
          <cell r="L17">
            <v>147.08695652173913</v>
          </cell>
          <cell r="M17">
            <v>19806.872598285547</v>
          </cell>
          <cell r="N17">
            <v>29</v>
          </cell>
          <cell r="O17">
            <v>105.93103448275862</v>
          </cell>
          <cell r="P17">
            <v>22545.572916666668</v>
          </cell>
        </row>
        <row r="18">
          <cell r="A18" t="str">
            <v>Howard Johnson</v>
          </cell>
          <cell r="B18">
            <v>12</v>
          </cell>
          <cell r="C18">
            <v>115.91666666666667</v>
          </cell>
          <cell r="D18">
            <v>17391.895758447161</v>
          </cell>
          <cell r="E18">
            <v>14</v>
          </cell>
          <cell r="F18">
            <v>113.78571428571429</v>
          </cell>
          <cell r="G18">
            <v>19310.063402385436</v>
          </cell>
          <cell r="H18">
            <v>18</v>
          </cell>
          <cell r="I18">
            <v>132.5</v>
          </cell>
          <cell r="J18">
            <v>12126.8893081761</v>
          </cell>
          <cell r="K18">
            <v>19</v>
          </cell>
          <cell r="L18">
            <v>119.10526315789474</v>
          </cell>
          <cell r="M18">
            <v>20549.522757401679</v>
          </cell>
          <cell r="N18">
            <v>10</v>
          </cell>
          <cell r="O18">
            <v>143.19999999999999</v>
          </cell>
          <cell r="P18">
            <v>12571.229050279329</v>
          </cell>
        </row>
        <row r="19">
          <cell r="A19" t="str">
            <v>Rodeway Inn</v>
          </cell>
          <cell r="B19">
            <v>9</v>
          </cell>
          <cell r="C19">
            <v>131.55555555555554</v>
          </cell>
          <cell r="D19">
            <v>13363.175675675675</v>
          </cell>
          <cell r="E19">
            <v>7</v>
          </cell>
          <cell r="F19">
            <v>110.28571428571429</v>
          </cell>
          <cell r="G19">
            <v>10900.259067357512</v>
          </cell>
          <cell r="H19">
            <v>1</v>
          </cell>
          <cell r="I19">
            <v>54</v>
          </cell>
          <cell r="J19">
            <v>13888.888888888889</v>
          </cell>
          <cell r="K19">
            <v>3</v>
          </cell>
          <cell r="L19">
            <v>103</v>
          </cell>
          <cell r="M19">
            <v>8012.9449838187702</v>
          </cell>
          <cell r="N19">
            <v>29</v>
          </cell>
          <cell r="O19">
            <v>122.65517241379311</v>
          </cell>
          <cell r="P19">
            <v>46819.418330053413</v>
          </cell>
        </row>
        <row r="20">
          <cell r="A20" t="str">
            <v>Other Hotels</v>
          </cell>
          <cell r="B20">
            <v>74</v>
          </cell>
          <cell r="C20">
            <v>144.90540540540542</v>
          </cell>
          <cell r="D20">
            <v>13633.022661568592</v>
          </cell>
          <cell r="E20">
            <v>51</v>
          </cell>
          <cell r="F20">
            <v>159.19607843137254</v>
          </cell>
          <cell r="G20">
            <v>14879.949008498583</v>
          </cell>
          <cell r="H20">
            <v>59</v>
          </cell>
          <cell r="I20">
            <v>151.03389830508473</v>
          </cell>
          <cell r="J20">
            <v>11502.087307821794</v>
          </cell>
          <cell r="K20">
            <v>45</v>
          </cell>
          <cell r="L20">
            <v>120.66666666666667</v>
          </cell>
          <cell r="M20">
            <v>13069.705340699817</v>
          </cell>
          <cell r="N20">
            <v>36</v>
          </cell>
          <cell r="O20">
            <v>153.97222222222223</v>
          </cell>
          <cell r="P20">
            <v>19129.17174815082</v>
          </cell>
        </row>
        <row r="21">
          <cell r="A21" t="str">
            <v>TOTAL, ECON (Full-Svc)</v>
          </cell>
          <cell r="B21">
            <v>125</v>
          </cell>
          <cell r="C21">
            <v>138.536</v>
          </cell>
          <cell r="D21">
            <v>14402.077669342265</v>
          </cell>
          <cell r="E21">
            <v>110</v>
          </cell>
          <cell r="F21">
            <v>141.29090909090908</v>
          </cell>
          <cell r="G21">
            <v>16359.077789216317</v>
          </cell>
          <cell r="H21">
            <v>122</v>
          </cell>
          <cell r="I21">
            <v>149.92622950819671</v>
          </cell>
          <cell r="J21">
            <v>13543.066590126291</v>
          </cell>
          <cell r="K21">
            <v>90</v>
          </cell>
          <cell r="L21">
            <v>126.5</v>
          </cell>
          <cell r="M21">
            <v>16421.143610013176</v>
          </cell>
          <cell r="N21">
            <v>75</v>
          </cell>
          <cell r="O21">
            <v>133.96</v>
          </cell>
          <cell r="P21">
            <v>19239.076241664177</v>
          </cell>
        </row>
        <row r="22">
          <cell r="A22" t="str">
            <v>MID-MARKET (Limited-Service)</v>
          </cell>
          <cell r="B22">
            <v>98</v>
          </cell>
          <cell r="C22">
            <v>53.744897959183675</v>
          </cell>
          <cell r="D22">
            <v>34276.478627302073</v>
          </cell>
          <cell r="E22">
            <v>66</v>
          </cell>
          <cell r="F22">
            <v>60.287878787878789</v>
          </cell>
          <cell r="G22">
            <v>32995.484041216383</v>
          </cell>
          <cell r="H22">
            <v>53</v>
          </cell>
          <cell r="I22">
            <v>58.056603773584904</v>
          </cell>
          <cell r="J22">
            <v>39301.872278193048</v>
          </cell>
          <cell r="K22">
            <v>29</v>
          </cell>
          <cell r="L22">
            <v>65.793103448275858</v>
          </cell>
          <cell r="M22">
            <v>33980.607966457021</v>
          </cell>
          <cell r="N22">
            <v>28</v>
          </cell>
          <cell r="O22">
            <v>64</v>
          </cell>
          <cell r="P22">
            <v>45220.327008928572</v>
          </cell>
        </row>
        <row r="23">
          <cell r="A23" t="str">
            <v>Comfort Inn</v>
          </cell>
          <cell r="B23">
            <v>13</v>
          </cell>
          <cell r="C23">
            <v>101</v>
          </cell>
          <cell r="D23">
            <v>17045.138613861385</v>
          </cell>
          <cell r="E23">
            <v>15</v>
          </cell>
          <cell r="F23">
            <v>94.533333333333331</v>
          </cell>
          <cell r="G23">
            <v>21703.102961918194</v>
          </cell>
          <cell r="H23">
            <v>13</v>
          </cell>
          <cell r="I23">
            <v>117</v>
          </cell>
          <cell r="J23">
            <v>24270.216962524653</v>
          </cell>
          <cell r="K23">
            <v>27</v>
          </cell>
          <cell r="L23">
            <v>96.81481481481481</v>
          </cell>
          <cell r="M23">
            <v>38168.07612853864</v>
          </cell>
          <cell r="N23">
            <v>19</v>
          </cell>
          <cell r="O23">
            <v>108.47368421052632</v>
          </cell>
          <cell r="P23">
            <v>36306.404657933039</v>
          </cell>
        </row>
        <row r="24">
          <cell r="A24" t="str">
            <v>Fairfield Inn</v>
          </cell>
          <cell r="K24">
            <v>27</v>
          </cell>
          <cell r="L24">
            <v>123.70370370370371</v>
          </cell>
          <cell r="M24">
            <v>34798.791317365271</v>
          </cell>
        </row>
        <row r="25">
          <cell r="A25" t="str">
            <v>Hampton Inn</v>
          </cell>
          <cell r="B25">
            <v>5</v>
          </cell>
          <cell r="C25">
            <v>124.6</v>
          </cell>
          <cell r="D25">
            <v>28170.144462279295</v>
          </cell>
          <cell r="E25">
            <v>9</v>
          </cell>
          <cell r="F25">
            <v>123.22222222222223</v>
          </cell>
          <cell r="G25">
            <v>26938.536519386835</v>
          </cell>
          <cell r="H25">
            <v>5</v>
          </cell>
          <cell r="I25">
            <v>127.8</v>
          </cell>
          <cell r="J25">
            <v>25148.669796557122</v>
          </cell>
          <cell r="K25">
            <v>52</v>
          </cell>
          <cell r="L25">
            <v>124.94230769230769</v>
          </cell>
          <cell r="M25">
            <v>49050.964599045714</v>
          </cell>
          <cell r="N25">
            <v>29</v>
          </cell>
          <cell r="O25">
            <v>122.65517241379311</v>
          </cell>
          <cell r="P25">
            <v>46819.418330053413</v>
          </cell>
        </row>
        <row r="26">
          <cell r="A26" t="str">
            <v>Holiday Inn Express</v>
          </cell>
          <cell r="B26">
            <v>2</v>
          </cell>
          <cell r="C26">
            <v>87.5</v>
          </cell>
          <cell r="D26">
            <v>44000</v>
          </cell>
          <cell r="E26">
            <v>4</v>
          </cell>
          <cell r="F26">
            <v>116.5</v>
          </cell>
          <cell r="G26">
            <v>17150.991416309014</v>
          </cell>
          <cell r="H26">
            <v>2</v>
          </cell>
          <cell r="I26">
            <v>112</v>
          </cell>
          <cell r="J26">
            <v>26339.285714285714</v>
          </cell>
          <cell r="K26">
            <v>7</v>
          </cell>
          <cell r="L26">
            <v>107.57142857142857</v>
          </cell>
          <cell r="M26">
            <v>40564.729083665341</v>
          </cell>
          <cell r="N26">
            <v>7</v>
          </cell>
          <cell r="O26">
            <v>135.14285714285714</v>
          </cell>
          <cell r="P26">
            <v>33800.211416490485</v>
          </cell>
        </row>
        <row r="27">
          <cell r="A27" t="str">
            <v>Shoney's</v>
          </cell>
          <cell r="B27">
            <v>1</v>
          </cell>
          <cell r="C27">
            <v>100</v>
          </cell>
          <cell r="D27">
            <v>23000</v>
          </cell>
          <cell r="E27">
            <v>7</v>
          </cell>
          <cell r="F27">
            <v>110.28571428571429</v>
          </cell>
          <cell r="G27">
            <v>10900.259067357512</v>
          </cell>
          <cell r="H27">
            <v>2</v>
          </cell>
          <cell r="I27">
            <v>137.5</v>
          </cell>
          <cell r="J27">
            <v>23636.363636363636</v>
          </cell>
          <cell r="K27">
            <v>15</v>
          </cell>
          <cell r="L27">
            <v>117.6</v>
          </cell>
          <cell r="M27">
            <v>25708.616780045351</v>
          </cell>
          <cell r="N27">
            <v>1</v>
          </cell>
          <cell r="O27">
            <v>99</v>
          </cell>
          <cell r="P27">
            <v>28282.828282828283</v>
          </cell>
        </row>
        <row r="28">
          <cell r="A28" t="str">
            <v>Other Hotels</v>
          </cell>
          <cell r="B28">
            <v>98</v>
          </cell>
          <cell r="C28">
            <v>53.744897959183675</v>
          </cell>
          <cell r="D28">
            <v>34276.478627302073</v>
          </cell>
          <cell r="E28">
            <v>66</v>
          </cell>
          <cell r="F28">
            <v>60.287878787878789</v>
          </cell>
          <cell r="G28">
            <v>32995.484041216383</v>
          </cell>
          <cell r="H28">
            <v>53</v>
          </cell>
          <cell r="I28">
            <v>58.056603773584904</v>
          </cell>
          <cell r="J28">
            <v>39301.872278193048</v>
          </cell>
          <cell r="K28">
            <v>29</v>
          </cell>
          <cell r="L28">
            <v>65.793103448275858</v>
          </cell>
          <cell r="M28">
            <v>33980.607966457021</v>
          </cell>
          <cell r="N28">
            <v>28</v>
          </cell>
          <cell r="O28">
            <v>64</v>
          </cell>
          <cell r="P28">
            <v>45220.327008928572</v>
          </cell>
        </row>
        <row r="29">
          <cell r="A29" t="str">
            <v>TOTAL, MID-MKT (Ltd-Svc)</v>
          </cell>
          <cell r="B29">
            <v>119</v>
          </cell>
          <cell r="C29">
            <v>62.840336134453779</v>
          </cell>
          <cell r="D29">
            <v>30818.999723188019</v>
          </cell>
          <cell r="E29">
            <v>94</v>
          </cell>
          <cell r="F29">
            <v>74.170212765957444</v>
          </cell>
          <cell r="G29">
            <v>28676.309523809523</v>
          </cell>
          <cell r="H29">
            <v>75</v>
          </cell>
          <cell r="I29">
            <v>76.48</v>
          </cell>
          <cell r="J29">
            <v>32482.019002789399</v>
          </cell>
          <cell r="K29">
            <v>157</v>
          </cell>
          <cell r="L29">
            <v>107.49044585987261</v>
          </cell>
          <cell r="M29">
            <v>40022.142213794737</v>
          </cell>
          <cell r="N29">
            <v>84</v>
          </cell>
          <cell r="O29">
            <v>100.6547619047619</v>
          </cell>
          <cell r="P29">
            <v>42244.115552927266</v>
          </cell>
        </row>
        <row r="30">
          <cell r="A30" t="str">
            <v>MID-MARKET (Full-Service)</v>
          </cell>
        </row>
        <row r="31">
          <cell r="A31" t="str">
            <v>Best Western</v>
          </cell>
          <cell r="B31">
            <v>30</v>
          </cell>
          <cell r="C31">
            <v>84.4</v>
          </cell>
          <cell r="D31">
            <v>27892.772511848339</v>
          </cell>
          <cell r="E31">
            <v>25</v>
          </cell>
          <cell r="F31">
            <v>129.47999999999999</v>
          </cell>
          <cell r="G31">
            <v>18688.446092060549</v>
          </cell>
          <cell r="H31">
            <v>30</v>
          </cell>
          <cell r="I31">
            <v>92.733333333333334</v>
          </cell>
          <cell r="J31">
            <v>26086.730409777138</v>
          </cell>
          <cell r="K31">
            <v>27</v>
          </cell>
          <cell r="L31">
            <v>107.18518518518519</v>
          </cell>
          <cell r="M31">
            <v>25950.932964754666</v>
          </cell>
          <cell r="N31">
            <v>20</v>
          </cell>
          <cell r="O31">
            <v>105.5</v>
          </cell>
          <cell r="P31">
            <v>29002.843601895736</v>
          </cell>
        </row>
        <row r="32">
          <cell r="A32" t="str">
            <v>Courtyard</v>
          </cell>
          <cell r="H32">
            <v>1</v>
          </cell>
          <cell r="I32">
            <v>149</v>
          </cell>
          <cell r="J32">
            <v>55369.127516778521</v>
          </cell>
          <cell r="N32">
            <v>38</v>
          </cell>
          <cell r="O32">
            <v>142.15789473684211</v>
          </cell>
          <cell r="P32">
            <v>62089.95945945946</v>
          </cell>
        </row>
        <row r="33">
          <cell r="A33" t="str">
            <v>Holiday Inn</v>
          </cell>
          <cell r="B33">
            <v>28</v>
          </cell>
          <cell r="C33">
            <v>185.42857142857142</v>
          </cell>
          <cell r="D33">
            <v>23002.719953775038</v>
          </cell>
          <cell r="E33">
            <v>45</v>
          </cell>
          <cell r="F33">
            <v>193.73333333333332</v>
          </cell>
          <cell r="G33">
            <v>25440.390112411103</v>
          </cell>
          <cell r="H33">
            <v>43</v>
          </cell>
          <cell r="I33">
            <v>203.37209302325581</v>
          </cell>
          <cell r="J33">
            <v>24976.214979988566</v>
          </cell>
          <cell r="K33">
            <v>32</v>
          </cell>
          <cell r="L33">
            <v>210.90625</v>
          </cell>
          <cell r="M33">
            <v>33740.702326270555</v>
          </cell>
          <cell r="N33">
            <v>40</v>
          </cell>
          <cell r="O33">
            <v>181.77500000000001</v>
          </cell>
          <cell r="P33">
            <v>44107.909228441757</v>
          </cell>
        </row>
        <row r="34">
          <cell r="A34" t="str">
            <v>Quality Inn</v>
          </cell>
          <cell r="B34">
            <v>11</v>
          </cell>
          <cell r="C34">
            <v>156.81818181818181</v>
          </cell>
          <cell r="D34">
            <v>22049.739130434784</v>
          </cell>
          <cell r="E34">
            <v>12</v>
          </cell>
          <cell r="F34">
            <v>122.08333333333333</v>
          </cell>
          <cell r="G34">
            <v>22190.779522184301</v>
          </cell>
          <cell r="H34">
            <v>8</v>
          </cell>
          <cell r="I34">
            <v>150.375</v>
          </cell>
          <cell r="J34">
            <v>16342.477140482128</v>
          </cell>
          <cell r="K34">
            <v>9</v>
          </cell>
          <cell r="L34">
            <v>176.88888888888889</v>
          </cell>
          <cell r="M34">
            <v>15690.954773869347</v>
          </cell>
          <cell r="N34">
            <v>8</v>
          </cell>
          <cell r="O34">
            <v>171.75</v>
          </cell>
          <cell r="P34">
            <v>27365.356622998544</v>
          </cell>
        </row>
        <row r="35">
          <cell r="A35" t="str">
            <v>Ramada Inn</v>
          </cell>
          <cell r="B35">
            <v>19</v>
          </cell>
          <cell r="C35">
            <v>163.89473684210526</v>
          </cell>
          <cell r="D35">
            <v>24242.871547848426</v>
          </cell>
          <cell r="E35">
            <v>30</v>
          </cell>
          <cell r="F35">
            <v>159.46666666666667</v>
          </cell>
          <cell r="G35">
            <v>16243.153428093645</v>
          </cell>
          <cell r="H35">
            <v>29</v>
          </cell>
          <cell r="I35">
            <v>177</v>
          </cell>
          <cell r="J35">
            <v>16621.357880381842</v>
          </cell>
          <cell r="K35">
            <v>19</v>
          </cell>
          <cell r="L35">
            <v>179.57894736842104</v>
          </cell>
          <cell r="M35">
            <v>19299.412368112546</v>
          </cell>
          <cell r="N35">
            <v>22</v>
          </cell>
          <cell r="O35">
            <v>164</v>
          </cell>
          <cell r="P35">
            <v>20503.048780487807</v>
          </cell>
        </row>
        <row r="36">
          <cell r="A36" t="str">
            <v>Other Hotels</v>
          </cell>
          <cell r="B36">
            <v>21</v>
          </cell>
          <cell r="C36">
            <v>156.38095238095238</v>
          </cell>
          <cell r="D36">
            <v>32875.091352009746</v>
          </cell>
          <cell r="E36">
            <v>25</v>
          </cell>
          <cell r="F36">
            <v>396</v>
          </cell>
          <cell r="G36">
            <v>35518.888888888891</v>
          </cell>
          <cell r="H36">
            <v>30</v>
          </cell>
          <cell r="I36">
            <v>215.56666666666666</v>
          </cell>
          <cell r="J36">
            <v>34216.687335704344</v>
          </cell>
          <cell r="K36">
            <v>12</v>
          </cell>
          <cell r="L36">
            <v>156.83333333333334</v>
          </cell>
          <cell r="M36">
            <v>33663.655685441023</v>
          </cell>
          <cell r="N36">
            <v>15</v>
          </cell>
          <cell r="O36">
            <v>148.06666666666666</v>
          </cell>
          <cell r="P36">
            <v>43714.044574515981</v>
          </cell>
        </row>
        <row r="37">
          <cell r="A37" t="str">
            <v>TOTAL, MID-MKT (Full-Svc)</v>
          </cell>
          <cell r="B37">
            <v>109</v>
          </cell>
          <cell r="C37">
            <v>145.38532110091742</v>
          </cell>
          <cell r="D37">
            <v>25969.869628320819</v>
          </cell>
          <cell r="E37">
            <v>137</v>
          </cell>
          <cell r="F37">
            <v>205.13868613138686</v>
          </cell>
          <cell r="G37">
            <v>26477.9945559351</v>
          </cell>
          <cell r="H37">
            <v>141</v>
          </cell>
          <cell r="I37">
            <v>173.60992907801418</v>
          </cell>
          <cell r="J37">
            <v>25552.393112463746</v>
          </cell>
          <cell r="K37">
            <v>99</v>
          </cell>
          <cell r="L37">
            <v>166.95959595959596</v>
          </cell>
          <cell r="M37">
            <v>27648.532579103394</v>
          </cell>
          <cell r="N37">
            <v>143</v>
          </cell>
          <cell r="O37">
            <v>153.74825174825176</v>
          </cell>
          <cell r="P37">
            <v>42116.731647411987</v>
          </cell>
        </row>
        <row r="38">
          <cell r="A38" t="str">
            <v>FIRST-CLASS (Upscale)</v>
          </cell>
        </row>
        <row r="39">
          <cell r="A39" t="str">
            <v>Doubletree</v>
          </cell>
          <cell r="B39">
            <v>1</v>
          </cell>
          <cell r="C39">
            <v>289</v>
          </cell>
          <cell r="D39">
            <v>62629.757785467125</v>
          </cell>
          <cell r="E39">
            <v>3</v>
          </cell>
          <cell r="F39">
            <v>218.66666666666666</v>
          </cell>
          <cell r="G39">
            <v>43109.756097560974</v>
          </cell>
          <cell r="H39">
            <v>10</v>
          </cell>
          <cell r="I39">
            <v>262.7</v>
          </cell>
          <cell r="J39">
            <v>37086.029691663498</v>
          </cell>
          <cell r="K39">
            <v>3</v>
          </cell>
          <cell r="L39">
            <v>251.66666666666666</v>
          </cell>
          <cell r="M39">
            <v>48675.496688741725</v>
          </cell>
          <cell r="N39">
            <v>6</v>
          </cell>
          <cell r="O39">
            <v>239.5</v>
          </cell>
          <cell r="P39">
            <v>53316.283924843425</v>
          </cell>
        </row>
        <row r="40">
          <cell r="A40" t="str">
            <v>Embassy Suites</v>
          </cell>
          <cell r="B40">
            <v>4</v>
          </cell>
          <cell r="C40">
            <v>218</v>
          </cell>
          <cell r="D40">
            <v>44542.431192660551</v>
          </cell>
          <cell r="E40">
            <v>3</v>
          </cell>
          <cell r="F40">
            <v>229</v>
          </cell>
          <cell r="G40">
            <v>57860.262008733625</v>
          </cell>
          <cell r="H40">
            <v>1</v>
          </cell>
          <cell r="I40">
            <v>212</v>
          </cell>
          <cell r="J40">
            <v>43867.92452830189</v>
          </cell>
          <cell r="K40">
            <v>8</v>
          </cell>
          <cell r="L40">
            <v>241</v>
          </cell>
          <cell r="M40">
            <v>52411.825726141076</v>
          </cell>
          <cell r="N40">
            <v>9</v>
          </cell>
          <cell r="O40">
            <v>194.11111111111111</v>
          </cell>
          <cell r="P40">
            <v>66921.579851173447</v>
          </cell>
        </row>
        <row r="41">
          <cell r="A41" t="str">
            <v>Hilton</v>
          </cell>
          <cell r="B41">
            <v>8</v>
          </cell>
          <cell r="C41">
            <v>283.375</v>
          </cell>
          <cell r="D41">
            <v>31737.979708866344</v>
          </cell>
          <cell r="E41">
            <v>8</v>
          </cell>
          <cell r="F41">
            <v>360.25</v>
          </cell>
          <cell r="G41">
            <v>31335.877862595418</v>
          </cell>
          <cell r="H41">
            <v>9</v>
          </cell>
          <cell r="I41">
            <v>279.22222222222223</v>
          </cell>
          <cell r="J41">
            <v>41555.90927178671</v>
          </cell>
          <cell r="K41">
            <v>6</v>
          </cell>
          <cell r="L41">
            <v>263.5</v>
          </cell>
          <cell r="M41">
            <v>40920.303605313093</v>
          </cell>
          <cell r="N41">
            <v>9</v>
          </cell>
          <cell r="O41">
            <v>271.77777777777777</v>
          </cell>
          <cell r="P41">
            <v>58505.314799672939</v>
          </cell>
        </row>
        <row r="42">
          <cell r="A42" t="str">
            <v>Hyatt Hotels</v>
          </cell>
          <cell r="B42">
            <v>5</v>
          </cell>
          <cell r="C42">
            <v>358.6</v>
          </cell>
          <cell r="D42">
            <v>39765.755716675965</v>
          </cell>
          <cell r="E42">
            <v>2</v>
          </cell>
          <cell r="F42">
            <v>358.5</v>
          </cell>
          <cell r="G42">
            <v>63319.386331938636</v>
          </cell>
          <cell r="H42">
            <v>4</v>
          </cell>
          <cell r="I42">
            <v>645</v>
          </cell>
          <cell r="J42">
            <v>55152.713178294573</v>
          </cell>
          <cell r="K42">
            <v>4</v>
          </cell>
          <cell r="L42">
            <v>290.25</v>
          </cell>
          <cell r="M42">
            <v>60818.260120585699</v>
          </cell>
          <cell r="N42">
            <v>6</v>
          </cell>
          <cell r="O42">
            <v>347.16666666666669</v>
          </cell>
          <cell r="P42">
            <v>103960.63370139222</v>
          </cell>
        </row>
        <row r="43">
          <cell r="A43" t="str">
            <v>Marriott Hotels</v>
          </cell>
          <cell r="B43">
            <v>3</v>
          </cell>
          <cell r="C43">
            <v>346</v>
          </cell>
          <cell r="D43">
            <v>87620.423892100196</v>
          </cell>
          <cell r="E43">
            <v>6</v>
          </cell>
          <cell r="F43">
            <v>335.33333333333331</v>
          </cell>
          <cell r="G43">
            <v>66177.932405566607</v>
          </cell>
          <cell r="H43">
            <v>6</v>
          </cell>
          <cell r="I43">
            <v>270.33333333333331</v>
          </cell>
          <cell r="J43">
            <v>49499.075215782985</v>
          </cell>
          <cell r="K43">
            <v>14</v>
          </cell>
          <cell r="L43">
            <v>436.85714285714283</v>
          </cell>
          <cell r="M43">
            <v>65894.211903204705</v>
          </cell>
          <cell r="N43">
            <v>17</v>
          </cell>
          <cell r="O43">
            <v>380.05882352941177</v>
          </cell>
          <cell r="P43">
            <v>75451.478099365428</v>
          </cell>
        </row>
        <row r="44">
          <cell r="A44" t="str">
            <v>Omni Hotels</v>
          </cell>
          <cell r="B44">
            <v>2</v>
          </cell>
          <cell r="C44">
            <v>249</v>
          </cell>
          <cell r="D44">
            <v>79116.465863453821</v>
          </cell>
          <cell r="E44">
            <v>4</v>
          </cell>
          <cell r="F44">
            <v>402.25</v>
          </cell>
          <cell r="G44">
            <v>75584.835301429455</v>
          </cell>
          <cell r="H44">
            <v>3</v>
          </cell>
          <cell r="I44">
            <v>509</v>
          </cell>
          <cell r="J44">
            <v>36145.383104125736</v>
          </cell>
          <cell r="K44">
            <v>2</v>
          </cell>
          <cell r="L44">
            <v>799.5</v>
          </cell>
          <cell r="M44">
            <v>40306.44152595372</v>
          </cell>
          <cell r="N44">
            <v>3</v>
          </cell>
          <cell r="O44">
            <v>605</v>
          </cell>
          <cell r="P44">
            <v>42823.691460055095</v>
          </cell>
        </row>
        <row r="45">
          <cell r="A45" t="str">
            <v>Radisson</v>
          </cell>
          <cell r="B45">
            <v>4</v>
          </cell>
          <cell r="C45">
            <v>149.5</v>
          </cell>
          <cell r="D45">
            <v>26672.240802675584</v>
          </cell>
          <cell r="E45">
            <v>6</v>
          </cell>
          <cell r="F45">
            <v>339.5</v>
          </cell>
          <cell r="G45">
            <v>32404.311242022581</v>
          </cell>
          <cell r="H45">
            <v>7</v>
          </cell>
          <cell r="I45">
            <v>279.28571428571428</v>
          </cell>
          <cell r="J45">
            <v>30030.6905370844</v>
          </cell>
          <cell r="K45">
            <v>10</v>
          </cell>
          <cell r="L45">
            <v>349.8</v>
          </cell>
          <cell r="M45">
            <v>49303.887935963408</v>
          </cell>
          <cell r="N45">
            <v>17</v>
          </cell>
          <cell r="O45">
            <v>311.8235294117647</v>
          </cell>
          <cell r="P45">
            <v>52270.326353518205</v>
          </cell>
        </row>
        <row r="46">
          <cell r="A46" t="str">
            <v>Residence Inn</v>
          </cell>
          <cell r="E46">
            <v>2</v>
          </cell>
          <cell r="F46">
            <v>105</v>
          </cell>
          <cell r="G46">
            <v>51976.190476190473</v>
          </cell>
          <cell r="H46">
            <v>1</v>
          </cell>
          <cell r="I46">
            <v>128</v>
          </cell>
          <cell r="J46">
            <v>59929.6875</v>
          </cell>
          <cell r="K46">
            <v>16</v>
          </cell>
          <cell r="L46">
            <v>120.8125</v>
          </cell>
          <cell r="M46">
            <v>73859.389549922402</v>
          </cell>
          <cell r="N46">
            <v>17</v>
          </cell>
          <cell r="O46">
            <v>108.23529411764706</v>
          </cell>
          <cell r="P46">
            <v>74948.369565217392</v>
          </cell>
        </row>
        <row r="47">
          <cell r="A47" t="str">
            <v>Sheraton</v>
          </cell>
          <cell r="B47">
            <v>11</v>
          </cell>
          <cell r="C47">
            <v>236.18181818181819</v>
          </cell>
          <cell r="D47">
            <v>47731.562740569672</v>
          </cell>
          <cell r="E47">
            <v>17</v>
          </cell>
          <cell r="F47">
            <v>223.35294117647058</v>
          </cell>
          <cell r="G47">
            <v>34340.777982617859</v>
          </cell>
          <cell r="H47">
            <v>5</v>
          </cell>
          <cell r="I47">
            <v>160.80000000000001</v>
          </cell>
          <cell r="J47">
            <v>23513.580845771143</v>
          </cell>
          <cell r="K47">
            <v>15</v>
          </cell>
          <cell r="L47">
            <v>325.60000000000002</v>
          </cell>
          <cell r="M47">
            <v>47384.009009009009</v>
          </cell>
          <cell r="N47">
            <v>10</v>
          </cell>
          <cell r="O47">
            <v>333.5</v>
          </cell>
          <cell r="P47">
            <v>46416.409895052471</v>
          </cell>
        </row>
        <row r="48">
          <cell r="A48" t="str">
            <v>Other Hotels</v>
          </cell>
          <cell r="B48">
            <v>12</v>
          </cell>
          <cell r="C48">
            <v>194.33333333333334</v>
          </cell>
          <cell r="D48">
            <v>61595.505574614064</v>
          </cell>
          <cell r="E48">
            <v>17</v>
          </cell>
          <cell r="F48">
            <v>279.05882352941177</v>
          </cell>
          <cell r="G48">
            <v>60037.521079258011</v>
          </cell>
          <cell r="H48">
            <v>14</v>
          </cell>
          <cell r="I48">
            <v>217.21428571428572</v>
          </cell>
          <cell r="J48">
            <v>58989.584018414993</v>
          </cell>
          <cell r="K48">
            <v>13</v>
          </cell>
          <cell r="L48">
            <v>342.07692307692309</v>
          </cell>
          <cell r="M48">
            <v>74094.445693726113</v>
          </cell>
          <cell r="N48">
            <v>29</v>
          </cell>
          <cell r="O48">
            <v>389.17241379310343</v>
          </cell>
          <cell r="P48">
            <v>68422.192539429379</v>
          </cell>
        </row>
        <row r="49">
          <cell r="A49" t="str">
            <v>TOTAL, FIRST-CLASS (Ups)</v>
          </cell>
          <cell r="B49">
            <v>50</v>
          </cell>
          <cell r="C49">
            <v>245.7</v>
          </cell>
          <cell r="D49">
            <v>49990.909157509159</v>
          </cell>
          <cell r="E49">
            <v>68</v>
          </cell>
          <cell r="F49">
            <v>284.5735294117647</v>
          </cell>
          <cell r="G49">
            <v>49126.066663221536</v>
          </cell>
          <cell r="H49">
            <v>60</v>
          </cell>
          <cell r="I49">
            <v>283.48333333333335</v>
          </cell>
          <cell r="J49">
            <v>44306.175789288027</v>
          </cell>
          <cell r="K49">
            <v>91</v>
          </cell>
          <cell r="L49">
            <v>306.61538461538464</v>
          </cell>
          <cell r="M49">
            <v>57942.824887104864</v>
          </cell>
          <cell r="N49">
            <v>123</v>
          </cell>
          <cell r="O49">
            <v>306.91869918699189</v>
          </cell>
          <cell r="P49">
            <v>65174.434902386689</v>
          </cell>
        </row>
        <row r="50">
          <cell r="A50" t="str">
            <v>LUXURY</v>
          </cell>
        </row>
        <row r="51">
          <cell r="A51" t="str">
            <v>Other Hotels</v>
          </cell>
          <cell r="B51">
            <v>16</v>
          </cell>
          <cell r="C51">
            <v>266.875</v>
          </cell>
          <cell r="D51">
            <v>152950.62412177987</v>
          </cell>
          <cell r="E51">
            <v>9</v>
          </cell>
          <cell r="F51">
            <v>282.33333333333331</v>
          </cell>
          <cell r="G51">
            <v>161846.51711924438</v>
          </cell>
          <cell r="H51">
            <v>9</v>
          </cell>
          <cell r="I51">
            <v>431.66666666666669</v>
          </cell>
          <cell r="J51">
            <v>160893.17889317891</v>
          </cell>
          <cell r="K51">
            <v>18</v>
          </cell>
          <cell r="L51">
            <v>326.83333333333331</v>
          </cell>
          <cell r="M51">
            <v>144753.52711201768</v>
          </cell>
          <cell r="N51">
            <v>14</v>
          </cell>
          <cell r="O51">
            <v>303.78571428571428</v>
          </cell>
          <cell r="P51">
            <v>176910.41617681636</v>
          </cell>
        </row>
        <row r="52">
          <cell r="A52" t="str">
            <v>TOTAL, LUXURY</v>
          </cell>
          <cell r="B52">
            <v>16</v>
          </cell>
          <cell r="C52">
            <v>266.875</v>
          </cell>
          <cell r="D52">
            <v>152950.62412177987</v>
          </cell>
          <cell r="E52">
            <v>9</v>
          </cell>
          <cell r="F52">
            <v>282.33333333333331</v>
          </cell>
          <cell r="G52">
            <v>161846.51711924438</v>
          </cell>
          <cell r="H52">
            <v>9</v>
          </cell>
          <cell r="I52">
            <v>431.66666666666669</v>
          </cell>
          <cell r="J52">
            <v>160893.17889317891</v>
          </cell>
          <cell r="K52">
            <v>18</v>
          </cell>
          <cell r="L52">
            <v>326.83333333333331</v>
          </cell>
          <cell r="M52">
            <v>144753.52711201768</v>
          </cell>
          <cell r="N52">
            <v>14</v>
          </cell>
          <cell r="O52">
            <v>303.78571428571428</v>
          </cell>
          <cell r="P52">
            <v>176910.41617681636</v>
          </cell>
        </row>
        <row r="53">
          <cell r="A53" t="str">
            <v>GRAND TOTAL</v>
          </cell>
          <cell r="B53">
            <v>593</v>
          </cell>
          <cell r="C53">
            <v>117.44350758853288</v>
          </cell>
          <cell r="D53">
            <v>33568.330896559644</v>
          </cell>
          <cell r="E53">
            <v>561</v>
          </cell>
          <cell r="F53">
            <v>148.30124777183602</v>
          </cell>
          <cell r="G53">
            <v>32414.027008185392</v>
          </cell>
          <cell r="H53">
            <v>529</v>
          </cell>
          <cell r="I53">
            <v>148.65217391304347</v>
          </cell>
          <cell r="J53">
            <v>32688.659511425918</v>
          </cell>
          <cell r="K53">
            <v>570</v>
          </cell>
          <cell r="L53">
            <v>149.95789473684209</v>
          </cell>
          <cell r="M53">
            <v>45533.311900416491</v>
          </cell>
          <cell r="N53">
            <v>531</v>
          </cell>
          <cell r="O53">
            <v>166.00376647834275</v>
          </cell>
          <cell r="P53">
            <v>54255.443504106726</v>
          </cell>
        </row>
        <row r="54">
          <cell r="A54" t="str">
            <v>Sources: National Hotel Realty Advisors and Hospitality Valuation Services</v>
          </cell>
        </row>
      </sheetData>
      <sheetData sheetId="1" refreshError="1"/>
      <sheetData sheetId="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y Category"/>
      <sheetName val="By Market Segment"/>
    </sheetNames>
    <sheetDataSet>
      <sheetData sheetId="0" refreshError="1">
        <row r="1">
          <cell r="A1" t="str">
            <v>Hotel Sales, By Category: 1991 - 1995</v>
          </cell>
        </row>
        <row r="3">
          <cell r="C3">
            <v>1991</v>
          </cell>
          <cell r="F3">
            <v>1992</v>
          </cell>
          <cell r="I3">
            <v>1993</v>
          </cell>
          <cell r="L3">
            <v>1994</v>
          </cell>
          <cell r="O3">
            <v>1995</v>
          </cell>
        </row>
        <row r="4">
          <cell r="B4" t="str">
            <v>Hotels Sold</v>
          </cell>
          <cell r="C4" t="str">
            <v>Avg. # of Rooms</v>
          </cell>
          <cell r="D4" t="str">
            <v>Avg. Selling Price per Room</v>
          </cell>
          <cell r="E4" t="str">
            <v>Hotels Sold</v>
          </cell>
          <cell r="F4" t="str">
            <v>Avg. # of Rooms</v>
          </cell>
          <cell r="G4" t="str">
            <v>Avg. Selling Price per Room</v>
          </cell>
          <cell r="H4" t="str">
            <v>Hotels Sold</v>
          </cell>
          <cell r="I4" t="str">
            <v>Avg. # of Rooms</v>
          </cell>
          <cell r="J4" t="str">
            <v>Avg. Selling Price per Room</v>
          </cell>
          <cell r="K4" t="str">
            <v>Hotels Sold</v>
          </cell>
          <cell r="L4" t="str">
            <v>Avg. # of Rooms</v>
          </cell>
          <cell r="M4" t="str">
            <v>Avg. Selling Price per Room</v>
          </cell>
          <cell r="N4" t="str">
            <v>Hotels Sold</v>
          </cell>
          <cell r="O4" t="str">
            <v>Avg. # of Rooms</v>
          </cell>
          <cell r="P4" t="str">
            <v>Avg. Selling Price per Room</v>
          </cell>
        </row>
        <row r="5">
          <cell r="A5" t="str">
            <v>BY PROPERTY TYPE</v>
          </cell>
        </row>
        <row r="6">
          <cell r="A6" t="str">
            <v xml:space="preserve">Budget </v>
          </cell>
          <cell r="B6">
            <v>93</v>
          </cell>
          <cell r="C6">
            <v>66.924731182795696</v>
          </cell>
          <cell r="D6">
            <v>11561.897689588688</v>
          </cell>
          <cell r="E6">
            <v>68</v>
          </cell>
          <cell r="F6">
            <v>66.720588235294116</v>
          </cell>
          <cell r="G6">
            <v>9591.7474101829412</v>
          </cell>
          <cell r="H6">
            <v>66</v>
          </cell>
          <cell r="I6">
            <v>70.818181818181813</v>
          </cell>
          <cell r="J6">
            <v>13559.060975609756</v>
          </cell>
          <cell r="K6">
            <v>65</v>
          </cell>
          <cell r="L6">
            <v>52.876923076923077</v>
          </cell>
          <cell r="M6">
            <v>11495.479778876928</v>
          </cell>
          <cell r="N6">
            <v>46</v>
          </cell>
          <cell r="O6">
            <v>57</v>
          </cell>
          <cell r="P6">
            <v>11803.714721586575</v>
          </cell>
        </row>
        <row r="7">
          <cell r="A7" t="str">
            <v>Econ, Ltd &amp; Full-Svc</v>
          </cell>
          <cell r="B7">
            <v>206</v>
          </cell>
          <cell r="C7">
            <v>114.27184466019418</v>
          </cell>
          <cell r="D7">
            <v>15149.749269753611</v>
          </cell>
          <cell r="E7">
            <v>185</v>
          </cell>
          <cell r="F7">
            <v>117.25405405405405</v>
          </cell>
          <cell r="G7">
            <v>16009.254195094965</v>
          </cell>
          <cell r="H7">
            <v>178</v>
          </cell>
          <cell r="I7">
            <v>128.3932584269663</v>
          </cell>
          <cell r="J7">
            <v>13856.455368863219</v>
          </cell>
          <cell r="K7">
            <v>140</v>
          </cell>
          <cell r="L7">
            <v>106.06428571428572</v>
          </cell>
          <cell r="M7">
            <v>16955.581992053336</v>
          </cell>
          <cell r="N7">
            <v>121</v>
          </cell>
          <cell r="O7">
            <v>108.10743801652893</v>
          </cell>
          <cell r="P7">
            <v>19540.321305710571</v>
          </cell>
        </row>
        <row r="8">
          <cell r="A8" t="str">
            <v>Mid-Mkt, Ltd &amp; Full-Svc</v>
          </cell>
          <cell r="B8">
            <v>228</v>
          </cell>
          <cell r="C8">
            <v>102.30263157894737</v>
          </cell>
          <cell r="D8">
            <v>27524.501776205791</v>
          </cell>
          <cell r="E8">
            <v>231</v>
          </cell>
          <cell r="F8">
            <v>151.84415584415584</v>
          </cell>
          <cell r="G8">
            <v>26914.950079826664</v>
          </cell>
          <cell r="H8">
            <v>216</v>
          </cell>
          <cell r="I8">
            <v>139.88425925925927</v>
          </cell>
          <cell r="J8">
            <v>26867.909713718353</v>
          </cell>
          <cell r="K8">
            <v>256</v>
          </cell>
          <cell r="L8">
            <v>130.48828125</v>
          </cell>
          <cell r="M8">
            <v>33899.603861697353</v>
          </cell>
          <cell r="N8">
            <v>227</v>
          </cell>
          <cell r="O8">
            <v>134.10132158590309</v>
          </cell>
          <cell r="P8">
            <v>42152.112578430409</v>
          </cell>
        </row>
        <row r="9">
          <cell r="A9" t="str">
            <v xml:space="preserve">Upscale (First Class) </v>
          </cell>
          <cell r="B9">
            <v>50</v>
          </cell>
          <cell r="C9">
            <v>245.7</v>
          </cell>
          <cell r="D9">
            <v>49990.909157509159</v>
          </cell>
          <cell r="E9">
            <v>68</v>
          </cell>
          <cell r="F9">
            <v>284.5735294117647</v>
          </cell>
          <cell r="G9">
            <v>49126.066663221536</v>
          </cell>
          <cell r="H9">
            <v>60</v>
          </cell>
          <cell r="I9">
            <v>283.48333333333335</v>
          </cell>
          <cell r="J9">
            <v>44306.175789288027</v>
          </cell>
          <cell r="K9">
            <v>91</v>
          </cell>
          <cell r="L9">
            <v>306.61538461538464</v>
          </cell>
          <cell r="M9">
            <v>57942.824887104864</v>
          </cell>
          <cell r="N9">
            <v>123</v>
          </cell>
          <cell r="O9">
            <v>306.91869918699189</v>
          </cell>
          <cell r="P9">
            <v>65174.434902386689</v>
          </cell>
        </row>
        <row r="10">
          <cell r="A10" t="str">
            <v xml:space="preserve">Luxury </v>
          </cell>
          <cell r="B10">
            <v>16</v>
          </cell>
          <cell r="C10">
            <v>266.875</v>
          </cell>
          <cell r="D10">
            <v>152950.62412177987</v>
          </cell>
          <cell r="E10">
            <v>9</v>
          </cell>
          <cell r="F10">
            <v>282.33333333333331</v>
          </cell>
          <cell r="G10">
            <v>161846.51711924438</v>
          </cell>
          <cell r="H10">
            <v>9</v>
          </cell>
          <cell r="I10">
            <v>431.66666666666669</v>
          </cell>
          <cell r="J10">
            <v>160893.17889317891</v>
          </cell>
          <cell r="K10">
            <v>18</v>
          </cell>
          <cell r="L10">
            <v>326.83333333333331</v>
          </cell>
          <cell r="M10">
            <v>144753.52711201768</v>
          </cell>
          <cell r="N10">
            <v>14</v>
          </cell>
          <cell r="O10">
            <v>303.78571428571428</v>
          </cell>
          <cell r="P10">
            <v>176910.41617681636</v>
          </cell>
        </row>
        <row r="11">
          <cell r="A11" t="str">
            <v>GRAND TOTAL</v>
          </cell>
          <cell r="B11">
            <v>593</v>
          </cell>
          <cell r="C11">
            <v>117.44350758853288</v>
          </cell>
          <cell r="D11">
            <v>33568.330896559644</v>
          </cell>
          <cell r="E11">
            <v>561</v>
          </cell>
          <cell r="F11">
            <v>148.30124777183602</v>
          </cell>
          <cell r="G11">
            <v>32414.027008185392</v>
          </cell>
          <cell r="H11">
            <v>529</v>
          </cell>
          <cell r="I11">
            <v>148.65217391304347</v>
          </cell>
          <cell r="J11">
            <v>32688.659511425918</v>
          </cell>
          <cell r="K11">
            <v>570</v>
          </cell>
          <cell r="L11">
            <v>149.95789473684209</v>
          </cell>
          <cell r="M11">
            <v>45533.311900416491</v>
          </cell>
          <cell r="N11">
            <v>531</v>
          </cell>
          <cell r="O11">
            <v>166.00376647834275</v>
          </cell>
          <cell r="P11">
            <v>54255.443504106726</v>
          </cell>
        </row>
        <row r="12">
          <cell r="A12" t="str">
            <v>BY LOCATION</v>
          </cell>
        </row>
        <row r="13">
          <cell r="A13" t="str">
            <v>Highway</v>
          </cell>
          <cell r="B13">
            <v>294</v>
          </cell>
          <cell r="C13">
            <v>91.523809523809518</v>
          </cell>
          <cell r="D13">
            <v>16487.747620038652</v>
          </cell>
          <cell r="E13">
            <v>266</v>
          </cell>
          <cell r="F13">
            <v>104.90225563909775</v>
          </cell>
          <cell r="G13">
            <v>16088.48881880734</v>
          </cell>
          <cell r="H13">
            <v>234</v>
          </cell>
          <cell r="I13">
            <v>111.31196581196581</v>
          </cell>
          <cell r="J13">
            <v>18306.245057012326</v>
          </cell>
          <cell r="K13">
            <v>245</v>
          </cell>
          <cell r="L13">
            <v>84.820408163265313</v>
          </cell>
          <cell r="M13">
            <v>23645.580241566815</v>
          </cell>
          <cell r="N13">
            <v>223</v>
          </cell>
          <cell r="O13">
            <v>101.49775784753363</v>
          </cell>
          <cell r="P13">
            <v>30565.454581602899</v>
          </cell>
        </row>
        <row r="14">
          <cell r="A14" t="str">
            <v>Suburban</v>
          </cell>
          <cell r="B14">
            <v>140</v>
          </cell>
          <cell r="C14">
            <v>137.30714285714285</v>
          </cell>
          <cell r="D14">
            <v>29077.971804609064</v>
          </cell>
          <cell r="E14">
            <v>118</v>
          </cell>
          <cell r="F14">
            <v>147.77118644067798</v>
          </cell>
          <cell r="G14">
            <v>27716.300338360958</v>
          </cell>
          <cell r="H14">
            <v>135</v>
          </cell>
          <cell r="I14">
            <v>151.32592592592593</v>
          </cell>
          <cell r="J14">
            <v>25803.871506192179</v>
          </cell>
          <cell r="K14">
            <v>155</v>
          </cell>
          <cell r="L14">
            <v>158.09032258064516</v>
          </cell>
          <cell r="M14">
            <v>37706.652464903687</v>
          </cell>
          <cell r="N14">
            <v>145</v>
          </cell>
          <cell r="O14">
            <v>181.26896551724138</v>
          </cell>
          <cell r="P14">
            <v>55822.419799117335</v>
          </cell>
        </row>
        <row r="15">
          <cell r="A15" t="str">
            <v>Airport</v>
          </cell>
          <cell r="B15">
            <v>29</v>
          </cell>
          <cell r="C15">
            <v>208.9655172413793</v>
          </cell>
          <cell r="D15">
            <v>31424.456600660065</v>
          </cell>
          <cell r="E15">
            <v>36</v>
          </cell>
          <cell r="F15">
            <v>235.63888888888889</v>
          </cell>
          <cell r="G15">
            <v>31815.438170458565</v>
          </cell>
          <cell r="H15">
            <v>43</v>
          </cell>
          <cell r="I15">
            <v>190.6046511627907</v>
          </cell>
          <cell r="J15">
            <v>26501.830161054171</v>
          </cell>
          <cell r="K15">
            <v>42</v>
          </cell>
          <cell r="L15">
            <v>203.73809523809524</v>
          </cell>
          <cell r="M15">
            <v>40765.456468388453</v>
          </cell>
          <cell r="N15">
            <v>45</v>
          </cell>
          <cell r="O15">
            <v>190.33333333333334</v>
          </cell>
          <cell r="P15">
            <v>53198.492119089315</v>
          </cell>
        </row>
        <row r="16">
          <cell r="A16" t="str">
            <v>Resort</v>
          </cell>
          <cell r="B16">
            <v>86</v>
          </cell>
          <cell r="C16">
            <v>108.63953488372093</v>
          </cell>
          <cell r="D16">
            <v>63771.047843305147</v>
          </cell>
          <cell r="E16">
            <v>98</v>
          </cell>
          <cell r="F16">
            <v>189.23469387755102</v>
          </cell>
          <cell r="G16">
            <v>51265.528767861957</v>
          </cell>
          <cell r="H16">
            <v>85</v>
          </cell>
          <cell r="I16">
            <v>171.89411764705883</v>
          </cell>
          <cell r="J16">
            <v>62635.907466976932</v>
          </cell>
          <cell r="K16">
            <v>84</v>
          </cell>
          <cell r="L16">
            <v>199.29761904761904</v>
          </cell>
          <cell r="M16">
            <v>66074.510423511136</v>
          </cell>
          <cell r="N16">
            <v>73</v>
          </cell>
          <cell r="O16">
            <v>209.60273972602741</v>
          </cell>
          <cell r="P16">
            <v>58099.357427619107</v>
          </cell>
        </row>
        <row r="17">
          <cell r="A17" t="str">
            <v>Urban</v>
          </cell>
          <cell r="B17">
            <v>44</v>
          </cell>
          <cell r="C17">
            <v>184.31818181818181</v>
          </cell>
          <cell r="D17">
            <v>67690.45191122072</v>
          </cell>
          <cell r="E17">
            <v>43</v>
          </cell>
          <cell r="F17">
            <v>251.81395348837211</v>
          </cell>
          <cell r="G17">
            <v>50232.535186553381</v>
          </cell>
          <cell r="H17">
            <v>32</v>
          </cell>
          <cell r="I17">
            <v>292.3125</v>
          </cell>
          <cell r="J17">
            <v>46417.128287363696</v>
          </cell>
          <cell r="K17">
            <v>44</v>
          </cell>
          <cell r="L17">
            <v>338.47727272727275</v>
          </cell>
          <cell r="M17">
            <v>68601.313570133614</v>
          </cell>
          <cell r="N17">
            <v>45</v>
          </cell>
          <cell r="O17">
            <v>341.42222222222222</v>
          </cell>
          <cell r="P17">
            <v>83235.51809424629</v>
          </cell>
        </row>
        <row r="18">
          <cell r="A18" t="str">
            <v>GRAND TOTAL</v>
          </cell>
          <cell r="B18">
            <v>593</v>
          </cell>
          <cell r="C18">
            <v>117.44350758853288</v>
          </cell>
          <cell r="D18">
            <v>33568.330896559644</v>
          </cell>
          <cell r="E18">
            <v>561</v>
          </cell>
          <cell r="F18">
            <v>148.30124777183602</v>
          </cell>
          <cell r="G18">
            <v>32414.027008185392</v>
          </cell>
          <cell r="H18">
            <v>529</v>
          </cell>
          <cell r="I18">
            <v>148.65217391304347</v>
          </cell>
          <cell r="J18">
            <v>32688.659511425918</v>
          </cell>
          <cell r="K18">
            <v>570</v>
          </cell>
          <cell r="L18">
            <v>149.95789473684209</v>
          </cell>
          <cell r="M18">
            <v>45533.311900416491</v>
          </cell>
          <cell r="N18">
            <v>531</v>
          </cell>
          <cell r="O18">
            <v>166.00376647834275</v>
          </cell>
          <cell r="P18">
            <v>54255.443504106726</v>
          </cell>
        </row>
        <row r="19">
          <cell r="A19" t="str">
            <v>BY REGION</v>
          </cell>
        </row>
        <row r="20">
          <cell r="A20" t="str">
            <v>New England/Mid-Atlantic</v>
          </cell>
          <cell r="B20">
            <v>59</v>
          </cell>
          <cell r="C20">
            <v>99.847457627118644</v>
          </cell>
          <cell r="D20">
            <v>42283.833135291119</v>
          </cell>
          <cell r="E20">
            <v>67</v>
          </cell>
          <cell r="F20">
            <v>115.13432835820896</v>
          </cell>
          <cell r="G20">
            <v>33069.488073632354</v>
          </cell>
          <cell r="H20">
            <v>69</v>
          </cell>
          <cell r="I20">
            <v>136.60869565217391</v>
          </cell>
          <cell r="J20">
            <v>40077.657542966263</v>
          </cell>
          <cell r="K20">
            <v>75</v>
          </cell>
          <cell r="L20">
            <v>180.13333333333333</v>
          </cell>
          <cell r="M20">
            <v>50160.359363434494</v>
          </cell>
          <cell r="N20">
            <v>73</v>
          </cell>
          <cell r="O20">
            <v>179.21917808219177</v>
          </cell>
          <cell r="P20">
            <v>79145.902086677364</v>
          </cell>
        </row>
        <row r="21">
          <cell r="A21" t="str">
            <v>South Atlantic</v>
          </cell>
          <cell r="B21">
            <v>131</v>
          </cell>
          <cell r="C21">
            <v>130.02290076335879</v>
          </cell>
          <cell r="D21">
            <v>39282.819350672224</v>
          </cell>
          <cell r="E21">
            <v>151</v>
          </cell>
          <cell r="F21">
            <v>144.2980132450331</v>
          </cell>
          <cell r="G21">
            <v>27776.33526091147</v>
          </cell>
          <cell r="H21">
            <v>110</v>
          </cell>
          <cell r="I21">
            <v>163.8909090909091</v>
          </cell>
          <cell r="J21">
            <v>29663.377801198138</v>
          </cell>
          <cell r="K21">
            <v>179</v>
          </cell>
          <cell r="L21">
            <v>154.63128491620111</v>
          </cell>
          <cell r="M21">
            <v>38347.180497850357</v>
          </cell>
          <cell r="N21">
            <v>147</v>
          </cell>
          <cell r="O21">
            <v>169.70068027210885</v>
          </cell>
          <cell r="P21">
            <v>46629.38098292311</v>
          </cell>
        </row>
        <row r="22">
          <cell r="A22" t="str">
            <v>North Central</v>
          </cell>
          <cell r="B22">
            <v>98</v>
          </cell>
          <cell r="C22">
            <v>108.24489795918367</v>
          </cell>
          <cell r="D22">
            <v>19059.690701357467</v>
          </cell>
          <cell r="E22">
            <v>89</v>
          </cell>
          <cell r="F22">
            <v>130.91011235955057</v>
          </cell>
          <cell r="G22">
            <v>20660.596515320573</v>
          </cell>
          <cell r="H22">
            <v>79</v>
          </cell>
          <cell r="I22">
            <v>116.01265822784811</v>
          </cell>
          <cell r="J22">
            <v>18883.958647026731</v>
          </cell>
          <cell r="K22">
            <v>112</v>
          </cell>
          <cell r="L22">
            <v>105.07142857142857</v>
          </cell>
          <cell r="M22">
            <v>35796.089479945615</v>
          </cell>
          <cell r="N22">
            <v>92</v>
          </cell>
          <cell r="O22">
            <v>132.90217391304347</v>
          </cell>
          <cell r="P22">
            <v>46822.464872822442</v>
          </cell>
        </row>
        <row r="23">
          <cell r="A23" t="str">
            <v>South Central</v>
          </cell>
          <cell r="B23">
            <v>139</v>
          </cell>
          <cell r="C23">
            <v>130.64748201438849</v>
          </cell>
          <cell r="D23">
            <v>22643.973733480176</v>
          </cell>
          <cell r="E23">
            <v>105</v>
          </cell>
          <cell r="F23">
            <v>148.25714285714287</v>
          </cell>
          <cell r="G23">
            <v>23982.869467463224</v>
          </cell>
          <cell r="H23">
            <v>109</v>
          </cell>
          <cell r="I23">
            <v>159.20183486238531</v>
          </cell>
          <cell r="J23">
            <v>18397.424018901631</v>
          </cell>
          <cell r="K23">
            <v>86</v>
          </cell>
          <cell r="L23">
            <v>139.38372093023256</v>
          </cell>
          <cell r="M23">
            <v>38873.109952448489</v>
          </cell>
          <cell r="N23">
            <v>90</v>
          </cell>
          <cell r="O23">
            <v>148.1888888888889</v>
          </cell>
          <cell r="P23">
            <v>48879.420259428654</v>
          </cell>
        </row>
        <row r="24">
          <cell r="A24" t="str">
            <v>Mountain / Pacific</v>
          </cell>
          <cell r="B24">
            <v>166</v>
          </cell>
          <cell r="C24">
            <v>108.14457831325301</v>
          </cell>
          <cell r="D24">
            <v>44910.581105169338</v>
          </cell>
          <cell r="E24">
            <v>149</v>
          </cell>
          <cell r="F24">
            <v>177.69127516778522</v>
          </cell>
          <cell r="G24">
            <v>46169.182127209548</v>
          </cell>
          <cell r="H24">
            <v>162</v>
          </cell>
          <cell r="I24">
            <v>152.25308641975309</v>
          </cell>
          <cell r="J24">
            <v>47260.197161970405</v>
          </cell>
          <cell r="K24">
            <v>118</v>
          </cell>
          <cell r="L24">
            <v>174</v>
          </cell>
          <cell r="M24">
            <v>61645.575394506137</v>
          </cell>
          <cell r="N24">
            <v>129</v>
          </cell>
          <cell r="O24">
            <v>190.34883720930233</v>
          </cell>
          <cell r="P24">
            <v>55362.384565261658</v>
          </cell>
        </row>
        <row r="25">
          <cell r="A25" t="str">
            <v>GRAND TOTAL</v>
          </cell>
          <cell r="B25">
            <v>593</v>
          </cell>
          <cell r="C25">
            <v>117.44350758853288</v>
          </cell>
          <cell r="D25">
            <v>33568.330896559644</v>
          </cell>
          <cell r="E25">
            <v>561</v>
          </cell>
          <cell r="F25">
            <v>148.30124777183602</v>
          </cell>
          <cell r="G25">
            <v>32414.027008185392</v>
          </cell>
          <cell r="H25">
            <v>529</v>
          </cell>
          <cell r="I25">
            <v>148.65217391304347</v>
          </cell>
          <cell r="J25">
            <v>32688.659511425918</v>
          </cell>
          <cell r="K25">
            <v>570</v>
          </cell>
          <cell r="L25">
            <v>149.95789473684209</v>
          </cell>
          <cell r="M25">
            <v>45533.311900416491</v>
          </cell>
          <cell r="N25">
            <v>531</v>
          </cell>
          <cell r="O25">
            <v>166.00376647834275</v>
          </cell>
          <cell r="P25">
            <v>54255.443504106726</v>
          </cell>
        </row>
        <row r="26">
          <cell r="A26" t="str">
            <v>BY PROPERTY SIZE</v>
          </cell>
        </row>
        <row r="27">
          <cell r="A27" t="str">
            <v>&lt;75 rooms</v>
          </cell>
          <cell r="B27">
            <v>234</v>
          </cell>
          <cell r="C27">
            <v>40.166666666666664</v>
          </cell>
          <cell r="D27">
            <v>26967.279706351736</v>
          </cell>
          <cell r="E27">
            <v>176</v>
          </cell>
          <cell r="F27">
            <v>42.034090909090907</v>
          </cell>
          <cell r="G27">
            <v>25237.104352527709</v>
          </cell>
          <cell r="H27">
            <v>151</v>
          </cell>
          <cell r="I27">
            <v>41.41721854304636</v>
          </cell>
          <cell r="J27">
            <v>29391.964023025263</v>
          </cell>
          <cell r="K27">
            <v>159</v>
          </cell>
          <cell r="L27">
            <v>42.955974842767297</v>
          </cell>
          <cell r="M27">
            <v>23268.089751098098</v>
          </cell>
          <cell r="N27">
            <v>120</v>
          </cell>
          <cell r="O27">
            <v>41.608333333333334</v>
          </cell>
          <cell r="P27">
            <v>23626.177848988584</v>
          </cell>
        </row>
        <row r="28">
          <cell r="A28" t="str">
            <v>75–150 rooms</v>
          </cell>
          <cell r="B28">
            <v>204</v>
          </cell>
          <cell r="C28">
            <v>111.49509803921569</v>
          </cell>
          <cell r="D28">
            <v>20299.214816443175</v>
          </cell>
          <cell r="E28">
            <v>196</v>
          </cell>
          <cell r="F28">
            <v>112.45918367346938</v>
          </cell>
          <cell r="G28">
            <v>20302.329960983578</v>
          </cell>
          <cell r="H28">
            <v>175</v>
          </cell>
          <cell r="I28">
            <v>113.05714285714286</v>
          </cell>
          <cell r="J28">
            <v>21525.620520596411</v>
          </cell>
          <cell r="K28">
            <v>237</v>
          </cell>
          <cell r="L28">
            <v>115.40084388185655</v>
          </cell>
          <cell r="M28">
            <v>33355.974442413164</v>
          </cell>
          <cell r="N28">
            <v>204</v>
          </cell>
          <cell r="O28">
            <v>113.73039215686275</v>
          </cell>
          <cell r="P28">
            <v>39259.830524546356</v>
          </cell>
        </row>
        <row r="29">
          <cell r="A29" t="str">
            <v>150–300 rooms</v>
          </cell>
          <cell r="B29">
            <v>120</v>
          </cell>
          <cell r="C29">
            <v>198.23333333333332</v>
          </cell>
          <cell r="D29">
            <v>28711.205776021525</v>
          </cell>
          <cell r="E29">
            <v>145</v>
          </cell>
          <cell r="F29">
            <v>206.13103448275862</v>
          </cell>
          <cell r="G29">
            <v>28953.280805647562</v>
          </cell>
          <cell r="H29">
            <v>161</v>
          </cell>
          <cell r="I29">
            <v>203.52173913043478</v>
          </cell>
          <cell r="J29">
            <v>24669.419660023803</v>
          </cell>
          <cell r="K29">
            <v>121</v>
          </cell>
          <cell r="L29">
            <v>209.6694214876033</v>
          </cell>
          <cell r="M29">
            <v>38379.1649191959</v>
          </cell>
          <cell r="N29">
            <v>146</v>
          </cell>
          <cell r="O29">
            <v>199.23972602739727</v>
          </cell>
          <cell r="P29">
            <v>51352.857540651108</v>
          </cell>
        </row>
        <row r="30">
          <cell r="A30" t="str">
            <v>300–500 rooms</v>
          </cell>
          <cell r="B30">
            <v>32</v>
          </cell>
          <cell r="C30">
            <v>355</v>
          </cell>
          <cell r="D30">
            <v>60014.26681338028</v>
          </cell>
          <cell r="E30">
            <v>31</v>
          </cell>
          <cell r="F30">
            <v>372.35483870967744</v>
          </cell>
          <cell r="G30">
            <v>52706.067746686305</v>
          </cell>
          <cell r="H30">
            <v>31</v>
          </cell>
          <cell r="I30">
            <v>379.83870967741933</v>
          </cell>
          <cell r="J30">
            <v>34436.815201698511</v>
          </cell>
          <cell r="K30">
            <v>34</v>
          </cell>
          <cell r="L30">
            <v>353.70588235294116</v>
          </cell>
          <cell r="M30">
            <v>56895.809080325962</v>
          </cell>
          <cell r="N30">
            <v>43</v>
          </cell>
          <cell r="O30">
            <v>372.18604651162792</v>
          </cell>
          <cell r="P30">
            <v>65923.791864533865</v>
          </cell>
        </row>
        <row r="31">
          <cell r="A31" t="str">
            <v>&gt;500 rooms</v>
          </cell>
          <cell r="B31">
            <v>3</v>
          </cell>
          <cell r="C31">
            <v>784</v>
          </cell>
          <cell r="D31">
            <v>109658.80102040817</v>
          </cell>
          <cell r="E31">
            <v>13</v>
          </cell>
          <cell r="F31">
            <v>948.07692307692309</v>
          </cell>
          <cell r="G31">
            <v>47770.466531440165</v>
          </cell>
          <cell r="H31">
            <v>11</v>
          </cell>
          <cell r="I31">
            <v>732.36363636363637</v>
          </cell>
          <cell r="J31">
            <v>92725.918570009933</v>
          </cell>
          <cell r="K31">
            <v>19</v>
          </cell>
          <cell r="L31">
            <v>731.57894736842104</v>
          </cell>
          <cell r="M31">
            <v>83661.151079136689</v>
          </cell>
          <cell r="N31">
            <v>18</v>
          </cell>
          <cell r="O31">
            <v>825.61111111111109</v>
          </cell>
          <cell r="P31">
            <v>81073.168831168834</v>
          </cell>
        </row>
        <row r="32">
          <cell r="A32" t="str">
            <v>GRAND TOTAL</v>
          </cell>
          <cell r="B32">
            <v>593</v>
          </cell>
          <cell r="C32">
            <v>117.44350758853288</v>
          </cell>
          <cell r="D32">
            <v>33568.330896559644</v>
          </cell>
          <cell r="E32">
            <v>561</v>
          </cell>
          <cell r="F32">
            <v>148.30124777183602</v>
          </cell>
          <cell r="G32">
            <v>32414.027008185392</v>
          </cell>
          <cell r="H32">
            <v>529</v>
          </cell>
          <cell r="I32">
            <v>148.65217391304347</v>
          </cell>
          <cell r="J32">
            <v>32688.659511425918</v>
          </cell>
          <cell r="K32">
            <v>570</v>
          </cell>
          <cell r="L32">
            <v>149.95789473684209</v>
          </cell>
          <cell r="M32">
            <v>45533.311900416491</v>
          </cell>
          <cell r="N32">
            <v>531</v>
          </cell>
          <cell r="O32">
            <v>166.00376647834275</v>
          </cell>
          <cell r="P32">
            <v>54255.443504106726</v>
          </cell>
        </row>
        <row r="33">
          <cell r="A33" t="str">
            <v>BY SIZE OF TRANSACTION</v>
          </cell>
        </row>
        <row r="34">
          <cell r="A34" t="str">
            <v>&lt;$1 million</v>
          </cell>
          <cell r="B34">
            <v>181</v>
          </cell>
          <cell r="C34">
            <v>52.447513812154696</v>
          </cell>
          <cell r="D34">
            <v>10944.479823027496</v>
          </cell>
          <cell r="E34">
            <v>150</v>
          </cell>
          <cell r="F34">
            <v>56.96</v>
          </cell>
          <cell r="G34">
            <v>10257.266853932584</v>
          </cell>
          <cell r="H34">
            <v>123</v>
          </cell>
          <cell r="I34">
            <v>59.869918699186989</v>
          </cell>
          <cell r="J34">
            <v>9942.7825909831608</v>
          </cell>
          <cell r="K34">
            <v>135</v>
          </cell>
          <cell r="L34">
            <v>51.229629629629628</v>
          </cell>
          <cell r="M34">
            <v>10909.996674378253</v>
          </cell>
          <cell r="N34">
            <v>93</v>
          </cell>
          <cell r="O34">
            <v>45.365591397849464</v>
          </cell>
          <cell r="P34">
            <v>12996.96729082721</v>
          </cell>
        </row>
        <row r="35">
          <cell r="A35" t="str">
            <v>$1–2.5 million</v>
          </cell>
          <cell r="B35">
            <v>218</v>
          </cell>
          <cell r="C35">
            <v>98.738532110091739</v>
          </cell>
          <cell r="D35">
            <v>15782.65468060395</v>
          </cell>
          <cell r="E35">
            <v>194</v>
          </cell>
          <cell r="F35">
            <v>110.78350515463917</v>
          </cell>
          <cell r="G35">
            <v>14590.96659222036</v>
          </cell>
          <cell r="H35">
            <v>182</v>
          </cell>
          <cell r="I35">
            <v>114.18131868131869</v>
          </cell>
          <cell r="J35">
            <v>14362.83104759155</v>
          </cell>
          <cell r="K35">
            <v>117</v>
          </cell>
          <cell r="L35">
            <v>104.97435897435898</v>
          </cell>
          <cell r="M35">
            <v>14938.558133854422</v>
          </cell>
          <cell r="N35">
            <v>100</v>
          </cell>
          <cell r="O35">
            <v>97.01</v>
          </cell>
          <cell r="P35">
            <v>17239.299453664571</v>
          </cell>
        </row>
        <row r="36">
          <cell r="A36" t="str">
            <v>$2.5–5 million</v>
          </cell>
          <cell r="B36">
            <v>101</v>
          </cell>
          <cell r="C36">
            <v>153.98019801980197</v>
          </cell>
          <cell r="D36">
            <v>21884.413194444445</v>
          </cell>
          <cell r="E36">
            <v>108</v>
          </cell>
          <cell r="F36">
            <v>154.81481481481481</v>
          </cell>
          <cell r="G36">
            <v>21391.41447368421</v>
          </cell>
          <cell r="H36">
            <v>103</v>
          </cell>
          <cell r="I36">
            <v>165.873786407767</v>
          </cell>
          <cell r="J36">
            <v>19693.76142815335</v>
          </cell>
          <cell r="K36">
            <v>135</v>
          </cell>
          <cell r="L36">
            <v>137.66666666666666</v>
          </cell>
          <cell r="M36">
            <v>26899.465644336829</v>
          </cell>
          <cell r="N36">
            <v>91</v>
          </cell>
          <cell r="O36">
            <v>134.46153846153845</v>
          </cell>
          <cell r="P36">
            <v>25581.121036286368</v>
          </cell>
        </row>
        <row r="37">
          <cell r="A37" t="str">
            <v>$5–10 million</v>
          </cell>
          <cell r="B37">
            <v>47</v>
          </cell>
          <cell r="C37">
            <v>187.25531914893617</v>
          </cell>
          <cell r="D37">
            <v>37025.544483581412</v>
          </cell>
          <cell r="E37">
            <v>47</v>
          </cell>
          <cell r="F37">
            <v>213.55319148936169</v>
          </cell>
          <cell r="G37">
            <v>31832.441267310951</v>
          </cell>
          <cell r="H37">
            <v>75</v>
          </cell>
          <cell r="I37">
            <v>199.21333333333334</v>
          </cell>
          <cell r="J37">
            <v>35116.139281172611</v>
          </cell>
          <cell r="K37">
            <v>86</v>
          </cell>
          <cell r="L37">
            <v>146.86046511627907</v>
          </cell>
          <cell r="M37">
            <v>45427.400475059381</v>
          </cell>
          <cell r="N37">
            <v>120</v>
          </cell>
          <cell r="O37">
            <v>149.78333333333333</v>
          </cell>
          <cell r="P37">
            <v>49994.371481028153</v>
          </cell>
        </row>
        <row r="38">
          <cell r="A38" t="str">
            <v>$10–20 million</v>
          </cell>
          <cell r="B38">
            <v>25</v>
          </cell>
          <cell r="C38">
            <v>231.96</v>
          </cell>
          <cell r="D38">
            <v>54712.444559406795</v>
          </cell>
          <cell r="E38">
            <v>38</v>
          </cell>
          <cell r="F38">
            <v>302.78947368421052</v>
          </cell>
          <cell r="G38">
            <v>46137.319659308188</v>
          </cell>
          <cell r="H38">
            <v>30</v>
          </cell>
          <cell r="I38">
            <v>314.66666666666669</v>
          </cell>
          <cell r="J38">
            <v>42240.182627118644</v>
          </cell>
          <cell r="K38">
            <v>56</v>
          </cell>
          <cell r="L38">
            <v>263.375</v>
          </cell>
          <cell r="M38">
            <v>48589.356769950507</v>
          </cell>
          <cell r="N38">
            <v>78</v>
          </cell>
          <cell r="O38">
            <v>246.38461538461539</v>
          </cell>
          <cell r="P38">
            <v>55636.376834217917</v>
          </cell>
        </row>
        <row r="39">
          <cell r="A39" t="str">
            <v>&gt;$20 million</v>
          </cell>
          <cell r="B39">
            <v>21</v>
          </cell>
          <cell r="C39">
            <v>403.52380952380952</v>
          </cell>
          <cell r="D39">
            <v>107473.3975690347</v>
          </cell>
          <cell r="E39">
            <v>24</v>
          </cell>
          <cell r="F39">
            <v>620.75</v>
          </cell>
          <cell r="G39">
            <v>72996.375352396295</v>
          </cell>
          <cell r="H39">
            <v>16</v>
          </cell>
          <cell r="I39">
            <v>564.125</v>
          </cell>
          <cell r="J39">
            <v>104028.36250830934</v>
          </cell>
          <cell r="K39">
            <v>41</v>
          </cell>
          <cell r="L39">
            <v>495.46341463414632</v>
          </cell>
          <cell r="M39">
            <v>90713.665452397356</v>
          </cell>
          <cell r="N39">
            <v>49</v>
          </cell>
          <cell r="O39">
            <v>506.12244897959181</v>
          </cell>
          <cell r="P39">
            <v>91919.631653225806</v>
          </cell>
        </row>
        <row r="40">
          <cell r="A40" t="str">
            <v>GRAND TOTAL</v>
          </cell>
          <cell r="B40">
            <v>593</v>
          </cell>
          <cell r="C40">
            <v>117.44350758853288</v>
          </cell>
          <cell r="D40">
            <v>33568.330896559644</v>
          </cell>
          <cell r="E40">
            <v>561</v>
          </cell>
          <cell r="F40">
            <v>148.30124777183602</v>
          </cell>
          <cell r="G40">
            <v>32414.027008185392</v>
          </cell>
          <cell r="H40">
            <v>529</v>
          </cell>
          <cell r="I40">
            <v>148.65217391304347</v>
          </cell>
          <cell r="J40">
            <v>32688.659511425918</v>
          </cell>
          <cell r="K40">
            <v>570</v>
          </cell>
          <cell r="L40">
            <v>149.95789473684209</v>
          </cell>
          <cell r="M40">
            <v>45533.311900416491</v>
          </cell>
          <cell r="N40">
            <v>531</v>
          </cell>
          <cell r="O40">
            <v>166.00376647834275</v>
          </cell>
          <cell r="P40">
            <v>54255.443504106726</v>
          </cell>
        </row>
        <row r="41">
          <cell r="A41" t="str">
            <v>Source: National Hotel Realty Advisors, Hotel &amp; Motel Brokers of America and Hospitality Valuation Services</v>
          </cell>
        </row>
      </sheetData>
      <sheetData sheetId="1"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s"/>
      <sheetName val="PIVOTS"/>
      <sheetName val="Starwood Mkt Share"/>
    </sheetNames>
    <sheetDataSet>
      <sheetData sheetId="0" refreshError="1">
        <row r="8">
          <cell r="A8" t="str">
            <v>Anaheim, CA</v>
          </cell>
          <cell r="B8">
            <v>2</v>
          </cell>
          <cell r="C8">
            <v>324</v>
          </cell>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row>
        <row r="9">
          <cell r="A9" t="str">
            <v>Atlanta, GA</v>
          </cell>
          <cell r="B9">
            <v>1</v>
          </cell>
          <cell r="C9">
            <v>400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row>
        <row r="10">
          <cell r="A10" t="str">
            <v>Boston, MA</v>
          </cell>
          <cell r="B10">
            <v>2</v>
          </cell>
          <cell r="C10">
            <v>328</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row>
        <row r="11">
          <cell r="A11" t="str">
            <v>Chicago, IL</v>
          </cell>
          <cell r="B11">
            <v>3</v>
          </cell>
          <cell r="C11">
            <v>746</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row>
        <row r="12">
          <cell r="A12" t="str">
            <v>Dallas, TX</v>
          </cell>
          <cell r="B12">
            <v>0</v>
          </cell>
          <cell r="C12">
            <v>0</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row>
        <row r="13">
          <cell r="A13" t="str">
            <v>Denver, CO</v>
          </cell>
          <cell r="B13">
            <v>5</v>
          </cell>
          <cell r="C13">
            <v>1069</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row>
        <row r="14">
          <cell r="A14" t="str">
            <v>Detroit, MI</v>
          </cell>
          <cell r="B14">
            <v>1</v>
          </cell>
          <cell r="C14">
            <v>177</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row>
        <row r="15">
          <cell r="A15" t="str">
            <v>Houston, TX</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row>
        <row r="16">
          <cell r="A16" t="str">
            <v>Los Angeles, CA</v>
          </cell>
          <cell r="B16">
            <v>4</v>
          </cell>
          <cell r="C16">
            <v>1214</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row>
        <row r="17">
          <cell r="A17" t="str">
            <v>Miami, FL</v>
          </cell>
          <cell r="B17">
            <v>0</v>
          </cell>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row>
        <row r="18">
          <cell r="A18" t="str">
            <v>Minneapolis, MN</v>
          </cell>
          <cell r="B18">
            <v>1</v>
          </cell>
          <cell r="C18">
            <v>550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row>
        <row r="19">
          <cell r="A19" t="str">
            <v>Nashville, TN</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row>
        <row r="20">
          <cell r="A20" t="str">
            <v>New Orleans, LA</v>
          </cell>
          <cell r="B20">
            <v>0</v>
          </cell>
          <cell r="C20">
            <v>0</v>
          </cell>
          <cell r="D20">
            <v>0</v>
          </cell>
          <cell r="E20">
            <v>0</v>
          </cell>
          <cell r="F20">
            <v>1</v>
          </cell>
          <cell r="G20">
            <v>322</v>
          </cell>
          <cell r="H20">
            <v>1</v>
          </cell>
          <cell r="I20">
            <v>322</v>
          </cell>
          <cell r="J20">
            <v>0</v>
          </cell>
          <cell r="K20">
            <v>0</v>
          </cell>
          <cell r="L20">
            <v>0</v>
          </cell>
          <cell r="M20">
            <v>0</v>
          </cell>
          <cell r="N20">
            <v>0</v>
          </cell>
          <cell r="O20">
            <v>0</v>
          </cell>
          <cell r="P20">
            <v>1</v>
          </cell>
          <cell r="Q20">
            <v>322</v>
          </cell>
          <cell r="R20">
            <v>0</v>
          </cell>
          <cell r="S20">
            <v>0</v>
          </cell>
          <cell r="T20">
            <v>0</v>
          </cell>
          <cell r="U20">
            <v>0</v>
          </cell>
        </row>
        <row r="21">
          <cell r="A21" t="str">
            <v>New York, NY</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row>
        <row r="22">
          <cell r="A22" t="str">
            <v>Norfolk, VA</v>
          </cell>
          <cell r="B22">
            <v>1</v>
          </cell>
          <cell r="C22">
            <v>200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row>
        <row r="23">
          <cell r="A23" t="str">
            <v>Oahu Island, HI</v>
          </cell>
          <cell r="B23">
            <v>0</v>
          </cell>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row>
        <row r="24">
          <cell r="A24" t="str">
            <v>Orlando, FL</v>
          </cell>
          <cell r="B24">
            <v>2</v>
          </cell>
          <cell r="C24">
            <v>571</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row>
        <row r="25">
          <cell r="A25" t="str">
            <v>Philadelphia, PA</v>
          </cell>
          <cell r="B25">
            <v>1</v>
          </cell>
          <cell r="C25">
            <v>213</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row>
        <row r="26">
          <cell r="A26" t="str">
            <v>Phoenix, AZ</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row>
        <row r="27">
          <cell r="A27" t="str">
            <v>Saint Louis, MO</v>
          </cell>
          <cell r="B27">
            <v>1</v>
          </cell>
          <cell r="C27">
            <v>188</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row>
        <row r="28">
          <cell r="A28" t="str">
            <v>San Diego, CA</v>
          </cell>
          <cell r="B28">
            <v>2</v>
          </cell>
          <cell r="C28">
            <v>434</v>
          </cell>
          <cell r="D28">
            <v>1</v>
          </cell>
          <cell r="E28">
            <v>101</v>
          </cell>
          <cell r="F28">
            <v>0</v>
          </cell>
          <cell r="G28">
            <v>0</v>
          </cell>
          <cell r="H28">
            <v>1</v>
          </cell>
          <cell r="I28">
            <v>101</v>
          </cell>
          <cell r="J28">
            <v>0</v>
          </cell>
          <cell r="K28">
            <v>0</v>
          </cell>
          <cell r="L28">
            <v>0</v>
          </cell>
          <cell r="M28">
            <v>0</v>
          </cell>
          <cell r="N28">
            <v>1</v>
          </cell>
          <cell r="O28">
            <v>101</v>
          </cell>
          <cell r="P28">
            <v>0</v>
          </cell>
          <cell r="Q28">
            <v>0</v>
          </cell>
          <cell r="R28">
            <v>0</v>
          </cell>
          <cell r="S28">
            <v>0</v>
          </cell>
          <cell r="T28">
            <v>0</v>
          </cell>
          <cell r="U28">
            <v>0</v>
          </cell>
        </row>
        <row r="29">
          <cell r="A29" t="str">
            <v>San Francisco, CA</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row>
        <row r="30">
          <cell r="A30" t="str">
            <v>Seattle, WA</v>
          </cell>
          <cell r="B30">
            <v>0</v>
          </cell>
          <cell r="C30">
            <v>0</v>
          </cell>
          <cell r="D30">
            <v>1</v>
          </cell>
          <cell r="E30">
            <v>150</v>
          </cell>
          <cell r="F30">
            <v>0</v>
          </cell>
          <cell r="G30">
            <v>0</v>
          </cell>
          <cell r="H30">
            <v>1</v>
          </cell>
          <cell r="I30">
            <v>150</v>
          </cell>
          <cell r="J30">
            <v>0</v>
          </cell>
          <cell r="K30">
            <v>0</v>
          </cell>
          <cell r="L30">
            <v>0</v>
          </cell>
          <cell r="M30">
            <v>0</v>
          </cell>
          <cell r="N30">
            <v>1</v>
          </cell>
          <cell r="O30">
            <v>150</v>
          </cell>
          <cell r="P30">
            <v>0</v>
          </cell>
          <cell r="Q30">
            <v>0</v>
          </cell>
          <cell r="R30">
            <v>0</v>
          </cell>
          <cell r="S30">
            <v>0</v>
          </cell>
          <cell r="T30">
            <v>0</v>
          </cell>
          <cell r="U30">
            <v>0</v>
          </cell>
        </row>
        <row r="31">
          <cell r="A31" t="str">
            <v>Tampa, FL</v>
          </cell>
          <cell r="B31">
            <v>1</v>
          </cell>
          <cell r="C31">
            <v>99</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row>
        <row r="32">
          <cell r="A32" t="str">
            <v>Washington, DC</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row>
        <row r="47">
          <cell r="A47" t="str">
            <v>Anaheim, CA</v>
          </cell>
          <cell r="B47">
            <v>1</v>
          </cell>
          <cell r="C47">
            <v>491</v>
          </cell>
          <cell r="D47">
            <v>0</v>
          </cell>
          <cell r="E47">
            <v>0</v>
          </cell>
          <cell r="F47">
            <v>0</v>
          </cell>
          <cell r="G47">
            <v>0</v>
          </cell>
          <cell r="H47">
            <v>0</v>
          </cell>
          <cell r="I47">
            <v>0</v>
          </cell>
          <cell r="J47">
            <v>1</v>
          </cell>
          <cell r="K47">
            <v>300</v>
          </cell>
          <cell r="L47">
            <v>0</v>
          </cell>
          <cell r="M47">
            <v>0</v>
          </cell>
          <cell r="N47">
            <v>0</v>
          </cell>
          <cell r="O47">
            <v>0</v>
          </cell>
          <cell r="P47">
            <v>0</v>
          </cell>
          <cell r="Q47">
            <v>0</v>
          </cell>
          <cell r="R47">
            <v>1</v>
          </cell>
          <cell r="S47">
            <v>300</v>
          </cell>
          <cell r="T47">
            <v>0</v>
          </cell>
          <cell r="U47">
            <v>0</v>
          </cell>
        </row>
        <row r="48">
          <cell r="A48" t="str">
            <v>Atlanta, GA</v>
          </cell>
          <cell r="B48">
            <v>5</v>
          </cell>
          <cell r="C48">
            <v>2237</v>
          </cell>
          <cell r="D48">
            <v>0</v>
          </cell>
          <cell r="E48">
            <v>0</v>
          </cell>
          <cell r="F48">
            <v>1</v>
          </cell>
          <cell r="G48">
            <v>244</v>
          </cell>
          <cell r="H48">
            <v>1</v>
          </cell>
          <cell r="I48">
            <v>244</v>
          </cell>
          <cell r="J48">
            <v>0</v>
          </cell>
          <cell r="K48">
            <v>0</v>
          </cell>
          <cell r="L48">
            <v>0</v>
          </cell>
          <cell r="M48">
            <v>0</v>
          </cell>
          <cell r="N48">
            <v>0</v>
          </cell>
          <cell r="O48">
            <v>0</v>
          </cell>
          <cell r="P48">
            <v>1</v>
          </cell>
          <cell r="Q48">
            <v>244</v>
          </cell>
          <cell r="R48">
            <v>0</v>
          </cell>
          <cell r="S48">
            <v>0</v>
          </cell>
          <cell r="T48">
            <v>0</v>
          </cell>
          <cell r="U48">
            <v>0</v>
          </cell>
        </row>
        <row r="49">
          <cell r="A49" t="str">
            <v>Boston, MA</v>
          </cell>
          <cell r="B49">
            <v>8</v>
          </cell>
          <cell r="C49">
            <v>3019</v>
          </cell>
          <cell r="D49">
            <v>0</v>
          </cell>
          <cell r="E49">
            <v>0</v>
          </cell>
          <cell r="F49">
            <v>1</v>
          </cell>
          <cell r="G49">
            <v>1120</v>
          </cell>
          <cell r="H49">
            <v>1</v>
          </cell>
          <cell r="I49">
            <v>1120</v>
          </cell>
          <cell r="J49">
            <v>0</v>
          </cell>
          <cell r="K49">
            <v>0</v>
          </cell>
          <cell r="L49">
            <v>0</v>
          </cell>
          <cell r="M49">
            <v>0</v>
          </cell>
          <cell r="N49">
            <v>0</v>
          </cell>
          <cell r="O49">
            <v>0</v>
          </cell>
          <cell r="P49">
            <v>0</v>
          </cell>
          <cell r="Q49">
            <v>0</v>
          </cell>
          <cell r="R49">
            <v>1</v>
          </cell>
          <cell r="S49">
            <v>1120</v>
          </cell>
          <cell r="T49">
            <v>0</v>
          </cell>
          <cell r="U49">
            <v>0</v>
          </cell>
        </row>
        <row r="50">
          <cell r="A50" t="str">
            <v>Chicago, IL</v>
          </cell>
          <cell r="B50">
            <v>5</v>
          </cell>
          <cell r="C50">
            <v>2552</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row>
        <row r="51">
          <cell r="A51" t="str">
            <v>Dallas, TX</v>
          </cell>
          <cell r="B51">
            <v>5</v>
          </cell>
          <cell r="C51">
            <v>1441</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row>
        <row r="52">
          <cell r="A52" t="str">
            <v>Denver, CO</v>
          </cell>
          <cell r="B52">
            <v>1</v>
          </cell>
          <cell r="C52">
            <v>245</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row>
        <row r="53">
          <cell r="A53" t="str">
            <v>Detroit, MI</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row>
        <row r="54">
          <cell r="A54" t="str">
            <v>Houston, TX</v>
          </cell>
          <cell r="B54">
            <v>6</v>
          </cell>
          <cell r="C54">
            <v>2263</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row>
        <row r="55">
          <cell r="A55" t="str">
            <v>Los Angeles, CA</v>
          </cell>
          <cell r="B55">
            <v>8</v>
          </cell>
          <cell r="C55">
            <v>2857</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row>
        <row r="56">
          <cell r="A56" t="str">
            <v>Miami, FL</v>
          </cell>
          <cell r="B56">
            <v>2</v>
          </cell>
          <cell r="C56">
            <v>1263</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row>
        <row r="57">
          <cell r="A57" t="str">
            <v>Minneapolis, MN</v>
          </cell>
          <cell r="B57">
            <v>1</v>
          </cell>
          <cell r="C57">
            <v>254</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row>
        <row r="58">
          <cell r="A58" t="str">
            <v>Nashville, TN</v>
          </cell>
          <cell r="B58">
            <v>1</v>
          </cell>
          <cell r="C58">
            <v>412</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row>
        <row r="59">
          <cell r="A59" t="str">
            <v>New Orleans, LA</v>
          </cell>
          <cell r="B59">
            <v>1</v>
          </cell>
          <cell r="C59">
            <v>1100</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row>
        <row r="60">
          <cell r="A60" t="str">
            <v>New York, NY</v>
          </cell>
          <cell r="B60">
            <v>5</v>
          </cell>
          <cell r="C60">
            <v>2902</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row>
        <row r="61">
          <cell r="A61" t="str">
            <v>Norfolk, VA</v>
          </cell>
          <cell r="B61">
            <v>1</v>
          </cell>
          <cell r="C61">
            <v>203</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row>
        <row r="62">
          <cell r="A62" t="str">
            <v>Oahu Island, HI</v>
          </cell>
          <cell r="B62">
            <v>3</v>
          </cell>
          <cell r="C62">
            <v>3640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row>
        <row r="63">
          <cell r="A63" t="str">
            <v>Orlando, FL</v>
          </cell>
          <cell r="B63">
            <v>6</v>
          </cell>
          <cell r="C63">
            <v>3084</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row>
        <row r="64">
          <cell r="A64" t="str">
            <v>Philadelphia, PA</v>
          </cell>
          <cell r="B64">
            <v>6</v>
          </cell>
          <cell r="C64">
            <v>1519</v>
          </cell>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row>
        <row r="65">
          <cell r="A65" t="str">
            <v>Phoenix, AZ</v>
          </cell>
          <cell r="B65">
            <v>5</v>
          </cell>
          <cell r="C65">
            <v>1355</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row>
        <row r="66">
          <cell r="A66" t="str">
            <v>Saint Louis, MO</v>
          </cell>
          <cell r="B66">
            <v>1</v>
          </cell>
          <cell r="C66">
            <v>212</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row>
        <row r="67">
          <cell r="A67" t="str">
            <v>San Diego, CA</v>
          </cell>
          <cell r="B67">
            <v>2</v>
          </cell>
          <cell r="C67">
            <v>1439</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row>
        <row r="68">
          <cell r="A68" t="str">
            <v>San Francisco, CA</v>
          </cell>
          <cell r="B68">
            <v>3</v>
          </cell>
          <cell r="C68">
            <v>1481</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row>
        <row r="69">
          <cell r="A69" t="str">
            <v>Seattle, WA</v>
          </cell>
          <cell r="B69">
            <v>1</v>
          </cell>
          <cell r="C69">
            <v>840</v>
          </cell>
          <cell r="D69">
            <v>1</v>
          </cell>
          <cell r="E69">
            <v>292</v>
          </cell>
          <cell r="F69">
            <v>0</v>
          </cell>
          <cell r="G69">
            <v>0</v>
          </cell>
          <cell r="H69">
            <v>1</v>
          </cell>
          <cell r="I69">
            <v>292</v>
          </cell>
          <cell r="J69">
            <v>0</v>
          </cell>
          <cell r="K69">
            <v>0</v>
          </cell>
          <cell r="L69">
            <v>0</v>
          </cell>
          <cell r="M69">
            <v>0</v>
          </cell>
          <cell r="N69">
            <v>1</v>
          </cell>
          <cell r="O69">
            <v>292</v>
          </cell>
          <cell r="P69">
            <v>0</v>
          </cell>
          <cell r="Q69">
            <v>0</v>
          </cell>
          <cell r="R69">
            <v>0</v>
          </cell>
          <cell r="S69">
            <v>0</v>
          </cell>
          <cell r="T69">
            <v>0</v>
          </cell>
          <cell r="U69">
            <v>0</v>
          </cell>
        </row>
        <row r="70">
          <cell r="A70" t="str">
            <v>Tampa, FL</v>
          </cell>
          <cell r="B70">
            <v>3</v>
          </cell>
          <cell r="C70">
            <v>1104</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row>
        <row r="71">
          <cell r="A71" t="str">
            <v>Washington, DC</v>
          </cell>
          <cell r="B71">
            <v>7</v>
          </cell>
          <cell r="C71">
            <v>2019</v>
          </cell>
          <cell r="D71">
            <v>0</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row>
        <row r="81">
          <cell r="A81" t="str">
            <v>Anaheim, CA</v>
          </cell>
          <cell r="B81">
            <v>0</v>
          </cell>
          <cell r="C81">
            <v>0</v>
          </cell>
          <cell r="D81">
            <v>0</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row>
        <row r="82">
          <cell r="A82" t="str">
            <v>Atlanta, GA</v>
          </cell>
          <cell r="B82">
            <v>1</v>
          </cell>
          <cell r="C82">
            <v>276</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row>
        <row r="83">
          <cell r="A83" t="str">
            <v>Boston, MA</v>
          </cell>
          <cell r="B83">
            <v>0</v>
          </cell>
          <cell r="C83">
            <v>0</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row>
        <row r="84">
          <cell r="A84" t="str">
            <v>Chicago, IL</v>
          </cell>
          <cell r="B84">
            <v>2</v>
          </cell>
          <cell r="C84">
            <v>968</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row>
        <row r="85">
          <cell r="A85" t="str">
            <v>Dallas, TX</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row>
        <row r="86">
          <cell r="A86" t="str">
            <v>Denver, CO</v>
          </cell>
          <cell r="B86">
            <v>0</v>
          </cell>
          <cell r="C86">
            <v>0</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row>
        <row r="87">
          <cell r="A87" t="str">
            <v>Detroit, MI</v>
          </cell>
          <cell r="B87">
            <v>0</v>
          </cell>
          <cell r="C87">
            <v>0</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row>
        <row r="88">
          <cell r="A88" t="str">
            <v>Houston, TX</v>
          </cell>
          <cell r="B88">
            <v>0</v>
          </cell>
          <cell r="C88">
            <v>0</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row>
        <row r="89">
          <cell r="A89" t="str">
            <v>Los Angeles, CA</v>
          </cell>
          <cell r="B89">
            <v>0</v>
          </cell>
          <cell r="C89">
            <v>0</v>
          </cell>
          <cell r="D89">
            <v>0</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row>
        <row r="90">
          <cell r="A90" t="str">
            <v>Miami, FL</v>
          </cell>
          <cell r="B90">
            <v>0</v>
          </cell>
          <cell r="C90">
            <v>0</v>
          </cell>
          <cell r="D90">
            <v>0</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row>
        <row r="91">
          <cell r="A91" t="str">
            <v>Minneapolis, MN</v>
          </cell>
          <cell r="B91">
            <v>0</v>
          </cell>
          <cell r="C91">
            <v>0</v>
          </cell>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row>
        <row r="92">
          <cell r="A92" t="str">
            <v>Nashville, TN</v>
          </cell>
          <cell r="B92">
            <v>0</v>
          </cell>
          <cell r="C92">
            <v>0</v>
          </cell>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row>
        <row r="93">
          <cell r="A93" t="str">
            <v>New Orleans, LA</v>
          </cell>
          <cell r="B93">
            <v>1</v>
          </cell>
          <cell r="C93">
            <v>100</v>
          </cell>
          <cell r="D93">
            <v>0</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row>
        <row r="94">
          <cell r="A94" t="str">
            <v>New York, NY</v>
          </cell>
          <cell r="B94">
            <v>3</v>
          </cell>
          <cell r="C94">
            <v>983</v>
          </cell>
          <cell r="D94">
            <v>1</v>
          </cell>
          <cell r="E94">
            <v>270</v>
          </cell>
          <cell r="F94">
            <v>0</v>
          </cell>
          <cell r="G94">
            <v>0</v>
          </cell>
          <cell r="H94">
            <v>1</v>
          </cell>
          <cell r="I94">
            <v>270</v>
          </cell>
          <cell r="J94">
            <v>0</v>
          </cell>
          <cell r="K94">
            <v>0</v>
          </cell>
          <cell r="L94">
            <v>0</v>
          </cell>
          <cell r="M94">
            <v>0</v>
          </cell>
          <cell r="N94">
            <v>1</v>
          </cell>
          <cell r="O94">
            <v>270</v>
          </cell>
          <cell r="P94">
            <v>0</v>
          </cell>
          <cell r="Q94">
            <v>0</v>
          </cell>
          <cell r="R94">
            <v>0</v>
          </cell>
          <cell r="S94">
            <v>0</v>
          </cell>
          <cell r="T94">
            <v>0</v>
          </cell>
          <cell r="U94">
            <v>0</v>
          </cell>
        </row>
        <row r="95">
          <cell r="A95" t="str">
            <v>Norfolk, VA</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row>
        <row r="96">
          <cell r="A96" t="str">
            <v>Oahu Island, HI</v>
          </cell>
          <cell r="B96">
            <v>1</v>
          </cell>
          <cell r="C96">
            <v>48</v>
          </cell>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A97" t="str">
            <v>Orlando, FL</v>
          </cell>
          <cell r="B97">
            <v>0</v>
          </cell>
          <cell r="C97">
            <v>0</v>
          </cell>
          <cell r="D97">
            <v>0</v>
          </cell>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A98" t="str">
            <v>Philadelphia, PA</v>
          </cell>
          <cell r="B98">
            <v>0</v>
          </cell>
          <cell r="C98">
            <v>0</v>
          </cell>
          <cell r="D98">
            <v>0</v>
          </cell>
          <cell r="E98">
            <v>0</v>
          </cell>
          <cell r="F98">
            <v>1</v>
          </cell>
          <cell r="G98">
            <v>185</v>
          </cell>
          <cell r="H98">
            <v>1</v>
          </cell>
          <cell r="I98">
            <v>185</v>
          </cell>
          <cell r="J98">
            <v>0</v>
          </cell>
          <cell r="K98">
            <v>0</v>
          </cell>
          <cell r="L98">
            <v>0</v>
          </cell>
          <cell r="M98">
            <v>0</v>
          </cell>
          <cell r="N98">
            <v>0</v>
          </cell>
          <cell r="O98">
            <v>0</v>
          </cell>
          <cell r="P98">
            <v>1</v>
          </cell>
          <cell r="Q98">
            <v>185</v>
          </cell>
          <cell r="R98">
            <v>0</v>
          </cell>
          <cell r="S98">
            <v>0</v>
          </cell>
          <cell r="T98">
            <v>0</v>
          </cell>
          <cell r="U98">
            <v>0</v>
          </cell>
        </row>
        <row r="99">
          <cell r="A99" t="str">
            <v>Phoenix, AZ</v>
          </cell>
          <cell r="B99">
            <v>0</v>
          </cell>
          <cell r="C99">
            <v>0</v>
          </cell>
          <cell r="D99">
            <v>0</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row>
        <row r="100">
          <cell r="A100" t="str">
            <v>Saint Louis, MO</v>
          </cell>
          <cell r="B100">
            <v>0</v>
          </cell>
          <cell r="C100">
            <v>0</v>
          </cell>
          <cell r="D100">
            <v>0</v>
          </cell>
          <cell r="E100">
            <v>0</v>
          </cell>
          <cell r="F100">
            <v>1</v>
          </cell>
          <cell r="G100">
            <v>263</v>
          </cell>
          <cell r="H100">
            <v>1</v>
          </cell>
          <cell r="I100">
            <v>263</v>
          </cell>
          <cell r="J100">
            <v>0</v>
          </cell>
          <cell r="K100">
            <v>0</v>
          </cell>
          <cell r="L100">
            <v>0</v>
          </cell>
          <cell r="M100">
            <v>0</v>
          </cell>
          <cell r="N100">
            <v>0</v>
          </cell>
          <cell r="O100">
            <v>0</v>
          </cell>
          <cell r="P100">
            <v>1</v>
          </cell>
          <cell r="Q100">
            <v>263</v>
          </cell>
          <cell r="R100">
            <v>0</v>
          </cell>
          <cell r="S100">
            <v>0</v>
          </cell>
          <cell r="T100">
            <v>0</v>
          </cell>
          <cell r="U100">
            <v>0</v>
          </cell>
        </row>
        <row r="101">
          <cell r="A101" t="str">
            <v>San Diego, CA</v>
          </cell>
          <cell r="B101">
            <v>0</v>
          </cell>
          <cell r="C101">
            <v>0</v>
          </cell>
          <cell r="D101">
            <v>0</v>
          </cell>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row>
        <row r="102">
          <cell r="A102" t="str">
            <v>San Francisco, CA</v>
          </cell>
          <cell r="B102">
            <v>1</v>
          </cell>
          <cell r="C102">
            <v>423</v>
          </cell>
          <cell r="D102">
            <v>0</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row>
        <row r="103">
          <cell r="A103" t="str">
            <v>Seattle, WA</v>
          </cell>
          <cell r="B103">
            <v>1</v>
          </cell>
          <cell r="C103">
            <v>426</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row>
        <row r="104">
          <cell r="A104" t="str">
            <v>Tampa, FL</v>
          </cell>
          <cell r="B104">
            <v>0</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row>
        <row r="105">
          <cell r="A105" t="str">
            <v>Washington, DC</v>
          </cell>
          <cell r="B105">
            <v>0</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row>
        <row r="114">
          <cell r="A114" t="str">
            <v>Anaheim, CA</v>
          </cell>
          <cell r="B114">
            <v>1</v>
          </cell>
          <cell r="C114">
            <v>387</v>
          </cell>
          <cell r="D114">
            <v>0</v>
          </cell>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row>
        <row r="115">
          <cell r="A115" t="str">
            <v>Atlanta, GA</v>
          </cell>
          <cell r="B115">
            <v>3</v>
          </cell>
          <cell r="C115">
            <v>1939</v>
          </cell>
          <cell r="D115">
            <v>0</v>
          </cell>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row>
        <row r="116">
          <cell r="A116" t="str">
            <v>Boston, MA</v>
          </cell>
          <cell r="B116">
            <v>2</v>
          </cell>
          <cell r="C116">
            <v>1147</v>
          </cell>
          <cell r="D116">
            <v>0</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row>
        <row r="117">
          <cell r="A117" t="str">
            <v>Chicago, IL</v>
          </cell>
          <cell r="B117">
            <v>3</v>
          </cell>
          <cell r="C117">
            <v>1688</v>
          </cell>
          <cell r="D117">
            <v>0</v>
          </cell>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row>
        <row r="118">
          <cell r="A118" t="str">
            <v>Dallas, TX</v>
          </cell>
          <cell r="B118">
            <v>3</v>
          </cell>
          <cell r="C118">
            <v>1269</v>
          </cell>
          <cell r="D118">
            <v>1</v>
          </cell>
          <cell r="E118">
            <v>321</v>
          </cell>
          <cell r="F118">
            <v>0</v>
          </cell>
          <cell r="G118">
            <v>0</v>
          </cell>
          <cell r="H118">
            <v>1</v>
          </cell>
          <cell r="I118">
            <v>321</v>
          </cell>
          <cell r="J118">
            <v>0</v>
          </cell>
          <cell r="K118">
            <v>0</v>
          </cell>
          <cell r="L118">
            <v>1</v>
          </cell>
          <cell r="M118">
            <v>321</v>
          </cell>
          <cell r="N118">
            <v>0</v>
          </cell>
          <cell r="O118">
            <v>0</v>
          </cell>
          <cell r="P118">
            <v>0</v>
          </cell>
          <cell r="Q118">
            <v>0</v>
          </cell>
          <cell r="R118">
            <v>0</v>
          </cell>
          <cell r="S118">
            <v>0</v>
          </cell>
          <cell r="T118">
            <v>0</v>
          </cell>
          <cell r="U118">
            <v>0</v>
          </cell>
        </row>
        <row r="119">
          <cell r="A119" t="str">
            <v>Denver, CO</v>
          </cell>
          <cell r="B119">
            <v>2</v>
          </cell>
          <cell r="C119">
            <v>789</v>
          </cell>
          <cell r="D119">
            <v>0</v>
          </cell>
          <cell r="E119">
            <v>0</v>
          </cell>
          <cell r="F119">
            <v>1</v>
          </cell>
          <cell r="G119">
            <v>526</v>
          </cell>
          <cell r="H119">
            <v>1</v>
          </cell>
          <cell r="I119">
            <v>526</v>
          </cell>
          <cell r="J119">
            <v>0</v>
          </cell>
          <cell r="K119">
            <v>0</v>
          </cell>
          <cell r="L119">
            <v>0</v>
          </cell>
          <cell r="M119">
            <v>0</v>
          </cell>
          <cell r="N119">
            <v>0</v>
          </cell>
          <cell r="O119">
            <v>0</v>
          </cell>
          <cell r="P119">
            <v>0</v>
          </cell>
          <cell r="Q119">
            <v>0</v>
          </cell>
          <cell r="R119">
            <v>1</v>
          </cell>
          <cell r="S119">
            <v>526</v>
          </cell>
          <cell r="T119">
            <v>0</v>
          </cell>
          <cell r="U119">
            <v>0</v>
          </cell>
        </row>
        <row r="120">
          <cell r="A120" t="str">
            <v>Detroit, MI</v>
          </cell>
          <cell r="B120">
            <v>1</v>
          </cell>
          <cell r="C120">
            <v>386</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row>
        <row r="121">
          <cell r="A121" t="str">
            <v>Houston, TX</v>
          </cell>
          <cell r="B121">
            <v>2</v>
          </cell>
          <cell r="C121">
            <v>891</v>
          </cell>
          <cell r="D121">
            <v>0</v>
          </cell>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row>
        <row r="122">
          <cell r="A122" t="str">
            <v>Los Angeles, CA</v>
          </cell>
          <cell r="B122">
            <v>4</v>
          </cell>
          <cell r="C122">
            <v>3613</v>
          </cell>
          <cell r="D122">
            <v>0</v>
          </cell>
          <cell r="E122">
            <v>0</v>
          </cell>
          <cell r="F122">
            <v>0</v>
          </cell>
          <cell r="G122">
            <v>0</v>
          </cell>
          <cell r="H122">
            <v>0</v>
          </cell>
          <cell r="I122">
            <v>0</v>
          </cell>
          <cell r="J122">
            <v>1</v>
          </cell>
          <cell r="K122">
            <v>250</v>
          </cell>
          <cell r="L122">
            <v>0</v>
          </cell>
          <cell r="M122">
            <v>0</v>
          </cell>
          <cell r="N122">
            <v>0</v>
          </cell>
          <cell r="O122">
            <v>0</v>
          </cell>
          <cell r="P122">
            <v>0</v>
          </cell>
          <cell r="Q122">
            <v>0</v>
          </cell>
          <cell r="R122">
            <v>1</v>
          </cell>
          <cell r="S122">
            <v>250</v>
          </cell>
          <cell r="T122">
            <v>0</v>
          </cell>
          <cell r="U122">
            <v>0</v>
          </cell>
        </row>
        <row r="123">
          <cell r="A123" t="str">
            <v>Miami, FL</v>
          </cell>
          <cell r="B123">
            <v>0</v>
          </cell>
          <cell r="C123">
            <v>0</v>
          </cell>
          <cell r="D123">
            <v>0</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row>
        <row r="124">
          <cell r="A124" t="str">
            <v>Minneapolis, MN</v>
          </cell>
          <cell r="B124">
            <v>0</v>
          </cell>
          <cell r="C124">
            <v>0</v>
          </cell>
          <cell r="D124">
            <v>0</v>
          </cell>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row>
        <row r="125">
          <cell r="A125" t="str">
            <v>Nashville, TN</v>
          </cell>
          <cell r="B125">
            <v>1</v>
          </cell>
          <cell r="C125">
            <v>120</v>
          </cell>
          <cell r="D125">
            <v>0</v>
          </cell>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row>
        <row r="126">
          <cell r="A126" t="str">
            <v>New Orleans, LA</v>
          </cell>
          <cell r="B126">
            <v>1</v>
          </cell>
          <cell r="C126">
            <v>437</v>
          </cell>
          <cell r="D126">
            <v>0</v>
          </cell>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row>
        <row r="127">
          <cell r="A127" t="str">
            <v>New York, NY</v>
          </cell>
          <cell r="B127">
            <v>1</v>
          </cell>
          <cell r="C127">
            <v>597</v>
          </cell>
          <cell r="D127">
            <v>1</v>
          </cell>
          <cell r="E127">
            <v>860</v>
          </cell>
          <cell r="F127">
            <v>0</v>
          </cell>
          <cell r="G127">
            <v>0</v>
          </cell>
          <cell r="H127">
            <v>1</v>
          </cell>
          <cell r="I127">
            <v>860</v>
          </cell>
          <cell r="J127">
            <v>0</v>
          </cell>
          <cell r="K127">
            <v>0</v>
          </cell>
          <cell r="L127">
            <v>0</v>
          </cell>
          <cell r="M127">
            <v>0</v>
          </cell>
          <cell r="N127">
            <v>0</v>
          </cell>
          <cell r="O127">
            <v>0</v>
          </cell>
          <cell r="P127">
            <v>1</v>
          </cell>
          <cell r="Q127">
            <v>860</v>
          </cell>
          <cell r="R127">
            <v>0</v>
          </cell>
          <cell r="S127">
            <v>0</v>
          </cell>
          <cell r="T127">
            <v>0</v>
          </cell>
          <cell r="U127">
            <v>0</v>
          </cell>
        </row>
        <row r="128">
          <cell r="A128" t="str">
            <v>Norfolk, VA</v>
          </cell>
          <cell r="B128">
            <v>0</v>
          </cell>
          <cell r="C128">
            <v>0</v>
          </cell>
          <cell r="D128">
            <v>0</v>
          </cell>
          <cell r="E128">
            <v>0</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row>
        <row r="129">
          <cell r="A129" t="str">
            <v>Oahu Island, HI</v>
          </cell>
          <cell r="B129">
            <v>1</v>
          </cell>
          <cell r="C129">
            <v>521</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row>
        <row r="130">
          <cell r="A130" t="str">
            <v>Orlando, FL</v>
          </cell>
          <cell r="B130">
            <v>0</v>
          </cell>
          <cell r="C130">
            <v>0</v>
          </cell>
          <cell r="D130">
            <v>1</v>
          </cell>
          <cell r="E130">
            <v>250</v>
          </cell>
          <cell r="F130">
            <v>0</v>
          </cell>
          <cell r="G130">
            <v>0</v>
          </cell>
          <cell r="H130">
            <v>1</v>
          </cell>
          <cell r="I130">
            <v>250</v>
          </cell>
          <cell r="J130">
            <v>1</v>
          </cell>
          <cell r="K130">
            <v>1200</v>
          </cell>
          <cell r="L130">
            <v>0</v>
          </cell>
          <cell r="M130">
            <v>0</v>
          </cell>
          <cell r="N130">
            <v>1</v>
          </cell>
          <cell r="O130">
            <v>250</v>
          </cell>
          <cell r="P130">
            <v>0</v>
          </cell>
          <cell r="Q130">
            <v>0</v>
          </cell>
          <cell r="R130">
            <v>0</v>
          </cell>
          <cell r="S130">
            <v>0</v>
          </cell>
          <cell r="T130">
            <v>1</v>
          </cell>
          <cell r="U130">
            <v>1200</v>
          </cell>
        </row>
        <row r="131">
          <cell r="A131" t="str">
            <v>Philadelphia, PA</v>
          </cell>
          <cell r="B131">
            <v>1</v>
          </cell>
          <cell r="C131">
            <v>251</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row>
        <row r="132">
          <cell r="A132" t="str">
            <v>Phoenix, AZ</v>
          </cell>
          <cell r="B132">
            <v>0</v>
          </cell>
          <cell r="C132">
            <v>0</v>
          </cell>
          <cell r="D132">
            <v>0</v>
          </cell>
          <cell r="E132">
            <v>0</v>
          </cell>
          <cell r="F132">
            <v>1</v>
          </cell>
          <cell r="G132">
            <v>750</v>
          </cell>
          <cell r="H132">
            <v>1</v>
          </cell>
          <cell r="I132">
            <v>750</v>
          </cell>
          <cell r="J132">
            <v>0</v>
          </cell>
          <cell r="K132">
            <v>0</v>
          </cell>
          <cell r="L132">
            <v>0</v>
          </cell>
          <cell r="M132">
            <v>0</v>
          </cell>
          <cell r="N132">
            <v>0</v>
          </cell>
          <cell r="O132">
            <v>0</v>
          </cell>
          <cell r="P132">
            <v>1</v>
          </cell>
          <cell r="Q132">
            <v>750</v>
          </cell>
          <cell r="R132">
            <v>0</v>
          </cell>
          <cell r="S132">
            <v>0</v>
          </cell>
          <cell r="T132">
            <v>0</v>
          </cell>
          <cell r="U132">
            <v>0</v>
          </cell>
        </row>
        <row r="133">
          <cell r="A133" t="str">
            <v>Saint Louis, MO</v>
          </cell>
          <cell r="B133">
            <v>0</v>
          </cell>
          <cell r="C133">
            <v>0</v>
          </cell>
          <cell r="D133">
            <v>0</v>
          </cell>
          <cell r="E133">
            <v>0</v>
          </cell>
          <cell r="F133">
            <v>1</v>
          </cell>
          <cell r="G133">
            <v>500</v>
          </cell>
          <cell r="H133">
            <v>1</v>
          </cell>
          <cell r="I133">
            <v>500</v>
          </cell>
          <cell r="J133">
            <v>0</v>
          </cell>
          <cell r="K133">
            <v>0</v>
          </cell>
          <cell r="L133">
            <v>0</v>
          </cell>
          <cell r="M133">
            <v>0</v>
          </cell>
          <cell r="N133">
            <v>0</v>
          </cell>
          <cell r="O133">
            <v>0</v>
          </cell>
          <cell r="P133">
            <v>0</v>
          </cell>
          <cell r="Q133">
            <v>0</v>
          </cell>
          <cell r="R133">
            <v>1</v>
          </cell>
          <cell r="S133">
            <v>500</v>
          </cell>
          <cell r="T133">
            <v>0</v>
          </cell>
          <cell r="U133">
            <v>0</v>
          </cell>
        </row>
        <row r="134">
          <cell r="A134" t="str">
            <v>San Diego, CA</v>
          </cell>
          <cell r="B134">
            <v>2</v>
          </cell>
          <cell r="C134">
            <v>796</v>
          </cell>
          <cell r="D134">
            <v>0</v>
          </cell>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row>
        <row r="135">
          <cell r="A135" t="str">
            <v>San Francisco, CA</v>
          </cell>
          <cell r="B135">
            <v>2</v>
          </cell>
          <cell r="C135">
            <v>1577</v>
          </cell>
          <cell r="D135">
            <v>0</v>
          </cell>
          <cell r="E135">
            <v>0</v>
          </cell>
          <cell r="F135">
            <v>1</v>
          </cell>
          <cell r="G135">
            <v>304</v>
          </cell>
          <cell r="H135">
            <v>1</v>
          </cell>
          <cell r="I135">
            <v>304</v>
          </cell>
          <cell r="J135">
            <v>0</v>
          </cell>
          <cell r="K135">
            <v>0</v>
          </cell>
          <cell r="L135">
            <v>0</v>
          </cell>
          <cell r="M135">
            <v>0</v>
          </cell>
          <cell r="N135">
            <v>0</v>
          </cell>
          <cell r="O135">
            <v>0</v>
          </cell>
          <cell r="P135">
            <v>1</v>
          </cell>
          <cell r="Q135">
            <v>304</v>
          </cell>
          <cell r="R135">
            <v>0</v>
          </cell>
          <cell r="S135">
            <v>0</v>
          </cell>
          <cell r="T135">
            <v>0</v>
          </cell>
          <cell r="U135">
            <v>0</v>
          </cell>
        </row>
        <row r="136">
          <cell r="A136" t="str">
            <v>Seattle, WA</v>
          </cell>
          <cell r="B136">
            <v>1</v>
          </cell>
          <cell r="C136">
            <v>865</v>
          </cell>
          <cell r="D136">
            <v>1</v>
          </cell>
          <cell r="E136">
            <v>224</v>
          </cell>
          <cell r="F136">
            <v>0</v>
          </cell>
          <cell r="G136">
            <v>0</v>
          </cell>
          <cell r="H136">
            <v>1</v>
          </cell>
          <cell r="I136">
            <v>224</v>
          </cell>
          <cell r="J136">
            <v>0</v>
          </cell>
          <cell r="K136">
            <v>0</v>
          </cell>
          <cell r="L136">
            <v>1</v>
          </cell>
          <cell r="M136">
            <v>224</v>
          </cell>
          <cell r="N136">
            <v>0</v>
          </cell>
          <cell r="O136">
            <v>0</v>
          </cell>
          <cell r="P136">
            <v>0</v>
          </cell>
          <cell r="Q136">
            <v>0</v>
          </cell>
          <cell r="R136">
            <v>0</v>
          </cell>
          <cell r="S136">
            <v>0</v>
          </cell>
          <cell r="T136">
            <v>0</v>
          </cell>
          <cell r="U136">
            <v>0</v>
          </cell>
        </row>
        <row r="137">
          <cell r="A137" t="str">
            <v>Tampa, FL</v>
          </cell>
          <cell r="B137">
            <v>2</v>
          </cell>
          <cell r="C137">
            <v>1110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row>
        <row r="138">
          <cell r="A138" t="str">
            <v>Washington, DC</v>
          </cell>
          <cell r="B138">
            <v>1</v>
          </cell>
          <cell r="C138">
            <v>400</v>
          </cell>
          <cell r="D138">
            <v>0</v>
          </cell>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row>
        <row r="324">
          <cell r="A324" t="str">
            <v>Anaheim, CA</v>
          </cell>
          <cell r="B324">
            <v>53831</v>
          </cell>
        </row>
        <row r="325">
          <cell r="A325" t="str">
            <v>Atlanta, GA</v>
          </cell>
          <cell r="B325">
            <v>94497</v>
          </cell>
        </row>
        <row r="326">
          <cell r="A326" t="str">
            <v>Boston, MA</v>
          </cell>
          <cell r="B326">
            <v>53644</v>
          </cell>
        </row>
        <row r="327">
          <cell r="A327" t="str">
            <v>Chicago, IL</v>
          </cell>
          <cell r="B327">
            <v>92640</v>
          </cell>
        </row>
        <row r="328">
          <cell r="A328" t="str">
            <v>Dallas, TX</v>
          </cell>
          <cell r="B328">
            <v>70580</v>
          </cell>
        </row>
        <row r="329">
          <cell r="A329" t="str">
            <v>Denver, CO</v>
          </cell>
          <cell r="B329">
            <v>39111</v>
          </cell>
        </row>
        <row r="330">
          <cell r="A330" t="str">
            <v>Detroit, MI</v>
          </cell>
          <cell r="B330">
            <v>40889</v>
          </cell>
        </row>
        <row r="331">
          <cell r="A331" t="str">
            <v>Houston, TX</v>
          </cell>
          <cell r="B331">
            <v>58228</v>
          </cell>
        </row>
        <row r="332">
          <cell r="A332" t="str">
            <v>Los Angeles, CA</v>
          </cell>
          <cell r="B332">
            <v>89769</v>
          </cell>
        </row>
        <row r="333">
          <cell r="A333" t="str">
            <v>Miami, FL</v>
          </cell>
          <cell r="B333">
            <v>50359</v>
          </cell>
        </row>
        <row r="334">
          <cell r="A334" t="str">
            <v>Minneapolis, MN</v>
          </cell>
          <cell r="B334">
            <v>36371</v>
          </cell>
        </row>
        <row r="335">
          <cell r="A335" t="str">
            <v>Nashville, TN</v>
          </cell>
          <cell r="B335">
            <v>34357</v>
          </cell>
        </row>
        <row r="336">
          <cell r="A336" t="str">
            <v>New Orleans, LA</v>
          </cell>
          <cell r="B336">
            <v>34671</v>
          </cell>
        </row>
        <row r="337">
          <cell r="A337" t="str">
            <v>New York, NY</v>
          </cell>
          <cell r="B337">
            <v>80860</v>
          </cell>
        </row>
        <row r="338">
          <cell r="A338" t="str">
            <v>Norfolk, VA</v>
          </cell>
          <cell r="B338">
            <v>35922</v>
          </cell>
        </row>
        <row r="339">
          <cell r="A339" t="str">
            <v>Oahu Island, HI</v>
          </cell>
          <cell r="B339">
            <v>37174</v>
          </cell>
        </row>
        <row r="340">
          <cell r="A340" t="str">
            <v>Orlando, FL</v>
          </cell>
          <cell r="B340">
            <v>131794</v>
          </cell>
        </row>
        <row r="341">
          <cell r="A341" t="str">
            <v>Philadelphia, PA</v>
          </cell>
          <cell r="B341">
            <v>42668</v>
          </cell>
        </row>
        <row r="342">
          <cell r="A342" t="str">
            <v>Phoenix, AZ</v>
          </cell>
          <cell r="B342">
            <v>56967</v>
          </cell>
        </row>
        <row r="343">
          <cell r="A343" t="str">
            <v>Saint Louis, MO</v>
          </cell>
          <cell r="B343">
            <v>34819</v>
          </cell>
        </row>
        <row r="344">
          <cell r="A344" t="str">
            <v>San Diego, CA</v>
          </cell>
          <cell r="B344">
            <v>58270</v>
          </cell>
        </row>
        <row r="345">
          <cell r="A345" t="str">
            <v>San Francisco, CA</v>
          </cell>
          <cell r="B345">
            <v>54992</v>
          </cell>
        </row>
        <row r="346">
          <cell r="A346" t="str">
            <v>Seattle, WA</v>
          </cell>
          <cell r="B346">
            <v>39369</v>
          </cell>
        </row>
        <row r="347">
          <cell r="A347" t="str">
            <v>Tampa, FL</v>
          </cell>
          <cell r="B347">
            <v>43484</v>
          </cell>
        </row>
        <row r="348">
          <cell r="A348" t="str">
            <v>Washington, DC</v>
          </cell>
          <cell r="B348">
            <v>87884</v>
          </cell>
        </row>
      </sheetData>
      <sheetData sheetId="1" refreshError="1"/>
      <sheetData sheetId="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Guidance"/>
      <sheetName val="New WLP"/>
      <sheetName val="SPRY Datasheet"/>
      <sheetName val="XPT-VAR"/>
      <sheetName val="COMPLink"/>
      <sheetName val="DCP"/>
      <sheetName val="Segment rev"/>
      <sheetName val="Q302 EPS reconciliation"/>
      <sheetName val="DataDoc"/>
      <sheetName val="RIT"/>
      <sheetName val="Cerulean (PR)"/>
      <sheetName val="Cerulean Acc"/>
      <sheetName val="__FDSCACHE__"/>
      <sheetName val="Acq Enrollment"/>
      <sheetName val="WLP-RIT"/>
      <sheetName val="WLP-CareFirst"/>
      <sheetName val="old WLP model"/>
      <sheetName val="-- END OF ACTIVE SHEETS --"/>
      <sheetName val="Trend"/>
      <sheetName val="Rsvr"/>
      <sheetName val="Cap gain"/>
      <sheetName val="CstTrnd"/>
      <sheetName val="EnrollChart"/>
      <sheetName val="Rx"/>
      <sheetName val="Rush Pru"/>
      <sheetName val="Tax"/>
      <sheetName val="Xpect Earn"/>
      <sheetName val="WLP~BCBS"/>
      <sheetName val="OldModel"/>
      <sheetName val="BCBS"/>
      <sheetName val="WLP&amp;BCBS"/>
      <sheetName val="Rev prim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INSHT"/>
      <sheetName val="RAINEPS.XLS "/>
      <sheetName val="RAINSUM.XLS"/>
      <sheetName val="RAINCFBS.XLS"/>
      <sheetName val="Comps - Monthly"/>
    </sheetNames>
    <sheetDataSet>
      <sheetData sheetId="0" refreshError="1"/>
      <sheetData sheetId="1" refreshError="1"/>
      <sheetData sheetId="2" refreshError="1"/>
      <sheetData sheetId="3" refreshError="1"/>
      <sheetData sheetId="4"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orma"/>
      <sheetName val="Sheet1"/>
      <sheetName val="Sheet2"/>
      <sheetName val="Sheet3"/>
      <sheetName val="Sheet4"/>
      <sheetName val="Sheet5"/>
      <sheetName val="Sheet6"/>
      <sheetName val="EBITDA"/>
      <sheetName val="Book1"/>
      <sheetName val="Earnings Model"/>
      <sheetName val="Renovation Schedule (3)"/>
      <sheetName val="EV-EBITDAValuation "/>
      <sheetName val="FCF"/>
      <sheetName val="ADR Chart"/>
      <sheetName val="Pricing Power"/>
      <sheetName val="Chart Relative ADR"/>
      <sheetName val="Pricing Vs. Comp Set"/>
      <sheetName val="Expansion Yields"/>
      <sheetName val="Same Store RevPAR Growth"/>
      <sheetName val="Mgmt. Team"/>
      <sheetName val="Renovation Schecule (2)"/>
      <sheetName val="DCF Model"/>
      <sheetName val="RevPAR estimates"/>
      <sheetName val="Debt"/>
      <sheetName val="FCF Table"/>
      <sheetName val="IPO"/>
      <sheetName val="Biz Units"/>
      <sheetName val="Chart EBITDA Mix"/>
      <sheetName val="EBITDA MIX"/>
      <sheetName val="RevPAR Comps cut n paste"/>
      <sheetName val="RevPAR Comps"/>
      <sheetName val="Valuation  1-10-01"/>
      <sheetName val="Earnings Model   "/>
      <sheetName val="Debt @ 3Q00"/>
      <sheetName val="Valuation - old"/>
      <sheetName val="RevPAR By Qtr"/>
      <sheetName val="CIGA Analysis"/>
      <sheetName val="RevPAR 3Q00"/>
      <sheetName val="EBITDA Mix "/>
      <sheetName val="EBITDA Mix 9-00"/>
      <sheetName val="2Q00 Comparison"/>
      <sheetName val="bas buying hot 6-00 cash deal"/>
      <sheetName val="bas hlt cash stock merger"/>
      <sheetName val="Valuation"/>
      <sheetName val="Valuation (2)"/>
      <sheetName val="EBITDA Multiples"/>
      <sheetName val="EPS Multiples"/>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FVALU"/>
      <sheetName val="OFFVALU (2)"/>
      <sheetName val="Sheet1"/>
      <sheetName val="Sheet2"/>
      <sheetName val="Sheet3"/>
      <sheetName val="Sheet4"/>
      <sheetName val="Sheet5"/>
    </sheetNames>
    <sheetDataSet>
      <sheetData sheetId="0" refreshError="1">
        <row r="3">
          <cell r="B3" t="str">
            <v>Valuation Comparisons</v>
          </cell>
        </row>
        <row r="5">
          <cell r="B5" t="str">
            <v>Capitalization Table</v>
          </cell>
        </row>
        <row r="6">
          <cell r="B6" t="str">
            <v>($ in millions, except per-share data)</v>
          </cell>
        </row>
        <row r="7">
          <cell r="F7" t="str">
            <v>Closing</v>
          </cell>
        </row>
        <row r="8">
          <cell r="F8" t="str">
            <v>Price</v>
          </cell>
          <cell r="J8" t="str">
            <v>Equity</v>
          </cell>
          <cell r="M8" t="str">
            <v>Net</v>
          </cell>
        </row>
        <row r="9">
          <cell r="B9" t="str">
            <v>Company</v>
          </cell>
          <cell r="F9" t="str">
            <v>1/15/98</v>
          </cell>
          <cell r="H9" t="str">
            <v>Shares</v>
          </cell>
          <cell r="J9" t="str">
            <v>Mkt.Cap.</v>
          </cell>
          <cell r="M9" t="str">
            <v>Debt</v>
          </cell>
          <cell r="O9" t="str">
            <v>TEV*</v>
          </cell>
        </row>
        <row r="10">
          <cell r="B10" t="str">
            <v xml:space="preserve">Arbor Drugs </v>
          </cell>
          <cell r="D10" t="str">
            <v>ARBR</v>
          </cell>
          <cell r="F10">
            <v>18.6875</v>
          </cell>
          <cell r="H10">
            <v>59.860875000000007</v>
          </cell>
          <cell r="J10">
            <v>1118.6501015625001</v>
          </cell>
          <cell r="M10">
            <v>16.300999999999998</v>
          </cell>
          <cell r="O10">
            <v>1134.9511015625001</v>
          </cell>
        </row>
        <row r="11">
          <cell r="B11" t="str">
            <v>CVS</v>
          </cell>
          <cell r="D11" t="str">
            <v>CVS</v>
          </cell>
          <cell r="F11">
            <v>64.5</v>
          </cell>
          <cell r="H11">
            <v>328.88</v>
          </cell>
          <cell r="J11">
            <v>21212.76</v>
          </cell>
          <cell r="M11">
            <v>25955.399999999998</v>
          </cell>
          <cell r="O11">
            <v>47168.159999999996</v>
          </cell>
        </row>
        <row r="12">
          <cell r="B12" t="str">
            <v xml:space="preserve">Rite Aid </v>
          </cell>
          <cell r="D12" t="str">
            <v>RAD</v>
          </cell>
          <cell r="F12">
            <v>60.3125</v>
          </cell>
          <cell r="H12">
            <v>271.63400000000001</v>
          </cell>
          <cell r="J12">
            <v>16382.925625000002</v>
          </cell>
          <cell r="M12">
            <v>2598.9340000000002</v>
          </cell>
          <cell r="O12">
            <v>18981.859625000001</v>
          </cell>
        </row>
        <row r="13">
          <cell r="B13" t="str">
            <v xml:space="preserve">Walgreen   </v>
          </cell>
          <cell r="D13" t="str">
            <v>WAG</v>
          </cell>
          <cell r="F13">
            <v>31.5</v>
          </cell>
          <cell r="H13">
            <v>498.33499999999998</v>
          </cell>
          <cell r="J13">
            <v>15697.5525</v>
          </cell>
          <cell r="M13">
            <v>4207.0619999999999</v>
          </cell>
          <cell r="O13">
            <v>19904.6145</v>
          </cell>
        </row>
        <row r="15">
          <cell r="B15" t="str">
            <v>Duane Reade</v>
          </cell>
          <cell r="D15" t="str">
            <v>DRD</v>
          </cell>
          <cell r="F15">
            <v>15</v>
          </cell>
          <cell r="H15">
            <v>18</v>
          </cell>
          <cell r="J15">
            <v>270</v>
          </cell>
          <cell r="M15">
            <v>215</v>
          </cell>
          <cell r="O15">
            <v>485</v>
          </cell>
        </row>
        <row r="17">
          <cell r="E17" t="str">
            <v xml:space="preserve"> </v>
          </cell>
        </row>
        <row r="19">
          <cell r="B19" t="str">
            <v>Peer Group Summary Valuation Data</v>
          </cell>
        </row>
        <row r="20">
          <cell r="B20" t="str">
            <v>($ in millions, except per-share data)</v>
          </cell>
        </row>
        <row r="22">
          <cell r="F22" t="str">
            <v>EPS</v>
          </cell>
          <cell r="M22" t="str">
            <v>EBITDA</v>
          </cell>
        </row>
        <row r="23">
          <cell r="B23" t="str">
            <v>Company</v>
          </cell>
          <cell r="F23" t="str">
            <v>1997E</v>
          </cell>
          <cell r="H23" t="str">
            <v>1998E</v>
          </cell>
          <cell r="J23" t="str">
            <v>1999E</v>
          </cell>
          <cell r="M23" t="str">
            <v>1997E</v>
          </cell>
          <cell r="O23" t="str">
            <v>1998E</v>
          </cell>
        </row>
        <row r="24">
          <cell r="B24" t="str">
            <v>Arbor Drugs</v>
          </cell>
          <cell r="D24" t="str">
            <v>Calandarized</v>
          </cell>
          <cell r="F24">
            <v>0.63932114427646614</v>
          </cell>
          <cell r="H24">
            <v>0.74188272808971267</v>
          </cell>
          <cell r="J24">
            <v>0.85316513730316934</v>
          </cell>
          <cell r="M24">
            <v>75.173999999999992</v>
          </cell>
          <cell r="O24">
            <v>86.600956755775741</v>
          </cell>
        </row>
        <row r="25">
          <cell r="D25" t="str">
            <v>Reported FY</v>
          </cell>
          <cell r="F25">
            <v>0.57516700181880154</v>
          </cell>
          <cell r="G25" t="str">
            <v>A</v>
          </cell>
          <cell r="H25">
            <v>0.68933969921207983</v>
          </cell>
          <cell r="J25">
            <v>0.79274065409389172</v>
          </cell>
        </row>
        <row r="26">
          <cell r="B26" t="str">
            <v xml:space="preserve">CVS </v>
          </cell>
          <cell r="F26">
            <v>5.4855874483093654E-2</v>
          </cell>
          <cell r="H26">
            <v>0.14622040072859721</v>
          </cell>
          <cell r="J26">
            <v>0.51111854510066157</v>
          </cell>
          <cell r="M26">
            <v>112.29999999999984</v>
          </cell>
          <cell r="O26">
            <v>173.02699999999993</v>
          </cell>
        </row>
        <row r="27">
          <cell r="B27" t="str">
            <v xml:space="preserve">Rite Aid   </v>
          </cell>
          <cell r="F27">
            <v>1.2625180539263805</v>
          </cell>
          <cell r="H27">
            <v>3</v>
          </cell>
          <cell r="J27">
            <v>3.47</v>
          </cell>
          <cell r="M27">
            <v>984.9140000000001</v>
          </cell>
          <cell r="O27">
            <v>1169.8119548851651</v>
          </cell>
        </row>
        <row r="28">
          <cell r="B28" t="str">
            <v xml:space="preserve">Walgreen   </v>
          </cell>
          <cell r="D28" t="str">
            <v>Calandarized</v>
          </cell>
          <cell r="F28">
            <v>0.93433974100295469</v>
          </cell>
          <cell r="H28">
            <v>1.1184748851209949</v>
          </cell>
          <cell r="J28">
            <v>1.3285712277738075</v>
          </cell>
          <cell r="M28">
            <v>962.68299999999999</v>
          </cell>
          <cell r="O28">
            <v>1167.3668791844957</v>
          </cell>
        </row>
        <row r="29">
          <cell r="D29" t="str">
            <v>Reported FY</v>
          </cell>
          <cell r="F29">
            <v>0.87583854234601521</v>
          </cell>
          <cell r="G29" t="str">
            <v>A</v>
          </cell>
          <cell r="H29">
            <v>1.022714508223024</v>
          </cell>
          <cell r="J29">
            <v>1.2247391966776886</v>
          </cell>
        </row>
        <row r="31">
          <cell r="B31" t="str">
            <v>Duane Reade</v>
          </cell>
          <cell r="D31" t="str">
            <v>Fully Taxed</v>
          </cell>
          <cell r="H31">
            <v>0.5</v>
          </cell>
          <cell r="I31">
            <v>67</v>
          </cell>
          <cell r="J31">
            <v>0.87</v>
          </cell>
          <cell r="K31">
            <v>68</v>
          </cell>
          <cell r="M31">
            <v>43.25600000000005</v>
          </cell>
          <cell r="N31">
            <v>72</v>
          </cell>
          <cell r="O31">
            <v>72.635399259237502</v>
          </cell>
        </row>
        <row r="32">
          <cell r="D32" t="str">
            <v>Reported FY</v>
          </cell>
          <cell r="F32">
            <v>-0.19565003444542367</v>
          </cell>
          <cell r="G32">
            <v>69</v>
          </cell>
          <cell r="H32">
            <v>1.05</v>
          </cell>
          <cell r="I32">
            <v>70</v>
          </cell>
          <cell r="J32">
            <v>1.45</v>
          </cell>
          <cell r="K32">
            <v>71</v>
          </cell>
        </row>
        <row r="35">
          <cell r="B35" t="str">
            <v>Peer Group Valuation Multiples</v>
          </cell>
        </row>
        <row r="38">
          <cell r="F38" t="str">
            <v>P/E</v>
          </cell>
          <cell r="O38" t="str">
            <v>TEV/EBITDA</v>
          </cell>
        </row>
        <row r="39">
          <cell r="B39" t="str">
            <v>Company</v>
          </cell>
          <cell r="F39" t="str">
            <v>1997E</v>
          </cell>
          <cell r="H39" t="str">
            <v>1998E</v>
          </cell>
          <cell r="J39" t="str">
            <v>1999E</v>
          </cell>
          <cell r="M39" t="str">
            <v>1997E</v>
          </cell>
          <cell r="O39" t="str">
            <v>1998E</v>
          </cell>
        </row>
        <row r="40">
          <cell r="B40" t="str">
            <v>Arbor Drugs</v>
          </cell>
          <cell r="C40">
            <v>18.6875</v>
          </cell>
          <cell r="D40" t="str">
            <v>Calandarized</v>
          </cell>
          <cell r="F40">
            <v>29.230223600924472</v>
          </cell>
          <cell r="H40">
            <v>25.18929110011603</v>
          </cell>
          <cell r="J40">
            <v>21.903731391405248</v>
          </cell>
          <cell r="M40" t="e">
            <v>#REF!</v>
          </cell>
          <cell r="O40" t="e">
            <v>#REF!</v>
          </cell>
        </row>
        <row r="41">
          <cell r="D41" t="str">
            <v>Reported FY</v>
          </cell>
          <cell r="F41">
            <v>32.490563507478896</v>
          </cell>
          <cell r="H41">
            <v>27.109275762530352</v>
          </cell>
          <cell r="J41">
            <v>23.573283271765529</v>
          </cell>
        </row>
        <row r="42">
          <cell r="B42" t="str">
            <v xml:space="preserve">CVS </v>
          </cell>
          <cell r="C42">
            <v>64.5</v>
          </cell>
          <cell r="F42">
            <v>1175.8084363394594</v>
          </cell>
          <cell r="H42">
            <v>441.11491747119351</v>
          </cell>
          <cell r="J42">
            <v>126.19381671486236</v>
          </cell>
          <cell r="M42">
            <v>18.039655155465116</v>
          </cell>
          <cell r="O42">
            <v>15.707770980151274</v>
          </cell>
        </row>
        <row r="43">
          <cell r="B43" t="str">
            <v xml:space="preserve">Rite Aid   </v>
          </cell>
          <cell r="C43">
            <v>60.3125</v>
          </cell>
          <cell r="F43">
            <v>47.771594087253284</v>
          </cell>
          <cell r="H43">
            <v>20.104166666666668</v>
          </cell>
          <cell r="J43">
            <v>17.381123919308358</v>
          </cell>
          <cell r="M43">
            <v>13.302371577619972</v>
          </cell>
          <cell r="O43">
            <v>11.906798303636174</v>
          </cell>
        </row>
        <row r="44">
          <cell r="B44" t="str">
            <v xml:space="preserve">Walgreen   </v>
          </cell>
          <cell r="C44">
            <v>31.5</v>
          </cell>
          <cell r="D44" t="str">
            <v>Calandarized</v>
          </cell>
          <cell r="F44">
            <v>33.71364677926119</v>
          </cell>
          <cell r="H44">
            <v>28.163350307675774</v>
          </cell>
          <cell r="J44">
            <v>23.709681002788471</v>
          </cell>
          <cell r="M44">
            <v>25.095136587017741</v>
          </cell>
          <cell r="O44">
            <v>20.826885512405848</v>
          </cell>
        </row>
        <row r="45">
          <cell r="D45" t="str">
            <v>Reported FY</v>
          </cell>
          <cell r="F45">
            <v>35.965533002948597</v>
          </cell>
          <cell r="H45">
            <v>30.800384414934666</v>
          </cell>
          <cell r="J45">
            <v>25.719761468767437</v>
          </cell>
        </row>
        <row r="47">
          <cell r="D47" t="str">
            <v>Mean - Calandarized</v>
          </cell>
          <cell r="F47">
            <v>321.6309752017246</v>
          </cell>
          <cell r="H47">
            <v>128.64293138641298</v>
          </cell>
          <cell r="J47">
            <v>47.297088257091112</v>
          </cell>
          <cell r="M47" t="e">
            <v>#REF!</v>
          </cell>
          <cell r="O47" t="e">
            <v>#REF!</v>
          </cell>
        </row>
        <row r="48">
          <cell r="D48" t="str">
            <v>Mean - Reported FY</v>
          </cell>
          <cell r="F48">
            <v>323.00903173428509</v>
          </cell>
          <cell r="H48">
            <v>129.7821860788313</v>
          </cell>
          <cell r="J48">
            <v>48.216996343675923</v>
          </cell>
        </row>
        <row r="50">
          <cell r="B50" t="str">
            <v>Duane Reade</v>
          </cell>
          <cell r="C50">
            <v>15</v>
          </cell>
          <cell r="D50" t="str">
            <v>Fully Taxed</v>
          </cell>
          <cell r="H50">
            <v>30</v>
          </cell>
          <cell r="I50">
            <v>75</v>
          </cell>
          <cell r="J50">
            <v>17.241379310344829</v>
          </cell>
          <cell r="K50">
            <v>76</v>
          </cell>
          <cell r="M50">
            <v>15.751564811817994</v>
          </cell>
          <cell r="N50">
            <v>83</v>
          </cell>
          <cell r="O50">
            <v>12.306047693216513</v>
          </cell>
        </row>
        <row r="51">
          <cell r="D51" t="str">
            <v>Reported FY</v>
          </cell>
          <cell r="H51">
            <v>14.285714285714285</v>
          </cell>
          <cell r="I51">
            <v>77</v>
          </cell>
          <cell r="J51">
            <v>10.344827586206897</v>
          </cell>
          <cell r="K51">
            <v>78</v>
          </cell>
        </row>
        <row r="53">
          <cell r="B53" t="str">
            <v>Discount to Mean</v>
          </cell>
          <cell r="D53" t="str">
            <v>Fully Taxed</v>
          </cell>
          <cell r="H53">
            <v>-0.76679635890846509</v>
          </cell>
          <cell r="I53">
            <v>79</v>
          </cell>
          <cell r="J53">
            <v>-0.63546636916364763</v>
          </cell>
          <cell r="K53">
            <v>80</v>
          </cell>
          <cell r="M53" t="e">
            <v>#REF!</v>
          </cell>
          <cell r="N53">
            <v>86</v>
          </cell>
          <cell r="O53" t="e">
            <v>#REF!</v>
          </cell>
        </row>
        <row r="54">
          <cell r="D54" t="str">
            <v>Reported FY</v>
          </cell>
          <cell r="H54">
            <v>-0.88895064709926908</v>
          </cell>
          <cell r="I54">
            <v>81</v>
          </cell>
          <cell r="J54">
            <v>-0.78127982149818864</v>
          </cell>
          <cell r="K54">
            <v>82</v>
          </cell>
        </row>
        <row r="57">
          <cell r="B57" t="str">
            <v>*Total Enterprise Value = Equity market capitalization + Long Term Debt</v>
          </cell>
        </row>
        <row r="58">
          <cell r="B58" t="str">
            <v>For purposes of comparison, earnings figures for ARBR &amp; WAG have been "calendarized" to approximate calendar quarters</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brand census"/>
      <sheetName val="chain census"/>
      <sheetName val="brand lookup"/>
      <sheetName val="msa lookup"/>
      <sheetName val="mkt-state-company lookups"/>
      <sheetName val="brand pivots"/>
      <sheetName val="category pivots"/>
      <sheetName val="company pivots"/>
      <sheetName val="attrition "/>
      <sheetName val="Est Open pivots"/>
      <sheetName val="MKT pivots"/>
      <sheetName val="mkt census pivot"/>
      <sheetName val="MSA pivots"/>
      <sheetName val="old open pivots"/>
      <sheetName val="qtr pivots"/>
      <sheetName val="region pivots"/>
      <sheetName val="State Pivots"/>
      <sheetName val="summary pivots"/>
      <sheetName val="Pivots"/>
      <sheetName val="Est Opens - no EP"/>
      <sheetName val="CENSUS LOOKUP"/>
      <sheetName val="TRACT LOOKUP"/>
      <sheetName val="BS TRACT LOOKUP"/>
      <sheetName val="CHAIN LOOKUP"/>
      <sheetName val="rawdata"/>
      <sheetName val="brand lookup 2"/>
      <sheetName val="company lookup"/>
      <sheetName val="mkt lookup"/>
      <sheetName val="Sheet2"/>
      <sheetName val="Sheet3"/>
      <sheetName val="str ind-le affil undeter"/>
      <sheetName val="conversion pivots"/>
      <sheetName val="Mar Lookups"/>
      <sheetName val="Marriott pivots"/>
      <sheetName val="Chain Lookups"/>
      <sheetName val="brand MKT pipe pivots"/>
      <sheetName val="national pivots"/>
      <sheetName val="census pivots"/>
      <sheetName val="census"/>
    </sheetNames>
    <sheetDataSet>
      <sheetData sheetId="0" refreshError="1"/>
      <sheetData sheetId="1" refreshError="1"/>
      <sheetData sheetId="2" refreshError="1">
        <row r="15">
          <cell r="C15">
            <v>40928</v>
          </cell>
          <cell r="D15">
            <v>4146901</v>
          </cell>
        </row>
      </sheetData>
      <sheetData sheetId="3" refreshError="1">
        <row r="7">
          <cell r="BG7" t="str">
            <v>AmeriHost Inn</v>
          </cell>
          <cell r="BH7">
            <v>22</v>
          </cell>
          <cell r="BI7">
            <v>1360</v>
          </cell>
          <cell r="BJ7">
            <v>10</v>
          </cell>
          <cell r="BK7">
            <v>639</v>
          </cell>
          <cell r="BL7">
            <v>6</v>
          </cell>
          <cell r="BM7">
            <v>383</v>
          </cell>
          <cell r="BN7">
            <v>5</v>
          </cell>
          <cell r="BO7">
            <v>316</v>
          </cell>
          <cell r="BP7">
            <v>3</v>
          </cell>
          <cell r="BQ7">
            <v>188</v>
          </cell>
          <cell r="BT7">
            <v>46</v>
          </cell>
          <cell r="BU7">
            <v>2886</v>
          </cell>
        </row>
        <row r="8">
          <cell r="BG8" t="str">
            <v>AmeriSuites</v>
          </cell>
          <cell r="BH8">
            <v>32</v>
          </cell>
          <cell r="BI8">
            <v>4206</v>
          </cell>
          <cell r="BJ8">
            <v>20</v>
          </cell>
          <cell r="BK8">
            <v>2721</v>
          </cell>
          <cell r="BL8">
            <v>13</v>
          </cell>
          <cell r="BM8">
            <v>1655</v>
          </cell>
          <cell r="BN8">
            <v>9</v>
          </cell>
          <cell r="BO8">
            <v>1112</v>
          </cell>
          <cell r="BP8">
            <v>6</v>
          </cell>
          <cell r="BQ8">
            <v>782</v>
          </cell>
          <cell r="BT8">
            <v>80</v>
          </cell>
          <cell r="BU8">
            <v>10476</v>
          </cell>
        </row>
        <row r="9">
          <cell r="BG9" t="str">
            <v>Best Inn</v>
          </cell>
          <cell r="BH9">
            <v>3</v>
          </cell>
          <cell r="BI9">
            <v>222</v>
          </cell>
          <cell r="BJ9">
            <v>2</v>
          </cell>
          <cell r="BK9">
            <v>206</v>
          </cell>
          <cell r="BL9">
            <v>8</v>
          </cell>
          <cell r="BM9">
            <v>616</v>
          </cell>
          <cell r="BN9">
            <v>2</v>
          </cell>
          <cell r="BO9">
            <v>87</v>
          </cell>
          <cell r="BP9">
            <v>0</v>
          </cell>
          <cell r="BQ9">
            <v>0</v>
          </cell>
          <cell r="BT9">
            <v>15</v>
          </cell>
          <cell r="BU9">
            <v>1131</v>
          </cell>
        </row>
        <row r="10">
          <cell r="BG10" t="str">
            <v>Clarion</v>
          </cell>
          <cell r="BH10">
            <v>3</v>
          </cell>
          <cell r="BI10">
            <v>363</v>
          </cell>
          <cell r="BJ10">
            <v>4</v>
          </cell>
          <cell r="BK10">
            <v>436</v>
          </cell>
          <cell r="BL10">
            <v>2</v>
          </cell>
          <cell r="BM10">
            <v>163</v>
          </cell>
          <cell r="BN10">
            <v>0</v>
          </cell>
          <cell r="BO10">
            <v>0</v>
          </cell>
          <cell r="BP10">
            <v>6</v>
          </cell>
          <cell r="BQ10">
            <v>526</v>
          </cell>
          <cell r="BT10">
            <v>15</v>
          </cell>
          <cell r="BU10">
            <v>1488</v>
          </cell>
        </row>
        <row r="11">
          <cell r="BG11" t="str">
            <v>Club Hotel by Doubletree</v>
          </cell>
          <cell r="BH11">
            <v>1</v>
          </cell>
          <cell r="BI11">
            <v>200</v>
          </cell>
          <cell r="BJ11">
            <v>4</v>
          </cell>
          <cell r="BK11">
            <v>841</v>
          </cell>
          <cell r="BL11">
            <v>3</v>
          </cell>
          <cell r="BM11">
            <v>603</v>
          </cell>
          <cell r="BN11">
            <v>1</v>
          </cell>
          <cell r="BO11">
            <v>268</v>
          </cell>
          <cell r="BP11">
            <v>1</v>
          </cell>
          <cell r="BQ11">
            <v>110</v>
          </cell>
          <cell r="BT11">
            <v>10</v>
          </cell>
          <cell r="BU11">
            <v>2022</v>
          </cell>
        </row>
        <row r="12">
          <cell r="BG12" t="str">
            <v>Comfort Inn</v>
          </cell>
          <cell r="BH12">
            <v>68</v>
          </cell>
          <cell r="BI12">
            <v>4100</v>
          </cell>
          <cell r="BJ12">
            <v>37</v>
          </cell>
          <cell r="BK12">
            <v>2271</v>
          </cell>
          <cell r="BL12">
            <v>49</v>
          </cell>
          <cell r="BM12">
            <v>3092</v>
          </cell>
          <cell r="BN12">
            <v>59</v>
          </cell>
          <cell r="BO12">
            <v>4112</v>
          </cell>
          <cell r="BP12">
            <v>30</v>
          </cell>
          <cell r="BQ12">
            <v>1943</v>
          </cell>
          <cell r="BT12">
            <v>243</v>
          </cell>
          <cell r="BU12">
            <v>15518</v>
          </cell>
        </row>
        <row r="13">
          <cell r="BG13" t="str">
            <v>Comfort Suites</v>
          </cell>
          <cell r="BH13">
            <v>41</v>
          </cell>
          <cell r="BI13">
            <v>3278</v>
          </cell>
          <cell r="BJ13">
            <v>32</v>
          </cell>
          <cell r="BK13">
            <v>2445</v>
          </cell>
          <cell r="BL13">
            <v>37</v>
          </cell>
          <cell r="BM13">
            <v>3005</v>
          </cell>
          <cell r="BN13">
            <v>52</v>
          </cell>
          <cell r="BO13">
            <v>3661</v>
          </cell>
          <cell r="BP13">
            <v>33</v>
          </cell>
          <cell r="BQ13">
            <v>2659</v>
          </cell>
          <cell r="BT13">
            <v>195</v>
          </cell>
          <cell r="BU13">
            <v>15048</v>
          </cell>
        </row>
        <row r="14">
          <cell r="BG14" t="str">
            <v>Courtyard by Marriott</v>
          </cell>
          <cell r="BH14">
            <v>48</v>
          </cell>
          <cell r="BI14">
            <v>5550</v>
          </cell>
          <cell r="BJ14">
            <v>42</v>
          </cell>
          <cell r="BK14">
            <v>5396</v>
          </cell>
          <cell r="BL14">
            <v>49</v>
          </cell>
          <cell r="BM14">
            <v>7229</v>
          </cell>
          <cell r="BN14">
            <v>41</v>
          </cell>
          <cell r="BO14">
            <v>5765</v>
          </cell>
          <cell r="BP14">
            <v>28</v>
          </cell>
          <cell r="BQ14">
            <v>4375</v>
          </cell>
          <cell r="BT14">
            <v>208</v>
          </cell>
          <cell r="BU14">
            <v>28315</v>
          </cell>
        </row>
        <row r="15">
          <cell r="BG15" t="str">
            <v>Crossland Economy Studios</v>
          </cell>
          <cell r="BH15">
            <v>6</v>
          </cell>
          <cell r="BI15">
            <v>719</v>
          </cell>
          <cell r="BJ15">
            <v>28</v>
          </cell>
          <cell r="BK15">
            <v>3586</v>
          </cell>
          <cell r="BL15">
            <v>5</v>
          </cell>
          <cell r="BM15">
            <v>663</v>
          </cell>
          <cell r="BN15">
            <v>1</v>
          </cell>
          <cell r="BO15">
            <v>133</v>
          </cell>
          <cell r="BP15">
            <v>0</v>
          </cell>
          <cell r="BQ15">
            <v>0</v>
          </cell>
          <cell r="BT15">
            <v>40</v>
          </cell>
          <cell r="BU15">
            <v>5101</v>
          </cell>
        </row>
        <row r="16">
          <cell r="BG16" t="str">
            <v>Crowne Plaza</v>
          </cell>
          <cell r="BH16">
            <v>1</v>
          </cell>
          <cell r="BI16">
            <v>288</v>
          </cell>
          <cell r="BJ16">
            <v>3</v>
          </cell>
          <cell r="BK16">
            <v>583</v>
          </cell>
          <cell r="BL16">
            <v>1</v>
          </cell>
          <cell r="BM16">
            <v>140</v>
          </cell>
          <cell r="BN16">
            <v>1</v>
          </cell>
          <cell r="BO16">
            <v>384</v>
          </cell>
          <cell r="BP16">
            <v>3</v>
          </cell>
          <cell r="BQ16">
            <v>703</v>
          </cell>
          <cell r="BT16">
            <v>9</v>
          </cell>
          <cell r="BU16">
            <v>2098</v>
          </cell>
        </row>
        <row r="17">
          <cell r="BG17" t="str">
            <v>Days Inn</v>
          </cell>
          <cell r="BH17">
            <v>43</v>
          </cell>
          <cell r="BI17">
            <v>2314</v>
          </cell>
          <cell r="BJ17">
            <v>29</v>
          </cell>
          <cell r="BK17">
            <v>1629</v>
          </cell>
          <cell r="BL17">
            <v>29</v>
          </cell>
          <cell r="BM17">
            <v>1446</v>
          </cell>
          <cell r="BN17">
            <v>22</v>
          </cell>
          <cell r="BO17">
            <v>1139</v>
          </cell>
          <cell r="BP17">
            <v>13</v>
          </cell>
          <cell r="BQ17">
            <v>606</v>
          </cell>
          <cell r="BT17">
            <v>136</v>
          </cell>
          <cell r="BU17">
            <v>7134</v>
          </cell>
        </row>
        <row r="18">
          <cell r="BG18" t="str">
            <v>Doubletree Guest Suites</v>
          </cell>
          <cell r="BH18">
            <v>0</v>
          </cell>
          <cell r="BI18">
            <v>0</v>
          </cell>
          <cell r="BJ18">
            <v>0</v>
          </cell>
          <cell r="BK18">
            <v>0</v>
          </cell>
          <cell r="BL18">
            <v>0</v>
          </cell>
          <cell r="BM18">
            <v>0</v>
          </cell>
          <cell r="BN18">
            <v>2</v>
          </cell>
          <cell r="BO18">
            <v>470</v>
          </cell>
          <cell r="BP18">
            <v>0</v>
          </cell>
          <cell r="BQ18">
            <v>0</v>
          </cell>
          <cell r="BT18">
            <v>2</v>
          </cell>
          <cell r="BU18">
            <v>470</v>
          </cell>
        </row>
        <row r="19">
          <cell r="BG19" t="str">
            <v>Doubletree Hotel</v>
          </cell>
          <cell r="BH19">
            <v>1</v>
          </cell>
          <cell r="BI19">
            <v>388</v>
          </cell>
          <cell r="BJ19">
            <v>1</v>
          </cell>
          <cell r="BK19">
            <v>225</v>
          </cell>
          <cell r="BL19">
            <v>1</v>
          </cell>
          <cell r="BM19">
            <v>252</v>
          </cell>
          <cell r="BN19">
            <v>2</v>
          </cell>
          <cell r="BO19">
            <v>308</v>
          </cell>
          <cell r="BP19">
            <v>2</v>
          </cell>
          <cell r="BQ19">
            <v>549</v>
          </cell>
          <cell r="BT19">
            <v>7</v>
          </cell>
          <cell r="BU19">
            <v>1722</v>
          </cell>
        </row>
        <row r="20">
          <cell r="BG20" t="str">
            <v>Econo Lodge</v>
          </cell>
          <cell r="BH20">
            <v>11</v>
          </cell>
          <cell r="BI20">
            <v>546</v>
          </cell>
          <cell r="BJ20">
            <v>4</v>
          </cell>
          <cell r="BK20">
            <v>213</v>
          </cell>
          <cell r="BL20">
            <v>6</v>
          </cell>
          <cell r="BM20">
            <v>256</v>
          </cell>
          <cell r="BN20">
            <v>10</v>
          </cell>
          <cell r="BO20">
            <v>508</v>
          </cell>
          <cell r="BP20">
            <v>3</v>
          </cell>
          <cell r="BQ20">
            <v>155</v>
          </cell>
          <cell r="BT20">
            <v>34</v>
          </cell>
          <cell r="BU20">
            <v>1678</v>
          </cell>
        </row>
        <row r="21">
          <cell r="BG21" t="str">
            <v>Embassy Suites</v>
          </cell>
          <cell r="BH21">
            <v>5</v>
          </cell>
          <cell r="BI21">
            <v>1305</v>
          </cell>
          <cell r="BJ21">
            <v>7</v>
          </cell>
          <cell r="BK21">
            <v>1546</v>
          </cell>
          <cell r="BL21">
            <v>6</v>
          </cell>
          <cell r="BM21">
            <v>1429</v>
          </cell>
          <cell r="BN21">
            <v>7</v>
          </cell>
          <cell r="BO21">
            <v>1756</v>
          </cell>
          <cell r="BP21">
            <v>7</v>
          </cell>
          <cell r="BQ21">
            <v>1862</v>
          </cell>
          <cell r="BT21">
            <v>32</v>
          </cell>
          <cell r="BU21">
            <v>7898</v>
          </cell>
        </row>
        <row r="22">
          <cell r="BG22" t="str">
            <v>Extended Stay America</v>
          </cell>
          <cell r="BH22">
            <v>72</v>
          </cell>
          <cell r="BI22">
            <v>8316</v>
          </cell>
          <cell r="BJ22">
            <v>66</v>
          </cell>
          <cell r="BK22">
            <v>7117</v>
          </cell>
          <cell r="BL22">
            <v>40</v>
          </cell>
          <cell r="BM22">
            <v>4406</v>
          </cell>
          <cell r="BN22">
            <v>27</v>
          </cell>
          <cell r="BO22">
            <v>3045</v>
          </cell>
          <cell r="BP22">
            <v>34</v>
          </cell>
          <cell r="BQ22">
            <v>3639</v>
          </cell>
          <cell r="BT22">
            <v>239</v>
          </cell>
          <cell r="BU22">
            <v>26523</v>
          </cell>
        </row>
        <row r="23">
          <cell r="BG23" t="str">
            <v>Fairfield Inn</v>
          </cell>
          <cell r="BH23">
            <v>53</v>
          </cell>
          <cell r="BI23">
            <v>4773</v>
          </cell>
          <cell r="BJ23">
            <v>33</v>
          </cell>
          <cell r="BK23">
            <v>2959</v>
          </cell>
          <cell r="BL23">
            <v>35</v>
          </cell>
          <cell r="BM23">
            <v>2928</v>
          </cell>
          <cell r="BN23">
            <v>20</v>
          </cell>
          <cell r="BO23">
            <v>1899</v>
          </cell>
          <cell r="BP23">
            <v>21</v>
          </cell>
          <cell r="BQ23">
            <v>2064</v>
          </cell>
          <cell r="BT23">
            <v>162</v>
          </cell>
          <cell r="BU23">
            <v>14623</v>
          </cell>
        </row>
        <row r="24">
          <cell r="BG24" t="str">
            <v>Four Points Hotel</v>
          </cell>
          <cell r="BH24">
            <v>0</v>
          </cell>
          <cell r="BI24">
            <v>0</v>
          </cell>
          <cell r="BJ24">
            <v>3</v>
          </cell>
          <cell r="BK24">
            <v>324</v>
          </cell>
          <cell r="BL24">
            <v>1</v>
          </cell>
          <cell r="BM24">
            <v>74</v>
          </cell>
          <cell r="BN24">
            <v>1</v>
          </cell>
          <cell r="BO24">
            <v>265</v>
          </cell>
          <cell r="BP24">
            <v>2</v>
          </cell>
          <cell r="BQ24">
            <v>268</v>
          </cell>
          <cell r="BT24">
            <v>7</v>
          </cell>
          <cell r="BU24">
            <v>931</v>
          </cell>
        </row>
        <row r="25">
          <cell r="BG25" t="str">
            <v>Four Seasons</v>
          </cell>
          <cell r="BH25">
            <v>1</v>
          </cell>
          <cell r="BI25">
            <v>571</v>
          </cell>
          <cell r="BJ25">
            <v>0</v>
          </cell>
          <cell r="BK25">
            <v>0</v>
          </cell>
          <cell r="BL25">
            <v>2</v>
          </cell>
          <cell r="BM25">
            <v>634</v>
          </cell>
          <cell r="BN25">
            <v>0</v>
          </cell>
          <cell r="BO25">
            <v>0</v>
          </cell>
          <cell r="BP25">
            <v>1</v>
          </cell>
          <cell r="BQ25">
            <v>277</v>
          </cell>
          <cell r="BT25">
            <v>4</v>
          </cell>
          <cell r="BU25">
            <v>1482</v>
          </cell>
        </row>
        <row r="26">
          <cell r="BG26" t="str">
            <v>Friendship Inn</v>
          </cell>
          <cell r="BH26">
            <v>0</v>
          </cell>
          <cell r="BI26">
            <v>0</v>
          </cell>
          <cell r="BJ26">
            <v>0</v>
          </cell>
          <cell r="BK26">
            <v>0</v>
          </cell>
          <cell r="BL26">
            <v>0</v>
          </cell>
          <cell r="BM26">
            <v>0</v>
          </cell>
          <cell r="BN26">
            <v>0</v>
          </cell>
          <cell r="BO26">
            <v>0</v>
          </cell>
          <cell r="BP26">
            <v>0</v>
          </cell>
          <cell r="BQ26">
            <v>0</v>
          </cell>
          <cell r="BT26">
            <v>0</v>
          </cell>
          <cell r="BU26">
            <v>0</v>
          </cell>
        </row>
        <row r="27">
          <cell r="BG27" t="str">
            <v>Hampton Inn</v>
          </cell>
          <cell r="BH27">
            <v>103</v>
          </cell>
          <cell r="BI27">
            <v>9291</v>
          </cell>
          <cell r="BJ27">
            <v>91</v>
          </cell>
          <cell r="BK27">
            <v>8134</v>
          </cell>
          <cell r="BL27">
            <v>94</v>
          </cell>
          <cell r="BM27">
            <v>8873</v>
          </cell>
          <cell r="BN27">
            <v>67</v>
          </cell>
          <cell r="BO27">
            <v>5787</v>
          </cell>
          <cell r="BP27">
            <v>65</v>
          </cell>
          <cell r="BQ27">
            <v>5509</v>
          </cell>
          <cell r="BT27">
            <v>420</v>
          </cell>
          <cell r="BU27">
            <v>37594</v>
          </cell>
        </row>
        <row r="28">
          <cell r="BG28" t="str">
            <v>Hampton Inn &amp; Suites</v>
          </cell>
          <cell r="BH28">
            <v>10</v>
          </cell>
          <cell r="BI28">
            <v>1024</v>
          </cell>
          <cell r="BJ28">
            <v>15</v>
          </cell>
          <cell r="BK28">
            <v>1798</v>
          </cell>
          <cell r="BL28">
            <v>13</v>
          </cell>
          <cell r="BM28">
            <v>1485</v>
          </cell>
          <cell r="BN28">
            <v>25</v>
          </cell>
          <cell r="BO28">
            <v>2942</v>
          </cell>
          <cell r="BP28">
            <v>14</v>
          </cell>
          <cell r="BQ28">
            <v>1330</v>
          </cell>
          <cell r="BT28">
            <v>77</v>
          </cell>
          <cell r="BU28">
            <v>8579</v>
          </cell>
        </row>
        <row r="29">
          <cell r="BG29" t="str">
            <v>Hawthorn Suites</v>
          </cell>
          <cell r="BH29">
            <v>2</v>
          </cell>
          <cell r="BI29">
            <v>344</v>
          </cell>
          <cell r="BJ29">
            <v>6</v>
          </cell>
          <cell r="BK29">
            <v>741</v>
          </cell>
          <cell r="BL29">
            <v>13</v>
          </cell>
          <cell r="BM29">
            <v>1622</v>
          </cell>
          <cell r="BN29">
            <v>23</v>
          </cell>
          <cell r="BO29">
            <v>1781</v>
          </cell>
          <cell r="BP29">
            <v>8</v>
          </cell>
          <cell r="BQ29">
            <v>691</v>
          </cell>
          <cell r="BT29">
            <v>52</v>
          </cell>
          <cell r="BU29">
            <v>5179</v>
          </cell>
        </row>
        <row r="30">
          <cell r="BG30" t="str">
            <v>Hawthorn Suites LTD.</v>
          </cell>
          <cell r="BH30">
            <v>1</v>
          </cell>
          <cell r="BI30">
            <v>96</v>
          </cell>
          <cell r="BJ30">
            <v>9</v>
          </cell>
          <cell r="BK30">
            <v>775</v>
          </cell>
          <cell r="BL30">
            <v>17</v>
          </cell>
          <cell r="BM30">
            <v>1400</v>
          </cell>
          <cell r="BN30">
            <v>16</v>
          </cell>
          <cell r="BO30">
            <v>1289</v>
          </cell>
          <cell r="BP30">
            <v>9</v>
          </cell>
          <cell r="BQ30">
            <v>614</v>
          </cell>
          <cell r="BT30">
            <v>52</v>
          </cell>
          <cell r="BU30">
            <v>4174</v>
          </cell>
        </row>
        <row r="31">
          <cell r="BG31" t="str">
            <v>Hilton Garden Inn</v>
          </cell>
          <cell r="BH31">
            <v>5</v>
          </cell>
          <cell r="BI31">
            <v>581</v>
          </cell>
          <cell r="BJ31">
            <v>8</v>
          </cell>
          <cell r="BK31">
            <v>1168</v>
          </cell>
          <cell r="BL31">
            <v>43</v>
          </cell>
          <cell r="BM31">
            <v>6055</v>
          </cell>
          <cell r="BN31">
            <v>28</v>
          </cell>
          <cell r="BO31">
            <v>4099</v>
          </cell>
          <cell r="BP31">
            <v>33</v>
          </cell>
          <cell r="BQ31">
            <v>4315</v>
          </cell>
          <cell r="BT31">
            <v>117</v>
          </cell>
          <cell r="BU31">
            <v>16218</v>
          </cell>
        </row>
        <row r="32">
          <cell r="BG32" t="str">
            <v>Hilton Hotel</v>
          </cell>
          <cell r="BH32">
            <v>1</v>
          </cell>
          <cell r="BI32">
            <v>137</v>
          </cell>
          <cell r="BJ32">
            <v>1</v>
          </cell>
          <cell r="BK32">
            <v>300</v>
          </cell>
          <cell r="BL32">
            <v>4</v>
          </cell>
          <cell r="BM32">
            <v>1040</v>
          </cell>
          <cell r="BN32">
            <v>10</v>
          </cell>
          <cell r="BO32">
            <v>2607</v>
          </cell>
          <cell r="BP32">
            <v>6</v>
          </cell>
          <cell r="BQ32">
            <v>1504</v>
          </cell>
          <cell r="BT32">
            <v>22</v>
          </cell>
          <cell r="BU32">
            <v>5588</v>
          </cell>
        </row>
        <row r="33">
          <cell r="BG33" t="str">
            <v>Holiday Inn</v>
          </cell>
          <cell r="BH33">
            <v>4</v>
          </cell>
          <cell r="BI33">
            <v>653</v>
          </cell>
          <cell r="BJ33">
            <v>7</v>
          </cell>
          <cell r="BK33">
            <v>1199</v>
          </cell>
          <cell r="BL33">
            <v>9</v>
          </cell>
          <cell r="BM33">
            <v>1661</v>
          </cell>
          <cell r="BN33">
            <v>4</v>
          </cell>
          <cell r="BO33">
            <v>540</v>
          </cell>
          <cell r="BP33">
            <v>7</v>
          </cell>
          <cell r="BQ33">
            <v>1087</v>
          </cell>
          <cell r="BT33">
            <v>31</v>
          </cell>
          <cell r="BU33">
            <v>5140</v>
          </cell>
        </row>
        <row r="34">
          <cell r="BG34" t="str">
            <v>Holiday Inn Express</v>
          </cell>
          <cell r="BH34">
            <v>126</v>
          </cell>
          <cell r="BI34">
            <v>8295</v>
          </cell>
          <cell r="BJ34">
            <v>131</v>
          </cell>
          <cell r="BK34">
            <v>9419</v>
          </cell>
          <cell r="BL34">
            <v>118</v>
          </cell>
          <cell r="BM34">
            <v>8627</v>
          </cell>
          <cell r="BN34">
            <v>118</v>
          </cell>
          <cell r="BO34">
            <v>8585</v>
          </cell>
          <cell r="BP34">
            <v>118</v>
          </cell>
          <cell r="BQ34">
            <v>9008</v>
          </cell>
          <cell r="BT34">
            <v>611</v>
          </cell>
          <cell r="BU34">
            <v>43934</v>
          </cell>
        </row>
        <row r="35">
          <cell r="BG35" t="str">
            <v>Holiday Inn Select</v>
          </cell>
          <cell r="BH35">
            <v>0</v>
          </cell>
          <cell r="BI35">
            <v>0</v>
          </cell>
          <cell r="BJ35">
            <v>1</v>
          </cell>
          <cell r="BK35">
            <v>300</v>
          </cell>
          <cell r="BL35">
            <v>0</v>
          </cell>
          <cell r="BM35">
            <v>0</v>
          </cell>
          <cell r="BN35">
            <v>3</v>
          </cell>
          <cell r="BO35">
            <v>543</v>
          </cell>
          <cell r="BP35">
            <v>0</v>
          </cell>
          <cell r="BQ35">
            <v>0</v>
          </cell>
          <cell r="BT35">
            <v>4</v>
          </cell>
          <cell r="BU35">
            <v>843</v>
          </cell>
        </row>
        <row r="36">
          <cell r="BG36" t="str">
            <v>Homewood Suites by Hilton</v>
          </cell>
          <cell r="BH36">
            <v>12</v>
          </cell>
          <cell r="BI36">
            <v>1060</v>
          </cell>
          <cell r="BJ36">
            <v>24</v>
          </cell>
          <cell r="BK36">
            <v>2707</v>
          </cell>
          <cell r="BL36">
            <v>12</v>
          </cell>
          <cell r="BM36">
            <v>1591</v>
          </cell>
          <cell r="BN36">
            <v>8</v>
          </cell>
          <cell r="BO36">
            <v>990</v>
          </cell>
          <cell r="BP36">
            <v>11</v>
          </cell>
          <cell r="BQ36">
            <v>1129</v>
          </cell>
          <cell r="BT36">
            <v>67</v>
          </cell>
          <cell r="BU36">
            <v>7477</v>
          </cell>
        </row>
        <row r="37">
          <cell r="BG37" t="str">
            <v>Howard Johnson</v>
          </cell>
          <cell r="BH37">
            <v>1</v>
          </cell>
          <cell r="BI37">
            <v>170</v>
          </cell>
          <cell r="BJ37">
            <v>4</v>
          </cell>
          <cell r="BK37">
            <v>338</v>
          </cell>
          <cell r="BL37">
            <v>1</v>
          </cell>
          <cell r="BM37">
            <v>82</v>
          </cell>
          <cell r="BN37">
            <v>1</v>
          </cell>
          <cell r="BO37">
            <v>150</v>
          </cell>
          <cell r="BP37">
            <v>1</v>
          </cell>
          <cell r="BQ37">
            <v>34</v>
          </cell>
          <cell r="BT37">
            <v>8</v>
          </cell>
          <cell r="BU37">
            <v>774</v>
          </cell>
        </row>
        <row r="38">
          <cell r="BG38" t="str">
            <v>Howard Johnson Express Inn</v>
          </cell>
          <cell r="BH38">
            <v>5</v>
          </cell>
          <cell r="BI38">
            <v>268</v>
          </cell>
          <cell r="BJ38">
            <v>4</v>
          </cell>
          <cell r="BK38">
            <v>215</v>
          </cell>
          <cell r="BL38">
            <v>8</v>
          </cell>
          <cell r="BM38">
            <v>435</v>
          </cell>
          <cell r="BN38">
            <v>9</v>
          </cell>
          <cell r="BO38">
            <v>592</v>
          </cell>
          <cell r="BP38">
            <v>5</v>
          </cell>
          <cell r="BQ38">
            <v>272</v>
          </cell>
          <cell r="BT38">
            <v>31</v>
          </cell>
          <cell r="BU38">
            <v>1782</v>
          </cell>
        </row>
        <row r="39">
          <cell r="BG39" t="str">
            <v>Inter-Continental</v>
          </cell>
          <cell r="BH39">
            <v>0</v>
          </cell>
          <cell r="BI39">
            <v>0</v>
          </cell>
          <cell r="BJ39">
            <v>0</v>
          </cell>
          <cell r="BK39">
            <v>0</v>
          </cell>
          <cell r="BL39">
            <v>1</v>
          </cell>
          <cell r="BM39">
            <v>291</v>
          </cell>
          <cell r="BN39">
            <v>2</v>
          </cell>
          <cell r="BO39">
            <v>339</v>
          </cell>
          <cell r="BP39">
            <v>0</v>
          </cell>
          <cell r="BQ39">
            <v>0</v>
          </cell>
          <cell r="BT39">
            <v>3</v>
          </cell>
          <cell r="BU39">
            <v>630</v>
          </cell>
        </row>
        <row r="40">
          <cell r="BG40" t="str">
            <v>Knights Inn</v>
          </cell>
          <cell r="BH40">
            <v>7</v>
          </cell>
          <cell r="BI40">
            <v>395</v>
          </cell>
          <cell r="BJ40">
            <v>1</v>
          </cell>
          <cell r="BK40">
            <v>40</v>
          </cell>
          <cell r="BL40">
            <v>0</v>
          </cell>
          <cell r="BM40">
            <v>0</v>
          </cell>
          <cell r="BN40">
            <v>1</v>
          </cell>
          <cell r="BO40">
            <v>44</v>
          </cell>
          <cell r="BP40">
            <v>0</v>
          </cell>
          <cell r="BQ40">
            <v>0</v>
          </cell>
          <cell r="BT40">
            <v>9</v>
          </cell>
          <cell r="BU40">
            <v>479</v>
          </cell>
        </row>
        <row r="41">
          <cell r="BG41" t="str">
            <v>MainStay Suites</v>
          </cell>
          <cell r="BH41">
            <v>3</v>
          </cell>
          <cell r="BI41">
            <v>279</v>
          </cell>
          <cell r="BJ41">
            <v>15</v>
          </cell>
          <cell r="BK41">
            <v>1415</v>
          </cell>
          <cell r="BL41">
            <v>10</v>
          </cell>
          <cell r="BM41">
            <v>862</v>
          </cell>
          <cell r="BN41">
            <v>5</v>
          </cell>
          <cell r="BO41">
            <v>429</v>
          </cell>
          <cell r="BP41">
            <v>5</v>
          </cell>
          <cell r="BQ41">
            <v>323</v>
          </cell>
          <cell r="BT41">
            <v>38</v>
          </cell>
          <cell r="BU41">
            <v>3308</v>
          </cell>
        </row>
        <row r="42">
          <cell r="BG42" t="str">
            <v>Marriott Hotel</v>
          </cell>
          <cell r="BH42">
            <v>2</v>
          </cell>
          <cell r="BI42">
            <v>433</v>
          </cell>
          <cell r="BJ42">
            <v>8</v>
          </cell>
          <cell r="BK42">
            <v>2258</v>
          </cell>
          <cell r="BL42">
            <v>9</v>
          </cell>
          <cell r="BM42">
            <v>2502</v>
          </cell>
          <cell r="BN42">
            <v>12</v>
          </cell>
          <cell r="BO42">
            <v>4249</v>
          </cell>
          <cell r="BP42">
            <v>10</v>
          </cell>
          <cell r="BQ42">
            <v>3529</v>
          </cell>
          <cell r="BT42">
            <v>41</v>
          </cell>
          <cell r="BU42">
            <v>12971</v>
          </cell>
        </row>
        <row r="43">
          <cell r="BG43" t="str">
            <v>Microtel Inn</v>
          </cell>
          <cell r="BH43">
            <v>37</v>
          </cell>
          <cell r="BI43">
            <v>2636</v>
          </cell>
          <cell r="BJ43">
            <v>59</v>
          </cell>
          <cell r="BK43">
            <v>4186</v>
          </cell>
          <cell r="BL43">
            <v>54</v>
          </cell>
          <cell r="BM43">
            <v>3849</v>
          </cell>
          <cell r="BN43">
            <v>46</v>
          </cell>
          <cell r="BO43">
            <v>3325</v>
          </cell>
          <cell r="BP43">
            <v>41</v>
          </cell>
          <cell r="BQ43">
            <v>2674</v>
          </cell>
          <cell r="BT43">
            <v>237</v>
          </cell>
          <cell r="BU43">
            <v>16670</v>
          </cell>
        </row>
        <row r="44">
          <cell r="BG44" t="str">
            <v>Quality Inn</v>
          </cell>
          <cell r="BH44">
            <v>12</v>
          </cell>
          <cell r="BI44">
            <v>848</v>
          </cell>
          <cell r="BJ44">
            <v>6</v>
          </cell>
          <cell r="BK44">
            <v>391</v>
          </cell>
          <cell r="BL44">
            <v>13</v>
          </cell>
          <cell r="BM44">
            <v>941</v>
          </cell>
          <cell r="BN44">
            <v>9</v>
          </cell>
          <cell r="BO44">
            <v>569</v>
          </cell>
          <cell r="BP44">
            <v>5</v>
          </cell>
          <cell r="BQ44">
            <v>373</v>
          </cell>
          <cell r="BT44">
            <v>45</v>
          </cell>
          <cell r="BU44">
            <v>3122</v>
          </cell>
        </row>
        <row r="45">
          <cell r="BG45" t="str">
            <v>Quality Suites</v>
          </cell>
          <cell r="BH45">
            <v>0</v>
          </cell>
          <cell r="BI45">
            <v>0</v>
          </cell>
          <cell r="BJ45">
            <v>8</v>
          </cell>
          <cell r="BK45">
            <v>641</v>
          </cell>
          <cell r="BL45">
            <v>2</v>
          </cell>
          <cell r="BM45">
            <v>172</v>
          </cell>
          <cell r="BN45">
            <v>3</v>
          </cell>
          <cell r="BO45">
            <v>271</v>
          </cell>
          <cell r="BP45">
            <v>4</v>
          </cell>
          <cell r="BQ45">
            <v>330</v>
          </cell>
          <cell r="BT45">
            <v>17</v>
          </cell>
          <cell r="BU45">
            <v>1414</v>
          </cell>
        </row>
        <row r="46">
          <cell r="BG46" t="str">
            <v>Ramada Inn</v>
          </cell>
          <cell r="BH46">
            <v>9</v>
          </cell>
          <cell r="BI46">
            <v>691</v>
          </cell>
          <cell r="BJ46">
            <v>7</v>
          </cell>
          <cell r="BK46">
            <v>401</v>
          </cell>
          <cell r="BL46">
            <v>2</v>
          </cell>
          <cell r="BM46">
            <v>183</v>
          </cell>
          <cell r="BN46">
            <v>3</v>
          </cell>
          <cell r="BO46">
            <v>165</v>
          </cell>
          <cell r="BP46">
            <v>3</v>
          </cell>
          <cell r="BQ46">
            <v>478</v>
          </cell>
          <cell r="BT46">
            <v>24</v>
          </cell>
          <cell r="BU46">
            <v>1918</v>
          </cell>
        </row>
        <row r="47">
          <cell r="BG47" t="str">
            <v>Ramada Limited</v>
          </cell>
          <cell r="BH47">
            <v>30</v>
          </cell>
          <cell r="BI47">
            <v>1837</v>
          </cell>
          <cell r="BJ47">
            <v>21</v>
          </cell>
          <cell r="BK47">
            <v>1274</v>
          </cell>
          <cell r="BL47">
            <v>16</v>
          </cell>
          <cell r="BM47">
            <v>910</v>
          </cell>
          <cell r="BN47">
            <v>9</v>
          </cell>
          <cell r="BO47">
            <v>499</v>
          </cell>
          <cell r="BP47">
            <v>8</v>
          </cell>
          <cell r="BQ47">
            <v>458</v>
          </cell>
          <cell r="BT47">
            <v>84</v>
          </cell>
          <cell r="BU47">
            <v>4978</v>
          </cell>
        </row>
        <row r="48">
          <cell r="BG48" t="str">
            <v>Renaissance Hotel</v>
          </cell>
          <cell r="BH48">
            <v>0</v>
          </cell>
          <cell r="BI48">
            <v>0</v>
          </cell>
          <cell r="BJ48">
            <v>0</v>
          </cell>
          <cell r="BK48">
            <v>0</v>
          </cell>
          <cell r="BL48">
            <v>1</v>
          </cell>
          <cell r="BM48">
            <v>275</v>
          </cell>
          <cell r="BN48">
            <v>2</v>
          </cell>
          <cell r="BO48">
            <v>474</v>
          </cell>
          <cell r="BP48">
            <v>8</v>
          </cell>
          <cell r="BQ48">
            <v>1988</v>
          </cell>
          <cell r="BT48">
            <v>11</v>
          </cell>
          <cell r="BU48">
            <v>2737</v>
          </cell>
        </row>
        <row r="49">
          <cell r="BG49" t="str">
            <v>Residence Inn</v>
          </cell>
          <cell r="BH49">
            <v>32</v>
          </cell>
          <cell r="BI49">
            <v>3460</v>
          </cell>
          <cell r="BJ49">
            <v>35</v>
          </cell>
          <cell r="BK49">
            <v>4003</v>
          </cell>
          <cell r="BL49">
            <v>34</v>
          </cell>
          <cell r="BM49">
            <v>4137</v>
          </cell>
          <cell r="BN49">
            <v>34</v>
          </cell>
          <cell r="BO49">
            <v>3647</v>
          </cell>
          <cell r="BP49">
            <v>35</v>
          </cell>
          <cell r="BQ49">
            <v>4283</v>
          </cell>
          <cell r="BT49">
            <v>170</v>
          </cell>
          <cell r="BU49">
            <v>19530</v>
          </cell>
        </row>
        <row r="50">
          <cell r="BG50" t="str">
            <v>Ritz-Carlton</v>
          </cell>
          <cell r="BH50">
            <v>0</v>
          </cell>
          <cell r="BI50">
            <v>0</v>
          </cell>
          <cell r="BJ50">
            <v>0</v>
          </cell>
          <cell r="BK50">
            <v>0</v>
          </cell>
          <cell r="BL50">
            <v>0</v>
          </cell>
          <cell r="BM50">
            <v>0</v>
          </cell>
          <cell r="BN50">
            <v>3</v>
          </cell>
          <cell r="BO50">
            <v>1083</v>
          </cell>
          <cell r="BP50">
            <v>4</v>
          </cell>
          <cell r="BQ50">
            <v>1213</v>
          </cell>
          <cell r="BT50">
            <v>7</v>
          </cell>
          <cell r="BU50">
            <v>2296</v>
          </cell>
        </row>
        <row r="51">
          <cell r="BG51" t="str">
            <v>Rodeway Inn</v>
          </cell>
          <cell r="BH51">
            <v>7</v>
          </cell>
          <cell r="BI51">
            <v>303</v>
          </cell>
          <cell r="BJ51">
            <v>7</v>
          </cell>
          <cell r="BK51">
            <v>348</v>
          </cell>
          <cell r="BL51">
            <v>0</v>
          </cell>
          <cell r="BM51">
            <v>0</v>
          </cell>
          <cell r="BN51">
            <v>0</v>
          </cell>
          <cell r="BO51">
            <v>0</v>
          </cell>
          <cell r="BP51">
            <v>0</v>
          </cell>
          <cell r="BQ51">
            <v>0</v>
          </cell>
          <cell r="BT51">
            <v>14</v>
          </cell>
          <cell r="BU51">
            <v>651</v>
          </cell>
        </row>
        <row r="52">
          <cell r="BG52" t="str">
            <v>Sheraton Hotel</v>
          </cell>
          <cell r="BH52">
            <v>1</v>
          </cell>
          <cell r="BI52">
            <v>502</v>
          </cell>
          <cell r="BJ52">
            <v>3</v>
          </cell>
          <cell r="BK52">
            <v>472</v>
          </cell>
          <cell r="BL52">
            <v>1</v>
          </cell>
          <cell r="BM52">
            <v>193</v>
          </cell>
          <cell r="BN52">
            <v>1</v>
          </cell>
          <cell r="BO52">
            <v>286</v>
          </cell>
          <cell r="BP52">
            <v>4</v>
          </cell>
          <cell r="BQ52">
            <v>1195</v>
          </cell>
          <cell r="BT52">
            <v>10</v>
          </cell>
          <cell r="BU52">
            <v>2648</v>
          </cell>
        </row>
        <row r="53">
          <cell r="BG53" t="str">
            <v>Sheraton Inn</v>
          </cell>
          <cell r="BH53">
            <v>0</v>
          </cell>
          <cell r="BI53">
            <v>0</v>
          </cell>
          <cell r="BJ53">
            <v>0</v>
          </cell>
          <cell r="BK53">
            <v>0</v>
          </cell>
          <cell r="BL53">
            <v>0</v>
          </cell>
          <cell r="BM53">
            <v>0</v>
          </cell>
          <cell r="BN53">
            <v>0</v>
          </cell>
          <cell r="BO53">
            <v>0</v>
          </cell>
          <cell r="BP53">
            <v>0</v>
          </cell>
          <cell r="BQ53">
            <v>0</v>
          </cell>
          <cell r="BT53">
            <v>0</v>
          </cell>
          <cell r="BU53">
            <v>0</v>
          </cell>
        </row>
        <row r="54">
          <cell r="BG54" t="str">
            <v>Sleep Inn</v>
          </cell>
          <cell r="BH54">
            <v>40</v>
          </cell>
          <cell r="BI54">
            <v>3074</v>
          </cell>
          <cell r="BJ54">
            <v>34</v>
          </cell>
          <cell r="BK54">
            <v>2835</v>
          </cell>
          <cell r="BL54">
            <v>33</v>
          </cell>
          <cell r="BM54">
            <v>2575</v>
          </cell>
          <cell r="BN54">
            <v>36</v>
          </cell>
          <cell r="BO54">
            <v>2816</v>
          </cell>
          <cell r="BP54">
            <v>24</v>
          </cell>
          <cell r="BQ54">
            <v>1799</v>
          </cell>
          <cell r="BT54">
            <v>167</v>
          </cell>
          <cell r="BU54">
            <v>13099</v>
          </cell>
        </row>
        <row r="55">
          <cell r="BG55" t="str">
            <v>SpringHill Suites</v>
          </cell>
          <cell r="BH55">
            <v>3</v>
          </cell>
          <cell r="BI55">
            <v>336</v>
          </cell>
          <cell r="BJ55">
            <v>15</v>
          </cell>
          <cell r="BK55">
            <v>1481</v>
          </cell>
          <cell r="BL55">
            <v>15</v>
          </cell>
          <cell r="BM55">
            <v>1631</v>
          </cell>
          <cell r="BN55">
            <v>27</v>
          </cell>
          <cell r="BO55">
            <v>3183</v>
          </cell>
          <cell r="BP55">
            <v>23</v>
          </cell>
          <cell r="BQ55">
            <v>2940</v>
          </cell>
          <cell r="BT55">
            <v>83</v>
          </cell>
          <cell r="BU55">
            <v>9571</v>
          </cell>
        </row>
        <row r="56">
          <cell r="BG56" t="str">
            <v>St. Regis</v>
          </cell>
          <cell r="BH56">
            <v>0</v>
          </cell>
          <cell r="BI56">
            <v>0</v>
          </cell>
          <cell r="BJ56">
            <v>0</v>
          </cell>
          <cell r="BK56">
            <v>0</v>
          </cell>
          <cell r="BL56">
            <v>0</v>
          </cell>
          <cell r="BM56">
            <v>0</v>
          </cell>
          <cell r="BN56">
            <v>0</v>
          </cell>
          <cell r="BO56">
            <v>0</v>
          </cell>
          <cell r="BP56">
            <v>1</v>
          </cell>
          <cell r="BQ56">
            <v>400</v>
          </cell>
          <cell r="BT56">
            <v>1</v>
          </cell>
          <cell r="BU56">
            <v>400</v>
          </cell>
        </row>
        <row r="57">
          <cell r="BG57" t="str">
            <v>Staybridge Suites</v>
          </cell>
          <cell r="BH57">
            <v>0</v>
          </cell>
          <cell r="BI57">
            <v>0</v>
          </cell>
          <cell r="BJ57">
            <v>1</v>
          </cell>
          <cell r="BK57">
            <v>118</v>
          </cell>
          <cell r="BL57">
            <v>10</v>
          </cell>
          <cell r="BM57">
            <v>1156</v>
          </cell>
          <cell r="BN57">
            <v>12</v>
          </cell>
          <cell r="BO57">
            <v>1439</v>
          </cell>
          <cell r="BP57">
            <v>16</v>
          </cell>
          <cell r="BQ57">
            <v>1748</v>
          </cell>
          <cell r="BT57">
            <v>39</v>
          </cell>
          <cell r="BU57">
            <v>4461</v>
          </cell>
        </row>
        <row r="58">
          <cell r="BG58" t="str">
            <v>StudioPlus Hotel</v>
          </cell>
          <cell r="BH58">
            <v>31</v>
          </cell>
          <cell r="BI58">
            <v>2555</v>
          </cell>
          <cell r="BJ58">
            <v>25</v>
          </cell>
          <cell r="BK58">
            <v>2019</v>
          </cell>
          <cell r="BL58">
            <v>15</v>
          </cell>
          <cell r="BM58">
            <v>1317</v>
          </cell>
          <cell r="BN58">
            <v>1</v>
          </cell>
          <cell r="BO58">
            <v>86</v>
          </cell>
          <cell r="BP58">
            <v>2</v>
          </cell>
          <cell r="BQ58">
            <v>184</v>
          </cell>
          <cell r="BT58">
            <v>74</v>
          </cell>
          <cell r="BU58">
            <v>6161</v>
          </cell>
        </row>
        <row r="59">
          <cell r="BG59" t="str">
            <v>Summerfield Suites by Wyndham</v>
          </cell>
          <cell r="BH59">
            <v>4</v>
          </cell>
          <cell r="BI59">
            <v>556</v>
          </cell>
          <cell r="BJ59">
            <v>4</v>
          </cell>
          <cell r="BK59">
            <v>545</v>
          </cell>
          <cell r="BL59">
            <v>1</v>
          </cell>
          <cell r="BM59">
            <v>157</v>
          </cell>
          <cell r="BN59">
            <v>2</v>
          </cell>
          <cell r="BO59">
            <v>291</v>
          </cell>
          <cell r="BP59">
            <v>0</v>
          </cell>
          <cell r="BQ59">
            <v>0</v>
          </cell>
          <cell r="BT59">
            <v>11</v>
          </cell>
          <cell r="BU59">
            <v>1549</v>
          </cell>
        </row>
        <row r="60">
          <cell r="BG60" t="str">
            <v>Sunspree Resorts</v>
          </cell>
          <cell r="BH60">
            <v>0</v>
          </cell>
          <cell r="BI60">
            <v>0</v>
          </cell>
          <cell r="BJ60">
            <v>0</v>
          </cell>
          <cell r="BK60">
            <v>0</v>
          </cell>
          <cell r="BL60">
            <v>0</v>
          </cell>
          <cell r="BM60">
            <v>0</v>
          </cell>
          <cell r="BN60">
            <v>0</v>
          </cell>
          <cell r="BO60">
            <v>0</v>
          </cell>
          <cell r="BP60">
            <v>0</v>
          </cell>
          <cell r="BQ60">
            <v>0</v>
          </cell>
          <cell r="BT60">
            <v>0</v>
          </cell>
          <cell r="BU60">
            <v>0</v>
          </cell>
        </row>
        <row r="61">
          <cell r="BG61" t="str">
            <v>Super 8</v>
          </cell>
          <cell r="BH61">
            <v>68</v>
          </cell>
          <cell r="BI61">
            <v>3587</v>
          </cell>
          <cell r="BJ61">
            <v>65</v>
          </cell>
          <cell r="BK61">
            <v>3538</v>
          </cell>
          <cell r="BL61">
            <v>71</v>
          </cell>
          <cell r="BM61">
            <v>3633</v>
          </cell>
          <cell r="BN61">
            <v>49</v>
          </cell>
          <cell r="BO61">
            <v>2485</v>
          </cell>
          <cell r="BP61">
            <v>41</v>
          </cell>
          <cell r="BQ61">
            <v>1981</v>
          </cell>
          <cell r="BT61">
            <v>294</v>
          </cell>
          <cell r="BU61">
            <v>15224</v>
          </cell>
        </row>
        <row r="62">
          <cell r="BG62" t="str">
            <v>ThriftLodge</v>
          </cell>
          <cell r="BH62">
            <v>0</v>
          </cell>
          <cell r="BI62">
            <v>0</v>
          </cell>
          <cell r="BJ62">
            <v>0</v>
          </cell>
          <cell r="BK62">
            <v>0</v>
          </cell>
          <cell r="BL62">
            <v>0</v>
          </cell>
          <cell r="BM62">
            <v>0</v>
          </cell>
          <cell r="BN62">
            <v>0</v>
          </cell>
          <cell r="BO62">
            <v>0</v>
          </cell>
          <cell r="BP62">
            <v>0</v>
          </cell>
          <cell r="BQ62">
            <v>0</v>
          </cell>
          <cell r="BT62">
            <v>0</v>
          </cell>
          <cell r="BU62">
            <v>0</v>
          </cell>
        </row>
        <row r="63">
          <cell r="BG63" t="str">
            <v>TownePlace Suites</v>
          </cell>
          <cell r="BH63">
            <v>2</v>
          </cell>
          <cell r="BI63">
            <v>184</v>
          </cell>
          <cell r="BJ63">
            <v>15</v>
          </cell>
          <cell r="BK63">
            <v>1514</v>
          </cell>
          <cell r="BL63">
            <v>45</v>
          </cell>
          <cell r="BM63">
            <v>4508</v>
          </cell>
          <cell r="BN63">
            <v>22</v>
          </cell>
          <cell r="BO63">
            <v>2468</v>
          </cell>
          <cell r="BP63">
            <v>12</v>
          </cell>
          <cell r="BQ63">
            <v>1311</v>
          </cell>
          <cell r="BT63">
            <v>96</v>
          </cell>
          <cell r="BU63">
            <v>9985</v>
          </cell>
        </row>
        <row r="64">
          <cell r="BG64" t="str">
            <v>Travelodge</v>
          </cell>
          <cell r="BH64">
            <v>16</v>
          </cell>
          <cell r="BI64">
            <v>853</v>
          </cell>
          <cell r="BJ64">
            <v>5</v>
          </cell>
          <cell r="BK64">
            <v>451</v>
          </cell>
          <cell r="BL64">
            <v>10</v>
          </cell>
          <cell r="BM64">
            <v>606</v>
          </cell>
          <cell r="BN64">
            <v>7</v>
          </cell>
          <cell r="BO64">
            <v>467</v>
          </cell>
          <cell r="BP64">
            <v>5</v>
          </cell>
          <cell r="BQ64">
            <v>348</v>
          </cell>
          <cell r="BT64">
            <v>43</v>
          </cell>
          <cell r="BU64">
            <v>2725</v>
          </cell>
        </row>
        <row r="65">
          <cell r="BG65" t="str">
            <v>Villager Lodge</v>
          </cell>
          <cell r="BH65">
            <v>3</v>
          </cell>
          <cell r="BI65">
            <v>169</v>
          </cell>
          <cell r="BJ65">
            <v>0</v>
          </cell>
          <cell r="BK65">
            <v>0</v>
          </cell>
          <cell r="BL65">
            <v>1</v>
          </cell>
          <cell r="BM65">
            <v>68</v>
          </cell>
          <cell r="BN65">
            <v>3</v>
          </cell>
          <cell r="BO65">
            <v>179</v>
          </cell>
          <cell r="BP65">
            <v>1</v>
          </cell>
          <cell r="BQ65">
            <v>150</v>
          </cell>
          <cell r="BT65">
            <v>8</v>
          </cell>
          <cell r="BU65">
            <v>566</v>
          </cell>
        </row>
        <row r="66">
          <cell r="BG66" t="str">
            <v>W Hotel</v>
          </cell>
          <cell r="BH66">
            <v>0</v>
          </cell>
          <cell r="BI66">
            <v>0</v>
          </cell>
          <cell r="BJ66">
            <v>0</v>
          </cell>
          <cell r="BK66">
            <v>0</v>
          </cell>
          <cell r="BL66">
            <v>3</v>
          </cell>
          <cell r="BM66">
            <v>979</v>
          </cell>
          <cell r="BN66">
            <v>2</v>
          </cell>
          <cell r="BO66">
            <v>444</v>
          </cell>
          <cell r="BP66">
            <v>1</v>
          </cell>
          <cell r="BQ66">
            <v>509</v>
          </cell>
          <cell r="BT66">
            <v>6</v>
          </cell>
          <cell r="BU66">
            <v>1932</v>
          </cell>
        </row>
        <row r="67">
          <cell r="BG67" t="str">
            <v>Wellesley Inn &amp; Suites</v>
          </cell>
          <cell r="BH67">
            <v>4</v>
          </cell>
          <cell r="BI67">
            <v>533</v>
          </cell>
          <cell r="BJ67">
            <v>13</v>
          </cell>
          <cell r="BK67">
            <v>1545</v>
          </cell>
          <cell r="BL67">
            <v>6</v>
          </cell>
          <cell r="BM67">
            <v>714</v>
          </cell>
          <cell r="BN67">
            <v>0</v>
          </cell>
          <cell r="BO67">
            <v>0</v>
          </cell>
          <cell r="BP67">
            <v>1</v>
          </cell>
          <cell r="BQ67">
            <v>65</v>
          </cell>
          <cell r="BT67">
            <v>24</v>
          </cell>
          <cell r="BU67">
            <v>2857</v>
          </cell>
        </row>
        <row r="68">
          <cell r="BG68" t="str">
            <v>Westin Hotel</v>
          </cell>
          <cell r="BH68">
            <v>0</v>
          </cell>
          <cell r="BI68">
            <v>0</v>
          </cell>
          <cell r="BJ68">
            <v>0</v>
          </cell>
          <cell r="BK68">
            <v>0</v>
          </cell>
          <cell r="BL68">
            <v>4</v>
          </cell>
          <cell r="BM68">
            <v>1590</v>
          </cell>
          <cell r="BN68">
            <v>4</v>
          </cell>
          <cell r="BO68">
            <v>1055</v>
          </cell>
          <cell r="BP68">
            <v>3</v>
          </cell>
          <cell r="BQ68">
            <v>793</v>
          </cell>
          <cell r="BT68">
            <v>11</v>
          </cell>
          <cell r="BU68">
            <v>3438</v>
          </cell>
        </row>
        <row r="69">
          <cell r="BG69" t="str">
            <v>Wingate Inn</v>
          </cell>
          <cell r="BH69">
            <v>17</v>
          </cell>
          <cell r="BI69">
            <v>1576</v>
          </cell>
          <cell r="BJ69">
            <v>29</v>
          </cell>
          <cell r="BK69">
            <v>2724</v>
          </cell>
          <cell r="BL69">
            <v>22</v>
          </cell>
          <cell r="BM69">
            <v>2022</v>
          </cell>
          <cell r="BN69">
            <v>22</v>
          </cell>
          <cell r="BO69">
            <v>2052</v>
          </cell>
          <cell r="BP69">
            <v>16</v>
          </cell>
          <cell r="BQ69">
            <v>1480</v>
          </cell>
          <cell r="BT69">
            <v>106</v>
          </cell>
          <cell r="BU69">
            <v>9854</v>
          </cell>
        </row>
        <row r="70">
          <cell r="BG70" t="str">
            <v>Wyndham Garden</v>
          </cell>
          <cell r="BH70">
            <v>1</v>
          </cell>
          <cell r="BI70">
            <v>141</v>
          </cell>
          <cell r="BJ70">
            <v>3</v>
          </cell>
          <cell r="BK70">
            <v>459</v>
          </cell>
          <cell r="BL70">
            <v>2</v>
          </cell>
          <cell r="BM70">
            <v>390</v>
          </cell>
          <cell r="BN70">
            <v>0</v>
          </cell>
          <cell r="BO70">
            <v>0</v>
          </cell>
          <cell r="BP70">
            <v>0</v>
          </cell>
          <cell r="BQ70">
            <v>0</v>
          </cell>
          <cell r="BT70">
            <v>6</v>
          </cell>
          <cell r="BU70">
            <v>990</v>
          </cell>
        </row>
        <row r="71">
          <cell r="BG71" t="str">
            <v>Wyndham Historic Hotel</v>
          </cell>
          <cell r="BH71">
            <v>0</v>
          </cell>
          <cell r="BI71">
            <v>0</v>
          </cell>
          <cell r="BJ71">
            <v>0</v>
          </cell>
          <cell r="BK71">
            <v>0</v>
          </cell>
          <cell r="BL71">
            <v>2</v>
          </cell>
          <cell r="BM71">
            <v>780</v>
          </cell>
          <cell r="BN71">
            <v>1</v>
          </cell>
          <cell r="BO71">
            <v>93</v>
          </cell>
          <cell r="BP71">
            <v>0</v>
          </cell>
          <cell r="BQ71">
            <v>0</v>
          </cell>
          <cell r="BT71">
            <v>3</v>
          </cell>
          <cell r="BU71">
            <v>873</v>
          </cell>
        </row>
        <row r="72">
          <cell r="BG72" t="str">
            <v>Wyndham Hotel</v>
          </cell>
          <cell r="BH72">
            <v>0</v>
          </cell>
          <cell r="BI72">
            <v>0</v>
          </cell>
          <cell r="BJ72">
            <v>0</v>
          </cell>
          <cell r="BK72">
            <v>0</v>
          </cell>
          <cell r="BL72">
            <v>0</v>
          </cell>
          <cell r="BM72">
            <v>0</v>
          </cell>
          <cell r="BN72">
            <v>0</v>
          </cell>
          <cell r="BO72">
            <v>0</v>
          </cell>
          <cell r="BP72">
            <v>2</v>
          </cell>
          <cell r="BQ72">
            <v>576</v>
          </cell>
          <cell r="BT72">
            <v>2</v>
          </cell>
          <cell r="BU72">
            <v>576</v>
          </cell>
        </row>
        <row r="73">
          <cell r="BG73" t="str">
            <v>Wyndham Luxury</v>
          </cell>
          <cell r="BH73">
            <v>0</v>
          </cell>
          <cell r="BI73">
            <v>0</v>
          </cell>
          <cell r="BJ73">
            <v>0</v>
          </cell>
          <cell r="BK73">
            <v>0</v>
          </cell>
          <cell r="BL73">
            <v>0</v>
          </cell>
          <cell r="BM73">
            <v>0</v>
          </cell>
          <cell r="BN73">
            <v>0</v>
          </cell>
          <cell r="BO73">
            <v>0</v>
          </cell>
          <cell r="BP73">
            <v>0</v>
          </cell>
          <cell r="BQ73">
            <v>0</v>
          </cell>
          <cell r="BT73">
            <v>0</v>
          </cell>
          <cell r="BU73">
            <v>0</v>
          </cell>
        </row>
      </sheetData>
      <sheetData sheetId="4" refreshError="1"/>
      <sheetData sheetId="5" refreshError="1">
        <row r="11">
          <cell r="B11" t="str">
            <v>Anaheim, CA</v>
          </cell>
          <cell r="C11">
            <v>367</v>
          </cell>
          <cell r="D11">
            <v>49672</v>
          </cell>
          <cell r="E11">
            <v>15</v>
          </cell>
          <cell r="F11">
            <v>3448</v>
          </cell>
          <cell r="G11">
            <v>10</v>
          </cell>
          <cell r="H11">
            <v>2139</v>
          </cell>
          <cell r="I11">
            <v>5</v>
          </cell>
          <cell r="J11">
            <v>919</v>
          </cell>
          <cell r="K11">
            <v>15</v>
          </cell>
          <cell r="L11">
            <v>3058</v>
          </cell>
          <cell r="M11">
            <v>5</v>
          </cell>
          <cell r="N11">
            <v>1960</v>
          </cell>
          <cell r="O11">
            <v>20</v>
          </cell>
          <cell r="P11">
            <v>5018</v>
          </cell>
          <cell r="Q11">
            <v>367</v>
          </cell>
          <cell r="R11">
            <v>49672</v>
          </cell>
          <cell r="S11">
            <v>5</v>
          </cell>
          <cell r="T11">
            <v>970</v>
          </cell>
          <cell r="U11">
            <v>2</v>
          </cell>
          <cell r="V11">
            <v>245</v>
          </cell>
          <cell r="W11">
            <v>7</v>
          </cell>
          <cell r="X11">
            <v>1215</v>
          </cell>
          <cell r="Y11">
            <v>3</v>
          </cell>
          <cell r="Z11">
            <v>924</v>
          </cell>
          <cell r="AA11">
            <v>10</v>
          </cell>
          <cell r="AB11">
            <v>2879</v>
          </cell>
          <cell r="AC11">
            <v>0</v>
          </cell>
          <cell r="AD11">
            <v>0</v>
          </cell>
          <cell r="AE11">
            <v>0</v>
          </cell>
          <cell r="AF11">
            <v>0</v>
          </cell>
          <cell r="AG11">
            <v>0</v>
          </cell>
          <cell r="AH11">
            <v>0</v>
          </cell>
          <cell r="AI11">
            <v>0</v>
          </cell>
          <cell r="AJ11">
            <v>0</v>
          </cell>
          <cell r="AK11">
            <v>10</v>
          </cell>
          <cell r="AL11">
            <v>2879</v>
          </cell>
          <cell r="AM11">
            <v>4</v>
          </cell>
          <cell r="AN11">
            <v>793</v>
          </cell>
          <cell r="AO11">
            <v>0</v>
          </cell>
          <cell r="AP11">
            <v>0</v>
          </cell>
        </row>
        <row r="12">
          <cell r="B12" t="str">
            <v>Atlanta, GA</v>
          </cell>
          <cell r="C12">
            <v>650</v>
          </cell>
          <cell r="D12">
            <v>85888</v>
          </cell>
          <cell r="E12">
            <v>26</v>
          </cell>
          <cell r="F12">
            <v>2543</v>
          </cell>
          <cell r="G12">
            <v>16</v>
          </cell>
          <cell r="H12">
            <v>1368</v>
          </cell>
          <cell r="I12">
            <v>16</v>
          </cell>
          <cell r="J12">
            <v>2559</v>
          </cell>
          <cell r="K12">
            <v>32</v>
          </cell>
          <cell r="L12">
            <v>3927</v>
          </cell>
          <cell r="M12">
            <v>18</v>
          </cell>
          <cell r="N12">
            <v>3236</v>
          </cell>
          <cell r="O12">
            <v>50</v>
          </cell>
          <cell r="P12">
            <v>7163</v>
          </cell>
          <cell r="Q12">
            <v>650</v>
          </cell>
          <cell r="R12">
            <v>85888</v>
          </cell>
          <cell r="S12">
            <v>10</v>
          </cell>
          <cell r="T12">
            <v>805</v>
          </cell>
          <cell r="U12">
            <v>6</v>
          </cell>
          <cell r="V12">
            <v>488</v>
          </cell>
          <cell r="W12">
            <v>16</v>
          </cell>
          <cell r="X12">
            <v>1293</v>
          </cell>
          <cell r="Y12">
            <v>10</v>
          </cell>
          <cell r="Z12">
            <v>1334</v>
          </cell>
          <cell r="AA12">
            <v>23</v>
          </cell>
          <cell r="AB12">
            <v>4111</v>
          </cell>
          <cell r="AC12">
            <v>1</v>
          </cell>
          <cell r="AD12">
            <v>425</v>
          </cell>
          <cell r="AE12">
            <v>0</v>
          </cell>
          <cell r="AF12">
            <v>0</v>
          </cell>
          <cell r="AG12">
            <v>0</v>
          </cell>
          <cell r="AH12">
            <v>0</v>
          </cell>
          <cell r="AI12">
            <v>0</v>
          </cell>
          <cell r="AJ12">
            <v>0</v>
          </cell>
          <cell r="AK12">
            <v>24</v>
          </cell>
          <cell r="AL12">
            <v>4536</v>
          </cell>
          <cell r="AM12">
            <v>5</v>
          </cell>
          <cell r="AN12">
            <v>635</v>
          </cell>
          <cell r="AO12">
            <v>1</v>
          </cell>
          <cell r="AP12">
            <v>425</v>
          </cell>
        </row>
        <row r="13">
          <cell r="B13" t="str">
            <v>Boston, MA</v>
          </cell>
          <cell r="C13">
            <v>282</v>
          </cell>
          <cell r="D13">
            <v>44213</v>
          </cell>
          <cell r="E13">
            <v>16</v>
          </cell>
          <cell r="F13">
            <v>2375</v>
          </cell>
          <cell r="G13">
            <v>17</v>
          </cell>
          <cell r="H13">
            <v>2392</v>
          </cell>
          <cell r="I13">
            <v>16</v>
          </cell>
          <cell r="J13">
            <v>3715</v>
          </cell>
          <cell r="K13">
            <v>33</v>
          </cell>
          <cell r="L13">
            <v>6107</v>
          </cell>
          <cell r="M13">
            <v>9</v>
          </cell>
          <cell r="N13">
            <v>1353</v>
          </cell>
          <cell r="O13">
            <v>42</v>
          </cell>
          <cell r="P13">
            <v>7460</v>
          </cell>
          <cell r="Q13">
            <v>282</v>
          </cell>
          <cell r="R13">
            <v>44213</v>
          </cell>
          <cell r="S13">
            <v>3</v>
          </cell>
          <cell r="T13">
            <v>337</v>
          </cell>
          <cell r="U13">
            <v>12</v>
          </cell>
          <cell r="V13">
            <v>1419</v>
          </cell>
          <cell r="W13">
            <v>15</v>
          </cell>
          <cell r="X13">
            <v>1756</v>
          </cell>
          <cell r="Y13">
            <v>7</v>
          </cell>
          <cell r="Z13">
            <v>1159</v>
          </cell>
          <cell r="AA13">
            <v>19</v>
          </cell>
          <cell r="AB13">
            <v>3895</v>
          </cell>
          <cell r="AC13">
            <v>0</v>
          </cell>
          <cell r="AD13">
            <v>0</v>
          </cell>
          <cell r="AE13">
            <v>1</v>
          </cell>
          <cell r="AF13">
            <v>650</v>
          </cell>
          <cell r="AG13">
            <v>0</v>
          </cell>
          <cell r="AH13">
            <v>0</v>
          </cell>
          <cell r="AI13">
            <v>0</v>
          </cell>
          <cell r="AJ13">
            <v>0</v>
          </cell>
          <cell r="AK13">
            <v>20</v>
          </cell>
          <cell r="AL13">
            <v>4545</v>
          </cell>
          <cell r="AM13">
            <v>1</v>
          </cell>
          <cell r="AN13">
            <v>65</v>
          </cell>
          <cell r="AO13">
            <v>1</v>
          </cell>
          <cell r="AP13">
            <v>650</v>
          </cell>
        </row>
        <row r="14">
          <cell r="B14" t="str">
            <v>Chicago, IL</v>
          </cell>
          <cell r="C14">
            <v>487</v>
          </cell>
          <cell r="D14">
            <v>83796</v>
          </cell>
          <cell r="E14">
            <v>17</v>
          </cell>
          <cell r="F14">
            <v>2727</v>
          </cell>
          <cell r="G14">
            <v>15</v>
          </cell>
          <cell r="H14">
            <v>2310</v>
          </cell>
          <cell r="I14">
            <v>15</v>
          </cell>
          <cell r="J14">
            <v>2303</v>
          </cell>
          <cell r="K14">
            <v>30</v>
          </cell>
          <cell r="L14">
            <v>4613</v>
          </cell>
          <cell r="M14">
            <v>12</v>
          </cell>
          <cell r="N14">
            <v>2186</v>
          </cell>
          <cell r="O14">
            <v>42</v>
          </cell>
          <cell r="P14">
            <v>6799</v>
          </cell>
          <cell r="Q14">
            <v>487</v>
          </cell>
          <cell r="R14">
            <v>83796</v>
          </cell>
          <cell r="S14">
            <v>6</v>
          </cell>
          <cell r="T14">
            <v>1000</v>
          </cell>
          <cell r="U14">
            <v>10</v>
          </cell>
          <cell r="V14">
            <v>1365</v>
          </cell>
          <cell r="W14">
            <v>15</v>
          </cell>
          <cell r="X14">
            <v>2215</v>
          </cell>
          <cell r="Y14">
            <v>9</v>
          </cell>
          <cell r="Z14">
            <v>1091</v>
          </cell>
          <cell r="AA14">
            <v>17</v>
          </cell>
          <cell r="AB14">
            <v>3243</v>
          </cell>
          <cell r="AC14">
            <v>1</v>
          </cell>
          <cell r="AD14">
            <v>250</v>
          </cell>
          <cell r="AE14">
            <v>0</v>
          </cell>
          <cell r="AF14">
            <v>0</v>
          </cell>
          <cell r="AG14">
            <v>0</v>
          </cell>
          <cell r="AH14">
            <v>0</v>
          </cell>
          <cell r="AI14">
            <v>0</v>
          </cell>
          <cell r="AJ14">
            <v>0</v>
          </cell>
          <cell r="AK14">
            <v>18</v>
          </cell>
          <cell r="AL14">
            <v>3493</v>
          </cell>
          <cell r="AM14">
            <v>2</v>
          </cell>
          <cell r="AN14">
            <v>259</v>
          </cell>
          <cell r="AO14">
            <v>1</v>
          </cell>
          <cell r="AP14">
            <v>250</v>
          </cell>
        </row>
        <row r="15">
          <cell r="B15" t="str">
            <v>Dallas, TX</v>
          </cell>
          <cell r="C15">
            <v>447</v>
          </cell>
          <cell r="D15">
            <v>63653</v>
          </cell>
          <cell r="E15">
            <v>17</v>
          </cell>
          <cell r="F15">
            <v>2154</v>
          </cell>
          <cell r="G15">
            <v>9</v>
          </cell>
          <cell r="H15">
            <v>1470</v>
          </cell>
          <cell r="I15">
            <v>11</v>
          </cell>
          <cell r="J15">
            <v>1209</v>
          </cell>
          <cell r="K15">
            <v>20</v>
          </cell>
          <cell r="L15">
            <v>2679</v>
          </cell>
          <cell r="M15">
            <v>9</v>
          </cell>
          <cell r="N15">
            <v>1886</v>
          </cell>
          <cell r="O15">
            <v>29</v>
          </cell>
          <cell r="P15">
            <v>4565</v>
          </cell>
          <cell r="Q15">
            <v>447</v>
          </cell>
          <cell r="R15">
            <v>63653</v>
          </cell>
          <cell r="S15">
            <v>5</v>
          </cell>
          <cell r="T15">
            <v>611</v>
          </cell>
          <cell r="U15">
            <v>5</v>
          </cell>
          <cell r="V15">
            <v>739</v>
          </cell>
          <cell r="W15">
            <v>9</v>
          </cell>
          <cell r="X15">
            <v>1245</v>
          </cell>
          <cell r="Y15">
            <v>9</v>
          </cell>
          <cell r="Z15">
            <v>834</v>
          </cell>
          <cell r="AA15">
            <v>10</v>
          </cell>
          <cell r="AB15">
            <v>2186</v>
          </cell>
          <cell r="AC15">
            <v>1</v>
          </cell>
          <cell r="AD15">
            <v>300</v>
          </cell>
          <cell r="AE15">
            <v>0</v>
          </cell>
          <cell r="AF15">
            <v>0</v>
          </cell>
          <cell r="AG15">
            <v>0</v>
          </cell>
          <cell r="AH15">
            <v>0</v>
          </cell>
          <cell r="AI15">
            <v>0</v>
          </cell>
          <cell r="AJ15">
            <v>0</v>
          </cell>
          <cell r="AK15">
            <v>11</v>
          </cell>
          <cell r="AL15">
            <v>2486</v>
          </cell>
          <cell r="AM15">
            <v>3</v>
          </cell>
          <cell r="AN15">
            <v>282</v>
          </cell>
          <cell r="AO15">
            <v>1</v>
          </cell>
          <cell r="AP15">
            <v>300</v>
          </cell>
        </row>
        <row r="16">
          <cell r="B16" t="str">
            <v>Denver, CO</v>
          </cell>
          <cell r="C16">
            <v>232</v>
          </cell>
          <cell r="D16">
            <v>34922</v>
          </cell>
          <cell r="E16">
            <v>5</v>
          </cell>
          <cell r="F16">
            <v>393</v>
          </cell>
          <cell r="G16">
            <v>5</v>
          </cell>
          <cell r="H16">
            <v>936</v>
          </cell>
          <cell r="I16">
            <v>12</v>
          </cell>
          <cell r="J16">
            <v>2996</v>
          </cell>
          <cell r="K16">
            <v>17</v>
          </cell>
          <cell r="L16">
            <v>3932</v>
          </cell>
          <cell r="M16">
            <v>5</v>
          </cell>
          <cell r="N16">
            <v>505</v>
          </cell>
          <cell r="O16">
            <v>22</v>
          </cell>
          <cell r="P16">
            <v>4437</v>
          </cell>
          <cell r="Q16">
            <v>232</v>
          </cell>
          <cell r="R16">
            <v>34922</v>
          </cell>
          <cell r="S16">
            <v>1</v>
          </cell>
          <cell r="T16">
            <v>88</v>
          </cell>
          <cell r="U16">
            <v>3</v>
          </cell>
          <cell r="V16">
            <v>480</v>
          </cell>
          <cell r="W16">
            <v>3</v>
          </cell>
          <cell r="X16">
            <v>484</v>
          </cell>
          <cell r="Y16">
            <v>10</v>
          </cell>
          <cell r="Z16">
            <v>1343</v>
          </cell>
          <cell r="AA16">
            <v>7</v>
          </cell>
          <cell r="AB16">
            <v>1389</v>
          </cell>
          <cell r="AC16">
            <v>1</v>
          </cell>
          <cell r="AD16">
            <v>121</v>
          </cell>
          <cell r="AE16">
            <v>1</v>
          </cell>
          <cell r="AF16">
            <v>1100</v>
          </cell>
          <cell r="AG16">
            <v>0</v>
          </cell>
          <cell r="AH16">
            <v>0</v>
          </cell>
          <cell r="AI16">
            <v>0</v>
          </cell>
          <cell r="AJ16">
            <v>0</v>
          </cell>
          <cell r="AK16">
            <v>9</v>
          </cell>
          <cell r="AL16">
            <v>2610</v>
          </cell>
          <cell r="AM16">
            <v>1</v>
          </cell>
          <cell r="AN16">
            <v>65</v>
          </cell>
          <cell r="AO16">
            <v>2</v>
          </cell>
          <cell r="AP16">
            <v>1221</v>
          </cell>
        </row>
        <row r="17">
          <cell r="B17" t="str">
            <v>Detroit, MI</v>
          </cell>
          <cell r="C17">
            <v>299</v>
          </cell>
          <cell r="D17">
            <v>36579</v>
          </cell>
          <cell r="E17">
            <v>13</v>
          </cell>
          <cell r="F17">
            <v>1201</v>
          </cell>
          <cell r="G17">
            <v>14</v>
          </cell>
          <cell r="H17">
            <v>1523</v>
          </cell>
          <cell r="I17">
            <v>14</v>
          </cell>
          <cell r="J17">
            <v>1392</v>
          </cell>
          <cell r="K17">
            <v>28</v>
          </cell>
          <cell r="L17">
            <v>2915</v>
          </cell>
          <cell r="M17">
            <v>9</v>
          </cell>
          <cell r="N17">
            <v>952</v>
          </cell>
          <cell r="O17">
            <v>37</v>
          </cell>
          <cell r="P17">
            <v>3867</v>
          </cell>
          <cell r="Q17">
            <v>299</v>
          </cell>
          <cell r="R17">
            <v>36579</v>
          </cell>
          <cell r="S17">
            <v>10</v>
          </cell>
          <cell r="T17">
            <v>839</v>
          </cell>
          <cell r="U17">
            <v>4</v>
          </cell>
          <cell r="V17">
            <v>372</v>
          </cell>
          <cell r="W17">
            <v>13</v>
          </cell>
          <cell r="X17">
            <v>1111</v>
          </cell>
          <cell r="Y17">
            <v>11</v>
          </cell>
          <cell r="Z17">
            <v>1288</v>
          </cell>
          <cell r="AA17">
            <v>13</v>
          </cell>
          <cell r="AB17">
            <v>1468</v>
          </cell>
          <cell r="AC17">
            <v>0</v>
          </cell>
          <cell r="AD17">
            <v>0</v>
          </cell>
          <cell r="AE17">
            <v>0</v>
          </cell>
          <cell r="AF17">
            <v>0</v>
          </cell>
          <cell r="AG17">
            <v>0</v>
          </cell>
          <cell r="AH17">
            <v>0</v>
          </cell>
          <cell r="AI17">
            <v>0</v>
          </cell>
          <cell r="AJ17">
            <v>0</v>
          </cell>
          <cell r="AK17">
            <v>13</v>
          </cell>
          <cell r="AL17">
            <v>1468</v>
          </cell>
          <cell r="AM17">
            <v>3</v>
          </cell>
          <cell r="AN17">
            <v>329</v>
          </cell>
          <cell r="AO17">
            <v>0</v>
          </cell>
          <cell r="AP17">
            <v>0</v>
          </cell>
        </row>
        <row r="18">
          <cell r="B18" t="str">
            <v>Houston, TX</v>
          </cell>
          <cell r="C18">
            <v>396</v>
          </cell>
          <cell r="D18">
            <v>51316</v>
          </cell>
          <cell r="E18">
            <v>26</v>
          </cell>
          <cell r="F18">
            <v>1992</v>
          </cell>
          <cell r="G18">
            <v>19</v>
          </cell>
          <cell r="H18">
            <v>3505</v>
          </cell>
          <cell r="I18">
            <v>14</v>
          </cell>
          <cell r="J18">
            <v>1245</v>
          </cell>
          <cell r="K18">
            <v>33</v>
          </cell>
          <cell r="L18">
            <v>4750</v>
          </cell>
          <cell r="M18">
            <v>11</v>
          </cell>
          <cell r="N18">
            <v>1214</v>
          </cell>
          <cell r="O18">
            <v>44</v>
          </cell>
          <cell r="P18">
            <v>5964</v>
          </cell>
          <cell r="Q18">
            <v>396</v>
          </cell>
          <cell r="R18">
            <v>51316</v>
          </cell>
          <cell r="S18">
            <v>10</v>
          </cell>
          <cell r="T18">
            <v>898</v>
          </cell>
          <cell r="U18">
            <v>8</v>
          </cell>
          <cell r="V18">
            <v>903</v>
          </cell>
          <cell r="W18">
            <v>17</v>
          </cell>
          <cell r="X18">
            <v>1705</v>
          </cell>
          <cell r="Y18">
            <v>14</v>
          </cell>
          <cell r="Z18">
            <v>1545</v>
          </cell>
          <cell r="AA18">
            <v>12</v>
          </cell>
          <cell r="AB18">
            <v>2554</v>
          </cell>
          <cell r="AC18">
            <v>1</v>
          </cell>
          <cell r="AD18">
            <v>160</v>
          </cell>
          <cell r="AE18">
            <v>0</v>
          </cell>
          <cell r="AF18">
            <v>0</v>
          </cell>
          <cell r="AG18">
            <v>0</v>
          </cell>
          <cell r="AH18">
            <v>0</v>
          </cell>
          <cell r="AI18">
            <v>0</v>
          </cell>
          <cell r="AJ18">
            <v>0</v>
          </cell>
          <cell r="AK18">
            <v>13</v>
          </cell>
          <cell r="AL18">
            <v>2714</v>
          </cell>
          <cell r="AM18">
            <v>2</v>
          </cell>
          <cell r="AN18">
            <v>117</v>
          </cell>
          <cell r="AO18">
            <v>1</v>
          </cell>
          <cell r="AP18">
            <v>160</v>
          </cell>
        </row>
        <row r="19">
          <cell r="B19" t="str">
            <v>Las Vegas, NV</v>
          </cell>
          <cell r="C19">
            <v>310</v>
          </cell>
          <cell r="D19">
            <v>129043</v>
          </cell>
          <cell r="E19">
            <v>6</v>
          </cell>
          <cell r="F19">
            <v>1962</v>
          </cell>
          <cell r="G19">
            <v>2</v>
          </cell>
          <cell r="H19">
            <v>1369</v>
          </cell>
          <cell r="I19">
            <v>7</v>
          </cell>
          <cell r="J19">
            <v>3316</v>
          </cell>
          <cell r="K19">
            <v>9</v>
          </cell>
          <cell r="L19">
            <v>4685</v>
          </cell>
          <cell r="M19">
            <v>6</v>
          </cell>
          <cell r="N19">
            <v>910</v>
          </cell>
          <cell r="O19">
            <v>15</v>
          </cell>
          <cell r="P19">
            <v>5595</v>
          </cell>
          <cell r="Q19">
            <v>310</v>
          </cell>
          <cell r="R19">
            <v>129043</v>
          </cell>
          <cell r="S19">
            <v>1</v>
          </cell>
          <cell r="T19">
            <v>1019</v>
          </cell>
          <cell r="U19">
            <v>2</v>
          </cell>
          <cell r="V19">
            <v>500</v>
          </cell>
          <cell r="W19">
            <v>3</v>
          </cell>
          <cell r="X19">
            <v>1519</v>
          </cell>
          <cell r="Y19">
            <v>4</v>
          </cell>
          <cell r="Z19">
            <v>551</v>
          </cell>
          <cell r="AA19">
            <v>7</v>
          </cell>
          <cell r="AB19">
            <v>3325</v>
          </cell>
          <cell r="AC19">
            <v>1</v>
          </cell>
          <cell r="AD19">
            <v>200</v>
          </cell>
          <cell r="AE19">
            <v>0</v>
          </cell>
          <cell r="AF19">
            <v>0</v>
          </cell>
          <cell r="AG19">
            <v>0</v>
          </cell>
          <cell r="AH19">
            <v>0</v>
          </cell>
          <cell r="AI19">
            <v>0</v>
          </cell>
          <cell r="AJ19">
            <v>0</v>
          </cell>
          <cell r="AK19">
            <v>8</v>
          </cell>
          <cell r="AL19">
            <v>3525</v>
          </cell>
          <cell r="AM19">
            <v>3</v>
          </cell>
          <cell r="AN19">
            <v>759</v>
          </cell>
          <cell r="AO19">
            <v>1</v>
          </cell>
          <cell r="AP19">
            <v>200</v>
          </cell>
        </row>
        <row r="20">
          <cell r="B20" t="str">
            <v>Los Angeles, CA</v>
          </cell>
          <cell r="C20">
            <v>705</v>
          </cell>
          <cell r="D20">
            <v>84566</v>
          </cell>
          <cell r="E20">
            <v>10</v>
          </cell>
          <cell r="F20">
            <v>1244</v>
          </cell>
          <cell r="G20">
            <v>7</v>
          </cell>
          <cell r="H20">
            <v>897</v>
          </cell>
          <cell r="I20">
            <v>14</v>
          </cell>
          <cell r="J20">
            <v>2279</v>
          </cell>
          <cell r="K20">
            <v>21</v>
          </cell>
          <cell r="L20">
            <v>3176</v>
          </cell>
          <cell r="M20">
            <v>4</v>
          </cell>
          <cell r="N20">
            <v>1141</v>
          </cell>
          <cell r="O20">
            <v>25</v>
          </cell>
          <cell r="P20">
            <v>4317</v>
          </cell>
          <cell r="Q20">
            <v>705</v>
          </cell>
          <cell r="R20">
            <v>84566</v>
          </cell>
          <cell r="S20">
            <v>5</v>
          </cell>
          <cell r="T20">
            <v>637</v>
          </cell>
          <cell r="U20">
            <v>5</v>
          </cell>
          <cell r="V20">
            <v>536</v>
          </cell>
          <cell r="W20">
            <v>8</v>
          </cell>
          <cell r="X20">
            <v>1018</v>
          </cell>
          <cell r="Y20">
            <v>7</v>
          </cell>
          <cell r="Z20">
            <v>764</v>
          </cell>
          <cell r="AA20">
            <v>9</v>
          </cell>
          <cell r="AB20">
            <v>2085</v>
          </cell>
          <cell r="AC20">
            <v>1</v>
          </cell>
          <cell r="AD20">
            <v>450</v>
          </cell>
          <cell r="AE20">
            <v>0</v>
          </cell>
          <cell r="AF20">
            <v>0</v>
          </cell>
          <cell r="AG20">
            <v>0</v>
          </cell>
          <cell r="AH20">
            <v>0</v>
          </cell>
          <cell r="AI20">
            <v>0</v>
          </cell>
          <cell r="AJ20">
            <v>0</v>
          </cell>
          <cell r="AK20">
            <v>10</v>
          </cell>
          <cell r="AL20">
            <v>2535</v>
          </cell>
          <cell r="AM20">
            <v>3</v>
          </cell>
          <cell r="AN20">
            <v>481</v>
          </cell>
          <cell r="AO20">
            <v>1</v>
          </cell>
          <cell r="AP20">
            <v>450</v>
          </cell>
        </row>
        <row r="21">
          <cell r="B21" t="str">
            <v>Miami, FL</v>
          </cell>
          <cell r="C21">
            <v>287</v>
          </cell>
          <cell r="D21">
            <v>44487</v>
          </cell>
          <cell r="E21">
            <v>7</v>
          </cell>
          <cell r="F21">
            <v>1461</v>
          </cell>
          <cell r="G21">
            <v>14</v>
          </cell>
          <cell r="H21">
            <v>2432</v>
          </cell>
          <cell r="I21">
            <v>13</v>
          </cell>
          <cell r="J21">
            <v>1555</v>
          </cell>
          <cell r="K21">
            <v>27</v>
          </cell>
          <cell r="L21">
            <v>3987</v>
          </cell>
          <cell r="M21">
            <v>4</v>
          </cell>
          <cell r="N21">
            <v>533</v>
          </cell>
          <cell r="O21">
            <v>31</v>
          </cell>
          <cell r="P21">
            <v>4520</v>
          </cell>
          <cell r="Q21">
            <v>287</v>
          </cell>
          <cell r="R21">
            <v>44487</v>
          </cell>
          <cell r="S21">
            <v>6</v>
          </cell>
          <cell r="T21">
            <v>1096</v>
          </cell>
          <cell r="U21">
            <v>7</v>
          </cell>
          <cell r="V21">
            <v>1180</v>
          </cell>
          <cell r="W21">
            <v>12</v>
          </cell>
          <cell r="X21">
            <v>2158</v>
          </cell>
          <cell r="Y21">
            <v>9</v>
          </cell>
          <cell r="Z21">
            <v>1021</v>
          </cell>
          <cell r="AA21">
            <v>10</v>
          </cell>
          <cell r="AB21">
            <v>1341</v>
          </cell>
          <cell r="AC21">
            <v>0</v>
          </cell>
          <cell r="AD21">
            <v>0</v>
          </cell>
          <cell r="AE21">
            <v>0</v>
          </cell>
          <cell r="AF21">
            <v>0</v>
          </cell>
          <cell r="AG21">
            <v>0</v>
          </cell>
          <cell r="AH21">
            <v>0</v>
          </cell>
          <cell r="AI21">
            <v>0</v>
          </cell>
          <cell r="AJ21">
            <v>0</v>
          </cell>
          <cell r="AK21">
            <v>10</v>
          </cell>
          <cell r="AL21">
            <v>1341</v>
          </cell>
          <cell r="AM21">
            <v>1</v>
          </cell>
          <cell r="AN21">
            <v>96</v>
          </cell>
          <cell r="AO21">
            <v>0</v>
          </cell>
          <cell r="AP21">
            <v>0</v>
          </cell>
        </row>
        <row r="22">
          <cell r="B22" t="str">
            <v>Minneapolis, MN</v>
          </cell>
          <cell r="C22">
            <v>253</v>
          </cell>
          <cell r="D22">
            <v>32550</v>
          </cell>
          <cell r="E22">
            <v>9</v>
          </cell>
          <cell r="F22">
            <v>1052</v>
          </cell>
          <cell r="G22">
            <v>8</v>
          </cell>
          <cell r="H22">
            <v>956</v>
          </cell>
          <cell r="I22">
            <v>6</v>
          </cell>
          <cell r="J22">
            <v>922</v>
          </cell>
          <cell r="K22">
            <v>14</v>
          </cell>
          <cell r="L22">
            <v>1878</v>
          </cell>
          <cell r="M22">
            <v>6</v>
          </cell>
          <cell r="N22">
            <v>525</v>
          </cell>
          <cell r="O22">
            <v>20</v>
          </cell>
          <cell r="P22">
            <v>2403</v>
          </cell>
          <cell r="Q22">
            <v>253</v>
          </cell>
          <cell r="R22">
            <v>32550</v>
          </cell>
          <cell r="S22">
            <v>4</v>
          </cell>
          <cell r="T22">
            <v>421</v>
          </cell>
          <cell r="U22">
            <v>4</v>
          </cell>
          <cell r="V22">
            <v>535</v>
          </cell>
          <cell r="W22">
            <v>8</v>
          </cell>
          <cell r="X22">
            <v>956</v>
          </cell>
          <cell r="Y22">
            <v>4</v>
          </cell>
          <cell r="Z22">
            <v>397</v>
          </cell>
          <cell r="AA22">
            <v>8</v>
          </cell>
          <cell r="AB22">
            <v>1050</v>
          </cell>
          <cell r="AC22">
            <v>0</v>
          </cell>
          <cell r="AD22">
            <v>0</v>
          </cell>
          <cell r="AE22">
            <v>0</v>
          </cell>
          <cell r="AF22">
            <v>0</v>
          </cell>
          <cell r="AG22">
            <v>0</v>
          </cell>
          <cell r="AH22">
            <v>0</v>
          </cell>
          <cell r="AI22">
            <v>0</v>
          </cell>
          <cell r="AJ22">
            <v>0</v>
          </cell>
          <cell r="AK22">
            <v>8</v>
          </cell>
          <cell r="AL22">
            <v>1050</v>
          </cell>
          <cell r="AM22">
            <v>1</v>
          </cell>
          <cell r="AN22">
            <v>120</v>
          </cell>
          <cell r="AO22">
            <v>0</v>
          </cell>
          <cell r="AP22">
            <v>0</v>
          </cell>
        </row>
        <row r="23">
          <cell r="B23" t="str">
            <v>Nashville, TN</v>
          </cell>
          <cell r="C23">
            <v>270</v>
          </cell>
          <cell r="D23">
            <v>32963</v>
          </cell>
          <cell r="E23">
            <v>10</v>
          </cell>
          <cell r="F23">
            <v>1394</v>
          </cell>
          <cell r="G23">
            <v>2</v>
          </cell>
          <cell r="H23">
            <v>169</v>
          </cell>
          <cell r="I23">
            <v>2</v>
          </cell>
          <cell r="J23">
            <v>165</v>
          </cell>
          <cell r="K23">
            <v>4</v>
          </cell>
          <cell r="L23">
            <v>334</v>
          </cell>
          <cell r="M23">
            <v>2</v>
          </cell>
          <cell r="N23">
            <v>159</v>
          </cell>
          <cell r="O23">
            <v>6</v>
          </cell>
          <cell r="P23">
            <v>493</v>
          </cell>
          <cell r="Q23">
            <v>270</v>
          </cell>
          <cell r="R23">
            <v>32963</v>
          </cell>
          <cell r="S23">
            <v>0</v>
          </cell>
          <cell r="T23">
            <v>0</v>
          </cell>
          <cell r="U23">
            <v>4</v>
          </cell>
          <cell r="V23">
            <v>334</v>
          </cell>
          <cell r="W23">
            <v>3</v>
          </cell>
          <cell r="X23">
            <v>275</v>
          </cell>
          <cell r="Y23">
            <v>1</v>
          </cell>
          <cell r="Z23">
            <v>59</v>
          </cell>
          <cell r="AA23">
            <v>2</v>
          </cell>
          <cell r="AB23">
            <v>159</v>
          </cell>
          <cell r="AC23">
            <v>0</v>
          </cell>
          <cell r="AD23">
            <v>0</v>
          </cell>
          <cell r="AE23">
            <v>0</v>
          </cell>
          <cell r="AF23">
            <v>0</v>
          </cell>
          <cell r="AG23">
            <v>0</v>
          </cell>
          <cell r="AH23">
            <v>0</v>
          </cell>
          <cell r="AI23">
            <v>0</v>
          </cell>
          <cell r="AJ23">
            <v>0</v>
          </cell>
          <cell r="AK23">
            <v>2</v>
          </cell>
          <cell r="AL23">
            <v>159</v>
          </cell>
          <cell r="AM23">
            <v>4</v>
          </cell>
          <cell r="AN23">
            <v>592</v>
          </cell>
          <cell r="AO23">
            <v>0</v>
          </cell>
          <cell r="AP23">
            <v>0</v>
          </cell>
        </row>
        <row r="24">
          <cell r="B24" t="str">
            <v>New Orleans, LA</v>
          </cell>
          <cell r="C24">
            <v>195</v>
          </cell>
          <cell r="D24">
            <v>34209</v>
          </cell>
          <cell r="E24">
            <v>17</v>
          </cell>
          <cell r="F24">
            <v>2110</v>
          </cell>
          <cell r="G24">
            <v>10</v>
          </cell>
          <cell r="H24">
            <v>1796</v>
          </cell>
          <cell r="I24">
            <v>9</v>
          </cell>
          <cell r="J24">
            <v>2045</v>
          </cell>
          <cell r="K24">
            <v>19</v>
          </cell>
          <cell r="L24">
            <v>3841</v>
          </cell>
          <cell r="M24">
            <v>10</v>
          </cell>
          <cell r="N24">
            <v>1655</v>
          </cell>
          <cell r="O24">
            <v>29</v>
          </cell>
          <cell r="P24">
            <v>5496</v>
          </cell>
          <cell r="Q24">
            <v>195</v>
          </cell>
          <cell r="R24">
            <v>34209</v>
          </cell>
          <cell r="S24">
            <v>7</v>
          </cell>
          <cell r="T24">
            <v>957</v>
          </cell>
          <cell r="U24">
            <v>5</v>
          </cell>
          <cell r="V24">
            <v>999</v>
          </cell>
          <cell r="W24">
            <v>10</v>
          </cell>
          <cell r="X24">
            <v>1796</v>
          </cell>
          <cell r="Y24">
            <v>4</v>
          </cell>
          <cell r="Z24">
            <v>407</v>
          </cell>
          <cell r="AA24">
            <v>15</v>
          </cell>
          <cell r="AB24">
            <v>3293</v>
          </cell>
          <cell r="AC24">
            <v>0</v>
          </cell>
          <cell r="AD24">
            <v>0</v>
          </cell>
          <cell r="AE24">
            <v>0</v>
          </cell>
          <cell r="AF24">
            <v>0</v>
          </cell>
          <cell r="AG24">
            <v>0</v>
          </cell>
          <cell r="AH24">
            <v>0</v>
          </cell>
          <cell r="AI24">
            <v>0</v>
          </cell>
          <cell r="AJ24">
            <v>0</v>
          </cell>
          <cell r="AK24">
            <v>15</v>
          </cell>
          <cell r="AL24">
            <v>3293</v>
          </cell>
          <cell r="AM24">
            <v>4</v>
          </cell>
          <cell r="AN24">
            <v>561</v>
          </cell>
          <cell r="AO24">
            <v>0</v>
          </cell>
          <cell r="AP24">
            <v>0</v>
          </cell>
        </row>
        <row r="25">
          <cell r="B25" t="str">
            <v>New York, NY</v>
          </cell>
          <cell r="C25">
            <v>286</v>
          </cell>
          <cell r="D25">
            <v>73363</v>
          </cell>
          <cell r="E25">
            <v>15</v>
          </cell>
          <cell r="F25">
            <v>2212</v>
          </cell>
          <cell r="G25">
            <v>7</v>
          </cell>
          <cell r="H25">
            <v>1770</v>
          </cell>
          <cell r="I25">
            <v>9</v>
          </cell>
          <cell r="J25">
            <v>1352</v>
          </cell>
          <cell r="K25">
            <v>16</v>
          </cell>
          <cell r="L25">
            <v>3122</v>
          </cell>
          <cell r="M25">
            <v>10</v>
          </cell>
          <cell r="N25">
            <v>1623</v>
          </cell>
          <cell r="O25">
            <v>26</v>
          </cell>
          <cell r="P25">
            <v>4745</v>
          </cell>
          <cell r="Q25">
            <v>286</v>
          </cell>
          <cell r="R25">
            <v>73363</v>
          </cell>
          <cell r="S25">
            <v>4</v>
          </cell>
          <cell r="T25">
            <v>598</v>
          </cell>
          <cell r="U25">
            <v>1</v>
          </cell>
          <cell r="V25">
            <v>59</v>
          </cell>
          <cell r="W25">
            <v>5</v>
          </cell>
          <cell r="X25">
            <v>657</v>
          </cell>
          <cell r="Y25">
            <v>9</v>
          </cell>
          <cell r="Z25">
            <v>1945</v>
          </cell>
          <cell r="AA25">
            <v>11</v>
          </cell>
          <cell r="AB25">
            <v>1863</v>
          </cell>
          <cell r="AC25">
            <v>1</v>
          </cell>
          <cell r="AD25">
            <v>280</v>
          </cell>
          <cell r="AE25">
            <v>0</v>
          </cell>
          <cell r="AF25">
            <v>0</v>
          </cell>
          <cell r="AG25">
            <v>0</v>
          </cell>
          <cell r="AH25">
            <v>0</v>
          </cell>
          <cell r="AI25">
            <v>0</v>
          </cell>
          <cell r="AJ25">
            <v>0</v>
          </cell>
          <cell r="AK25">
            <v>12</v>
          </cell>
          <cell r="AL25">
            <v>2143</v>
          </cell>
          <cell r="AM25">
            <v>4</v>
          </cell>
          <cell r="AN25">
            <v>881</v>
          </cell>
          <cell r="AO25">
            <v>1</v>
          </cell>
          <cell r="AP25">
            <v>280</v>
          </cell>
        </row>
        <row r="26">
          <cell r="B26" t="str">
            <v>Norfolk, VA</v>
          </cell>
          <cell r="C26">
            <v>328</v>
          </cell>
          <cell r="D26">
            <v>34886</v>
          </cell>
          <cell r="E26">
            <v>6</v>
          </cell>
          <cell r="F26">
            <v>1043</v>
          </cell>
          <cell r="G26">
            <v>4</v>
          </cell>
          <cell r="H26">
            <v>514</v>
          </cell>
          <cell r="I26">
            <v>9</v>
          </cell>
          <cell r="J26">
            <v>897</v>
          </cell>
          <cell r="K26">
            <v>13</v>
          </cell>
          <cell r="L26">
            <v>1411</v>
          </cell>
          <cell r="M26">
            <v>6</v>
          </cell>
          <cell r="N26">
            <v>960</v>
          </cell>
          <cell r="O26">
            <v>19</v>
          </cell>
          <cell r="P26">
            <v>2371</v>
          </cell>
          <cell r="Q26">
            <v>328</v>
          </cell>
          <cell r="R26">
            <v>34886</v>
          </cell>
          <cell r="S26">
            <v>2</v>
          </cell>
          <cell r="T26">
            <v>268</v>
          </cell>
          <cell r="U26">
            <v>5</v>
          </cell>
          <cell r="V26">
            <v>486</v>
          </cell>
          <cell r="W26">
            <v>5</v>
          </cell>
          <cell r="X26">
            <v>594</v>
          </cell>
          <cell r="Y26">
            <v>7</v>
          </cell>
          <cell r="Z26">
            <v>699</v>
          </cell>
          <cell r="AA26">
            <v>6</v>
          </cell>
          <cell r="AB26">
            <v>778</v>
          </cell>
          <cell r="AC26">
            <v>1</v>
          </cell>
          <cell r="AD26">
            <v>300</v>
          </cell>
          <cell r="AE26">
            <v>0</v>
          </cell>
          <cell r="AF26">
            <v>0</v>
          </cell>
          <cell r="AG26">
            <v>0</v>
          </cell>
          <cell r="AH26">
            <v>0</v>
          </cell>
          <cell r="AI26">
            <v>0</v>
          </cell>
          <cell r="AJ26">
            <v>0</v>
          </cell>
          <cell r="AK26">
            <v>7</v>
          </cell>
          <cell r="AL26">
            <v>1078</v>
          </cell>
          <cell r="AM26">
            <v>0</v>
          </cell>
          <cell r="AN26">
            <v>0</v>
          </cell>
          <cell r="AO26">
            <v>1</v>
          </cell>
          <cell r="AP26">
            <v>300</v>
          </cell>
        </row>
        <row r="27">
          <cell r="B27" t="str">
            <v>Oahu Island, HI</v>
          </cell>
          <cell r="C27">
            <v>107</v>
          </cell>
          <cell r="D27">
            <v>36506</v>
          </cell>
          <cell r="E27">
            <v>1</v>
          </cell>
          <cell r="F27">
            <v>453</v>
          </cell>
          <cell r="G27">
            <v>0</v>
          </cell>
          <cell r="H27">
            <v>0</v>
          </cell>
          <cell r="I27">
            <v>0</v>
          </cell>
          <cell r="J27">
            <v>0</v>
          </cell>
          <cell r="K27">
            <v>0</v>
          </cell>
          <cell r="L27">
            <v>0</v>
          </cell>
          <cell r="M27">
            <v>1</v>
          </cell>
          <cell r="N27">
            <v>299</v>
          </cell>
          <cell r="O27">
            <v>1</v>
          </cell>
          <cell r="P27">
            <v>299</v>
          </cell>
          <cell r="Q27">
            <v>107</v>
          </cell>
          <cell r="R27">
            <v>36506</v>
          </cell>
          <cell r="S27">
            <v>0</v>
          </cell>
          <cell r="T27">
            <v>0</v>
          </cell>
          <cell r="U27">
            <v>0</v>
          </cell>
          <cell r="V27">
            <v>0</v>
          </cell>
          <cell r="W27">
            <v>0</v>
          </cell>
          <cell r="X27">
            <v>0</v>
          </cell>
          <cell r="Y27">
            <v>0</v>
          </cell>
          <cell r="Z27">
            <v>0</v>
          </cell>
          <cell r="AA27">
            <v>1</v>
          </cell>
          <cell r="AB27">
            <v>299</v>
          </cell>
          <cell r="AC27">
            <v>0</v>
          </cell>
          <cell r="AD27">
            <v>0</v>
          </cell>
          <cell r="AE27">
            <v>0</v>
          </cell>
          <cell r="AF27">
            <v>0</v>
          </cell>
          <cell r="AG27">
            <v>0</v>
          </cell>
          <cell r="AH27">
            <v>0</v>
          </cell>
          <cell r="AI27">
            <v>0</v>
          </cell>
          <cell r="AJ27">
            <v>0</v>
          </cell>
          <cell r="AK27">
            <v>1</v>
          </cell>
          <cell r="AL27">
            <v>299</v>
          </cell>
          <cell r="AM27">
            <v>0</v>
          </cell>
          <cell r="AN27">
            <v>0</v>
          </cell>
          <cell r="AO27">
            <v>0</v>
          </cell>
          <cell r="AP27">
            <v>0</v>
          </cell>
        </row>
        <row r="28">
          <cell r="B28" t="str">
            <v>Orlando, FL</v>
          </cell>
          <cell r="C28">
            <v>429</v>
          </cell>
          <cell r="D28">
            <v>117462</v>
          </cell>
          <cell r="E28">
            <v>13</v>
          </cell>
          <cell r="F28">
            <v>3644</v>
          </cell>
          <cell r="G28">
            <v>14</v>
          </cell>
          <cell r="H28">
            <v>8601</v>
          </cell>
          <cell r="I28">
            <v>18</v>
          </cell>
          <cell r="J28">
            <v>7461</v>
          </cell>
          <cell r="K28">
            <v>32</v>
          </cell>
          <cell r="L28">
            <v>16062</v>
          </cell>
          <cell r="M28">
            <v>16</v>
          </cell>
          <cell r="N28">
            <v>5791</v>
          </cell>
          <cell r="O28">
            <v>48</v>
          </cell>
          <cell r="P28">
            <v>21853</v>
          </cell>
          <cell r="Q28">
            <v>429</v>
          </cell>
          <cell r="R28">
            <v>117462</v>
          </cell>
          <cell r="S28">
            <v>6</v>
          </cell>
          <cell r="T28">
            <v>2702</v>
          </cell>
          <cell r="U28">
            <v>5</v>
          </cell>
          <cell r="V28">
            <v>3339</v>
          </cell>
          <cell r="W28">
            <v>9</v>
          </cell>
          <cell r="X28">
            <v>3012</v>
          </cell>
          <cell r="Y28">
            <v>10</v>
          </cell>
          <cell r="Z28">
            <v>2704</v>
          </cell>
          <cell r="AA28">
            <v>23</v>
          </cell>
          <cell r="AB28">
            <v>10567</v>
          </cell>
          <cell r="AC28">
            <v>6</v>
          </cell>
          <cell r="AD28">
            <v>5570</v>
          </cell>
          <cell r="AE28">
            <v>0</v>
          </cell>
          <cell r="AF28">
            <v>0</v>
          </cell>
          <cell r="AG28">
            <v>0</v>
          </cell>
          <cell r="AH28">
            <v>0</v>
          </cell>
          <cell r="AI28">
            <v>0</v>
          </cell>
          <cell r="AJ28">
            <v>0</v>
          </cell>
          <cell r="AK28">
            <v>29</v>
          </cell>
          <cell r="AL28">
            <v>16137</v>
          </cell>
          <cell r="AM28">
            <v>1</v>
          </cell>
          <cell r="AN28">
            <v>101</v>
          </cell>
          <cell r="AO28">
            <v>6</v>
          </cell>
          <cell r="AP28">
            <v>5570</v>
          </cell>
        </row>
        <row r="29">
          <cell r="B29" t="str">
            <v>Philadelphia, PA</v>
          </cell>
          <cell r="C29">
            <v>271</v>
          </cell>
          <cell r="D29">
            <v>39526</v>
          </cell>
          <cell r="E29">
            <v>9</v>
          </cell>
          <cell r="F29">
            <v>1102</v>
          </cell>
          <cell r="G29">
            <v>8</v>
          </cell>
          <cell r="H29">
            <v>1023</v>
          </cell>
          <cell r="I29">
            <v>10</v>
          </cell>
          <cell r="J29">
            <v>1210</v>
          </cell>
          <cell r="K29">
            <v>18</v>
          </cell>
          <cell r="L29">
            <v>2233</v>
          </cell>
          <cell r="M29">
            <v>5</v>
          </cell>
          <cell r="N29">
            <v>674</v>
          </cell>
          <cell r="O29">
            <v>23</v>
          </cell>
          <cell r="P29">
            <v>2907</v>
          </cell>
          <cell r="Q29">
            <v>271</v>
          </cell>
          <cell r="R29">
            <v>39526</v>
          </cell>
          <cell r="S29">
            <v>4</v>
          </cell>
          <cell r="T29">
            <v>563</v>
          </cell>
          <cell r="U29">
            <v>4</v>
          </cell>
          <cell r="V29">
            <v>460</v>
          </cell>
          <cell r="W29">
            <v>8</v>
          </cell>
          <cell r="X29">
            <v>1023</v>
          </cell>
          <cell r="Y29">
            <v>7</v>
          </cell>
          <cell r="Z29">
            <v>695</v>
          </cell>
          <cell r="AA29">
            <v>8</v>
          </cell>
          <cell r="AB29">
            <v>1189</v>
          </cell>
          <cell r="AC29">
            <v>0</v>
          </cell>
          <cell r="AD29">
            <v>0</v>
          </cell>
          <cell r="AE29">
            <v>0</v>
          </cell>
          <cell r="AF29">
            <v>0</v>
          </cell>
          <cell r="AG29">
            <v>0</v>
          </cell>
          <cell r="AH29">
            <v>0</v>
          </cell>
          <cell r="AI29">
            <v>0</v>
          </cell>
          <cell r="AJ29">
            <v>0</v>
          </cell>
          <cell r="AK29">
            <v>8</v>
          </cell>
          <cell r="AL29">
            <v>1189</v>
          </cell>
          <cell r="AM29">
            <v>3</v>
          </cell>
          <cell r="AN29">
            <v>320</v>
          </cell>
          <cell r="AO29">
            <v>0</v>
          </cell>
          <cell r="AP29">
            <v>0</v>
          </cell>
        </row>
        <row r="30">
          <cell r="B30" t="str">
            <v>Phoenix, AZ</v>
          </cell>
          <cell r="C30">
            <v>345</v>
          </cell>
          <cell r="D30">
            <v>50943</v>
          </cell>
          <cell r="E30">
            <v>5</v>
          </cell>
          <cell r="F30">
            <v>498</v>
          </cell>
          <cell r="G30">
            <v>4</v>
          </cell>
          <cell r="H30">
            <v>2300</v>
          </cell>
          <cell r="I30">
            <v>8</v>
          </cell>
          <cell r="J30">
            <v>1797</v>
          </cell>
          <cell r="K30">
            <v>12</v>
          </cell>
          <cell r="L30">
            <v>4097</v>
          </cell>
          <cell r="M30">
            <v>9</v>
          </cell>
          <cell r="N30">
            <v>1434</v>
          </cell>
          <cell r="O30">
            <v>21</v>
          </cell>
          <cell r="P30">
            <v>5531</v>
          </cell>
          <cell r="Q30">
            <v>345</v>
          </cell>
          <cell r="R30">
            <v>50943</v>
          </cell>
          <cell r="S30">
            <v>1</v>
          </cell>
          <cell r="T30">
            <v>100</v>
          </cell>
          <cell r="U30">
            <v>1</v>
          </cell>
          <cell r="V30">
            <v>500</v>
          </cell>
          <cell r="W30">
            <v>2</v>
          </cell>
          <cell r="X30">
            <v>600</v>
          </cell>
          <cell r="Y30">
            <v>5</v>
          </cell>
          <cell r="Z30">
            <v>2040</v>
          </cell>
          <cell r="AA30">
            <v>12</v>
          </cell>
          <cell r="AB30">
            <v>2038</v>
          </cell>
          <cell r="AC30">
            <v>2</v>
          </cell>
          <cell r="AD30">
            <v>853</v>
          </cell>
          <cell r="AE30">
            <v>0</v>
          </cell>
          <cell r="AF30">
            <v>0</v>
          </cell>
          <cell r="AG30">
            <v>0</v>
          </cell>
          <cell r="AH30">
            <v>0</v>
          </cell>
          <cell r="AI30">
            <v>0</v>
          </cell>
          <cell r="AJ30">
            <v>0</v>
          </cell>
          <cell r="AK30">
            <v>14</v>
          </cell>
          <cell r="AL30">
            <v>2891</v>
          </cell>
          <cell r="AM30">
            <v>1</v>
          </cell>
          <cell r="AN30">
            <v>76</v>
          </cell>
          <cell r="AO30">
            <v>2</v>
          </cell>
          <cell r="AP30">
            <v>853</v>
          </cell>
        </row>
        <row r="31">
          <cell r="B31" t="str">
            <v>Saint Louis, MO</v>
          </cell>
          <cell r="C31">
            <v>238</v>
          </cell>
          <cell r="D31">
            <v>31742</v>
          </cell>
          <cell r="E31">
            <v>7</v>
          </cell>
          <cell r="F31">
            <v>897</v>
          </cell>
          <cell r="G31">
            <v>6</v>
          </cell>
          <cell r="H31">
            <v>1489</v>
          </cell>
          <cell r="I31">
            <v>10</v>
          </cell>
          <cell r="J31">
            <v>1274</v>
          </cell>
          <cell r="K31">
            <v>16</v>
          </cell>
          <cell r="L31">
            <v>2763</v>
          </cell>
          <cell r="M31">
            <v>5</v>
          </cell>
          <cell r="N31">
            <v>963</v>
          </cell>
          <cell r="O31">
            <v>21</v>
          </cell>
          <cell r="P31">
            <v>3726</v>
          </cell>
          <cell r="Q31">
            <v>238</v>
          </cell>
          <cell r="R31">
            <v>31742</v>
          </cell>
          <cell r="S31">
            <v>2</v>
          </cell>
          <cell r="T31">
            <v>267</v>
          </cell>
          <cell r="U31">
            <v>4</v>
          </cell>
          <cell r="V31">
            <v>425</v>
          </cell>
          <cell r="W31">
            <v>5</v>
          </cell>
          <cell r="X31">
            <v>572</v>
          </cell>
          <cell r="Y31">
            <v>7</v>
          </cell>
          <cell r="Z31">
            <v>1496</v>
          </cell>
          <cell r="AA31">
            <v>8</v>
          </cell>
          <cell r="AB31">
            <v>1119</v>
          </cell>
          <cell r="AC31">
            <v>1</v>
          </cell>
          <cell r="AD31">
            <v>539</v>
          </cell>
          <cell r="AE31">
            <v>0</v>
          </cell>
          <cell r="AF31">
            <v>0</v>
          </cell>
          <cell r="AG31">
            <v>0</v>
          </cell>
          <cell r="AH31">
            <v>0</v>
          </cell>
          <cell r="AI31">
            <v>0</v>
          </cell>
          <cell r="AJ31">
            <v>0</v>
          </cell>
          <cell r="AK31">
            <v>9</v>
          </cell>
          <cell r="AL31">
            <v>1658</v>
          </cell>
          <cell r="AM31">
            <v>1</v>
          </cell>
          <cell r="AN31">
            <v>61</v>
          </cell>
          <cell r="AO31">
            <v>1</v>
          </cell>
          <cell r="AP31">
            <v>539</v>
          </cell>
        </row>
        <row r="32">
          <cell r="B32" t="str">
            <v>San Diego, CA</v>
          </cell>
          <cell r="C32">
            <v>420</v>
          </cell>
          <cell r="D32">
            <v>51051</v>
          </cell>
          <cell r="E32">
            <v>4</v>
          </cell>
          <cell r="F32">
            <v>427</v>
          </cell>
          <cell r="G32">
            <v>11</v>
          </cell>
          <cell r="H32">
            <v>2712</v>
          </cell>
          <cell r="I32">
            <v>12</v>
          </cell>
          <cell r="J32">
            <v>2009</v>
          </cell>
          <cell r="K32">
            <v>23</v>
          </cell>
          <cell r="L32">
            <v>4721</v>
          </cell>
          <cell r="M32">
            <v>9</v>
          </cell>
          <cell r="N32">
            <v>2206</v>
          </cell>
          <cell r="O32">
            <v>32</v>
          </cell>
          <cell r="P32">
            <v>6927</v>
          </cell>
          <cell r="Q32">
            <v>420</v>
          </cell>
          <cell r="R32">
            <v>51051</v>
          </cell>
          <cell r="S32">
            <v>6</v>
          </cell>
          <cell r="T32">
            <v>1076</v>
          </cell>
          <cell r="U32">
            <v>4</v>
          </cell>
          <cell r="V32">
            <v>886</v>
          </cell>
          <cell r="W32">
            <v>10</v>
          </cell>
          <cell r="X32">
            <v>1962</v>
          </cell>
          <cell r="Y32">
            <v>9</v>
          </cell>
          <cell r="Z32">
            <v>1785</v>
          </cell>
          <cell r="AA32">
            <v>13</v>
          </cell>
          <cell r="AB32">
            <v>3180</v>
          </cell>
          <cell r="AC32">
            <v>0</v>
          </cell>
          <cell r="AD32">
            <v>0</v>
          </cell>
          <cell r="AE32">
            <v>0</v>
          </cell>
          <cell r="AF32">
            <v>0</v>
          </cell>
          <cell r="AG32">
            <v>0</v>
          </cell>
          <cell r="AH32">
            <v>0</v>
          </cell>
          <cell r="AI32">
            <v>0</v>
          </cell>
          <cell r="AJ32">
            <v>0</v>
          </cell>
          <cell r="AK32">
            <v>13</v>
          </cell>
          <cell r="AL32">
            <v>3180</v>
          </cell>
          <cell r="AM32">
            <v>1</v>
          </cell>
          <cell r="AN32">
            <v>150</v>
          </cell>
          <cell r="AO32">
            <v>0</v>
          </cell>
          <cell r="AP32">
            <v>0</v>
          </cell>
        </row>
        <row r="33">
          <cell r="B33" t="str">
            <v>San Francisco, CA</v>
          </cell>
          <cell r="C33">
            <v>354</v>
          </cell>
          <cell r="D33">
            <v>49934</v>
          </cell>
          <cell r="E33">
            <v>10</v>
          </cell>
          <cell r="F33">
            <v>1770</v>
          </cell>
          <cell r="G33">
            <v>10</v>
          </cell>
          <cell r="H33">
            <v>1396</v>
          </cell>
          <cell r="I33">
            <v>9</v>
          </cell>
          <cell r="J33">
            <v>2009</v>
          </cell>
          <cell r="K33">
            <v>19</v>
          </cell>
          <cell r="L33">
            <v>3405</v>
          </cell>
          <cell r="M33">
            <v>6</v>
          </cell>
          <cell r="N33">
            <v>1120</v>
          </cell>
          <cell r="O33">
            <v>25</v>
          </cell>
          <cell r="P33">
            <v>4525</v>
          </cell>
          <cell r="Q33">
            <v>354</v>
          </cell>
          <cell r="R33">
            <v>49934</v>
          </cell>
          <cell r="S33">
            <v>7</v>
          </cell>
          <cell r="T33">
            <v>699</v>
          </cell>
          <cell r="U33">
            <v>2</v>
          </cell>
          <cell r="V33">
            <v>346</v>
          </cell>
          <cell r="W33">
            <v>8</v>
          </cell>
          <cell r="X33">
            <v>950</v>
          </cell>
          <cell r="Y33">
            <v>6</v>
          </cell>
          <cell r="Z33">
            <v>895</v>
          </cell>
          <cell r="AA33">
            <v>11</v>
          </cell>
          <cell r="AB33">
            <v>2680</v>
          </cell>
          <cell r="AC33">
            <v>0</v>
          </cell>
          <cell r="AD33">
            <v>0</v>
          </cell>
          <cell r="AE33">
            <v>0</v>
          </cell>
          <cell r="AF33">
            <v>0</v>
          </cell>
          <cell r="AG33">
            <v>0</v>
          </cell>
          <cell r="AH33">
            <v>0</v>
          </cell>
          <cell r="AI33">
            <v>0</v>
          </cell>
          <cell r="AJ33">
            <v>0</v>
          </cell>
          <cell r="AK33">
            <v>11</v>
          </cell>
          <cell r="AL33">
            <v>2680</v>
          </cell>
          <cell r="AM33">
            <v>5</v>
          </cell>
          <cell r="AN33">
            <v>944</v>
          </cell>
          <cell r="AO33">
            <v>0</v>
          </cell>
          <cell r="AP33">
            <v>0</v>
          </cell>
        </row>
        <row r="34">
          <cell r="B34" t="str">
            <v>Seattle, WA</v>
          </cell>
          <cell r="C34">
            <v>289</v>
          </cell>
          <cell r="D34">
            <v>34822</v>
          </cell>
          <cell r="E34">
            <v>7</v>
          </cell>
          <cell r="F34">
            <v>1483</v>
          </cell>
          <cell r="G34">
            <v>9</v>
          </cell>
          <cell r="H34">
            <v>1464</v>
          </cell>
          <cell r="I34">
            <v>6</v>
          </cell>
          <cell r="J34">
            <v>648</v>
          </cell>
          <cell r="K34">
            <v>15</v>
          </cell>
          <cell r="L34">
            <v>2112</v>
          </cell>
          <cell r="M34">
            <v>7</v>
          </cell>
          <cell r="N34">
            <v>1646</v>
          </cell>
          <cell r="O34">
            <v>22</v>
          </cell>
          <cell r="P34">
            <v>3758</v>
          </cell>
          <cell r="Q34">
            <v>289</v>
          </cell>
          <cell r="R34">
            <v>34822</v>
          </cell>
          <cell r="S34">
            <v>3</v>
          </cell>
          <cell r="T34">
            <v>269</v>
          </cell>
          <cell r="U34">
            <v>3</v>
          </cell>
          <cell r="V34">
            <v>239</v>
          </cell>
          <cell r="W34">
            <v>6</v>
          </cell>
          <cell r="X34">
            <v>508</v>
          </cell>
          <cell r="Y34">
            <v>8</v>
          </cell>
          <cell r="Z34">
            <v>1504</v>
          </cell>
          <cell r="AA34">
            <v>7</v>
          </cell>
          <cell r="AB34">
            <v>1196</v>
          </cell>
          <cell r="AC34">
            <v>1</v>
          </cell>
          <cell r="AD34">
            <v>550</v>
          </cell>
          <cell r="AE34">
            <v>0</v>
          </cell>
          <cell r="AF34">
            <v>0</v>
          </cell>
          <cell r="AG34">
            <v>0</v>
          </cell>
          <cell r="AH34">
            <v>0</v>
          </cell>
          <cell r="AI34">
            <v>0</v>
          </cell>
          <cell r="AJ34">
            <v>0</v>
          </cell>
          <cell r="AK34">
            <v>8</v>
          </cell>
          <cell r="AL34">
            <v>1746</v>
          </cell>
          <cell r="AM34">
            <v>2</v>
          </cell>
          <cell r="AN34">
            <v>336</v>
          </cell>
          <cell r="AO34">
            <v>1</v>
          </cell>
          <cell r="AP34">
            <v>550</v>
          </cell>
        </row>
        <row r="35">
          <cell r="B35" t="str">
            <v>Tampa, FL</v>
          </cell>
          <cell r="C35">
            <v>348</v>
          </cell>
          <cell r="D35">
            <v>40986</v>
          </cell>
          <cell r="E35">
            <v>9</v>
          </cell>
          <cell r="F35">
            <v>1069</v>
          </cell>
          <cell r="G35">
            <v>6</v>
          </cell>
          <cell r="H35">
            <v>560</v>
          </cell>
          <cell r="I35">
            <v>6</v>
          </cell>
          <cell r="J35">
            <v>1003</v>
          </cell>
          <cell r="K35">
            <v>12</v>
          </cell>
          <cell r="L35">
            <v>1563</v>
          </cell>
          <cell r="M35">
            <v>11</v>
          </cell>
          <cell r="N35">
            <v>1295</v>
          </cell>
          <cell r="O35">
            <v>23</v>
          </cell>
          <cell r="P35">
            <v>2858</v>
          </cell>
          <cell r="Q35">
            <v>348</v>
          </cell>
          <cell r="R35">
            <v>40986</v>
          </cell>
          <cell r="S35">
            <v>2</v>
          </cell>
          <cell r="T35">
            <v>200</v>
          </cell>
          <cell r="U35">
            <v>3</v>
          </cell>
          <cell r="V35">
            <v>257</v>
          </cell>
          <cell r="W35">
            <v>4</v>
          </cell>
          <cell r="X35">
            <v>377</v>
          </cell>
          <cell r="Y35">
            <v>7</v>
          </cell>
          <cell r="Z35">
            <v>886</v>
          </cell>
          <cell r="AA35">
            <v>12</v>
          </cell>
          <cell r="AB35">
            <v>1595</v>
          </cell>
          <cell r="AC35">
            <v>0</v>
          </cell>
          <cell r="AD35">
            <v>0</v>
          </cell>
          <cell r="AE35">
            <v>0</v>
          </cell>
          <cell r="AF35">
            <v>0</v>
          </cell>
          <cell r="AG35">
            <v>0</v>
          </cell>
          <cell r="AH35">
            <v>0</v>
          </cell>
          <cell r="AI35">
            <v>0</v>
          </cell>
          <cell r="AJ35">
            <v>0</v>
          </cell>
          <cell r="AK35">
            <v>12</v>
          </cell>
          <cell r="AL35">
            <v>1595</v>
          </cell>
          <cell r="AM35">
            <v>5</v>
          </cell>
          <cell r="AN35">
            <v>717</v>
          </cell>
          <cell r="AO35">
            <v>0</v>
          </cell>
          <cell r="AP35">
            <v>0</v>
          </cell>
        </row>
        <row r="36">
          <cell r="B36" t="str">
            <v>Washington, DC</v>
          </cell>
          <cell r="C36">
            <v>450</v>
          </cell>
          <cell r="D36">
            <v>79138</v>
          </cell>
          <cell r="E36">
            <v>13</v>
          </cell>
          <cell r="F36">
            <v>1495</v>
          </cell>
          <cell r="G36">
            <v>14</v>
          </cell>
          <cell r="H36">
            <v>2311</v>
          </cell>
          <cell r="I36">
            <v>17</v>
          </cell>
          <cell r="J36">
            <v>2783</v>
          </cell>
          <cell r="K36">
            <v>31</v>
          </cell>
          <cell r="L36">
            <v>5094</v>
          </cell>
          <cell r="M36">
            <v>18</v>
          </cell>
          <cell r="N36">
            <v>3300</v>
          </cell>
          <cell r="O36">
            <v>49</v>
          </cell>
          <cell r="P36">
            <v>8394</v>
          </cell>
          <cell r="Q36">
            <v>450</v>
          </cell>
          <cell r="R36">
            <v>79138</v>
          </cell>
          <cell r="S36">
            <v>6</v>
          </cell>
          <cell r="T36">
            <v>1113</v>
          </cell>
          <cell r="U36">
            <v>8</v>
          </cell>
          <cell r="V36">
            <v>792</v>
          </cell>
          <cell r="W36">
            <v>13</v>
          </cell>
          <cell r="X36">
            <v>1815</v>
          </cell>
          <cell r="Y36">
            <v>11</v>
          </cell>
          <cell r="Z36">
            <v>1584</v>
          </cell>
          <cell r="AA36">
            <v>23</v>
          </cell>
          <cell r="AB36">
            <v>4262</v>
          </cell>
          <cell r="AC36">
            <v>2</v>
          </cell>
          <cell r="AD36">
            <v>733</v>
          </cell>
          <cell r="AE36">
            <v>0</v>
          </cell>
          <cell r="AF36">
            <v>0</v>
          </cell>
          <cell r="AG36">
            <v>0</v>
          </cell>
          <cell r="AH36">
            <v>0</v>
          </cell>
          <cell r="AI36">
            <v>0</v>
          </cell>
          <cell r="AJ36">
            <v>0</v>
          </cell>
          <cell r="AK36">
            <v>25</v>
          </cell>
          <cell r="AL36">
            <v>4995</v>
          </cell>
          <cell r="AM36">
            <v>3</v>
          </cell>
          <cell r="AN36">
            <v>423</v>
          </cell>
          <cell r="AO36">
            <v>2</v>
          </cell>
          <cell r="AP36">
            <v>733</v>
          </cell>
        </row>
        <row r="169">
          <cell r="B169" t="str">
            <v>Anaheim, CA</v>
          </cell>
          <cell r="C169">
            <v>0</v>
          </cell>
          <cell r="D169">
            <v>0</v>
          </cell>
          <cell r="E169">
            <v>17</v>
          </cell>
          <cell r="F169">
            <v>1479</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row>
        <row r="170">
          <cell r="B170" t="str">
            <v>Atlanta, GA</v>
          </cell>
          <cell r="C170">
            <v>21</v>
          </cell>
          <cell r="D170">
            <v>1430</v>
          </cell>
          <cell r="E170">
            <v>57</v>
          </cell>
          <cell r="F170">
            <v>4729</v>
          </cell>
          <cell r="G170">
            <v>2</v>
          </cell>
          <cell r="H170">
            <v>138</v>
          </cell>
          <cell r="I170">
            <v>4</v>
          </cell>
          <cell r="J170">
            <v>257</v>
          </cell>
          <cell r="K170">
            <v>0</v>
          </cell>
          <cell r="L170">
            <v>0</v>
          </cell>
          <cell r="M170">
            <v>4</v>
          </cell>
          <cell r="N170">
            <v>257</v>
          </cell>
          <cell r="O170">
            <v>0</v>
          </cell>
          <cell r="P170">
            <v>0</v>
          </cell>
          <cell r="Q170">
            <v>2</v>
          </cell>
          <cell r="R170">
            <v>137</v>
          </cell>
          <cell r="S170">
            <v>2</v>
          </cell>
          <cell r="T170">
            <v>120</v>
          </cell>
          <cell r="U170">
            <v>0</v>
          </cell>
          <cell r="V170">
            <v>0</v>
          </cell>
          <cell r="W170">
            <v>0</v>
          </cell>
          <cell r="X170">
            <v>0</v>
          </cell>
          <cell r="Y170">
            <v>0</v>
          </cell>
          <cell r="Z170">
            <v>0</v>
          </cell>
        </row>
        <row r="171">
          <cell r="B171" t="str">
            <v>Boston, MA</v>
          </cell>
          <cell r="C171">
            <v>4</v>
          </cell>
          <cell r="D171">
            <v>417</v>
          </cell>
          <cell r="E171">
            <v>14</v>
          </cell>
          <cell r="F171">
            <v>1393</v>
          </cell>
          <cell r="G171">
            <v>2</v>
          </cell>
          <cell r="H171">
            <v>115</v>
          </cell>
          <cell r="I171">
            <v>1</v>
          </cell>
          <cell r="J171">
            <v>57</v>
          </cell>
          <cell r="K171">
            <v>0</v>
          </cell>
          <cell r="L171">
            <v>0</v>
          </cell>
          <cell r="M171">
            <v>1</v>
          </cell>
          <cell r="N171">
            <v>57</v>
          </cell>
          <cell r="O171">
            <v>1</v>
          </cell>
          <cell r="P171">
            <v>129</v>
          </cell>
          <cell r="Q171">
            <v>0</v>
          </cell>
          <cell r="R171">
            <v>0</v>
          </cell>
          <cell r="S171">
            <v>1</v>
          </cell>
          <cell r="T171">
            <v>57</v>
          </cell>
          <cell r="U171">
            <v>0</v>
          </cell>
          <cell r="V171">
            <v>0</v>
          </cell>
          <cell r="W171">
            <v>1</v>
          </cell>
          <cell r="X171">
            <v>129</v>
          </cell>
          <cell r="Y171">
            <v>1</v>
          </cell>
          <cell r="Z171">
            <v>129</v>
          </cell>
        </row>
        <row r="172">
          <cell r="B172" t="str">
            <v>Chicago, IL</v>
          </cell>
          <cell r="C172">
            <v>9</v>
          </cell>
          <cell r="D172">
            <v>732</v>
          </cell>
          <cell r="E172">
            <v>27</v>
          </cell>
          <cell r="F172">
            <v>3622</v>
          </cell>
          <cell r="G172">
            <v>2</v>
          </cell>
          <cell r="H172">
            <v>217</v>
          </cell>
          <cell r="I172">
            <v>1</v>
          </cell>
          <cell r="J172">
            <v>61</v>
          </cell>
          <cell r="K172">
            <v>0</v>
          </cell>
          <cell r="L172">
            <v>0</v>
          </cell>
          <cell r="M172">
            <v>1</v>
          </cell>
          <cell r="N172">
            <v>61</v>
          </cell>
          <cell r="O172">
            <v>1</v>
          </cell>
          <cell r="P172">
            <v>80</v>
          </cell>
          <cell r="Q172">
            <v>0</v>
          </cell>
          <cell r="R172">
            <v>0</v>
          </cell>
          <cell r="S172">
            <v>1</v>
          </cell>
          <cell r="T172">
            <v>61</v>
          </cell>
          <cell r="U172">
            <v>0</v>
          </cell>
          <cell r="V172">
            <v>0</v>
          </cell>
          <cell r="W172">
            <v>1</v>
          </cell>
          <cell r="X172">
            <v>80</v>
          </cell>
          <cell r="Y172">
            <v>1</v>
          </cell>
          <cell r="Z172">
            <v>80</v>
          </cell>
        </row>
        <row r="173">
          <cell r="B173" t="str">
            <v>Dallas, TX</v>
          </cell>
          <cell r="C173">
            <v>22</v>
          </cell>
          <cell r="D173">
            <v>1593</v>
          </cell>
          <cell r="E173">
            <v>42</v>
          </cell>
          <cell r="F173">
            <v>3523</v>
          </cell>
          <cell r="G173">
            <v>2</v>
          </cell>
          <cell r="H173">
            <v>133</v>
          </cell>
          <cell r="I173">
            <v>1</v>
          </cell>
          <cell r="J173">
            <v>80</v>
          </cell>
          <cell r="K173">
            <v>2</v>
          </cell>
          <cell r="L173">
            <v>135</v>
          </cell>
          <cell r="M173">
            <v>3</v>
          </cell>
          <cell r="N173">
            <v>215</v>
          </cell>
          <cell r="O173">
            <v>0</v>
          </cell>
          <cell r="P173">
            <v>0</v>
          </cell>
          <cell r="Q173">
            <v>1</v>
          </cell>
          <cell r="R173">
            <v>80</v>
          </cell>
          <cell r="S173">
            <v>0</v>
          </cell>
          <cell r="T173">
            <v>0</v>
          </cell>
          <cell r="U173">
            <v>2</v>
          </cell>
          <cell r="V173">
            <v>135</v>
          </cell>
          <cell r="W173">
            <v>0</v>
          </cell>
          <cell r="X173">
            <v>0</v>
          </cell>
          <cell r="Y173">
            <v>0</v>
          </cell>
          <cell r="Z173">
            <v>0</v>
          </cell>
        </row>
        <row r="174">
          <cell r="B174" t="str">
            <v>Denver, CO</v>
          </cell>
          <cell r="C174">
            <v>13</v>
          </cell>
          <cell r="D174">
            <v>1091</v>
          </cell>
          <cell r="E174">
            <v>24</v>
          </cell>
          <cell r="F174">
            <v>2432</v>
          </cell>
          <cell r="G174">
            <v>2</v>
          </cell>
          <cell r="H174">
            <v>133</v>
          </cell>
          <cell r="I174">
            <v>0</v>
          </cell>
          <cell r="J174">
            <v>0</v>
          </cell>
          <cell r="K174">
            <v>1</v>
          </cell>
          <cell r="L174">
            <v>84</v>
          </cell>
          <cell r="M174">
            <v>1</v>
          </cell>
          <cell r="N174">
            <v>84</v>
          </cell>
          <cell r="O174">
            <v>0</v>
          </cell>
          <cell r="P174">
            <v>0</v>
          </cell>
          <cell r="Q174">
            <v>0</v>
          </cell>
          <cell r="R174">
            <v>0</v>
          </cell>
          <cell r="S174">
            <v>0</v>
          </cell>
          <cell r="T174">
            <v>0</v>
          </cell>
          <cell r="U174">
            <v>1</v>
          </cell>
          <cell r="V174">
            <v>84</v>
          </cell>
          <cell r="W174">
            <v>0</v>
          </cell>
          <cell r="X174">
            <v>0</v>
          </cell>
          <cell r="Y174">
            <v>0</v>
          </cell>
          <cell r="Z174">
            <v>0</v>
          </cell>
        </row>
        <row r="175">
          <cell r="B175" t="str">
            <v>Detroit, MI</v>
          </cell>
          <cell r="C175">
            <v>5</v>
          </cell>
          <cell r="D175">
            <v>334</v>
          </cell>
          <cell r="E175">
            <v>27</v>
          </cell>
          <cell r="F175">
            <v>2683</v>
          </cell>
          <cell r="G175">
            <v>2</v>
          </cell>
          <cell r="H175">
            <v>142</v>
          </cell>
          <cell r="I175">
            <v>2</v>
          </cell>
          <cell r="J175">
            <v>170</v>
          </cell>
          <cell r="K175">
            <v>1</v>
          </cell>
          <cell r="L175">
            <v>75</v>
          </cell>
          <cell r="M175">
            <v>3</v>
          </cell>
          <cell r="N175">
            <v>245</v>
          </cell>
          <cell r="O175">
            <v>0</v>
          </cell>
          <cell r="P175">
            <v>0</v>
          </cell>
          <cell r="Q175">
            <v>0</v>
          </cell>
          <cell r="R175">
            <v>0</v>
          </cell>
          <cell r="S175">
            <v>1</v>
          </cell>
          <cell r="T175">
            <v>82</v>
          </cell>
          <cell r="U175">
            <v>2</v>
          </cell>
          <cell r="V175">
            <v>163</v>
          </cell>
          <cell r="W175">
            <v>0</v>
          </cell>
          <cell r="X175">
            <v>0</v>
          </cell>
          <cell r="Y175">
            <v>0</v>
          </cell>
          <cell r="Z175">
            <v>0</v>
          </cell>
        </row>
        <row r="176">
          <cell r="B176" t="str">
            <v>Houston, TX</v>
          </cell>
          <cell r="C176">
            <v>16</v>
          </cell>
          <cell r="D176">
            <v>869</v>
          </cell>
          <cell r="E176">
            <v>36</v>
          </cell>
          <cell r="F176">
            <v>2745</v>
          </cell>
          <cell r="G176">
            <v>3</v>
          </cell>
          <cell r="H176">
            <v>161</v>
          </cell>
          <cell r="I176">
            <v>2</v>
          </cell>
          <cell r="J176">
            <v>110</v>
          </cell>
          <cell r="K176">
            <v>1</v>
          </cell>
          <cell r="L176">
            <v>76</v>
          </cell>
          <cell r="M176">
            <v>3</v>
          </cell>
          <cell r="N176">
            <v>186</v>
          </cell>
          <cell r="O176">
            <v>0</v>
          </cell>
          <cell r="P176">
            <v>0</v>
          </cell>
          <cell r="Q176">
            <v>1</v>
          </cell>
          <cell r="R176">
            <v>60</v>
          </cell>
          <cell r="S176">
            <v>0</v>
          </cell>
          <cell r="T176">
            <v>0</v>
          </cell>
          <cell r="U176">
            <v>2</v>
          </cell>
          <cell r="V176">
            <v>126</v>
          </cell>
          <cell r="W176">
            <v>0</v>
          </cell>
          <cell r="X176">
            <v>0</v>
          </cell>
          <cell r="Y176">
            <v>0</v>
          </cell>
          <cell r="Z176">
            <v>0</v>
          </cell>
        </row>
        <row r="177">
          <cell r="B177" t="str">
            <v>Los Angeles, CA</v>
          </cell>
          <cell r="C177">
            <v>1</v>
          </cell>
          <cell r="D177">
            <v>101</v>
          </cell>
          <cell r="E177">
            <v>40</v>
          </cell>
          <cell r="F177">
            <v>3075</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row>
        <row r="178">
          <cell r="B178" t="str">
            <v>Miami, FL</v>
          </cell>
          <cell r="C178">
            <v>3</v>
          </cell>
          <cell r="D178">
            <v>344</v>
          </cell>
          <cell r="E178">
            <v>13</v>
          </cell>
          <cell r="F178">
            <v>1439</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row>
        <row r="179">
          <cell r="B179" t="str">
            <v>Minneapolis, MN</v>
          </cell>
          <cell r="C179">
            <v>5</v>
          </cell>
          <cell r="D179">
            <v>438</v>
          </cell>
          <cell r="E179">
            <v>16</v>
          </cell>
          <cell r="F179">
            <v>1849</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row>
        <row r="180">
          <cell r="B180" t="str">
            <v>Nashville, TN</v>
          </cell>
          <cell r="C180">
            <v>9</v>
          </cell>
          <cell r="D180">
            <v>622</v>
          </cell>
          <cell r="E180">
            <v>35</v>
          </cell>
          <cell r="F180">
            <v>2667</v>
          </cell>
          <cell r="G180">
            <v>1</v>
          </cell>
          <cell r="H180">
            <v>80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row>
        <row r="181">
          <cell r="B181" t="str">
            <v>New Orleans, LA</v>
          </cell>
          <cell r="C181">
            <v>7</v>
          </cell>
          <cell r="D181">
            <v>706</v>
          </cell>
          <cell r="E181">
            <v>20</v>
          </cell>
          <cell r="F181">
            <v>2068</v>
          </cell>
          <cell r="G181">
            <v>3</v>
          </cell>
          <cell r="H181">
            <v>293</v>
          </cell>
          <cell r="I181">
            <v>2</v>
          </cell>
          <cell r="J181">
            <v>163</v>
          </cell>
          <cell r="K181">
            <v>2</v>
          </cell>
          <cell r="L181">
            <v>160</v>
          </cell>
          <cell r="M181">
            <v>4</v>
          </cell>
          <cell r="N181">
            <v>323</v>
          </cell>
          <cell r="O181">
            <v>0</v>
          </cell>
          <cell r="P181">
            <v>0</v>
          </cell>
          <cell r="Q181">
            <v>2</v>
          </cell>
          <cell r="R181">
            <v>163</v>
          </cell>
          <cell r="S181">
            <v>0</v>
          </cell>
          <cell r="T181">
            <v>0</v>
          </cell>
          <cell r="U181">
            <v>2</v>
          </cell>
          <cell r="V181">
            <v>160</v>
          </cell>
          <cell r="W181">
            <v>0</v>
          </cell>
          <cell r="X181">
            <v>0</v>
          </cell>
          <cell r="Y181">
            <v>0</v>
          </cell>
          <cell r="Z181">
            <v>0</v>
          </cell>
        </row>
        <row r="182">
          <cell r="B182" t="str">
            <v>New York, NY</v>
          </cell>
          <cell r="C182">
            <v>5</v>
          </cell>
          <cell r="D182">
            <v>322</v>
          </cell>
          <cell r="E182">
            <v>16</v>
          </cell>
          <cell r="F182">
            <v>1919</v>
          </cell>
          <cell r="G182">
            <v>1</v>
          </cell>
          <cell r="H182">
            <v>58</v>
          </cell>
          <cell r="I182">
            <v>0</v>
          </cell>
          <cell r="J182">
            <v>0</v>
          </cell>
          <cell r="K182">
            <v>0</v>
          </cell>
          <cell r="L182">
            <v>0</v>
          </cell>
          <cell r="M182">
            <v>0</v>
          </cell>
          <cell r="N182">
            <v>0</v>
          </cell>
          <cell r="O182">
            <v>1</v>
          </cell>
          <cell r="P182">
            <v>51</v>
          </cell>
          <cell r="Q182">
            <v>0</v>
          </cell>
          <cell r="R182">
            <v>0</v>
          </cell>
          <cell r="S182">
            <v>0</v>
          </cell>
          <cell r="T182">
            <v>0</v>
          </cell>
          <cell r="U182">
            <v>0</v>
          </cell>
          <cell r="V182">
            <v>0</v>
          </cell>
          <cell r="W182">
            <v>1</v>
          </cell>
          <cell r="X182">
            <v>51</v>
          </cell>
          <cell r="Y182">
            <v>1</v>
          </cell>
          <cell r="Z182">
            <v>51</v>
          </cell>
        </row>
        <row r="183">
          <cell r="B183" t="str">
            <v>Norfolk, VA</v>
          </cell>
          <cell r="C183">
            <v>4</v>
          </cell>
          <cell r="D183">
            <v>390</v>
          </cell>
          <cell r="E183">
            <v>55</v>
          </cell>
          <cell r="F183">
            <v>4836</v>
          </cell>
          <cell r="G183">
            <v>2</v>
          </cell>
          <cell r="H183">
            <v>234</v>
          </cell>
          <cell r="I183">
            <v>0</v>
          </cell>
          <cell r="J183">
            <v>0</v>
          </cell>
          <cell r="K183">
            <v>0</v>
          </cell>
          <cell r="L183">
            <v>0</v>
          </cell>
          <cell r="M183">
            <v>0</v>
          </cell>
          <cell r="N183">
            <v>0</v>
          </cell>
          <cell r="O183">
            <v>1</v>
          </cell>
          <cell r="P183">
            <v>90</v>
          </cell>
          <cell r="Q183">
            <v>0</v>
          </cell>
          <cell r="R183">
            <v>0</v>
          </cell>
          <cell r="S183">
            <v>0</v>
          </cell>
          <cell r="T183">
            <v>0</v>
          </cell>
          <cell r="U183">
            <v>0</v>
          </cell>
          <cell r="V183">
            <v>0</v>
          </cell>
          <cell r="W183">
            <v>1</v>
          </cell>
          <cell r="X183">
            <v>90</v>
          </cell>
          <cell r="Y183">
            <v>1</v>
          </cell>
          <cell r="Z183">
            <v>90</v>
          </cell>
        </row>
        <row r="184">
          <cell r="B184" t="str">
            <v>Oahu Island</v>
          </cell>
          <cell r="C184">
            <v>0</v>
          </cell>
          <cell r="D184">
            <v>0</v>
          </cell>
          <cell r="E184">
            <v>2</v>
          </cell>
          <cell r="F184">
            <v>342</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row>
        <row r="185">
          <cell r="B185" t="str">
            <v>Orlando, FL</v>
          </cell>
          <cell r="C185">
            <v>11</v>
          </cell>
          <cell r="D185">
            <v>1276</v>
          </cell>
          <cell r="E185">
            <v>40</v>
          </cell>
          <cell r="F185">
            <v>9234</v>
          </cell>
          <cell r="G185">
            <v>2</v>
          </cell>
          <cell r="H185">
            <v>175</v>
          </cell>
          <cell r="I185">
            <v>1</v>
          </cell>
          <cell r="J185">
            <v>108</v>
          </cell>
          <cell r="K185">
            <v>0</v>
          </cell>
          <cell r="L185">
            <v>0</v>
          </cell>
          <cell r="M185">
            <v>1</v>
          </cell>
          <cell r="N185">
            <v>108</v>
          </cell>
          <cell r="O185">
            <v>0</v>
          </cell>
          <cell r="P185">
            <v>0</v>
          </cell>
          <cell r="Q185">
            <v>0</v>
          </cell>
          <cell r="R185">
            <v>0</v>
          </cell>
          <cell r="S185">
            <v>1</v>
          </cell>
          <cell r="T185">
            <v>108</v>
          </cell>
          <cell r="U185">
            <v>0</v>
          </cell>
          <cell r="V185">
            <v>0</v>
          </cell>
          <cell r="W185">
            <v>0</v>
          </cell>
          <cell r="X185">
            <v>0</v>
          </cell>
          <cell r="Y185">
            <v>0</v>
          </cell>
          <cell r="Z185">
            <v>0</v>
          </cell>
        </row>
        <row r="186">
          <cell r="B186" t="str">
            <v>Philadelphia, PA</v>
          </cell>
          <cell r="C186">
            <v>6</v>
          </cell>
          <cell r="D186">
            <v>395</v>
          </cell>
          <cell r="E186">
            <v>29</v>
          </cell>
          <cell r="F186">
            <v>2562</v>
          </cell>
          <cell r="G186">
            <v>0</v>
          </cell>
          <cell r="H186">
            <v>0</v>
          </cell>
          <cell r="I186">
            <v>2</v>
          </cell>
          <cell r="J186">
            <v>156</v>
          </cell>
          <cell r="K186">
            <v>0</v>
          </cell>
          <cell r="L186">
            <v>0</v>
          </cell>
          <cell r="M186">
            <v>2</v>
          </cell>
          <cell r="N186">
            <v>156</v>
          </cell>
          <cell r="O186">
            <v>0</v>
          </cell>
          <cell r="P186">
            <v>0</v>
          </cell>
          <cell r="Q186">
            <v>1</v>
          </cell>
          <cell r="R186">
            <v>64</v>
          </cell>
          <cell r="S186">
            <v>1</v>
          </cell>
          <cell r="T186">
            <v>92</v>
          </cell>
          <cell r="U186">
            <v>0</v>
          </cell>
          <cell r="V186">
            <v>0</v>
          </cell>
          <cell r="W186">
            <v>0</v>
          </cell>
          <cell r="X186">
            <v>0</v>
          </cell>
          <cell r="Y186">
            <v>0</v>
          </cell>
          <cell r="Z186">
            <v>0</v>
          </cell>
        </row>
        <row r="187">
          <cell r="B187" t="str">
            <v>Phoenix, AZ</v>
          </cell>
          <cell r="C187">
            <v>11</v>
          </cell>
          <cell r="D187">
            <v>956</v>
          </cell>
          <cell r="E187">
            <v>30</v>
          </cell>
          <cell r="F187">
            <v>2897</v>
          </cell>
          <cell r="G187">
            <v>1</v>
          </cell>
          <cell r="H187">
            <v>76</v>
          </cell>
          <cell r="I187">
            <v>0</v>
          </cell>
          <cell r="J187">
            <v>0</v>
          </cell>
          <cell r="K187">
            <v>0</v>
          </cell>
          <cell r="L187">
            <v>0</v>
          </cell>
          <cell r="M187">
            <v>0</v>
          </cell>
          <cell r="N187">
            <v>0</v>
          </cell>
          <cell r="O187">
            <v>1</v>
          </cell>
          <cell r="P187">
            <v>103</v>
          </cell>
          <cell r="Q187">
            <v>0</v>
          </cell>
          <cell r="R187">
            <v>0</v>
          </cell>
          <cell r="S187">
            <v>0</v>
          </cell>
          <cell r="T187">
            <v>0</v>
          </cell>
          <cell r="U187">
            <v>0</v>
          </cell>
          <cell r="V187">
            <v>0</v>
          </cell>
          <cell r="W187">
            <v>0</v>
          </cell>
          <cell r="X187">
            <v>0</v>
          </cell>
          <cell r="Y187">
            <v>1</v>
          </cell>
          <cell r="Z187">
            <v>103</v>
          </cell>
        </row>
        <row r="188">
          <cell r="B188" t="str">
            <v>Saint Louis, MO</v>
          </cell>
          <cell r="C188">
            <v>6</v>
          </cell>
          <cell r="D188">
            <v>394</v>
          </cell>
          <cell r="E188">
            <v>18</v>
          </cell>
          <cell r="F188">
            <v>1311</v>
          </cell>
          <cell r="G188">
            <v>2</v>
          </cell>
          <cell r="H188">
            <v>142</v>
          </cell>
          <cell r="I188">
            <v>1</v>
          </cell>
          <cell r="J188">
            <v>80</v>
          </cell>
          <cell r="K188">
            <v>0</v>
          </cell>
          <cell r="L188">
            <v>0</v>
          </cell>
          <cell r="M188">
            <v>1</v>
          </cell>
          <cell r="N188">
            <v>80</v>
          </cell>
          <cell r="O188">
            <v>0</v>
          </cell>
          <cell r="P188">
            <v>0</v>
          </cell>
          <cell r="Q188">
            <v>0</v>
          </cell>
          <cell r="R188">
            <v>0</v>
          </cell>
          <cell r="S188">
            <v>1</v>
          </cell>
          <cell r="T188">
            <v>80</v>
          </cell>
          <cell r="U188">
            <v>0</v>
          </cell>
          <cell r="V188">
            <v>0</v>
          </cell>
          <cell r="W188">
            <v>0</v>
          </cell>
          <cell r="X188">
            <v>0</v>
          </cell>
          <cell r="Y188">
            <v>0</v>
          </cell>
          <cell r="Z188">
            <v>0</v>
          </cell>
        </row>
        <row r="189">
          <cell r="B189" t="str">
            <v>San Diego, CA</v>
          </cell>
          <cell r="C189">
            <v>2</v>
          </cell>
          <cell r="D189">
            <v>139</v>
          </cell>
          <cell r="E189">
            <v>25</v>
          </cell>
          <cell r="F189">
            <v>2428</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row>
        <row r="190">
          <cell r="B190" t="str">
            <v>San Francisco, CA</v>
          </cell>
          <cell r="C190">
            <v>3</v>
          </cell>
          <cell r="D190">
            <v>181</v>
          </cell>
          <cell r="E190">
            <v>13</v>
          </cell>
          <cell r="F190">
            <v>1465</v>
          </cell>
          <cell r="G190">
            <v>1</v>
          </cell>
          <cell r="H190">
            <v>86</v>
          </cell>
          <cell r="I190">
            <v>0</v>
          </cell>
          <cell r="J190">
            <v>0</v>
          </cell>
          <cell r="K190">
            <v>1</v>
          </cell>
          <cell r="L190">
            <v>103</v>
          </cell>
          <cell r="M190">
            <v>1</v>
          </cell>
          <cell r="N190">
            <v>103</v>
          </cell>
          <cell r="O190">
            <v>0</v>
          </cell>
          <cell r="P190">
            <v>0</v>
          </cell>
          <cell r="Q190">
            <v>0</v>
          </cell>
          <cell r="R190">
            <v>0</v>
          </cell>
          <cell r="S190">
            <v>0</v>
          </cell>
          <cell r="T190">
            <v>0</v>
          </cell>
          <cell r="U190">
            <v>1</v>
          </cell>
          <cell r="V190">
            <v>103</v>
          </cell>
          <cell r="W190">
            <v>0</v>
          </cell>
          <cell r="X190">
            <v>0</v>
          </cell>
          <cell r="Y190">
            <v>0</v>
          </cell>
          <cell r="Z190">
            <v>0</v>
          </cell>
        </row>
        <row r="191">
          <cell r="B191" t="str">
            <v>Seattle, WA</v>
          </cell>
          <cell r="C191">
            <v>6</v>
          </cell>
          <cell r="D191">
            <v>546</v>
          </cell>
          <cell r="E191">
            <v>15</v>
          </cell>
          <cell r="F191">
            <v>1508</v>
          </cell>
          <cell r="G191">
            <v>0</v>
          </cell>
          <cell r="H191">
            <v>0</v>
          </cell>
          <cell r="I191">
            <v>1</v>
          </cell>
          <cell r="J191">
            <v>137</v>
          </cell>
          <cell r="K191">
            <v>0</v>
          </cell>
          <cell r="L191">
            <v>0</v>
          </cell>
          <cell r="M191">
            <v>1</v>
          </cell>
          <cell r="N191">
            <v>137</v>
          </cell>
          <cell r="O191">
            <v>0</v>
          </cell>
          <cell r="P191">
            <v>0</v>
          </cell>
          <cell r="Q191">
            <v>0</v>
          </cell>
          <cell r="R191">
            <v>0</v>
          </cell>
          <cell r="S191">
            <v>1</v>
          </cell>
          <cell r="T191">
            <v>137</v>
          </cell>
          <cell r="U191">
            <v>0</v>
          </cell>
          <cell r="V191">
            <v>0</v>
          </cell>
          <cell r="W191">
            <v>0</v>
          </cell>
          <cell r="X191">
            <v>0</v>
          </cell>
          <cell r="Y191">
            <v>0</v>
          </cell>
          <cell r="Z191">
            <v>0</v>
          </cell>
        </row>
        <row r="192">
          <cell r="B192" t="str">
            <v>Tampa, FL</v>
          </cell>
          <cell r="C192">
            <v>6</v>
          </cell>
          <cell r="D192">
            <v>439</v>
          </cell>
          <cell r="E192">
            <v>22</v>
          </cell>
          <cell r="F192">
            <v>2072</v>
          </cell>
          <cell r="G192">
            <v>0</v>
          </cell>
          <cell r="H192">
            <v>0</v>
          </cell>
          <cell r="I192">
            <v>1</v>
          </cell>
          <cell r="J192">
            <v>50</v>
          </cell>
          <cell r="K192">
            <v>0</v>
          </cell>
          <cell r="L192">
            <v>0</v>
          </cell>
          <cell r="M192">
            <v>1</v>
          </cell>
          <cell r="N192">
            <v>50</v>
          </cell>
          <cell r="O192">
            <v>2</v>
          </cell>
          <cell r="P192">
            <v>200</v>
          </cell>
          <cell r="Q192">
            <v>1</v>
          </cell>
          <cell r="R192">
            <v>50</v>
          </cell>
          <cell r="S192">
            <v>0</v>
          </cell>
          <cell r="T192">
            <v>0</v>
          </cell>
          <cell r="U192">
            <v>0</v>
          </cell>
          <cell r="V192">
            <v>0</v>
          </cell>
          <cell r="W192">
            <v>2</v>
          </cell>
          <cell r="X192">
            <v>200</v>
          </cell>
          <cell r="Y192">
            <v>2</v>
          </cell>
          <cell r="Z192">
            <v>200</v>
          </cell>
        </row>
        <row r="193">
          <cell r="B193" t="str">
            <v>Washington, DC</v>
          </cell>
          <cell r="C193">
            <v>11</v>
          </cell>
          <cell r="D193">
            <v>918</v>
          </cell>
          <cell r="E193">
            <v>51</v>
          </cell>
          <cell r="F193">
            <v>5766</v>
          </cell>
          <cell r="G193">
            <v>5</v>
          </cell>
          <cell r="H193">
            <v>443</v>
          </cell>
          <cell r="I193">
            <v>0</v>
          </cell>
          <cell r="J193">
            <v>0</v>
          </cell>
          <cell r="K193">
            <v>1</v>
          </cell>
          <cell r="L193">
            <v>70</v>
          </cell>
          <cell r="M193">
            <v>1</v>
          </cell>
          <cell r="N193">
            <v>70</v>
          </cell>
          <cell r="O193">
            <v>1</v>
          </cell>
          <cell r="P193">
            <v>90</v>
          </cell>
          <cell r="Q193">
            <v>0</v>
          </cell>
          <cell r="R193">
            <v>0</v>
          </cell>
          <cell r="S193">
            <v>0</v>
          </cell>
          <cell r="T193">
            <v>0</v>
          </cell>
          <cell r="U193">
            <v>1</v>
          </cell>
          <cell r="V193">
            <v>70</v>
          </cell>
          <cell r="W193">
            <v>1</v>
          </cell>
          <cell r="X193">
            <v>90</v>
          </cell>
          <cell r="Y193">
            <v>1</v>
          </cell>
          <cell r="Z193">
            <v>90</v>
          </cell>
        </row>
        <row r="203">
          <cell r="B203" t="str">
            <v>Anaheim, CA</v>
          </cell>
          <cell r="C203">
            <v>5</v>
          </cell>
          <cell r="D203">
            <v>635</v>
          </cell>
          <cell r="E203">
            <v>5</v>
          </cell>
          <cell r="F203">
            <v>635</v>
          </cell>
          <cell r="G203">
            <v>3</v>
          </cell>
          <cell r="H203">
            <v>412</v>
          </cell>
          <cell r="I203">
            <v>1</v>
          </cell>
          <cell r="J203">
            <v>117</v>
          </cell>
          <cell r="K203">
            <v>0</v>
          </cell>
          <cell r="L203">
            <v>0</v>
          </cell>
          <cell r="M203">
            <v>1</v>
          </cell>
          <cell r="N203">
            <v>117</v>
          </cell>
          <cell r="O203">
            <v>0</v>
          </cell>
          <cell r="P203">
            <v>0</v>
          </cell>
          <cell r="Q203">
            <v>1</v>
          </cell>
          <cell r="R203">
            <v>117</v>
          </cell>
          <cell r="S203">
            <v>0</v>
          </cell>
          <cell r="T203">
            <v>0</v>
          </cell>
          <cell r="U203">
            <v>0</v>
          </cell>
          <cell r="V203">
            <v>0</v>
          </cell>
          <cell r="W203">
            <v>0</v>
          </cell>
          <cell r="X203">
            <v>0</v>
          </cell>
          <cell r="Y203">
            <v>0</v>
          </cell>
          <cell r="Z203">
            <v>0</v>
          </cell>
        </row>
        <row r="204">
          <cell r="B204" t="str">
            <v>Atlanta, GA</v>
          </cell>
          <cell r="C204">
            <v>11</v>
          </cell>
          <cell r="D204">
            <v>1086</v>
          </cell>
          <cell r="E204">
            <v>16</v>
          </cell>
          <cell r="F204">
            <v>1813</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row>
        <row r="205">
          <cell r="B205" t="str">
            <v>Boston, MA</v>
          </cell>
          <cell r="C205">
            <v>2</v>
          </cell>
          <cell r="D205">
            <v>196</v>
          </cell>
          <cell r="E205">
            <v>2</v>
          </cell>
          <cell r="F205">
            <v>196</v>
          </cell>
          <cell r="G205">
            <v>1</v>
          </cell>
          <cell r="H205">
            <v>92</v>
          </cell>
          <cell r="I205">
            <v>1</v>
          </cell>
          <cell r="J205">
            <v>103</v>
          </cell>
          <cell r="K205">
            <v>0</v>
          </cell>
          <cell r="L205">
            <v>0</v>
          </cell>
          <cell r="M205">
            <v>1</v>
          </cell>
          <cell r="N205">
            <v>103</v>
          </cell>
          <cell r="O205">
            <v>0</v>
          </cell>
          <cell r="P205">
            <v>0</v>
          </cell>
          <cell r="Q205">
            <v>0</v>
          </cell>
          <cell r="R205">
            <v>0</v>
          </cell>
          <cell r="S205">
            <v>1</v>
          </cell>
          <cell r="T205">
            <v>103</v>
          </cell>
          <cell r="U205">
            <v>0</v>
          </cell>
          <cell r="V205">
            <v>0</v>
          </cell>
          <cell r="W205">
            <v>0</v>
          </cell>
          <cell r="X205">
            <v>0</v>
          </cell>
          <cell r="Y205">
            <v>0</v>
          </cell>
          <cell r="Z205">
            <v>0</v>
          </cell>
        </row>
        <row r="206">
          <cell r="B206" t="str">
            <v>Chicago, IL</v>
          </cell>
          <cell r="C206">
            <v>12</v>
          </cell>
          <cell r="D206">
            <v>1380</v>
          </cell>
          <cell r="E206">
            <v>17</v>
          </cell>
          <cell r="F206">
            <v>2015</v>
          </cell>
          <cell r="G206">
            <v>0</v>
          </cell>
          <cell r="H206">
            <v>0</v>
          </cell>
          <cell r="I206">
            <v>1</v>
          </cell>
          <cell r="J206">
            <v>100</v>
          </cell>
          <cell r="K206">
            <v>0</v>
          </cell>
          <cell r="L206">
            <v>0</v>
          </cell>
          <cell r="M206">
            <v>1</v>
          </cell>
          <cell r="N206">
            <v>100</v>
          </cell>
          <cell r="O206">
            <v>0</v>
          </cell>
          <cell r="P206">
            <v>0</v>
          </cell>
          <cell r="Q206">
            <v>0</v>
          </cell>
          <cell r="R206">
            <v>0</v>
          </cell>
          <cell r="S206">
            <v>1</v>
          </cell>
          <cell r="T206">
            <v>100</v>
          </cell>
          <cell r="U206">
            <v>0</v>
          </cell>
          <cell r="V206">
            <v>0</v>
          </cell>
          <cell r="W206">
            <v>0</v>
          </cell>
          <cell r="X206">
            <v>0</v>
          </cell>
          <cell r="Y206">
            <v>0</v>
          </cell>
          <cell r="Z206">
            <v>0</v>
          </cell>
        </row>
        <row r="207">
          <cell r="B207" t="str">
            <v>Dallas, TX</v>
          </cell>
          <cell r="C207">
            <v>8</v>
          </cell>
          <cell r="D207">
            <v>841</v>
          </cell>
          <cell r="E207">
            <v>7</v>
          </cell>
          <cell r="F207">
            <v>725</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row>
        <row r="208">
          <cell r="B208" t="str">
            <v>Denver, CO</v>
          </cell>
          <cell r="C208">
            <v>6</v>
          </cell>
          <cell r="D208">
            <v>708</v>
          </cell>
          <cell r="E208">
            <v>6</v>
          </cell>
          <cell r="F208">
            <v>758</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row>
        <row r="209">
          <cell r="B209" t="str">
            <v>Detroit, MI</v>
          </cell>
          <cell r="C209">
            <v>10</v>
          </cell>
          <cell r="D209">
            <v>1150</v>
          </cell>
          <cell r="E209">
            <v>11</v>
          </cell>
          <cell r="F209">
            <v>1260</v>
          </cell>
          <cell r="G209">
            <v>2</v>
          </cell>
          <cell r="H209">
            <v>214</v>
          </cell>
          <cell r="I209">
            <v>2</v>
          </cell>
          <cell r="J209">
            <v>203</v>
          </cell>
          <cell r="K209">
            <v>0</v>
          </cell>
          <cell r="L209">
            <v>0</v>
          </cell>
          <cell r="M209">
            <v>2</v>
          </cell>
          <cell r="N209">
            <v>203</v>
          </cell>
          <cell r="O209">
            <v>0</v>
          </cell>
          <cell r="P209">
            <v>0</v>
          </cell>
          <cell r="Q209">
            <v>1</v>
          </cell>
          <cell r="R209">
            <v>93</v>
          </cell>
          <cell r="S209">
            <v>1</v>
          </cell>
          <cell r="T209">
            <v>110</v>
          </cell>
          <cell r="U209">
            <v>0</v>
          </cell>
          <cell r="V209">
            <v>0</v>
          </cell>
          <cell r="W209">
            <v>0</v>
          </cell>
          <cell r="X209">
            <v>0</v>
          </cell>
          <cell r="Y209">
            <v>0</v>
          </cell>
          <cell r="Z209">
            <v>0</v>
          </cell>
        </row>
        <row r="210">
          <cell r="B210" t="str">
            <v>Houston, TX</v>
          </cell>
          <cell r="C210">
            <v>13</v>
          </cell>
          <cell r="D210">
            <v>1453</v>
          </cell>
          <cell r="E210">
            <v>13</v>
          </cell>
          <cell r="F210">
            <v>1453</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row>
        <row r="211">
          <cell r="B211" t="str">
            <v>Los Angeles, CA</v>
          </cell>
          <cell r="C211">
            <v>10</v>
          </cell>
          <cell r="D211">
            <v>1203</v>
          </cell>
          <cell r="E211">
            <v>11</v>
          </cell>
          <cell r="F211">
            <v>1343</v>
          </cell>
          <cell r="G211">
            <v>0</v>
          </cell>
          <cell r="H211">
            <v>0</v>
          </cell>
          <cell r="I211">
            <v>1</v>
          </cell>
          <cell r="J211">
            <v>140</v>
          </cell>
          <cell r="K211">
            <v>0</v>
          </cell>
          <cell r="L211">
            <v>0</v>
          </cell>
          <cell r="M211">
            <v>1</v>
          </cell>
          <cell r="N211">
            <v>140</v>
          </cell>
          <cell r="O211">
            <v>0</v>
          </cell>
          <cell r="P211">
            <v>0</v>
          </cell>
          <cell r="Q211">
            <v>1</v>
          </cell>
          <cell r="R211">
            <v>140</v>
          </cell>
          <cell r="S211">
            <v>0</v>
          </cell>
          <cell r="T211">
            <v>0</v>
          </cell>
          <cell r="U211">
            <v>0</v>
          </cell>
          <cell r="V211">
            <v>0</v>
          </cell>
          <cell r="W211">
            <v>0</v>
          </cell>
          <cell r="X211">
            <v>0</v>
          </cell>
          <cell r="Y211">
            <v>0</v>
          </cell>
          <cell r="Z211">
            <v>0</v>
          </cell>
        </row>
        <row r="212">
          <cell r="B212" t="str">
            <v>Miami, FL</v>
          </cell>
          <cell r="C212">
            <v>3</v>
          </cell>
          <cell r="D212">
            <v>312</v>
          </cell>
          <cell r="E212">
            <v>3</v>
          </cell>
          <cell r="F212">
            <v>312</v>
          </cell>
          <cell r="G212">
            <v>3</v>
          </cell>
          <cell r="H212">
            <v>312</v>
          </cell>
          <cell r="I212">
            <v>1</v>
          </cell>
          <cell r="J212">
            <v>98</v>
          </cell>
          <cell r="K212">
            <v>0</v>
          </cell>
          <cell r="L212">
            <v>0</v>
          </cell>
          <cell r="M212">
            <v>1</v>
          </cell>
          <cell r="N212">
            <v>98</v>
          </cell>
          <cell r="O212">
            <v>0</v>
          </cell>
          <cell r="P212">
            <v>0</v>
          </cell>
          <cell r="Q212">
            <v>0</v>
          </cell>
          <cell r="R212">
            <v>0</v>
          </cell>
          <cell r="S212">
            <v>1</v>
          </cell>
          <cell r="T212">
            <v>98</v>
          </cell>
          <cell r="U212">
            <v>0</v>
          </cell>
          <cell r="V212">
            <v>0</v>
          </cell>
          <cell r="W212">
            <v>0</v>
          </cell>
          <cell r="X212">
            <v>0</v>
          </cell>
          <cell r="Y212">
            <v>0</v>
          </cell>
          <cell r="Z212">
            <v>0</v>
          </cell>
        </row>
        <row r="213">
          <cell r="B213" t="str">
            <v>Minneapolis, MN</v>
          </cell>
          <cell r="C213">
            <v>6</v>
          </cell>
          <cell r="D213">
            <v>624</v>
          </cell>
          <cell r="E213">
            <v>6</v>
          </cell>
          <cell r="F213">
            <v>624</v>
          </cell>
          <cell r="G213">
            <v>0</v>
          </cell>
          <cell r="H213">
            <v>0</v>
          </cell>
          <cell r="I213">
            <v>0</v>
          </cell>
          <cell r="J213">
            <v>0</v>
          </cell>
          <cell r="K213">
            <v>1</v>
          </cell>
          <cell r="L213">
            <v>125</v>
          </cell>
          <cell r="M213">
            <v>1</v>
          </cell>
          <cell r="N213">
            <v>125</v>
          </cell>
          <cell r="O213">
            <v>0</v>
          </cell>
          <cell r="P213">
            <v>0</v>
          </cell>
          <cell r="Q213">
            <v>0</v>
          </cell>
          <cell r="R213">
            <v>0</v>
          </cell>
          <cell r="S213">
            <v>0</v>
          </cell>
          <cell r="T213">
            <v>0</v>
          </cell>
          <cell r="U213">
            <v>0</v>
          </cell>
          <cell r="V213">
            <v>0</v>
          </cell>
          <cell r="W213">
            <v>1</v>
          </cell>
          <cell r="X213">
            <v>125</v>
          </cell>
          <cell r="Y213">
            <v>1</v>
          </cell>
          <cell r="Z213">
            <v>125</v>
          </cell>
        </row>
        <row r="214">
          <cell r="B214" t="str">
            <v>Nashville, TN</v>
          </cell>
          <cell r="C214">
            <v>2</v>
          </cell>
          <cell r="D214">
            <v>231</v>
          </cell>
          <cell r="E214">
            <v>5</v>
          </cell>
          <cell r="F214">
            <v>601</v>
          </cell>
          <cell r="G214">
            <v>0</v>
          </cell>
          <cell r="H214">
            <v>0</v>
          </cell>
          <cell r="I214">
            <v>1</v>
          </cell>
          <cell r="J214">
            <v>114</v>
          </cell>
          <cell r="K214">
            <v>0</v>
          </cell>
          <cell r="L214">
            <v>0</v>
          </cell>
          <cell r="M214">
            <v>1</v>
          </cell>
          <cell r="N214">
            <v>114</v>
          </cell>
          <cell r="O214">
            <v>0</v>
          </cell>
          <cell r="P214">
            <v>0</v>
          </cell>
          <cell r="Q214">
            <v>0</v>
          </cell>
          <cell r="R214">
            <v>0</v>
          </cell>
          <cell r="S214">
            <v>1</v>
          </cell>
          <cell r="T214">
            <v>114</v>
          </cell>
          <cell r="U214">
            <v>0</v>
          </cell>
          <cell r="V214">
            <v>0</v>
          </cell>
          <cell r="W214">
            <v>0</v>
          </cell>
          <cell r="X214">
            <v>0</v>
          </cell>
          <cell r="Y214">
            <v>0</v>
          </cell>
          <cell r="Z214">
            <v>0</v>
          </cell>
        </row>
        <row r="215">
          <cell r="B215" t="str">
            <v>New Orleans, LA</v>
          </cell>
          <cell r="C215">
            <v>2</v>
          </cell>
          <cell r="D215">
            <v>226</v>
          </cell>
          <cell r="E215">
            <v>2</v>
          </cell>
          <cell r="F215">
            <v>226</v>
          </cell>
          <cell r="G215">
            <v>1</v>
          </cell>
          <cell r="H215">
            <v>122</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v>
          </cell>
          <cell r="X215">
            <v>0</v>
          </cell>
          <cell r="Y215">
            <v>0</v>
          </cell>
          <cell r="Z215">
            <v>0</v>
          </cell>
        </row>
        <row r="216">
          <cell r="B216" t="str">
            <v>New York, NY</v>
          </cell>
          <cell r="C216">
            <v>2</v>
          </cell>
          <cell r="D216">
            <v>255</v>
          </cell>
          <cell r="E216">
            <v>2</v>
          </cell>
          <cell r="F216">
            <v>255</v>
          </cell>
          <cell r="G216">
            <v>1</v>
          </cell>
          <cell r="H216">
            <v>117</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row>
        <row r="217">
          <cell r="B217" t="str">
            <v>Norfolk, VA</v>
          </cell>
          <cell r="C217">
            <v>1</v>
          </cell>
          <cell r="D217">
            <v>73</v>
          </cell>
          <cell r="E217">
            <v>4</v>
          </cell>
          <cell r="F217">
            <v>445</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0</v>
          </cell>
          <cell r="X217">
            <v>0</v>
          </cell>
          <cell r="Y217">
            <v>0</v>
          </cell>
          <cell r="Z217">
            <v>0</v>
          </cell>
        </row>
        <row r="218">
          <cell r="B218" t="str">
            <v>Oahu Island</v>
          </cell>
          <cell r="C218">
            <v>0</v>
          </cell>
          <cell r="D218">
            <v>0</v>
          </cell>
          <cell r="E218">
            <v>0</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0</v>
          </cell>
          <cell r="X218">
            <v>0</v>
          </cell>
          <cell r="Y218">
            <v>0</v>
          </cell>
          <cell r="Z218">
            <v>0</v>
          </cell>
        </row>
        <row r="219">
          <cell r="B219" t="str">
            <v>Orlando, FL</v>
          </cell>
          <cell r="C219">
            <v>8</v>
          </cell>
          <cell r="D219">
            <v>839</v>
          </cell>
          <cell r="E219">
            <v>8</v>
          </cell>
          <cell r="F219">
            <v>839</v>
          </cell>
          <cell r="G219">
            <v>0</v>
          </cell>
          <cell r="H219">
            <v>0</v>
          </cell>
          <cell r="I219">
            <v>0</v>
          </cell>
          <cell r="J219">
            <v>0</v>
          </cell>
          <cell r="K219">
            <v>0</v>
          </cell>
          <cell r="L219">
            <v>0</v>
          </cell>
          <cell r="M219">
            <v>0</v>
          </cell>
          <cell r="N219">
            <v>0</v>
          </cell>
          <cell r="O219">
            <v>0</v>
          </cell>
          <cell r="P219">
            <v>0</v>
          </cell>
          <cell r="Q219">
            <v>0</v>
          </cell>
          <cell r="R219">
            <v>0</v>
          </cell>
          <cell r="S219">
            <v>0</v>
          </cell>
          <cell r="T219">
            <v>0</v>
          </cell>
          <cell r="U219">
            <v>0</v>
          </cell>
          <cell r="V219">
            <v>0</v>
          </cell>
          <cell r="W219">
            <v>0</v>
          </cell>
          <cell r="X219">
            <v>0</v>
          </cell>
          <cell r="Y219">
            <v>0</v>
          </cell>
          <cell r="Z219">
            <v>0</v>
          </cell>
        </row>
        <row r="220">
          <cell r="B220" t="str">
            <v>Philadelphia, PA</v>
          </cell>
          <cell r="C220">
            <v>10</v>
          </cell>
          <cell r="D220">
            <v>1010</v>
          </cell>
          <cell r="E220">
            <v>9</v>
          </cell>
          <cell r="F220">
            <v>877</v>
          </cell>
          <cell r="G220">
            <v>1</v>
          </cell>
          <cell r="H220">
            <v>116</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0</v>
          </cell>
          <cell r="X220">
            <v>0</v>
          </cell>
          <cell r="Y220">
            <v>0</v>
          </cell>
          <cell r="Z220">
            <v>0</v>
          </cell>
        </row>
        <row r="221">
          <cell r="B221" t="str">
            <v>Phoenix, AZ</v>
          </cell>
          <cell r="C221">
            <v>7</v>
          </cell>
          <cell r="D221">
            <v>769</v>
          </cell>
          <cell r="E221">
            <v>7</v>
          </cell>
          <cell r="F221">
            <v>769</v>
          </cell>
          <cell r="G221">
            <v>0</v>
          </cell>
          <cell r="H221">
            <v>0</v>
          </cell>
          <cell r="I221">
            <v>0</v>
          </cell>
          <cell r="J221">
            <v>0</v>
          </cell>
          <cell r="K221">
            <v>0</v>
          </cell>
          <cell r="L221">
            <v>0</v>
          </cell>
          <cell r="M221">
            <v>0</v>
          </cell>
          <cell r="N221">
            <v>0</v>
          </cell>
          <cell r="O221">
            <v>0</v>
          </cell>
          <cell r="P221">
            <v>0</v>
          </cell>
          <cell r="Q221">
            <v>0</v>
          </cell>
          <cell r="R221">
            <v>0</v>
          </cell>
          <cell r="S221">
            <v>0</v>
          </cell>
          <cell r="T221">
            <v>0</v>
          </cell>
          <cell r="U221">
            <v>0</v>
          </cell>
          <cell r="V221">
            <v>0</v>
          </cell>
          <cell r="W221">
            <v>0</v>
          </cell>
          <cell r="X221">
            <v>0</v>
          </cell>
          <cell r="Y221">
            <v>0</v>
          </cell>
          <cell r="Z221">
            <v>0</v>
          </cell>
        </row>
        <row r="222">
          <cell r="B222" t="str">
            <v>Saint Louis, MO</v>
          </cell>
          <cell r="C222">
            <v>3</v>
          </cell>
          <cell r="D222">
            <v>284</v>
          </cell>
          <cell r="E222">
            <v>8</v>
          </cell>
          <cell r="F222">
            <v>729</v>
          </cell>
          <cell r="G222">
            <v>0</v>
          </cell>
          <cell r="H222">
            <v>0</v>
          </cell>
          <cell r="I222">
            <v>0</v>
          </cell>
          <cell r="J222">
            <v>0</v>
          </cell>
          <cell r="K222">
            <v>1</v>
          </cell>
          <cell r="L222">
            <v>104</v>
          </cell>
          <cell r="M222">
            <v>1</v>
          </cell>
          <cell r="N222">
            <v>104</v>
          </cell>
          <cell r="O222">
            <v>0</v>
          </cell>
          <cell r="P222">
            <v>0</v>
          </cell>
          <cell r="Q222">
            <v>0</v>
          </cell>
          <cell r="R222">
            <v>0</v>
          </cell>
          <cell r="S222">
            <v>0</v>
          </cell>
          <cell r="T222">
            <v>0</v>
          </cell>
          <cell r="U222">
            <v>1</v>
          </cell>
          <cell r="V222">
            <v>104</v>
          </cell>
          <cell r="W222">
            <v>0</v>
          </cell>
          <cell r="X222">
            <v>0</v>
          </cell>
          <cell r="Y222">
            <v>0</v>
          </cell>
          <cell r="Z222">
            <v>0</v>
          </cell>
        </row>
        <row r="223">
          <cell r="B223" t="str">
            <v>San Diego, CA</v>
          </cell>
          <cell r="C223">
            <v>2</v>
          </cell>
          <cell r="D223">
            <v>270</v>
          </cell>
          <cell r="E223">
            <v>2</v>
          </cell>
          <cell r="F223">
            <v>270</v>
          </cell>
          <cell r="G223">
            <v>0</v>
          </cell>
          <cell r="H223">
            <v>0</v>
          </cell>
          <cell r="I223">
            <v>2</v>
          </cell>
          <cell r="J223">
            <v>253</v>
          </cell>
          <cell r="K223">
            <v>0</v>
          </cell>
          <cell r="L223">
            <v>0</v>
          </cell>
          <cell r="M223">
            <v>2</v>
          </cell>
          <cell r="N223">
            <v>253</v>
          </cell>
          <cell r="O223">
            <v>0</v>
          </cell>
          <cell r="P223">
            <v>0</v>
          </cell>
          <cell r="Q223">
            <v>2</v>
          </cell>
          <cell r="R223">
            <v>253</v>
          </cell>
          <cell r="S223">
            <v>0</v>
          </cell>
          <cell r="T223">
            <v>0</v>
          </cell>
          <cell r="U223">
            <v>0</v>
          </cell>
          <cell r="V223">
            <v>0</v>
          </cell>
          <cell r="W223">
            <v>0</v>
          </cell>
          <cell r="X223">
            <v>0</v>
          </cell>
          <cell r="Y223">
            <v>0</v>
          </cell>
          <cell r="Z223">
            <v>0</v>
          </cell>
        </row>
        <row r="224">
          <cell r="B224" t="str">
            <v>San Francisco, CA</v>
          </cell>
          <cell r="C224">
            <v>0</v>
          </cell>
          <cell r="D224">
            <v>0</v>
          </cell>
          <cell r="E224">
            <v>0</v>
          </cell>
          <cell r="F224">
            <v>0</v>
          </cell>
          <cell r="G224">
            <v>0</v>
          </cell>
          <cell r="H224">
            <v>0</v>
          </cell>
          <cell r="I224">
            <v>0</v>
          </cell>
          <cell r="J224">
            <v>0</v>
          </cell>
          <cell r="K224">
            <v>1</v>
          </cell>
          <cell r="L224">
            <v>108</v>
          </cell>
          <cell r="M224">
            <v>1</v>
          </cell>
          <cell r="N224">
            <v>108</v>
          </cell>
          <cell r="O224">
            <v>0</v>
          </cell>
          <cell r="P224">
            <v>0</v>
          </cell>
          <cell r="Q224">
            <v>0</v>
          </cell>
          <cell r="R224">
            <v>0</v>
          </cell>
          <cell r="S224">
            <v>0</v>
          </cell>
          <cell r="T224">
            <v>0</v>
          </cell>
          <cell r="U224">
            <v>0</v>
          </cell>
          <cell r="V224">
            <v>0</v>
          </cell>
          <cell r="W224">
            <v>1</v>
          </cell>
          <cell r="X224">
            <v>108</v>
          </cell>
          <cell r="Y224">
            <v>1</v>
          </cell>
          <cell r="Z224">
            <v>108</v>
          </cell>
        </row>
        <row r="225">
          <cell r="B225" t="str">
            <v>Seattle, WA</v>
          </cell>
          <cell r="C225">
            <v>10</v>
          </cell>
          <cell r="D225">
            <v>1079</v>
          </cell>
          <cell r="E225">
            <v>10</v>
          </cell>
          <cell r="F225">
            <v>1079</v>
          </cell>
          <cell r="G225">
            <v>1</v>
          </cell>
          <cell r="H225">
            <v>101</v>
          </cell>
          <cell r="I225">
            <v>1</v>
          </cell>
          <cell r="J225">
            <v>107</v>
          </cell>
          <cell r="K225">
            <v>0</v>
          </cell>
          <cell r="L225">
            <v>0</v>
          </cell>
          <cell r="M225">
            <v>1</v>
          </cell>
          <cell r="N225">
            <v>107</v>
          </cell>
          <cell r="O225">
            <v>0</v>
          </cell>
          <cell r="P225">
            <v>0</v>
          </cell>
          <cell r="Q225">
            <v>1</v>
          </cell>
          <cell r="R225">
            <v>107</v>
          </cell>
          <cell r="S225">
            <v>0</v>
          </cell>
          <cell r="T225">
            <v>0</v>
          </cell>
          <cell r="U225">
            <v>0</v>
          </cell>
          <cell r="V225">
            <v>0</v>
          </cell>
          <cell r="W225">
            <v>0</v>
          </cell>
          <cell r="X225">
            <v>0</v>
          </cell>
          <cell r="Y225">
            <v>0</v>
          </cell>
          <cell r="Z225">
            <v>0</v>
          </cell>
        </row>
        <row r="226">
          <cell r="B226" t="str">
            <v>Tampa, FL</v>
          </cell>
          <cell r="C226">
            <v>3</v>
          </cell>
          <cell r="D226">
            <v>263</v>
          </cell>
          <cell r="E226">
            <v>3</v>
          </cell>
          <cell r="F226">
            <v>263</v>
          </cell>
          <cell r="G226">
            <v>0</v>
          </cell>
          <cell r="H226">
            <v>0</v>
          </cell>
          <cell r="I226">
            <v>0</v>
          </cell>
          <cell r="J226">
            <v>0</v>
          </cell>
          <cell r="K226">
            <v>0</v>
          </cell>
          <cell r="L226">
            <v>0</v>
          </cell>
          <cell r="M226">
            <v>0</v>
          </cell>
          <cell r="N226">
            <v>0</v>
          </cell>
          <cell r="O226">
            <v>0</v>
          </cell>
          <cell r="P226">
            <v>0</v>
          </cell>
          <cell r="Q226">
            <v>0</v>
          </cell>
          <cell r="R226">
            <v>0</v>
          </cell>
          <cell r="S226">
            <v>0</v>
          </cell>
          <cell r="T226">
            <v>0</v>
          </cell>
          <cell r="U226">
            <v>0</v>
          </cell>
          <cell r="V226">
            <v>0</v>
          </cell>
          <cell r="W226">
            <v>0</v>
          </cell>
          <cell r="X226">
            <v>0</v>
          </cell>
          <cell r="Y226">
            <v>0</v>
          </cell>
          <cell r="Z226">
            <v>0</v>
          </cell>
        </row>
        <row r="227">
          <cell r="B227" t="str">
            <v>Washington, DC</v>
          </cell>
          <cell r="C227">
            <v>9</v>
          </cell>
          <cell r="D227">
            <v>952</v>
          </cell>
          <cell r="E227">
            <v>9</v>
          </cell>
          <cell r="F227">
            <v>952</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row>
        <row r="300">
          <cell r="B300" t="str">
            <v>Anaheim, CA</v>
          </cell>
          <cell r="C300">
            <v>0</v>
          </cell>
          <cell r="D300">
            <v>0</v>
          </cell>
          <cell r="E300">
            <v>0</v>
          </cell>
          <cell r="F300">
            <v>0</v>
          </cell>
          <cell r="G300">
            <v>0</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0</v>
          </cell>
          <cell r="X300">
            <v>0</v>
          </cell>
          <cell r="Y300">
            <v>0</v>
          </cell>
          <cell r="Z300">
            <v>0</v>
          </cell>
        </row>
        <row r="301">
          <cell r="B301" t="str">
            <v>Atlanta, GA</v>
          </cell>
          <cell r="C301">
            <v>5</v>
          </cell>
          <cell r="D301">
            <v>677</v>
          </cell>
          <cell r="E301">
            <v>15</v>
          </cell>
          <cell r="F301">
            <v>1911</v>
          </cell>
          <cell r="G301">
            <v>0</v>
          </cell>
          <cell r="H301">
            <v>0</v>
          </cell>
          <cell r="I301">
            <v>1</v>
          </cell>
          <cell r="J301">
            <v>153</v>
          </cell>
          <cell r="K301">
            <v>0</v>
          </cell>
          <cell r="L301">
            <v>0</v>
          </cell>
          <cell r="M301">
            <v>1</v>
          </cell>
          <cell r="N301">
            <v>153</v>
          </cell>
          <cell r="O301">
            <v>0</v>
          </cell>
          <cell r="P301">
            <v>0</v>
          </cell>
          <cell r="Q301">
            <v>1</v>
          </cell>
          <cell r="R301">
            <v>153</v>
          </cell>
          <cell r="S301">
            <v>0</v>
          </cell>
          <cell r="T301">
            <v>0</v>
          </cell>
          <cell r="U301">
            <v>0</v>
          </cell>
          <cell r="V301">
            <v>0</v>
          </cell>
          <cell r="W301">
            <v>0</v>
          </cell>
          <cell r="X301">
            <v>0</v>
          </cell>
          <cell r="Y301">
            <v>0</v>
          </cell>
          <cell r="Z301">
            <v>0</v>
          </cell>
        </row>
        <row r="302">
          <cell r="B302" t="str">
            <v>Boston, MA</v>
          </cell>
          <cell r="C302">
            <v>1</v>
          </cell>
          <cell r="D302">
            <v>158</v>
          </cell>
          <cell r="E302">
            <v>2</v>
          </cell>
          <cell r="F302">
            <v>228</v>
          </cell>
          <cell r="G302">
            <v>0</v>
          </cell>
          <cell r="H302">
            <v>0</v>
          </cell>
          <cell r="I302">
            <v>0</v>
          </cell>
          <cell r="J302">
            <v>0</v>
          </cell>
          <cell r="K302">
            <v>0</v>
          </cell>
          <cell r="L302">
            <v>0</v>
          </cell>
          <cell r="M302">
            <v>0</v>
          </cell>
          <cell r="N302">
            <v>0</v>
          </cell>
          <cell r="O302">
            <v>0</v>
          </cell>
          <cell r="P302">
            <v>0</v>
          </cell>
          <cell r="Q302">
            <v>0</v>
          </cell>
          <cell r="R302">
            <v>0</v>
          </cell>
          <cell r="S302">
            <v>0</v>
          </cell>
          <cell r="T302">
            <v>0</v>
          </cell>
          <cell r="U302">
            <v>0</v>
          </cell>
          <cell r="V302">
            <v>0</v>
          </cell>
          <cell r="W302">
            <v>0</v>
          </cell>
          <cell r="X302">
            <v>0</v>
          </cell>
          <cell r="Y302">
            <v>0</v>
          </cell>
          <cell r="Z302">
            <v>0</v>
          </cell>
        </row>
        <row r="303">
          <cell r="B303" t="str">
            <v>Chicago, IL</v>
          </cell>
          <cell r="C303">
            <v>8</v>
          </cell>
          <cell r="D303">
            <v>1164</v>
          </cell>
          <cell r="E303">
            <v>9</v>
          </cell>
          <cell r="F303">
            <v>1277</v>
          </cell>
          <cell r="G303">
            <v>1</v>
          </cell>
          <cell r="H303">
            <v>245</v>
          </cell>
          <cell r="I303">
            <v>0</v>
          </cell>
          <cell r="J303">
            <v>0</v>
          </cell>
          <cell r="K303">
            <v>0</v>
          </cell>
          <cell r="L303">
            <v>0</v>
          </cell>
          <cell r="M303">
            <v>0</v>
          </cell>
          <cell r="N303">
            <v>0</v>
          </cell>
          <cell r="O303">
            <v>1</v>
          </cell>
          <cell r="P303">
            <v>275</v>
          </cell>
          <cell r="Q303">
            <v>0</v>
          </cell>
          <cell r="R303">
            <v>0</v>
          </cell>
          <cell r="S303">
            <v>0</v>
          </cell>
          <cell r="T303">
            <v>0</v>
          </cell>
          <cell r="U303">
            <v>0</v>
          </cell>
          <cell r="V303">
            <v>0</v>
          </cell>
          <cell r="W303">
            <v>1</v>
          </cell>
          <cell r="X303">
            <v>275</v>
          </cell>
          <cell r="Y303">
            <v>1</v>
          </cell>
          <cell r="Z303">
            <v>275</v>
          </cell>
        </row>
        <row r="304">
          <cell r="B304" t="str">
            <v>Dallas, TX</v>
          </cell>
          <cell r="C304">
            <v>5</v>
          </cell>
          <cell r="D304">
            <v>665</v>
          </cell>
          <cell r="E304">
            <v>12</v>
          </cell>
          <cell r="F304">
            <v>1531</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0</v>
          </cell>
          <cell r="X304">
            <v>0</v>
          </cell>
          <cell r="Y304">
            <v>0</v>
          </cell>
          <cell r="Z304">
            <v>0</v>
          </cell>
        </row>
        <row r="305">
          <cell r="B305" t="str">
            <v>Denver, CO</v>
          </cell>
          <cell r="C305">
            <v>5</v>
          </cell>
          <cell r="D305">
            <v>663</v>
          </cell>
          <cell r="E305">
            <v>5</v>
          </cell>
          <cell r="F305">
            <v>663</v>
          </cell>
          <cell r="G305">
            <v>0</v>
          </cell>
          <cell r="H305">
            <v>0</v>
          </cell>
          <cell r="I305">
            <v>0</v>
          </cell>
          <cell r="J305">
            <v>0</v>
          </cell>
          <cell r="K305">
            <v>0</v>
          </cell>
          <cell r="L305">
            <v>0</v>
          </cell>
          <cell r="M305">
            <v>0</v>
          </cell>
          <cell r="N305">
            <v>0</v>
          </cell>
          <cell r="O305">
            <v>0</v>
          </cell>
          <cell r="P305">
            <v>0</v>
          </cell>
          <cell r="Q305">
            <v>0</v>
          </cell>
          <cell r="R305">
            <v>0</v>
          </cell>
          <cell r="S305">
            <v>0</v>
          </cell>
          <cell r="T305">
            <v>0</v>
          </cell>
          <cell r="U305">
            <v>0</v>
          </cell>
          <cell r="V305">
            <v>0</v>
          </cell>
          <cell r="W305">
            <v>0</v>
          </cell>
          <cell r="X305">
            <v>0</v>
          </cell>
          <cell r="Y305">
            <v>0</v>
          </cell>
          <cell r="Z305">
            <v>0</v>
          </cell>
        </row>
        <row r="306">
          <cell r="B306" t="str">
            <v>Detroit, MI</v>
          </cell>
          <cell r="C306">
            <v>3</v>
          </cell>
          <cell r="D306">
            <v>391</v>
          </cell>
          <cell r="E306">
            <v>4</v>
          </cell>
          <cell r="F306">
            <v>519</v>
          </cell>
          <cell r="G306">
            <v>1</v>
          </cell>
          <cell r="H306">
            <v>124</v>
          </cell>
          <cell r="I306">
            <v>0</v>
          </cell>
          <cell r="J306">
            <v>0</v>
          </cell>
          <cell r="K306">
            <v>0</v>
          </cell>
          <cell r="L306">
            <v>0</v>
          </cell>
          <cell r="M306">
            <v>0</v>
          </cell>
          <cell r="N306">
            <v>0</v>
          </cell>
          <cell r="O306">
            <v>1</v>
          </cell>
          <cell r="P306">
            <v>128</v>
          </cell>
          <cell r="Q306">
            <v>0</v>
          </cell>
          <cell r="R306">
            <v>0</v>
          </cell>
          <cell r="S306">
            <v>0</v>
          </cell>
          <cell r="T306">
            <v>0</v>
          </cell>
          <cell r="U306">
            <v>0</v>
          </cell>
          <cell r="V306">
            <v>0</v>
          </cell>
          <cell r="W306">
            <v>1</v>
          </cell>
          <cell r="X306">
            <v>128</v>
          </cell>
          <cell r="Y306">
            <v>1</v>
          </cell>
          <cell r="Z306">
            <v>128</v>
          </cell>
        </row>
        <row r="307">
          <cell r="B307" t="str">
            <v>Houston, TX</v>
          </cell>
          <cell r="C307">
            <v>2</v>
          </cell>
          <cell r="D307">
            <v>210</v>
          </cell>
          <cell r="E307">
            <v>5</v>
          </cell>
          <cell r="F307">
            <v>557</v>
          </cell>
          <cell r="G307">
            <v>0</v>
          </cell>
          <cell r="H307">
            <v>0</v>
          </cell>
          <cell r="I307">
            <v>0</v>
          </cell>
          <cell r="J307">
            <v>0</v>
          </cell>
          <cell r="K307">
            <v>0</v>
          </cell>
          <cell r="L307">
            <v>0</v>
          </cell>
          <cell r="M307">
            <v>0</v>
          </cell>
          <cell r="N307">
            <v>0</v>
          </cell>
          <cell r="O307">
            <v>0</v>
          </cell>
          <cell r="P307">
            <v>0</v>
          </cell>
          <cell r="Q307">
            <v>0</v>
          </cell>
          <cell r="R307">
            <v>0</v>
          </cell>
          <cell r="S307">
            <v>0</v>
          </cell>
          <cell r="T307">
            <v>0</v>
          </cell>
          <cell r="U307">
            <v>0</v>
          </cell>
          <cell r="V307">
            <v>0</v>
          </cell>
          <cell r="W307">
            <v>0</v>
          </cell>
          <cell r="X307">
            <v>0</v>
          </cell>
          <cell r="Y307">
            <v>0</v>
          </cell>
          <cell r="Z307">
            <v>0</v>
          </cell>
        </row>
        <row r="308">
          <cell r="B308" t="str">
            <v>Los Angeles, CA</v>
          </cell>
          <cell r="C308">
            <v>0</v>
          </cell>
          <cell r="D308">
            <v>0</v>
          </cell>
          <cell r="E308">
            <v>0</v>
          </cell>
          <cell r="F308">
            <v>0</v>
          </cell>
          <cell r="G308">
            <v>0</v>
          </cell>
          <cell r="H308">
            <v>0</v>
          </cell>
          <cell r="I308">
            <v>0</v>
          </cell>
          <cell r="J308">
            <v>0</v>
          </cell>
          <cell r="K308">
            <v>0</v>
          </cell>
          <cell r="L308">
            <v>0</v>
          </cell>
          <cell r="M308">
            <v>0</v>
          </cell>
          <cell r="N308">
            <v>0</v>
          </cell>
          <cell r="O308">
            <v>0</v>
          </cell>
          <cell r="P308">
            <v>0</v>
          </cell>
          <cell r="Q308">
            <v>0</v>
          </cell>
          <cell r="R308">
            <v>0</v>
          </cell>
          <cell r="S308">
            <v>0</v>
          </cell>
          <cell r="T308">
            <v>0</v>
          </cell>
          <cell r="U308">
            <v>0</v>
          </cell>
          <cell r="V308">
            <v>0</v>
          </cell>
          <cell r="W308">
            <v>0</v>
          </cell>
          <cell r="X308">
            <v>0</v>
          </cell>
          <cell r="Y308">
            <v>0</v>
          </cell>
          <cell r="Z308">
            <v>0</v>
          </cell>
        </row>
        <row r="309">
          <cell r="B309" t="str">
            <v>Miami, FL</v>
          </cell>
          <cell r="C309">
            <v>0</v>
          </cell>
          <cell r="D309">
            <v>0</v>
          </cell>
          <cell r="E309">
            <v>5</v>
          </cell>
          <cell r="F309">
            <v>505</v>
          </cell>
          <cell r="G309">
            <v>0</v>
          </cell>
          <cell r="H309">
            <v>0</v>
          </cell>
          <cell r="I309">
            <v>1</v>
          </cell>
          <cell r="J309">
            <v>151</v>
          </cell>
          <cell r="K309">
            <v>0</v>
          </cell>
          <cell r="L309">
            <v>0</v>
          </cell>
          <cell r="M309">
            <v>1</v>
          </cell>
          <cell r="N309">
            <v>151</v>
          </cell>
          <cell r="O309">
            <v>1</v>
          </cell>
          <cell r="P309">
            <v>104</v>
          </cell>
          <cell r="Q309">
            <v>0</v>
          </cell>
          <cell r="R309">
            <v>0</v>
          </cell>
          <cell r="S309">
            <v>1</v>
          </cell>
          <cell r="T309">
            <v>151</v>
          </cell>
          <cell r="U309">
            <v>0</v>
          </cell>
          <cell r="V309">
            <v>0</v>
          </cell>
          <cell r="W309">
            <v>1</v>
          </cell>
          <cell r="X309">
            <v>104</v>
          </cell>
          <cell r="Y309">
            <v>1</v>
          </cell>
          <cell r="Z309">
            <v>104</v>
          </cell>
        </row>
        <row r="310">
          <cell r="B310" t="str">
            <v>Minneapolis, MN</v>
          </cell>
          <cell r="C310">
            <v>2</v>
          </cell>
          <cell r="D310">
            <v>271</v>
          </cell>
          <cell r="E310">
            <v>2</v>
          </cell>
          <cell r="F310">
            <v>271</v>
          </cell>
          <cell r="G310">
            <v>0</v>
          </cell>
          <cell r="H310">
            <v>0</v>
          </cell>
          <cell r="I310">
            <v>0</v>
          </cell>
          <cell r="J310">
            <v>0</v>
          </cell>
          <cell r="K310">
            <v>0</v>
          </cell>
          <cell r="L310">
            <v>0</v>
          </cell>
          <cell r="M310">
            <v>0</v>
          </cell>
          <cell r="N310">
            <v>0</v>
          </cell>
          <cell r="O310">
            <v>0</v>
          </cell>
          <cell r="P310">
            <v>0</v>
          </cell>
          <cell r="Q310">
            <v>0</v>
          </cell>
          <cell r="R310">
            <v>0</v>
          </cell>
          <cell r="S310">
            <v>0</v>
          </cell>
          <cell r="T310">
            <v>0</v>
          </cell>
          <cell r="U310">
            <v>0</v>
          </cell>
          <cell r="V310">
            <v>0</v>
          </cell>
          <cell r="W310">
            <v>0</v>
          </cell>
          <cell r="X310">
            <v>0</v>
          </cell>
          <cell r="Y310">
            <v>0</v>
          </cell>
          <cell r="Z310">
            <v>0</v>
          </cell>
        </row>
        <row r="311">
          <cell r="B311" t="str">
            <v>Nashville, TN</v>
          </cell>
          <cell r="C311">
            <v>2</v>
          </cell>
          <cell r="D311">
            <v>212</v>
          </cell>
          <cell r="E311">
            <v>4</v>
          </cell>
          <cell r="F311">
            <v>463</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0</v>
          </cell>
          <cell r="X311">
            <v>0</v>
          </cell>
          <cell r="Y311">
            <v>0</v>
          </cell>
          <cell r="Z311">
            <v>0</v>
          </cell>
        </row>
        <row r="312">
          <cell r="B312" t="str">
            <v>New Orleans, LA</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0</v>
          </cell>
          <cell r="X312">
            <v>0</v>
          </cell>
          <cell r="Y312">
            <v>0</v>
          </cell>
          <cell r="Z312">
            <v>0</v>
          </cell>
        </row>
        <row r="313">
          <cell r="B313" t="str">
            <v>New York, NY</v>
          </cell>
          <cell r="C313">
            <v>0</v>
          </cell>
          <cell r="D313">
            <v>0</v>
          </cell>
          <cell r="E313">
            <v>1</v>
          </cell>
          <cell r="F313">
            <v>97</v>
          </cell>
          <cell r="G313">
            <v>0</v>
          </cell>
          <cell r="H313">
            <v>0</v>
          </cell>
          <cell r="I313">
            <v>0</v>
          </cell>
          <cell r="J313">
            <v>0</v>
          </cell>
          <cell r="K313">
            <v>0</v>
          </cell>
          <cell r="L313">
            <v>0</v>
          </cell>
          <cell r="M313">
            <v>0</v>
          </cell>
          <cell r="N313">
            <v>0</v>
          </cell>
          <cell r="O313">
            <v>0</v>
          </cell>
          <cell r="P313">
            <v>0</v>
          </cell>
          <cell r="Q313">
            <v>0</v>
          </cell>
          <cell r="R313">
            <v>0</v>
          </cell>
          <cell r="S313">
            <v>0</v>
          </cell>
          <cell r="T313">
            <v>0</v>
          </cell>
          <cell r="U313">
            <v>0</v>
          </cell>
          <cell r="V313">
            <v>0</v>
          </cell>
          <cell r="W313">
            <v>0</v>
          </cell>
          <cell r="X313">
            <v>0</v>
          </cell>
          <cell r="Y313">
            <v>0</v>
          </cell>
          <cell r="Z313">
            <v>0</v>
          </cell>
        </row>
        <row r="314">
          <cell r="B314" t="str">
            <v>Norfolk, VA</v>
          </cell>
          <cell r="C314">
            <v>0</v>
          </cell>
          <cell r="D314">
            <v>0</v>
          </cell>
          <cell r="E314">
            <v>2</v>
          </cell>
          <cell r="F314">
            <v>112</v>
          </cell>
          <cell r="G314">
            <v>0</v>
          </cell>
          <cell r="H314">
            <v>0</v>
          </cell>
          <cell r="I314">
            <v>0</v>
          </cell>
          <cell r="J314">
            <v>0</v>
          </cell>
          <cell r="K314">
            <v>0</v>
          </cell>
          <cell r="L314">
            <v>0</v>
          </cell>
          <cell r="M314">
            <v>0</v>
          </cell>
          <cell r="N314">
            <v>0</v>
          </cell>
          <cell r="O314">
            <v>0</v>
          </cell>
          <cell r="P314">
            <v>0</v>
          </cell>
          <cell r="Q314">
            <v>0</v>
          </cell>
          <cell r="R314">
            <v>0</v>
          </cell>
          <cell r="S314">
            <v>0</v>
          </cell>
          <cell r="T314">
            <v>0</v>
          </cell>
          <cell r="U314">
            <v>0</v>
          </cell>
          <cell r="V314">
            <v>0</v>
          </cell>
          <cell r="W314">
            <v>0</v>
          </cell>
          <cell r="X314">
            <v>0</v>
          </cell>
          <cell r="Y314">
            <v>0</v>
          </cell>
          <cell r="Z314">
            <v>0</v>
          </cell>
        </row>
        <row r="315">
          <cell r="B315" t="str">
            <v>Oahu Island</v>
          </cell>
          <cell r="C315">
            <v>0</v>
          </cell>
          <cell r="D315">
            <v>0</v>
          </cell>
          <cell r="E315">
            <v>0</v>
          </cell>
          <cell r="F315">
            <v>0</v>
          </cell>
          <cell r="G315">
            <v>0</v>
          </cell>
          <cell r="H315">
            <v>0</v>
          </cell>
          <cell r="I315">
            <v>0</v>
          </cell>
          <cell r="J315">
            <v>0</v>
          </cell>
          <cell r="K315">
            <v>0</v>
          </cell>
          <cell r="L315">
            <v>0</v>
          </cell>
          <cell r="M315">
            <v>0</v>
          </cell>
          <cell r="N315">
            <v>0</v>
          </cell>
          <cell r="O315">
            <v>0</v>
          </cell>
          <cell r="P315">
            <v>0</v>
          </cell>
          <cell r="Q315">
            <v>0</v>
          </cell>
          <cell r="R315">
            <v>0</v>
          </cell>
          <cell r="S315">
            <v>0</v>
          </cell>
          <cell r="T315">
            <v>0</v>
          </cell>
          <cell r="U315">
            <v>0</v>
          </cell>
          <cell r="V315">
            <v>0</v>
          </cell>
          <cell r="W315">
            <v>0</v>
          </cell>
          <cell r="X315">
            <v>0</v>
          </cell>
          <cell r="Y315">
            <v>0</v>
          </cell>
          <cell r="Z315">
            <v>0</v>
          </cell>
        </row>
        <row r="316">
          <cell r="B316" t="str">
            <v>Orlando, FL</v>
          </cell>
          <cell r="C316">
            <v>4</v>
          </cell>
          <cell r="D316">
            <v>582</v>
          </cell>
          <cell r="E316">
            <v>7</v>
          </cell>
          <cell r="F316">
            <v>960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0</v>
          </cell>
          <cell r="X316">
            <v>0</v>
          </cell>
          <cell r="Y316">
            <v>0</v>
          </cell>
          <cell r="Z316">
            <v>0</v>
          </cell>
        </row>
        <row r="317">
          <cell r="B317" t="str">
            <v>Philadelphia, PA</v>
          </cell>
          <cell r="C317">
            <v>1</v>
          </cell>
          <cell r="D317">
            <v>125</v>
          </cell>
          <cell r="E317">
            <v>1</v>
          </cell>
          <cell r="F317">
            <v>125</v>
          </cell>
          <cell r="G317">
            <v>1</v>
          </cell>
          <cell r="H317">
            <v>125</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0</v>
          </cell>
          <cell r="X317">
            <v>0</v>
          </cell>
          <cell r="Y317">
            <v>0</v>
          </cell>
          <cell r="Z317">
            <v>0</v>
          </cell>
        </row>
        <row r="318">
          <cell r="B318" t="str">
            <v>Phoenix, AZ</v>
          </cell>
          <cell r="C318">
            <v>4</v>
          </cell>
          <cell r="D318">
            <v>523</v>
          </cell>
          <cell r="E318">
            <v>7</v>
          </cell>
          <cell r="F318">
            <v>917</v>
          </cell>
          <cell r="G318">
            <v>0</v>
          </cell>
          <cell r="H318">
            <v>0</v>
          </cell>
          <cell r="I318">
            <v>0</v>
          </cell>
          <cell r="J318">
            <v>0</v>
          </cell>
          <cell r="K318">
            <v>0</v>
          </cell>
          <cell r="L318">
            <v>0</v>
          </cell>
          <cell r="M318">
            <v>0</v>
          </cell>
          <cell r="N318">
            <v>0</v>
          </cell>
          <cell r="O318">
            <v>0</v>
          </cell>
          <cell r="P318">
            <v>0</v>
          </cell>
          <cell r="Q318">
            <v>0</v>
          </cell>
          <cell r="R318">
            <v>0</v>
          </cell>
          <cell r="S318">
            <v>0</v>
          </cell>
          <cell r="T318">
            <v>0</v>
          </cell>
          <cell r="U318">
            <v>0</v>
          </cell>
          <cell r="V318">
            <v>0</v>
          </cell>
          <cell r="W318">
            <v>0</v>
          </cell>
          <cell r="X318">
            <v>0</v>
          </cell>
          <cell r="Y318">
            <v>0</v>
          </cell>
          <cell r="Z318">
            <v>0</v>
          </cell>
        </row>
        <row r="319">
          <cell r="B319" t="str">
            <v>Saint Louis, MO</v>
          </cell>
          <cell r="C319">
            <v>0</v>
          </cell>
          <cell r="D319">
            <v>0</v>
          </cell>
          <cell r="E319">
            <v>0</v>
          </cell>
          <cell r="F319">
            <v>0</v>
          </cell>
          <cell r="G319">
            <v>0</v>
          </cell>
          <cell r="H319">
            <v>0</v>
          </cell>
          <cell r="I319">
            <v>0</v>
          </cell>
          <cell r="J319">
            <v>0</v>
          </cell>
          <cell r="K319">
            <v>0</v>
          </cell>
          <cell r="L319">
            <v>0</v>
          </cell>
          <cell r="M319">
            <v>0</v>
          </cell>
          <cell r="N319">
            <v>0</v>
          </cell>
          <cell r="O319">
            <v>0</v>
          </cell>
          <cell r="P319">
            <v>0</v>
          </cell>
          <cell r="Q319">
            <v>0</v>
          </cell>
          <cell r="R319">
            <v>0</v>
          </cell>
          <cell r="S319">
            <v>0</v>
          </cell>
          <cell r="T319">
            <v>0</v>
          </cell>
          <cell r="U319">
            <v>0</v>
          </cell>
          <cell r="V319">
            <v>0</v>
          </cell>
          <cell r="W319">
            <v>0</v>
          </cell>
          <cell r="X319">
            <v>0</v>
          </cell>
          <cell r="Y319">
            <v>0</v>
          </cell>
          <cell r="Z319">
            <v>0</v>
          </cell>
        </row>
        <row r="320">
          <cell r="B320" t="str">
            <v>San Diego, CA</v>
          </cell>
          <cell r="C320">
            <v>0</v>
          </cell>
          <cell r="D320">
            <v>0</v>
          </cell>
          <cell r="E320">
            <v>0</v>
          </cell>
          <cell r="F320">
            <v>0</v>
          </cell>
          <cell r="G320">
            <v>0</v>
          </cell>
          <cell r="H320">
            <v>0</v>
          </cell>
          <cell r="I320">
            <v>0</v>
          </cell>
          <cell r="J320">
            <v>0</v>
          </cell>
          <cell r="K320">
            <v>0</v>
          </cell>
          <cell r="L320">
            <v>0</v>
          </cell>
          <cell r="M320">
            <v>0</v>
          </cell>
          <cell r="N320">
            <v>0</v>
          </cell>
          <cell r="O320">
            <v>0</v>
          </cell>
          <cell r="P320">
            <v>0</v>
          </cell>
          <cell r="Q320">
            <v>0</v>
          </cell>
          <cell r="R320">
            <v>0</v>
          </cell>
          <cell r="S320">
            <v>0</v>
          </cell>
          <cell r="T320">
            <v>0</v>
          </cell>
          <cell r="U320">
            <v>0</v>
          </cell>
          <cell r="V320">
            <v>0</v>
          </cell>
          <cell r="W320">
            <v>0</v>
          </cell>
          <cell r="X320">
            <v>0</v>
          </cell>
          <cell r="Y320">
            <v>0</v>
          </cell>
          <cell r="Z320">
            <v>0</v>
          </cell>
        </row>
        <row r="321">
          <cell r="B321" t="str">
            <v>San Francisco, CA</v>
          </cell>
          <cell r="C321">
            <v>0</v>
          </cell>
          <cell r="D321">
            <v>0</v>
          </cell>
          <cell r="E321">
            <v>0</v>
          </cell>
          <cell r="F321">
            <v>0</v>
          </cell>
          <cell r="G321">
            <v>0</v>
          </cell>
          <cell r="H321">
            <v>0</v>
          </cell>
          <cell r="I321">
            <v>0</v>
          </cell>
          <cell r="J321">
            <v>0</v>
          </cell>
          <cell r="K321">
            <v>1</v>
          </cell>
          <cell r="L321">
            <v>186</v>
          </cell>
          <cell r="M321">
            <v>1</v>
          </cell>
          <cell r="N321">
            <v>186</v>
          </cell>
          <cell r="O321">
            <v>0</v>
          </cell>
          <cell r="P321">
            <v>0</v>
          </cell>
          <cell r="Q321">
            <v>0</v>
          </cell>
          <cell r="R321">
            <v>0</v>
          </cell>
          <cell r="S321">
            <v>0</v>
          </cell>
          <cell r="T321">
            <v>0</v>
          </cell>
          <cell r="U321">
            <v>0</v>
          </cell>
          <cell r="V321">
            <v>0</v>
          </cell>
          <cell r="W321">
            <v>1</v>
          </cell>
          <cell r="X321">
            <v>186</v>
          </cell>
          <cell r="Y321">
            <v>1</v>
          </cell>
          <cell r="Z321">
            <v>186</v>
          </cell>
        </row>
        <row r="322">
          <cell r="B322" t="str">
            <v>Seattle, WA</v>
          </cell>
          <cell r="C322">
            <v>0</v>
          </cell>
          <cell r="D322">
            <v>0</v>
          </cell>
          <cell r="E322">
            <v>0</v>
          </cell>
          <cell r="F322">
            <v>0</v>
          </cell>
          <cell r="G322">
            <v>0</v>
          </cell>
          <cell r="H322">
            <v>0</v>
          </cell>
          <cell r="I322">
            <v>0</v>
          </cell>
          <cell r="J322">
            <v>0</v>
          </cell>
          <cell r="K322">
            <v>0</v>
          </cell>
          <cell r="L322">
            <v>0</v>
          </cell>
          <cell r="M322">
            <v>0</v>
          </cell>
          <cell r="N322">
            <v>0</v>
          </cell>
          <cell r="O322">
            <v>0</v>
          </cell>
          <cell r="P322">
            <v>0</v>
          </cell>
          <cell r="Q322">
            <v>0</v>
          </cell>
          <cell r="R322">
            <v>0</v>
          </cell>
          <cell r="S322">
            <v>0</v>
          </cell>
          <cell r="T322">
            <v>0</v>
          </cell>
          <cell r="U322">
            <v>0</v>
          </cell>
          <cell r="V322">
            <v>0</v>
          </cell>
          <cell r="W322">
            <v>0</v>
          </cell>
          <cell r="X322">
            <v>0</v>
          </cell>
          <cell r="Y322">
            <v>0</v>
          </cell>
          <cell r="Z322">
            <v>0</v>
          </cell>
        </row>
        <row r="323">
          <cell r="B323" t="str">
            <v>Tampa, FL</v>
          </cell>
          <cell r="C323">
            <v>2</v>
          </cell>
          <cell r="D323">
            <v>261</v>
          </cell>
          <cell r="E323">
            <v>3</v>
          </cell>
          <cell r="F323">
            <v>387</v>
          </cell>
          <cell r="G323">
            <v>0</v>
          </cell>
          <cell r="H323">
            <v>0</v>
          </cell>
          <cell r="I323">
            <v>0</v>
          </cell>
          <cell r="J323">
            <v>0</v>
          </cell>
          <cell r="K323">
            <v>0</v>
          </cell>
          <cell r="L323">
            <v>0</v>
          </cell>
          <cell r="M323">
            <v>0</v>
          </cell>
          <cell r="N323">
            <v>0</v>
          </cell>
          <cell r="O323">
            <v>0</v>
          </cell>
          <cell r="P323">
            <v>0</v>
          </cell>
          <cell r="Q323">
            <v>0</v>
          </cell>
          <cell r="R323">
            <v>0</v>
          </cell>
          <cell r="S323">
            <v>0</v>
          </cell>
          <cell r="T323">
            <v>0</v>
          </cell>
          <cell r="U323">
            <v>0</v>
          </cell>
          <cell r="V323">
            <v>0</v>
          </cell>
          <cell r="W323">
            <v>0</v>
          </cell>
          <cell r="X323">
            <v>0</v>
          </cell>
          <cell r="Y323">
            <v>0</v>
          </cell>
          <cell r="Z323">
            <v>0</v>
          </cell>
        </row>
        <row r="324">
          <cell r="B324" t="str">
            <v>Washington, DC</v>
          </cell>
          <cell r="C324">
            <v>0</v>
          </cell>
          <cell r="D324">
            <v>0</v>
          </cell>
          <cell r="E324">
            <v>3</v>
          </cell>
          <cell r="F324">
            <v>334</v>
          </cell>
          <cell r="G324">
            <v>0</v>
          </cell>
          <cell r="H324">
            <v>0</v>
          </cell>
          <cell r="I324">
            <v>1</v>
          </cell>
          <cell r="J324">
            <v>125</v>
          </cell>
          <cell r="K324">
            <v>0</v>
          </cell>
          <cell r="L324">
            <v>0</v>
          </cell>
          <cell r="M324">
            <v>1</v>
          </cell>
          <cell r="N324">
            <v>125</v>
          </cell>
          <cell r="O324">
            <v>1</v>
          </cell>
          <cell r="P324">
            <v>80</v>
          </cell>
          <cell r="Q324">
            <v>1</v>
          </cell>
          <cell r="R324">
            <v>125</v>
          </cell>
          <cell r="S324">
            <v>0</v>
          </cell>
          <cell r="T324">
            <v>0</v>
          </cell>
          <cell r="U324">
            <v>0</v>
          </cell>
          <cell r="V324">
            <v>0</v>
          </cell>
          <cell r="W324">
            <v>1</v>
          </cell>
          <cell r="X324">
            <v>80</v>
          </cell>
          <cell r="Y324">
            <v>1</v>
          </cell>
          <cell r="Z324">
            <v>80</v>
          </cell>
        </row>
        <row r="428">
          <cell r="B428" t="str">
            <v>Anaheim, CA</v>
          </cell>
          <cell r="C428">
            <v>0</v>
          </cell>
          <cell r="D428">
            <v>0</v>
          </cell>
          <cell r="E428">
            <v>1</v>
          </cell>
          <cell r="F428">
            <v>238</v>
          </cell>
          <cell r="G428">
            <v>0</v>
          </cell>
          <cell r="H428">
            <v>0</v>
          </cell>
          <cell r="I428">
            <v>0</v>
          </cell>
          <cell r="J428">
            <v>0</v>
          </cell>
          <cell r="K428">
            <v>0</v>
          </cell>
          <cell r="L428">
            <v>0</v>
          </cell>
          <cell r="M428">
            <v>0</v>
          </cell>
          <cell r="N428">
            <v>0</v>
          </cell>
          <cell r="O428">
            <v>0</v>
          </cell>
          <cell r="P428">
            <v>0</v>
          </cell>
          <cell r="Q428">
            <v>0</v>
          </cell>
          <cell r="R428">
            <v>0</v>
          </cell>
          <cell r="S428">
            <v>0</v>
          </cell>
          <cell r="T428">
            <v>0</v>
          </cell>
          <cell r="U428">
            <v>0</v>
          </cell>
          <cell r="V428">
            <v>0</v>
          </cell>
          <cell r="W428">
            <v>0</v>
          </cell>
          <cell r="X428">
            <v>0</v>
          </cell>
          <cell r="Y428">
            <v>0</v>
          </cell>
          <cell r="Z428">
            <v>0</v>
          </cell>
        </row>
        <row r="429">
          <cell r="B429" t="str">
            <v>Atlanta, GA</v>
          </cell>
          <cell r="C429">
            <v>0</v>
          </cell>
          <cell r="D429">
            <v>0</v>
          </cell>
          <cell r="E429">
            <v>8</v>
          </cell>
          <cell r="F429">
            <v>1484</v>
          </cell>
          <cell r="G429">
            <v>0</v>
          </cell>
          <cell r="H429">
            <v>0</v>
          </cell>
          <cell r="I429">
            <v>0</v>
          </cell>
          <cell r="J429">
            <v>0</v>
          </cell>
          <cell r="K429">
            <v>0</v>
          </cell>
          <cell r="L429">
            <v>0</v>
          </cell>
          <cell r="M429">
            <v>0</v>
          </cell>
          <cell r="N429">
            <v>0</v>
          </cell>
          <cell r="O429">
            <v>0</v>
          </cell>
          <cell r="P429">
            <v>0</v>
          </cell>
          <cell r="Q429">
            <v>0</v>
          </cell>
          <cell r="R429">
            <v>0</v>
          </cell>
          <cell r="S429">
            <v>0</v>
          </cell>
          <cell r="T429">
            <v>0</v>
          </cell>
          <cell r="U429">
            <v>0</v>
          </cell>
          <cell r="V429">
            <v>0</v>
          </cell>
          <cell r="W429">
            <v>0</v>
          </cell>
          <cell r="X429">
            <v>0</v>
          </cell>
          <cell r="Y429">
            <v>0</v>
          </cell>
          <cell r="Z429">
            <v>0</v>
          </cell>
        </row>
        <row r="430">
          <cell r="B430" t="str">
            <v>Boston, MA</v>
          </cell>
          <cell r="C430">
            <v>4</v>
          </cell>
          <cell r="D430">
            <v>903</v>
          </cell>
          <cell r="E430">
            <v>7</v>
          </cell>
          <cell r="F430">
            <v>1663</v>
          </cell>
          <cell r="G430">
            <v>1</v>
          </cell>
          <cell r="H430">
            <v>180</v>
          </cell>
          <cell r="I430">
            <v>0</v>
          </cell>
          <cell r="J430">
            <v>0</v>
          </cell>
          <cell r="K430">
            <v>0</v>
          </cell>
          <cell r="L430">
            <v>0</v>
          </cell>
          <cell r="M430">
            <v>0</v>
          </cell>
          <cell r="N430">
            <v>0</v>
          </cell>
          <cell r="O430">
            <v>0</v>
          </cell>
          <cell r="P430">
            <v>0</v>
          </cell>
          <cell r="Q430">
            <v>0</v>
          </cell>
          <cell r="R430">
            <v>0</v>
          </cell>
          <cell r="S430">
            <v>0</v>
          </cell>
          <cell r="T430">
            <v>0</v>
          </cell>
          <cell r="U430">
            <v>0</v>
          </cell>
          <cell r="V430">
            <v>0</v>
          </cell>
          <cell r="W430">
            <v>0</v>
          </cell>
          <cell r="X430">
            <v>0</v>
          </cell>
          <cell r="Y430">
            <v>0</v>
          </cell>
          <cell r="Z430">
            <v>0</v>
          </cell>
        </row>
        <row r="431">
          <cell r="B431" t="str">
            <v>Chicago, IL</v>
          </cell>
          <cell r="C431">
            <v>1</v>
          </cell>
          <cell r="D431">
            <v>418</v>
          </cell>
          <cell r="E431">
            <v>10</v>
          </cell>
          <cell r="F431">
            <v>2091</v>
          </cell>
          <cell r="G431">
            <v>0</v>
          </cell>
          <cell r="H431">
            <v>0</v>
          </cell>
          <cell r="I431">
            <v>0</v>
          </cell>
          <cell r="J431">
            <v>0</v>
          </cell>
          <cell r="K431">
            <v>0</v>
          </cell>
          <cell r="L431">
            <v>0</v>
          </cell>
          <cell r="M431">
            <v>0</v>
          </cell>
          <cell r="N431">
            <v>0</v>
          </cell>
          <cell r="O431">
            <v>0</v>
          </cell>
          <cell r="P431">
            <v>0</v>
          </cell>
          <cell r="Q431">
            <v>0</v>
          </cell>
          <cell r="R431">
            <v>0</v>
          </cell>
          <cell r="S431">
            <v>0</v>
          </cell>
          <cell r="T431">
            <v>0</v>
          </cell>
          <cell r="U431">
            <v>0</v>
          </cell>
          <cell r="V431">
            <v>0</v>
          </cell>
          <cell r="W431">
            <v>0</v>
          </cell>
          <cell r="X431">
            <v>0</v>
          </cell>
          <cell r="Y431">
            <v>0</v>
          </cell>
          <cell r="Z431">
            <v>0</v>
          </cell>
        </row>
        <row r="432">
          <cell r="B432" t="str">
            <v>Dallas, TX</v>
          </cell>
          <cell r="C432">
            <v>1</v>
          </cell>
          <cell r="D432">
            <v>197</v>
          </cell>
          <cell r="E432">
            <v>7</v>
          </cell>
          <cell r="F432">
            <v>2619</v>
          </cell>
          <cell r="G432">
            <v>0</v>
          </cell>
          <cell r="H432">
            <v>0</v>
          </cell>
          <cell r="I432">
            <v>0</v>
          </cell>
          <cell r="J432">
            <v>0</v>
          </cell>
          <cell r="K432">
            <v>0</v>
          </cell>
          <cell r="L432">
            <v>0</v>
          </cell>
          <cell r="M432">
            <v>0</v>
          </cell>
          <cell r="N432">
            <v>0</v>
          </cell>
          <cell r="O432">
            <v>0</v>
          </cell>
          <cell r="P432">
            <v>0</v>
          </cell>
          <cell r="Q432">
            <v>0</v>
          </cell>
          <cell r="R432">
            <v>0</v>
          </cell>
          <cell r="S432">
            <v>0</v>
          </cell>
          <cell r="T432">
            <v>0</v>
          </cell>
          <cell r="U432">
            <v>0</v>
          </cell>
          <cell r="V432">
            <v>0</v>
          </cell>
          <cell r="W432">
            <v>0</v>
          </cell>
          <cell r="X432">
            <v>0</v>
          </cell>
          <cell r="Y432">
            <v>0</v>
          </cell>
          <cell r="Z432">
            <v>0</v>
          </cell>
        </row>
        <row r="433">
          <cell r="B433" t="str">
            <v>Denver, CO</v>
          </cell>
          <cell r="C433">
            <v>2</v>
          </cell>
          <cell r="D433">
            <v>316</v>
          </cell>
          <cell r="E433">
            <v>2</v>
          </cell>
          <cell r="F433">
            <v>316</v>
          </cell>
          <cell r="G433">
            <v>0</v>
          </cell>
          <cell r="H433">
            <v>0</v>
          </cell>
          <cell r="I433">
            <v>0</v>
          </cell>
          <cell r="J433">
            <v>0</v>
          </cell>
          <cell r="K433">
            <v>0</v>
          </cell>
          <cell r="L433">
            <v>0</v>
          </cell>
          <cell r="M433">
            <v>0</v>
          </cell>
          <cell r="N433">
            <v>0</v>
          </cell>
          <cell r="O433">
            <v>0</v>
          </cell>
          <cell r="P433">
            <v>0</v>
          </cell>
          <cell r="Q433">
            <v>0</v>
          </cell>
          <cell r="R433">
            <v>0</v>
          </cell>
          <cell r="S433">
            <v>0</v>
          </cell>
          <cell r="T433">
            <v>0</v>
          </cell>
          <cell r="U433">
            <v>0</v>
          </cell>
          <cell r="V433">
            <v>0</v>
          </cell>
          <cell r="W433">
            <v>0</v>
          </cell>
          <cell r="X433">
            <v>0</v>
          </cell>
          <cell r="Y433">
            <v>0</v>
          </cell>
          <cell r="Z433">
            <v>0</v>
          </cell>
        </row>
        <row r="434">
          <cell r="B434" t="str">
            <v>Detroit, MI</v>
          </cell>
          <cell r="C434">
            <v>0</v>
          </cell>
          <cell r="D434">
            <v>0</v>
          </cell>
          <cell r="E434">
            <v>1</v>
          </cell>
          <cell r="F434">
            <v>148</v>
          </cell>
          <cell r="G434">
            <v>0</v>
          </cell>
          <cell r="H434">
            <v>0</v>
          </cell>
          <cell r="I434">
            <v>0</v>
          </cell>
          <cell r="J434">
            <v>0</v>
          </cell>
          <cell r="K434">
            <v>0</v>
          </cell>
          <cell r="L434">
            <v>0</v>
          </cell>
          <cell r="M434">
            <v>0</v>
          </cell>
          <cell r="N434">
            <v>0</v>
          </cell>
          <cell r="O434">
            <v>0</v>
          </cell>
          <cell r="P434">
            <v>0</v>
          </cell>
          <cell r="Q434">
            <v>0</v>
          </cell>
          <cell r="R434">
            <v>0</v>
          </cell>
          <cell r="S434">
            <v>0</v>
          </cell>
          <cell r="T434">
            <v>0</v>
          </cell>
          <cell r="U434">
            <v>0</v>
          </cell>
          <cell r="V434">
            <v>0</v>
          </cell>
          <cell r="W434">
            <v>0</v>
          </cell>
          <cell r="X434">
            <v>0</v>
          </cell>
          <cell r="Y434">
            <v>0</v>
          </cell>
          <cell r="Z434">
            <v>0</v>
          </cell>
        </row>
        <row r="435">
          <cell r="B435" t="str">
            <v>Houston, TX</v>
          </cell>
          <cell r="C435">
            <v>0</v>
          </cell>
          <cell r="D435">
            <v>0</v>
          </cell>
          <cell r="E435">
            <v>1</v>
          </cell>
          <cell r="F435">
            <v>472</v>
          </cell>
          <cell r="G435">
            <v>0</v>
          </cell>
          <cell r="H435">
            <v>0</v>
          </cell>
          <cell r="I435">
            <v>0</v>
          </cell>
          <cell r="J435">
            <v>0</v>
          </cell>
          <cell r="K435">
            <v>0</v>
          </cell>
          <cell r="L435">
            <v>0</v>
          </cell>
          <cell r="M435">
            <v>0</v>
          </cell>
          <cell r="N435">
            <v>0</v>
          </cell>
          <cell r="O435">
            <v>0</v>
          </cell>
          <cell r="P435">
            <v>0</v>
          </cell>
          <cell r="Q435">
            <v>0</v>
          </cell>
          <cell r="R435">
            <v>0</v>
          </cell>
          <cell r="S435">
            <v>0</v>
          </cell>
          <cell r="T435">
            <v>0</v>
          </cell>
          <cell r="U435">
            <v>0</v>
          </cell>
          <cell r="V435">
            <v>0</v>
          </cell>
          <cell r="W435">
            <v>0</v>
          </cell>
          <cell r="X435">
            <v>0</v>
          </cell>
          <cell r="Y435">
            <v>0</v>
          </cell>
          <cell r="Z435">
            <v>0</v>
          </cell>
        </row>
        <row r="436">
          <cell r="B436" t="str">
            <v>Los Angeles, CA</v>
          </cell>
          <cell r="C436">
            <v>0</v>
          </cell>
          <cell r="D436">
            <v>0</v>
          </cell>
          <cell r="E436">
            <v>6</v>
          </cell>
          <cell r="F436">
            <v>889</v>
          </cell>
          <cell r="G436">
            <v>0</v>
          </cell>
          <cell r="H436">
            <v>0</v>
          </cell>
          <cell r="I436">
            <v>0</v>
          </cell>
          <cell r="J436">
            <v>0</v>
          </cell>
          <cell r="K436">
            <v>0</v>
          </cell>
          <cell r="L436">
            <v>0</v>
          </cell>
          <cell r="M436">
            <v>0</v>
          </cell>
          <cell r="N436">
            <v>0</v>
          </cell>
          <cell r="O436">
            <v>0</v>
          </cell>
          <cell r="P436">
            <v>0</v>
          </cell>
          <cell r="Q436">
            <v>0</v>
          </cell>
          <cell r="R436">
            <v>0</v>
          </cell>
          <cell r="S436">
            <v>0</v>
          </cell>
          <cell r="T436">
            <v>0</v>
          </cell>
          <cell r="U436">
            <v>0</v>
          </cell>
          <cell r="V436">
            <v>0</v>
          </cell>
          <cell r="W436">
            <v>0</v>
          </cell>
          <cell r="X436">
            <v>0</v>
          </cell>
          <cell r="Y436">
            <v>0</v>
          </cell>
          <cell r="Z436">
            <v>0</v>
          </cell>
        </row>
        <row r="437">
          <cell r="B437" t="str">
            <v>Miami, FL</v>
          </cell>
          <cell r="C437">
            <v>1</v>
          </cell>
          <cell r="D437">
            <v>157</v>
          </cell>
          <cell r="E437">
            <v>4</v>
          </cell>
          <cell r="F437">
            <v>1271</v>
          </cell>
          <cell r="G437">
            <v>0</v>
          </cell>
          <cell r="H437">
            <v>0</v>
          </cell>
          <cell r="I437">
            <v>0</v>
          </cell>
          <cell r="J437">
            <v>0</v>
          </cell>
          <cell r="K437">
            <v>0</v>
          </cell>
          <cell r="L437">
            <v>0</v>
          </cell>
          <cell r="M437">
            <v>0</v>
          </cell>
          <cell r="N437">
            <v>0</v>
          </cell>
          <cell r="O437">
            <v>0</v>
          </cell>
          <cell r="P437">
            <v>0</v>
          </cell>
          <cell r="Q437">
            <v>0</v>
          </cell>
          <cell r="R437">
            <v>0</v>
          </cell>
          <cell r="S437">
            <v>0</v>
          </cell>
          <cell r="T437">
            <v>0</v>
          </cell>
          <cell r="U437">
            <v>0</v>
          </cell>
          <cell r="V437">
            <v>0</v>
          </cell>
          <cell r="W437">
            <v>0</v>
          </cell>
          <cell r="X437">
            <v>0</v>
          </cell>
          <cell r="Y437">
            <v>0</v>
          </cell>
          <cell r="Z437">
            <v>0</v>
          </cell>
        </row>
        <row r="438">
          <cell r="B438" t="str">
            <v>Minneapolis, MN</v>
          </cell>
          <cell r="C438">
            <v>0</v>
          </cell>
          <cell r="D438">
            <v>0</v>
          </cell>
          <cell r="E438">
            <v>1</v>
          </cell>
          <cell r="F438">
            <v>209</v>
          </cell>
          <cell r="G438">
            <v>0</v>
          </cell>
          <cell r="H438">
            <v>0</v>
          </cell>
          <cell r="I438">
            <v>0</v>
          </cell>
          <cell r="J438">
            <v>0</v>
          </cell>
          <cell r="K438">
            <v>0</v>
          </cell>
          <cell r="L438">
            <v>0</v>
          </cell>
          <cell r="M438">
            <v>0</v>
          </cell>
          <cell r="N438">
            <v>0</v>
          </cell>
          <cell r="O438">
            <v>0</v>
          </cell>
          <cell r="P438">
            <v>0</v>
          </cell>
          <cell r="Q438">
            <v>0</v>
          </cell>
          <cell r="R438">
            <v>0</v>
          </cell>
          <cell r="S438">
            <v>0</v>
          </cell>
          <cell r="T438">
            <v>0</v>
          </cell>
          <cell r="U438">
            <v>0</v>
          </cell>
          <cell r="V438">
            <v>0</v>
          </cell>
          <cell r="W438">
            <v>0</v>
          </cell>
          <cell r="X438">
            <v>0</v>
          </cell>
          <cell r="Y438">
            <v>0</v>
          </cell>
          <cell r="Z438">
            <v>0</v>
          </cell>
        </row>
        <row r="439">
          <cell r="B439" t="str">
            <v>Nashville, TN</v>
          </cell>
          <cell r="C439">
            <v>0</v>
          </cell>
          <cell r="D439">
            <v>0</v>
          </cell>
          <cell r="E439">
            <v>2</v>
          </cell>
          <cell r="F439">
            <v>304</v>
          </cell>
          <cell r="G439">
            <v>0</v>
          </cell>
          <cell r="H439">
            <v>0</v>
          </cell>
          <cell r="I439">
            <v>0</v>
          </cell>
          <cell r="J439">
            <v>0</v>
          </cell>
          <cell r="K439">
            <v>0</v>
          </cell>
          <cell r="L439">
            <v>0</v>
          </cell>
          <cell r="M439">
            <v>0</v>
          </cell>
          <cell r="N439">
            <v>0</v>
          </cell>
          <cell r="O439">
            <v>0</v>
          </cell>
          <cell r="P439">
            <v>0</v>
          </cell>
          <cell r="Q439">
            <v>0</v>
          </cell>
          <cell r="R439">
            <v>0</v>
          </cell>
          <cell r="S439">
            <v>0</v>
          </cell>
          <cell r="T439">
            <v>0</v>
          </cell>
          <cell r="U439">
            <v>0</v>
          </cell>
          <cell r="V439">
            <v>0</v>
          </cell>
          <cell r="W439">
            <v>0</v>
          </cell>
          <cell r="X439">
            <v>0</v>
          </cell>
          <cell r="Y439">
            <v>0</v>
          </cell>
          <cell r="Z439">
            <v>0</v>
          </cell>
        </row>
        <row r="440">
          <cell r="B440" t="str">
            <v>New Orleans, LA</v>
          </cell>
          <cell r="C440">
            <v>1</v>
          </cell>
          <cell r="D440">
            <v>93</v>
          </cell>
          <cell r="E440">
            <v>4</v>
          </cell>
          <cell r="F440">
            <v>950</v>
          </cell>
          <cell r="G440">
            <v>0</v>
          </cell>
          <cell r="H440">
            <v>0</v>
          </cell>
          <cell r="I440">
            <v>1</v>
          </cell>
          <cell r="J440">
            <v>182</v>
          </cell>
          <cell r="K440">
            <v>0</v>
          </cell>
          <cell r="L440">
            <v>0</v>
          </cell>
          <cell r="M440">
            <v>1</v>
          </cell>
          <cell r="N440">
            <v>182</v>
          </cell>
          <cell r="O440">
            <v>0</v>
          </cell>
          <cell r="P440">
            <v>0</v>
          </cell>
          <cell r="Q440">
            <v>1</v>
          </cell>
          <cell r="R440">
            <v>182</v>
          </cell>
          <cell r="S440">
            <v>0</v>
          </cell>
          <cell r="T440">
            <v>0</v>
          </cell>
          <cell r="U440">
            <v>0</v>
          </cell>
          <cell r="V440">
            <v>0</v>
          </cell>
          <cell r="W440">
            <v>0</v>
          </cell>
          <cell r="X440">
            <v>0</v>
          </cell>
          <cell r="Y440">
            <v>0</v>
          </cell>
          <cell r="Z440">
            <v>0</v>
          </cell>
        </row>
        <row r="441">
          <cell r="B441" t="str">
            <v>New York, NY</v>
          </cell>
          <cell r="C441">
            <v>1</v>
          </cell>
          <cell r="D441">
            <v>160</v>
          </cell>
          <cell r="E441">
            <v>2</v>
          </cell>
          <cell r="F441">
            <v>389</v>
          </cell>
          <cell r="G441">
            <v>0</v>
          </cell>
          <cell r="H441">
            <v>0</v>
          </cell>
          <cell r="I441">
            <v>0</v>
          </cell>
          <cell r="J441">
            <v>0</v>
          </cell>
          <cell r="K441">
            <v>0</v>
          </cell>
          <cell r="L441">
            <v>0</v>
          </cell>
          <cell r="M441">
            <v>0</v>
          </cell>
          <cell r="N441">
            <v>0</v>
          </cell>
          <cell r="O441">
            <v>0</v>
          </cell>
          <cell r="P441">
            <v>0</v>
          </cell>
          <cell r="Q441">
            <v>0</v>
          </cell>
          <cell r="R441">
            <v>0</v>
          </cell>
          <cell r="S441">
            <v>0</v>
          </cell>
          <cell r="T441">
            <v>0</v>
          </cell>
          <cell r="U441">
            <v>0</v>
          </cell>
          <cell r="V441">
            <v>0</v>
          </cell>
          <cell r="W441">
            <v>0</v>
          </cell>
          <cell r="X441">
            <v>0</v>
          </cell>
          <cell r="Y441">
            <v>0</v>
          </cell>
          <cell r="Z441">
            <v>0</v>
          </cell>
        </row>
        <row r="442">
          <cell r="B442" t="str">
            <v>Norfolk, VA</v>
          </cell>
          <cell r="C442">
            <v>0</v>
          </cell>
          <cell r="D442">
            <v>0</v>
          </cell>
          <cell r="E442">
            <v>0</v>
          </cell>
          <cell r="F442">
            <v>0</v>
          </cell>
          <cell r="G442">
            <v>0</v>
          </cell>
          <cell r="H442">
            <v>0</v>
          </cell>
          <cell r="I442">
            <v>0</v>
          </cell>
          <cell r="J442">
            <v>0</v>
          </cell>
          <cell r="K442">
            <v>0</v>
          </cell>
          <cell r="L442">
            <v>0</v>
          </cell>
          <cell r="M442">
            <v>0</v>
          </cell>
          <cell r="N442">
            <v>0</v>
          </cell>
          <cell r="O442">
            <v>0</v>
          </cell>
          <cell r="P442">
            <v>0</v>
          </cell>
          <cell r="Q442">
            <v>0</v>
          </cell>
          <cell r="R442">
            <v>0</v>
          </cell>
          <cell r="S442">
            <v>0</v>
          </cell>
          <cell r="T442">
            <v>0</v>
          </cell>
          <cell r="U442">
            <v>0</v>
          </cell>
          <cell r="V442">
            <v>0</v>
          </cell>
          <cell r="W442">
            <v>0</v>
          </cell>
          <cell r="X442">
            <v>0</v>
          </cell>
          <cell r="Y442">
            <v>0</v>
          </cell>
          <cell r="Z442">
            <v>0</v>
          </cell>
        </row>
        <row r="443">
          <cell r="B443" t="str">
            <v>Oahu Island</v>
          </cell>
          <cell r="C443">
            <v>0</v>
          </cell>
          <cell r="D443">
            <v>0</v>
          </cell>
          <cell r="E443">
            <v>0</v>
          </cell>
          <cell r="F443">
            <v>0</v>
          </cell>
          <cell r="G443">
            <v>0</v>
          </cell>
          <cell r="H443">
            <v>0</v>
          </cell>
          <cell r="I443">
            <v>0</v>
          </cell>
          <cell r="J443">
            <v>0</v>
          </cell>
          <cell r="K443">
            <v>0</v>
          </cell>
          <cell r="L443">
            <v>0</v>
          </cell>
          <cell r="M443">
            <v>0</v>
          </cell>
          <cell r="N443">
            <v>0</v>
          </cell>
          <cell r="O443">
            <v>0</v>
          </cell>
          <cell r="P443">
            <v>0</v>
          </cell>
          <cell r="Q443">
            <v>0</v>
          </cell>
          <cell r="R443">
            <v>0</v>
          </cell>
          <cell r="S443">
            <v>0</v>
          </cell>
          <cell r="T443">
            <v>0</v>
          </cell>
          <cell r="U443">
            <v>0</v>
          </cell>
          <cell r="V443">
            <v>0</v>
          </cell>
          <cell r="W443">
            <v>0</v>
          </cell>
          <cell r="X443">
            <v>0</v>
          </cell>
          <cell r="Y443">
            <v>0</v>
          </cell>
          <cell r="Z443">
            <v>0</v>
          </cell>
        </row>
        <row r="444">
          <cell r="B444" t="str">
            <v>Orlando, FL</v>
          </cell>
          <cell r="C444">
            <v>0</v>
          </cell>
          <cell r="D444">
            <v>0</v>
          </cell>
          <cell r="E444">
            <v>4</v>
          </cell>
          <cell r="F444">
            <v>2373</v>
          </cell>
          <cell r="G444">
            <v>0</v>
          </cell>
          <cell r="H444">
            <v>0</v>
          </cell>
          <cell r="I444">
            <v>0</v>
          </cell>
          <cell r="J444">
            <v>0</v>
          </cell>
          <cell r="K444">
            <v>0</v>
          </cell>
          <cell r="L444">
            <v>0</v>
          </cell>
          <cell r="M444">
            <v>0</v>
          </cell>
          <cell r="N444">
            <v>0</v>
          </cell>
          <cell r="O444">
            <v>0</v>
          </cell>
          <cell r="P444">
            <v>0</v>
          </cell>
          <cell r="Q444">
            <v>0</v>
          </cell>
          <cell r="R444">
            <v>0</v>
          </cell>
          <cell r="S444">
            <v>0</v>
          </cell>
          <cell r="T444">
            <v>0</v>
          </cell>
          <cell r="U444">
            <v>0</v>
          </cell>
          <cell r="V444">
            <v>0</v>
          </cell>
          <cell r="W444">
            <v>0</v>
          </cell>
          <cell r="X444">
            <v>0</v>
          </cell>
          <cell r="Y444">
            <v>0</v>
          </cell>
          <cell r="Z444">
            <v>0</v>
          </cell>
        </row>
        <row r="445">
          <cell r="B445" t="str">
            <v>Philadelphia, PA</v>
          </cell>
          <cell r="C445">
            <v>1</v>
          </cell>
          <cell r="D445">
            <v>131</v>
          </cell>
          <cell r="E445">
            <v>6</v>
          </cell>
          <cell r="F445">
            <v>1596</v>
          </cell>
          <cell r="G445">
            <v>0</v>
          </cell>
          <cell r="H445">
            <v>0</v>
          </cell>
          <cell r="I445">
            <v>0</v>
          </cell>
          <cell r="J445">
            <v>0</v>
          </cell>
          <cell r="K445">
            <v>0</v>
          </cell>
          <cell r="L445">
            <v>0</v>
          </cell>
          <cell r="M445">
            <v>0</v>
          </cell>
          <cell r="N445">
            <v>0</v>
          </cell>
          <cell r="O445">
            <v>0</v>
          </cell>
          <cell r="P445">
            <v>0</v>
          </cell>
          <cell r="Q445">
            <v>0</v>
          </cell>
          <cell r="R445">
            <v>0</v>
          </cell>
          <cell r="S445">
            <v>0</v>
          </cell>
          <cell r="T445">
            <v>0</v>
          </cell>
          <cell r="U445">
            <v>0</v>
          </cell>
          <cell r="V445">
            <v>0</v>
          </cell>
          <cell r="W445">
            <v>0</v>
          </cell>
          <cell r="X445">
            <v>0</v>
          </cell>
          <cell r="Y445">
            <v>0</v>
          </cell>
          <cell r="Z445">
            <v>0</v>
          </cell>
        </row>
        <row r="446">
          <cell r="B446" t="str">
            <v>Phoenix, AZ</v>
          </cell>
          <cell r="C446">
            <v>1</v>
          </cell>
          <cell r="D446">
            <v>164</v>
          </cell>
          <cell r="E446">
            <v>6</v>
          </cell>
          <cell r="F446">
            <v>1212</v>
          </cell>
          <cell r="G446">
            <v>0</v>
          </cell>
          <cell r="H446">
            <v>0</v>
          </cell>
          <cell r="I446">
            <v>0</v>
          </cell>
          <cell r="J446">
            <v>0</v>
          </cell>
          <cell r="K446">
            <v>0</v>
          </cell>
          <cell r="L446">
            <v>0</v>
          </cell>
          <cell r="M446">
            <v>0</v>
          </cell>
          <cell r="N446">
            <v>0</v>
          </cell>
          <cell r="O446">
            <v>0</v>
          </cell>
          <cell r="P446">
            <v>0</v>
          </cell>
          <cell r="Q446">
            <v>0</v>
          </cell>
          <cell r="R446">
            <v>0</v>
          </cell>
          <cell r="S446">
            <v>0</v>
          </cell>
          <cell r="T446">
            <v>0</v>
          </cell>
          <cell r="U446">
            <v>0</v>
          </cell>
          <cell r="V446">
            <v>0</v>
          </cell>
          <cell r="W446">
            <v>0</v>
          </cell>
          <cell r="X446">
            <v>0</v>
          </cell>
          <cell r="Y446">
            <v>0</v>
          </cell>
          <cell r="Z446">
            <v>0</v>
          </cell>
        </row>
        <row r="447">
          <cell r="B447" t="str">
            <v>Saint Louis, MO</v>
          </cell>
          <cell r="C447">
            <v>1</v>
          </cell>
          <cell r="D447">
            <v>142</v>
          </cell>
          <cell r="E447">
            <v>3</v>
          </cell>
          <cell r="F447">
            <v>425</v>
          </cell>
          <cell r="G447">
            <v>0</v>
          </cell>
          <cell r="H447">
            <v>0</v>
          </cell>
          <cell r="I447">
            <v>0</v>
          </cell>
          <cell r="J447">
            <v>0</v>
          </cell>
          <cell r="K447">
            <v>0</v>
          </cell>
          <cell r="L447">
            <v>0</v>
          </cell>
          <cell r="M447">
            <v>0</v>
          </cell>
          <cell r="N447">
            <v>0</v>
          </cell>
          <cell r="O447">
            <v>0</v>
          </cell>
          <cell r="P447">
            <v>0</v>
          </cell>
          <cell r="Q447">
            <v>0</v>
          </cell>
          <cell r="R447">
            <v>0</v>
          </cell>
          <cell r="S447">
            <v>0</v>
          </cell>
          <cell r="T447">
            <v>0</v>
          </cell>
          <cell r="U447">
            <v>0</v>
          </cell>
          <cell r="V447">
            <v>0</v>
          </cell>
          <cell r="W447">
            <v>0</v>
          </cell>
          <cell r="X447">
            <v>0</v>
          </cell>
          <cell r="Y447">
            <v>0</v>
          </cell>
          <cell r="Z447">
            <v>0</v>
          </cell>
        </row>
        <row r="448">
          <cell r="B448" t="str">
            <v>San Diego, CA</v>
          </cell>
          <cell r="C448">
            <v>0</v>
          </cell>
          <cell r="D448">
            <v>0</v>
          </cell>
          <cell r="E448">
            <v>4</v>
          </cell>
          <cell r="F448">
            <v>1176</v>
          </cell>
          <cell r="G448">
            <v>0</v>
          </cell>
          <cell r="H448">
            <v>0</v>
          </cell>
          <cell r="I448">
            <v>0</v>
          </cell>
          <cell r="J448">
            <v>0</v>
          </cell>
          <cell r="K448">
            <v>0</v>
          </cell>
          <cell r="L448">
            <v>0</v>
          </cell>
          <cell r="M448">
            <v>0</v>
          </cell>
          <cell r="N448">
            <v>0</v>
          </cell>
          <cell r="O448">
            <v>0</v>
          </cell>
          <cell r="P448">
            <v>0</v>
          </cell>
          <cell r="Q448">
            <v>0</v>
          </cell>
          <cell r="R448">
            <v>0</v>
          </cell>
          <cell r="S448">
            <v>0</v>
          </cell>
          <cell r="T448">
            <v>0</v>
          </cell>
          <cell r="U448">
            <v>0</v>
          </cell>
          <cell r="V448">
            <v>0</v>
          </cell>
          <cell r="W448">
            <v>0</v>
          </cell>
          <cell r="X448">
            <v>0</v>
          </cell>
          <cell r="Y448">
            <v>0</v>
          </cell>
          <cell r="Z448">
            <v>0</v>
          </cell>
        </row>
        <row r="449">
          <cell r="B449" t="str">
            <v>San Francisco, CA</v>
          </cell>
          <cell r="C449">
            <v>0</v>
          </cell>
          <cell r="D449">
            <v>0</v>
          </cell>
          <cell r="E449">
            <v>3</v>
          </cell>
          <cell r="F449">
            <v>413</v>
          </cell>
          <cell r="G449">
            <v>0</v>
          </cell>
          <cell r="H449">
            <v>0</v>
          </cell>
          <cell r="I449">
            <v>0</v>
          </cell>
          <cell r="J449">
            <v>0</v>
          </cell>
          <cell r="K449">
            <v>0</v>
          </cell>
          <cell r="L449">
            <v>0</v>
          </cell>
          <cell r="M449">
            <v>0</v>
          </cell>
          <cell r="N449">
            <v>0</v>
          </cell>
          <cell r="O449">
            <v>0</v>
          </cell>
          <cell r="P449">
            <v>0</v>
          </cell>
          <cell r="Q449">
            <v>0</v>
          </cell>
          <cell r="R449">
            <v>0</v>
          </cell>
          <cell r="S449">
            <v>0</v>
          </cell>
          <cell r="T449">
            <v>0</v>
          </cell>
          <cell r="U449">
            <v>0</v>
          </cell>
          <cell r="V449">
            <v>0</v>
          </cell>
          <cell r="W449">
            <v>0</v>
          </cell>
          <cell r="X449">
            <v>0</v>
          </cell>
          <cell r="Y449">
            <v>0</v>
          </cell>
          <cell r="Z449">
            <v>0</v>
          </cell>
        </row>
        <row r="450">
          <cell r="B450" t="str">
            <v>Seattle, WA</v>
          </cell>
          <cell r="C450">
            <v>0</v>
          </cell>
          <cell r="D450">
            <v>0</v>
          </cell>
          <cell r="E450">
            <v>3</v>
          </cell>
          <cell r="F450">
            <v>563</v>
          </cell>
          <cell r="G450">
            <v>0</v>
          </cell>
          <cell r="H450">
            <v>0</v>
          </cell>
          <cell r="I450">
            <v>0</v>
          </cell>
          <cell r="J450">
            <v>0</v>
          </cell>
          <cell r="K450">
            <v>0</v>
          </cell>
          <cell r="L450">
            <v>0</v>
          </cell>
          <cell r="M450">
            <v>0</v>
          </cell>
          <cell r="N450">
            <v>0</v>
          </cell>
          <cell r="O450">
            <v>0</v>
          </cell>
          <cell r="P450">
            <v>0</v>
          </cell>
          <cell r="Q450">
            <v>0</v>
          </cell>
          <cell r="R450">
            <v>0</v>
          </cell>
          <cell r="S450">
            <v>0</v>
          </cell>
          <cell r="T450">
            <v>0</v>
          </cell>
          <cell r="U450">
            <v>0</v>
          </cell>
          <cell r="V450">
            <v>0</v>
          </cell>
          <cell r="W450">
            <v>0</v>
          </cell>
          <cell r="X450">
            <v>0</v>
          </cell>
          <cell r="Y450">
            <v>0</v>
          </cell>
          <cell r="Z450">
            <v>0</v>
          </cell>
        </row>
        <row r="451">
          <cell r="B451" t="str">
            <v>Tampa, FL</v>
          </cell>
          <cell r="C451">
            <v>0</v>
          </cell>
          <cell r="D451">
            <v>0</v>
          </cell>
          <cell r="E451">
            <v>2</v>
          </cell>
          <cell r="F451">
            <v>623</v>
          </cell>
          <cell r="G451">
            <v>0</v>
          </cell>
          <cell r="H451">
            <v>0</v>
          </cell>
          <cell r="I451">
            <v>0</v>
          </cell>
          <cell r="J451">
            <v>0</v>
          </cell>
          <cell r="K451">
            <v>0</v>
          </cell>
          <cell r="L451">
            <v>0</v>
          </cell>
          <cell r="M451">
            <v>0</v>
          </cell>
          <cell r="N451">
            <v>0</v>
          </cell>
          <cell r="O451">
            <v>0</v>
          </cell>
          <cell r="P451">
            <v>0</v>
          </cell>
          <cell r="Q451">
            <v>0</v>
          </cell>
          <cell r="R451">
            <v>0</v>
          </cell>
          <cell r="S451">
            <v>0</v>
          </cell>
          <cell r="T451">
            <v>0</v>
          </cell>
          <cell r="U451">
            <v>0</v>
          </cell>
          <cell r="V451">
            <v>0</v>
          </cell>
          <cell r="W451">
            <v>0</v>
          </cell>
          <cell r="X451">
            <v>0</v>
          </cell>
          <cell r="Y451">
            <v>0</v>
          </cell>
          <cell r="Z451">
            <v>0</v>
          </cell>
        </row>
        <row r="452">
          <cell r="B452" t="str">
            <v>Washington, DC</v>
          </cell>
          <cell r="C452">
            <v>1</v>
          </cell>
          <cell r="D452">
            <v>151</v>
          </cell>
          <cell r="E452">
            <v>5</v>
          </cell>
          <cell r="F452">
            <v>1266</v>
          </cell>
          <cell r="G452">
            <v>0</v>
          </cell>
          <cell r="H452">
            <v>0</v>
          </cell>
          <cell r="I452">
            <v>0</v>
          </cell>
          <cell r="J452">
            <v>0</v>
          </cell>
          <cell r="K452">
            <v>0</v>
          </cell>
          <cell r="L452">
            <v>0</v>
          </cell>
          <cell r="M452">
            <v>0</v>
          </cell>
          <cell r="N452">
            <v>0</v>
          </cell>
          <cell r="O452">
            <v>0</v>
          </cell>
          <cell r="P452">
            <v>0</v>
          </cell>
          <cell r="Q452">
            <v>0</v>
          </cell>
          <cell r="R452">
            <v>0</v>
          </cell>
          <cell r="S452">
            <v>0</v>
          </cell>
          <cell r="T452">
            <v>0</v>
          </cell>
          <cell r="U452">
            <v>0</v>
          </cell>
          <cell r="V452">
            <v>0</v>
          </cell>
          <cell r="W452">
            <v>0</v>
          </cell>
          <cell r="X452">
            <v>0</v>
          </cell>
          <cell r="Y452">
            <v>0</v>
          </cell>
          <cell r="Z452">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25">
          <cell r="E25">
            <v>108539</v>
          </cell>
          <cell r="F25">
            <v>113417</v>
          </cell>
          <cell r="G25">
            <v>92229</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TXT"/>
      <sheetName val="COUNTY.TXT"/>
      <sheetName val="MARKET.TXT"/>
      <sheetName val="MGT.TXT"/>
      <sheetName val="MSA.TXT"/>
      <sheetName val="TRACT.TXT"/>
      <sheetName val="Misc Data"/>
    </sheetNames>
    <sheetDataSet>
      <sheetData sheetId="0" refreshError="1">
        <row r="1">
          <cell r="A1">
            <v>4</v>
          </cell>
          <cell r="B1" t="str">
            <v>ABOTEL</v>
          </cell>
        </row>
        <row r="2">
          <cell r="A2">
            <v>5</v>
          </cell>
          <cell r="B2" t="str">
            <v>ABOU NAWAS</v>
          </cell>
        </row>
        <row r="3">
          <cell r="A3">
            <v>10</v>
          </cell>
          <cell r="B3" t="str">
            <v>ADAM'S MARK</v>
          </cell>
        </row>
        <row r="4">
          <cell r="A4">
            <v>20</v>
          </cell>
          <cell r="B4" t="str">
            <v>ADMIRAL BENBOW</v>
          </cell>
        </row>
        <row r="5">
          <cell r="A5">
            <v>22</v>
          </cell>
          <cell r="B5" t="str">
            <v>AKZENT HOTELS</v>
          </cell>
        </row>
        <row r="6">
          <cell r="A6">
            <v>23</v>
          </cell>
          <cell r="B6" t="str">
            <v>ALFA HOTELS</v>
          </cell>
        </row>
        <row r="7">
          <cell r="A7">
            <v>24</v>
          </cell>
          <cell r="B7" t="str">
            <v>ALLEGRO RESORTS</v>
          </cell>
        </row>
        <row r="8">
          <cell r="A8">
            <v>25</v>
          </cell>
          <cell r="B8" t="str">
            <v>ALLSTAR INN</v>
          </cell>
        </row>
        <row r="9">
          <cell r="A9">
            <v>30</v>
          </cell>
          <cell r="B9" t="str">
            <v>ALL SEASONS HOTELS</v>
          </cell>
        </row>
        <row r="10">
          <cell r="A10">
            <v>50</v>
          </cell>
          <cell r="B10" t="str">
            <v>AMBER HOTEL</v>
          </cell>
        </row>
        <row r="11">
          <cell r="A11">
            <v>60</v>
          </cell>
          <cell r="B11" t="str">
            <v>AMERICINN</v>
          </cell>
        </row>
        <row r="12">
          <cell r="A12">
            <v>70</v>
          </cell>
          <cell r="B12" t="str">
            <v>AMERIHOST</v>
          </cell>
        </row>
        <row r="13">
          <cell r="A13">
            <v>80</v>
          </cell>
          <cell r="B13" t="str">
            <v>AMERISUITES</v>
          </cell>
        </row>
        <row r="14">
          <cell r="A14">
            <v>81</v>
          </cell>
          <cell r="B14" t="str">
            <v>SUMNER/AMERISUITE</v>
          </cell>
        </row>
        <row r="15">
          <cell r="A15">
            <v>90</v>
          </cell>
          <cell r="B15" t="str">
            <v>AMFAC</v>
          </cell>
        </row>
        <row r="16">
          <cell r="A16">
            <v>92</v>
          </cell>
          <cell r="B16" t="str">
            <v>ARCANTIS HOTELS</v>
          </cell>
        </row>
        <row r="17">
          <cell r="A17">
            <v>93</v>
          </cell>
          <cell r="B17" t="str">
            <v>ARBORGATE</v>
          </cell>
        </row>
        <row r="18">
          <cell r="A18">
            <v>94</v>
          </cell>
          <cell r="B18" t="str">
            <v>ARISTOS HOTELS</v>
          </cell>
        </row>
        <row r="19">
          <cell r="A19">
            <v>95</v>
          </cell>
          <cell r="B19" t="str">
            <v>ASTON</v>
          </cell>
        </row>
        <row r="20">
          <cell r="A20">
            <v>96</v>
          </cell>
          <cell r="B20" t="str">
            <v>ASHLEY COURTENAY</v>
          </cell>
        </row>
        <row r="21">
          <cell r="A21">
            <v>97</v>
          </cell>
          <cell r="B21" t="str">
            <v>HOTEL DES GOUVERNEURS</v>
          </cell>
        </row>
        <row r="22">
          <cell r="A22">
            <v>98</v>
          </cell>
          <cell r="B22" t="str">
            <v>WANDLYN INN</v>
          </cell>
        </row>
        <row r="23">
          <cell r="A23">
            <v>99</v>
          </cell>
          <cell r="B23" t="str">
            <v>ASTRON HOTELS</v>
          </cell>
        </row>
        <row r="24">
          <cell r="A24">
            <v>100</v>
          </cell>
          <cell r="B24" t="str">
            <v>ENVOY INN</v>
          </cell>
        </row>
        <row r="25">
          <cell r="A25">
            <v>101</v>
          </cell>
          <cell r="B25" t="str">
            <v>ASHOK</v>
          </cell>
        </row>
        <row r="26">
          <cell r="A26">
            <v>102</v>
          </cell>
          <cell r="B26" t="str">
            <v>AUSTRALIS</v>
          </cell>
        </row>
        <row r="27">
          <cell r="A27">
            <v>103</v>
          </cell>
          <cell r="B27" t="str">
            <v>BALLADINS</v>
          </cell>
        </row>
        <row r="28">
          <cell r="A28">
            <v>105</v>
          </cell>
          <cell r="B28" t="str">
            <v>BALLY'S</v>
          </cell>
        </row>
        <row r="29">
          <cell r="A29">
            <v>108</v>
          </cell>
          <cell r="B29" t="str">
            <v>BAYVIEW INT'L HOTELS &amp; RESORTS</v>
          </cell>
        </row>
        <row r="30">
          <cell r="A30">
            <v>110</v>
          </cell>
          <cell r="B30" t="str">
            <v>BEST INNS</v>
          </cell>
        </row>
        <row r="31">
          <cell r="A31">
            <v>112</v>
          </cell>
          <cell r="B31" t="str">
            <v>BARCELO HOTELS</v>
          </cell>
        </row>
        <row r="32">
          <cell r="A32">
            <v>113</v>
          </cell>
          <cell r="B32" t="str">
            <v>BEST HOTELS</v>
          </cell>
        </row>
        <row r="33">
          <cell r="A33">
            <v>120</v>
          </cell>
          <cell r="B33" t="str">
            <v>BEST VALUE</v>
          </cell>
        </row>
        <row r="34">
          <cell r="A34">
            <v>130</v>
          </cell>
          <cell r="B34" t="str">
            <v>BEST WESTERN</v>
          </cell>
        </row>
        <row r="35">
          <cell r="A35">
            <v>132</v>
          </cell>
          <cell r="B35" t="str">
            <v>BETA HOTELS</v>
          </cell>
        </row>
        <row r="36">
          <cell r="A36">
            <v>140</v>
          </cell>
          <cell r="B36" t="str">
            <v>BILDERBERG</v>
          </cell>
        </row>
        <row r="37">
          <cell r="A37">
            <v>145</v>
          </cell>
          <cell r="B37" t="str">
            <v>BLEU MARINE</v>
          </cell>
        </row>
        <row r="38">
          <cell r="A38">
            <v>146</v>
          </cell>
          <cell r="B38" t="str">
            <v>BRADFORD HOMESUITES</v>
          </cell>
        </row>
        <row r="39">
          <cell r="A39">
            <v>147</v>
          </cell>
          <cell r="B39" t="str">
            <v>BONSAI HOTELS</v>
          </cell>
        </row>
        <row r="40">
          <cell r="A40">
            <v>150</v>
          </cell>
          <cell r="B40" t="str">
            <v>BUDGET HOST INN</v>
          </cell>
        </row>
        <row r="41">
          <cell r="A41">
            <v>160</v>
          </cell>
          <cell r="B41" t="str">
            <v>BUDGET INN</v>
          </cell>
        </row>
        <row r="42">
          <cell r="A42">
            <v>180</v>
          </cell>
          <cell r="B42" t="str">
            <v>BAYMONT INNS &amp; SUITES</v>
          </cell>
        </row>
        <row r="43">
          <cell r="A43">
            <v>185</v>
          </cell>
          <cell r="B43" t="str">
            <v>BOSCOLO HOTELS</v>
          </cell>
        </row>
        <row r="44">
          <cell r="A44">
            <v>190</v>
          </cell>
          <cell r="B44" t="str">
            <v>CAESARS</v>
          </cell>
        </row>
        <row r="45">
          <cell r="A45">
            <v>195</v>
          </cell>
          <cell r="B45" t="str">
            <v>CANDLEWOOD HOTEL</v>
          </cell>
        </row>
        <row r="46">
          <cell r="A46">
            <v>200</v>
          </cell>
          <cell r="B46" t="str">
            <v>CABOT LODGE</v>
          </cell>
        </row>
        <row r="47">
          <cell r="A47">
            <v>205</v>
          </cell>
          <cell r="B47" t="str">
            <v>CAMINO REAL</v>
          </cell>
        </row>
        <row r="48">
          <cell r="A48">
            <v>208</v>
          </cell>
          <cell r="B48" t="str">
            <v>CAMPANILE HOTEL</v>
          </cell>
        </row>
        <row r="49">
          <cell r="A49">
            <v>215</v>
          </cell>
          <cell r="B49" t="str">
            <v>CARLTON LODGE</v>
          </cell>
        </row>
        <row r="50">
          <cell r="A50">
            <v>217</v>
          </cell>
          <cell r="B50" t="str">
            <v>EUROPEAN CASTLE HOTELS</v>
          </cell>
        </row>
        <row r="51">
          <cell r="A51">
            <v>220</v>
          </cell>
          <cell r="B51" t="str">
            <v>CAVANAUGH'S</v>
          </cell>
        </row>
        <row r="52">
          <cell r="A52">
            <v>223</v>
          </cell>
          <cell r="B52" t="str">
            <v>CENTRA</v>
          </cell>
        </row>
        <row r="53">
          <cell r="A53">
            <v>225</v>
          </cell>
          <cell r="B53" t="str">
            <v>THE CHIFLEY</v>
          </cell>
        </row>
        <row r="54">
          <cell r="A54">
            <v>226</v>
          </cell>
          <cell r="B54" t="str">
            <v>CITY LODGE HOTELS GROUP</v>
          </cell>
        </row>
        <row r="55">
          <cell r="A55">
            <v>230</v>
          </cell>
          <cell r="B55" t="str">
            <v>CLARION</v>
          </cell>
        </row>
        <row r="56">
          <cell r="A56">
            <v>235</v>
          </cell>
          <cell r="B56" t="str">
            <v>CLUB MED</v>
          </cell>
        </row>
        <row r="57">
          <cell r="A57">
            <v>240</v>
          </cell>
          <cell r="B57" t="str">
            <v>CLUBHOUSE INNS OF AMERICA</v>
          </cell>
        </row>
        <row r="58">
          <cell r="A58">
            <v>265</v>
          </cell>
          <cell r="B58" t="str">
            <v>COAST</v>
          </cell>
        </row>
        <row r="59">
          <cell r="A59">
            <v>270</v>
          </cell>
          <cell r="B59" t="str">
            <v>COLONY</v>
          </cell>
        </row>
        <row r="60">
          <cell r="A60">
            <v>280</v>
          </cell>
          <cell r="B60" t="str">
            <v>COMFORT INN</v>
          </cell>
        </row>
        <row r="61">
          <cell r="A61">
            <v>282</v>
          </cell>
          <cell r="B61" t="str">
            <v>COMFORT SUITES</v>
          </cell>
        </row>
        <row r="62">
          <cell r="A62">
            <v>285</v>
          </cell>
          <cell r="B62" t="str">
            <v>CANADIAN PACIFIC</v>
          </cell>
        </row>
        <row r="63">
          <cell r="A63">
            <v>287</v>
          </cell>
          <cell r="B63" t="str">
            <v>CONCORDE HOTELS</v>
          </cell>
        </row>
        <row r="64">
          <cell r="A64">
            <v>290</v>
          </cell>
          <cell r="B64" t="str">
            <v>DOUBLETREE CLUB</v>
          </cell>
        </row>
        <row r="65">
          <cell r="A65">
            <v>291</v>
          </cell>
          <cell r="B65" t="str">
            <v>CLUB HOTEL BY DT</v>
          </cell>
        </row>
        <row r="66">
          <cell r="A66">
            <v>292</v>
          </cell>
          <cell r="B66" t="str">
            <v>CONFORTEL HOTELES</v>
          </cell>
        </row>
        <row r="67">
          <cell r="A67">
            <v>293</v>
          </cell>
          <cell r="B67" t="str">
            <v>CONLEY INN</v>
          </cell>
        </row>
        <row r="68">
          <cell r="A68">
            <v>295</v>
          </cell>
          <cell r="B68" t="str">
            <v>CONRAD</v>
          </cell>
        </row>
        <row r="69">
          <cell r="A69">
            <v>298</v>
          </cell>
          <cell r="B69" t="str">
            <v>CORINTHIA</v>
          </cell>
        </row>
        <row r="70">
          <cell r="A70">
            <v>300</v>
          </cell>
          <cell r="B70" t="str">
            <v>CONTINENTAL PLAZA</v>
          </cell>
        </row>
        <row r="71">
          <cell r="A71">
            <v>301</v>
          </cell>
          <cell r="B71" t="str">
            <v>CORALIA</v>
          </cell>
        </row>
        <row r="72">
          <cell r="A72">
            <v>302</v>
          </cell>
          <cell r="B72" t="str">
            <v>COPTHORNE HOTELS</v>
          </cell>
        </row>
        <row r="73">
          <cell r="A73">
            <v>303</v>
          </cell>
          <cell r="B73" t="str">
            <v>COUNTRY HOTELS</v>
          </cell>
        </row>
        <row r="74">
          <cell r="A74">
            <v>305</v>
          </cell>
          <cell r="B74" t="str">
            <v>COUNTRY HEARTH INN</v>
          </cell>
        </row>
        <row r="75">
          <cell r="A75">
            <v>306</v>
          </cell>
          <cell r="B75" t="str">
            <v>COUNTRY INN &amp; SUITES</v>
          </cell>
        </row>
        <row r="76">
          <cell r="A76">
            <v>307</v>
          </cell>
          <cell r="B76" t="str">
            <v>COUNTRY COMFORT</v>
          </cell>
        </row>
        <row r="77">
          <cell r="A77">
            <v>308</v>
          </cell>
          <cell r="B77" t="str">
            <v>COURTYARD</v>
          </cell>
        </row>
        <row r="78">
          <cell r="A78">
            <v>309</v>
          </cell>
          <cell r="B78" t="str">
            <v>GARDEN INN</v>
          </cell>
        </row>
        <row r="79">
          <cell r="A79">
            <v>310</v>
          </cell>
          <cell r="B79" t="str">
            <v>CRICKET INN</v>
          </cell>
        </row>
        <row r="80">
          <cell r="A80">
            <v>315</v>
          </cell>
          <cell r="B80" t="str">
            <v>CROSS COUNTRY INN</v>
          </cell>
        </row>
        <row r="81">
          <cell r="A81">
            <v>317</v>
          </cell>
          <cell r="B81" t="str">
            <v>CROSSLAND SUITES</v>
          </cell>
        </row>
        <row r="82">
          <cell r="A82">
            <v>330</v>
          </cell>
          <cell r="B82" t="str">
            <v>CROWNE PLAZA</v>
          </cell>
        </row>
        <row r="83">
          <cell r="A83">
            <v>333</v>
          </cell>
          <cell r="B83" t="str">
            <v>CUMULUS</v>
          </cell>
        </row>
        <row r="84">
          <cell r="A84">
            <v>335</v>
          </cell>
          <cell r="B84" t="str">
            <v>CYPRESS INN</v>
          </cell>
        </row>
        <row r="85">
          <cell r="A85">
            <v>337</v>
          </cell>
          <cell r="B85" t="str">
            <v>DAI-ICHI</v>
          </cell>
        </row>
        <row r="86">
          <cell r="A86">
            <v>338</v>
          </cell>
          <cell r="B86" t="str">
            <v>DAN HOTELS</v>
          </cell>
        </row>
        <row r="87">
          <cell r="A87">
            <v>340</v>
          </cell>
          <cell r="B87" t="str">
            <v>DAVIS BROS MOTOR LODGE</v>
          </cell>
        </row>
        <row r="88">
          <cell r="A88">
            <v>350</v>
          </cell>
          <cell r="B88" t="str">
            <v>DAYS INN</v>
          </cell>
        </row>
        <row r="89">
          <cell r="A89">
            <v>355</v>
          </cell>
          <cell r="B89" t="str">
            <v>DELTA HOTELS</v>
          </cell>
        </row>
        <row r="90">
          <cell r="A90">
            <v>357</v>
          </cell>
          <cell r="B90" t="str">
            <v>DELFIN HOTELS</v>
          </cell>
        </row>
        <row r="91">
          <cell r="A91">
            <v>358</v>
          </cell>
          <cell r="B91" t="str">
            <v>DE VERE HOTELS</v>
          </cell>
        </row>
        <row r="92">
          <cell r="A92">
            <v>360</v>
          </cell>
          <cell r="B92" t="str">
            <v>DILLON INN</v>
          </cell>
        </row>
        <row r="93">
          <cell r="A93">
            <v>370</v>
          </cell>
          <cell r="B93" t="str">
            <v>DORAL</v>
          </cell>
        </row>
        <row r="94">
          <cell r="A94">
            <v>375</v>
          </cell>
          <cell r="B94" t="str">
            <v>DORINT HOTELS</v>
          </cell>
        </row>
        <row r="95">
          <cell r="A95">
            <v>380</v>
          </cell>
          <cell r="B95" t="str">
            <v>DOUBLETREE HOTELS</v>
          </cell>
        </row>
        <row r="96">
          <cell r="A96">
            <v>390</v>
          </cell>
          <cell r="B96" t="str">
            <v>DOWNTOWNER MOTOR INN</v>
          </cell>
        </row>
        <row r="97">
          <cell r="A97">
            <v>400</v>
          </cell>
          <cell r="B97" t="str">
            <v>DRURY INN</v>
          </cell>
        </row>
        <row r="98">
          <cell r="A98">
            <v>405</v>
          </cell>
          <cell r="B98" t="str">
            <v>DUNFEY</v>
          </cell>
        </row>
        <row r="99">
          <cell r="A99">
            <v>407</v>
          </cell>
          <cell r="B99" t="str">
            <v>THE DUSIT THANI GROUP</v>
          </cell>
        </row>
        <row r="100">
          <cell r="A100">
            <v>410</v>
          </cell>
          <cell r="B100" t="str">
            <v>E-Z 8</v>
          </cell>
        </row>
        <row r="101">
          <cell r="A101">
            <v>440</v>
          </cell>
          <cell r="B101" t="str">
            <v>ECONO LODGE</v>
          </cell>
        </row>
        <row r="102">
          <cell r="A102">
            <v>445</v>
          </cell>
          <cell r="B102" t="str">
            <v>INNS OF AMERICA</v>
          </cell>
        </row>
        <row r="103">
          <cell r="A103">
            <v>448</v>
          </cell>
          <cell r="B103" t="str">
            <v>ELYSEES WEST HOTELS</v>
          </cell>
        </row>
        <row r="104">
          <cell r="A104">
            <v>450</v>
          </cell>
          <cell r="B104" t="str">
            <v>EMBASSY SUITES</v>
          </cell>
        </row>
        <row r="105">
          <cell r="A105">
            <v>455</v>
          </cell>
          <cell r="B105" t="str">
            <v>EMBASSY VACATION RESORTS</v>
          </cell>
        </row>
        <row r="106">
          <cell r="A106">
            <v>459</v>
          </cell>
          <cell r="B106" t="str">
            <v>HOTEL EQUATORIAL</v>
          </cell>
        </row>
        <row r="107">
          <cell r="A107">
            <v>465</v>
          </cell>
          <cell r="B107" t="str">
            <v>ETAP HOTEL</v>
          </cell>
        </row>
        <row r="108">
          <cell r="A108">
            <v>480</v>
          </cell>
          <cell r="B108" t="str">
            <v>EXEL INN</v>
          </cell>
        </row>
        <row r="109">
          <cell r="A109">
            <v>483</v>
          </cell>
          <cell r="B109" t="str">
            <v>EXTENDED STAY AMERICA</v>
          </cell>
        </row>
        <row r="110">
          <cell r="A110">
            <v>485</v>
          </cell>
          <cell r="B110" t="str">
            <v>FAIRFIELD INN</v>
          </cell>
        </row>
        <row r="111">
          <cell r="A111">
            <v>490</v>
          </cell>
          <cell r="B111" t="str">
            <v>FAIRMONT HOTEL</v>
          </cell>
        </row>
        <row r="112">
          <cell r="A112">
            <v>495</v>
          </cell>
          <cell r="B112" t="str">
            <v>FASTHOTEL</v>
          </cell>
        </row>
        <row r="113">
          <cell r="A113">
            <v>498</v>
          </cell>
          <cell r="B113" t="str">
            <v>FAMILIA HOTELS</v>
          </cell>
        </row>
        <row r="114">
          <cell r="A114">
            <v>500</v>
          </cell>
          <cell r="B114" t="str">
            <v>FAMILY INNS OF AMERICA</v>
          </cell>
        </row>
        <row r="115">
          <cell r="A115">
            <v>501</v>
          </cell>
          <cell r="B115" t="str">
            <v>FIESTA HOTELS</v>
          </cell>
        </row>
        <row r="116">
          <cell r="A116">
            <v>502</v>
          </cell>
          <cell r="B116" t="str">
            <v>FIESTA AMERICANA</v>
          </cell>
        </row>
        <row r="117">
          <cell r="A117">
            <v>503</v>
          </cell>
          <cell r="B117" t="str">
            <v>FIESTA INN</v>
          </cell>
        </row>
        <row r="118">
          <cell r="A118">
            <v>504</v>
          </cell>
          <cell r="B118" t="str">
            <v>FIRST</v>
          </cell>
        </row>
        <row r="119">
          <cell r="A119">
            <v>505</v>
          </cell>
          <cell r="B119" t="str">
            <v>FLAG INNS</v>
          </cell>
        </row>
        <row r="120">
          <cell r="A120">
            <v>506</v>
          </cell>
          <cell r="B120" t="str">
            <v>FORTE</v>
          </cell>
        </row>
        <row r="121">
          <cell r="A121">
            <v>507</v>
          </cell>
          <cell r="B121" t="str">
            <v>FORUM HOTELS</v>
          </cell>
        </row>
        <row r="122">
          <cell r="A122">
            <v>508</v>
          </cell>
          <cell r="B122" t="str">
            <v>FOUR POINTS</v>
          </cell>
        </row>
        <row r="123">
          <cell r="A123">
            <v>510</v>
          </cell>
          <cell r="B123" t="str">
            <v>FOUR SEASONS</v>
          </cell>
        </row>
        <row r="124">
          <cell r="A124">
            <v>515</v>
          </cell>
          <cell r="B124" t="str">
            <v>FLAIR HOTELS</v>
          </cell>
        </row>
        <row r="125">
          <cell r="A125">
            <v>520</v>
          </cell>
          <cell r="B125" t="str">
            <v>FRIENDSHIP INN</v>
          </cell>
        </row>
        <row r="126">
          <cell r="A126">
            <v>523</v>
          </cell>
          <cell r="B126" t="str">
            <v>FRANTOUR</v>
          </cell>
        </row>
        <row r="127">
          <cell r="A127">
            <v>524</v>
          </cell>
          <cell r="B127" t="str">
            <v>G.S.M. HOTELES</v>
          </cell>
        </row>
        <row r="128">
          <cell r="A128">
            <v>525</v>
          </cell>
          <cell r="B128" t="str">
            <v>GARDEN PLAZA</v>
          </cell>
        </row>
        <row r="129">
          <cell r="A129">
            <v>530</v>
          </cell>
          <cell r="B129" t="str">
            <v>GEORGE WASHINGTON LODGE</v>
          </cell>
        </row>
        <row r="130">
          <cell r="A130">
            <v>542</v>
          </cell>
          <cell r="B130" t="str">
            <v>GOLDEN CHAIN MOTOR INNS LTD</v>
          </cell>
        </row>
        <row r="131">
          <cell r="A131">
            <v>545</v>
          </cell>
          <cell r="B131" t="str">
            <v>GOLDEN TULIP</v>
          </cell>
        </row>
        <row r="132">
          <cell r="A132">
            <v>548</v>
          </cell>
          <cell r="B132" t="str">
            <v>GOOD NITE INN</v>
          </cell>
        </row>
        <row r="133">
          <cell r="A133">
            <v>550</v>
          </cell>
          <cell r="B133" t="str">
            <v>GOVERNORS INN</v>
          </cell>
        </row>
        <row r="134">
          <cell r="A134">
            <v>560</v>
          </cell>
          <cell r="B134" t="str">
            <v>GREAT WESTERN</v>
          </cell>
        </row>
        <row r="135">
          <cell r="A135">
            <v>565</v>
          </cell>
          <cell r="B135" t="str">
            <v>GRECOTEL SA</v>
          </cell>
        </row>
        <row r="136">
          <cell r="A136">
            <v>575</v>
          </cell>
          <cell r="B136" t="str">
            <v>GUESTHOUSE INNS</v>
          </cell>
        </row>
        <row r="137">
          <cell r="A137">
            <v>580</v>
          </cell>
          <cell r="B137" t="str">
            <v>DOUBLETREE GUEST STE</v>
          </cell>
        </row>
        <row r="138">
          <cell r="A138">
            <v>588</v>
          </cell>
          <cell r="B138" t="str">
            <v>H10 HOTELS</v>
          </cell>
        </row>
        <row r="139">
          <cell r="A139">
            <v>590</v>
          </cell>
          <cell r="B139" t="str">
            <v>HA' PENNY</v>
          </cell>
        </row>
        <row r="140">
          <cell r="A140">
            <v>610</v>
          </cell>
          <cell r="B140" t="str">
            <v>HAMPTON INN</v>
          </cell>
        </row>
        <row r="141">
          <cell r="A141">
            <v>611</v>
          </cell>
          <cell r="B141" t="str">
            <v>HAMPTON INN SUITES</v>
          </cell>
        </row>
        <row r="142">
          <cell r="A142">
            <v>620</v>
          </cell>
          <cell r="B142" t="str">
            <v>HANKYU HOTEL CHAIN</v>
          </cell>
        </row>
        <row r="143">
          <cell r="A143">
            <v>630</v>
          </cell>
          <cell r="B143" t="str">
            <v>HARLEY HOTEL</v>
          </cell>
        </row>
        <row r="144">
          <cell r="A144">
            <v>640</v>
          </cell>
          <cell r="B144" t="str">
            <v>HARRAH'S</v>
          </cell>
        </row>
        <row r="145">
          <cell r="A145">
            <v>642</v>
          </cell>
          <cell r="B145" t="str">
            <v>HARVEY HOTEL</v>
          </cell>
        </row>
        <row r="146">
          <cell r="A146">
            <v>643</v>
          </cell>
          <cell r="B146" t="str">
            <v>HASTING HOTELS</v>
          </cell>
        </row>
        <row r="147">
          <cell r="A147">
            <v>644</v>
          </cell>
          <cell r="B147" t="str">
            <v>HAWTHORN SUITES</v>
          </cell>
        </row>
        <row r="148">
          <cell r="A148">
            <v>645</v>
          </cell>
          <cell r="B148" t="str">
            <v>HELMSLEY HOTEL</v>
          </cell>
        </row>
        <row r="149">
          <cell r="A149">
            <v>646</v>
          </cell>
          <cell r="B149" t="str">
            <v>HAWTHORN INN &amp; SUITES</v>
          </cell>
        </row>
        <row r="150">
          <cell r="A150">
            <v>647</v>
          </cell>
          <cell r="B150" t="str">
            <v>HEARTLAND</v>
          </cell>
        </row>
        <row r="151">
          <cell r="A151">
            <v>648</v>
          </cell>
          <cell r="B151" t="str">
            <v>HAWTHORN SUITES LTD</v>
          </cell>
        </row>
        <row r="152">
          <cell r="A152">
            <v>660</v>
          </cell>
          <cell r="B152" t="str">
            <v>HESPERIA HOTELES</v>
          </cell>
        </row>
        <row r="153">
          <cell r="A153">
            <v>670</v>
          </cell>
          <cell r="B153" t="str">
            <v>HILTON</v>
          </cell>
        </row>
        <row r="154">
          <cell r="A154">
            <v>672</v>
          </cell>
          <cell r="B154" t="str">
            <v>HILTON EXCLUSIONS</v>
          </cell>
        </row>
        <row r="155">
          <cell r="A155">
            <v>673</v>
          </cell>
          <cell r="B155" t="str">
            <v>HILTON GAMING</v>
          </cell>
        </row>
        <row r="156">
          <cell r="A156">
            <v>675</v>
          </cell>
          <cell r="B156" t="str">
            <v>HILTON INN</v>
          </cell>
        </row>
        <row r="157">
          <cell r="A157">
            <v>678</v>
          </cell>
          <cell r="B157" t="str">
            <v>HOWARD JOHNSON EXPRESS INN</v>
          </cell>
        </row>
        <row r="158">
          <cell r="A158">
            <v>680</v>
          </cell>
          <cell r="B158" t="str">
            <v>HOLIDAY INN</v>
          </cell>
        </row>
        <row r="159">
          <cell r="A159">
            <v>681</v>
          </cell>
          <cell r="B159" t="str">
            <v>HOLIDAY INN SELECT</v>
          </cell>
        </row>
        <row r="160">
          <cell r="A160">
            <v>682</v>
          </cell>
          <cell r="B160" t="str">
            <v>HOLIDAY INN GARDEN COURT</v>
          </cell>
        </row>
        <row r="161">
          <cell r="A161">
            <v>683</v>
          </cell>
          <cell r="B161" t="str">
            <v>HOLIDAY INN EXPRESS</v>
          </cell>
        </row>
        <row r="162">
          <cell r="A162">
            <v>684</v>
          </cell>
          <cell r="B162" t="str">
            <v>HOMETOWN INN</v>
          </cell>
        </row>
        <row r="163">
          <cell r="A163">
            <v>685</v>
          </cell>
          <cell r="B163" t="str">
            <v>HOMEWOOD SUITES</v>
          </cell>
        </row>
        <row r="164">
          <cell r="A164">
            <v>686</v>
          </cell>
          <cell r="B164" t="str">
            <v>HOMEGATE</v>
          </cell>
        </row>
        <row r="165">
          <cell r="A165">
            <v>687</v>
          </cell>
          <cell r="B165" t="str">
            <v>HOMESTEAD STUDIO SUITES</v>
          </cell>
        </row>
        <row r="166">
          <cell r="A166">
            <v>689</v>
          </cell>
          <cell r="B166" t="str">
            <v>HOTEL CLARINE</v>
          </cell>
        </row>
        <row r="167">
          <cell r="A167">
            <v>690</v>
          </cell>
          <cell r="B167" t="str">
            <v>HOTEL CLIMAT</v>
          </cell>
        </row>
        <row r="168">
          <cell r="A168">
            <v>692</v>
          </cell>
          <cell r="B168" t="str">
            <v>HOTEL EDDA</v>
          </cell>
        </row>
        <row r="169">
          <cell r="A169">
            <v>693</v>
          </cell>
          <cell r="B169" t="str">
            <v>HOTEL FORMULE 1</v>
          </cell>
        </row>
        <row r="170">
          <cell r="A170">
            <v>694</v>
          </cell>
          <cell r="B170" t="str">
            <v>HOTEL GRAND</v>
          </cell>
        </row>
        <row r="171">
          <cell r="A171">
            <v>695</v>
          </cell>
          <cell r="B171" t="str">
            <v>HOTEIS OTHON</v>
          </cell>
        </row>
        <row r="172">
          <cell r="A172">
            <v>696</v>
          </cell>
          <cell r="B172" t="str">
            <v>HOTEL HUSA</v>
          </cell>
        </row>
        <row r="173">
          <cell r="A173">
            <v>700</v>
          </cell>
          <cell r="B173" t="str">
            <v>HOTEL IBIS</v>
          </cell>
        </row>
        <row r="174">
          <cell r="A174">
            <v>705</v>
          </cell>
          <cell r="B174" t="str">
            <v>HILTON INTERNATIONAL</v>
          </cell>
        </row>
        <row r="175">
          <cell r="A175">
            <v>710</v>
          </cell>
          <cell r="B175" t="str">
            <v>HOTEL LUXEFORD</v>
          </cell>
        </row>
        <row r="176">
          <cell r="A176">
            <v>715</v>
          </cell>
          <cell r="B176" t="str">
            <v>HILTON NATIONAL</v>
          </cell>
        </row>
        <row r="177">
          <cell r="A177">
            <v>720</v>
          </cell>
          <cell r="B177" t="str">
            <v>HOTEL NOVOTEL</v>
          </cell>
        </row>
        <row r="178">
          <cell r="A178">
            <v>724</v>
          </cell>
          <cell r="B178" t="str">
            <v>HOTEL OCCIDENTAL</v>
          </cell>
        </row>
        <row r="179">
          <cell r="A179">
            <v>727</v>
          </cell>
          <cell r="B179" t="str">
            <v>HOTEL PREMIERE CLASSE</v>
          </cell>
        </row>
        <row r="180">
          <cell r="A180">
            <v>730</v>
          </cell>
          <cell r="B180" t="str">
            <v>HOTEL SOFITEL</v>
          </cell>
        </row>
        <row r="181">
          <cell r="A181">
            <v>732</v>
          </cell>
          <cell r="B181" t="str">
            <v>HOTEL SUNROUTE</v>
          </cell>
        </row>
        <row r="182">
          <cell r="A182">
            <v>735</v>
          </cell>
          <cell r="B182" t="str">
            <v>HOTELES VISTA</v>
          </cell>
        </row>
        <row r="183">
          <cell r="A183">
            <v>738</v>
          </cell>
          <cell r="B183" t="str">
            <v>HOTUSA HOTELS</v>
          </cell>
        </row>
        <row r="184">
          <cell r="A184">
            <v>740</v>
          </cell>
          <cell r="B184" t="str">
            <v>HOWARD JOHNSON</v>
          </cell>
        </row>
        <row r="185">
          <cell r="A185">
            <v>750</v>
          </cell>
          <cell r="B185" t="str">
            <v>HUNGARHOTELS</v>
          </cell>
        </row>
        <row r="186">
          <cell r="A186">
            <v>752</v>
          </cell>
          <cell r="B186" t="str">
            <v>HUNGUEST</v>
          </cell>
        </row>
        <row r="187">
          <cell r="A187">
            <v>760</v>
          </cell>
          <cell r="B187" t="str">
            <v>HYATT</v>
          </cell>
        </row>
        <row r="188">
          <cell r="A188">
            <v>764</v>
          </cell>
          <cell r="B188" t="str">
            <v>IBEROSTAR</v>
          </cell>
        </row>
        <row r="189">
          <cell r="A189">
            <v>766</v>
          </cell>
          <cell r="B189" t="str">
            <v>ILOTEL</v>
          </cell>
        </row>
        <row r="190">
          <cell r="A190">
            <v>768</v>
          </cell>
          <cell r="B190" t="str">
            <v>IMPERIAL HOTELS GROUP</v>
          </cell>
        </row>
        <row r="191">
          <cell r="A191">
            <v>770</v>
          </cell>
          <cell r="B191" t="str">
            <v>IMPERIAL INNS</v>
          </cell>
        </row>
        <row r="192">
          <cell r="A192">
            <v>780</v>
          </cell>
          <cell r="B192" t="str">
            <v>INNKEEPER</v>
          </cell>
        </row>
        <row r="193">
          <cell r="A193">
            <v>785</v>
          </cell>
          <cell r="B193" t="str">
            <v>INNCAL</v>
          </cell>
        </row>
        <row r="194">
          <cell r="A194">
            <v>790</v>
          </cell>
          <cell r="B194" t="str">
            <v>INNSUITES HOTELS</v>
          </cell>
        </row>
        <row r="195">
          <cell r="A195">
            <v>795</v>
          </cell>
          <cell r="B195" t="str">
            <v>INN TOWN SUITES</v>
          </cell>
        </row>
        <row r="196">
          <cell r="A196">
            <v>798</v>
          </cell>
          <cell r="B196" t="str">
            <v>INTERCITYHOTEL</v>
          </cell>
        </row>
        <row r="197">
          <cell r="A197">
            <v>800</v>
          </cell>
          <cell r="B197" t="str">
            <v>INTER-CONTINENTAL</v>
          </cell>
        </row>
        <row r="198">
          <cell r="A198">
            <v>802</v>
          </cell>
          <cell r="B198" t="str">
            <v>INTER DAN HOTELS</v>
          </cell>
        </row>
        <row r="199">
          <cell r="A199">
            <v>805</v>
          </cell>
          <cell r="B199" t="str">
            <v>INTER HOTEL</v>
          </cell>
        </row>
        <row r="200">
          <cell r="A200">
            <v>810</v>
          </cell>
          <cell r="B200" t="str">
            <v>INTERSTATE INN</v>
          </cell>
        </row>
        <row r="201">
          <cell r="A201">
            <v>815</v>
          </cell>
          <cell r="B201" t="str">
            <v>ISROTEL</v>
          </cell>
        </row>
        <row r="202">
          <cell r="A202">
            <v>819</v>
          </cell>
          <cell r="B202" t="str">
            <v>JARDIN</v>
          </cell>
        </row>
        <row r="203">
          <cell r="A203">
            <v>821</v>
          </cell>
          <cell r="B203" t="str">
            <v>JARVIS HOTELS</v>
          </cell>
        </row>
        <row r="204">
          <cell r="A204">
            <v>822</v>
          </cell>
          <cell r="B204" t="str">
            <v>JAMESON INN</v>
          </cell>
        </row>
        <row r="205">
          <cell r="A205">
            <v>823</v>
          </cell>
          <cell r="B205" t="str">
            <v>JOLLY HOTELS</v>
          </cell>
        </row>
        <row r="206">
          <cell r="A206">
            <v>824</v>
          </cell>
          <cell r="B206" t="str">
            <v>JOURNEY'S END HOTEL</v>
          </cell>
        </row>
        <row r="207">
          <cell r="A207">
            <v>825</v>
          </cell>
          <cell r="B207" t="str">
            <v>JOURNEY'S END MOTEL</v>
          </cell>
        </row>
        <row r="208">
          <cell r="A208">
            <v>826</v>
          </cell>
          <cell r="B208" t="str">
            <v>JOURNEY'S END SUITES</v>
          </cell>
        </row>
        <row r="209">
          <cell r="A209">
            <v>828</v>
          </cell>
          <cell r="B209" t="str">
            <v>JURYS HOTELS</v>
          </cell>
        </row>
        <row r="210">
          <cell r="A210">
            <v>829</v>
          </cell>
          <cell r="B210" t="str">
            <v>KAROS HOTELS LTD.</v>
          </cell>
        </row>
        <row r="211">
          <cell r="A211">
            <v>830</v>
          </cell>
          <cell r="B211" t="str">
            <v>KEDDY'S MOTOR INN</v>
          </cell>
        </row>
        <row r="212">
          <cell r="A212">
            <v>832</v>
          </cell>
          <cell r="B212" t="str">
            <v>KEY WEST INN</v>
          </cell>
        </row>
        <row r="213">
          <cell r="A213">
            <v>834</v>
          </cell>
          <cell r="B213" t="str">
            <v>KEY WEST INNS &amp; SUITES</v>
          </cell>
        </row>
        <row r="214">
          <cell r="A214">
            <v>835</v>
          </cell>
          <cell r="B214" t="str">
            <v>KINGS INN</v>
          </cell>
        </row>
        <row r="215">
          <cell r="A215">
            <v>836</v>
          </cell>
          <cell r="B215" t="str">
            <v>KIBBUTZ HOTELS</v>
          </cell>
        </row>
        <row r="216">
          <cell r="A216">
            <v>840</v>
          </cell>
          <cell r="B216" t="str">
            <v>KNIGHTS INN</v>
          </cell>
        </row>
        <row r="217">
          <cell r="A217">
            <v>850</v>
          </cell>
          <cell r="B217" t="str">
            <v>KOALA INN</v>
          </cell>
        </row>
        <row r="218">
          <cell r="A218">
            <v>855</v>
          </cell>
          <cell r="B218" t="str">
            <v>KRYSTAL</v>
          </cell>
        </row>
        <row r="219">
          <cell r="A219">
            <v>860</v>
          </cell>
          <cell r="B219" t="str">
            <v>L-K MOTEL</v>
          </cell>
        </row>
        <row r="220">
          <cell r="A220">
            <v>880</v>
          </cell>
          <cell r="B220" t="str">
            <v>LA QUINTA</v>
          </cell>
        </row>
        <row r="221">
          <cell r="A221">
            <v>885</v>
          </cell>
          <cell r="B221" t="str">
            <v>LEE'S INN OF AMERICA</v>
          </cell>
        </row>
        <row r="222">
          <cell r="A222">
            <v>900</v>
          </cell>
          <cell r="B222" t="str">
            <v>LEXINGTON HOTEL SUITES</v>
          </cell>
        </row>
        <row r="223">
          <cell r="A223">
            <v>908</v>
          </cell>
          <cell r="B223" t="str">
            <v>LIBERTEL</v>
          </cell>
        </row>
        <row r="224">
          <cell r="A224">
            <v>909</v>
          </cell>
          <cell r="B224" t="str">
            <v>LINDNER HOTELS INC.</v>
          </cell>
        </row>
        <row r="225">
          <cell r="A225">
            <v>910</v>
          </cell>
          <cell r="B225" t="str">
            <v>LITTLE AMERICA</v>
          </cell>
        </row>
        <row r="226">
          <cell r="A226">
            <v>930</v>
          </cell>
          <cell r="B226" t="str">
            <v>LOEWS</v>
          </cell>
        </row>
        <row r="227">
          <cell r="A227">
            <v>940</v>
          </cell>
          <cell r="B227" t="str">
            <v>LUXURY BUDGET</v>
          </cell>
        </row>
        <row r="228">
          <cell r="A228">
            <v>945</v>
          </cell>
          <cell r="B228" t="str">
            <v>LUXURY COLLECTION</v>
          </cell>
        </row>
        <row r="229">
          <cell r="A229">
            <v>950</v>
          </cell>
          <cell r="B229" t="str">
            <v>MAEVA</v>
          </cell>
        </row>
        <row r="230">
          <cell r="A230">
            <v>955</v>
          </cell>
          <cell r="B230" t="str">
            <v>MAINSTAY SUITES</v>
          </cell>
        </row>
        <row r="231">
          <cell r="A231">
            <v>963</v>
          </cell>
          <cell r="B231" t="str">
            <v>MALMAISON</v>
          </cell>
        </row>
        <row r="232">
          <cell r="A232">
            <v>970</v>
          </cell>
          <cell r="B232" t="str">
            <v>MANOTEL</v>
          </cell>
        </row>
        <row r="233">
          <cell r="A233">
            <v>972</v>
          </cell>
          <cell r="B233" t="str">
            <v>MARC</v>
          </cell>
        </row>
        <row r="234">
          <cell r="A234">
            <v>985</v>
          </cell>
          <cell r="B234" t="str">
            <v>MARITIM</v>
          </cell>
        </row>
        <row r="235">
          <cell r="A235">
            <v>990</v>
          </cell>
          <cell r="B235" t="str">
            <v>MARRIOTT</v>
          </cell>
        </row>
        <row r="236">
          <cell r="A236">
            <v>991</v>
          </cell>
          <cell r="B236" t="str">
            <v>MARRIOTT INTERNATIONAL</v>
          </cell>
        </row>
        <row r="237">
          <cell r="A237">
            <v>992</v>
          </cell>
          <cell r="B237" t="str">
            <v>MARRIOTT CONFERENCE CENTER</v>
          </cell>
        </row>
        <row r="238">
          <cell r="A238">
            <v>1000</v>
          </cell>
          <cell r="B238" t="str">
            <v>MASTER HOSTS INN</v>
          </cell>
        </row>
        <row r="239">
          <cell r="A239">
            <v>1004</v>
          </cell>
          <cell r="B239" t="str">
            <v>PARADISE HOTELS</v>
          </cell>
        </row>
        <row r="240">
          <cell r="A240">
            <v>1005</v>
          </cell>
          <cell r="B240" t="str">
            <v>MASTERS INN</v>
          </cell>
        </row>
        <row r="241">
          <cell r="A241">
            <v>1010</v>
          </cell>
          <cell r="B241" t="str">
            <v>MCINTOSH MOTOR INN</v>
          </cell>
        </row>
        <row r="242">
          <cell r="A242">
            <v>1013</v>
          </cell>
          <cell r="B242" t="str">
            <v>MEDOTELS</v>
          </cell>
        </row>
        <row r="243">
          <cell r="A243">
            <v>1015</v>
          </cell>
          <cell r="B243" t="str">
            <v>MELIA</v>
          </cell>
        </row>
        <row r="244">
          <cell r="A244">
            <v>1020</v>
          </cell>
          <cell r="B244" t="str">
            <v>LE MERIDIEN</v>
          </cell>
        </row>
        <row r="245">
          <cell r="A245">
            <v>1025</v>
          </cell>
          <cell r="B245" t="str">
            <v>MERCURE HOTELS</v>
          </cell>
        </row>
        <row r="246">
          <cell r="A246">
            <v>1030</v>
          </cell>
          <cell r="B246" t="str">
            <v>MICROTEL INN</v>
          </cell>
        </row>
        <row r="247">
          <cell r="A247">
            <v>1040</v>
          </cell>
          <cell r="B247" t="str">
            <v>MIDWAY MOTOR LODGE</v>
          </cell>
        </row>
        <row r="248">
          <cell r="A248">
            <v>1045</v>
          </cell>
          <cell r="B248" t="str">
            <v>MILLENNIUM HOTELS</v>
          </cell>
        </row>
        <row r="249">
          <cell r="A249">
            <v>1052</v>
          </cell>
          <cell r="B249" t="str">
            <v>MINOTEL INTERNATIONAL</v>
          </cell>
        </row>
        <row r="250">
          <cell r="A250">
            <v>1053</v>
          </cell>
          <cell r="B250" t="str">
            <v>MOAT HOUSE</v>
          </cell>
        </row>
        <row r="251">
          <cell r="A251">
            <v>1055</v>
          </cell>
          <cell r="B251" t="str">
            <v>MOTEL ORLEANS</v>
          </cell>
        </row>
        <row r="252">
          <cell r="A252">
            <v>1060</v>
          </cell>
          <cell r="B252" t="str">
            <v>MOTEL 6</v>
          </cell>
        </row>
        <row r="253">
          <cell r="A253">
            <v>1062</v>
          </cell>
          <cell r="B253" t="str">
            <v>MOUNT CHARLOTTE HOTELS</v>
          </cell>
        </row>
        <row r="254">
          <cell r="A254">
            <v>1064</v>
          </cell>
          <cell r="B254" t="str">
            <v>MOEVENPICK</v>
          </cell>
        </row>
        <row r="255">
          <cell r="A255">
            <v>1065</v>
          </cell>
          <cell r="B255" t="str">
            <v>NATIONAL 9</v>
          </cell>
        </row>
        <row r="256">
          <cell r="A256">
            <v>1070</v>
          </cell>
          <cell r="B256" t="str">
            <v>NENDELS</v>
          </cell>
        </row>
        <row r="257">
          <cell r="A257">
            <v>1071</v>
          </cell>
          <cell r="B257" t="str">
            <v>NEW HOTEL</v>
          </cell>
        </row>
        <row r="258">
          <cell r="A258">
            <v>1072</v>
          </cell>
          <cell r="B258" t="str">
            <v>NEW OTANI HOTELS, THE</v>
          </cell>
        </row>
        <row r="259">
          <cell r="A259">
            <v>1073</v>
          </cell>
          <cell r="B259" t="str">
            <v>NEW WORLD</v>
          </cell>
        </row>
        <row r="260">
          <cell r="A260">
            <v>1074</v>
          </cell>
          <cell r="B260" t="str">
            <v>NH HOTELS</v>
          </cell>
        </row>
        <row r="261">
          <cell r="A261">
            <v>1075</v>
          </cell>
          <cell r="B261" t="str">
            <v>NIKKO</v>
          </cell>
        </row>
        <row r="262">
          <cell r="A262">
            <v>1076</v>
          </cell>
          <cell r="B262" t="str">
            <v>NORLANDIA HOTELLENE</v>
          </cell>
        </row>
        <row r="263">
          <cell r="A263">
            <v>1077</v>
          </cell>
          <cell r="B263" t="str">
            <v>NUIT D'HOTEL</v>
          </cell>
        </row>
        <row r="264">
          <cell r="A264">
            <v>1078</v>
          </cell>
          <cell r="B264" t="str">
            <v>OBEROI HOTELS</v>
          </cell>
        </row>
        <row r="265">
          <cell r="A265">
            <v>1080</v>
          </cell>
          <cell r="B265" t="str">
            <v>OMNI</v>
          </cell>
        </row>
        <row r="266">
          <cell r="A266">
            <v>1082</v>
          </cell>
          <cell r="B266" t="str">
            <v>OHANA HOTELS</v>
          </cell>
        </row>
        <row r="267">
          <cell r="A267">
            <v>1087</v>
          </cell>
          <cell r="B267" t="str">
            <v>PARADISUS RESORTS</v>
          </cell>
        </row>
        <row r="268">
          <cell r="A268">
            <v>1088</v>
          </cell>
          <cell r="B268" t="str">
            <v>PANNONIA</v>
          </cell>
        </row>
        <row r="269">
          <cell r="A269">
            <v>1090</v>
          </cell>
          <cell r="B269" t="str">
            <v>OUTRIGGER</v>
          </cell>
        </row>
        <row r="270">
          <cell r="A270">
            <v>1091</v>
          </cell>
          <cell r="B270" t="str">
            <v>PAN PACIFIC HOTELS AND RESORTS</v>
          </cell>
        </row>
        <row r="271">
          <cell r="A271">
            <v>1092</v>
          </cell>
          <cell r="B271" t="str">
            <v>PALACE RESORTS</v>
          </cell>
        </row>
        <row r="272">
          <cell r="A272">
            <v>1093</v>
          </cell>
          <cell r="B272" t="str">
            <v>PARK PLAZA</v>
          </cell>
        </row>
        <row r="273">
          <cell r="A273">
            <v>1094</v>
          </cell>
          <cell r="B273" t="str">
            <v>PARK INN</v>
          </cell>
        </row>
        <row r="274">
          <cell r="A274">
            <v>1095</v>
          </cell>
          <cell r="B274" t="str">
            <v>PARADORES</v>
          </cell>
        </row>
        <row r="275">
          <cell r="A275">
            <v>1096</v>
          </cell>
          <cell r="B275" t="str">
            <v>PARK INN SUITE HOTEL</v>
          </cell>
        </row>
        <row r="276">
          <cell r="A276">
            <v>1100</v>
          </cell>
          <cell r="B276" t="str">
            <v>PARKROYAL</v>
          </cell>
        </row>
        <row r="277">
          <cell r="A277">
            <v>1105</v>
          </cell>
          <cell r="B277" t="str">
            <v>PARTHENON</v>
          </cell>
        </row>
        <row r="278">
          <cell r="A278">
            <v>1110</v>
          </cell>
          <cell r="B278" t="str">
            <v>PASSPORT INN</v>
          </cell>
        </row>
        <row r="279">
          <cell r="A279">
            <v>1115</v>
          </cell>
          <cell r="B279" t="str">
            <v>PEAR TREE INN</v>
          </cell>
        </row>
        <row r="280">
          <cell r="A280">
            <v>1120</v>
          </cell>
          <cell r="B280" t="str">
            <v>PENTA</v>
          </cell>
        </row>
        <row r="281">
          <cell r="A281">
            <v>1135</v>
          </cell>
          <cell r="B281" t="str">
            <v>POSTHOUSE</v>
          </cell>
        </row>
        <row r="282">
          <cell r="A282">
            <v>1140</v>
          </cell>
          <cell r="B282" t="str">
            <v>PREFERRED</v>
          </cell>
        </row>
        <row r="283">
          <cell r="A283">
            <v>1143</v>
          </cell>
          <cell r="B283" t="str">
            <v>PREMIER LODGE</v>
          </cell>
        </row>
        <row r="284">
          <cell r="A284">
            <v>1145</v>
          </cell>
          <cell r="B284" t="str">
            <v>PRESIDENTE</v>
          </cell>
        </row>
        <row r="285">
          <cell r="A285">
            <v>1153</v>
          </cell>
          <cell r="B285" t="str">
            <v>PRINCE HOTELS</v>
          </cell>
        </row>
        <row r="286">
          <cell r="A286">
            <v>1155</v>
          </cell>
          <cell r="B286" t="str">
            <v>PRINCESS</v>
          </cell>
        </row>
        <row r="287">
          <cell r="A287">
            <v>1157</v>
          </cell>
          <cell r="B287" t="str">
            <v>PRINCIPAL HOTELS</v>
          </cell>
        </row>
        <row r="288">
          <cell r="A288">
            <v>1158</v>
          </cell>
          <cell r="B288" t="str">
            <v>PROTEA HOTELS</v>
          </cell>
        </row>
        <row r="289">
          <cell r="A289">
            <v>1159</v>
          </cell>
          <cell r="B289" t="str">
            <v>PROVOBIS HOTELS</v>
          </cell>
        </row>
        <row r="290">
          <cell r="A290">
            <v>1160</v>
          </cell>
          <cell r="B290" t="str">
            <v>QUALITY</v>
          </cell>
        </row>
        <row r="291">
          <cell r="A291">
            <v>1162</v>
          </cell>
          <cell r="B291" t="str">
            <v>QUALITY SUITES</v>
          </cell>
        </row>
        <row r="292">
          <cell r="A292">
            <v>1166</v>
          </cell>
          <cell r="B292" t="str">
            <v>QUEENS HOTELS</v>
          </cell>
        </row>
        <row r="293">
          <cell r="A293">
            <v>1170</v>
          </cell>
          <cell r="B293" t="str">
            <v>QUINTA REAL</v>
          </cell>
        </row>
        <row r="294">
          <cell r="A294">
            <v>1180</v>
          </cell>
          <cell r="B294" t="str">
            <v>RADISSON</v>
          </cell>
        </row>
        <row r="295">
          <cell r="A295">
            <v>1185</v>
          </cell>
          <cell r="B295" t="str">
            <v>RAFFLES</v>
          </cell>
        </row>
        <row r="296">
          <cell r="A296">
            <v>1189</v>
          </cell>
          <cell r="B296" t="str">
            <v>RAINBOW HOTELS</v>
          </cell>
        </row>
        <row r="297">
          <cell r="A297">
            <v>1190</v>
          </cell>
          <cell r="B297" t="str">
            <v>RAINTREE</v>
          </cell>
        </row>
        <row r="298">
          <cell r="A298">
            <v>1200</v>
          </cell>
          <cell r="B298" t="str">
            <v>RAMADA</v>
          </cell>
        </row>
        <row r="299">
          <cell r="A299">
            <v>1210</v>
          </cell>
          <cell r="B299" t="str">
            <v>RAMADA LIMITED</v>
          </cell>
        </row>
        <row r="300">
          <cell r="A300">
            <v>1215</v>
          </cell>
          <cell r="B300" t="str">
            <v>RANTASIPI</v>
          </cell>
        </row>
        <row r="301">
          <cell r="A301">
            <v>1220</v>
          </cell>
          <cell r="B301" t="str">
            <v>RENAISSANCE</v>
          </cell>
        </row>
        <row r="302">
          <cell r="A302">
            <v>1230</v>
          </cell>
          <cell r="B302" t="str">
            <v>RAPHAEL HOTEL</v>
          </cell>
        </row>
        <row r="303">
          <cell r="A303">
            <v>1232</v>
          </cell>
          <cell r="B303" t="str">
            <v>REAL DE MINAS</v>
          </cell>
        </row>
        <row r="304">
          <cell r="A304">
            <v>1235</v>
          </cell>
          <cell r="B304" t="str">
            <v>RED CARPET INN</v>
          </cell>
        </row>
        <row r="305">
          <cell r="A305">
            <v>1240</v>
          </cell>
          <cell r="B305" t="str">
            <v>RED LION</v>
          </cell>
        </row>
        <row r="306">
          <cell r="A306">
            <v>1250</v>
          </cell>
          <cell r="B306" t="str">
            <v>RED ROOF INN</v>
          </cell>
        </row>
        <row r="307">
          <cell r="A307">
            <v>1260</v>
          </cell>
          <cell r="B307" t="str">
            <v>REGAL</v>
          </cell>
        </row>
        <row r="308">
          <cell r="A308">
            <v>1262</v>
          </cell>
          <cell r="B308" t="str">
            <v>RELAIS DU SILENCE SILENCEHOTEL</v>
          </cell>
        </row>
        <row r="309">
          <cell r="A309">
            <v>1265</v>
          </cell>
          <cell r="B309" t="str">
            <v>RELAX INN</v>
          </cell>
        </row>
        <row r="310">
          <cell r="A310">
            <v>1267</v>
          </cell>
          <cell r="B310" t="str">
            <v>REMA HOTELS</v>
          </cell>
        </row>
        <row r="311">
          <cell r="A311">
            <v>1270</v>
          </cell>
          <cell r="B311" t="str">
            <v>RESIDENCE INN</v>
          </cell>
        </row>
        <row r="312">
          <cell r="A312">
            <v>1274</v>
          </cell>
          <cell r="B312" t="str">
            <v>RICA HOTELLENCE</v>
          </cell>
        </row>
        <row r="313">
          <cell r="A313">
            <v>1275</v>
          </cell>
          <cell r="B313" t="str">
            <v>RINGHOTELS</v>
          </cell>
        </row>
        <row r="314">
          <cell r="A314">
            <v>1280</v>
          </cell>
          <cell r="B314" t="str">
            <v>ROADSTAR INN</v>
          </cell>
        </row>
        <row r="315">
          <cell r="A315">
            <v>1282</v>
          </cell>
          <cell r="B315" t="str">
            <v>ROBINSON CLUB GMBH</v>
          </cell>
        </row>
        <row r="316">
          <cell r="A316">
            <v>1285</v>
          </cell>
          <cell r="B316" t="str">
            <v>RODD HOTELS &amp; RESORTS</v>
          </cell>
        </row>
        <row r="317">
          <cell r="A317">
            <v>1290</v>
          </cell>
          <cell r="B317" t="str">
            <v>RODEWAY INN</v>
          </cell>
        </row>
        <row r="318">
          <cell r="A318">
            <v>1295</v>
          </cell>
          <cell r="B318" t="str">
            <v>ROMANTIK HOTEL</v>
          </cell>
        </row>
        <row r="319">
          <cell r="A319">
            <v>1305</v>
          </cell>
          <cell r="B319" t="str">
            <v>ROTANA</v>
          </cell>
        </row>
        <row r="320">
          <cell r="A320">
            <v>1310</v>
          </cell>
          <cell r="B320" t="str">
            <v>ROYCE</v>
          </cell>
        </row>
        <row r="321">
          <cell r="A321">
            <v>1313</v>
          </cell>
          <cell r="B321" t="str">
            <v>RYDGES HOTELS &amp; RESORTS</v>
          </cell>
        </row>
        <row r="322">
          <cell r="A322">
            <v>1314</v>
          </cell>
          <cell r="B322" t="str">
            <v>SAHID HOTELS</v>
          </cell>
        </row>
        <row r="323">
          <cell r="A323">
            <v>1315</v>
          </cell>
          <cell r="B323" t="str">
            <v>SANDALS</v>
          </cell>
        </row>
        <row r="324">
          <cell r="A324">
            <v>1320</v>
          </cell>
          <cell r="B324" t="str">
            <v>SANDMAN HOTELS &amp; INNS</v>
          </cell>
        </row>
        <row r="325">
          <cell r="A325">
            <v>1335</v>
          </cell>
          <cell r="B325" t="str">
            <v>SCANDIC HOTEL</v>
          </cell>
        </row>
        <row r="326">
          <cell r="A326">
            <v>1340</v>
          </cell>
          <cell r="B326" t="str">
            <v>SCOTLAND COMMENDED</v>
          </cell>
        </row>
        <row r="327">
          <cell r="A327">
            <v>1345</v>
          </cell>
          <cell r="B327" t="str">
            <v>SCOTTISH INN</v>
          </cell>
        </row>
        <row r="328">
          <cell r="A328">
            <v>1347</v>
          </cell>
          <cell r="B328" t="str">
            <v>SELECT INN</v>
          </cell>
        </row>
        <row r="329">
          <cell r="A329">
            <v>1349</v>
          </cell>
          <cell r="B329" t="str">
            <v>SELECT SUITES</v>
          </cell>
        </row>
        <row r="330">
          <cell r="A330">
            <v>1350</v>
          </cell>
          <cell r="B330" t="str">
            <v>WESTMARK</v>
          </cell>
        </row>
        <row r="331">
          <cell r="A331">
            <v>1352</v>
          </cell>
          <cell r="B331" t="str">
            <v>SERCOTEL HOTELS</v>
          </cell>
        </row>
        <row r="332">
          <cell r="A332">
            <v>1355</v>
          </cell>
          <cell r="B332" t="str">
            <v>SHANGRI-LA</v>
          </cell>
        </row>
        <row r="333">
          <cell r="A333">
            <v>1360</v>
          </cell>
          <cell r="B333" t="str">
            <v>SHERATON HOTEL</v>
          </cell>
        </row>
        <row r="334">
          <cell r="A334">
            <v>1365</v>
          </cell>
          <cell r="B334" t="str">
            <v>SHERATON INN</v>
          </cell>
        </row>
        <row r="335">
          <cell r="A335">
            <v>1380</v>
          </cell>
          <cell r="B335" t="str">
            <v>SHILO INN</v>
          </cell>
        </row>
        <row r="336">
          <cell r="A336">
            <v>1390</v>
          </cell>
          <cell r="B336" t="str">
            <v>SHONEY'S INN</v>
          </cell>
        </row>
        <row r="337">
          <cell r="A337">
            <v>1391</v>
          </cell>
          <cell r="B337" t="str">
            <v>SUMNER SUITES</v>
          </cell>
        </row>
        <row r="338">
          <cell r="A338">
            <v>1395</v>
          </cell>
          <cell r="B338" t="str">
            <v>SIERRA SUITES</v>
          </cell>
        </row>
        <row r="339">
          <cell r="A339">
            <v>1400</v>
          </cell>
          <cell r="B339" t="str">
            <v>SIGNATURE INN</v>
          </cell>
        </row>
        <row r="340">
          <cell r="A340">
            <v>1405</v>
          </cell>
          <cell r="B340" t="str">
            <v>SILKEN HOTELES</v>
          </cell>
        </row>
        <row r="341">
          <cell r="A341">
            <v>1410</v>
          </cell>
          <cell r="B341" t="str">
            <v>SIXPENCE INN</v>
          </cell>
        </row>
        <row r="342">
          <cell r="A342">
            <v>1420</v>
          </cell>
          <cell r="B342" t="str">
            <v>SKYLIGHT INNS</v>
          </cell>
        </row>
        <row r="343">
          <cell r="A343">
            <v>1423</v>
          </cell>
          <cell r="B343" t="str">
            <v>SLEEP INN</v>
          </cell>
        </row>
        <row r="344">
          <cell r="A344">
            <v>1425</v>
          </cell>
          <cell r="B344" t="str">
            <v>SLUMBER LODGE</v>
          </cell>
        </row>
        <row r="345">
          <cell r="A345">
            <v>1426</v>
          </cell>
          <cell r="B345" t="str">
            <v>SOL</v>
          </cell>
        </row>
        <row r="346">
          <cell r="A346">
            <v>1428</v>
          </cell>
          <cell r="B346" t="str">
            <v>SOKOS HOTELS</v>
          </cell>
        </row>
        <row r="347">
          <cell r="A347">
            <v>1430</v>
          </cell>
          <cell r="B347" t="str">
            <v>SONESTA HOTEL</v>
          </cell>
        </row>
        <row r="348">
          <cell r="A348">
            <v>1433</v>
          </cell>
          <cell r="B348" t="str">
            <v>SORAT HOTELS</v>
          </cell>
        </row>
        <row r="349">
          <cell r="A349">
            <v>1438</v>
          </cell>
          <cell r="B349" t="str">
            <v>SPRINGHILL SUITES</v>
          </cell>
        </row>
        <row r="350">
          <cell r="A350">
            <v>1440</v>
          </cell>
          <cell r="B350" t="str">
            <v>CROWN STERLING</v>
          </cell>
        </row>
        <row r="351">
          <cell r="A351">
            <v>1442</v>
          </cell>
          <cell r="B351" t="str">
            <v>STAKIS HOTELS</v>
          </cell>
        </row>
        <row r="352">
          <cell r="A352">
            <v>1443</v>
          </cell>
          <cell r="B352" t="str">
            <v>STAMFORD HOTELS AND RESORTS</v>
          </cell>
        </row>
        <row r="353">
          <cell r="A353">
            <v>1445</v>
          </cell>
          <cell r="B353" t="str">
            <v>STARHOTELS</v>
          </cell>
        </row>
        <row r="354">
          <cell r="A354">
            <v>1447</v>
          </cell>
          <cell r="B354" t="str">
            <v>STAYBRIDGE SUITES</v>
          </cell>
        </row>
        <row r="355">
          <cell r="A355">
            <v>1448</v>
          </cell>
          <cell r="B355" t="str">
            <v>STEIGENBERGER HOTELS</v>
          </cell>
        </row>
        <row r="356">
          <cell r="A356">
            <v>1450</v>
          </cell>
          <cell r="B356" t="str">
            <v>STOUFFER</v>
          </cell>
        </row>
        <row r="357">
          <cell r="A357">
            <v>1455</v>
          </cell>
          <cell r="B357" t="str">
            <v>STUDIO PLUS</v>
          </cell>
        </row>
        <row r="358">
          <cell r="A358">
            <v>1456</v>
          </cell>
          <cell r="B358" t="str">
            <v>STUDIO 6</v>
          </cell>
        </row>
        <row r="359">
          <cell r="A359">
            <v>1457</v>
          </cell>
          <cell r="B359" t="str">
            <v>SUBURBAN LODGE</v>
          </cell>
        </row>
        <row r="360">
          <cell r="A360">
            <v>1460</v>
          </cell>
          <cell r="B360" t="str">
            <v>SUMMERFIELD BY WYNDHAM</v>
          </cell>
        </row>
        <row r="361">
          <cell r="A361">
            <v>1465</v>
          </cell>
          <cell r="B361" t="str">
            <v>SUNDOWNER</v>
          </cell>
        </row>
        <row r="362">
          <cell r="A362">
            <v>1467</v>
          </cell>
          <cell r="B362" t="str">
            <v>SUNSPREE RESORTS</v>
          </cell>
        </row>
        <row r="363">
          <cell r="A363">
            <v>1469</v>
          </cell>
          <cell r="B363" t="str">
            <v>SUNWING</v>
          </cell>
        </row>
        <row r="364">
          <cell r="A364">
            <v>1470</v>
          </cell>
          <cell r="B364" t="str">
            <v>SUPER 8</v>
          </cell>
        </row>
        <row r="365">
          <cell r="A365">
            <v>1475</v>
          </cell>
          <cell r="B365" t="str">
            <v>SUPERCLUBS</v>
          </cell>
        </row>
        <row r="366">
          <cell r="A366">
            <v>1490</v>
          </cell>
          <cell r="B366" t="str">
            <v>SUSSE CHALET</v>
          </cell>
        </row>
        <row r="367">
          <cell r="A367">
            <v>1495</v>
          </cell>
          <cell r="B367" t="str">
            <v>SWALLOW HOTELS</v>
          </cell>
        </row>
        <row r="368">
          <cell r="A368">
            <v>1496</v>
          </cell>
          <cell r="B368" t="str">
            <v>SWEDEN HOTELS</v>
          </cell>
        </row>
        <row r="369">
          <cell r="A369">
            <v>1498</v>
          </cell>
          <cell r="B369" t="str">
            <v>SWISSOTEL</v>
          </cell>
        </row>
        <row r="370">
          <cell r="A370">
            <v>1500</v>
          </cell>
          <cell r="B370" t="str">
            <v>TAJ GROUP</v>
          </cell>
        </row>
        <row r="371">
          <cell r="A371">
            <v>1510</v>
          </cell>
          <cell r="B371" t="str">
            <v>TEXIAN INN</v>
          </cell>
        </row>
        <row r="372">
          <cell r="A372">
            <v>1540</v>
          </cell>
          <cell r="B372" t="str">
            <v>THE DON SUITE HOTELS</v>
          </cell>
        </row>
        <row r="373">
          <cell r="A373">
            <v>1550</v>
          </cell>
          <cell r="B373" t="str">
            <v>THE REGISTRY</v>
          </cell>
        </row>
        <row r="374">
          <cell r="A374">
            <v>1560</v>
          </cell>
          <cell r="B374" t="str">
            <v>RITZ-CARLTON</v>
          </cell>
        </row>
        <row r="375">
          <cell r="A375">
            <v>1563</v>
          </cell>
          <cell r="B375" t="str">
            <v>THISTLE HOTELS</v>
          </cell>
        </row>
        <row r="376">
          <cell r="A376">
            <v>1565</v>
          </cell>
          <cell r="B376" t="str">
            <v>THRIFTLODGE</v>
          </cell>
        </row>
        <row r="377">
          <cell r="A377">
            <v>1570</v>
          </cell>
          <cell r="B377" t="str">
            <v>THRIFTY SCOT</v>
          </cell>
        </row>
        <row r="378">
          <cell r="A378">
            <v>1575</v>
          </cell>
          <cell r="B378" t="str">
            <v>THRIFTY INN</v>
          </cell>
        </row>
        <row r="379">
          <cell r="A379">
            <v>1580</v>
          </cell>
          <cell r="B379" t="str">
            <v>THUNDERBIRD</v>
          </cell>
        </row>
        <row r="380">
          <cell r="A380">
            <v>1592</v>
          </cell>
          <cell r="B380" t="str">
            <v>TOBY HOTELS</v>
          </cell>
        </row>
        <row r="381">
          <cell r="A381">
            <v>1595</v>
          </cell>
          <cell r="B381" t="str">
            <v>TOWNEPLACE SUITES</v>
          </cell>
        </row>
        <row r="382">
          <cell r="A382">
            <v>1598</v>
          </cell>
          <cell r="B382" t="str">
            <v>TRADITION DE FRANCE</v>
          </cell>
        </row>
        <row r="383">
          <cell r="A383">
            <v>1600</v>
          </cell>
          <cell r="B383" t="str">
            <v>TRAVEL HOST MOTEL</v>
          </cell>
        </row>
        <row r="384">
          <cell r="A384">
            <v>1610</v>
          </cell>
          <cell r="B384" t="str">
            <v>TRAVELERS INN</v>
          </cell>
        </row>
        <row r="385">
          <cell r="A385">
            <v>1615</v>
          </cell>
          <cell r="B385" t="str">
            <v>TRAVELODGE</v>
          </cell>
        </row>
        <row r="386">
          <cell r="A386">
            <v>1618</v>
          </cell>
          <cell r="B386" t="str">
            <v>TRAVEL INN</v>
          </cell>
        </row>
        <row r="387">
          <cell r="A387">
            <v>1620</v>
          </cell>
          <cell r="B387" t="str">
            <v>TREADWAY INN</v>
          </cell>
        </row>
        <row r="388">
          <cell r="A388">
            <v>1622</v>
          </cell>
          <cell r="B388" t="str">
            <v>TREFF HOTELS</v>
          </cell>
        </row>
        <row r="389">
          <cell r="A389">
            <v>1625</v>
          </cell>
          <cell r="B389" t="str">
            <v>USA INN</v>
          </cell>
        </row>
        <row r="390">
          <cell r="A390">
            <v>1630</v>
          </cell>
          <cell r="B390" t="str">
            <v>VAGABOND INN</v>
          </cell>
        </row>
        <row r="391">
          <cell r="A391">
            <v>1635</v>
          </cell>
          <cell r="B391" t="str">
            <v>VENTURE INN</v>
          </cell>
        </row>
        <row r="392">
          <cell r="A392">
            <v>1636</v>
          </cell>
          <cell r="B392" t="str">
            <v>VILLAGE LEISURE HOTELS</v>
          </cell>
        </row>
        <row r="393">
          <cell r="A393">
            <v>1637</v>
          </cell>
          <cell r="B393" t="str">
            <v>VILLAGER LODGE</v>
          </cell>
        </row>
        <row r="394">
          <cell r="A394">
            <v>1639</v>
          </cell>
          <cell r="B394" t="str">
            <v>VIRGIN HOTEL COLLECTION</v>
          </cell>
        </row>
        <row r="395">
          <cell r="A395">
            <v>1640</v>
          </cell>
          <cell r="B395" t="str">
            <v>VISCOUNT HOTEL</v>
          </cell>
        </row>
        <row r="396">
          <cell r="A396">
            <v>1645</v>
          </cell>
          <cell r="B396" t="str">
            <v>VISTA INTERNATIONAL</v>
          </cell>
        </row>
        <row r="397">
          <cell r="A397">
            <v>1646</v>
          </cell>
          <cell r="B397" t="str">
            <v>W HOTEL</v>
          </cell>
        </row>
        <row r="398">
          <cell r="A398">
            <v>1647</v>
          </cell>
          <cell r="B398" t="str">
            <v>WAYFARER INNS</v>
          </cell>
        </row>
        <row r="399">
          <cell r="A399">
            <v>1648</v>
          </cell>
          <cell r="B399" t="str">
            <v>WASHINGTON HOTEL</v>
          </cell>
        </row>
        <row r="400">
          <cell r="A400">
            <v>1649</v>
          </cell>
          <cell r="B400" t="str">
            <v>WELLESLEY SUITES</v>
          </cell>
        </row>
        <row r="401">
          <cell r="A401">
            <v>1650</v>
          </cell>
          <cell r="B401" t="str">
            <v>WELLESLEY INN</v>
          </cell>
        </row>
        <row r="402">
          <cell r="A402">
            <v>1651</v>
          </cell>
          <cell r="B402" t="str">
            <v>WELSCH RAREBITS</v>
          </cell>
        </row>
        <row r="403">
          <cell r="A403">
            <v>1655</v>
          </cell>
          <cell r="B403" t="str">
            <v>WESTAR SUITES</v>
          </cell>
        </row>
        <row r="404">
          <cell r="A404">
            <v>1680</v>
          </cell>
          <cell r="B404" t="str">
            <v>WESTIN</v>
          </cell>
        </row>
        <row r="405">
          <cell r="A405">
            <v>1683</v>
          </cell>
          <cell r="B405" t="str">
            <v>WESTCOAST</v>
          </cell>
        </row>
        <row r="406">
          <cell r="A406">
            <v>1685</v>
          </cell>
          <cell r="B406" t="str">
            <v>WILSON</v>
          </cell>
        </row>
        <row r="407">
          <cell r="A407">
            <v>1687</v>
          </cell>
          <cell r="B407" t="str">
            <v>WINGATE INN</v>
          </cell>
        </row>
        <row r="408">
          <cell r="A408">
            <v>1688</v>
          </cell>
          <cell r="B408" t="str">
            <v>WOODFIELD SUITES</v>
          </cell>
        </row>
        <row r="409">
          <cell r="A409">
            <v>1690</v>
          </cell>
          <cell r="B409" t="str">
            <v>WOODFIN SUITES</v>
          </cell>
        </row>
        <row r="410">
          <cell r="A410">
            <v>1710</v>
          </cell>
          <cell r="B410" t="str">
            <v>WYNDHAM HOTELS</v>
          </cell>
        </row>
        <row r="411">
          <cell r="A411">
            <v>1715</v>
          </cell>
          <cell r="B411" t="str">
            <v>WYNDHAM GARDEN HOTEL</v>
          </cell>
        </row>
        <row r="412">
          <cell r="A412">
            <v>1716</v>
          </cell>
          <cell r="B412" t="str">
            <v>WYNDHAM LUXURY</v>
          </cell>
        </row>
        <row r="413">
          <cell r="A413">
            <v>1717</v>
          </cell>
          <cell r="B413" t="str">
            <v>WYNDHAM RESORTS</v>
          </cell>
        </row>
        <row r="414">
          <cell r="A414">
            <v>1720</v>
          </cell>
          <cell r="B414" t="str">
            <v>WYNFIELD INN</v>
          </cell>
        </row>
        <row r="415">
          <cell r="A415">
            <v>1999</v>
          </cell>
          <cell r="B415" t="str">
            <v>UNKNOWN AFFILIATION</v>
          </cell>
        </row>
        <row r="416">
          <cell r="A416">
            <v>2000</v>
          </cell>
          <cell r="B416" t="str">
            <v>INDEPENDENT</v>
          </cell>
        </row>
        <row r="417">
          <cell r="A417">
            <v>4000</v>
          </cell>
          <cell r="B417" t="str">
            <v>CLOSED</v>
          </cell>
        </row>
      </sheetData>
      <sheetData sheetId="1" refreshError="1">
        <row r="1">
          <cell r="A1">
            <v>1001</v>
          </cell>
          <cell r="B1" t="str">
            <v>AUTAUGA, AL</v>
          </cell>
        </row>
        <row r="2">
          <cell r="A2">
            <v>1003</v>
          </cell>
          <cell r="B2" t="str">
            <v>BALDWIN, AL</v>
          </cell>
        </row>
        <row r="3">
          <cell r="A3">
            <v>1005</v>
          </cell>
          <cell r="B3" t="str">
            <v>BARBOUR, AL</v>
          </cell>
        </row>
        <row r="4">
          <cell r="A4">
            <v>1007</v>
          </cell>
          <cell r="B4" t="str">
            <v>BIBB, AL</v>
          </cell>
        </row>
        <row r="5">
          <cell r="A5">
            <v>1009</v>
          </cell>
          <cell r="B5" t="str">
            <v>BLOUNT, AL</v>
          </cell>
        </row>
        <row r="6">
          <cell r="A6">
            <v>1011</v>
          </cell>
          <cell r="B6" t="str">
            <v>BULLOCK, AL</v>
          </cell>
        </row>
        <row r="7">
          <cell r="A7">
            <v>1013</v>
          </cell>
          <cell r="B7" t="str">
            <v>BUTLER, AL</v>
          </cell>
        </row>
        <row r="8">
          <cell r="A8">
            <v>1015</v>
          </cell>
          <cell r="B8" t="str">
            <v>CALHOUN, AL</v>
          </cell>
        </row>
        <row r="9">
          <cell r="A9">
            <v>1017</v>
          </cell>
          <cell r="B9" t="str">
            <v>CHAMBERS, AL</v>
          </cell>
        </row>
        <row r="10">
          <cell r="A10">
            <v>1019</v>
          </cell>
          <cell r="B10" t="str">
            <v>CHEROKEE, AL</v>
          </cell>
        </row>
        <row r="11">
          <cell r="A11">
            <v>1021</v>
          </cell>
          <cell r="B11" t="str">
            <v>CHILTON, AL</v>
          </cell>
        </row>
        <row r="12">
          <cell r="A12">
            <v>1023</v>
          </cell>
          <cell r="B12" t="str">
            <v>CHOCTAW, AL</v>
          </cell>
        </row>
        <row r="13">
          <cell r="A13">
            <v>1025</v>
          </cell>
          <cell r="B13" t="str">
            <v>CLARKE, AL</v>
          </cell>
        </row>
        <row r="14">
          <cell r="A14">
            <v>1027</v>
          </cell>
          <cell r="B14" t="str">
            <v>CLAY, AL</v>
          </cell>
        </row>
        <row r="15">
          <cell r="A15">
            <v>1029</v>
          </cell>
          <cell r="B15" t="str">
            <v>CLEBURNE, AL</v>
          </cell>
        </row>
        <row r="16">
          <cell r="A16">
            <v>1031</v>
          </cell>
          <cell r="B16" t="str">
            <v>COFFEE, AL</v>
          </cell>
        </row>
        <row r="17">
          <cell r="A17">
            <v>1033</v>
          </cell>
          <cell r="B17" t="str">
            <v>COLBERT, AL</v>
          </cell>
        </row>
        <row r="18">
          <cell r="A18">
            <v>1035</v>
          </cell>
          <cell r="B18" t="str">
            <v>CONECUH, AL</v>
          </cell>
        </row>
        <row r="19">
          <cell r="A19">
            <v>1037</v>
          </cell>
          <cell r="B19" t="str">
            <v>COOSA, AL</v>
          </cell>
        </row>
        <row r="20">
          <cell r="A20">
            <v>1039</v>
          </cell>
          <cell r="B20" t="str">
            <v>COVINGTON, AL</v>
          </cell>
        </row>
        <row r="21">
          <cell r="A21">
            <v>1041</v>
          </cell>
          <cell r="B21" t="str">
            <v>CRENSHAW, AL</v>
          </cell>
        </row>
        <row r="22">
          <cell r="A22">
            <v>1043</v>
          </cell>
          <cell r="B22" t="str">
            <v>CULLMAN, AL</v>
          </cell>
        </row>
        <row r="23">
          <cell r="A23">
            <v>1045</v>
          </cell>
          <cell r="B23" t="str">
            <v>DALE, AL</v>
          </cell>
        </row>
        <row r="24">
          <cell r="A24">
            <v>1047</v>
          </cell>
          <cell r="B24" t="str">
            <v>DALLAS, AL</v>
          </cell>
        </row>
        <row r="25">
          <cell r="A25">
            <v>1049</v>
          </cell>
          <cell r="B25" t="str">
            <v>DE KALB, AL</v>
          </cell>
        </row>
        <row r="26">
          <cell r="A26">
            <v>1051</v>
          </cell>
          <cell r="B26" t="str">
            <v>ELMORE, AL</v>
          </cell>
        </row>
        <row r="27">
          <cell r="A27">
            <v>1053</v>
          </cell>
          <cell r="B27" t="str">
            <v>ESCAMBIA, AL</v>
          </cell>
        </row>
        <row r="28">
          <cell r="A28">
            <v>1055</v>
          </cell>
          <cell r="B28" t="str">
            <v>ETOWAH, AL</v>
          </cell>
        </row>
        <row r="29">
          <cell r="A29">
            <v>1057</v>
          </cell>
          <cell r="B29" t="str">
            <v>FAYETTE, AL</v>
          </cell>
        </row>
        <row r="30">
          <cell r="A30">
            <v>1059</v>
          </cell>
          <cell r="B30" t="str">
            <v>FRANKLIN, AL</v>
          </cell>
        </row>
        <row r="31">
          <cell r="A31">
            <v>1061</v>
          </cell>
          <cell r="B31" t="str">
            <v>GENEVA, AL</v>
          </cell>
        </row>
        <row r="32">
          <cell r="A32">
            <v>1063</v>
          </cell>
          <cell r="B32" t="str">
            <v>GREENE, AL</v>
          </cell>
        </row>
        <row r="33">
          <cell r="A33">
            <v>1065</v>
          </cell>
          <cell r="B33" t="str">
            <v>HALE, AL</v>
          </cell>
        </row>
        <row r="34">
          <cell r="A34">
            <v>1067</v>
          </cell>
          <cell r="B34" t="str">
            <v>HENRY, AL</v>
          </cell>
        </row>
        <row r="35">
          <cell r="A35">
            <v>1069</v>
          </cell>
          <cell r="B35" t="str">
            <v>HOUSTON, AL</v>
          </cell>
        </row>
        <row r="36">
          <cell r="A36">
            <v>1071</v>
          </cell>
          <cell r="B36" t="str">
            <v>JACKSON, AL</v>
          </cell>
        </row>
        <row r="37">
          <cell r="A37">
            <v>1073</v>
          </cell>
          <cell r="B37" t="str">
            <v>JEFFERSON, AL</v>
          </cell>
        </row>
        <row r="38">
          <cell r="A38">
            <v>1075</v>
          </cell>
          <cell r="B38" t="str">
            <v>LAMAR, AL</v>
          </cell>
        </row>
        <row r="39">
          <cell r="A39">
            <v>1077</v>
          </cell>
          <cell r="B39" t="str">
            <v>LAUDERDALE, AL</v>
          </cell>
        </row>
        <row r="40">
          <cell r="A40">
            <v>1079</v>
          </cell>
          <cell r="B40" t="str">
            <v>LAWRENCE, AL</v>
          </cell>
        </row>
        <row r="41">
          <cell r="A41">
            <v>1081</v>
          </cell>
          <cell r="B41" t="str">
            <v>LEE, AL</v>
          </cell>
        </row>
        <row r="42">
          <cell r="A42">
            <v>1083</v>
          </cell>
          <cell r="B42" t="str">
            <v>LIMESTONE, AL</v>
          </cell>
        </row>
        <row r="43">
          <cell r="A43">
            <v>1085</v>
          </cell>
          <cell r="B43" t="str">
            <v>LOWNDES, AL</v>
          </cell>
        </row>
        <row r="44">
          <cell r="A44">
            <v>1087</v>
          </cell>
          <cell r="B44" t="str">
            <v>MACON, AL</v>
          </cell>
        </row>
        <row r="45">
          <cell r="A45">
            <v>1089</v>
          </cell>
          <cell r="B45" t="str">
            <v>MADISON, AL</v>
          </cell>
        </row>
        <row r="46">
          <cell r="A46">
            <v>1091</v>
          </cell>
          <cell r="B46" t="str">
            <v>MARENGO, AL</v>
          </cell>
        </row>
        <row r="47">
          <cell r="A47">
            <v>1093</v>
          </cell>
          <cell r="B47" t="str">
            <v>MARION, AL</v>
          </cell>
        </row>
        <row r="48">
          <cell r="A48">
            <v>1095</v>
          </cell>
          <cell r="B48" t="str">
            <v>MARSHALL, AL</v>
          </cell>
        </row>
        <row r="49">
          <cell r="A49">
            <v>1097</v>
          </cell>
          <cell r="B49" t="str">
            <v>MOBILE, AL</v>
          </cell>
        </row>
        <row r="50">
          <cell r="A50">
            <v>1099</v>
          </cell>
          <cell r="B50" t="str">
            <v>MONROE, AL</v>
          </cell>
        </row>
        <row r="51">
          <cell r="A51">
            <v>1101</v>
          </cell>
          <cell r="B51" t="str">
            <v>MONTGOMERY, AL</v>
          </cell>
        </row>
        <row r="52">
          <cell r="A52">
            <v>1103</v>
          </cell>
          <cell r="B52" t="str">
            <v>MORGAN, AL</v>
          </cell>
        </row>
        <row r="53">
          <cell r="A53">
            <v>1105</v>
          </cell>
          <cell r="B53" t="str">
            <v>PERRY, AL</v>
          </cell>
        </row>
        <row r="54">
          <cell r="A54">
            <v>1107</v>
          </cell>
          <cell r="B54" t="str">
            <v>PICKENS, AL</v>
          </cell>
        </row>
        <row r="55">
          <cell r="A55">
            <v>1109</v>
          </cell>
          <cell r="B55" t="str">
            <v>PIKE, AL</v>
          </cell>
        </row>
        <row r="56">
          <cell r="A56">
            <v>1111</v>
          </cell>
          <cell r="B56" t="str">
            <v>RANDOLPH, AL</v>
          </cell>
        </row>
        <row r="57">
          <cell r="A57">
            <v>1113</v>
          </cell>
          <cell r="B57" t="str">
            <v>RUSSELL, AL</v>
          </cell>
        </row>
        <row r="58">
          <cell r="A58">
            <v>1115</v>
          </cell>
          <cell r="B58" t="str">
            <v>ST CLAIR, AL</v>
          </cell>
        </row>
        <row r="59">
          <cell r="A59">
            <v>1117</v>
          </cell>
          <cell r="B59" t="str">
            <v>SHELBY, AL</v>
          </cell>
        </row>
        <row r="60">
          <cell r="A60">
            <v>1119</v>
          </cell>
          <cell r="B60" t="str">
            <v>SUMTER, AL</v>
          </cell>
        </row>
        <row r="61">
          <cell r="A61">
            <v>1121</v>
          </cell>
          <cell r="B61" t="str">
            <v>TALLADEGA, AL</v>
          </cell>
        </row>
        <row r="62">
          <cell r="A62">
            <v>1123</v>
          </cell>
          <cell r="B62" t="str">
            <v>TALLAPOOSA, AL</v>
          </cell>
        </row>
        <row r="63">
          <cell r="A63">
            <v>1125</v>
          </cell>
          <cell r="B63" t="str">
            <v>TUSCALOOSA, AL</v>
          </cell>
        </row>
        <row r="64">
          <cell r="A64">
            <v>1127</v>
          </cell>
          <cell r="B64" t="str">
            <v>WALKER, AL</v>
          </cell>
        </row>
        <row r="65">
          <cell r="A65">
            <v>1129</v>
          </cell>
          <cell r="B65" t="str">
            <v>WASHINGTON, AL</v>
          </cell>
        </row>
        <row r="66">
          <cell r="A66">
            <v>1131</v>
          </cell>
          <cell r="B66" t="str">
            <v>WILCOX, AL</v>
          </cell>
        </row>
        <row r="67">
          <cell r="A67">
            <v>1133</v>
          </cell>
          <cell r="B67" t="str">
            <v>WINSTON, AL</v>
          </cell>
        </row>
        <row r="68">
          <cell r="A68">
            <v>2010</v>
          </cell>
          <cell r="B68" t="str">
            <v>ALEUTIAN ISLANDS, AK</v>
          </cell>
        </row>
        <row r="69">
          <cell r="A69">
            <v>2020</v>
          </cell>
          <cell r="B69" t="str">
            <v>ANCHORAGE, AK</v>
          </cell>
        </row>
        <row r="70">
          <cell r="A70">
            <v>2050</v>
          </cell>
          <cell r="B70" t="str">
            <v>BETHEL, AK</v>
          </cell>
        </row>
        <row r="71">
          <cell r="A71">
            <v>2060</v>
          </cell>
          <cell r="B71" t="str">
            <v>BRISTOL BAY, AK</v>
          </cell>
        </row>
        <row r="72">
          <cell r="A72">
            <v>2070</v>
          </cell>
          <cell r="B72" t="str">
            <v>DILLINGHAM, AK</v>
          </cell>
        </row>
        <row r="73">
          <cell r="A73">
            <v>2090</v>
          </cell>
          <cell r="B73" t="str">
            <v>FAIRBANKS-NORTH STAR, AK</v>
          </cell>
        </row>
        <row r="74">
          <cell r="A74">
            <v>2100</v>
          </cell>
          <cell r="B74" t="str">
            <v>HAINES, AK</v>
          </cell>
        </row>
        <row r="75">
          <cell r="A75">
            <v>2110</v>
          </cell>
          <cell r="B75" t="str">
            <v>JUNEAU, AK</v>
          </cell>
        </row>
        <row r="76">
          <cell r="A76">
            <v>2122</v>
          </cell>
          <cell r="B76" t="str">
            <v>KENAI PENINSULA, AK</v>
          </cell>
        </row>
        <row r="77">
          <cell r="A77">
            <v>2130</v>
          </cell>
          <cell r="B77" t="str">
            <v>KETCHIKAN GATEWAY, AK</v>
          </cell>
        </row>
        <row r="78">
          <cell r="A78">
            <v>2140</v>
          </cell>
          <cell r="B78" t="str">
            <v>KOBUK, AK</v>
          </cell>
        </row>
        <row r="79">
          <cell r="A79">
            <v>2150</v>
          </cell>
          <cell r="B79" t="str">
            <v>KODIAK ISLAND, AK</v>
          </cell>
        </row>
        <row r="80">
          <cell r="A80">
            <v>2170</v>
          </cell>
          <cell r="B80" t="str">
            <v>MATANUSKA-SUSITNA, AK</v>
          </cell>
        </row>
        <row r="81">
          <cell r="A81">
            <v>2180</v>
          </cell>
          <cell r="B81" t="str">
            <v>NOME, AK</v>
          </cell>
        </row>
        <row r="82">
          <cell r="A82">
            <v>2185</v>
          </cell>
          <cell r="B82" t="str">
            <v>NORTH SLOPE, AK</v>
          </cell>
        </row>
        <row r="83">
          <cell r="A83">
            <v>2201</v>
          </cell>
          <cell r="B83" t="str">
            <v>PRINCE OF WALES-OUTE, AK</v>
          </cell>
        </row>
        <row r="84">
          <cell r="A84">
            <v>2220</v>
          </cell>
          <cell r="B84" t="str">
            <v>SITKA, AK</v>
          </cell>
        </row>
        <row r="85">
          <cell r="A85">
            <v>2231</v>
          </cell>
          <cell r="B85" t="str">
            <v>SKAGWAY-YAKUTAT-ANGO, AK</v>
          </cell>
        </row>
        <row r="86">
          <cell r="A86">
            <v>2240</v>
          </cell>
          <cell r="B86" t="str">
            <v>SOUTHEAST FAIRBANKS, AK</v>
          </cell>
        </row>
        <row r="87">
          <cell r="A87">
            <v>2261</v>
          </cell>
          <cell r="B87" t="str">
            <v>VALDEZ-CORDOVA, AK</v>
          </cell>
        </row>
        <row r="88">
          <cell r="A88">
            <v>2270</v>
          </cell>
          <cell r="B88" t="str">
            <v>WADE HAMPTON, AK</v>
          </cell>
        </row>
        <row r="89">
          <cell r="A89">
            <v>2280</v>
          </cell>
          <cell r="B89" t="str">
            <v>WRANGELL-PETERSBURG, AK</v>
          </cell>
        </row>
        <row r="90">
          <cell r="A90">
            <v>2290</v>
          </cell>
          <cell r="B90" t="str">
            <v>YUKON-KOYUKUK, AK</v>
          </cell>
        </row>
        <row r="91">
          <cell r="A91">
            <v>4001</v>
          </cell>
          <cell r="B91" t="str">
            <v>APACHE, AZ</v>
          </cell>
        </row>
        <row r="92">
          <cell r="A92">
            <v>4003</v>
          </cell>
          <cell r="B92" t="str">
            <v>COCHISE, AZ</v>
          </cell>
        </row>
        <row r="93">
          <cell r="A93">
            <v>4005</v>
          </cell>
          <cell r="B93" t="str">
            <v>COCONINO, AZ</v>
          </cell>
        </row>
        <row r="94">
          <cell r="A94">
            <v>4007</v>
          </cell>
          <cell r="B94" t="str">
            <v>GILA, AZ</v>
          </cell>
        </row>
        <row r="95">
          <cell r="A95">
            <v>4009</v>
          </cell>
          <cell r="B95" t="str">
            <v>GRAHAM, AZ</v>
          </cell>
        </row>
        <row r="96">
          <cell r="A96">
            <v>4011</v>
          </cell>
          <cell r="B96" t="str">
            <v>GREENLEE, AZ</v>
          </cell>
        </row>
        <row r="97">
          <cell r="A97">
            <v>4012</v>
          </cell>
          <cell r="B97" t="str">
            <v>LA PAZ, AZ</v>
          </cell>
        </row>
        <row r="98">
          <cell r="A98">
            <v>4013</v>
          </cell>
          <cell r="B98" t="str">
            <v>MARICOPA, AZ</v>
          </cell>
        </row>
        <row r="99">
          <cell r="A99">
            <v>4015</v>
          </cell>
          <cell r="B99" t="str">
            <v>MOHAVE, AZ</v>
          </cell>
        </row>
        <row r="100">
          <cell r="A100">
            <v>4017</v>
          </cell>
          <cell r="B100" t="str">
            <v>NAVAJO, AZ</v>
          </cell>
        </row>
        <row r="101">
          <cell r="A101">
            <v>4019</v>
          </cell>
          <cell r="B101" t="str">
            <v>PIMA, AZ</v>
          </cell>
        </row>
        <row r="102">
          <cell r="A102">
            <v>4021</v>
          </cell>
          <cell r="B102" t="str">
            <v>PINAL, AZ</v>
          </cell>
        </row>
        <row r="103">
          <cell r="A103">
            <v>4023</v>
          </cell>
          <cell r="B103" t="str">
            <v>SANTA CRUZ, AZ</v>
          </cell>
        </row>
        <row r="104">
          <cell r="A104">
            <v>4025</v>
          </cell>
          <cell r="B104" t="str">
            <v>YAVAPAI, AZ</v>
          </cell>
        </row>
        <row r="105">
          <cell r="A105">
            <v>4027</v>
          </cell>
          <cell r="B105" t="str">
            <v>YUMA, AZ</v>
          </cell>
        </row>
        <row r="106">
          <cell r="A106">
            <v>5001</v>
          </cell>
          <cell r="B106" t="str">
            <v>ARKANSAS, AR</v>
          </cell>
        </row>
        <row r="107">
          <cell r="A107">
            <v>5003</v>
          </cell>
          <cell r="B107" t="str">
            <v>ASHLEY, AR</v>
          </cell>
        </row>
        <row r="108">
          <cell r="A108">
            <v>5005</v>
          </cell>
          <cell r="B108" t="str">
            <v>BAXTER, AR</v>
          </cell>
        </row>
        <row r="109">
          <cell r="A109">
            <v>5007</v>
          </cell>
          <cell r="B109" t="str">
            <v>BENTON, AR</v>
          </cell>
        </row>
        <row r="110">
          <cell r="A110">
            <v>5009</v>
          </cell>
          <cell r="B110" t="str">
            <v>BOONE, AR</v>
          </cell>
        </row>
        <row r="111">
          <cell r="A111">
            <v>5011</v>
          </cell>
          <cell r="B111" t="str">
            <v>BRADLEY, AR</v>
          </cell>
        </row>
        <row r="112">
          <cell r="A112">
            <v>5013</v>
          </cell>
          <cell r="B112" t="str">
            <v>CALHOUN, AR</v>
          </cell>
        </row>
        <row r="113">
          <cell r="A113">
            <v>5015</v>
          </cell>
          <cell r="B113" t="str">
            <v>CARROLL, AR</v>
          </cell>
        </row>
        <row r="114">
          <cell r="A114">
            <v>5017</v>
          </cell>
          <cell r="B114" t="str">
            <v>CHICOT, AR</v>
          </cell>
        </row>
        <row r="115">
          <cell r="A115">
            <v>5019</v>
          </cell>
          <cell r="B115" t="str">
            <v>CLARK, AR</v>
          </cell>
        </row>
        <row r="116">
          <cell r="A116">
            <v>5021</v>
          </cell>
          <cell r="B116" t="str">
            <v>CLAY, AR</v>
          </cell>
        </row>
        <row r="117">
          <cell r="A117">
            <v>5023</v>
          </cell>
          <cell r="B117" t="str">
            <v>CLEBURNE, AR</v>
          </cell>
        </row>
        <row r="118">
          <cell r="A118">
            <v>5025</v>
          </cell>
          <cell r="B118" t="str">
            <v>CLEVELAND, AR</v>
          </cell>
        </row>
        <row r="119">
          <cell r="A119">
            <v>5027</v>
          </cell>
          <cell r="B119" t="str">
            <v>COLUMBIA, AR</v>
          </cell>
        </row>
        <row r="120">
          <cell r="A120">
            <v>5029</v>
          </cell>
          <cell r="B120" t="str">
            <v>CONWAY, AR</v>
          </cell>
        </row>
        <row r="121">
          <cell r="A121">
            <v>5031</v>
          </cell>
          <cell r="B121" t="str">
            <v>CRAIGHEAD, AR</v>
          </cell>
        </row>
        <row r="122">
          <cell r="A122">
            <v>5033</v>
          </cell>
          <cell r="B122" t="str">
            <v>CRAWFORD, AR</v>
          </cell>
        </row>
        <row r="123">
          <cell r="A123">
            <v>5035</v>
          </cell>
          <cell r="B123" t="str">
            <v>CRITTENDEN, AR</v>
          </cell>
        </row>
        <row r="124">
          <cell r="A124">
            <v>5037</v>
          </cell>
          <cell r="B124" t="str">
            <v>CROSS, AR</v>
          </cell>
        </row>
        <row r="125">
          <cell r="A125">
            <v>5039</v>
          </cell>
          <cell r="B125" t="str">
            <v>DALLAS, AR</v>
          </cell>
        </row>
        <row r="126">
          <cell r="A126">
            <v>5041</v>
          </cell>
          <cell r="B126" t="str">
            <v>DESHA, AR</v>
          </cell>
        </row>
        <row r="127">
          <cell r="A127">
            <v>5043</v>
          </cell>
          <cell r="B127" t="str">
            <v>DREW, AR</v>
          </cell>
        </row>
        <row r="128">
          <cell r="A128">
            <v>5045</v>
          </cell>
          <cell r="B128" t="str">
            <v>FAULKNER, AR</v>
          </cell>
        </row>
        <row r="129">
          <cell r="A129">
            <v>5047</v>
          </cell>
          <cell r="B129" t="str">
            <v>FRANKLIN, AR</v>
          </cell>
        </row>
        <row r="130">
          <cell r="A130">
            <v>5049</v>
          </cell>
          <cell r="B130" t="str">
            <v>FULTON, AR</v>
          </cell>
        </row>
        <row r="131">
          <cell r="A131">
            <v>5051</v>
          </cell>
          <cell r="B131" t="str">
            <v>GARLAND, AR</v>
          </cell>
        </row>
        <row r="132">
          <cell r="A132">
            <v>5053</v>
          </cell>
          <cell r="B132" t="str">
            <v>GRANT, AR</v>
          </cell>
        </row>
        <row r="133">
          <cell r="A133">
            <v>5055</v>
          </cell>
          <cell r="B133" t="str">
            <v>GREENE, AR</v>
          </cell>
        </row>
        <row r="134">
          <cell r="A134">
            <v>5057</v>
          </cell>
          <cell r="B134" t="str">
            <v>HEMPSTEAD, AR</v>
          </cell>
        </row>
        <row r="135">
          <cell r="A135">
            <v>5059</v>
          </cell>
          <cell r="B135" t="str">
            <v>HOT SPRING, AR</v>
          </cell>
        </row>
        <row r="136">
          <cell r="A136">
            <v>5061</v>
          </cell>
          <cell r="B136" t="str">
            <v>HOWARD, AR</v>
          </cell>
        </row>
        <row r="137">
          <cell r="A137">
            <v>5063</v>
          </cell>
          <cell r="B137" t="str">
            <v>INDEPENDENCE, AR</v>
          </cell>
        </row>
        <row r="138">
          <cell r="A138">
            <v>5065</v>
          </cell>
          <cell r="B138" t="str">
            <v>IZARD, AR</v>
          </cell>
        </row>
        <row r="139">
          <cell r="A139">
            <v>5067</v>
          </cell>
          <cell r="B139" t="str">
            <v>JACKSON, AR</v>
          </cell>
        </row>
        <row r="140">
          <cell r="A140">
            <v>5069</v>
          </cell>
          <cell r="B140" t="str">
            <v>JEFFERSON, AR</v>
          </cell>
        </row>
        <row r="141">
          <cell r="A141">
            <v>5071</v>
          </cell>
          <cell r="B141" t="str">
            <v>JOHNSON, AR</v>
          </cell>
        </row>
        <row r="142">
          <cell r="A142">
            <v>5073</v>
          </cell>
          <cell r="B142" t="str">
            <v>LAFAYETTE, AR</v>
          </cell>
        </row>
        <row r="143">
          <cell r="A143">
            <v>5075</v>
          </cell>
          <cell r="B143" t="str">
            <v>LAWRENCE, AR</v>
          </cell>
        </row>
        <row r="144">
          <cell r="A144">
            <v>5077</v>
          </cell>
          <cell r="B144" t="str">
            <v>LEE, AR</v>
          </cell>
        </row>
        <row r="145">
          <cell r="A145">
            <v>5079</v>
          </cell>
          <cell r="B145" t="str">
            <v>LINCOLN, AR</v>
          </cell>
        </row>
        <row r="146">
          <cell r="A146">
            <v>5081</v>
          </cell>
          <cell r="B146" t="str">
            <v>LITTLE RIVER, AR</v>
          </cell>
        </row>
        <row r="147">
          <cell r="A147">
            <v>5083</v>
          </cell>
          <cell r="B147" t="str">
            <v>LOGAN, AR</v>
          </cell>
        </row>
        <row r="148">
          <cell r="A148">
            <v>5085</v>
          </cell>
          <cell r="B148" t="str">
            <v>LONOKE, AR</v>
          </cell>
        </row>
        <row r="149">
          <cell r="A149">
            <v>5087</v>
          </cell>
          <cell r="B149" t="str">
            <v>MADISON, AR</v>
          </cell>
        </row>
        <row r="150">
          <cell r="A150">
            <v>5089</v>
          </cell>
          <cell r="B150" t="str">
            <v>MARION, AR</v>
          </cell>
        </row>
        <row r="151">
          <cell r="A151">
            <v>5091</v>
          </cell>
          <cell r="B151" t="str">
            <v>MILLER, AR</v>
          </cell>
        </row>
        <row r="152">
          <cell r="A152">
            <v>5093</v>
          </cell>
          <cell r="B152" t="str">
            <v>MISSISSIPPI, AR</v>
          </cell>
        </row>
        <row r="153">
          <cell r="A153">
            <v>5095</v>
          </cell>
          <cell r="B153" t="str">
            <v>MONROE, AR</v>
          </cell>
        </row>
        <row r="154">
          <cell r="A154">
            <v>5097</v>
          </cell>
          <cell r="B154" t="str">
            <v>MONTGOMERY, AR</v>
          </cell>
        </row>
        <row r="155">
          <cell r="A155">
            <v>5099</v>
          </cell>
          <cell r="B155" t="str">
            <v>NEVADA, AR</v>
          </cell>
        </row>
        <row r="156">
          <cell r="A156">
            <v>5101</v>
          </cell>
          <cell r="B156" t="str">
            <v>NEWTON, AR</v>
          </cell>
        </row>
        <row r="157">
          <cell r="A157">
            <v>5103</v>
          </cell>
          <cell r="B157" t="str">
            <v>OUACHITA, AR</v>
          </cell>
        </row>
        <row r="158">
          <cell r="A158">
            <v>5105</v>
          </cell>
          <cell r="B158" t="str">
            <v>PERRY, AR</v>
          </cell>
        </row>
        <row r="159">
          <cell r="A159">
            <v>5107</v>
          </cell>
          <cell r="B159" t="str">
            <v>PHILLIPS, AR</v>
          </cell>
        </row>
        <row r="160">
          <cell r="A160">
            <v>5109</v>
          </cell>
          <cell r="B160" t="str">
            <v>PIKE, AR</v>
          </cell>
        </row>
        <row r="161">
          <cell r="A161">
            <v>5111</v>
          </cell>
          <cell r="B161" t="str">
            <v>POINSETT, AR</v>
          </cell>
        </row>
        <row r="162">
          <cell r="A162">
            <v>5113</v>
          </cell>
          <cell r="B162" t="str">
            <v>POLK, AR</v>
          </cell>
        </row>
        <row r="163">
          <cell r="A163">
            <v>5115</v>
          </cell>
          <cell r="B163" t="str">
            <v>POPE, AR</v>
          </cell>
        </row>
        <row r="164">
          <cell r="A164">
            <v>5117</v>
          </cell>
          <cell r="B164" t="str">
            <v>PRAIRIE, AR</v>
          </cell>
        </row>
        <row r="165">
          <cell r="A165">
            <v>5119</v>
          </cell>
          <cell r="B165" t="str">
            <v>PULASKI, AR</v>
          </cell>
        </row>
        <row r="166">
          <cell r="A166">
            <v>5121</v>
          </cell>
          <cell r="B166" t="str">
            <v>RANDOLPH, AR</v>
          </cell>
        </row>
        <row r="167">
          <cell r="A167">
            <v>5123</v>
          </cell>
          <cell r="B167" t="str">
            <v>ST FRANCIS, AR</v>
          </cell>
        </row>
        <row r="168">
          <cell r="A168">
            <v>5125</v>
          </cell>
          <cell r="B168" t="str">
            <v>SALINE, AR</v>
          </cell>
        </row>
        <row r="169">
          <cell r="A169">
            <v>5127</v>
          </cell>
          <cell r="B169" t="str">
            <v>SCOTT, AR</v>
          </cell>
        </row>
        <row r="170">
          <cell r="A170">
            <v>5129</v>
          </cell>
          <cell r="B170" t="str">
            <v>SEARCY, AR</v>
          </cell>
        </row>
        <row r="171">
          <cell r="A171">
            <v>5131</v>
          </cell>
          <cell r="B171" t="str">
            <v>SEBASTIAN, AR</v>
          </cell>
        </row>
        <row r="172">
          <cell r="A172">
            <v>5133</v>
          </cell>
          <cell r="B172" t="str">
            <v>SEVIER, AR</v>
          </cell>
        </row>
        <row r="173">
          <cell r="A173">
            <v>5135</v>
          </cell>
          <cell r="B173" t="str">
            <v>SHARP, AR</v>
          </cell>
        </row>
        <row r="174">
          <cell r="A174">
            <v>5137</v>
          </cell>
          <cell r="B174" t="str">
            <v>STONE, AR</v>
          </cell>
        </row>
        <row r="175">
          <cell r="A175">
            <v>5139</v>
          </cell>
          <cell r="B175" t="str">
            <v>UNION, AR</v>
          </cell>
        </row>
        <row r="176">
          <cell r="A176">
            <v>5141</v>
          </cell>
          <cell r="B176" t="str">
            <v>VAN BUREN, AR</v>
          </cell>
        </row>
        <row r="177">
          <cell r="A177">
            <v>5143</v>
          </cell>
          <cell r="B177" t="str">
            <v>WASHINGTON, AR</v>
          </cell>
        </row>
        <row r="178">
          <cell r="A178">
            <v>5145</v>
          </cell>
          <cell r="B178" t="str">
            <v>WHITE, AR</v>
          </cell>
        </row>
        <row r="179">
          <cell r="A179">
            <v>5147</v>
          </cell>
          <cell r="B179" t="str">
            <v>WOODRUFF, AR</v>
          </cell>
        </row>
        <row r="180">
          <cell r="A180">
            <v>5149</v>
          </cell>
          <cell r="B180" t="str">
            <v>YELL, AR</v>
          </cell>
        </row>
        <row r="181">
          <cell r="A181">
            <v>6001</v>
          </cell>
          <cell r="B181" t="str">
            <v>ALAMEDA, CA</v>
          </cell>
        </row>
        <row r="182">
          <cell r="A182">
            <v>6003</v>
          </cell>
          <cell r="B182" t="str">
            <v>ALPINE, CA</v>
          </cell>
        </row>
        <row r="183">
          <cell r="A183">
            <v>6005</v>
          </cell>
          <cell r="B183" t="str">
            <v>AMADOR, CA</v>
          </cell>
        </row>
        <row r="184">
          <cell r="A184">
            <v>6007</v>
          </cell>
          <cell r="B184" t="str">
            <v>BUTTE, CA</v>
          </cell>
        </row>
        <row r="185">
          <cell r="A185">
            <v>6009</v>
          </cell>
          <cell r="B185" t="str">
            <v>CALAVERAS, CA</v>
          </cell>
        </row>
        <row r="186">
          <cell r="A186">
            <v>6011</v>
          </cell>
          <cell r="B186" t="str">
            <v>COLUSA, CA</v>
          </cell>
        </row>
        <row r="187">
          <cell r="A187">
            <v>6013</v>
          </cell>
          <cell r="B187" t="str">
            <v>CONTRA COSTA, CA</v>
          </cell>
        </row>
        <row r="188">
          <cell r="A188">
            <v>6015</v>
          </cell>
          <cell r="B188" t="str">
            <v>DEL NORTE, CA</v>
          </cell>
        </row>
        <row r="189">
          <cell r="A189">
            <v>6017</v>
          </cell>
          <cell r="B189" t="str">
            <v>EL DORADO, CA</v>
          </cell>
        </row>
        <row r="190">
          <cell r="A190">
            <v>6019</v>
          </cell>
          <cell r="B190" t="str">
            <v>FRESNO, CA</v>
          </cell>
        </row>
        <row r="191">
          <cell r="A191">
            <v>6021</v>
          </cell>
          <cell r="B191" t="str">
            <v>GLENN, CA</v>
          </cell>
        </row>
        <row r="192">
          <cell r="A192">
            <v>6023</v>
          </cell>
          <cell r="B192" t="str">
            <v>HUMBOLDT, CA</v>
          </cell>
        </row>
        <row r="193">
          <cell r="A193">
            <v>6025</v>
          </cell>
          <cell r="B193" t="str">
            <v>IMPERIAL, CA</v>
          </cell>
        </row>
        <row r="194">
          <cell r="A194">
            <v>6027</v>
          </cell>
          <cell r="B194" t="str">
            <v>INYO, CA</v>
          </cell>
        </row>
        <row r="195">
          <cell r="A195">
            <v>6029</v>
          </cell>
          <cell r="B195" t="str">
            <v>KERN, CA</v>
          </cell>
        </row>
        <row r="196">
          <cell r="A196">
            <v>6031</v>
          </cell>
          <cell r="B196" t="str">
            <v>KINGS, CA</v>
          </cell>
        </row>
        <row r="197">
          <cell r="A197">
            <v>6033</v>
          </cell>
          <cell r="B197" t="str">
            <v>LAKE, CA</v>
          </cell>
        </row>
        <row r="198">
          <cell r="A198">
            <v>6035</v>
          </cell>
          <cell r="B198" t="str">
            <v>LASSEN, CA</v>
          </cell>
        </row>
        <row r="199">
          <cell r="A199">
            <v>6037</v>
          </cell>
          <cell r="B199" t="str">
            <v>LOS ANGELES, CA</v>
          </cell>
        </row>
        <row r="200">
          <cell r="A200">
            <v>6039</v>
          </cell>
          <cell r="B200" t="str">
            <v>MADERA, CA</v>
          </cell>
        </row>
        <row r="201">
          <cell r="A201">
            <v>6041</v>
          </cell>
          <cell r="B201" t="str">
            <v>MARIN, CA</v>
          </cell>
        </row>
        <row r="202">
          <cell r="A202">
            <v>6043</v>
          </cell>
          <cell r="B202" t="str">
            <v>MARIPOSA, CA</v>
          </cell>
        </row>
        <row r="203">
          <cell r="A203">
            <v>6045</v>
          </cell>
          <cell r="B203" t="str">
            <v>MENDOCINO, CA</v>
          </cell>
        </row>
        <row r="204">
          <cell r="A204">
            <v>6047</v>
          </cell>
          <cell r="B204" t="str">
            <v>MERCED, CA</v>
          </cell>
        </row>
        <row r="205">
          <cell r="A205">
            <v>6049</v>
          </cell>
          <cell r="B205" t="str">
            <v>MODOC, CA</v>
          </cell>
        </row>
        <row r="206">
          <cell r="A206">
            <v>6051</v>
          </cell>
          <cell r="B206" t="str">
            <v>MONO, CA</v>
          </cell>
        </row>
        <row r="207">
          <cell r="A207">
            <v>6053</v>
          </cell>
          <cell r="B207" t="str">
            <v>MONTEREY, CA</v>
          </cell>
        </row>
        <row r="208">
          <cell r="A208">
            <v>6055</v>
          </cell>
          <cell r="B208" t="str">
            <v>NAPA, CA</v>
          </cell>
        </row>
        <row r="209">
          <cell r="A209">
            <v>6057</v>
          </cell>
          <cell r="B209" t="str">
            <v>NEVADA, CA</v>
          </cell>
        </row>
        <row r="210">
          <cell r="A210">
            <v>6059</v>
          </cell>
          <cell r="B210" t="str">
            <v>ORANGE, CA</v>
          </cell>
        </row>
        <row r="211">
          <cell r="A211">
            <v>6061</v>
          </cell>
          <cell r="B211" t="str">
            <v>PLACER, CA</v>
          </cell>
        </row>
        <row r="212">
          <cell r="A212">
            <v>6063</v>
          </cell>
          <cell r="B212" t="str">
            <v>PLUMAS, CA</v>
          </cell>
        </row>
        <row r="213">
          <cell r="A213">
            <v>6065</v>
          </cell>
          <cell r="B213" t="str">
            <v>RIVERSIDE, CA</v>
          </cell>
        </row>
        <row r="214">
          <cell r="A214">
            <v>6067</v>
          </cell>
          <cell r="B214" t="str">
            <v>SACRAMENTO, CA</v>
          </cell>
        </row>
        <row r="215">
          <cell r="A215">
            <v>6069</v>
          </cell>
          <cell r="B215" t="str">
            <v>SAN BENITO, CA</v>
          </cell>
        </row>
        <row r="216">
          <cell r="A216">
            <v>6071</v>
          </cell>
          <cell r="B216" t="str">
            <v>SAN BERNARDINO, CA</v>
          </cell>
        </row>
        <row r="217">
          <cell r="A217">
            <v>6073</v>
          </cell>
          <cell r="B217" t="str">
            <v>SAN DIEGO, CA</v>
          </cell>
        </row>
        <row r="218">
          <cell r="A218">
            <v>6075</v>
          </cell>
          <cell r="B218" t="str">
            <v>SAN FRANCISCO, CA</v>
          </cell>
        </row>
        <row r="219">
          <cell r="A219">
            <v>6077</v>
          </cell>
          <cell r="B219" t="str">
            <v>SAN JOAQUIN, CA</v>
          </cell>
        </row>
        <row r="220">
          <cell r="A220">
            <v>6079</v>
          </cell>
          <cell r="B220" t="str">
            <v>SAN LUIS OBISPO, CA</v>
          </cell>
        </row>
        <row r="221">
          <cell r="A221">
            <v>6081</v>
          </cell>
          <cell r="B221" t="str">
            <v>SAN MATEO, CA</v>
          </cell>
        </row>
        <row r="222">
          <cell r="A222">
            <v>6083</v>
          </cell>
          <cell r="B222" t="str">
            <v>SANTA BARBARA, CA</v>
          </cell>
        </row>
        <row r="223">
          <cell r="A223">
            <v>6085</v>
          </cell>
          <cell r="B223" t="str">
            <v>SANTA CLARA, CA</v>
          </cell>
        </row>
        <row r="224">
          <cell r="A224">
            <v>6087</v>
          </cell>
          <cell r="B224" t="str">
            <v>SANTA CRUZ, CA</v>
          </cell>
        </row>
        <row r="225">
          <cell r="A225">
            <v>6089</v>
          </cell>
          <cell r="B225" t="str">
            <v>SHASTA, CA</v>
          </cell>
        </row>
        <row r="226">
          <cell r="A226">
            <v>6091</v>
          </cell>
          <cell r="B226" t="str">
            <v>SIERRA, CA</v>
          </cell>
        </row>
        <row r="227">
          <cell r="A227">
            <v>6093</v>
          </cell>
          <cell r="B227" t="str">
            <v>SISKIYOU, CA</v>
          </cell>
        </row>
        <row r="228">
          <cell r="A228">
            <v>6095</v>
          </cell>
          <cell r="B228" t="str">
            <v>SOLANO, CA</v>
          </cell>
        </row>
        <row r="229">
          <cell r="A229">
            <v>6097</v>
          </cell>
          <cell r="B229" t="str">
            <v>SONOMA, CA</v>
          </cell>
        </row>
        <row r="230">
          <cell r="A230">
            <v>6099</v>
          </cell>
          <cell r="B230" t="str">
            <v>STANISLAUS, CA</v>
          </cell>
        </row>
        <row r="231">
          <cell r="A231">
            <v>6101</v>
          </cell>
          <cell r="B231" t="str">
            <v>SUTTER, CA</v>
          </cell>
        </row>
        <row r="232">
          <cell r="A232">
            <v>6103</v>
          </cell>
          <cell r="B232" t="str">
            <v>TEHAMA, CA</v>
          </cell>
        </row>
        <row r="233">
          <cell r="A233">
            <v>6105</v>
          </cell>
          <cell r="B233" t="str">
            <v>TRINITY, CA</v>
          </cell>
        </row>
        <row r="234">
          <cell r="A234">
            <v>6107</v>
          </cell>
          <cell r="B234" t="str">
            <v>TULARE, CA</v>
          </cell>
        </row>
        <row r="235">
          <cell r="A235">
            <v>6109</v>
          </cell>
          <cell r="B235" t="str">
            <v>TUOLUMNE, CA</v>
          </cell>
        </row>
        <row r="236">
          <cell r="A236">
            <v>6111</v>
          </cell>
          <cell r="B236" t="str">
            <v>VENTURA, CA</v>
          </cell>
        </row>
        <row r="237">
          <cell r="A237">
            <v>6113</v>
          </cell>
          <cell r="B237" t="str">
            <v>YOLO, CA</v>
          </cell>
        </row>
        <row r="238">
          <cell r="A238">
            <v>6115</v>
          </cell>
          <cell r="B238" t="str">
            <v>YUBA, CA</v>
          </cell>
        </row>
        <row r="239">
          <cell r="A239">
            <v>8001</v>
          </cell>
          <cell r="B239" t="str">
            <v>ADAMS, CO</v>
          </cell>
        </row>
        <row r="240">
          <cell r="A240">
            <v>8003</v>
          </cell>
          <cell r="B240" t="str">
            <v>ALAMOSA, CO</v>
          </cell>
        </row>
        <row r="241">
          <cell r="A241">
            <v>8005</v>
          </cell>
          <cell r="B241" t="str">
            <v>ARAPAHOE, CO</v>
          </cell>
        </row>
        <row r="242">
          <cell r="A242">
            <v>8007</v>
          </cell>
          <cell r="B242" t="str">
            <v>ARCHULETA, CO</v>
          </cell>
        </row>
        <row r="243">
          <cell r="A243">
            <v>8009</v>
          </cell>
          <cell r="B243" t="str">
            <v>BACA, CO</v>
          </cell>
        </row>
        <row r="244">
          <cell r="A244">
            <v>8011</v>
          </cell>
          <cell r="B244" t="str">
            <v>BENT, CO</v>
          </cell>
        </row>
        <row r="245">
          <cell r="A245">
            <v>8013</v>
          </cell>
          <cell r="B245" t="str">
            <v>BOULDER, CO</v>
          </cell>
        </row>
        <row r="246">
          <cell r="A246">
            <v>8015</v>
          </cell>
          <cell r="B246" t="str">
            <v>CHAFFEE, CO</v>
          </cell>
        </row>
        <row r="247">
          <cell r="A247">
            <v>8017</v>
          </cell>
          <cell r="B247" t="str">
            <v>CHEYENNE, CO</v>
          </cell>
        </row>
        <row r="248">
          <cell r="A248">
            <v>8019</v>
          </cell>
          <cell r="B248" t="str">
            <v>CLEAR CREEK, CO</v>
          </cell>
        </row>
        <row r="249">
          <cell r="A249">
            <v>8021</v>
          </cell>
          <cell r="B249" t="str">
            <v>CONEJOS, CO</v>
          </cell>
        </row>
        <row r="250">
          <cell r="A250">
            <v>8023</v>
          </cell>
          <cell r="B250" t="str">
            <v>COSTILLA, CO</v>
          </cell>
        </row>
        <row r="251">
          <cell r="A251">
            <v>8025</v>
          </cell>
          <cell r="B251" t="str">
            <v>CROWLEY, CO</v>
          </cell>
        </row>
        <row r="252">
          <cell r="A252">
            <v>8027</v>
          </cell>
          <cell r="B252" t="str">
            <v>CUSTER, CO</v>
          </cell>
        </row>
        <row r="253">
          <cell r="A253">
            <v>8029</v>
          </cell>
          <cell r="B253" t="str">
            <v>DELTA, CO</v>
          </cell>
        </row>
        <row r="254">
          <cell r="A254">
            <v>8031</v>
          </cell>
          <cell r="B254" t="str">
            <v>DENVER, CO</v>
          </cell>
        </row>
        <row r="255">
          <cell r="A255">
            <v>8033</v>
          </cell>
          <cell r="B255" t="str">
            <v>DOLORES, CO</v>
          </cell>
        </row>
        <row r="256">
          <cell r="A256">
            <v>8035</v>
          </cell>
          <cell r="B256" t="str">
            <v>DOUGLAS, CO</v>
          </cell>
        </row>
        <row r="257">
          <cell r="A257">
            <v>8037</v>
          </cell>
          <cell r="B257" t="str">
            <v>EAGLE, CO</v>
          </cell>
        </row>
        <row r="258">
          <cell r="A258">
            <v>8039</v>
          </cell>
          <cell r="B258" t="str">
            <v>ELBERT, CO</v>
          </cell>
        </row>
        <row r="259">
          <cell r="A259">
            <v>8041</v>
          </cell>
          <cell r="B259" t="str">
            <v>EL PASO, CO</v>
          </cell>
        </row>
        <row r="260">
          <cell r="A260">
            <v>8043</v>
          </cell>
          <cell r="B260" t="str">
            <v>FREMONT, CO</v>
          </cell>
        </row>
        <row r="261">
          <cell r="A261">
            <v>8045</v>
          </cell>
          <cell r="B261" t="str">
            <v>GARFIELD, CO</v>
          </cell>
        </row>
        <row r="262">
          <cell r="A262">
            <v>8047</v>
          </cell>
          <cell r="B262" t="str">
            <v>GILPIN, CO</v>
          </cell>
        </row>
        <row r="263">
          <cell r="A263">
            <v>8049</v>
          </cell>
          <cell r="B263" t="str">
            <v>GRAND, CO</v>
          </cell>
        </row>
        <row r="264">
          <cell r="A264">
            <v>8051</v>
          </cell>
          <cell r="B264" t="str">
            <v>GUNNISON, CO</v>
          </cell>
        </row>
        <row r="265">
          <cell r="A265">
            <v>8053</v>
          </cell>
          <cell r="B265" t="str">
            <v>HINSDALE, CO</v>
          </cell>
        </row>
        <row r="266">
          <cell r="A266">
            <v>8055</v>
          </cell>
          <cell r="B266" t="str">
            <v>HUERFANO, CO</v>
          </cell>
        </row>
        <row r="267">
          <cell r="A267">
            <v>8057</v>
          </cell>
          <cell r="B267" t="str">
            <v>JACKSON, CO</v>
          </cell>
        </row>
        <row r="268">
          <cell r="A268">
            <v>8059</v>
          </cell>
          <cell r="B268" t="str">
            <v>JEFFERSON, CO</v>
          </cell>
        </row>
        <row r="269">
          <cell r="A269">
            <v>8061</v>
          </cell>
          <cell r="B269" t="str">
            <v>KIOWA, CO</v>
          </cell>
        </row>
        <row r="270">
          <cell r="A270">
            <v>8063</v>
          </cell>
          <cell r="B270" t="str">
            <v>KIT CARSON, CO</v>
          </cell>
        </row>
        <row r="271">
          <cell r="A271">
            <v>8065</v>
          </cell>
          <cell r="B271" t="str">
            <v>LAKE, CO</v>
          </cell>
        </row>
        <row r="272">
          <cell r="A272">
            <v>8067</v>
          </cell>
          <cell r="B272" t="str">
            <v>LA PLATA, CO</v>
          </cell>
        </row>
        <row r="273">
          <cell r="A273">
            <v>8069</v>
          </cell>
          <cell r="B273" t="str">
            <v>LARIMER, CO</v>
          </cell>
        </row>
        <row r="274">
          <cell r="A274">
            <v>8071</v>
          </cell>
          <cell r="B274" t="str">
            <v>LAS ANIMAS, CO</v>
          </cell>
        </row>
        <row r="275">
          <cell r="A275">
            <v>8073</v>
          </cell>
          <cell r="B275" t="str">
            <v>LINCOLN, CO</v>
          </cell>
        </row>
        <row r="276">
          <cell r="A276">
            <v>8075</v>
          </cell>
          <cell r="B276" t="str">
            <v>LOGAN, CO</v>
          </cell>
        </row>
        <row r="277">
          <cell r="A277">
            <v>8077</v>
          </cell>
          <cell r="B277" t="str">
            <v>MESA, CO</v>
          </cell>
        </row>
        <row r="278">
          <cell r="A278">
            <v>8079</v>
          </cell>
          <cell r="B278" t="str">
            <v>MINERAL, CO</v>
          </cell>
        </row>
        <row r="279">
          <cell r="A279">
            <v>8081</v>
          </cell>
          <cell r="B279" t="str">
            <v>MOFFAT, CO</v>
          </cell>
        </row>
        <row r="280">
          <cell r="A280">
            <v>8083</v>
          </cell>
          <cell r="B280" t="str">
            <v>MONTEZUMA, CO</v>
          </cell>
        </row>
        <row r="281">
          <cell r="A281">
            <v>8085</v>
          </cell>
          <cell r="B281" t="str">
            <v>MONTROSE, CO</v>
          </cell>
        </row>
        <row r="282">
          <cell r="A282">
            <v>8087</v>
          </cell>
          <cell r="B282" t="str">
            <v>MORGAN, CO</v>
          </cell>
        </row>
        <row r="283">
          <cell r="A283">
            <v>8089</v>
          </cell>
          <cell r="B283" t="str">
            <v>OTERO, CO</v>
          </cell>
        </row>
        <row r="284">
          <cell r="A284">
            <v>8091</v>
          </cell>
          <cell r="B284" t="str">
            <v>OURAY, CO</v>
          </cell>
        </row>
        <row r="285">
          <cell r="A285">
            <v>8093</v>
          </cell>
          <cell r="B285" t="str">
            <v>PARK, CO</v>
          </cell>
        </row>
        <row r="286">
          <cell r="A286">
            <v>8095</v>
          </cell>
          <cell r="B286" t="str">
            <v>PHILLIPS, CO</v>
          </cell>
        </row>
        <row r="287">
          <cell r="A287">
            <v>8097</v>
          </cell>
          <cell r="B287" t="str">
            <v>PITKIN, CO</v>
          </cell>
        </row>
        <row r="288">
          <cell r="A288">
            <v>8099</v>
          </cell>
          <cell r="B288" t="str">
            <v>PROWERS, CO</v>
          </cell>
        </row>
        <row r="289">
          <cell r="A289">
            <v>8101</v>
          </cell>
          <cell r="B289" t="str">
            <v>PUEBLO, CO</v>
          </cell>
        </row>
        <row r="290">
          <cell r="A290">
            <v>8103</v>
          </cell>
          <cell r="B290" t="str">
            <v>RIO BLANCO, CO</v>
          </cell>
        </row>
        <row r="291">
          <cell r="A291">
            <v>8105</v>
          </cell>
          <cell r="B291" t="str">
            <v>RIO GRANDE, CO</v>
          </cell>
        </row>
        <row r="292">
          <cell r="A292">
            <v>8107</v>
          </cell>
          <cell r="B292" t="str">
            <v>ROUTT, CO</v>
          </cell>
        </row>
        <row r="293">
          <cell r="A293">
            <v>8109</v>
          </cell>
          <cell r="B293" t="str">
            <v>SAGUACHE, CO</v>
          </cell>
        </row>
        <row r="294">
          <cell r="A294">
            <v>8111</v>
          </cell>
          <cell r="B294" t="str">
            <v>SAN JUAN, CO</v>
          </cell>
        </row>
        <row r="295">
          <cell r="A295">
            <v>8113</v>
          </cell>
          <cell r="B295" t="str">
            <v>SAN MIGUEL, CO</v>
          </cell>
        </row>
        <row r="296">
          <cell r="A296">
            <v>8115</v>
          </cell>
          <cell r="B296" t="str">
            <v>SEDGWICK, CO</v>
          </cell>
        </row>
        <row r="297">
          <cell r="A297">
            <v>8117</v>
          </cell>
          <cell r="B297" t="str">
            <v>SUMMIT, CO</v>
          </cell>
        </row>
        <row r="298">
          <cell r="A298">
            <v>8119</v>
          </cell>
          <cell r="B298" t="str">
            <v>TELLER, CO</v>
          </cell>
        </row>
        <row r="299">
          <cell r="A299">
            <v>8121</v>
          </cell>
          <cell r="B299" t="str">
            <v>WASHINGTON, CO</v>
          </cell>
        </row>
        <row r="300">
          <cell r="A300">
            <v>8123</v>
          </cell>
          <cell r="B300" t="str">
            <v>WELD, CO</v>
          </cell>
        </row>
        <row r="301">
          <cell r="A301">
            <v>8125</v>
          </cell>
          <cell r="B301" t="str">
            <v>YUMA, CO</v>
          </cell>
        </row>
        <row r="302">
          <cell r="A302">
            <v>9001</v>
          </cell>
          <cell r="B302" t="str">
            <v>FAIRFIELD, CT</v>
          </cell>
        </row>
        <row r="303">
          <cell r="A303">
            <v>9003</v>
          </cell>
          <cell r="B303" t="str">
            <v>HARTFORD, CT</v>
          </cell>
        </row>
        <row r="304">
          <cell r="A304">
            <v>9005</v>
          </cell>
          <cell r="B304" t="str">
            <v>LITCHFIELD, CT</v>
          </cell>
        </row>
        <row r="305">
          <cell r="A305">
            <v>9007</v>
          </cell>
          <cell r="B305" t="str">
            <v>MIDDLESEX, CT</v>
          </cell>
        </row>
        <row r="306">
          <cell r="A306">
            <v>9009</v>
          </cell>
          <cell r="B306" t="str">
            <v>NEW HAVEN, CT</v>
          </cell>
        </row>
        <row r="307">
          <cell r="A307">
            <v>9011</v>
          </cell>
          <cell r="B307" t="str">
            <v>NEW LONDON, CT</v>
          </cell>
        </row>
        <row r="308">
          <cell r="A308">
            <v>9013</v>
          </cell>
          <cell r="B308" t="str">
            <v>TOLLAND, CT</v>
          </cell>
        </row>
        <row r="309">
          <cell r="A309">
            <v>9015</v>
          </cell>
          <cell r="B309" t="str">
            <v>WINDHAM, CT</v>
          </cell>
        </row>
        <row r="310">
          <cell r="A310">
            <v>10001</v>
          </cell>
          <cell r="B310" t="str">
            <v>KENT, DE</v>
          </cell>
        </row>
        <row r="311">
          <cell r="A311">
            <v>10003</v>
          </cell>
          <cell r="B311" t="str">
            <v>NEW CASTLE, DE</v>
          </cell>
        </row>
        <row r="312">
          <cell r="A312">
            <v>10005</v>
          </cell>
          <cell r="B312" t="str">
            <v>SUSSEX, DE</v>
          </cell>
        </row>
        <row r="313">
          <cell r="A313">
            <v>11001</v>
          </cell>
          <cell r="B313" t="str">
            <v>DISTRICT OF COLUMBIA, DC</v>
          </cell>
        </row>
        <row r="314">
          <cell r="A314">
            <v>12001</v>
          </cell>
          <cell r="B314" t="str">
            <v>ALACHUA, FL</v>
          </cell>
        </row>
        <row r="315">
          <cell r="A315">
            <v>12003</v>
          </cell>
          <cell r="B315" t="str">
            <v>BAKER, FL</v>
          </cell>
        </row>
        <row r="316">
          <cell r="A316">
            <v>12005</v>
          </cell>
          <cell r="B316" t="str">
            <v>BAY, FL</v>
          </cell>
        </row>
        <row r="317">
          <cell r="A317">
            <v>12007</v>
          </cell>
          <cell r="B317" t="str">
            <v>BRADFORD, FL</v>
          </cell>
        </row>
        <row r="318">
          <cell r="A318">
            <v>12009</v>
          </cell>
          <cell r="B318" t="str">
            <v>BREVARD, FL</v>
          </cell>
        </row>
        <row r="319">
          <cell r="A319">
            <v>12011</v>
          </cell>
          <cell r="B319" t="str">
            <v>BROWARD, FL</v>
          </cell>
        </row>
        <row r="320">
          <cell r="A320">
            <v>12013</v>
          </cell>
          <cell r="B320" t="str">
            <v>CALHOUN, FL</v>
          </cell>
        </row>
        <row r="321">
          <cell r="A321">
            <v>12015</v>
          </cell>
          <cell r="B321" t="str">
            <v>CHARLOTTE, FL</v>
          </cell>
        </row>
        <row r="322">
          <cell r="A322">
            <v>12017</v>
          </cell>
          <cell r="B322" t="str">
            <v>CITRUS, FL</v>
          </cell>
        </row>
        <row r="323">
          <cell r="A323">
            <v>12019</v>
          </cell>
          <cell r="B323" t="str">
            <v>CLAY, FL</v>
          </cell>
        </row>
        <row r="324">
          <cell r="A324">
            <v>12021</v>
          </cell>
          <cell r="B324" t="str">
            <v>COLLIER, FL</v>
          </cell>
        </row>
        <row r="325">
          <cell r="A325">
            <v>12023</v>
          </cell>
          <cell r="B325" t="str">
            <v>COLUMBIA, FL</v>
          </cell>
        </row>
        <row r="326">
          <cell r="A326">
            <v>12025</v>
          </cell>
          <cell r="B326" t="str">
            <v>DADE, FL</v>
          </cell>
        </row>
        <row r="327">
          <cell r="A327">
            <v>12027</v>
          </cell>
          <cell r="B327" t="str">
            <v>DE SOTO, FL</v>
          </cell>
        </row>
        <row r="328">
          <cell r="A328">
            <v>12029</v>
          </cell>
          <cell r="B328" t="str">
            <v>DIXIE, FL</v>
          </cell>
        </row>
        <row r="329">
          <cell r="A329">
            <v>12031</v>
          </cell>
          <cell r="B329" t="str">
            <v>DUVAL, FL</v>
          </cell>
        </row>
        <row r="330">
          <cell r="A330">
            <v>12033</v>
          </cell>
          <cell r="B330" t="str">
            <v>ESCAMBIA, FL</v>
          </cell>
        </row>
        <row r="331">
          <cell r="A331">
            <v>12035</v>
          </cell>
          <cell r="B331" t="str">
            <v>FLAGLER, FL</v>
          </cell>
        </row>
        <row r="332">
          <cell r="A332">
            <v>12037</v>
          </cell>
          <cell r="B332" t="str">
            <v>FRANKLIN, FL</v>
          </cell>
        </row>
        <row r="333">
          <cell r="A333">
            <v>12039</v>
          </cell>
          <cell r="B333" t="str">
            <v>GADSDEN, FL</v>
          </cell>
        </row>
        <row r="334">
          <cell r="A334">
            <v>12041</v>
          </cell>
          <cell r="B334" t="str">
            <v>GILCHRIST, FL</v>
          </cell>
        </row>
        <row r="335">
          <cell r="A335">
            <v>12043</v>
          </cell>
          <cell r="B335" t="str">
            <v>GLADES, FL</v>
          </cell>
        </row>
        <row r="336">
          <cell r="A336">
            <v>12045</v>
          </cell>
          <cell r="B336" t="str">
            <v>GULF, FL</v>
          </cell>
        </row>
        <row r="337">
          <cell r="A337">
            <v>12047</v>
          </cell>
          <cell r="B337" t="str">
            <v>HAMILTON, FL</v>
          </cell>
        </row>
        <row r="338">
          <cell r="A338">
            <v>12049</v>
          </cell>
          <cell r="B338" t="str">
            <v>HARDEE, FL</v>
          </cell>
        </row>
        <row r="339">
          <cell r="A339">
            <v>12051</v>
          </cell>
          <cell r="B339" t="str">
            <v>HENDRY, FL</v>
          </cell>
        </row>
        <row r="340">
          <cell r="A340">
            <v>12053</v>
          </cell>
          <cell r="B340" t="str">
            <v>HERNANDO, FL</v>
          </cell>
        </row>
        <row r="341">
          <cell r="A341">
            <v>12055</v>
          </cell>
          <cell r="B341" t="str">
            <v>HIGHLANDS, FL</v>
          </cell>
        </row>
        <row r="342">
          <cell r="A342">
            <v>12057</v>
          </cell>
          <cell r="B342" t="str">
            <v>HILLSBOROUGH, FL</v>
          </cell>
        </row>
        <row r="343">
          <cell r="A343">
            <v>12059</v>
          </cell>
          <cell r="B343" t="str">
            <v>HOLMES, FL</v>
          </cell>
        </row>
        <row r="344">
          <cell r="A344">
            <v>12061</v>
          </cell>
          <cell r="B344" t="str">
            <v>INDIAN RIVER, FL</v>
          </cell>
        </row>
        <row r="345">
          <cell r="A345">
            <v>12063</v>
          </cell>
          <cell r="B345" t="str">
            <v>JACKSON, FL</v>
          </cell>
        </row>
        <row r="346">
          <cell r="A346">
            <v>12065</v>
          </cell>
          <cell r="B346" t="str">
            <v>JEFFERSON, FL</v>
          </cell>
        </row>
        <row r="347">
          <cell r="A347">
            <v>12067</v>
          </cell>
          <cell r="B347" t="str">
            <v>LAFAYETTE, FL</v>
          </cell>
        </row>
        <row r="348">
          <cell r="A348">
            <v>12069</v>
          </cell>
          <cell r="B348" t="str">
            <v>LAKE, FL</v>
          </cell>
        </row>
        <row r="349">
          <cell r="A349">
            <v>12071</v>
          </cell>
          <cell r="B349" t="str">
            <v>LEE, FL</v>
          </cell>
        </row>
        <row r="350">
          <cell r="A350">
            <v>12073</v>
          </cell>
          <cell r="B350" t="str">
            <v>LEON, FL</v>
          </cell>
        </row>
        <row r="351">
          <cell r="A351">
            <v>12075</v>
          </cell>
          <cell r="B351" t="str">
            <v>LEVY, FL</v>
          </cell>
        </row>
        <row r="352">
          <cell r="A352">
            <v>12077</v>
          </cell>
          <cell r="B352" t="str">
            <v>LIBERTY, FL</v>
          </cell>
        </row>
        <row r="353">
          <cell r="A353">
            <v>12079</v>
          </cell>
          <cell r="B353" t="str">
            <v>MADISON, FL</v>
          </cell>
        </row>
        <row r="354">
          <cell r="A354">
            <v>12081</v>
          </cell>
          <cell r="B354" t="str">
            <v>MANATEE, FL</v>
          </cell>
        </row>
        <row r="355">
          <cell r="A355">
            <v>12083</v>
          </cell>
          <cell r="B355" t="str">
            <v>MARION, FL</v>
          </cell>
        </row>
        <row r="356">
          <cell r="A356">
            <v>12085</v>
          </cell>
          <cell r="B356" t="str">
            <v>MARTIN, FL</v>
          </cell>
        </row>
        <row r="357">
          <cell r="A357">
            <v>12087</v>
          </cell>
          <cell r="B357" t="str">
            <v>MONROE, FL</v>
          </cell>
        </row>
        <row r="358">
          <cell r="A358">
            <v>12089</v>
          </cell>
          <cell r="B358" t="str">
            <v>NASSAU, FL</v>
          </cell>
        </row>
        <row r="359">
          <cell r="A359">
            <v>12091</v>
          </cell>
          <cell r="B359" t="str">
            <v>OKALOOSA, FL</v>
          </cell>
        </row>
        <row r="360">
          <cell r="A360">
            <v>12093</v>
          </cell>
          <cell r="B360" t="str">
            <v>OKEECHOBEE, FL</v>
          </cell>
        </row>
        <row r="361">
          <cell r="A361">
            <v>12095</v>
          </cell>
          <cell r="B361" t="str">
            <v>ORANGE, FL</v>
          </cell>
        </row>
        <row r="362">
          <cell r="A362">
            <v>12097</v>
          </cell>
          <cell r="B362" t="str">
            <v>OSCEOLA, FL</v>
          </cell>
        </row>
        <row r="363">
          <cell r="A363">
            <v>12099</v>
          </cell>
          <cell r="B363" t="str">
            <v>PALM BEACH, FL</v>
          </cell>
        </row>
        <row r="364">
          <cell r="A364">
            <v>12101</v>
          </cell>
          <cell r="B364" t="str">
            <v>PASCO, FL</v>
          </cell>
        </row>
        <row r="365">
          <cell r="A365">
            <v>12103</v>
          </cell>
          <cell r="B365" t="str">
            <v>PINELLAS, FL</v>
          </cell>
        </row>
        <row r="366">
          <cell r="A366">
            <v>12105</v>
          </cell>
          <cell r="B366" t="str">
            <v>POLK, FL</v>
          </cell>
        </row>
        <row r="367">
          <cell r="A367">
            <v>12107</v>
          </cell>
          <cell r="B367" t="str">
            <v>PUTNAM, FL</v>
          </cell>
        </row>
        <row r="368">
          <cell r="A368">
            <v>12109</v>
          </cell>
          <cell r="B368" t="str">
            <v>ST JOHNS, FL</v>
          </cell>
        </row>
        <row r="369">
          <cell r="A369">
            <v>12111</v>
          </cell>
          <cell r="B369" t="str">
            <v>ST LUCIE, FL</v>
          </cell>
        </row>
        <row r="370">
          <cell r="A370">
            <v>12113</v>
          </cell>
          <cell r="B370" t="str">
            <v>SANTA ROSA, FL</v>
          </cell>
        </row>
        <row r="371">
          <cell r="A371">
            <v>12115</v>
          </cell>
          <cell r="B371" t="str">
            <v>SARASOTA, FL</v>
          </cell>
        </row>
        <row r="372">
          <cell r="A372">
            <v>12117</v>
          </cell>
          <cell r="B372" t="str">
            <v>SEMINOLE, FL</v>
          </cell>
        </row>
        <row r="373">
          <cell r="A373">
            <v>12119</v>
          </cell>
          <cell r="B373" t="str">
            <v>SUMTER, FL</v>
          </cell>
        </row>
        <row r="374">
          <cell r="A374">
            <v>12121</v>
          </cell>
          <cell r="B374" t="str">
            <v>SUWANNEE, FL</v>
          </cell>
        </row>
        <row r="375">
          <cell r="A375">
            <v>12123</v>
          </cell>
          <cell r="B375" t="str">
            <v>TAYLOR, FL</v>
          </cell>
        </row>
        <row r="376">
          <cell r="A376">
            <v>12125</v>
          </cell>
          <cell r="B376" t="str">
            <v>UNION, FL</v>
          </cell>
        </row>
        <row r="377">
          <cell r="A377">
            <v>12127</v>
          </cell>
          <cell r="B377" t="str">
            <v>VOLUSIA, FL</v>
          </cell>
        </row>
        <row r="378">
          <cell r="A378">
            <v>12129</v>
          </cell>
          <cell r="B378" t="str">
            <v>WAKULLA, FL</v>
          </cell>
        </row>
        <row r="379">
          <cell r="A379">
            <v>12131</v>
          </cell>
          <cell r="B379" t="str">
            <v>WALTON, FL</v>
          </cell>
        </row>
        <row r="380">
          <cell r="A380">
            <v>12133</v>
          </cell>
          <cell r="B380" t="str">
            <v>WASHINGTON, FL</v>
          </cell>
        </row>
        <row r="381">
          <cell r="A381">
            <v>13001</v>
          </cell>
          <cell r="B381" t="str">
            <v>APPLING, GA</v>
          </cell>
        </row>
        <row r="382">
          <cell r="A382">
            <v>13003</v>
          </cell>
          <cell r="B382" t="str">
            <v>ATKINSON, GA</v>
          </cell>
        </row>
        <row r="383">
          <cell r="A383">
            <v>13005</v>
          </cell>
          <cell r="B383" t="str">
            <v>BACON, GA</v>
          </cell>
        </row>
        <row r="384">
          <cell r="A384">
            <v>13007</v>
          </cell>
          <cell r="B384" t="str">
            <v>BAKER, GA</v>
          </cell>
        </row>
        <row r="385">
          <cell r="A385">
            <v>13009</v>
          </cell>
          <cell r="B385" t="str">
            <v>BALDWIN, GA</v>
          </cell>
        </row>
        <row r="386">
          <cell r="A386">
            <v>13011</v>
          </cell>
          <cell r="B386" t="str">
            <v>BANKS, GA</v>
          </cell>
        </row>
        <row r="387">
          <cell r="A387">
            <v>13013</v>
          </cell>
          <cell r="B387" t="str">
            <v>BARROW, GA</v>
          </cell>
        </row>
        <row r="388">
          <cell r="A388">
            <v>13015</v>
          </cell>
          <cell r="B388" t="str">
            <v>BARTOW, GA</v>
          </cell>
        </row>
        <row r="389">
          <cell r="A389">
            <v>13017</v>
          </cell>
          <cell r="B389" t="str">
            <v>BEN HILL, GA</v>
          </cell>
        </row>
        <row r="390">
          <cell r="A390">
            <v>13019</v>
          </cell>
          <cell r="B390" t="str">
            <v>BERRIEN, GA</v>
          </cell>
        </row>
        <row r="391">
          <cell r="A391">
            <v>13021</v>
          </cell>
          <cell r="B391" t="str">
            <v>BIBB, GA</v>
          </cell>
        </row>
        <row r="392">
          <cell r="A392">
            <v>13023</v>
          </cell>
          <cell r="B392" t="str">
            <v>BLECKLEY, GA</v>
          </cell>
        </row>
        <row r="393">
          <cell r="A393">
            <v>13025</v>
          </cell>
          <cell r="B393" t="str">
            <v>BRANTLEY, GA</v>
          </cell>
        </row>
        <row r="394">
          <cell r="A394">
            <v>13027</v>
          </cell>
          <cell r="B394" t="str">
            <v>BROOKS, GA</v>
          </cell>
        </row>
        <row r="395">
          <cell r="A395">
            <v>13029</v>
          </cell>
          <cell r="B395" t="str">
            <v>BRYAN, GA</v>
          </cell>
        </row>
        <row r="396">
          <cell r="A396">
            <v>13031</v>
          </cell>
          <cell r="B396" t="str">
            <v>BULLOCH, GA</v>
          </cell>
        </row>
        <row r="397">
          <cell r="A397">
            <v>13033</v>
          </cell>
          <cell r="B397" t="str">
            <v>BURKE, GA</v>
          </cell>
        </row>
        <row r="398">
          <cell r="A398">
            <v>13035</v>
          </cell>
          <cell r="B398" t="str">
            <v>BUTTS, GA</v>
          </cell>
        </row>
        <row r="399">
          <cell r="A399">
            <v>13037</v>
          </cell>
          <cell r="B399" t="str">
            <v>CALHOUN, GA</v>
          </cell>
        </row>
        <row r="400">
          <cell r="A400">
            <v>13039</v>
          </cell>
          <cell r="B400" t="str">
            <v>CAMDEN, GA</v>
          </cell>
        </row>
        <row r="401">
          <cell r="A401">
            <v>13043</v>
          </cell>
          <cell r="B401" t="str">
            <v>CANDLER, GA</v>
          </cell>
        </row>
        <row r="402">
          <cell r="A402">
            <v>13045</v>
          </cell>
          <cell r="B402" t="str">
            <v>CARROLL, GA</v>
          </cell>
        </row>
        <row r="403">
          <cell r="A403">
            <v>13047</v>
          </cell>
          <cell r="B403" t="str">
            <v>CATOOSA, GA</v>
          </cell>
        </row>
        <row r="404">
          <cell r="A404">
            <v>13049</v>
          </cell>
          <cell r="B404" t="str">
            <v>CHARLTON, GA</v>
          </cell>
        </row>
        <row r="405">
          <cell r="A405">
            <v>13051</v>
          </cell>
          <cell r="B405" t="str">
            <v>CHATHAM, GA</v>
          </cell>
        </row>
        <row r="406">
          <cell r="A406">
            <v>13053</v>
          </cell>
          <cell r="B406" t="str">
            <v>CHATTAHOOCHEE, GA</v>
          </cell>
        </row>
        <row r="407">
          <cell r="A407">
            <v>13055</v>
          </cell>
          <cell r="B407" t="str">
            <v>CHATTOOGA, GA</v>
          </cell>
        </row>
        <row r="408">
          <cell r="A408">
            <v>13057</v>
          </cell>
          <cell r="B408" t="str">
            <v>CHEROKEE, GA</v>
          </cell>
        </row>
        <row r="409">
          <cell r="A409">
            <v>13059</v>
          </cell>
          <cell r="B409" t="str">
            <v>CLARKE, GA</v>
          </cell>
        </row>
        <row r="410">
          <cell r="A410">
            <v>13061</v>
          </cell>
          <cell r="B410" t="str">
            <v>CLAY, GA</v>
          </cell>
        </row>
        <row r="411">
          <cell r="A411">
            <v>13063</v>
          </cell>
          <cell r="B411" t="str">
            <v>CLAYTON, GA</v>
          </cell>
        </row>
        <row r="412">
          <cell r="A412">
            <v>13065</v>
          </cell>
          <cell r="B412" t="str">
            <v>CLINCH, GA</v>
          </cell>
        </row>
        <row r="413">
          <cell r="A413">
            <v>13067</v>
          </cell>
          <cell r="B413" t="str">
            <v>COBB, GA</v>
          </cell>
        </row>
        <row r="414">
          <cell r="A414">
            <v>13069</v>
          </cell>
          <cell r="B414" t="str">
            <v>COFFEE, GA</v>
          </cell>
        </row>
        <row r="415">
          <cell r="A415">
            <v>13071</v>
          </cell>
          <cell r="B415" t="str">
            <v>COLQUITT, GA</v>
          </cell>
        </row>
        <row r="416">
          <cell r="A416">
            <v>13073</v>
          </cell>
          <cell r="B416" t="str">
            <v>COLUMBIA, GA</v>
          </cell>
        </row>
        <row r="417">
          <cell r="A417">
            <v>13075</v>
          </cell>
          <cell r="B417" t="str">
            <v>COOK, GA</v>
          </cell>
        </row>
        <row r="418">
          <cell r="A418">
            <v>13077</v>
          </cell>
          <cell r="B418" t="str">
            <v>COWETA, GA</v>
          </cell>
        </row>
        <row r="419">
          <cell r="A419">
            <v>13079</v>
          </cell>
          <cell r="B419" t="str">
            <v>CRAWFORD, GA</v>
          </cell>
        </row>
        <row r="420">
          <cell r="A420">
            <v>13081</v>
          </cell>
          <cell r="B420" t="str">
            <v>CRISP, GA</v>
          </cell>
        </row>
        <row r="421">
          <cell r="A421">
            <v>13083</v>
          </cell>
          <cell r="B421" t="str">
            <v>DADE, GA</v>
          </cell>
        </row>
        <row r="422">
          <cell r="A422">
            <v>13085</v>
          </cell>
          <cell r="B422" t="str">
            <v>DAWSON, GA</v>
          </cell>
        </row>
        <row r="423">
          <cell r="A423">
            <v>13087</v>
          </cell>
          <cell r="B423" t="str">
            <v>DECATUR, GA</v>
          </cell>
        </row>
        <row r="424">
          <cell r="A424">
            <v>13089</v>
          </cell>
          <cell r="B424" t="str">
            <v>DE KALB, GA</v>
          </cell>
        </row>
        <row r="425">
          <cell r="A425">
            <v>13091</v>
          </cell>
          <cell r="B425" t="str">
            <v>DODGE, GA</v>
          </cell>
        </row>
        <row r="426">
          <cell r="A426">
            <v>13093</v>
          </cell>
          <cell r="B426" t="str">
            <v>DOOLY, GA</v>
          </cell>
        </row>
        <row r="427">
          <cell r="A427">
            <v>13095</v>
          </cell>
          <cell r="B427" t="str">
            <v>DOUGHERTY, GA</v>
          </cell>
        </row>
        <row r="428">
          <cell r="A428">
            <v>13097</v>
          </cell>
          <cell r="B428" t="str">
            <v>DOUGLAS, GA</v>
          </cell>
        </row>
        <row r="429">
          <cell r="A429">
            <v>13099</v>
          </cell>
          <cell r="B429" t="str">
            <v>EARLY, GA</v>
          </cell>
        </row>
        <row r="430">
          <cell r="A430">
            <v>13101</v>
          </cell>
          <cell r="B430" t="str">
            <v>ECHOLS, GA</v>
          </cell>
        </row>
        <row r="431">
          <cell r="A431">
            <v>13103</v>
          </cell>
          <cell r="B431" t="str">
            <v>EFFINGHAM, GA</v>
          </cell>
        </row>
        <row r="432">
          <cell r="A432">
            <v>13105</v>
          </cell>
          <cell r="B432" t="str">
            <v>ELBERT, GA</v>
          </cell>
        </row>
        <row r="433">
          <cell r="A433">
            <v>13107</v>
          </cell>
          <cell r="B433" t="str">
            <v>EMANUEL, GA</v>
          </cell>
        </row>
        <row r="434">
          <cell r="A434">
            <v>13109</v>
          </cell>
          <cell r="B434" t="str">
            <v>EVANS, GA</v>
          </cell>
        </row>
        <row r="435">
          <cell r="A435">
            <v>13111</v>
          </cell>
          <cell r="B435" t="str">
            <v>FANNIN, GA</v>
          </cell>
        </row>
        <row r="436">
          <cell r="A436">
            <v>13113</v>
          </cell>
          <cell r="B436" t="str">
            <v>FAYETTE, GA</v>
          </cell>
        </row>
        <row r="437">
          <cell r="A437">
            <v>13115</v>
          </cell>
          <cell r="B437" t="str">
            <v>FLOYD, GA</v>
          </cell>
        </row>
        <row r="438">
          <cell r="A438">
            <v>13117</v>
          </cell>
          <cell r="B438" t="str">
            <v>FORSYTH, GA</v>
          </cell>
        </row>
        <row r="439">
          <cell r="A439">
            <v>13119</v>
          </cell>
          <cell r="B439" t="str">
            <v>FRANKLIN, GA</v>
          </cell>
        </row>
        <row r="440">
          <cell r="A440">
            <v>13121</v>
          </cell>
          <cell r="B440" t="str">
            <v>FULTON, GA</v>
          </cell>
        </row>
        <row r="441">
          <cell r="A441">
            <v>13123</v>
          </cell>
          <cell r="B441" t="str">
            <v>GILMER, GA</v>
          </cell>
        </row>
        <row r="442">
          <cell r="A442">
            <v>13125</v>
          </cell>
          <cell r="B442" t="str">
            <v>GLASCOCK, GA</v>
          </cell>
        </row>
        <row r="443">
          <cell r="A443">
            <v>13127</v>
          </cell>
          <cell r="B443" t="str">
            <v>GLYNN, GA</v>
          </cell>
        </row>
        <row r="444">
          <cell r="A444">
            <v>13129</v>
          </cell>
          <cell r="B444" t="str">
            <v>GORDON, GA</v>
          </cell>
        </row>
        <row r="445">
          <cell r="A445">
            <v>13131</v>
          </cell>
          <cell r="B445" t="str">
            <v>GRADY, GA</v>
          </cell>
        </row>
        <row r="446">
          <cell r="A446">
            <v>13133</v>
          </cell>
          <cell r="B446" t="str">
            <v>GREENE, GA</v>
          </cell>
        </row>
        <row r="447">
          <cell r="A447">
            <v>13135</v>
          </cell>
          <cell r="B447" t="str">
            <v>GWINNETT, GA</v>
          </cell>
        </row>
        <row r="448">
          <cell r="A448">
            <v>13137</v>
          </cell>
          <cell r="B448" t="str">
            <v>HABERSHAM, GA</v>
          </cell>
        </row>
        <row r="449">
          <cell r="A449">
            <v>13139</v>
          </cell>
          <cell r="B449" t="str">
            <v>HALL, GA</v>
          </cell>
        </row>
        <row r="450">
          <cell r="A450">
            <v>13141</v>
          </cell>
          <cell r="B450" t="str">
            <v>HANCOCK, GA</v>
          </cell>
        </row>
        <row r="451">
          <cell r="A451">
            <v>13143</v>
          </cell>
          <cell r="B451" t="str">
            <v>HARALSON, GA</v>
          </cell>
        </row>
        <row r="452">
          <cell r="A452">
            <v>13145</v>
          </cell>
          <cell r="B452" t="str">
            <v>HARRIS, GA</v>
          </cell>
        </row>
        <row r="453">
          <cell r="A453">
            <v>13147</v>
          </cell>
          <cell r="B453" t="str">
            <v>HART, GA</v>
          </cell>
        </row>
        <row r="454">
          <cell r="A454">
            <v>13149</v>
          </cell>
          <cell r="B454" t="str">
            <v>HEARD, GA</v>
          </cell>
        </row>
        <row r="455">
          <cell r="A455">
            <v>13151</v>
          </cell>
          <cell r="B455" t="str">
            <v>HENRY, GA</v>
          </cell>
        </row>
        <row r="456">
          <cell r="A456">
            <v>13153</v>
          </cell>
          <cell r="B456" t="str">
            <v>HOUSTON, GA</v>
          </cell>
        </row>
        <row r="457">
          <cell r="A457">
            <v>13155</v>
          </cell>
          <cell r="B457" t="str">
            <v>IRWIN, GA</v>
          </cell>
        </row>
        <row r="458">
          <cell r="A458">
            <v>13157</v>
          </cell>
          <cell r="B458" t="str">
            <v>JACKSON, GA</v>
          </cell>
        </row>
        <row r="459">
          <cell r="A459">
            <v>13159</v>
          </cell>
          <cell r="B459" t="str">
            <v>JASPER, GA</v>
          </cell>
        </row>
        <row r="460">
          <cell r="A460">
            <v>13161</v>
          </cell>
          <cell r="B460" t="str">
            <v>JEFF DAVIS, GA</v>
          </cell>
        </row>
        <row r="461">
          <cell r="A461">
            <v>13163</v>
          </cell>
          <cell r="B461" t="str">
            <v>JEFFERSON, GA</v>
          </cell>
        </row>
        <row r="462">
          <cell r="A462">
            <v>13165</v>
          </cell>
          <cell r="B462" t="str">
            <v>JENKINS, GA</v>
          </cell>
        </row>
        <row r="463">
          <cell r="A463">
            <v>13167</v>
          </cell>
          <cell r="B463" t="str">
            <v>JOHNSON, GA</v>
          </cell>
        </row>
        <row r="464">
          <cell r="A464">
            <v>13169</v>
          </cell>
          <cell r="B464" t="str">
            <v>JONES, GA</v>
          </cell>
        </row>
        <row r="465">
          <cell r="A465">
            <v>13171</v>
          </cell>
          <cell r="B465" t="str">
            <v>LAMAR, GA</v>
          </cell>
        </row>
        <row r="466">
          <cell r="A466">
            <v>13173</v>
          </cell>
          <cell r="B466" t="str">
            <v>LANIER, GA</v>
          </cell>
        </row>
        <row r="467">
          <cell r="A467">
            <v>13175</v>
          </cell>
          <cell r="B467" t="str">
            <v>LAURENS, GA</v>
          </cell>
        </row>
        <row r="468">
          <cell r="A468">
            <v>13177</v>
          </cell>
          <cell r="B468" t="str">
            <v>LEE, GA</v>
          </cell>
        </row>
        <row r="469">
          <cell r="A469">
            <v>13179</v>
          </cell>
          <cell r="B469" t="str">
            <v>LIBERTY, GA</v>
          </cell>
        </row>
        <row r="470">
          <cell r="A470">
            <v>13181</v>
          </cell>
          <cell r="B470" t="str">
            <v>LINCOLN, GA</v>
          </cell>
        </row>
        <row r="471">
          <cell r="A471">
            <v>13183</v>
          </cell>
          <cell r="B471" t="str">
            <v>LONG, GA</v>
          </cell>
        </row>
        <row r="472">
          <cell r="A472">
            <v>13185</v>
          </cell>
          <cell r="B472" t="str">
            <v>LOWNDES, GA</v>
          </cell>
        </row>
        <row r="473">
          <cell r="A473">
            <v>13187</v>
          </cell>
          <cell r="B473" t="str">
            <v>LUMPKIN, GA</v>
          </cell>
        </row>
        <row r="474">
          <cell r="A474">
            <v>13189</v>
          </cell>
          <cell r="B474" t="str">
            <v>MCDUFFIE, GA</v>
          </cell>
        </row>
        <row r="475">
          <cell r="A475">
            <v>13191</v>
          </cell>
          <cell r="B475" t="str">
            <v>MCINTOSH, GA</v>
          </cell>
        </row>
        <row r="476">
          <cell r="A476">
            <v>13193</v>
          </cell>
          <cell r="B476" t="str">
            <v>MACON, GA</v>
          </cell>
        </row>
        <row r="477">
          <cell r="A477">
            <v>13195</v>
          </cell>
          <cell r="B477" t="str">
            <v>MADISON, GA</v>
          </cell>
        </row>
        <row r="478">
          <cell r="A478">
            <v>13197</v>
          </cell>
          <cell r="B478" t="str">
            <v>MARION, GA</v>
          </cell>
        </row>
        <row r="479">
          <cell r="A479">
            <v>13199</v>
          </cell>
          <cell r="B479" t="str">
            <v>MERIWETHER, GA</v>
          </cell>
        </row>
        <row r="480">
          <cell r="A480">
            <v>13201</v>
          </cell>
          <cell r="B480" t="str">
            <v>MILLER, GA</v>
          </cell>
        </row>
        <row r="481">
          <cell r="A481">
            <v>13205</v>
          </cell>
          <cell r="B481" t="str">
            <v>MITCHELL, GA</v>
          </cell>
        </row>
        <row r="482">
          <cell r="A482">
            <v>13207</v>
          </cell>
          <cell r="B482" t="str">
            <v>MONROE, GA</v>
          </cell>
        </row>
        <row r="483">
          <cell r="A483">
            <v>13209</v>
          </cell>
          <cell r="B483" t="str">
            <v>MONTGOMERY, GA</v>
          </cell>
        </row>
        <row r="484">
          <cell r="A484">
            <v>13211</v>
          </cell>
          <cell r="B484" t="str">
            <v>MORGAN, GA</v>
          </cell>
        </row>
        <row r="485">
          <cell r="A485">
            <v>13213</v>
          </cell>
          <cell r="B485" t="str">
            <v>MURRAY, GA</v>
          </cell>
        </row>
        <row r="486">
          <cell r="A486">
            <v>13215</v>
          </cell>
          <cell r="B486" t="str">
            <v>MUSCOGEE, GA</v>
          </cell>
        </row>
        <row r="487">
          <cell r="A487">
            <v>13217</v>
          </cell>
          <cell r="B487" t="str">
            <v>NEWTON, GA</v>
          </cell>
        </row>
        <row r="488">
          <cell r="A488">
            <v>13219</v>
          </cell>
          <cell r="B488" t="str">
            <v>OCONEE, GA</v>
          </cell>
        </row>
        <row r="489">
          <cell r="A489">
            <v>13221</v>
          </cell>
          <cell r="B489" t="str">
            <v>OGLETHORPE, GA</v>
          </cell>
        </row>
        <row r="490">
          <cell r="A490">
            <v>13223</v>
          </cell>
          <cell r="B490" t="str">
            <v>PAULDING, GA</v>
          </cell>
        </row>
        <row r="491">
          <cell r="A491">
            <v>13225</v>
          </cell>
          <cell r="B491" t="str">
            <v>PEACH, GA</v>
          </cell>
        </row>
        <row r="492">
          <cell r="A492">
            <v>13227</v>
          </cell>
          <cell r="B492" t="str">
            <v>PICKENS, GA</v>
          </cell>
        </row>
        <row r="493">
          <cell r="A493">
            <v>13229</v>
          </cell>
          <cell r="B493" t="str">
            <v>PIERCE, GA</v>
          </cell>
        </row>
        <row r="494">
          <cell r="A494">
            <v>13231</v>
          </cell>
          <cell r="B494" t="str">
            <v>PIKE, GA</v>
          </cell>
        </row>
        <row r="495">
          <cell r="A495">
            <v>13233</v>
          </cell>
          <cell r="B495" t="str">
            <v>POLK, GA</v>
          </cell>
        </row>
        <row r="496">
          <cell r="A496">
            <v>13235</v>
          </cell>
          <cell r="B496" t="str">
            <v>PULASKI, GA</v>
          </cell>
        </row>
        <row r="497">
          <cell r="A497">
            <v>13237</v>
          </cell>
          <cell r="B497" t="str">
            <v>PUTNAM, GA</v>
          </cell>
        </row>
        <row r="498">
          <cell r="A498">
            <v>13239</v>
          </cell>
          <cell r="B498" t="str">
            <v>QUITMAN, GA</v>
          </cell>
        </row>
        <row r="499">
          <cell r="A499">
            <v>13241</v>
          </cell>
          <cell r="B499" t="str">
            <v>RABUN, GA</v>
          </cell>
        </row>
        <row r="500">
          <cell r="A500">
            <v>13243</v>
          </cell>
          <cell r="B500" t="str">
            <v>RANDOLPH, GA</v>
          </cell>
        </row>
        <row r="501">
          <cell r="A501">
            <v>13245</v>
          </cell>
          <cell r="B501" t="str">
            <v>RICHMOND, GA</v>
          </cell>
        </row>
        <row r="502">
          <cell r="A502">
            <v>13247</v>
          </cell>
          <cell r="B502" t="str">
            <v>ROCKDALE, GA</v>
          </cell>
        </row>
        <row r="503">
          <cell r="A503">
            <v>13249</v>
          </cell>
          <cell r="B503" t="str">
            <v>SCHLEY, GA</v>
          </cell>
        </row>
        <row r="504">
          <cell r="A504">
            <v>13251</v>
          </cell>
          <cell r="B504" t="str">
            <v>SCREVEN, GA</v>
          </cell>
        </row>
        <row r="505">
          <cell r="A505">
            <v>13253</v>
          </cell>
          <cell r="B505" t="str">
            <v>SEMINOLE, GA</v>
          </cell>
        </row>
        <row r="506">
          <cell r="A506">
            <v>13255</v>
          </cell>
          <cell r="B506" t="str">
            <v>SPALDING, GA</v>
          </cell>
        </row>
        <row r="507">
          <cell r="A507">
            <v>13257</v>
          </cell>
          <cell r="B507" t="str">
            <v>STEPHENS, GA</v>
          </cell>
        </row>
        <row r="508">
          <cell r="A508">
            <v>13259</v>
          </cell>
          <cell r="B508" t="str">
            <v>STEWART, GA</v>
          </cell>
        </row>
        <row r="509">
          <cell r="A509">
            <v>13261</v>
          </cell>
          <cell r="B509" t="str">
            <v>SUMTER, GA</v>
          </cell>
        </row>
        <row r="510">
          <cell r="A510">
            <v>13263</v>
          </cell>
          <cell r="B510" t="str">
            <v>TALBOT, GA</v>
          </cell>
        </row>
        <row r="511">
          <cell r="A511">
            <v>13265</v>
          </cell>
          <cell r="B511" t="str">
            <v>TALIAFERRO, GA</v>
          </cell>
        </row>
        <row r="512">
          <cell r="A512">
            <v>13267</v>
          </cell>
          <cell r="B512" t="str">
            <v>TATTNALL, GA</v>
          </cell>
        </row>
        <row r="513">
          <cell r="A513">
            <v>13269</v>
          </cell>
          <cell r="B513" t="str">
            <v>TAYLOR, GA</v>
          </cell>
        </row>
        <row r="514">
          <cell r="A514">
            <v>13271</v>
          </cell>
          <cell r="B514" t="str">
            <v>TELFAIR, GA</v>
          </cell>
        </row>
        <row r="515">
          <cell r="A515">
            <v>13273</v>
          </cell>
          <cell r="B515" t="str">
            <v>TERRELL, GA</v>
          </cell>
        </row>
        <row r="516">
          <cell r="A516">
            <v>13275</v>
          </cell>
          <cell r="B516" t="str">
            <v>THOMAS, GA</v>
          </cell>
        </row>
        <row r="517">
          <cell r="A517">
            <v>13277</v>
          </cell>
          <cell r="B517" t="str">
            <v>TIFT, GA</v>
          </cell>
        </row>
        <row r="518">
          <cell r="A518">
            <v>13279</v>
          </cell>
          <cell r="B518" t="str">
            <v>TOOMBS, GA</v>
          </cell>
        </row>
        <row r="519">
          <cell r="A519">
            <v>13281</v>
          </cell>
          <cell r="B519" t="str">
            <v>TOWNS, GA</v>
          </cell>
        </row>
        <row r="520">
          <cell r="A520">
            <v>13283</v>
          </cell>
          <cell r="B520" t="str">
            <v>TREUTLEN, GA</v>
          </cell>
        </row>
        <row r="521">
          <cell r="A521">
            <v>13285</v>
          </cell>
          <cell r="B521" t="str">
            <v>TROUP, GA</v>
          </cell>
        </row>
        <row r="522">
          <cell r="A522">
            <v>13287</v>
          </cell>
          <cell r="B522" t="str">
            <v>TURNER, GA</v>
          </cell>
        </row>
        <row r="523">
          <cell r="A523">
            <v>13289</v>
          </cell>
          <cell r="B523" t="str">
            <v>TWIGGS, GA</v>
          </cell>
        </row>
        <row r="524">
          <cell r="A524">
            <v>13291</v>
          </cell>
          <cell r="B524" t="str">
            <v>UNION, GA</v>
          </cell>
        </row>
        <row r="525">
          <cell r="A525">
            <v>13293</v>
          </cell>
          <cell r="B525" t="str">
            <v>UPSON, GA</v>
          </cell>
        </row>
        <row r="526">
          <cell r="A526">
            <v>13295</v>
          </cell>
          <cell r="B526" t="str">
            <v>WALKER, GA</v>
          </cell>
        </row>
        <row r="527">
          <cell r="A527">
            <v>13297</v>
          </cell>
          <cell r="B527" t="str">
            <v>WALTON, GA</v>
          </cell>
        </row>
        <row r="528">
          <cell r="A528">
            <v>13299</v>
          </cell>
          <cell r="B528" t="str">
            <v>WARE, GA</v>
          </cell>
        </row>
        <row r="529">
          <cell r="A529">
            <v>13301</v>
          </cell>
          <cell r="B529" t="str">
            <v>WARREN, GA</v>
          </cell>
        </row>
        <row r="530">
          <cell r="A530">
            <v>13303</v>
          </cell>
          <cell r="B530" t="str">
            <v>WASHINGTON, GA</v>
          </cell>
        </row>
        <row r="531">
          <cell r="A531">
            <v>13305</v>
          </cell>
          <cell r="B531" t="str">
            <v>WAYNE, GA</v>
          </cell>
        </row>
        <row r="532">
          <cell r="A532">
            <v>13307</v>
          </cell>
          <cell r="B532" t="str">
            <v>WEBSTER, GA</v>
          </cell>
        </row>
        <row r="533">
          <cell r="A533">
            <v>13309</v>
          </cell>
          <cell r="B533" t="str">
            <v>WHEELER, GA</v>
          </cell>
        </row>
        <row r="534">
          <cell r="A534">
            <v>13311</v>
          </cell>
          <cell r="B534" t="str">
            <v>WHITE, GA</v>
          </cell>
        </row>
        <row r="535">
          <cell r="A535">
            <v>13313</v>
          </cell>
          <cell r="B535" t="str">
            <v>WHITFIELD, GA</v>
          </cell>
        </row>
        <row r="536">
          <cell r="A536">
            <v>13315</v>
          </cell>
          <cell r="B536" t="str">
            <v>WILCOX, GA</v>
          </cell>
        </row>
        <row r="537">
          <cell r="A537">
            <v>13317</v>
          </cell>
          <cell r="B537" t="str">
            <v>WILKES, GA</v>
          </cell>
        </row>
        <row r="538">
          <cell r="A538">
            <v>13319</v>
          </cell>
          <cell r="B538" t="str">
            <v>WILKINSON, GA</v>
          </cell>
        </row>
        <row r="539">
          <cell r="A539">
            <v>13321</v>
          </cell>
          <cell r="B539" t="str">
            <v>WORTH, GA</v>
          </cell>
        </row>
        <row r="540">
          <cell r="A540">
            <v>15001</v>
          </cell>
          <cell r="B540" t="str">
            <v>HAWAII, HI</v>
          </cell>
        </row>
        <row r="541">
          <cell r="A541">
            <v>15003</v>
          </cell>
          <cell r="B541" t="str">
            <v>HONOLULU, HI</v>
          </cell>
        </row>
        <row r="542">
          <cell r="A542">
            <v>15005</v>
          </cell>
          <cell r="B542" t="str">
            <v>KALAWAO, HI</v>
          </cell>
        </row>
        <row r="543">
          <cell r="A543">
            <v>15007</v>
          </cell>
          <cell r="B543" t="str">
            <v>KAUAI, HI</v>
          </cell>
        </row>
        <row r="544">
          <cell r="A544">
            <v>15009</v>
          </cell>
          <cell r="B544" t="str">
            <v>MAUI, HI</v>
          </cell>
        </row>
        <row r="545">
          <cell r="A545">
            <v>16001</v>
          </cell>
          <cell r="B545" t="str">
            <v>ADA, ID</v>
          </cell>
        </row>
        <row r="546">
          <cell r="A546">
            <v>16003</v>
          </cell>
          <cell r="B546" t="str">
            <v>ADAMS, ID</v>
          </cell>
        </row>
        <row r="547">
          <cell r="A547">
            <v>16005</v>
          </cell>
          <cell r="B547" t="str">
            <v>BANNOCK, ID</v>
          </cell>
        </row>
        <row r="548">
          <cell r="A548">
            <v>16007</v>
          </cell>
          <cell r="B548" t="str">
            <v>BEAR LAKE, ID</v>
          </cell>
        </row>
        <row r="549">
          <cell r="A549">
            <v>16009</v>
          </cell>
          <cell r="B549" t="str">
            <v>BENEWAH, ID</v>
          </cell>
        </row>
        <row r="550">
          <cell r="A550">
            <v>16011</v>
          </cell>
          <cell r="B550" t="str">
            <v>BINGHAM, ID</v>
          </cell>
        </row>
        <row r="551">
          <cell r="A551">
            <v>16013</v>
          </cell>
          <cell r="B551" t="str">
            <v>BLAINE, ID</v>
          </cell>
        </row>
        <row r="552">
          <cell r="A552">
            <v>16015</v>
          </cell>
          <cell r="B552" t="str">
            <v>BOISE, ID</v>
          </cell>
        </row>
        <row r="553">
          <cell r="A553">
            <v>16017</v>
          </cell>
          <cell r="B553" t="str">
            <v>BONNER, ID</v>
          </cell>
        </row>
        <row r="554">
          <cell r="A554">
            <v>16019</v>
          </cell>
          <cell r="B554" t="str">
            <v>BONNEVILLE, ID</v>
          </cell>
        </row>
        <row r="555">
          <cell r="A555">
            <v>16021</v>
          </cell>
          <cell r="B555" t="str">
            <v>BOUNDARY, ID</v>
          </cell>
        </row>
        <row r="556">
          <cell r="A556">
            <v>16023</v>
          </cell>
          <cell r="B556" t="str">
            <v>BUTTE, ID</v>
          </cell>
        </row>
        <row r="557">
          <cell r="A557">
            <v>16025</v>
          </cell>
          <cell r="B557" t="str">
            <v>CAMAS, ID</v>
          </cell>
        </row>
        <row r="558">
          <cell r="A558">
            <v>16027</v>
          </cell>
          <cell r="B558" t="str">
            <v>CANYON, ID</v>
          </cell>
        </row>
        <row r="559">
          <cell r="A559">
            <v>16029</v>
          </cell>
          <cell r="B559" t="str">
            <v>CARIBOU, ID</v>
          </cell>
        </row>
        <row r="560">
          <cell r="A560">
            <v>16031</v>
          </cell>
          <cell r="B560" t="str">
            <v>CASSIA, ID</v>
          </cell>
        </row>
        <row r="561">
          <cell r="A561">
            <v>16033</v>
          </cell>
          <cell r="B561" t="str">
            <v>CLARK, ID</v>
          </cell>
        </row>
        <row r="562">
          <cell r="A562">
            <v>16035</v>
          </cell>
          <cell r="B562" t="str">
            <v>CLEARWATER, ID</v>
          </cell>
        </row>
        <row r="563">
          <cell r="A563">
            <v>16037</v>
          </cell>
          <cell r="B563" t="str">
            <v>CUSTER, ID</v>
          </cell>
        </row>
        <row r="564">
          <cell r="A564">
            <v>16039</v>
          </cell>
          <cell r="B564" t="str">
            <v>ELMORE, ID</v>
          </cell>
        </row>
        <row r="565">
          <cell r="A565">
            <v>16041</v>
          </cell>
          <cell r="B565" t="str">
            <v>FRANKLIN, ID</v>
          </cell>
        </row>
        <row r="566">
          <cell r="A566">
            <v>16043</v>
          </cell>
          <cell r="B566" t="str">
            <v>FREMONT, ID</v>
          </cell>
        </row>
        <row r="567">
          <cell r="A567">
            <v>16045</v>
          </cell>
          <cell r="B567" t="str">
            <v>GEM, ID</v>
          </cell>
        </row>
        <row r="568">
          <cell r="A568">
            <v>16047</v>
          </cell>
          <cell r="B568" t="str">
            <v>GOODING, ID</v>
          </cell>
        </row>
        <row r="569">
          <cell r="A569">
            <v>16049</v>
          </cell>
          <cell r="B569" t="str">
            <v>IDAHO, ID</v>
          </cell>
        </row>
        <row r="570">
          <cell r="A570">
            <v>16051</v>
          </cell>
          <cell r="B570" t="str">
            <v>JEFFERSON, ID</v>
          </cell>
        </row>
        <row r="571">
          <cell r="A571">
            <v>16053</v>
          </cell>
          <cell r="B571" t="str">
            <v>JEROME, ID</v>
          </cell>
        </row>
        <row r="572">
          <cell r="A572">
            <v>16055</v>
          </cell>
          <cell r="B572" t="str">
            <v>KOOTENAI, ID</v>
          </cell>
        </row>
        <row r="573">
          <cell r="A573">
            <v>16057</v>
          </cell>
          <cell r="B573" t="str">
            <v>LATAH, ID</v>
          </cell>
        </row>
        <row r="574">
          <cell r="A574">
            <v>16059</v>
          </cell>
          <cell r="B574" t="str">
            <v>LEMHI, ID</v>
          </cell>
        </row>
        <row r="575">
          <cell r="A575">
            <v>16061</v>
          </cell>
          <cell r="B575" t="str">
            <v>LEWIS, ID</v>
          </cell>
        </row>
        <row r="576">
          <cell r="A576">
            <v>16063</v>
          </cell>
          <cell r="B576" t="str">
            <v>LINCOLN, ID</v>
          </cell>
        </row>
        <row r="577">
          <cell r="A577">
            <v>16065</v>
          </cell>
          <cell r="B577" t="str">
            <v>MADISON, ID</v>
          </cell>
        </row>
        <row r="578">
          <cell r="A578">
            <v>16067</v>
          </cell>
          <cell r="B578" t="str">
            <v>MINIDOKA, ID</v>
          </cell>
        </row>
        <row r="579">
          <cell r="A579">
            <v>16069</v>
          </cell>
          <cell r="B579" t="str">
            <v>NEZ PERCE, ID</v>
          </cell>
        </row>
        <row r="580">
          <cell r="A580">
            <v>16071</v>
          </cell>
          <cell r="B580" t="str">
            <v>ONEIDA, ID</v>
          </cell>
        </row>
        <row r="581">
          <cell r="A581">
            <v>16073</v>
          </cell>
          <cell r="B581" t="str">
            <v>OWYHEE, ID</v>
          </cell>
        </row>
        <row r="582">
          <cell r="A582">
            <v>16075</v>
          </cell>
          <cell r="B582" t="str">
            <v>PAYETTE, ID</v>
          </cell>
        </row>
        <row r="583">
          <cell r="A583">
            <v>16077</v>
          </cell>
          <cell r="B583" t="str">
            <v>POWER, ID</v>
          </cell>
        </row>
        <row r="584">
          <cell r="A584">
            <v>16079</v>
          </cell>
          <cell r="B584" t="str">
            <v>SHOSHONE, ID</v>
          </cell>
        </row>
        <row r="585">
          <cell r="A585">
            <v>16081</v>
          </cell>
          <cell r="B585" t="str">
            <v>TETON, ID</v>
          </cell>
        </row>
        <row r="586">
          <cell r="A586">
            <v>16083</v>
          </cell>
          <cell r="B586" t="str">
            <v>TWIN FALLS, ID</v>
          </cell>
        </row>
        <row r="587">
          <cell r="A587">
            <v>16085</v>
          </cell>
          <cell r="B587" t="str">
            <v>VALLEY, ID</v>
          </cell>
        </row>
        <row r="588">
          <cell r="A588">
            <v>16087</v>
          </cell>
          <cell r="B588" t="str">
            <v>WASHINGTON, ID</v>
          </cell>
        </row>
        <row r="589">
          <cell r="A589">
            <v>17001</v>
          </cell>
          <cell r="B589" t="str">
            <v>ADAMS, IL</v>
          </cell>
        </row>
        <row r="590">
          <cell r="A590">
            <v>17003</v>
          </cell>
          <cell r="B590" t="str">
            <v>ALEXANDER, IL</v>
          </cell>
        </row>
        <row r="591">
          <cell r="A591">
            <v>17005</v>
          </cell>
          <cell r="B591" t="str">
            <v>BOND, IL</v>
          </cell>
        </row>
        <row r="592">
          <cell r="A592">
            <v>17007</v>
          </cell>
          <cell r="B592" t="str">
            <v>BOONE, IL</v>
          </cell>
        </row>
        <row r="593">
          <cell r="A593">
            <v>17009</v>
          </cell>
          <cell r="B593" t="str">
            <v>BROWN, IL</v>
          </cell>
        </row>
        <row r="594">
          <cell r="A594">
            <v>17011</v>
          </cell>
          <cell r="B594" t="str">
            <v>BUREAU, IL</v>
          </cell>
        </row>
        <row r="595">
          <cell r="A595">
            <v>17013</v>
          </cell>
          <cell r="B595" t="str">
            <v>CALHOUN, IL</v>
          </cell>
        </row>
        <row r="596">
          <cell r="A596">
            <v>17015</v>
          </cell>
          <cell r="B596" t="str">
            <v>CARROLL, IL</v>
          </cell>
        </row>
        <row r="597">
          <cell r="A597">
            <v>17017</v>
          </cell>
          <cell r="B597" t="str">
            <v>CASS, IL</v>
          </cell>
        </row>
        <row r="598">
          <cell r="A598">
            <v>17019</v>
          </cell>
          <cell r="B598" t="str">
            <v>CHAMPAIGN, IL</v>
          </cell>
        </row>
        <row r="599">
          <cell r="A599">
            <v>17021</v>
          </cell>
          <cell r="B599" t="str">
            <v>CHRISTIAN, IL</v>
          </cell>
        </row>
        <row r="600">
          <cell r="A600">
            <v>17023</v>
          </cell>
          <cell r="B600" t="str">
            <v>CLARK, IL</v>
          </cell>
        </row>
        <row r="601">
          <cell r="A601">
            <v>17025</v>
          </cell>
          <cell r="B601" t="str">
            <v>CLAY, IL</v>
          </cell>
        </row>
        <row r="602">
          <cell r="A602">
            <v>17027</v>
          </cell>
          <cell r="B602" t="str">
            <v>CLINTON, IL</v>
          </cell>
        </row>
        <row r="603">
          <cell r="A603">
            <v>17029</v>
          </cell>
          <cell r="B603" t="str">
            <v>COLES, IL</v>
          </cell>
        </row>
        <row r="604">
          <cell r="A604">
            <v>17031</v>
          </cell>
          <cell r="B604" t="str">
            <v>COOK, IL</v>
          </cell>
        </row>
        <row r="605">
          <cell r="A605">
            <v>17033</v>
          </cell>
          <cell r="B605" t="str">
            <v>CRAWFORD, IL</v>
          </cell>
        </row>
        <row r="606">
          <cell r="A606">
            <v>17035</v>
          </cell>
          <cell r="B606" t="str">
            <v>CUMBERLAND, IL</v>
          </cell>
        </row>
        <row r="607">
          <cell r="A607">
            <v>17037</v>
          </cell>
          <cell r="B607" t="str">
            <v>DE KALB, IL</v>
          </cell>
        </row>
        <row r="608">
          <cell r="A608">
            <v>17039</v>
          </cell>
          <cell r="B608" t="str">
            <v>DE WITT, IL</v>
          </cell>
        </row>
        <row r="609">
          <cell r="A609">
            <v>17041</v>
          </cell>
          <cell r="B609" t="str">
            <v>DOUGLAS, IL</v>
          </cell>
        </row>
        <row r="610">
          <cell r="A610">
            <v>17043</v>
          </cell>
          <cell r="B610" t="str">
            <v>DU PAGE, IL</v>
          </cell>
        </row>
        <row r="611">
          <cell r="A611">
            <v>17045</v>
          </cell>
          <cell r="B611" t="str">
            <v>EDGAR, IL</v>
          </cell>
        </row>
        <row r="612">
          <cell r="A612">
            <v>17047</v>
          </cell>
          <cell r="B612" t="str">
            <v>EDWARDS, IL</v>
          </cell>
        </row>
        <row r="613">
          <cell r="A613">
            <v>17049</v>
          </cell>
          <cell r="B613" t="str">
            <v>EFFINGHAM, IL</v>
          </cell>
        </row>
        <row r="614">
          <cell r="A614">
            <v>17051</v>
          </cell>
          <cell r="B614" t="str">
            <v>FAYETTE, IL</v>
          </cell>
        </row>
        <row r="615">
          <cell r="A615">
            <v>17053</v>
          </cell>
          <cell r="B615" t="str">
            <v>FORD, IL</v>
          </cell>
        </row>
        <row r="616">
          <cell r="A616">
            <v>17055</v>
          </cell>
          <cell r="B616" t="str">
            <v>FRANKLIN, IL</v>
          </cell>
        </row>
        <row r="617">
          <cell r="A617">
            <v>17057</v>
          </cell>
          <cell r="B617" t="str">
            <v>FULTON, IL</v>
          </cell>
        </row>
        <row r="618">
          <cell r="A618">
            <v>17059</v>
          </cell>
          <cell r="B618" t="str">
            <v>GALLATIN, IL</v>
          </cell>
        </row>
        <row r="619">
          <cell r="A619">
            <v>17061</v>
          </cell>
          <cell r="B619" t="str">
            <v>GREENE, IL</v>
          </cell>
        </row>
        <row r="620">
          <cell r="A620">
            <v>17063</v>
          </cell>
          <cell r="B620" t="str">
            <v>GRUNDY, IL</v>
          </cell>
        </row>
        <row r="621">
          <cell r="A621">
            <v>17065</v>
          </cell>
          <cell r="B621" t="str">
            <v>HAMILTON, IL</v>
          </cell>
        </row>
        <row r="622">
          <cell r="A622">
            <v>17067</v>
          </cell>
          <cell r="B622" t="str">
            <v>HANCOCK, IL</v>
          </cell>
        </row>
        <row r="623">
          <cell r="A623">
            <v>17069</v>
          </cell>
          <cell r="B623" t="str">
            <v>HARDIN, IL</v>
          </cell>
        </row>
        <row r="624">
          <cell r="A624">
            <v>17071</v>
          </cell>
          <cell r="B624" t="str">
            <v>HENDERSON, IL</v>
          </cell>
        </row>
        <row r="625">
          <cell r="A625">
            <v>17073</v>
          </cell>
          <cell r="B625" t="str">
            <v>HENRY, IL</v>
          </cell>
        </row>
        <row r="626">
          <cell r="A626">
            <v>17075</v>
          </cell>
          <cell r="B626" t="str">
            <v>IROQUOIS, IL</v>
          </cell>
        </row>
        <row r="627">
          <cell r="A627">
            <v>17077</v>
          </cell>
          <cell r="B627" t="str">
            <v>JACKSON, IL</v>
          </cell>
        </row>
        <row r="628">
          <cell r="A628">
            <v>17079</v>
          </cell>
          <cell r="B628" t="str">
            <v>JASPER, IL</v>
          </cell>
        </row>
        <row r="629">
          <cell r="A629">
            <v>17081</v>
          </cell>
          <cell r="B629" t="str">
            <v>JEFFERSON, IL</v>
          </cell>
        </row>
        <row r="630">
          <cell r="A630">
            <v>17083</v>
          </cell>
          <cell r="B630" t="str">
            <v>JERSEY, IL</v>
          </cell>
        </row>
        <row r="631">
          <cell r="A631">
            <v>17085</v>
          </cell>
          <cell r="B631" t="str">
            <v>JO DAVIESS, IL</v>
          </cell>
        </row>
        <row r="632">
          <cell r="A632">
            <v>17087</v>
          </cell>
          <cell r="B632" t="str">
            <v>JOHNSON, IL</v>
          </cell>
        </row>
        <row r="633">
          <cell r="A633">
            <v>17089</v>
          </cell>
          <cell r="B633" t="str">
            <v>KANE, IL</v>
          </cell>
        </row>
        <row r="634">
          <cell r="A634">
            <v>17091</v>
          </cell>
          <cell r="B634" t="str">
            <v>KANKAKEE, IL</v>
          </cell>
        </row>
        <row r="635">
          <cell r="A635">
            <v>17093</v>
          </cell>
          <cell r="B635" t="str">
            <v>KENDALL, IL</v>
          </cell>
        </row>
        <row r="636">
          <cell r="A636">
            <v>17095</v>
          </cell>
          <cell r="B636" t="str">
            <v>KNOX, IL</v>
          </cell>
        </row>
        <row r="637">
          <cell r="A637">
            <v>17097</v>
          </cell>
          <cell r="B637" t="str">
            <v>LAKE, IL</v>
          </cell>
        </row>
        <row r="638">
          <cell r="A638">
            <v>17099</v>
          </cell>
          <cell r="B638" t="str">
            <v>LA SALLE, IL</v>
          </cell>
        </row>
        <row r="639">
          <cell r="A639">
            <v>17101</v>
          </cell>
          <cell r="B639" t="str">
            <v>LAWRENCE, IL</v>
          </cell>
        </row>
        <row r="640">
          <cell r="A640">
            <v>17103</v>
          </cell>
          <cell r="B640" t="str">
            <v>LEE, IL</v>
          </cell>
        </row>
        <row r="641">
          <cell r="A641">
            <v>17105</v>
          </cell>
          <cell r="B641" t="str">
            <v>LIVINGSTON, IL</v>
          </cell>
        </row>
        <row r="642">
          <cell r="A642">
            <v>17107</v>
          </cell>
          <cell r="B642" t="str">
            <v>LOGAN, IL</v>
          </cell>
        </row>
        <row r="643">
          <cell r="A643">
            <v>17109</v>
          </cell>
          <cell r="B643" t="str">
            <v>MCDONOUGH, IL</v>
          </cell>
        </row>
        <row r="644">
          <cell r="A644">
            <v>17111</v>
          </cell>
          <cell r="B644" t="str">
            <v>MCHENRY, IL</v>
          </cell>
        </row>
        <row r="645">
          <cell r="A645">
            <v>17113</v>
          </cell>
          <cell r="B645" t="str">
            <v>MCLEAN, IL</v>
          </cell>
        </row>
        <row r="646">
          <cell r="A646">
            <v>17115</v>
          </cell>
          <cell r="B646" t="str">
            <v>MACON, IL</v>
          </cell>
        </row>
        <row r="647">
          <cell r="A647">
            <v>17117</v>
          </cell>
          <cell r="B647" t="str">
            <v>MACOUPIN, IL</v>
          </cell>
        </row>
        <row r="648">
          <cell r="A648">
            <v>17119</v>
          </cell>
          <cell r="B648" t="str">
            <v>MADISON, IL</v>
          </cell>
        </row>
        <row r="649">
          <cell r="A649">
            <v>17121</v>
          </cell>
          <cell r="B649" t="str">
            <v>MARION, IL</v>
          </cell>
        </row>
        <row r="650">
          <cell r="A650">
            <v>17123</v>
          </cell>
          <cell r="B650" t="str">
            <v>MARSHALL, IL</v>
          </cell>
        </row>
        <row r="651">
          <cell r="A651">
            <v>17125</v>
          </cell>
          <cell r="B651" t="str">
            <v>MASON, IL</v>
          </cell>
        </row>
        <row r="652">
          <cell r="A652">
            <v>17127</v>
          </cell>
          <cell r="B652" t="str">
            <v>MASSAC, IL</v>
          </cell>
        </row>
        <row r="653">
          <cell r="A653">
            <v>17129</v>
          </cell>
          <cell r="B653" t="str">
            <v>MENARD, IL</v>
          </cell>
        </row>
        <row r="654">
          <cell r="A654">
            <v>17131</v>
          </cell>
          <cell r="B654" t="str">
            <v>MERCER, IL</v>
          </cell>
        </row>
        <row r="655">
          <cell r="A655">
            <v>17133</v>
          </cell>
          <cell r="B655" t="str">
            <v>MONROE, IL</v>
          </cell>
        </row>
        <row r="656">
          <cell r="A656">
            <v>17135</v>
          </cell>
          <cell r="B656" t="str">
            <v>MONTGOMERY, IL</v>
          </cell>
        </row>
        <row r="657">
          <cell r="A657">
            <v>17137</v>
          </cell>
          <cell r="B657" t="str">
            <v>MORGAN, IL</v>
          </cell>
        </row>
        <row r="658">
          <cell r="A658">
            <v>17139</v>
          </cell>
          <cell r="B658" t="str">
            <v>MOULTRIE, IL</v>
          </cell>
        </row>
        <row r="659">
          <cell r="A659">
            <v>17141</v>
          </cell>
          <cell r="B659" t="str">
            <v>OGLE, IL</v>
          </cell>
        </row>
        <row r="660">
          <cell r="A660">
            <v>17143</v>
          </cell>
          <cell r="B660" t="str">
            <v>PEORIA, IL</v>
          </cell>
        </row>
        <row r="661">
          <cell r="A661">
            <v>17145</v>
          </cell>
          <cell r="B661" t="str">
            <v>PERRY, IL</v>
          </cell>
        </row>
        <row r="662">
          <cell r="A662">
            <v>17147</v>
          </cell>
          <cell r="B662" t="str">
            <v>PIATT, IL</v>
          </cell>
        </row>
        <row r="663">
          <cell r="A663">
            <v>17149</v>
          </cell>
          <cell r="B663" t="str">
            <v>PIKE, IL</v>
          </cell>
        </row>
        <row r="664">
          <cell r="A664">
            <v>17151</v>
          </cell>
          <cell r="B664" t="str">
            <v>POPE, IL</v>
          </cell>
        </row>
        <row r="665">
          <cell r="A665">
            <v>17153</v>
          </cell>
          <cell r="B665" t="str">
            <v>PULASKI, IL</v>
          </cell>
        </row>
        <row r="666">
          <cell r="A666">
            <v>17155</v>
          </cell>
          <cell r="B666" t="str">
            <v>PUTNAM, IL</v>
          </cell>
        </row>
        <row r="667">
          <cell r="A667">
            <v>17157</v>
          </cell>
          <cell r="B667" t="str">
            <v>RANDOLPH, IL</v>
          </cell>
        </row>
        <row r="668">
          <cell r="A668">
            <v>17159</v>
          </cell>
          <cell r="B668" t="str">
            <v>RICHLAND, IL</v>
          </cell>
        </row>
        <row r="669">
          <cell r="A669">
            <v>17161</v>
          </cell>
          <cell r="B669" t="str">
            <v>ROCK ISLAND, IL</v>
          </cell>
        </row>
        <row r="670">
          <cell r="A670">
            <v>17163</v>
          </cell>
          <cell r="B670" t="str">
            <v>ST CLAIR, IL</v>
          </cell>
        </row>
        <row r="671">
          <cell r="A671">
            <v>17165</v>
          </cell>
          <cell r="B671" t="str">
            <v>SALINE, IL</v>
          </cell>
        </row>
        <row r="672">
          <cell r="A672">
            <v>17167</v>
          </cell>
          <cell r="B672" t="str">
            <v>SANGAMON, IL</v>
          </cell>
        </row>
        <row r="673">
          <cell r="A673">
            <v>17169</v>
          </cell>
          <cell r="B673" t="str">
            <v>SCHUYLER, IL</v>
          </cell>
        </row>
        <row r="674">
          <cell r="A674">
            <v>17171</v>
          </cell>
          <cell r="B674" t="str">
            <v>SCOTT, IL</v>
          </cell>
        </row>
        <row r="675">
          <cell r="A675">
            <v>17173</v>
          </cell>
          <cell r="B675" t="str">
            <v>SHELBY, IL</v>
          </cell>
        </row>
        <row r="676">
          <cell r="A676">
            <v>17175</v>
          </cell>
          <cell r="B676" t="str">
            <v>STARK, IL</v>
          </cell>
        </row>
        <row r="677">
          <cell r="A677">
            <v>17177</v>
          </cell>
          <cell r="B677" t="str">
            <v>STEPHENSON, IL</v>
          </cell>
        </row>
        <row r="678">
          <cell r="A678">
            <v>17179</v>
          </cell>
          <cell r="B678" t="str">
            <v>TAZEWELL, IL</v>
          </cell>
        </row>
        <row r="679">
          <cell r="A679">
            <v>17181</v>
          </cell>
          <cell r="B679" t="str">
            <v>UNION, IL</v>
          </cell>
        </row>
        <row r="680">
          <cell r="A680">
            <v>17183</v>
          </cell>
          <cell r="B680" t="str">
            <v>VERMILION, IL</v>
          </cell>
        </row>
        <row r="681">
          <cell r="A681">
            <v>17185</v>
          </cell>
          <cell r="B681" t="str">
            <v>WABASH, IL</v>
          </cell>
        </row>
        <row r="682">
          <cell r="A682">
            <v>17187</v>
          </cell>
          <cell r="B682" t="str">
            <v>WARREN, IL</v>
          </cell>
        </row>
        <row r="683">
          <cell r="A683">
            <v>17189</v>
          </cell>
          <cell r="B683" t="str">
            <v>WASHINGTON, IL</v>
          </cell>
        </row>
        <row r="684">
          <cell r="A684">
            <v>17191</v>
          </cell>
          <cell r="B684" t="str">
            <v>WAYNE, IL</v>
          </cell>
        </row>
        <row r="685">
          <cell r="A685">
            <v>17193</v>
          </cell>
          <cell r="B685" t="str">
            <v>WHITE, IL</v>
          </cell>
        </row>
        <row r="686">
          <cell r="A686">
            <v>17195</v>
          </cell>
          <cell r="B686" t="str">
            <v>WHITESIDE, IL</v>
          </cell>
        </row>
        <row r="687">
          <cell r="A687">
            <v>17197</v>
          </cell>
          <cell r="B687" t="str">
            <v>WILL, IL</v>
          </cell>
        </row>
        <row r="688">
          <cell r="A688">
            <v>17199</v>
          </cell>
          <cell r="B688" t="str">
            <v>WILLIAMSON, IL</v>
          </cell>
        </row>
        <row r="689">
          <cell r="A689">
            <v>17201</v>
          </cell>
          <cell r="B689" t="str">
            <v>WINNEBAGO, IL</v>
          </cell>
        </row>
        <row r="690">
          <cell r="A690">
            <v>17203</v>
          </cell>
          <cell r="B690" t="str">
            <v>WOODFORD, IL</v>
          </cell>
        </row>
        <row r="691">
          <cell r="A691">
            <v>18001</v>
          </cell>
          <cell r="B691" t="str">
            <v>ADAMS, IN</v>
          </cell>
        </row>
        <row r="692">
          <cell r="A692">
            <v>18003</v>
          </cell>
          <cell r="B692" t="str">
            <v>ALLEN, IN</v>
          </cell>
        </row>
        <row r="693">
          <cell r="A693">
            <v>18005</v>
          </cell>
          <cell r="B693" t="str">
            <v>BARTHOLOMEW, IN</v>
          </cell>
        </row>
        <row r="694">
          <cell r="A694">
            <v>18007</v>
          </cell>
          <cell r="B694" t="str">
            <v>BENTON, IN</v>
          </cell>
        </row>
        <row r="695">
          <cell r="A695">
            <v>18009</v>
          </cell>
          <cell r="B695" t="str">
            <v>BLACKFORD, IN</v>
          </cell>
        </row>
        <row r="696">
          <cell r="A696">
            <v>18011</v>
          </cell>
          <cell r="B696" t="str">
            <v>BOONE, IN</v>
          </cell>
        </row>
        <row r="697">
          <cell r="A697">
            <v>18013</v>
          </cell>
          <cell r="B697" t="str">
            <v>BROWN, IN</v>
          </cell>
        </row>
        <row r="698">
          <cell r="A698">
            <v>18015</v>
          </cell>
          <cell r="B698" t="str">
            <v>CARROLL, IN</v>
          </cell>
        </row>
        <row r="699">
          <cell r="A699">
            <v>18017</v>
          </cell>
          <cell r="B699" t="str">
            <v>CASS, IN</v>
          </cell>
        </row>
        <row r="700">
          <cell r="A700">
            <v>18019</v>
          </cell>
          <cell r="B700" t="str">
            <v>CLARK, IN</v>
          </cell>
        </row>
        <row r="701">
          <cell r="A701">
            <v>18021</v>
          </cell>
          <cell r="B701" t="str">
            <v>CLAY, IN</v>
          </cell>
        </row>
        <row r="702">
          <cell r="A702">
            <v>18023</v>
          </cell>
          <cell r="B702" t="str">
            <v>CLINTON, IN</v>
          </cell>
        </row>
        <row r="703">
          <cell r="A703">
            <v>18025</v>
          </cell>
          <cell r="B703" t="str">
            <v>CRAWFORD, IN</v>
          </cell>
        </row>
        <row r="704">
          <cell r="A704">
            <v>18027</v>
          </cell>
          <cell r="B704" t="str">
            <v>DAVIESS, IN</v>
          </cell>
        </row>
        <row r="705">
          <cell r="A705">
            <v>18029</v>
          </cell>
          <cell r="B705" t="str">
            <v>DEARBORN, IN</v>
          </cell>
        </row>
        <row r="706">
          <cell r="A706">
            <v>18031</v>
          </cell>
          <cell r="B706" t="str">
            <v>DECATUR, IN</v>
          </cell>
        </row>
        <row r="707">
          <cell r="A707">
            <v>18033</v>
          </cell>
          <cell r="B707" t="str">
            <v>DE KALB, IN</v>
          </cell>
        </row>
        <row r="708">
          <cell r="A708">
            <v>18035</v>
          </cell>
          <cell r="B708" t="str">
            <v>DELAWARE, IN</v>
          </cell>
        </row>
        <row r="709">
          <cell r="A709">
            <v>18037</v>
          </cell>
          <cell r="B709" t="str">
            <v>DUBOIS, IN</v>
          </cell>
        </row>
        <row r="710">
          <cell r="A710">
            <v>18039</v>
          </cell>
          <cell r="B710" t="str">
            <v>ELKHART, IN</v>
          </cell>
        </row>
        <row r="711">
          <cell r="A711">
            <v>18041</v>
          </cell>
          <cell r="B711" t="str">
            <v>FAYETTE, IN</v>
          </cell>
        </row>
        <row r="712">
          <cell r="A712">
            <v>18043</v>
          </cell>
          <cell r="B712" t="str">
            <v>FLOYD, IN</v>
          </cell>
        </row>
        <row r="713">
          <cell r="A713">
            <v>18045</v>
          </cell>
          <cell r="B713" t="str">
            <v>FOUNTAIN, IN</v>
          </cell>
        </row>
        <row r="714">
          <cell r="A714">
            <v>18047</v>
          </cell>
          <cell r="B714" t="str">
            <v>FRANKLIN, IN</v>
          </cell>
        </row>
        <row r="715">
          <cell r="A715">
            <v>18049</v>
          </cell>
          <cell r="B715" t="str">
            <v>FULTON, IN</v>
          </cell>
        </row>
        <row r="716">
          <cell r="A716">
            <v>18051</v>
          </cell>
          <cell r="B716" t="str">
            <v>GIBSON, IN</v>
          </cell>
        </row>
        <row r="717">
          <cell r="A717">
            <v>18053</v>
          </cell>
          <cell r="B717" t="str">
            <v>GRANT, IN</v>
          </cell>
        </row>
        <row r="718">
          <cell r="A718">
            <v>18055</v>
          </cell>
          <cell r="B718" t="str">
            <v>GREENE, IN</v>
          </cell>
        </row>
        <row r="719">
          <cell r="A719">
            <v>18057</v>
          </cell>
          <cell r="B719" t="str">
            <v>HAMILTON, IN</v>
          </cell>
        </row>
        <row r="720">
          <cell r="A720">
            <v>18059</v>
          </cell>
          <cell r="B720" t="str">
            <v>HANCOCK, IN</v>
          </cell>
        </row>
        <row r="721">
          <cell r="A721">
            <v>18061</v>
          </cell>
          <cell r="B721" t="str">
            <v>HARRISON, IN</v>
          </cell>
        </row>
        <row r="722">
          <cell r="A722">
            <v>18063</v>
          </cell>
          <cell r="B722" t="str">
            <v>HENDRICKS, IN</v>
          </cell>
        </row>
        <row r="723">
          <cell r="A723">
            <v>18065</v>
          </cell>
          <cell r="B723" t="str">
            <v>HENRY, IN</v>
          </cell>
        </row>
        <row r="724">
          <cell r="A724">
            <v>18067</v>
          </cell>
          <cell r="B724" t="str">
            <v>HOWARD, IN</v>
          </cell>
        </row>
        <row r="725">
          <cell r="A725">
            <v>18069</v>
          </cell>
          <cell r="B725" t="str">
            <v>HUNTINGTON, IN</v>
          </cell>
        </row>
        <row r="726">
          <cell r="A726">
            <v>18071</v>
          </cell>
          <cell r="B726" t="str">
            <v>JACKSON, IN</v>
          </cell>
        </row>
        <row r="727">
          <cell r="A727">
            <v>18073</v>
          </cell>
          <cell r="B727" t="str">
            <v>JASPER, IN</v>
          </cell>
        </row>
        <row r="728">
          <cell r="A728">
            <v>18075</v>
          </cell>
          <cell r="B728" t="str">
            <v>JAY, IN</v>
          </cell>
        </row>
        <row r="729">
          <cell r="A729">
            <v>18077</v>
          </cell>
          <cell r="B729" t="str">
            <v>JEFFERSON, IN</v>
          </cell>
        </row>
        <row r="730">
          <cell r="A730">
            <v>18079</v>
          </cell>
          <cell r="B730" t="str">
            <v>JENNINGS, IN</v>
          </cell>
        </row>
        <row r="731">
          <cell r="A731">
            <v>18081</v>
          </cell>
          <cell r="B731" t="str">
            <v>JOHNSON, IN</v>
          </cell>
        </row>
        <row r="732">
          <cell r="A732">
            <v>18083</v>
          </cell>
          <cell r="B732" t="str">
            <v>KNOX, IN</v>
          </cell>
        </row>
        <row r="733">
          <cell r="A733">
            <v>18085</v>
          </cell>
          <cell r="B733" t="str">
            <v>KOSCIUSKO, IN</v>
          </cell>
        </row>
        <row r="734">
          <cell r="A734">
            <v>18087</v>
          </cell>
          <cell r="B734" t="str">
            <v>LAGRANGE, IN</v>
          </cell>
        </row>
        <row r="735">
          <cell r="A735">
            <v>18089</v>
          </cell>
          <cell r="B735" t="str">
            <v>LAKE, IN</v>
          </cell>
        </row>
        <row r="736">
          <cell r="A736">
            <v>18091</v>
          </cell>
          <cell r="B736" t="str">
            <v>LA PORTE, IN</v>
          </cell>
        </row>
        <row r="737">
          <cell r="A737">
            <v>18093</v>
          </cell>
          <cell r="B737" t="str">
            <v>LAWRENCE, IN</v>
          </cell>
        </row>
        <row r="738">
          <cell r="A738">
            <v>18095</v>
          </cell>
          <cell r="B738" t="str">
            <v>MADISON, IN</v>
          </cell>
        </row>
        <row r="739">
          <cell r="A739">
            <v>18097</v>
          </cell>
          <cell r="B739" t="str">
            <v>MARION, IN</v>
          </cell>
        </row>
        <row r="740">
          <cell r="A740">
            <v>18099</v>
          </cell>
          <cell r="B740" t="str">
            <v>MARSHALL, IN</v>
          </cell>
        </row>
        <row r="741">
          <cell r="A741">
            <v>18101</v>
          </cell>
          <cell r="B741" t="str">
            <v>MARTIN, IN</v>
          </cell>
        </row>
        <row r="742">
          <cell r="A742">
            <v>18103</v>
          </cell>
          <cell r="B742" t="str">
            <v>MIAMI, IN</v>
          </cell>
        </row>
        <row r="743">
          <cell r="A743">
            <v>18105</v>
          </cell>
          <cell r="B743" t="str">
            <v>MONROE, IN</v>
          </cell>
        </row>
        <row r="744">
          <cell r="A744">
            <v>18107</v>
          </cell>
          <cell r="B744" t="str">
            <v>MONTGOMERY, IN</v>
          </cell>
        </row>
        <row r="745">
          <cell r="A745">
            <v>18109</v>
          </cell>
          <cell r="B745" t="str">
            <v>MORGAN, IN</v>
          </cell>
        </row>
        <row r="746">
          <cell r="A746">
            <v>18111</v>
          </cell>
          <cell r="B746" t="str">
            <v>NEWTON, IN</v>
          </cell>
        </row>
        <row r="747">
          <cell r="A747">
            <v>18113</v>
          </cell>
          <cell r="B747" t="str">
            <v>NOBLE, IN</v>
          </cell>
        </row>
        <row r="748">
          <cell r="A748">
            <v>18115</v>
          </cell>
          <cell r="B748" t="str">
            <v>OHIO, IN</v>
          </cell>
        </row>
        <row r="749">
          <cell r="A749">
            <v>18117</v>
          </cell>
          <cell r="B749" t="str">
            <v>ORANGE, IN</v>
          </cell>
        </row>
        <row r="750">
          <cell r="A750">
            <v>18119</v>
          </cell>
          <cell r="B750" t="str">
            <v>OWEN, IN</v>
          </cell>
        </row>
        <row r="751">
          <cell r="A751">
            <v>18121</v>
          </cell>
          <cell r="B751" t="str">
            <v>PARKE, IN</v>
          </cell>
        </row>
        <row r="752">
          <cell r="A752">
            <v>18123</v>
          </cell>
          <cell r="B752" t="str">
            <v>PERRY, IN</v>
          </cell>
        </row>
        <row r="753">
          <cell r="A753">
            <v>18125</v>
          </cell>
          <cell r="B753" t="str">
            <v>PIKE, IN</v>
          </cell>
        </row>
        <row r="754">
          <cell r="A754">
            <v>18127</v>
          </cell>
          <cell r="B754" t="str">
            <v>PORTER, IN</v>
          </cell>
        </row>
        <row r="755">
          <cell r="A755">
            <v>18129</v>
          </cell>
          <cell r="B755" t="str">
            <v>POSEY, IN</v>
          </cell>
        </row>
        <row r="756">
          <cell r="A756">
            <v>18131</v>
          </cell>
          <cell r="B756" t="str">
            <v>PULASKI, IN</v>
          </cell>
        </row>
        <row r="757">
          <cell r="A757">
            <v>18133</v>
          </cell>
          <cell r="B757" t="str">
            <v>PUTNAM, IN</v>
          </cell>
        </row>
        <row r="758">
          <cell r="A758">
            <v>18135</v>
          </cell>
          <cell r="B758" t="str">
            <v>RANDOLPH, IN</v>
          </cell>
        </row>
        <row r="759">
          <cell r="A759">
            <v>18137</v>
          </cell>
          <cell r="B759" t="str">
            <v>RIPLEY, IN</v>
          </cell>
        </row>
        <row r="760">
          <cell r="A760">
            <v>18139</v>
          </cell>
          <cell r="B760" t="str">
            <v>RUSH, IN</v>
          </cell>
        </row>
        <row r="761">
          <cell r="A761">
            <v>18141</v>
          </cell>
          <cell r="B761" t="str">
            <v>ST JOSEPH, IN</v>
          </cell>
        </row>
        <row r="762">
          <cell r="A762">
            <v>18143</v>
          </cell>
          <cell r="B762" t="str">
            <v>SCOTT, IN</v>
          </cell>
        </row>
        <row r="763">
          <cell r="A763">
            <v>18145</v>
          </cell>
          <cell r="B763" t="str">
            <v>SHELBY, IN</v>
          </cell>
        </row>
        <row r="764">
          <cell r="A764">
            <v>18147</v>
          </cell>
          <cell r="B764" t="str">
            <v>SPENCER, IN</v>
          </cell>
        </row>
        <row r="765">
          <cell r="A765">
            <v>18149</v>
          </cell>
          <cell r="B765" t="str">
            <v>STARKE, IN</v>
          </cell>
        </row>
        <row r="766">
          <cell r="A766">
            <v>18151</v>
          </cell>
          <cell r="B766" t="str">
            <v>STEUBEN, IN</v>
          </cell>
        </row>
        <row r="767">
          <cell r="A767">
            <v>18153</v>
          </cell>
          <cell r="B767" t="str">
            <v>SULLIVAN, IN</v>
          </cell>
        </row>
        <row r="768">
          <cell r="A768">
            <v>18155</v>
          </cell>
          <cell r="B768" t="str">
            <v>SWITZERLAND, IN</v>
          </cell>
        </row>
        <row r="769">
          <cell r="A769">
            <v>18157</v>
          </cell>
          <cell r="B769" t="str">
            <v>TIPPECANOE, IN</v>
          </cell>
        </row>
        <row r="770">
          <cell r="A770">
            <v>18159</v>
          </cell>
          <cell r="B770" t="str">
            <v>TIPTON, IN</v>
          </cell>
        </row>
        <row r="771">
          <cell r="A771">
            <v>18161</v>
          </cell>
          <cell r="B771" t="str">
            <v>UNION, IN</v>
          </cell>
        </row>
        <row r="772">
          <cell r="A772">
            <v>18163</v>
          </cell>
          <cell r="B772" t="str">
            <v>VANDERBURGH, IN</v>
          </cell>
        </row>
        <row r="773">
          <cell r="A773">
            <v>18165</v>
          </cell>
          <cell r="B773" t="str">
            <v>VERMILLION, IN</v>
          </cell>
        </row>
        <row r="774">
          <cell r="A774">
            <v>18167</v>
          </cell>
          <cell r="B774" t="str">
            <v>VIGO, IN</v>
          </cell>
        </row>
        <row r="775">
          <cell r="A775">
            <v>18169</v>
          </cell>
          <cell r="B775" t="str">
            <v>WABASH, IN</v>
          </cell>
        </row>
        <row r="776">
          <cell r="A776">
            <v>18171</v>
          </cell>
          <cell r="B776" t="str">
            <v>WARREN, IN</v>
          </cell>
        </row>
        <row r="777">
          <cell r="A777">
            <v>18173</v>
          </cell>
          <cell r="B777" t="str">
            <v>WARRICK, IN</v>
          </cell>
        </row>
        <row r="778">
          <cell r="A778">
            <v>18175</v>
          </cell>
          <cell r="B778" t="str">
            <v>WASHINGTON, IN</v>
          </cell>
        </row>
        <row r="779">
          <cell r="A779">
            <v>18177</v>
          </cell>
          <cell r="B779" t="str">
            <v>WAYNE, IN</v>
          </cell>
        </row>
        <row r="780">
          <cell r="A780">
            <v>18179</v>
          </cell>
          <cell r="B780" t="str">
            <v>WELLS, IN</v>
          </cell>
        </row>
        <row r="781">
          <cell r="A781">
            <v>18181</v>
          </cell>
          <cell r="B781" t="str">
            <v>WHITE, IN</v>
          </cell>
        </row>
        <row r="782">
          <cell r="A782">
            <v>18183</v>
          </cell>
          <cell r="B782" t="str">
            <v>WHITLEY, IN</v>
          </cell>
        </row>
        <row r="783">
          <cell r="A783">
            <v>19001</v>
          </cell>
          <cell r="B783" t="str">
            <v>ADAIR, IA</v>
          </cell>
        </row>
        <row r="784">
          <cell r="A784">
            <v>19003</v>
          </cell>
          <cell r="B784" t="str">
            <v>ADAMS, IA</v>
          </cell>
        </row>
        <row r="785">
          <cell r="A785">
            <v>19005</v>
          </cell>
          <cell r="B785" t="str">
            <v>ALLAMAKEE, IA</v>
          </cell>
        </row>
        <row r="786">
          <cell r="A786">
            <v>19007</v>
          </cell>
          <cell r="B786" t="str">
            <v>APPANOOSE, IA</v>
          </cell>
        </row>
        <row r="787">
          <cell r="A787">
            <v>19009</v>
          </cell>
          <cell r="B787" t="str">
            <v>AUDUBON, IA</v>
          </cell>
        </row>
        <row r="788">
          <cell r="A788">
            <v>19011</v>
          </cell>
          <cell r="B788" t="str">
            <v>BENTON, IA</v>
          </cell>
        </row>
        <row r="789">
          <cell r="A789">
            <v>19013</v>
          </cell>
          <cell r="B789" t="str">
            <v>BLACK HAWK, IA</v>
          </cell>
        </row>
        <row r="790">
          <cell r="A790">
            <v>19015</v>
          </cell>
          <cell r="B790" t="str">
            <v>BOONE, IA</v>
          </cell>
        </row>
        <row r="791">
          <cell r="A791">
            <v>19017</v>
          </cell>
          <cell r="B791" t="str">
            <v>BREMER, IA</v>
          </cell>
        </row>
        <row r="792">
          <cell r="A792">
            <v>19019</v>
          </cell>
          <cell r="B792" t="str">
            <v>BUCHANAN, IA</v>
          </cell>
        </row>
        <row r="793">
          <cell r="A793">
            <v>19021</v>
          </cell>
          <cell r="B793" t="str">
            <v>BUENA VISTA, IA</v>
          </cell>
        </row>
        <row r="794">
          <cell r="A794">
            <v>19023</v>
          </cell>
          <cell r="B794" t="str">
            <v>BUTLER, IA</v>
          </cell>
        </row>
        <row r="795">
          <cell r="A795">
            <v>19025</v>
          </cell>
          <cell r="B795" t="str">
            <v>CALHOUN, IA</v>
          </cell>
        </row>
        <row r="796">
          <cell r="A796">
            <v>19027</v>
          </cell>
          <cell r="B796" t="str">
            <v>CARROLL, IA</v>
          </cell>
        </row>
        <row r="797">
          <cell r="A797">
            <v>19029</v>
          </cell>
          <cell r="B797" t="str">
            <v>CASS, IA</v>
          </cell>
        </row>
        <row r="798">
          <cell r="A798">
            <v>19031</v>
          </cell>
          <cell r="B798" t="str">
            <v>CEDAR, IA</v>
          </cell>
        </row>
        <row r="799">
          <cell r="A799">
            <v>19033</v>
          </cell>
          <cell r="B799" t="str">
            <v>CERRO GORDO, IA</v>
          </cell>
        </row>
        <row r="800">
          <cell r="A800">
            <v>19035</v>
          </cell>
          <cell r="B800" t="str">
            <v>CHEROKEE, IA</v>
          </cell>
        </row>
        <row r="801">
          <cell r="A801">
            <v>19037</v>
          </cell>
          <cell r="B801" t="str">
            <v>CHICKASAW, IA</v>
          </cell>
        </row>
        <row r="802">
          <cell r="A802">
            <v>19039</v>
          </cell>
          <cell r="B802" t="str">
            <v>CLARKE, IA</v>
          </cell>
        </row>
        <row r="803">
          <cell r="A803">
            <v>19041</v>
          </cell>
          <cell r="B803" t="str">
            <v>CLAY, IA</v>
          </cell>
        </row>
        <row r="804">
          <cell r="A804">
            <v>19043</v>
          </cell>
          <cell r="B804" t="str">
            <v>CLAYTON, IA</v>
          </cell>
        </row>
        <row r="805">
          <cell r="A805">
            <v>19045</v>
          </cell>
          <cell r="B805" t="str">
            <v>CLINTON, IA</v>
          </cell>
        </row>
        <row r="806">
          <cell r="A806">
            <v>19047</v>
          </cell>
          <cell r="B806" t="str">
            <v>CRAWFORD, IA</v>
          </cell>
        </row>
        <row r="807">
          <cell r="A807">
            <v>19049</v>
          </cell>
          <cell r="B807" t="str">
            <v>DALLAS, IA</v>
          </cell>
        </row>
        <row r="808">
          <cell r="A808">
            <v>19051</v>
          </cell>
          <cell r="B808" t="str">
            <v>DAVIS, IA</v>
          </cell>
        </row>
        <row r="809">
          <cell r="A809">
            <v>19053</v>
          </cell>
          <cell r="B809" t="str">
            <v>DECATUR, IA</v>
          </cell>
        </row>
        <row r="810">
          <cell r="A810">
            <v>19055</v>
          </cell>
          <cell r="B810" t="str">
            <v>DELAWARE, IA</v>
          </cell>
        </row>
        <row r="811">
          <cell r="A811">
            <v>19057</v>
          </cell>
          <cell r="B811" t="str">
            <v>DES MOINES, IA</v>
          </cell>
        </row>
        <row r="812">
          <cell r="A812">
            <v>19059</v>
          </cell>
          <cell r="B812" t="str">
            <v>DICKINSON, IA</v>
          </cell>
        </row>
        <row r="813">
          <cell r="A813">
            <v>19061</v>
          </cell>
          <cell r="B813" t="str">
            <v>DUBUQUE, IA</v>
          </cell>
        </row>
        <row r="814">
          <cell r="A814">
            <v>19063</v>
          </cell>
          <cell r="B814" t="str">
            <v>EMMET, IA</v>
          </cell>
        </row>
        <row r="815">
          <cell r="A815">
            <v>19065</v>
          </cell>
          <cell r="B815" t="str">
            <v>FAYETTE, IA</v>
          </cell>
        </row>
        <row r="816">
          <cell r="A816">
            <v>19067</v>
          </cell>
          <cell r="B816" t="str">
            <v>FLOYD, IA</v>
          </cell>
        </row>
        <row r="817">
          <cell r="A817">
            <v>19069</v>
          </cell>
          <cell r="B817" t="str">
            <v>FRANKLIN, IA</v>
          </cell>
        </row>
        <row r="818">
          <cell r="A818">
            <v>19071</v>
          </cell>
          <cell r="B818" t="str">
            <v>FREMONT, IA</v>
          </cell>
        </row>
        <row r="819">
          <cell r="A819">
            <v>19073</v>
          </cell>
          <cell r="B819" t="str">
            <v>GREENE, IA</v>
          </cell>
        </row>
        <row r="820">
          <cell r="A820">
            <v>19075</v>
          </cell>
          <cell r="B820" t="str">
            <v>GRUNDY, IA</v>
          </cell>
        </row>
        <row r="821">
          <cell r="A821">
            <v>19077</v>
          </cell>
          <cell r="B821" t="str">
            <v>GUTHRIE, IA</v>
          </cell>
        </row>
        <row r="822">
          <cell r="A822">
            <v>19079</v>
          </cell>
          <cell r="B822" t="str">
            <v>HAMILTON, IA</v>
          </cell>
        </row>
        <row r="823">
          <cell r="A823">
            <v>19081</v>
          </cell>
          <cell r="B823" t="str">
            <v>HANCOCK, IA</v>
          </cell>
        </row>
        <row r="824">
          <cell r="A824">
            <v>19083</v>
          </cell>
          <cell r="B824" t="str">
            <v>HARDIN, IA</v>
          </cell>
        </row>
        <row r="825">
          <cell r="A825">
            <v>19085</v>
          </cell>
          <cell r="B825" t="str">
            <v>HARRISON, IA</v>
          </cell>
        </row>
        <row r="826">
          <cell r="A826">
            <v>19087</v>
          </cell>
          <cell r="B826" t="str">
            <v>HENRY, IA</v>
          </cell>
        </row>
        <row r="827">
          <cell r="A827">
            <v>19089</v>
          </cell>
          <cell r="B827" t="str">
            <v>HOWARD, IA</v>
          </cell>
        </row>
        <row r="828">
          <cell r="A828">
            <v>19091</v>
          </cell>
          <cell r="B828" t="str">
            <v>HUMBOLDT, IA</v>
          </cell>
        </row>
        <row r="829">
          <cell r="A829">
            <v>19093</v>
          </cell>
          <cell r="B829" t="str">
            <v>IDA, IA</v>
          </cell>
        </row>
        <row r="830">
          <cell r="A830">
            <v>19095</v>
          </cell>
          <cell r="B830" t="str">
            <v>IOWA, IA</v>
          </cell>
        </row>
        <row r="831">
          <cell r="A831">
            <v>19097</v>
          </cell>
          <cell r="B831" t="str">
            <v>JACKSON, IA</v>
          </cell>
        </row>
        <row r="832">
          <cell r="A832">
            <v>19099</v>
          </cell>
          <cell r="B832" t="str">
            <v>JASPER, IA</v>
          </cell>
        </row>
        <row r="833">
          <cell r="A833">
            <v>19101</v>
          </cell>
          <cell r="B833" t="str">
            <v>JEFFERSON, IA</v>
          </cell>
        </row>
        <row r="834">
          <cell r="A834">
            <v>19103</v>
          </cell>
          <cell r="B834" t="str">
            <v>JOHNSON, IA</v>
          </cell>
        </row>
        <row r="835">
          <cell r="A835">
            <v>19105</v>
          </cell>
          <cell r="B835" t="str">
            <v>JONES, IA</v>
          </cell>
        </row>
        <row r="836">
          <cell r="A836">
            <v>19107</v>
          </cell>
          <cell r="B836" t="str">
            <v>KEOKUK, IA</v>
          </cell>
        </row>
        <row r="837">
          <cell r="A837">
            <v>19109</v>
          </cell>
          <cell r="B837" t="str">
            <v>KOSSUTH, IA</v>
          </cell>
        </row>
        <row r="838">
          <cell r="A838">
            <v>19111</v>
          </cell>
          <cell r="B838" t="str">
            <v>LEE, IA</v>
          </cell>
        </row>
        <row r="839">
          <cell r="A839">
            <v>19113</v>
          </cell>
          <cell r="B839" t="str">
            <v>LINN, IA</v>
          </cell>
        </row>
        <row r="840">
          <cell r="A840">
            <v>19115</v>
          </cell>
          <cell r="B840" t="str">
            <v>LOUISA, IA</v>
          </cell>
        </row>
        <row r="841">
          <cell r="A841">
            <v>19117</v>
          </cell>
          <cell r="B841" t="str">
            <v>LUCAS, IA</v>
          </cell>
        </row>
        <row r="842">
          <cell r="A842">
            <v>19119</v>
          </cell>
          <cell r="B842" t="str">
            <v>LYON, IA</v>
          </cell>
        </row>
        <row r="843">
          <cell r="A843">
            <v>19121</v>
          </cell>
          <cell r="B843" t="str">
            <v>MADISON, IA</v>
          </cell>
        </row>
        <row r="844">
          <cell r="A844">
            <v>19123</v>
          </cell>
          <cell r="B844" t="str">
            <v>MAHASKA, IA</v>
          </cell>
        </row>
        <row r="845">
          <cell r="A845">
            <v>19125</v>
          </cell>
          <cell r="B845" t="str">
            <v>MARION, IA</v>
          </cell>
        </row>
        <row r="846">
          <cell r="A846">
            <v>19127</v>
          </cell>
          <cell r="B846" t="str">
            <v>MARSHALL, IA</v>
          </cell>
        </row>
        <row r="847">
          <cell r="A847">
            <v>19129</v>
          </cell>
          <cell r="B847" t="str">
            <v>MILLS, IA</v>
          </cell>
        </row>
        <row r="848">
          <cell r="A848">
            <v>19131</v>
          </cell>
          <cell r="B848" t="str">
            <v>MITCHELL, IA</v>
          </cell>
        </row>
        <row r="849">
          <cell r="A849">
            <v>19133</v>
          </cell>
          <cell r="B849" t="str">
            <v>MONONA, IA</v>
          </cell>
        </row>
        <row r="850">
          <cell r="A850">
            <v>19135</v>
          </cell>
          <cell r="B850" t="str">
            <v>MONROE, IA</v>
          </cell>
        </row>
        <row r="851">
          <cell r="A851">
            <v>19137</v>
          </cell>
          <cell r="B851" t="str">
            <v>MONTGOMERY, IA</v>
          </cell>
        </row>
        <row r="852">
          <cell r="A852">
            <v>19139</v>
          </cell>
          <cell r="B852" t="str">
            <v>MUSCATINE, IA</v>
          </cell>
        </row>
        <row r="853">
          <cell r="A853">
            <v>19141</v>
          </cell>
          <cell r="B853" t="str">
            <v>OBRIEN, IA</v>
          </cell>
        </row>
        <row r="854">
          <cell r="A854">
            <v>19143</v>
          </cell>
          <cell r="B854" t="str">
            <v>OSCEOLA, IA</v>
          </cell>
        </row>
        <row r="855">
          <cell r="A855">
            <v>19145</v>
          </cell>
          <cell r="B855" t="str">
            <v>PAGE, IA</v>
          </cell>
        </row>
        <row r="856">
          <cell r="A856">
            <v>19147</v>
          </cell>
          <cell r="B856" t="str">
            <v>PALO ALTO, IA</v>
          </cell>
        </row>
        <row r="857">
          <cell r="A857">
            <v>19149</v>
          </cell>
          <cell r="B857" t="str">
            <v>PLYMOUTH, IA</v>
          </cell>
        </row>
        <row r="858">
          <cell r="A858">
            <v>19151</v>
          </cell>
          <cell r="B858" t="str">
            <v>POCAHONTAS, IA</v>
          </cell>
        </row>
        <row r="859">
          <cell r="A859">
            <v>19153</v>
          </cell>
          <cell r="B859" t="str">
            <v>POLK, IA</v>
          </cell>
        </row>
        <row r="860">
          <cell r="A860">
            <v>19155</v>
          </cell>
          <cell r="B860" t="str">
            <v>POTTAWATTAMIE, IA</v>
          </cell>
        </row>
        <row r="861">
          <cell r="A861">
            <v>19157</v>
          </cell>
          <cell r="B861" t="str">
            <v>POWESHIEK, IA</v>
          </cell>
        </row>
        <row r="862">
          <cell r="A862">
            <v>19159</v>
          </cell>
          <cell r="B862" t="str">
            <v>RINGGOLD, IA</v>
          </cell>
        </row>
        <row r="863">
          <cell r="A863">
            <v>19161</v>
          </cell>
          <cell r="B863" t="str">
            <v>SAC, IA</v>
          </cell>
        </row>
        <row r="864">
          <cell r="A864">
            <v>19163</v>
          </cell>
          <cell r="B864" t="str">
            <v>SCOTT, IA</v>
          </cell>
        </row>
        <row r="865">
          <cell r="A865">
            <v>19165</v>
          </cell>
          <cell r="B865" t="str">
            <v>SHELBY, IA</v>
          </cell>
        </row>
        <row r="866">
          <cell r="A866">
            <v>19167</v>
          </cell>
          <cell r="B866" t="str">
            <v>SIOUX, IA</v>
          </cell>
        </row>
        <row r="867">
          <cell r="A867">
            <v>19169</v>
          </cell>
          <cell r="B867" t="str">
            <v>STORY, IA</v>
          </cell>
        </row>
        <row r="868">
          <cell r="A868">
            <v>19171</v>
          </cell>
          <cell r="B868" t="str">
            <v>TAMA, IA</v>
          </cell>
        </row>
        <row r="869">
          <cell r="A869">
            <v>19173</v>
          </cell>
          <cell r="B869" t="str">
            <v>TAYLOR, IA</v>
          </cell>
        </row>
        <row r="870">
          <cell r="A870">
            <v>19175</v>
          </cell>
          <cell r="B870" t="str">
            <v>UNION, IA</v>
          </cell>
        </row>
        <row r="871">
          <cell r="A871">
            <v>19177</v>
          </cell>
          <cell r="B871" t="str">
            <v>VAN BUREN, IA</v>
          </cell>
        </row>
        <row r="872">
          <cell r="A872">
            <v>19179</v>
          </cell>
          <cell r="B872" t="str">
            <v>WAPELLO, IA</v>
          </cell>
        </row>
        <row r="873">
          <cell r="A873">
            <v>19181</v>
          </cell>
          <cell r="B873" t="str">
            <v>WARREN, IA</v>
          </cell>
        </row>
        <row r="874">
          <cell r="A874">
            <v>19183</v>
          </cell>
          <cell r="B874" t="str">
            <v>WASHINGTON, IA</v>
          </cell>
        </row>
        <row r="875">
          <cell r="A875">
            <v>19185</v>
          </cell>
          <cell r="B875" t="str">
            <v>WAYNE, IA</v>
          </cell>
        </row>
        <row r="876">
          <cell r="A876">
            <v>19187</v>
          </cell>
          <cell r="B876" t="str">
            <v>WEBSTER, IA</v>
          </cell>
        </row>
        <row r="877">
          <cell r="A877">
            <v>19189</v>
          </cell>
          <cell r="B877" t="str">
            <v>WINNEBAGO, IA</v>
          </cell>
        </row>
        <row r="878">
          <cell r="A878">
            <v>19191</v>
          </cell>
          <cell r="B878" t="str">
            <v>WINNESHIEK, IA</v>
          </cell>
        </row>
        <row r="879">
          <cell r="A879">
            <v>19193</v>
          </cell>
          <cell r="B879" t="str">
            <v>WOODBURY, IA</v>
          </cell>
        </row>
        <row r="880">
          <cell r="A880">
            <v>19195</v>
          </cell>
          <cell r="B880" t="str">
            <v>WORTH, IA</v>
          </cell>
        </row>
        <row r="881">
          <cell r="A881">
            <v>19197</v>
          </cell>
          <cell r="B881" t="str">
            <v>WRIGHT, IA</v>
          </cell>
        </row>
        <row r="882">
          <cell r="A882">
            <v>20001</v>
          </cell>
          <cell r="B882" t="str">
            <v>ALLEN, KS</v>
          </cell>
        </row>
        <row r="883">
          <cell r="A883">
            <v>20003</v>
          </cell>
          <cell r="B883" t="str">
            <v>ANDERSON, KS</v>
          </cell>
        </row>
        <row r="884">
          <cell r="A884">
            <v>20005</v>
          </cell>
          <cell r="B884" t="str">
            <v>ATCHISON, KS</v>
          </cell>
        </row>
        <row r="885">
          <cell r="A885">
            <v>20007</v>
          </cell>
          <cell r="B885" t="str">
            <v>BARBER, KS</v>
          </cell>
        </row>
        <row r="886">
          <cell r="A886">
            <v>20009</v>
          </cell>
          <cell r="B886" t="str">
            <v>BARTON, KS</v>
          </cell>
        </row>
        <row r="887">
          <cell r="A887">
            <v>20011</v>
          </cell>
          <cell r="B887" t="str">
            <v>BOURBON, KS</v>
          </cell>
        </row>
        <row r="888">
          <cell r="A888">
            <v>20013</v>
          </cell>
          <cell r="B888" t="str">
            <v>BROWN, KS</v>
          </cell>
        </row>
        <row r="889">
          <cell r="A889">
            <v>20015</v>
          </cell>
          <cell r="B889" t="str">
            <v>BUTLER, KS</v>
          </cell>
        </row>
        <row r="890">
          <cell r="A890">
            <v>20017</v>
          </cell>
          <cell r="B890" t="str">
            <v>CHASE, KS</v>
          </cell>
        </row>
        <row r="891">
          <cell r="A891">
            <v>20019</v>
          </cell>
          <cell r="B891" t="str">
            <v>CHAUTAUQUA, KS</v>
          </cell>
        </row>
        <row r="892">
          <cell r="A892">
            <v>20021</v>
          </cell>
          <cell r="B892" t="str">
            <v>CHEROKEE, KS</v>
          </cell>
        </row>
        <row r="893">
          <cell r="A893">
            <v>20023</v>
          </cell>
          <cell r="B893" t="str">
            <v>CHEYENNE, KS</v>
          </cell>
        </row>
        <row r="894">
          <cell r="A894">
            <v>20025</v>
          </cell>
          <cell r="B894" t="str">
            <v>CLARK, KS</v>
          </cell>
        </row>
        <row r="895">
          <cell r="A895">
            <v>20027</v>
          </cell>
          <cell r="B895" t="str">
            <v>CLAY, KS</v>
          </cell>
        </row>
        <row r="896">
          <cell r="A896">
            <v>20029</v>
          </cell>
          <cell r="B896" t="str">
            <v>CLOUD, KS</v>
          </cell>
        </row>
        <row r="897">
          <cell r="A897">
            <v>20031</v>
          </cell>
          <cell r="B897" t="str">
            <v>COFFEY, KS</v>
          </cell>
        </row>
        <row r="898">
          <cell r="A898">
            <v>20033</v>
          </cell>
          <cell r="B898" t="str">
            <v>COMANCHE, KS</v>
          </cell>
        </row>
        <row r="899">
          <cell r="A899">
            <v>20035</v>
          </cell>
          <cell r="B899" t="str">
            <v>COWLEY, KS</v>
          </cell>
        </row>
        <row r="900">
          <cell r="A900">
            <v>20037</v>
          </cell>
          <cell r="B900" t="str">
            <v>CRAWFORD, KS</v>
          </cell>
        </row>
        <row r="901">
          <cell r="A901">
            <v>20039</v>
          </cell>
          <cell r="B901" t="str">
            <v>DECATUR, KS</v>
          </cell>
        </row>
        <row r="902">
          <cell r="A902">
            <v>20041</v>
          </cell>
          <cell r="B902" t="str">
            <v>DICKINSON, KS</v>
          </cell>
        </row>
        <row r="903">
          <cell r="A903">
            <v>20043</v>
          </cell>
          <cell r="B903" t="str">
            <v>DONIPHAN, KS</v>
          </cell>
        </row>
        <row r="904">
          <cell r="A904">
            <v>20045</v>
          </cell>
          <cell r="B904" t="str">
            <v>DOUGLAS, KS</v>
          </cell>
        </row>
        <row r="905">
          <cell r="A905">
            <v>20047</v>
          </cell>
          <cell r="B905" t="str">
            <v>EDWARDS, KS</v>
          </cell>
        </row>
        <row r="906">
          <cell r="A906">
            <v>20049</v>
          </cell>
          <cell r="B906" t="str">
            <v>ELK, KS</v>
          </cell>
        </row>
        <row r="907">
          <cell r="A907">
            <v>20051</v>
          </cell>
          <cell r="B907" t="str">
            <v>ELLIS, KS</v>
          </cell>
        </row>
        <row r="908">
          <cell r="A908">
            <v>20053</v>
          </cell>
          <cell r="B908" t="str">
            <v>ELLSWORTH, KS</v>
          </cell>
        </row>
        <row r="909">
          <cell r="A909">
            <v>20055</v>
          </cell>
          <cell r="B909" t="str">
            <v>FINNEY, KS</v>
          </cell>
        </row>
        <row r="910">
          <cell r="A910">
            <v>20057</v>
          </cell>
          <cell r="B910" t="str">
            <v>FORD, KS</v>
          </cell>
        </row>
        <row r="911">
          <cell r="A911">
            <v>20059</v>
          </cell>
          <cell r="B911" t="str">
            <v>FRANKLIN, KS</v>
          </cell>
        </row>
        <row r="912">
          <cell r="A912">
            <v>20061</v>
          </cell>
          <cell r="B912" t="str">
            <v>GEARY, KS</v>
          </cell>
        </row>
        <row r="913">
          <cell r="A913">
            <v>20063</v>
          </cell>
          <cell r="B913" t="str">
            <v>GOVE, KS</v>
          </cell>
        </row>
        <row r="914">
          <cell r="A914">
            <v>20065</v>
          </cell>
          <cell r="B914" t="str">
            <v>GRAHAM, KS</v>
          </cell>
        </row>
        <row r="915">
          <cell r="A915">
            <v>20067</v>
          </cell>
          <cell r="B915" t="str">
            <v>GRANT, KS</v>
          </cell>
        </row>
        <row r="916">
          <cell r="A916">
            <v>20069</v>
          </cell>
          <cell r="B916" t="str">
            <v>GRAY, KS</v>
          </cell>
        </row>
        <row r="917">
          <cell r="A917">
            <v>20071</v>
          </cell>
          <cell r="B917" t="str">
            <v>GREELEY, KS</v>
          </cell>
        </row>
        <row r="918">
          <cell r="A918">
            <v>20073</v>
          </cell>
          <cell r="B918" t="str">
            <v>GREENWOOD, KS</v>
          </cell>
        </row>
        <row r="919">
          <cell r="A919">
            <v>20075</v>
          </cell>
          <cell r="B919" t="str">
            <v>HAMILTON, KS</v>
          </cell>
        </row>
        <row r="920">
          <cell r="A920">
            <v>20077</v>
          </cell>
          <cell r="B920" t="str">
            <v>HARPER, KS</v>
          </cell>
        </row>
        <row r="921">
          <cell r="A921">
            <v>20079</v>
          </cell>
          <cell r="B921" t="str">
            <v>HARVEY, KS</v>
          </cell>
        </row>
        <row r="922">
          <cell r="A922">
            <v>20081</v>
          </cell>
          <cell r="B922" t="str">
            <v>HASKELL, KS</v>
          </cell>
        </row>
        <row r="923">
          <cell r="A923">
            <v>20083</v>
          </cell>
          <cell r="B923" t="str">
            <v>HODGEMAN, KS</v>
          </cell>
        </row>
        <row r="924">
          <cell r="A924">
            <v>20085</v>
          </cell>
          <cell r="B924" t="str">
            <v>JACKSON, KS</v>
          </cell>
        </row>
        <row r="925">
          <cell r="A925">
            <v>20087</v>
          </cell>
          <cell r="B925" t="str">
            <v>JEFFERSON, KS</v>
          </cell>
        </row>
        <row r="926">
          <cell r="A926">
            <v>20089</v>
          </cell>
          <cell r="B926" t="str">
            <v>JEWELL, KS</v>
          </cell>
        </row>
        <row r="927">
          <cell r="A927">
            <v>20091</v>
          </cell>
          <cell r="B927" t="str">
            <v>JOHNSON, KS</v>
          </cell>
        </row>
        <row r="928">
          <cell r="A928">
            <v>20093</v>
          </cell>
          <cell r="B928" t="str">
            <v>KEARNY, KS</v>
          </cell>
        </row>
        <row r="929">
          <cell r="A929">
            <v>20095</v>
          </cell>
          <cell r="B929" t="str">
            <v>KINGMAN, KS</v>
          </cell>
        </row>
        <row r="930">
          <cell r="A930">
            <v>20097</v>
          </cell>
          <cell r="B930" t="str">
            <v>KIOWA, KS</v>
          </cell>
        </row>
        <row r="931">
          <cell r="A931">
            <v>20099</v>
          </cell>
          <cell r="B931" t="str">
            <v>LABETTE, KS</v>
          </cell>
        </row>
        <row r="932">
          <cell r="A932">
            <v>20101</v>
          </cell>
          <cell r="B932" t="str">
            <v>LANE, KS</v>
          </cell>
        </row>
        <row r="933">
          <cell r="A933">
            <v>20103</v>
          </cell>
          <cell r="B933" t="str">
            <v>LEAVENWORTH, KS</v>
          </cell>
        </row>
        <row r="934">
          <cell r="A934">
            <v>20105</v>
          </cell>
          <cell r="B934" t="str">
            <v>LINCOLN, KS</v>
          </cell>
        </row>
        <row r="935">
          <cell r="A935">
            <v>20107</v>
          </cell>
          <cell r="B935" t="str">
            <v>LINN, KS</v>
          </cell>
        </row>
        <row r="936">
          <cell r="A936">
            <v>20109</v>
          </cell>
          <cell r="B936" t="str">
            <v>LOGAN, KS</v>
          </cell>
        </row>
        <row r="937">
          <cell r="A937">
            <v>20111</v>
          </cell>
          <cell r="B937" t="str">
            <v>LYON, KS</v>
          </cell>
        </row>
        <row r="938">
          <cell r="A938">
            <v>20113</v>
          </cell>
          <cell r="B938" t="str">
            <v>MCPHERSON, KS</v>
          </cell>
        </row>
        <row r="939">
          <cell r="A939">
            <v>20115</v>
          </cell>
          <cell r="B939" t="str">
            <v>MARION, KS</v>
          </cell>
        </row>
        <row r="940">
          <cell r="A940">
            <v>20117</v>
          </cell>
          <cell r="B940" t="str">
            <v>MARSHALL, KS</v>
          </cell>
        </row>
        <row r="941">
          <cell r="A941">
            <v>20119</v>
          </cell>
          <cell r="B941" t="str">
            <v>MEADE, KS</v>
          </cell>
        </row>
        <row r="942">
          <cell r="A942">
            <v>20121</v>
          </cell>
          <cell r="B942" t="str">
            <v>MIAMI, KS</v>
          </cell>
        </row>
        <row r="943">
          <cell r="A943">
            <v>20123</v>
          </cell>
          <cell r="B943" t="str">
            <v>MITCHELL, KS</v>
          </cell>
        </row>
        <row r="944">
          <cell r="A944">
            <v>20125</v>
          </cell>
          <cell r="B944" t="str">
            <v>MONTGOMERY, KS</v>
          </cell>
        </row>
        <row r="945">
          <cell r="A945">
            <v>20127</v>
          </cell>
          <cell r="B945" t="str">
            <v>MORRIS, KS</v>
          </cell>
        </row>
        <row r="946">
          <cell r="A946">
            <v>20129</v>
          </cell>
          <cell r="B946" t="str">
            <v>MORTON, KS</v>
          </cell>
        </row>
        <row r="947">
          <cell r="A947">
            <v>20131</v>
          </cell>
          <cell r="B947" t="str">
            <v>NEMAHA, KS</v>
          </cell>
        </row>
        <row r="948">
          <cell r="A948">
            <v>20133</v>
          </cell>
          <cell r="B948" t="str">
            <v>NEOSHO, KS</v>
          </cell>
        </row>
        <row r="949">
          <cell r="A949">
            <v>20135</v>
          </cell>
          <cell r="B949" t="str">
            <v>NESS, KS</v>
          </cell>
        </row>
        <row r="950">
          <cell r="A950">
            <v>20137</v>
          </cell>
          <cell r="B950" t="str">
            <v>NORTON, KS</v>
          </cell>
        </row>
        <row r="951">
          <cell r="A951">
            <v>20139</v>
          </cell>
          <cell r="B951" t="str">
            <v>OSAGE, KS</v>
          </cell>
        </row>
        <row r="952">
          <cell r="A952">
            <v>20141</v>
          </cell>
          <cell r="B952" t="str">
            <v>OSBORNE, KS</v>
          </cell>
        </row>
        <row r="953">
          <cell r="A953">
            <v>20143</v>
          </cell>
          <cell r="B953" t="str">
            <v>OTTAWA, KS</v>
          </cell>
        </row>
        <row r="954">
          <cell r="A954">
            <v>20145</v>
          </cell>
          <cell r="B954" t="str">
            <v>PAWNEE, KS</v>
          </cell>
        </row>
        <row r="955">
          <cell r="A955">
            <v>20147</v>
          </cell>
          <cell r="B955" t="str">
            <v>PHILLIPS, KS</v>
          </cell>
        </row>
        <row r="956">
          <cell r="A956">
            <v>20149</v>
          </cell>
          <cell r="B956" t="str">
            <v>POTTAWATOMIE, KS</v>
          </cell>
        </row>
        <row r="957">
          <cell r="A957">
            <v>20151</v>
          </cell>
          <cell r="B957" t="str">
            <v>PRATT, KS</v>
          </cell>
        </row>
        <row r="958">
          <cell r="A958">
            <v>20153</v>
          </cell>
          <cell r="B958" t="str">
            <v>RAWLINS, KS</v>
          </cell>
        </row>
        <row r="959">
          <cell r="A959">
            <v>20155</v>
          </cell>
          <cell r="B959" t="str">
            <v>RENO, KS</v>
          </cell>
        </row>
        <row r="960">
          <cell r="A960">
            <v>20157</v>
          </cell>
          <cell r="B960" t="str">
            <v>REPUBLIC, KS</v>
          </cell>
        </row>
        <row r="961">
          <cell r="A961">
            <v>20159</v>
          </cell>
          <cell r="B961" t="str">
            <v>RICE, KS</v>
          </cell>
        </row>
        <row r="962">
          <cell r="A962">
            <v>20161</v>
          </cell>
          <cell r="B962" t="str">
            <v>RILEY, KS</v>
          </cell>
        </row>
        <row r="963">
          <cell r="A963">
            <v>20163</v>
          </cell>
          <cell r="B963" t="str">
            <v>ROOKS, KS</v>
          </cell>
        </row>
        <row r="964">
          <cell r="A964">
            <v>20165</v>
          </cell>
          <cell r="B964" t="str">
            <v>RUSH, KS</v>
          </cell>
        </row>
        <row r="965">
          <cell r="A965">
            <v>20167</v>
          </cell>
          <cell r="B965" t="str">
            <v>RUSSELL, KS</v>
          </cell>
        </row>
        <row r="966">
          <cell r="A966">
            <v>20169</v>
          </cell>
          <cell r="B966" t="str">
            <v>SALINE, KS</v>
          </cell>
        </row>
        <row r="967">
          <cell r="A967">
            <v>20171</v>
          </cell>
          <cell r="B967" t="str">
            <v>SCOTT, KS</v>
          </cell>
        </row>
        <row r="968">
          <cell r="A968">
            <v>20173</v>
          </cell>
          <cell r="B968" t="str">
            <v>SEDGWICK, KS</v>
          </cell>
        </row>
        <row r="969">
          <cell r="A969">
            <v>20175</v>
          </cell>
          <cell r="B969" t="str">
            <v>SEWARD, KS</v>
          </cell>
        </row>
        <row r="970">
          <cell r="A970">
            <v>20177</v>
          </cell>
          <cell r="B970" t="str">
            <v>SHAWNEE, KS</v>
          </cell>
        </row>
        <row r="971">
          <cell r="A971">
            <v>20179</v>
          </cell>
          <cell r="B971" t="str">
            <v>SHERIDAN, KS</v>
          </cell>
        </row>
        <row r="972">
          <cell r="A972">
            <v>20181</v>
          </cell>
          <cell r="B972" t="str">
            <v>SHERMAN, KS</v>
          </cell>
        </row>
        <row r="973">
          <cell r="A973">
            <v>20183</v>
          </cell>
          <cell r="B973" t="str">
            <v>SMITH, KS</v>
          </cell>
        </row>
        <row r="974">
          <cell r="A974">
            <v>20185</v>
          </cell>
          <cell r="B974" t="str">
            <v>STAFFORD, KS</v>
          </cell>
        </row>
        <row r="975">
          <cell r="A975">
            <v>20187</v>
          </cell>
          <cell r="B975" t="str">
            <v>STANTON, KS</v>
          </cell>
        </row>
        <row r="976">
          <cell r="A976">
            <v>20189</v>
          </cell>
          <cell r="B976" t="str">
            <v>STEVENS, KS</v>
          </cell>
        </row>
        <row r="977">
          <cell r="A977">
            <v>20191</v>
          </cell>
          <cell r="B977" t="str">
            <v>SUMNER, KS</v>
          </cell>
        </row>
        <row r="978">
          <cell r="A978">
            <v>20193</v>
          </cell>
          <cell r="B978" t="str">
            <v>THOMAS, KS</v>
          </cell>
        </row>
        <row r="979">
          <cell r="A979">
            <v>20195</v>
          </cell>
          <cell r="B979" t="str">
            <v>TREGO, KS</v>
          </cell>
        </row>
        <row r="980">
          <cell r="A980">
            <v>20197</v>
          </cell>
          <cell r="B980" t="str">
            <v>WABAUNSEE, KS</v>
          </cell>
        </row>
        <row r="981">
          <cell r="A981">
            <v>20199</v>
          </cell>
          <cell r="B981" t="str">
            <v>WALLACE, KS</v>
          </cell>
        </row>
        <row r="982">
          <cell r="A982">
            <v>20201</v>
          </cell>
          <cell r="B982" t="str">
            <v>WASHINGTON, KS</v>
          </cell>
        </row>
        <row r="983">
          <cell r="A983">
            <v>20203</v>
          </cell>
          <cell r="B983" t="str">
            <v>WICHITA, KS</v>
          </cell>
        </row>
        <row r="984">
          <cell r="A984">
            <v>20205</v>
          </cell>
          <cell r="B984" t="str">
            <v>WILSON, KS</v>
          </cell>
        </row>
        <row r="985">
          <cell r="A985">
            <v>20207</v>
          </cell>
          <cell r="B985" t="str">
            <v>WOODSON, KS</v>
          </cell>
        </row>
        <row r="986">
          <cell r="A986">
            <v>20209</v>
          </cell>
          <cell r="B986" t="str">
            <v>WYANDOTTE, KS</v>
          </cell>
        </row>
        <row r="987">
          <cell r="A987">
            <v>21001</v>
          </cell>
          <cell r="B987" t="str">
            <v>ADAIR, KY</v>
          </cell>
        </row>
        <row r="988">
          <cell r="A988">
            <v>21003</v>
          </cell>
          <cell r="B988" t="str">
            <v>ALLEN, KY</v>
          </cell>
        </row>
        <row r="989">
          <cell r="A989">
            <v>21005</v>
          </cell>
          <cell r="B989" t="str">
            <v>ANDERSON, KY</v>
          </cell>
        </row>
        <row r="990">
          <cell r="A990">
            <v>21007</v>
          </cell>
          <cell r="B990" t="str">
            <v>BALLARD, KY</v>
          </cell>
        </row>
        <row r="991">
          <cell r="A991">
            <v>21009</v>
          </cell>
          <cell r="B991" t="str">
            <v>BARREN, KY</v>
          </cell>
        </row>
        <row r="992">
          <cell r="A992">
            <v>21011</v>
          </cell>
          <cell r="B992" t="str">
            <v>BATH, KY</v>
          </cell>
        </row>
        <row r="993">
          <cell r="A993">
            <v>21013</v>
          </cell>
          <cell r="B993" t="str">
            <v>BELL, KY</v>
          </cell>
        </row>
        <row r="994">
          <cell r="A994">
            <v>21015</v>
          </cell>
          <cell r="B994" t="str">
            <v>BOONE, KY</v>
          </cell>
        </row>
        <row r="995">
          <cell r="A995">
            <v>21017</v>
          </cell>
          <cell r="B995" t="str">
            <v>BOURBON, KY</v>
          </cell>
        </row>
        <row r="996">
          <cell r="A996">
            <v>21019</v>
          </cell>
          <cell r="B996" t="str">
            <v>BOYD, KY</v>
          </cell>
        </row>
        <row r="997">
          <cell r="A997">
            <v>21021</v>
          </cell>
          <cell r="B997" t="str">
            <v>BOYLE, KY</v>
          </cell>
        </row>
        <row r="998">
          <cell r="A998">
            <v>21023</v>
          </cell>
          <cell r="B998" t="str">
            <v>BRACKEN, KY</v>
          </cell>
        </row>
        <row r="999">
          <cell r="A999">
            <v>21025</v>
          </cell>
          <cell r="B999" t="str">
            <v>BREATHITT, KY</v>
          </cell>
        </row>
        <row r="1000">
          <cell r="A1000">
            <v>21027</v>
          </cell>
          <cell r="B1000" t="str">
            <v>BRECKINRIDGE, KY</v>
          </cell>
        </row>
        <row r="1001">
          <cell r="A1001">
            <v>21029</v>
          </cell>
          <cell r="B1001" t="str">
            <v>BULLITT, KY</v>
          </cell>
        </row>
        <row r="1002">
          <cell r="A1002">
            <v>21031</v>
          </cell>
          <cell r="B1002" t="str">
            <v>BUTLER, KY</v>
          </cell>
        </row>
        <row r="1003">
          <cell r="A1003">
            <v>21033</v>
          </cell>
          <cell r="B1003" t="str">
            <v>CALDWELL, KY</v>
          </cell>
        </row>
        <row r="1004">
          <cell r="A1004">
            <v>21035</v>
          </cell>
          <cell r="B1004" t="str">
            <v>CALLOWAY, KY</v>
          </cell>
        </row>
        <row r="1005">
          <cell r="A1005">
            <v>21037</v>
          </cell>
          <cell r="B1005" t="str">
            <v>CAMPBELL, KY</v>
          </cell>
        </row>
        <row r="1006">
          <cell r="A1006">
            <v>21039</v>
          </cell>
          <cell r="B1006" t="str">
            <v>CARLISLE, KY</v>
          </cell>
        </row>
        <row r="1007">
          <cell r="A1007">
            <v>21041</v>
          </cell>
          <cell r="B1007" t="str">
            <v>CARROLL, KY</v>
          </cell>
        </row>
        <row r="1008">
          <cell r="A1008">
            <v>21043</v>
          </cell>
          <cell r="B1008" t="str">
            <v>CARTER, KY</v>
          </cell>
        </row>
        <row r="1009">
          <cell r="A1009">
            <v>21045</v>
          </cell>
          <cell r="B1009" t="str">
            <v>CASEY, KY</v>
          </cell>
        </row>
        <row r="1010">
          <cell r="A1010">
            <v>21047</v>
          </cell>
          <cell r="B1010" t="str">
            <v>CHRISTIAN, KY</v>
          </cell>
        </row>
        <row r="1011">
          <cell r="A1011">
            <v>21049</v>
          </cell>
          <cell r="B1011" t="str">
            <v>CLARK, KY</v>
          </cell>
        </row>
        <row r="1012">
          <cell r="A1012">
            <v>21051</v>
          </cell>
          <cell r="B1012" t="str">
            <v>CLAY, KY</v>
          </cell>
        </row>
        <row r="1013">
          <cell r="A1013">
            <v>21053</v>
          </cell>
          <cell r="B1013" t="str">
            <v>CLINTON, KY</v>
          </cell>
        </row>
        <row r="1014">
          <cell r="A1014">
            <v>21055</v>
          </cell>
          <cell r="B1014" t="str">
            <v>CRITTENDEN, KY</v>
          </cell>
        </row>
        <row r="1015">
          <cell r="A1015">
            <v>21057</v>
          </cell>
          <cell r="B1015" t="str">
            <v>CUMBERLAND, KY</v>
          </cell>
        </row>
        <row r="1016">
          <cell r="A1016">
            <v>21059</v>
          </cell>
          <cell r="B1016" t="str">
            <v>DAVIESS, KY</v>
          </cell>
        </row>
        <row r="1017">
          <cell r="A1017">
            <v>21061</v>
          </cell>
          <cell r="B1017" t="str">
            <v>EDMONSON, KY</v>
          </cell>
        </row>
        <row r="1018">
          <cell r="A1018">
            <v>21063</v>
          </cell>
          <cell r="B1018" t="str">
            <v>ELLIOTT, KY</v>
          </cell>
        </row>
        <row r="1019">
          <cell r="A1019">
            <v>21065</v>
          </cell>
          <cell r="B1019" t="str">
            <v>ESTILL, KY</v>
          </cell>
        </row>
        <row r="1020">
          <cell r="A1020">
            <v>21067</v>
          </cell>
          <cell r="B1020" t="str">
            <v>FAYETTE, KY</v>
          </cell>
        </row>
        <row r="1021">
          <cell r="A1021">
            <v>21069</v>
          </cell>
          <cell r="B1021" t="str">
            <v>FLEMING, KY</v>
          </cell>
        </row>
        <row r="1022">
          <cell r="A1022">
            <v>21071</v>
          </cell>
          <cell r="B1022" t="str">
            <v>FLOYD, KY</v>
          </cell>
        </row>
        <row r="1023">
          <cell r="A1023">
            <v>21073</v>
          </cell>
          <cell r="B1023" t="str">
            <v>FRANKLIN, KY</v>
          </cell>
        </row>
        <row r="1024">
          <cell r="A1024">
            <v>21075</v>
          </cell>
          <cell r="B1024" t="str">
            <v>FULTON, KY</v>
          </cell>
        </row>
        <row r="1025">
          <cell r="A1025">
            <v>21077</v>
          </cell>
          <cell r="B1025" t="str">
            <v>GALLATIN, KY</v>
          </cell>
        </row>
        <row r="1026">
          <cell r="A1026">
            <v>21079</v>
          </cell>
          <cell r="B1026" t="str">
            <v>GARRARD, KY</v>
          </cell>
        </row>
        <row r="1027">
          <cell r="A1027">
            <v>21081</v>
          </cell>
          <cell r="B1027" t="str">
            <v>GRANT, KY</v>
          </cell>
        </row>
        <row r="1028">
          <cell r="A1028">
            <v>21083</v>
          </cell>
          <cell r="B1028" t="str">
            <v>GRAVES, KY</v>
          </cell>
        </row>
        <row r="1029">
          <cell r="A1029">
            <v>21085</v>
          </cell>
          <cell r="B1029" t="str">
            <v>GRAYSON, KY</v>
          </cell>
        </row>
        <row r="1030">
          <cell r="A1030">
            <v>21087</v>
          </cell>
          <cell r="B1030" t="str">
            <v>GREEN, KY</v>
          </cell>
        </row>
        <row r="1031">
          <cell r="A1031">
            <v>21089</v>
          </cell>
          <cell r="B1031" t="str">
            <v>GREENUP, KY</v>
          </cell>
        </row>
        <row r="1032">
          <cell r="A1032">
            <v>21091</v>
          </cell>
          <cell r="B1032" t="str">
            <v>HANCOCK, KY</v>
          </cell>
        </row>
        <row r="1033">
          <cell r="A1033">
            <v>21093</v>
          </cell>
          <cell r="B1033" t="str">
            <v>HARDIN, KY</v>
          </cell>
        </row>
        <row r="1034">
          <cell r="A1034">
            <v>21095</v>
          </cell>
          <cell r="B1034" t="str">
            <v>HARLAN, KY</v>
          </cell>
        </row>
        <row r="1035">
          <cell r="A1035">
            <v>21097</v>
          </cell>
          <cell r="B1035" t="str">
            <v>HARRISON, KY</v>
          </cell>
        </row>
        <row r="1036">
          <cell r="A1036">
            <v>21099</v>
          </cell>
          <cell r="B1036" t="str">
            <v>HART, KY</v>
          </cell>
        </row>
        <row r="1037">
          <cell r="A1037">
            <v>21101</v>
          </cell>
          <cell r="B1037" t="str">
            <v>HENDERSON, KY</v>
          </cell>
        </row>
        <row r="1038">
          <cell r="A1038">
            <v>21103</v>
          </cell>
          <cell r="B1038" t="str">
            <v>HENRY, KY</v>
          </cell>
        </row>
        <row r="1039">
          <cell r="A1039">
            <v>21105</v>
          </cell>
          <cell r="B1039" t="str">
            <v>HICKMAN, KY</v>
          </cell>
        </row>
        <row r="1040">
          <cell r="A1040">
            <v>21107</v>
          </cell>
          <cell r="B1040" t="str">
            <v>HOPKINS, KY</v>
          </cell>
        </row>
        <row r="1041">
          <cell r="A1041">
            <v>21109</v>
          </cell>
          <cell r="B1041" t="str">
            <v>JACKSON, KY</v>
          </cell>
        </row>
        <row r="1042">
          <cell r="A1042">
            <v>21111</v>
          </cell>
          <cell r="B1042" t="str">
            <v>JEFFERSON, KY</v>
          </cell>
        </row>
        <row r="1043">
          <cell r="A1043">
            <v>21113</v>
          </cell>
          <cell r="B1043" t="str">
            <v>JESSAMINE, KY</v>
          </cell>
        </row>
        <row r="1044">
          <cell r="A1044">
            <v>21115</v>
          </cell>
          <cell r="B1044" t="str">
            <v>JOHNSON, KY</v>
          </cell>
        </row>
        <row r="1045">
          <cell r="A1045">
            <v>21117</v>
          </cell>
          <cell r="B1045" t="str">
            <v>KENTON, KY</v>
          </cell>
        </row>
        <row r="1046">
          <cell r="A1046">
            <v>21119</v>
          </cell>
          <cell r="B1046" t="str">
            <v>KNOTT, KY</v>
          </cell>
        </row>
        <row r="1047">
          <cell r="A1047">
            <v>21121</v>
          </cell>
          <cell r="B1047" t="str">
            <v>KNOX, KY</v>
          </cell>
        </row>
        <row r="1048">
          <cell r="A1048">
            <v>21123</v>
          </cell>
          <cell r="B1048" t="str">
            <v>LARUE, KY</v>
          </cell>
        </row>
        <row r="1049">
          <cell r="A1049">
            <v>21125</v>
          </cell>
          <cell r="B1049" t="str">
            <v>LAUREL, KY</v>
          </cell>
        </row>
        <row r="1050">
          <cell r="A1050">
            <v>21127</v>
          </cell>
          <cell r="B1050" t="str">
            <v>LAWRENCE, KY</v>
          </cell>
        </row>
        <row r="1051">
          <cell r="A1051">
            <v>21129</v>
          </cell>
          <cell r="B1051" t="str">
            <v>LEE, KY</v>
          </cell>
        </row>
        <row r="1052">
          <cell r="A1052">
            <v>21131</v>
          </cell>
          <cell r="B1052" t="str">
            <v>LESLIE, KY</v>
          </cell>
        </row>
        <row r="1053">
          <cell r="A1053">
            <v>21133</v>
          </cell>
          <cell r="B1053" t="str">
            <v>LETCHER, KY</v>
          </cell>
        </row>
        <row r="1054">
          <cell r="A1054">
            <v>21135</v>
          </cell>
          <cell r="B1054" t="str">
            <v>LEWIS, KY</v>
          </cell>
        </row>
        <row r="1055">
          <cell r="A1055">
            <v>21137</v>
          </cell>
          <cell r="B1055" t="str">
            <v>LINCOLN, KY</v>
          </cell>
        </row>
        <row r="1056">
          <cell r="A1056">
            <v>21139</v>
          </cell>
          <cell r="B1056" t="str">
            <v>LIVINGSTON, KY</v>
          </cell>
        </row>
        <row r="1057">
          <cell r="A1057">
            <v>21141</v>
          </cell>
          <cell r="B1057" t="str">
            <v>LOGAN, KY</v>
          </cell>
        </row>
        <row r="1058">
          <cell r="A1058">
            <v>21143</v>
          </cell>
          <cell r="B1058" t="str">
            <v>LYON, KY</v>
          </cell>
        </row>
        <row r="1059">
          <cell r="A1059">
            <v>21145</v>
          </cell>
          <cell r="B1059" t="str">
            <v>MCCRACKEN, KY</v>
          </cell>
        </row>
        <row r="1060">
          <cell r="A1060">
            <v>21147</v>
          </cell>
          <cell r="B1060" t="str">
            <v>MCCREARY, KY</v>
          </cell>
        </row>
        <row r="1061">
          <cell r="A1061">
            <v>21149</v>
          </cell>
          <cell r="B1061" t="str">
            <v>MCLEAN, KY</v>
          </cell>
        </row>
        <row r="1062">
          <cell r="A1062">
            <v>21151</v>
          </cell>
          <cell r="B1062" t="str">
            <v>MADISON, KY</v>
          </cell>
        </row>
        <row r="1063">
          <cell r="A1063">
            <v>21153</v>
          </cell>
          <cell r="B1063" t="str">
            <v>MAGOFFIN, KY</v>
          </cell>
        </row>
        <row r="1064">
          <cell r="A1064">
            <v>21155</v>
          </cell>
          <cell r="B1064" t="str">
            <v>MARION, KY</v>
          </cell>
        </row>
        <row r="1065">
          <cell r="A1065">
            <v>21157</v>
          </cell>
          <cell r="B1065" t="str">
            <v>MARSHALL, KY</v>
          </cell>
        </row>
        <row r="1066">
          <cell r="A1066">
            <v>21159</v>
          </cell>
          <cell r="B1066" t="str">
            <v>MARTIN, KY</v>
          </cell>
        </row>
        <row r="1067">
          <cell r="A1067">
            <v>21161</v>
          </cell>
          <cell r="B1067" t="str">
            <v>MASON, KY</v>
          </cell>
        </row>
        <row r="1068">
          <cell r="A1068">
            <v>21163</v>
          </cell>
          <cell r="B1068" t="str">
            <v>MEADE, KY</v>
          </cell>
        </row>
        <row r="1069">
          <cell r="A1069">
            <v>21165</v>
          </cell>
          <cell r="B1069" t="str">
            <v>MENIFEE, KY</v>
          </cell>
        </row>
        <row r="1070">
          <cell r="A1070">
            <v>21167</v>
          </cell>
          <cell r="B1070" t="str">
            <v>MERCER, KY</v>
          </cell>
        </row>
        <row r="1071">
          <cell r="A1071">
            <v>21169</v>
          </cell>
          <cell r="B1071" t="str">
            <v>METCALFE, KY</v>
          </cell>
        </row>
        <row r="1072">
          <cell r="A1072">
            <v>21171</v>
          </cell>
          <cell r="B1072" t="str">
            <v>MONROE, KY</v>
          </cell>
        </row>
        <row r="1073">
          <cell r="A1073">
            <v>21173</v>
          </cell>
          <cell r="B1073" t="str">
            <v>MONTGOMERY, KY</v>
          </cell>
        </row>
        <row r="1074">
          <cell r="A1074">
            <v>21175</v>
          </cell>
          <cell r="B1074" t="str">
            <v>MORGAN, KY</v>
          </cell>
        </row>
        <row r="1075">
          <cell r="A1075">
            <v>21177</v>
          </cell>
          <cell r="B1075" t="str">
            <v>MUHLENBERG, KY</v>
          </cell>
        </row>
        <row r="1076">
          <cell r="A1076">
            <v>21179</v>
          </cell>
          <cell r="B1076" t="str">
            <v>NELSON, KY</v>
          </cell>
        </row>
        <row r="1077">
          <cell r="A1077">
            <v>21181</v>
          </cell>
          <cell r="B1077" t="str">
            <v>NICHOLAS, KY</v>
          </cell>
        </row>
        <row r="1078">
          <cell r="A1078">
            <v>21183</v>
          </cell>
          <cell r="B1078" t="str">
            <v>OHIO, KY</v>
          </cell>
        </row>
        <row r="1079">
          <cell r="A1079">
            <v>21185</v>
          </cell>
          <cell r="B1079" t="str">
            <v>OLDHAM, KY</v>
          </cell>
        </row>
        <row r="1080">
          <cell r="A1080">
            <v>21187</v>
          </cell>
          <cell r="B1080" t="str">
            <v>OWEN, KY</v>
          </cell>
        </row>
        <row r="1081">
          <cell r="A1081">
            <v>21189</v>
          </cell>
          <cell r="B1081" t="str">
            <v>OWSLEY, KY</v>
          </cell>
        </row>
        <row r="1082">
          <cell r="A1082">
            <v>21191</v>
          </cell>
          <cell r="B1082" t="str">
            <v>PENDLETON, KY</v>
          </cell>
        </row>
        <row r="1083">
          <cell r="A1083">
            <v>21193</v>
          </cell>
          <cell r="B1083" t="str">
            <v>PERRY, KY</v>
          </cell>
        </row>
        <row r="1084">
          <cell r="A1084">
            <v>21195</v>
          </cell>
          <cell r="B1084" t="str">
            <v>PIKE, KY</v>
          </cell>
        </row>
        <row r="1085">
          <cell r="A1085">
            <v>21197</v>
          </cell>
          <cell r="B1085" t="str">
            <v>POWELL, KY</v>
          </cell>
        </row>
        <row r="1086">
          <cell r="A1086">
            <v>21199</v>
          </cell>
          <cell r="B1086" t="str">
            <v>PULASKI, KY</v>
          </cell>
        </row>
        <row r="1087">
          <cell r="A1087">
            <v>21201</v>
          </cell>
          <cell r="B1087" t="str">
            <v>ROBERTSON, KY</v>
          </cell>
        </row>
        <row r="1088">
          <cell r="A1088">
            <v>21203</v>
          </cell>
          <cell r="B1088" t="str">
            <v>ROCKCASTLE, KY</v>
          </cell>
        </row>
        <row r="1089">
          <cell r="A1089">
            <v>21205</v>
          </cell>
          <cell r="B1089" t="str">
            <v>ROWAN, KY</v>
          </cell>
        </row>
        <row r="1090">
          <cell r="A1090">
            <v>21207</v>
          </cell>
          <cell r="B1090" t="str">
            <v>RUSSELL, KY</v>
          </cell>
        </row>
        <row r="1091">
          <cell r="A1091">
            <v>21209</v>
          </cell>
          <cell r="B1091" t="str">
            <v>SCOTT, KY</v>
          </cell>
        </row>
        <row r="1092">
          <cell r="A1092">
            <v>21211</v>
          </cell>
          <cell r="B1092" t="str">
            <v>SHELBY, KY</v>
          </cell>
        </row>
        <row r="1093">
          <cell r="A1093">
            <v>21213</v>
          </cell>
          <cell r="B1093" t="str">
            <v>SIMPSON, KY</v>
          </cell>
        </row>
        <row r="1094">
          <cell r="A1094">
            <v>21215</v>
          </cell>
          <cell r="B1094" t="str">
            <v>SPENCER, KY</v>
          </cell>
        </row>
        <row r="1095">
          <cell r="A1095">
            <v>21217</v>
          </cell>
          <cell r="B1095" t="str">
            <v>TAYLOR, KY</v>
          </cell>
        </row>
        <row r="1096">
          <cell r="A1096">
            <v>21219</v>
          </cell>
          <cell r="B1096" t="str">
            <v>TODD, KY</v>
          </cell>
        </row>
        <row r="1097">
          <cell r="A1097">
            <v>21221</v>
          </cell>
          <cell r="B1097" t="str">
            <v>TRIGG, KY</v>
          </cell>
        </row>
        <row r="1098">
          <cell r="A1098">
            <v>21223</v>
          </cell>
          <cell r="B1098" t="str">
            <v>TRIMBLE, KY</v>
          </cell>
        </row>
        <row r="1099">
          <cell r="A1099">
            <v>21225</v>
          </cell>
          <cell r="B1099" t="str">
            <v>UNION, KY</v>
          </cell>
        </row>
        <row r="1100">
          <cell r="A1100">
            <v>21227</v>
          </cell>
          <cell r="B1100" t="str">
            <v>WARREN, KY</v>
          </cell>
        </row>
        <row r="1101">
          <cell r="A1101">
            <v>21229</v>
          </cell>
          <cell r="B1101" t="str">
            <v>WASHINGTON, KY</v>
          </cell>
        </row>
        <row r="1102">
          <cell r="A1102">
            <v>21231</v>
          </cell>
          <cell r="B1102" t="str">
            <v>WAYNE, KY</v>
          </cell>
        </row>
        <row r="1103">
          <cell r="A1103">
            <v>21233</v>
          </cell>
          <cell r="B1103" t="str">
            <v>WEBSTER, KY</v>
          </cell>
        </row>
        <row r="1104">
          <cell r="A1104">
            <v>21235</v>
          </cell>
          <cell r="B1104" t="str">
            <v>WHITLEY, KY</v>
          </cell>
        </row>
        <row r="1105">
          <cell r="A1105">
            <v>21237</v>
          </cell>
          <cell r="B1105" t="str">
            <v>WOLFE, KY</v>
          </cell>
        </row>
        <row r="1106">
          <cell r="A1106">
            <v>21239</v>
          </cell>
          <cell r="B1106" t="str">
            <v>WOODFORD, KY</v>
          </cell>
        </row>
        <row r="1107">
          <cell r="A1107">
            <v>22001</v>
          </cell>
          <cell r="B1107" t="str">
            <v>ACADIA, LA</v>
          </cell>
        </row>
        <row r="1108">
          <cell r="A1108">
            <v>22003</v>
          </cell>
          <cell r="B1108" t="str">
            <v>ALLEN, LA</v>
          </cell>
        </row>
        <row r="1109">
          <cell r="A1109">
            <v>22005</v>
          </cell>
          <cell r="B1109" t="str">
            <v>ASCENSION, LA</v>
          </cell>
        </row>
        <row r="1110">
          <cell r="A1110">
            <v>22007</v>
          </cell>
          <cell r="B1110" t="str">
            <v>ASSUMPTION, LA</v>
          </cell>
        </row>
        <row r="1111">
          <cell r="A1111">
            <v>22009</v>
          </cell>
          <cell r="B1111" t="str">
            <v>AVOYELLES, LA</v>
          </cell>
        </row>
        <row r="1112">
          <cell r="A1112">
            <v>22011</v>
          </cell>
          <cell r="B1112" t="str">
            <v>BEAUREGARD, LA</v>
          </cell>
        </row>
        <row r="1113">
          <cell r="A1113">
            <v>22013</v>
          </cell>
          <cell r="B1113" t="str">
            <v>BIENVILLE, LA</v>
          </cell>
        </row>
        <row r="1114">
          <cell r="A1114">
            <v>22015</v>
          </cell>
          <cell r="B1114" t="str">
            <v>BOSSIER, LA</v>
          </cell>
        </row>
        <row r="1115">
          <cell r="A1115">
            <v>22017</v>
          </cell>
          <cell r="B1115" t="str">
            <v>CADDO, LA</v>
          </cell>
        </row>
        <row r="1116">
          <cell r="A1116">
            <v>22019</v>
          </cell>
          <cell r="B1116" t="str">
            <v>CALCASIEU, LA</v>
          </cell>
        </row>
        <row r="1117">
          <cell r="A1117">
            <v>22021</v>
          </cell>
          <cell r="B1117" t="str">
            <v>CALDWELL, LA</v>
          </cell>
        </row>
        <row r="1118">
          <cell r="A1118">
            <v>22023</v>
          </cell>
          <cell r="B1118" t="str">
            <v>CAMERON, LA</v>
          </cell>
        </row>
        <row r="1119">
          <cell r="A1119">
            <v>22025</v>
          </cell>
          <cell r="B1119" t="str">
            <v>CATAHOULA, LA</v>
          </cell>
        </row>
        <row r="1120">
          <cell r="A1120">
            <v>22027</v>
          </cell>
          <cell r="B1120" t="str">
            <v>CLAIBORNE, LA</v>
          </cell>
        </row>
        <row r="1121">
          <cell r="A1121">
            <v>22029</v>
          </cell>
          <cell r="B1121" t="str">
            <v>CONCORDIA, LA</v>
          </cell>
        </row>
        <row r="1122">
          <cell r="A1122">
            <v>22031</v>
          </cell>
          <cell r="B1122" t="str">
            <v>DE SOTO, LA</v>
          </cell>
        </row>
        <row r="1123">
          <cell r="A1123">
            <v>22033</v>
          </cell>
          <cell r="B1123" t="str">
            <v>EAST BATON ROUGE, LA</v>
          </cell>
        </row>
        <row r="1124">
          <cell r="A1124">
            <v>22035</v>
          </cell>
          <cell r="B1124" t="str">
            <v>EAST CARROLL, LA</v>
          </cell>
        </row>
        <row r="1125">
          <cell r="A1125">
            <v>22037</v>
          </cell>
          <cell r="B1125" t="str">
            <v>EAST FELICIANA, LA</v>
          </cell>
        </row>
        <row r="1126">
          <cell r="A1126">
            <v>22039</v>
          </cell>
          <cell r="B1126" t="str">
            <v>EVANGELINE, LA</v>
          </cell>
        </row>
        <row r="1127">
          <cell r="A1127">
            <v>22041</v>
          </cell>
          <cell r="B1127" t="str">
            <v>FRANKLIN, LA</v>
          </cell>
        </row>
        <row r="1128">
          <cell r="A1128">
            <v>22043</v>
          </cell>
          <cell r="B1128" t="str">
            <v>GRANT, LA</v>
          </cell>
        </row>
        <row r="1129">
          <cell r="A1129">
            <v>22045</v>
          </cell>
          <cell r="B1129" t="str">
            <v>IBERIA, LA</v>
          </cell>
        </row>
        <row r="1130">
          <cell r="A1130">
            <v>22047</v>
          </cell>
          <cell r="B1130" t="str">
            <v>IBERVILLE, LA</v>
          </cell>
        </row>
        <row r="1131">
          <cell r="A1131">
            <v>22049</v>
          </cell>
          <cell r="B1131" t="str">
            <v>JACKSON, LA</v>
          </cell>
        </row>
        <row r="1132">
          <cell r="A1132">
            <v>22051</v>
          </cell>
          <cell r="B1132" t="str">
            <v>JEFFERSON, LA</v>
          </cell>
        </row>
        <row r="1133">
          <cell r="A1133">
            <v>22053</v>
          </cell>
          <cell r="B1133" t="str">
            <v>JEFFERSON DAVIS, LA</v>
          </cell>
        </row>
        <row r="1134">
          <cell r="A1134">
            <v>22055</v>
          </cell>
          <cell r="B1134" t="str">
            <v>LAFAYETTE, LA</v>
          </cell>
        </row>
        <row r="1135">
          <cell r="A1135">
            <v>22057</v>
          </cell>
          <cell r="B1135" t="str">
            <v>LAFOURCHE, LA</v>
          </cell>
        </row>
        <row r="1136">
          <cell r="A1136">
            <v>22059</v>
          </cell>
          <cell r="B1136" t="str">
            <v>LA SALLE, LA</v>
          </cell>
        </row>
        <row r="1137">
          <cell r="A1137">
            <v>22061</v>
          </cell>
          <cell r="B1137" t="str">
            <v>LINCOLN, LA</v>
          </cell>
        </row>
        <row r="1138">
          <cell r="A1138">
            <v>22063</v>
          </cell>
          <cell r="B1138" t="str">
            <v>LIVINGSTON, LA</v>
          </cell>
        </row>
        <row r="1139">
          <cell r="A1139">
            <v>22065</v>
          </cell>
          <cell r="B1139" t="str">
            <v>MADISON, LA</v>
          </cell>
        </row>
        <row r="1140">
          <cell r="A1140">
            <v>22067</v>
          </cell>
          <cell r="B1140" t="str">
            <v>MOREHOUSE, LA</v>
          </cell>
        </row>
        <row r="1141">
          <cell r="A1141">
            <v>22069</v>
          </cell>
          <cell r="B1141" t="str">
            <v>NATCHITOCHES, LA</v>
          </cell>
        </row>
        <row r="1142">
          <cell r="A1142">
            <v>22071</v>
          </cell>
          <cell r="B1142" t="str">
            <v>ORLEANS, LA</v>
          </cell>
        </row>
        <row r="1143">
          <cell r="A1143">
            <v>22073</v>
          </cell>
          <cell r="B1143" t="str">
            <v>OUACHITA, LA</v>
          </cell>
        </row>
        <row r="1144">
          <cell r="A1144">
            <v>22075</v>
          </cell>
          <cell r="B1144" t="str">
            <v>PLAQUEMINES, LA</v>
          </cell>
        </row>
        <row r="1145">
          <cell r="A1145">
            <v>22077</v>
          </cell>
          <cell r="B1145" t="str">
            <v>POINTE COUPEE, LA</v>
          </cell>
        </row>
        <row r="1146">
          <cell r="A1146">
            <v>22079</v>
          </cell>
          <cell r="B1146" t="str">
            <v>RAPIDES, LA</v>
          </cell>
        </row>
        <row r="1147">
          <cell r="A1147">
            <v>22081</v>
          </cell>
          <cell r="B1147" t="str">
            <v>RED RIVER, LA</v>
          </cell>
        </row>
        <row r="1148">
          <cell r="A1148">
            <v>22083</v>
          </cell>
          <cell r="B1148" t="str">
            <v>RICHLAND, LA</v>
          </cell>
        </row>
        <row r="1149">
          <cell r="A1149">
            <v>22085</v>
          </cell>
          <cell r="B1149" t="str">
            <v>SABINE, LA</v>
          </cell>
        </row>
        <row r="1150">
          <cell r="A1150">
            <v>22087</v>
          </cell>
          <cell r="B1150" t="str">
            <v>ST BERNARD, LA</v>
          </cell>
        </row>
        <row r="1151">
          <cell r="A1151">
            <v>22089</v>
          </cell>
          <cell r="B1151" t="str">
            <v>ST CHARLES, LA</v>
          </cell>
        </row>
        <row r="1152">
          <cell r="A1152">
            <v>22091</v>
          </cell>
          <cell r="B1152" t="str">
            <v>ST HELENA, LA</v>
          </cell>
        </row>
        <row r="1153">
          <cell r="A1153">
            <v>22093</v>
          </cell>
          <cell r="B1153" t="str">
            <v>ST JAMES, LA</v>
          </cell>
        </row>
        <row r="1154">
          <cell r="A1154">
            <v>22095</v>
          </cell>
          <cell r="B1154" t="str">
            <v>ST JOHN THE BAPTIST, LA</v>
          </cell>
        </row>
        <row r="1155">
          <cell r="A1155">
            <v>22097</v>
          </cell>
          <cell r="B1155" t="str">
            <v>ST LANDRY, LA</v>
          </cell>
        </row>
        <row r="1156">
          <cell r="A1156">
            <v>22099</v>
          </cell>
          <cell r="B1156" t="str">
            <v>ST MARTIN, LA</v>
          </cell>
        </row>
        <row r="1157">
          <cell r="A1157">
            <v>22101</v>
          </cell>
          <cell r="B1157" t="str">
            <v>ST MARY, LA</v>
          </cell>
        </row>
        <row r="1158">
          <cell r="A1158">
            <v>22103</v>
          </cell>
          <cell r="B1158" t="str">
            <v>ST TAMMANY, LA</v>
          </cell>
        </row>
        <row r="1159">
          <cell r="A1159">
            <v>22105</v>
          </cell>
          <cell r="B1159" t="str">
            <v>TANGIPAHOA, LA</v>
          </cell>
        </row>
        <row r="1160">
          <cell r="A1160">
            <v>22107</v>
          </cell>
          <cell r="B1160" t="str">
            <v>TENSAS, LA</v>
          </cell>
        </row>
        <row r="1161">
          <cell r="A1161">
            <v>22109</v>
          </cell>
          <cell r="B1161" t="str">
            <v>TERREBONNE, LA</v>
          </cell>
        </row>
        <row r="1162">
          <cell r="A1162">
            <v>22111</v>
          </cell>
          <cell r="B1162" t="str">
            <v>UNION, LA</v>
          </cell>
        </row>
        <row r="1163">
          <cell r="A1163">
            <v>22113</v>
          </cell>
          <cell r="B1163" t="str">
            <v>VERMILION, LA</v>
          </cell>
        </row>
        <row r="1164">
          <cell r="A1164">
            <v>22115</v>
          </cell>
          <cell r="B1164" t="str">
            <v>VERNON, LA</v>
          </cell>
        </row>
        <row r="1165">
          <cell r="A1165">
            <v>22117</v>
          </cell>
          <cell r="B1165" t="str">
            <v>WASHINGTON, LA</v>
          </cell>
        </row>
        <row r="1166">
          <cell r="A1166">
            <v>22119</v>
          </cell>
          <cell r="B1166" t="str">
            <v>WEBSTER, LA</v>
          </cell>
        </row>
        <row r="1167">
          <cell r="A1167">
            <v>22121</v>
          </cell>
          <cell r="B1167" t="str">
            <v>WEST BATON ROUGE, LA</v>
          </cell>
        </row>
        <row r="1168">
          <cell r="A1168">
            <v>22123</v>
          </cell>
          <cell r="B1168" t="str">
            <v>WEST CARROLL, LA</v>
          </cell>
        </row>
        <row r="1169">
          <cell r="A1169">
            <v>22125</v>
          </cell>
          <cell r="B1169" t="str">
            <v>WEST FELICIANA, LA</v>
          </cell>
        </row>
        <row r="1170">
          <cell r="A1170">
            <v>22127</v>
          </cell>
          <cell r="B1170" t="str">
            <v>WINN, LA</v>
          </cell>
        </row>
        <row r="1171">
          <cell r="A1171">
            <v>23001</v>
          </cell>
          <cell r="B1171" t="str">
            <v>ANDROSCOGGIN, ME</v>
          </cell>
        </row>
        <row r="1172">
          <cell r="A1172">
            <v>23003</v>
          </cell>
          <cell r="B1172" t="str">
            <v>AROOSTOOK, ME</v>
          </cell>
        </row>
        <row r="1173">
          <cell r="A1173">
            <v>23005</v>
          </cell>
          <cell r="B1173" t="str">
            <v>CUMBERLAND, ME</v>
          </cell>
        </row>
        <row r="1174">
          <cell r="A1174">
            <v>23007</v>
          </cell>
          <cell r="B1174" t="str">
            <v>FRANKLIN, ME</v>
          </cell>
        </row>
        <row r="1175">
          <cell r="A1175">
            <v>23009</v>
          </cell>
          <cell r="B1175" t="str">
            <v>HANCOCK, ME</v>
          </cell>
        </row>
        <row r="1176">
          <cell r="A1176">
            <v>23011</v>
          </cell>
          <cell r="B1176" t="str">
            <v>KENNEBEC, ME</v>
          </cell>
        </row>
        <row r="1177">
          <cell r="A1177">
            <v>23013</v>
          </cell>
          <cell r="B1177" t="str">
            <v>KNOX, ME</v>
          </cell>
        </row>
        <row r="1178">
          <cell r="A1178">
            <v>23015</v>
          </cell>
          <cell r="B1178" t="str">
            <v>LINCOLN, ME</v>
          </cell>
        </row>
        <row r="1179">
          <cell r="A1179">
            <v>23017</v>
          </cell>
          <cell r="B1179" t="str">
            <v>OXFORD, ME</v>
          </cell>
        </row>
        <row r="1180">
          <cell r="A1180">
            <v>23019</v>
          </cell>
          <cell r="B1180" t="str">
            <v>PENOBSCOT, ME</v>
          </cell>
        </row>
        <row r="1181">
          <cell r="A1181">
            <v>23021</v>
          </cell>
          <cell r="B1181" t="str">
            <v>PISCATAQUIS, ME</v>
          </cell>
        </row>
        <row r="1182">
          <cell r="A1182">
            <v>23023</v>
          </cell>
          <cell r="B1182" t="str">
            <v>SAGADAHOC, ME</v>
          </cell>
        </row>
        <row r="1183">
          <cell r="A1183">
            <v>23025</v>
          </cell>
          <cell r="B1183" t="str">
            <v>SOMERSET, ME</v>
          </cell>
        </row>
        <row r="1184">
          <cell r="A1184">
            <v>23027</v>
          </cell>
          <cell r="B1184" t="str">
            <v>WALDO, ME</v>
          </cell>
        </row>
        <row r="1185">
          <cell r="A1185">
            <v>23029</v>
          </cell>
          <cell r="B1185" t="str">
            <v>WASHINGTON, ME</v>
          </cell>
        </row>
        <row r="1186">
          <cell r="A1186">
            <v>23031</v>
          </cell>
          <cell r="B1186" t="str">
            <v>YORK, ME</v>
          </cell>
        </row>
        <row r="1187">
          <cell r="A1187">
            <v>24001</v>
          </cell>
          <cell r="B1187" t="str">
            <v>ALLEGANY, MD</v>
          </cell>
        </row>
        <row r="1188">
          <cell r="A1188">
            <v>24003</v>
          </cell>
          <cell r="B1188" t="str">
            <v>ANNE ARUNDEL, MD</v>
          </cell>
        </row>
        <row r="1189">
          <cell r="A1189">
            <v>24005</v>
          </cell>
          <cell r="B1189" t="str">
            <v>BALTIMORE, MD</v>
          </cell>
        </row>
        <row r="1190">
          <cell r="A1190">
            <v>24009</v>
          </cell>
          <cell r="B1190" t="str">
            <v>CALVERT, MD</v>
          </cell>
        </row>
        <row r="1191">
          <cell r="A1191">
            <v>24011</v>
          </cell>
          <cell r="B1191" t="str">
            <v>CAROLINE, MD</v>
          </cell>
        </row>
        <row r="1192">
          <cell r="A1192">
            <v>24013</v>
          </cell>
          <cell r="B1192" t="str">
            <v>CARROLL, MD</v>
          </cell>
        </row>
        <row r="1193">
          <cell r="A1193">
            <v>24015</v>
          </cell>
          <cell r="B1193" t="str">
            <v>CECIL, MD</v>
          </cell>
        </row>
        <row r="1194">
          <cell r="A1194">
            <v>24017</v>
          </cell>
          <cell r="B1194" t="str">
            <v>CHARLES, MD</v>
          </cell>
        </row>
        <row r="1195">
          <cell r="A1195">
            <v>24019</v>
          </cell>
          <cell r="B1195" t="str">
            <v>DORCHESTER, MD</v>
          </cell>
        </row>
        <row r="1196">
          <cell r="A1196">
            <v>24021</v>
          </cell>
          <cell r="B1196" t="str">
            <v>FREDERICK, MD</v>
          </cell>
        </row>
        <row r="1197">
          <cell r="A1197">
            <v>24023</v>
          </cell>
          <cell r="B1197" t="str">
            <v>GARRETT, MD</v>
          </cell>
        </row>
        <row r="1198">
          <cell r="A1198">
            <v>24025</v>
          </cell>
          <cell r="B1198" t="str">
            <v>HARFORD, MD</v>
          </cell>
        </row>
        <row r="1199">
          <cell r="A1199">
            <v>24027</v>
          </cell>
          <cell r="B1199" t="str">
            <v>HOWARD, MD</v>
          </cell>
        </row>
        <row r="1200">
          <cell r="A1200">
            <v>24029</v>
          </cell>
          <cell r="B1200" t="str">
            <v>KENT, MD</v>
          </cell>
        </row>
        <row r="1201">
          <cell r="A1201">
            <v>24031</v>
          </cell>
          <cell r="B1201" t="str">
            <v>MONTGOMERY, MD</v>
          </cell>
        </row>
        <row r="1202">
          <cell r="A1202">
            <v>24033</v>
          </cell>
          <cell r="B1202" t="str">
            <v>PRINCE GEORGES, MD</v>
          </cell>
        </row>
        <row r="1203">
          <cell r="A1203">
            <v>24035</v>
          </cell>
          <cell r="B1203" t="str">
            <v>QUEEN ANNES, MD</v>
          </cell>
        </row>
        <row r="1204">
          <cell r="A1204">
            <v>24037</v>
          </cell>
          <cell r="B1204" t="str">
            <v>ST MARYS, MD</v>
          </cell>
        </row>
        <row r="1205">
          <cell r="A1205">
            <v>24039</v>
          </cell>
          <cell r="B1205" t="str">
            <v>SOMERSET, MD</v>
          </cell>
        </row>
        <row r="1206">
          <cell r="A1206">
            <v>24041</v>
          </cell>
          <cell r="B1206" t="str">
            <v>TALBOT, MD</v>
          </cell>
        </row>
        <row r="1207">
          <cell r="A1207">
            <v>24043</v>
          </cell>
          <cell r="B1207" t="str">
            <v>WASHINGTON, MD</v>
          </cell>
        </row>
        <row r="1208">
          <cell r="A1208">
            <v>24045</v>
          </cell>
          <cell r="B1208" t="str">
            <v>WICOMICO, MD</v>
          </cell>
        </row>
        <row r="1209">
          <cell r="A1209">
            <v>24047</v>
          </cell>
          <cell r="B1209" t="str">
            <v>WORCESTER, MD</v>
          </cell>
        </row>
        <row r="1210">
          <cell r="A1210">
            <v>24510</v>
          </cell>
          <cell r="B1210" t="str">
            <v>BALTIMORE CITY, MD</v>
          </cell>
        </row>
        <row r="1211">
          <cell r="A1211">
            <v>25001</v>
          </cell>
          <cell r="B1211" t="str">
            <v>BARNSTABLE, MA</v>
          </cell>
        </row>
        <row r="1212">
          <cell r="A1212">
            <v>25003</v>
          </cell>
          <cell r="B1212" t="str">
            <v>BERKSHIRE, MA</v>
          </cell>
        </row>
        <row r="1213">
          <cell r="A1213">
            <v>25005</v>
          </cell>
          <cell r="B1213" t="str">
            <v>BRISTOL, MA</v>
          </cell>
        </row>
        <row r="1214">
          <cell r="A1214">
            <v>25007</v>
          </cell>
          <cell r="B1214" t="str">
            <v>DUKES, MA</v>
          </cell>
        </row>
        <row r="1215">
          <cell r="A1215">
            <v>25009</v>
          </cell>
          <cell r="B1215" t="str">
            <v>ESSEX, MA</v>
          </cell>
        </row>
        <row r="1216">
          <cell r="A1216">
            <v>25011</v>
          </cell>
          <cell r="B1216" t="str">
            <v>FRANKLIN, MA</v>
          </cell>
        </row>
        <row r="1217">
          <cell r="A1217">
            <v>25013</v>
          </cell>
          <cell r="B1217" t="str">
            <v>HAMPDEN, MA</v>
          </cell>
        </row>
        <row r="1218">
          <cell r="A1218">
            <v>25015</v>
          </cell>
          <cell r="B1218" t="str">
            <v>HAMPSHIRE, MA</v>
          </cell>
        </row>
        <row r="1219">
          <cell r="A1219">
            <v>25017</v>
          </cell>
          <cell r="B1219" t="str">
            <v>MIDDLESEX, MA</v>
          </cell>
        </row>
        <row r="1220">
          <cell r="A1220">
            <v>25019</v>
          </cell>
          <cell r="B1220" t="str">
            <v>NANTUCKET, MA</v>
          </cell>
        </row>
        <row r="1221">
          <cell r="A1221">
            <v>25021</v>
          </cell>
          <cell r="B1221" t="str">
            <v>NORFOLK, MA</v>
          </cell>
        </row>
        <row r="1222">
          <cell r="A1222">
            <v>25023</v>
          </cell>
          <cell r="B1222" t="str">
            <v>PLYMOUTH, MA</v>
          </cell>
        </row>
        <row r="1223">
          <cell r="A1223">
            <v>25025</v>
          </cell>
          <cell r="B1223" t="str">
            <v>SUFFOLK, MA</v>
          </cell>
        </row>
        <row r="1224">
          <cell r="A1224">
            <v>25027</v>
          </cell>
          <cell r="B1224" t="str">
            <v>WORCESTER, MA</v>
          </cell>
        </row>
        <row r="1225">
          <cell r="A1225">
            <v>26001</v>
          </cell>
          <cell r="B1225" t="str">
            <v>ALCONA, MI</v>
          </cell>
        </row>
        <row r="1226">
          <cell r="A1226">
            <v>26003</v>
          </cell>
          <cell r="B1226" t="str">
            <v>ALGER, MI</v>
          </cell>
        </row>
        <row r="1227">
          <cell r="A1227">
            <v>26005</v>
          </cell>
          <cell r="B1227" t="str">
            <v>ALLEGAN, MI</v>
          </cell>
        </row>
        <row r="1228">
          <cell r="A1228">
            <v>26007</v>
          </cell>
          <cell r="B1228" t="str">
            <v>ALPENA, MI</v>
          </cell>
        </row>
        <row r="1229">
          <cell r="A1229">
            <v>26009</v>
          </cell>
          <cell r="B1229" t="str">
            <v>ANTRIM, MI</v>
          </cell>
        </row>
        <row r="1230">
          <cell r="A1230">
            <v>26011</v>
          </cell>
          <cell r="B1230" t="str">
            <v>ARENAC, MI</v>
          </cell>
        </row>
        <row r="1231">
          <cell r="A1231">
            <v>26013</v>
          </cell>
          <cell r="B1231" t="str">
            <v>BARAGA, MI</v>
          </cell>
        </row>
        <row r="1232">
          <cell r="A1232">
            <v>26015</v>
          </cell>
          <cell r="B1232" t="str">
            <v>BARRY, MI</v>
          </cell>
        </row>
        <row r="1233">
          <cell r="A1233">
            <v>26017</v>
          </cell>
          <cell r="B1233" t="str">
            <v>BAY, MI</v>
          </cell>
        </row>
        <row r="1234">
          <cell r="A1234">
            <v>26019</v>
          </cell>
          <cell r="B1234" t="str">
            <v>BENZIE, MI</v>
          </cell>
        </row>
        <row r="1235">
          <cell r="A1235">
            <v>26021</v>
          </cell>
          <cell r="B1235" t="str">
            <v>BERRIEN, MI</v>
          </cell>
        </row>
        <row r="1236">
          <cell r="A1236">
            <v>26023</v>
          </cell>
          <cell r="B1236" t="str">
            <v>BRANCH, MI</v>
          </cell>
        </row>
        <row r="1237">
          <cell r="A1237">
            <v>26025</v>
          </cell>
          <cell r="B1237" t="str">
            <v>CALHOUN, MI</v>
          </cell>
        </row>
        <row r="1238">
          <cell r="A1238">
            <v>26027</v>
          </cell>
          <cell r="B1238" t="str">
            <v>CASS, MI</v>
          </cell>
        </row>
        <row r="1239">
          <cell r="A1239">
            <v>26029</v>
          </cell>
          <cell r="B1239" t="str">
            <v>CHARLEVOIX, MI</v>
          </cell>
        </row>
        <row r="1240">
          <cell r="A1240">
            <v>26031</v>
          </cell>
          <cell r="B1240" t="str">
            <v>CHEBOYGAN, MI</v>
          </cell>
        </row>
        <row r="1241">
          <cell r="A1241">
            <v>26033</v>
          </cell>
          <cell r="B1241" t="str">
            <v>CHIPPEWA, MI</v>
          </cell>
        </row>
        <row r="1242">
          <cell r="A1242">
            <v>26035</v>
          </cell>
          <cell r="B1242" t="str">
            <v>CLARE, MI</v>
          </cell>
        </row>
        <row r="1243">
          <cell r="A1243">
            <v>26037</v>
          </cell>
          <cell r="B1243" t="str">
            <v>CLINTON, MI</v>
          </cell>
        </row>
        <row r="1244">
          <cell r="A1244">
            <v>26039</v>
          </cell>
          <cell r="B1244" t="str">
            <v>CRAWFORD, MI</v>
          </cell>
        </row>
        <row r="1245">
          <cell r="A1245">
            <v>26041</v>
          </cell>
          <cell r="B1245" t="str">
            <v>DELTA, MI</v>
          </cell>
        </row>
        <row r="1246">
          <cell r="A1246">
            <v>26043</v>
          </cell>
          <cell r="B1246" t="str">
            <v>DICKINSON, MI</v>
          </cell>
        </row>
        <row r="1247">
          <cell r="A1247">
            <v>26045</v>
          </cell>
          <cell r="B1247" t="str">
            <v>EATON, MI</v>
          </cell>
        </row>
        <row r="1248">
          <cell r="A1248">
            <v>26047</v>
          </cell>
          <cell r="B1248" t="str">
            <v>EMMET, MI</v>
          </cell>
        </row>
        <row r="1249">
          <cell r="A1249">
            <v>26049</v>
          </cell>
          <cell r="B1249" t="str">
            <v>GENESEE, MI</v>
          </cell>
        </row>
        <row r="1250">
          <cell r="A1250">
            <v>26051</v>
          </cell>
          <cell r="B1250" t="str">
            <v>GLADWIN, MI</v>
          </cell>
        </row>
        <row r="1251">
          <cell r="A1251">
            <v>26053</v>
          </cell>
          <cell r="B1251" t="str">
            <v>GOGEBIC, MI</v>
          </cell>
        </row>
        <row r="1252">
          <cell r="A1252">
            <v>26055</v>
          </cell>
          <cell r="B1252" t="str">
            <v>GRAND TRAVERSE, MI</v>
          </cell>
        </row>
        <row r="1253">
          <cell r="A1253">
            <v>26057</v>
          </cell>
          <cell r="B1253" t="str">
            <v>GRATIOT, MI</v>
          </cell>
        </row>
        <row r="1254">
          <cell r="A1254">
            <v>26059</v>
          </cell>
          <cell r="B1254" t="str">
            <v>HILLSDALE, MI</v>
          </cell>
        </row>
        <row r="1255">
          <cell r="A1255">
            <v>26061</v>
          </cell>
          <cell r="B1255" t="str">
            <v>HOUGHTON, MI</v>
          </cell>
        </row>
        <row r="1256">
          <cell r="A1256">
            <v>26063</v>
          </cell>
          <cell r="B1256" t="str">
            <v>HURON, MI</v>
          </cell>
        </row>
        <row r="1257">
          <cell r="A1257">
            <v>26065</v>
          </cell>
          <cell r="B1257" t="str">
            <v>INGHAM, MI</v>
          </cell>
        </row>
        <row r="1258">
          <cell r="A1258">
            <v>26067</v>
          </cell>
          <cell r="B1258" t="str">
            <v>IONIA, MI</v>
          </cell>
        </row>
        <row r="1259">
          <cell r="A1259">
            <v>26069</v>
          </cell>
          <cell r="B1259" t="str">
            <v>IOSCO, MI</v>
          </cell>
        </row>
        <row r="1260">
          <cell r="A1260">
            <v>26071</v>
          </cell>
          <cell r="B1260" t="str">
            <v>IRON, MI</v>
          </cell>
        </row>
        <row r="1261">
          <cell r="A1261">
            <v>26073</v>
          </cell>
          <cell r="B1261" t="str">
            <v>ISABELLA, MI</v>
          </cell>
        </row>
        <row r="1262">
          <cell r="A1262">
            <v>26075</v>
          </cell>
          <cell r="B1262" t="str">
            <v>JACKSON, MI</v>
          </cell>
        </row>
        <row r="1263">
          <cell r="A1263">
            <v>26077</v>
          </cell>
          <cell r="B1263" t="str">
            <v>KALAMAZOO, MI</v>
          </cell>
        </row>
        <row r="1264">
          <cell r="A1264">
            <v>26079</v>
          </cell>
          <cell r="B1264" t="str">
            <v>KALKASKA, MI</v>
          </cell>
        </row>
        <row r="1265">
          <cell r="A1265">
            <v>26081</v>
          </cell>
          <cell r="B1265" t="str">
            <v>KENT, MI</v>
          </cell>
        </row>
        <row r="1266">
          <cell r="A1266">
            <v>26083</v>
          </cell>
          <cell r="B1266" t="str">
            <v>KEWEENAW, MI</v>
          </cell>
        </row>
        <row r="1267">
          <cell r="A1267">
            <v>26085</v>
          </cell>
          <cell r="B1267" t="str">
            <v>LAKE, MI</v>
          </cell>
        </row>
        <row r="1268">
          <cell r="A1268">
            <v>26087</v>
          </cell>
          <cell r="B1268" t="str">
            <v>LAPEER, MI</v>
          </cell>
        </row>
        <row r="1269">
          <cell r="A1269">
            <v>26089</v>
          </cell>
          <cell r="B1269" t="str">
            <v>LEELANAU, MI</v>
          </cell>
        </row>
        <row r="1270">
          <cell r="A1270">
            <v>26091</v>
          </cell>
          <cell r="B1270" t="str">
            <v>LENAWEE, MI</v>
          </cell>
        </row>
        <row r="1271">
          <cell r="A1271">
            <v>26093</v>
          </cell>
          <cell r="B1271" t="str">
            <v>LIVINGSTON, MI</v>
          </cell>
        </row>
        <row r="1272">
          <cell r="A1272">
            <v>26095</v>
          </cell>
          <cell r="B1272" t="str">
            <v>LUCE, MI</v>
          </cell>
        </row>
        <row r="1273">
          <cell r="A1273">
            <v>26097</v>
          </cell>
          <cell r="B1273" t="str">
            <v>MACKINAC, MI</v>
          </cell>
        </row>
        <row r="1274">
          <cell r="A1274">
            <v>26099</v>
          </cell>
          <cell r="B1274" t="str">
            <v>MACOMB, MI</v>
          </cell>
        </row>
        <row r="1275">
          <cell r="A1275">
            <v>26101</v>
          </cell>
          <cell r="B1275" t="str">
            <v>MANISTEE, MI</v>
          </cell>
        </row>
        <row r="1276">
          <cell r="A1276">
            <v>26103</v>
          </cell>
          <cell r="B1276" t="str">
            <v>MARQUETTE, MI</v>
          </cell>
        </row>
        <row r="1277">
          <cell r="A1277">
            <v>26105</v>
          </cell>
          <cell r="B1277" t="str">
            <v>MASON, MI</v>
          </cell>
        </row>
        <row r="1278">
          <cell r="A1278">
            <v>26107</v>
          </cell>
          <cell r="B1278" t="str">
            <v>MECOSTA, MI</v>
          </cell>
        </row>
        <row r="1279">
          <cell r="A1279">
            <v>26109</v>
          </cell>
          <cell r="B1279" t="str">
            <v>MENOMINEE, MI</v>
          </cell>
        </row>
        <row r="1280">
          <cell r="A1280">
            <v>26111</v>
          </cell>
          <cell r="B1280" t="str">
            <v>MIDLAND, MI</v>
          </cell>
        </row>
        <row r="1281">
          <cell r="A1281">
            <v>26113</v>
          </cell>
          <cell r="B1281" t="str">
            <v>MISSAUKEE, MI</v>
          </cell>
        </row>
        <row r="1282">
          <cell r="A1282">
            <v>26115</v>
          </cell>
          <cell r="B1282" t="str">
            <v>MONROE, MI</v>
          </cell>
        </row>
        <row r="1283">
          <cell r="A1283">
            <v>26117</v>
          </cell>
          <cell r="B1283" t="str">
            <v>MONTCALM, MI</v>
          </cell>
        </row>
        <row r="1284">
          <cell r="A1284">
            <v>26119</v>
          </cell>
          <cell r="B1284" t="str">
            <v>MONTMORENCY, MI</v>
          </cell>
        </row>
        <row r="1285">
          <cell r="A1285">
            <v>26121</v>
          </cell>
          <cell r="B1285" t="str">
            <v>MUSKEGON, MI</v>
          </cell>
        </row>
        <row r="1286">
          <cell r="A1286">
            <v>26123</v>
          </cell>
          <cell r="B1286" t="str">
            <v>NEWAYGO, MI</v>
          </cell>
        </row>
        <row r="1287">
          <cell r="A1287">
            <v>26125</v>
          </cell>
          <cell r="B1287" t="str">
            <v>OAKLAND, MI</v>
          </cell>
        </row>
        <row r="1288">
          <cell r="A1288">
            <v>26127</v>
          </cell>
          <cell r="B1288" t="str">
            <v>OCEANA, MI</v>
          </cell>
        </row>
        <row r="1289">
          <cell r="A1289">
            <v>26129</v>
          </cell>
          <cell r="B1289" t="str">
            <v>OGEMAW, MI</v>
          </cell>
        </row>
        <row r="1290">
          <cell r="A1290">
            <v>26131</v>
          </cell>
          <cell r="B1290" t="str">
            <v>ONTONAGON, MI</v>
          </cell>
        </row>
        <row r="1291">
          <cell r="A1291">
            <v>26133</v>
          </cell>
          <cell r="B1291" t="str">
            <v>OSCEOLA, MI</v>
          </cell>
        </row>
        <row r="1292">
          <cell r="A1292">
            <v>26135</v>
          </cell>
          <cell r="B1292" t="str">
            <v>OSCODA, MI</v>
          </cell>
        </row>
        <row r="1293">
          <cell r="A1293">
            <v>26137</v>
          </cell>
          <cell r="B1293" t="str">
            <v>OTSEGO, MI</v>
          </cell>
        </row>
        <row r="1294">
          <cell r="A1294">
            <v>26139</v>
          </cell>
          <cell r="B1294" t="str">
            <v>OTTAWA, MI</v>
          </cell>
        </row>
        <row r="1295">
          <cell r="A1295">
            <v>26141</v>
          </cell>
          <cell r="B1295" t="str">
            <v>PRESQUE ISLE, MI</v>
          </cell>
        </row>
        <row r="1296">
          <cell r="A1296">
            <v>26143</v>
          </cell>
          <cell r="B1296" t="str">
            <v>ROSCOMMON, MI</v>
          </cell>
        </row>
        <row r="1297">
          <cell r="A1297">
            <v>26145</v>
          </cell>
          <cell r="B1297" t="str">
            <v>SAGINAW, MI</v>
          </cell>
        </row>
        <row r="1298">
          <cell r="A1298">
            <v>26147</v>
          </cell>
          <cell r="B1298" t="str">
            <v>ST CLAIR, MI</v>
          </cell>
        </row>
        <row r="1299">
          <cell r="A1299">
            <v>26149</v>
          </cell>
          <cell r="B1299" t="str">
            <v>ST JOSEPH, MI</v>
          </cell>
        </row>
        <row r="1300">
          <cell r="A1300">
            <v>26151</v>
          </cell>
          <cell r="B1300" t="str">
            <v>SANILAC, MI</v>
          </cell>
        </row>
        <row r="1301">
          <cell r="A1301">
            <v>26153</v>
          </cell>
          <cell r="B1301" t="str">
            <v>SCHOOLCRAFT, MI</v>
          </cell>
        </row>
        <row r="1302">
          <cell r="A1302">
            <v>26155</v>
          </cell>
          <cell r="B1302" t="str">
            <v>SHIAWASSEE, MI</v>
          </cell>
        </row>
        <row r="1303">
          <cell r="A1303">
            <v>26157</v>
          </cell>
          <cell r="B1303" t="str">
            <v>TUSCOLA, MI</v>
          </cell>
        </row>
        <row r="1304">
          <cell r="A1304">
            <v>26159</v>
          </cell>
          <cell r="B1304" t="str">
            <v>VAN BUREN, MI</v>
          </cell>
        </row>
        <row r="1305">
          <cell r="A1305">
            <v>26161</v>
          </cell>
          <cell r="B1305" t="str">
            <v>WASHTENAW, MI</v>
          </cell>
        </row>
        <row r="1306">
          <cell r="A1306">
            <v>26163</v>
          </cell>
          <cell r="B1306" t="str">
            <v>WAYNE, MI</v>
          </cell>
        </row>
        <row r="1307">
          <cell r="A1307">
            <v>26165</v>
          </cell>
          <cell r="B1307" t="str">
            <v>WEXFORD, MI</v>
          </cell>
        </row>
        <row r="1308">
          <cell r="A1308">
            <v>27001</v>
          </cell>
          <cell r="B1308" t="str">
            <v>AITKIN, MN</v>
          </cell>
        </row>
        <row r="1309">
          <cell r="A1309">
            <v>27003</v>
          </cell>
          <cell r="B1309" t="str">
            <v>ANOKA, MN</v>
          </cell>
        </row>
        <row r="1310">
          <cell r="A1310">
            <v>27005</v>
          </cell>
          <cell r="B1310" t="str">
            <v>BECKER, MN</v>
          </cell>
        </row>
        <row r="1311">
          <cell r="A1311">
            <v>27007</v>
          </cell>
          <cell r="B1311" t="str">
            <v>BELTRAMI, MN</v>
          </cell>
        </row>
        <row r="1312">
          <cell r="A1312">
            <v>27009</v>
          </cell>
          <cell r="B1312" t="str">
            <v>BENTON, MN</v>
          </cell>
        </row>
        <row r="1313">
          <cell r="A1313">
            <v>27011</v>
          </cell>
          <cell r="B1313" t="str">
            <v>BIG STONE, MN</v>
          </cell>
        </row>
        <row r="1314">
          <cell r="A1314">
            <v>27013</v>
          </cell>
          <cell r="B1314" t="str">
            <v>BLUE EARTH, MN</v>
          </cell>
        </row>
        <row r="1315">
          <cell r="A1315">
            <v>27015</v>
          </cell>
          <cell r="B1315" t="str">
            <v>BROWN, MN</v>
          </cell>
        </row>
        <row r="1316">
          <cell r="A1316">
            <v>27017</v>
          </cell>
          <cell r="B1316" t="str">
            <v>CARLTON, MN</v>
          </cell>
        </row>
        <row r="1317">
          <cell r="A1317">
            <v>27019</v>
          </cell>
          <cell r="B1317" t="str">
            <v>CARVER, MN</v>
          </cell>
        </row>
        <row r="1318">
          <cell r="A1318">
            <v>27021</v>
          </cell>
          <cell r="B1318" t="str">
            <v>CASS, MN</v>
          </cell>
        </row>
        <row r="1319">
          <cell r="A1319">
            <v>27023</v>
          </cell>
          <cell r="B1319" t="str">
            <v>CHIPPEWA, MN</v>
          </cell>
        </row>
        <row r="1320">
          <cell r="A1320">
            <v>27025</v>
          </cell>
          <cell r="B1320" t="str">
            <v>CHISAGO, MN</v>
          </cell>
        </row>
        <row r="1321">
          <cell r="A1321">
            <v>27027</v>
          </cell>
          <cell r="B1321" t="str">
            <v>CLAY, MN</v>
          </cell>
        </row>
        <row r="1322">
          <cell r="A1322">
            <v>27029</v>
          </cell>
          <cell r="B1322" t="str">
            <v>CLEARWATER, MN</v>
          </cell>
        </row>
        <row r="1323">
          <cell r="A1323">
            <v>27031</v>
          </cell>
          <cell r="B1323" t="str">
            <v>COOK, MN</v>
          </cell>
        </row>
        <row r="1324">
          <cell r="A1324">
            <v>27033</v>
          </cell>
          <cell r="B1324" t="str">
            <v>COTTONWOOD, MN</v>
          </cell>
        </row>
        <row r="1325">
          <cell r="A1325">
            <v>27035</v>
          </cell>
          <cell r="B1325" t="str">
            <v>CROW WING, MN</v>
          </cell>
        </row>
        <row r="1326">
          <cell r="A1326">
            <v>27037</v>
          </cell>
          <cell r="B1326" t="str">
            <v>DAKOTA, MN</v>
          </cell>
        </row>
        <row r="1327">
          <cell r="A1327">
            <v>27039</v>
          </cell>
          <cell r="B1327" t="str">
            <v>DODGE, MN</v>
          </cell>
        </row>
        <row r="1328">
          <cell r="A1328">
            <v>27041</v>
          </cell>
          <cell r="B1328" t="str">
            <v>DOUGLAS, MN</v>
          </cell>
        </row>
        <row r="1329">
          <cell r="A1329">
            <v>27043</v>
          </cell>
          <cell r="B1329" t="str">
            <v>FARIBAULT, MN</v>
          </cell>
        </row>
        <row r="1330">
          <cell r="A1330">
            <v>27045</v>
          </cell>
          <cell r="B1330" t="str">
            <v>FILLMORE, MN</v>
          </cell>
        </row>
        <row r="1331">
          <cell r="A1331">
            <v>27047</v>
          </cell>
          <cell r="B1331" t="str">
            <v>FREEBORN, MN</v>
          </cell>
        </row>
        <row r="1332">
          <cell r="A1332">
            <v>27049</v>
          </cell>
          <cell r="B1332" t="str">
            <v>GOODHUE, MN</v>
          </cell>
        </row>
        <row r="1333">
          <cell r="A1333">
            <v>27051</v>
          </cell>
          <cell r="B1333" t="str">
            <v>GRANT, MN</v>
          </cell>
        </row>
        <row r="1334">
          <cell r="A1334">
            <v>27053</v>
          </cell>
          <cell r="B1334" t="str">
            <v>HENNEPIN, MN</v>
          </cell>
        </row>
        <row r="1335">
          <cell r="A1335">
            <v>27055</v>
          </cell>
          <cell r="B1335" t="str">
            <v>HOUSTON, MN</v>
          </cell>
        </row>
        <row r="1336">
          <cell r="A1336">
            <v>27057</v>
          </cell>
          <cell r="B1336" t="str">
            <v>HUBBARD, MN</v>
          </cell>
        </row>
        <row r="1337">
          <cell r="A1337">
            <v>27059</v>
          </cell>
          <cell r="B1337" t="str">
            <v>ISANTI, MN</v>
          </cell>
        </row>
        <row r="1338">
          <cell r="A1338">
            <v>27061</v>
          </cell>
          <cell r="B1338" t="str">
            <v>ITASCA, MN</v>
          </cell>
        </row>
        <row r="1339">
          <cell r="A1339">
            <v>27063</v>
          </cell>
          <cell r="B1339" t="str">
            <v>JACKSON, MN</v>
          </cell>
        </row>
        <row r="1340">
          <cell r="A1340">
            <v>27065</v>
          </cell>
          <cell r="B1340" t="str">
            <v>KANABEC, MN</v>
          </cell>
        </row>
        <row r="1341">
          <cell r="A1341">
            <v>27067</v>
          </cell>
          <cell r="B1341" t="str">
            <v>KANDIYOHI, MN</v>
          </cell>
        </row>
        <row r="1342">
          <cell r="A1342">
            <v>27069</v>
          </cell>
          <cell r="B1342" t="str">
            <v>KITTSON, MN</v>
          </cell>
        </row>
        <row r="1343">
          <cell r="A1343">
            <v>27071</v>
          </cell>
          <cell r="B1343" t="str">
            <v>KOOCHICHING, MN</v>
          </cell>
        </row>
        <row r="1344">
          <cell r="A1344">
            <v>27073</v>
          </cell>
          <cell r="B1344" t="str">
            <v>LAC QUI PARLE, MN</v>
          </cell>
        </row>
        <row r="1345">
          <cell r="A1345">
            <v>27075</v>
          </cell>
          <cell r="B1345" t="str">
            <v>LAKE, MN</v>
          </cell>
        </row>
        <row r="1346">
          <cell r="A1346">
            <v>27077</v>
          </cell>
          <cell r="B1346" t="str">
            <v>LAKE OF THE WOODS, MN</v>
          </cell>
        </row>
        <row r="1347">
          <cell r="A1347">
            <v>27079</v>
          </cell>
          <cell r="B1347" t="str">
            <v>LE SUEUR, MN</v>
          </cell>
        </row>
        <row r="1348">
          <cell r="A1348">
            <v>27081</v>
          </cell>
          <cell r="B1348" t="str">
            <v>LINCOLN, MN</v>
          </cell>
        </row>
        <row r="1349">
          <cell r="A1349">
            <v>27083</v>
          </cell>
          <cell r="B1349" t="str">
            <v>LYON, MN</v>
          </cell>
        </row>
        <row r="1350">
          <cell r="A1350">
            <v>27085</v>
          </cell>
          <cell r="B1350" t="str">
            <v>MCLEOD, MN</v>
          </cell>
        </row>
        <row r="1351">
          <cell r="A1351">
            <v>27087</v>
          </cell>
          <cell r="B1351" t="str">
            <v>MAHNOMEN, MN</v>
          </cell>
        </row>
        <row r="1352">
          <cell r="A1352">
            <v>27089</v>
          </cell>
          <cell r="B1352" t="str">
            <v>MARSHALL, MN</v>
          </cell>
        </row>
        <row r="1353">
          <cell r="A1353">
            <v>27091</v>
          </cell>
          <cell r="B1353" t="str">
            <v>MARTIN, MN</v>
          </cell>
        </row>
        <row r="1354">
          <cell r="A1354">
            <v>27093</v>
          </cell>
          <cell r="B1354" t="str">
            <v>MEEKER, MN</v>
          </cell>
        </row>
        <row r="1355">
          <cell r="A1355">
            <v>27095</v>
          </cell>
          <cell r="B1355" t="str">
            <v>MILLE LACS, MN</v>
          </cell>
        </row>
        <row r="1356">
          <cell r="A1356">
            <v>27097</v>
          </cell>
          <cell r="B1356" t="str">
            <v>MORRISON, MN</v>
          </cell>
        </row>
        <row r="1357">
          <cell r="A1357">
            <v>27099</v>
          </cell>
          <cell r="B1357" t="str">
            <v>MOWER, MN</v>
          </cell>
        </row>
        <row r="1358">
          <cell r="A1358">
            <v>27101</v>
          </cell>
          <cell r="B1358" t="str">
            <v>MURRAY, MN</v>
          </cell>
        </row>
        <row r="1359">
          <cell r="A1359">
            <v>27103</v>
          </cell>
          <cell r="B1359" t="str">
            <v>NICOLLET, MN</v>
          </cell>
        </row>
        <row r="1360">
          <cell r="A1360">
            <v>27105</v>
          </cell>
          <cell r="B1360" t="str">
            <v>NOBLES, MN</v>
          </cell>
        </row>
        <row r="1361">
          <cell r="A1361">
            <v>27107</v>
          </cell>
          <cell r="B1361" t="str">
            <v>NORMAN, MN</v>
          </cell>
        </row>
        <row r="1362">
          <cell r="A1362">
            <v>27109</v>
          </cell>
          <cell r="B1362" t="str">
            <v>OLMSTED, MN</v>
          </cell>
        </row>
        <row r="1363">
          <cell r="A1363">
            <v>27111</v>
          </cell>
          <cell r="B1363" t="str">
            <v>OTTER TAIL, MN</v>
          </cell>
        </row>
        <row r="1364">
          <cell r="A1364">
            <v>27113</v>
          </cell>
          <cell r="B1364" t="str">
            <v>PENNINGTON, MN</v>
          </cell>
        </row>
        <row r="1365">
          <cell r="A1365">
            <v>27115</v>
          </cell>
          <cell r="B1365" t="str">
            <v>PINE, MN</v>
          </cell>
        </row>
        <row r="1366">
          <cell r="A1366">
            <v>27117</v>
          </cell>
          <cell r="B1366" t="str">
            <v>PIPESTONE, MN</v>
          </cell>
        </row>
        <row r="1367">
          <cell r="A1367">
            <v>27119</v>
          </cell>
          <cell r="B1367" t="str">
            <v>POLK, MN</v>
          </cell>
        </row>
        <row r="1368">
          <cell r="A1368">
            <v>27121</v>
          </cell>
          <cell r="B1368" t="str">
            <v>POPE, MN</v>
          </cell>
        </row>
        <row r="1369">
          <cell r="A1369">
            <v>27123</v>
          </cell>
          <cell r="B1369" t="str">
            <v>RAMSEY, MN</v>
          </cell>
        </row>
        <row r="1370">
          <cell r="A1370">
            <v>27125</v>
          </cell>
          <cell r="B1370" t="str">
            <v>RED LAKE, MN</v>
          </cell>
        </row>
        <row r="1371">
          <cell r="A1371">
            <v>27127</v>
          </cell>
          <cell r="B1371" t="str">
            <v>REDWOOD, MN</v>
          </cell>
        </row>
        <row r="1372">
          <cell r="A1372">
            <v>27129</v>
          </cell>
          <cell r="B1372" t="str">
            <v>RENVILLE, MN</v>
          </cell>
        </row>
        <row r="1373">
          <cell r="A1373">
            <v>27131</v>
          </cell>
          <cell r="B1373" t="str">
            <v>RICE, MN</v>
          </cell>
        </row>
        <row r="1374">
          <cell r="A1374">
            <v>27133</v>
          </cell>
          <cell r="B1374" t="str">
            <v>ROCK, MN</v>
          </cell>
        </row>
        <row r="1375">
          <cell r="A1375">
            <v>27135</v>
          </cell>
          <cell r="B1375" t="str">
            <v>ROSEAU, MN</v>
          </cell>
        </row>
        <row r="1376">
          <cell r="A1376">
            <v>27137</v>
          </cell>
          <cell r="B1376" t="str">
            <v>ST LOUIS, MN</v>
          </cell>
        </row>
        <row r="1377">
          <cell r="A1377">
            <v>27139</v>
          </cell>
          <cell r="B1377" t="str">
            <v>SCOTT, MN</v>
          </cell>
        </row>
        <row r="1378">
          <cell r="A1378">
            <v>27141</v>
          </cell>
          <cell r="B1378" t="str">
            <v>SHERBURNE, MN</v>
          </cell>
        </row>
        <row r="1379">
          <cell r="A1379">
            <v>27143</v>
          </cell>
          <cell r="B1379" t="str">
            <v>SIBLEY, MN</v>
          </cell>
        </row>
        <row r="1380">
          <cell r="A1380">
            <v>27145</v>
          </cell>
          <cell r="B1380" t="str">
            <v>STEARNS, MN</v>
          </cell>
        </row>
        <row r="1381">
          <cell r="A1381">
            <v>27147</v>
          </cell>
          <cell r="B1381" t="str">
            <v>STEELE, MN</v>
          </cell>
        </row>
        <row r="1382">
          <cell r="A1382">
            <v>27149</v>
          </cell>
          <cell r="B1382" t="str">
            <v>STEVENS, MN</v>
          </cell>
        </row>
        <row r="1383">
          <cell r="A1383">
            <v>27151</v>
          </cell>
          <cell r="B1383" t="str">
            <v>SWIFT, MN</v>
          </cell>
        </row>
        <row r="1384">
          <cell r="A1384">
            <v>27153</v>
          </cell>
          <cell r="B1384" t="str">
            <v>TODD, MN</v>
          </cell>
        </row>
        <row r="1385">
          <cell r="A1385">
            <v>27155</v>
          </cell>
          <cell r="B1385" t="str">
            <v>TRAVERSE, MN</v>
          </cell>
        </row>
        <row r="1386">
          <cell r="A1386">
            <v>27157</v>
          </cell>
          <cell r="B1386" t="str">
            <v>WABASHA, MN</v>
          </cell>
        </row>
        <row r="1387">
          <cell r="A1387">
            <v>27159</v>
          </cell>
          <cell r="B1387" t="str">
            <v>WADENA, MN</v>
          </cell>
        </row>
        <row r="1388">
          <cell r="A1388">
            <v>27161</v>
          </cell>
          <cell r="B1388" t="str">
            <v>WASECA, MN</v>
          </cell>
        </row>
        <row r="1389">
          <cell r="A1389">
            <v>27163</v>
          </cell>
          <cell r="B1389" t="str">
            <v>WASHINGTON, MN</v>
          </cell>
        </row>
        <row r="1390">
          <cell r="A1390">
            <v>27165</v>
          </cell>
          <cell r="B1390" t="str">
            <v>WATONWAN, MN</v>
          </cell>
        </row>
        <row r="1391">
          <cell r="A1391">
            <v>27167</v>
          </cell>
          <cell r="B1391" t="str">
            <v>WILKIN, MN</v>
          </cell>
        </row>
        <row r="1392">
          <cell r="A1392">
            <v>27169</v>
          </cell>
          <cell r="B1392" t="str">
            <v>WINONA, MN</v>
          </cell>
        </row>
        <row r="1393">
          <cell r="A1393">
            <v>27171</v>
          </cell>
          <cell r="B1393" t="str">
            <v>WRIGHT, MN</v>
          </cell>
        </row>
        <row r="1394">
          <cell r="A1394">
            <v>27173</v>
          </cell>
          <cell r="B1394" t="str">
            <v>YELLOW MEDICINE, MN</v>
          </cell>
        </row>
        <row r="1395">
          <cell r="A1395">
            <v>28001</v>
          </cell>
          <cell r="B1395" t="str">
            <v>ADAMS, MS</v>
          </cell>
        </row>
        <row r="1396">
          <cell r="A1396">
            <v>28003</v>
          </cell>
          <cell r="B1396" t="str">
            <v>ALCORN, MS</v>
          </cell>
        </row>
        <row r="1397">
          <cell r="A1397">
            <v>28005</v>
          </cell>
          <cell r="B1397" t="str">
            <v>AMITE, MS</v>
          </cell>
        </row>
        <row r="1398">
          <cell r="A1398">
            <v>28007</v>
          </cell>
          <cell r="B1398" t="str">
            <v>ATTALA, MS</v>
          </cell>
        </row>
        <row r="1399">
          <cell r="A1399">
            <v>28009</v>
          </cell>
          <cell r="B1399" t="str">
            <v>BENTON, MS</v>
          </cell>
        </row>
        <row r="1400">
          <cell r="A1400">
            <v>28011</v>
          </cell>
          <cell r="B1400" t="str">
            <v>BOLIVAR, MS</v>
          </cell>
        </row>
        <row r="1401">
          <cell r="A1401">
            <v>28013</v>
          </cell>
          <cell r="B1401" t="str">
            <v>CALHOUN, MS</v>
          </cell>
        </row>
        <row r="1402">
          <cell r="A1402">
            <v>28015</v>
          </cell>
          <cell r="B1402" t="str">
            <v>CARROLL, MS</v>
          </cell>
        </row>
        <row r="1403">
          <cell r="A1403">
            <v>28017</v>
          </cell>
          <cell r="B1403" t="str">
            <v>CHICKASAW, MS</v>
          </cell>
        </row>
        <row r="1404">
          <cell r="A1404">
            <v>28019</v>
          </cell>
          <cell r="B1404" t="str">
            <v>CHOCTAW, MS</v>
          </cell>
        </row>
        <row r="1405">
          <cell r="A1405">
            <v>28021</v>
          </cell>
          <cell r="B1405" t="str">
            <v>CLAIBORNE, MS</v>
          </cell>
        </row>
        <row r="1406">
          <cell r="A1406">
            <v>28023</v>
          </cell>
          <cell r="B1406" t="str">
            <v>CLARKE, MS</v>
          </cell>
        </row>
        <row r="1407">
          <cell r="A1407">
            <v>28025</v>
          </cell>
          <cell r="B1407" t="str">
            <v>CLAY, MS</v>
          </cell>
        </row>
        <row r="1408">
          <cell r="A1408">
            <v>28027</v>
          </cell>
          <cell r="B1408" t="str">
            <v>COAHOMA, MS</v>
          </cell>
        </row>
        <row r="1409">
          <cell r="A1409">
            <v>28029</v>
          </cell>
          <cell r="B1409" t="str">
            <v>COPIAH, MS</v>
          </cell>
        </row>
        <row r="1410">
          <cell r="A1410">
            <v>28031</v>
          </cell>
          <cell r="B1410" t="str">
            <v>COVINGTON, MS</v>
          </cell>
        </row>
        <row r="1411">
          <cell r="A1411">
            <v>28033</v>
          </cell>
          <cell r="B1411" t="str">
            <v>DE SOTO, MS</v>
          </cell>
        </row>
        <row r="1412">
          <cell r="A1412">
            <v>28035</v>
          </cell>
          <cell r="B1412" t="str">
            <v>FORREST, MS</v>
          </cell>
        </row>
        <row r="1413">
          <cell r="A1413">
            <v>28037</v>
          </cell>
          <cell r="B1413" t="str">
            <v>FRANKLIN, MS</v>
          </cell>
        </row>
        <row r="1414">
          <cell r="A1414">
            <v>28039</v>
          </cell>
          <cell r="B1414" t="str">
            <v>GEORGE, MS</v>
          </cell>
        </row>
        <row r="1415">
          <cell r="A1415">
            <v>28041</v>
          </cell>
          <cell r="B1415" t="str">
            <v>GREENE, MS</v>
          </cell>
        </row>
        <row r="1416">
          <cell r="A1416">
            <v>28043</v>
          </cell>
          <cell r="B1416" t="str">
            <v>GRENADA, MS</v>
          </cell>
        </row>
        <row r="1417">
          <cell r="A1417">
            <v>28045</v>
          </cell>
          <cell r="B1417" t="str">
            <v>HANCOCK, MS</v>
          </cell>
        </row>
        <row r="1418">
          <cell r="A1418">
            <v>28047</v>
          </cell>
          <cell r="B1418" t="str">
            <v>HARRISON, MS</v>
          </cell>
        </row>
        <row r="1419">
          <cell r="A1419">
            <v>28049</v>
          </cell>
          <cell r="B1419" t="str">
            <v>HINDS, MS</v>
          </cell>
        </row>
        <row r="1420">
          <cell r="A1420">
            <v>28051</v>
          </cell>
          <cell r="B1420" t="str">
            <v>HOLMES, MS</v>
          </cell>
        </row>
        <row r="1421">
          <cell r="A1421">
            <v>28053</v>
          </cell>
          <cell r="B1421" t="str">
            <v>HUMPHREYS, MS</v>
          </cell>
        </row>
        <row r="1422">
          <cell r="A1422">
            <v>28055</v>
          </cell>
          <cell r="B1422" t="str">
            <v>ISSAQUENA, MS</v>
          </cell>
        </row>
        <row r="1423">
          <cell r="A1423">
            <v>28057</v>
          </cell>
          <cell r="B1423" t="str">
            <v>ITAWAMBA, MS</v>
          </cell>
        </row>
        <row r="1424">
          <cell r="A1424">
            <v>28059</v>
          </cell>
          <cell r="B1424" t="str">
            <v>JACKSON, MS</v>
          </cell>
        </row>
        <row r="1425">
          <cell r="A1425">
            <v>28061</v>
          </cell>
          <cell r="B1425" t="str">
            <v>JASPER, MS</v>
          </cell>
        </row>
        <row r="1426">
          <cell r="A1426">
            <v>28063</v>
          </cell>
          <cell r="B1426" t="str">
            <v>JEFFERSON, MS</v>
          </cell>
        </row>
        <row r="1427">
          <cell r="A1427">
            <v>28065</v>
          </cell>
          <cell r="B1427" t="str">
            <v>JEFFERSON DAVIS, MS</v>
          </cell>
        </row>
        <row r="1428">
          <cell r="A1428">
            <v>28067</v>
          </cell>
          <cell r="B1428" t="str">
            <v>JONES, MS</v>
          </cell>
        </row>
        <row r="1429">
          <cell r="A1429">
            <v>28069</v>
          </cell>
          <cell r="B1429" t="str">
            <v>KEMPER, MS</v>
          </cell>
        </row>
        <row r="1430">
          <cell r="A1430">
            <v>28071</v>
          </cell>
          <cell r="B1430" t="str">
            <v>LAFAYETTE, MS</v>
          </cell>
        </row>
        <row r="1431">
          <cell r="A1431">
            <v>28073</v>
          </cell>
          <cell r="B1431" t="str">
            <v>LAMAR, MS</v>
          </cell>
        </row>
        <row r="1432">
          <cell r="A1432">
            <v>28075</v>
          </cell>
          <cell r="B1432" t="str">
            <v>LAUDERDALE, MS</v>
          </cell>
        </row>
        <row r="1433">
          <cell r="A1433">
            <v>28077</v>
          </cell>
          <cell r="B1433" t="str">
            <v>LAWRENCE, MS</v>
          </cell>
        </row>
        <row r="1434">
          <cell r="A1434">
            <v>28079</v>
          </cell>
          <cell r="B1434" t="str">
            <v>LEAKE, MS</v>
          </cell>
        </row>
        <row r="1435">
          <cell r="A1435">
            <v>28081</v>
          </cell>
          <cell r="B1435" t="str">
            <v>LEE, MS</v>
          </cell>
        </row>
        <row r="1436">
          <cell r="A1436">
            <v>28083</v>
          </cell>
          <cell r="B1436" t="str">
            <v>LEFLORE, MS</v>
          </cell>
        </row>
        <row r="1437">
          <cell r="A1437">
            <v>28085</v>
          </cell>
          <cell r="B1437" t="str">
            <v>LINCOLN, MS</v>
          </cell>
        </row>
        <row r="1438">
          <cell r="A1438">
            <v>28087</v>
          </cell>
          <cell r="B1438" t="str">
            <v>LOWNDES, MS</v>
          </cell>
        </row>
        <row r="1439">
          <cell r="A1439">
            <v>28089</v>
          </cell>
          <cell r="B1439" t="str">
            <v>MADISON, MS</v>
          </cell>
        </row>
        <row r="1440">
          <cell r="A1440">
            <v>28091</v>
          </cell>
          <cell r="B1440" t="str">
            <v>MARION, MS</v>
          </cell>
        </row>
        <row r="1441">
          <cell r="A1441">
            <v>28093</v>
          </cell>
          <cell r="B1441" t="str">
            <v>MARSHALL, MS</v>
          </cell>
        </row>
        <row r="1442">
          <cell r="A1442">
            <v>28095</v>
          </cell>
          <cell r="B1442" t="str">
            <v>MONROE, MS</v>
          </cell>
        </row>
        <row r="1443">
          <cell r="A1443">
            <v>28097</v>
          </cell>
          <cell r="B1443" t="str">
            <v>MONTGOMERY, MS</v>
          </cell>
        </row>
        <row r="1444">
          <cell r="A1444">
            <v>28099</v>
          </cell>
          <cell r="B1444" t="str">
            <v>NESHOBA, MS</v>
          </cell>
        </row>
        <row r="1445">
          <cell r="A1445">
            <v>28101</v>
          </cell>
          <cell r="B1445" t="str">
            <v>NEWTON, MS</v>
          </cell>
        </row>
        <row r="1446">
          <cell r="A1446">
            <v>28103</v>
          </cell>
          <cell r="B1446" t="str">
            <v>NOXUBEE, MS</v>
          </cell>
        </row>
        <row r="1447">
          <cell r="A1447">
            <v>28105</v>
          </cell>
          <cell r="B1447" t="str">
            <v>OKTIBBEHA, MS</v>
          </cell>
        </row>
        <row r="1448">
          <cell r="A1448">
            <v>28107</v>
          </cell>
          <cell r="B1448" t="str">
            <v>PANOLA, MS</v>
          </cell>
        </row>
        <row r="1449">
          <cell r="A1449">
            <v>28109</v>
          </cell>
          <cell r="B1449" t="str">
            <v>PEARL RIVER, MS</v>
          </cell>
        </row>
        <row r="1450">
          <cell r="A1450">
            <v>28111</v>
          </cell>
          <cell r="B1450" t="str">
            <v>PERRY, MS</v>
          </cell>
        </row>
        <row r="1451">
          <cell r="A1451">
            <v>28113</v>
          </cell>
          <cell r="B1451" t="str">
            <v>PIKE, MS</v>
          </cell>
        </row>
        <row r="1452">
          <cell r="A1452">
            <v>28115</v>
          </cell>
          <cell r="B1452" t="str">
            <v>PONTOTOC, MS</v>
          </cell>
        </row>
        <row r="1453">
          <cell r="A1453">
            <v>28117</v>
          </cell>
          <cell r="B1453" t="str">
            <v>PRENTISS, MS</v>
          </cell>
        </row>
        <row r="1454">
          <cell r="A1454">
            <v>28119</v>
          </cell>
          <cell r="B1454" t="str">
            <v>QUITMAN, MS</v>
          </cell>
        </row>
        <row r="1455">
          <cell r="A1455">
            <v>28121</v>
          </cell>
          <cell r="B1455" t="str">
            <v>RANKIN, MS</v>
          </cell>
        </row>
        <row r="1456">
          <cell r="A1456">
            <v>28123</v>
          </cell>
          <cell r="B1456" t="str">
            <v>SCOTT, MS</v>
          </cell>
        </row>
        <row r="1457">
          <cell r="A1457">
            <v>28125</v>
          </cell>
          <cell r="B1457" t="str">
            <v>SHARKEY, MS</v>
          </cell>
        </row>
        <row r="1458">
          <cell r="A1458">
            <v>28127</v>
          </cell>
          <cell r="B1458" t="str">
            <v>SIMPSON, MS</v>
          </cell>
        </row>
        <row r="1459">
          <cell r="A1459">
            <v>28129</v>
          </cell>
          <cell r="B1459" t="str">
            <v>SMITH, MS</v>
          </cell>
        </row>
        <row r="1460">
          <cell r="A1460">
            <v>28131</v>
          </cell>
          <cell r="B1460" t="str">
            <v>STONE, MS</v>
          </cell>
        </row>
        <row r="1461">
          <cell r="A1461">
            <v>28133</v>
          </cell>
          <cell r="B1461" t="str">
            <v>SUNFLOWER, MS</v>
          </cell>
        </row>
        <row r="1462">
          <cell r="A1462">
            <v>28135</v>
          </cell>
          <cell r="B1462" t="str">
            <v>TALLAHATCHIE, MS</v>
          </cell>
        </row>
        <row r="1463">
          <cell r="A1463">
            <v>28137</v>
          </cell>
          <cell r="B1463" t="str">
            <v>TATE, MS</v>
          </cell>
        </row>
        <row r="1464">
          <cell r="A1464">
            <v>28139</v>
          </cell>
          <cell r="B1464" t="str">
            <v>TIPPAH, MS</v>
          </cell>
        </row>
        <row r="1465">
          <cell r="A1465">
            <v>28141</v>
          </cell>
          <cell r="B1465" t="str">
            <v>TISHOMINGO, MS</v>
          </cell>
        </row>
        <row r="1466">
          <cell r="A1466">
            <v>28143</v>
          </cell>
          <cell r="B1466" t="str">
            <v>TUNICA, MS</v>
          </cell>
        </row>
        <row r="1467">
          <cell r="A1467">
            <v>28145</v>
          </cell>
          <cell r="B1467" t="str">
            <v>UNION, MS</v>
          </cell>
        </row>
        <row r="1468">
          <cell r="A1468">
            <v>28147</v>
          </cell>
          <cell r="B1468" t="str">
            <v>WALTHALL, MS</v>
          </cell>
        </row>
        <row r="1469">
          <cell r="A1469">
            <v>28149</v>
          </cell>
          <cell r="B1469" t="str">
            <v>WARREN, MS</v>
          </cell>
        </row>
        <row r="1470">
          <cell r="A1470">
            <v>28151</v>
          </cell>
          <cell r="B1470" t="str">
            <v>WASHINGTON, MS</v>
          </cell>
        </row>
        <row r="1471">
          <cell r="A1471">
            <v>28153</v>
          </cell>
          <cell r="B1471" t="str">
            <v>WAYNE, MS</v>
          </cell>
        </row>
        <row r="1472">
          <cell r="A1472">
            <v>28155</v>
          </cell>
          <cell r="B1472" t="str">
            <v>WEBSTER, MS</v>
          </cell>
        </row>
        <row r="1473">
          <cell r="A1473">
            <v>28157</v>
          </cell>
          <cell r="B1473" t="str">
            <v>WILKINSON, MS</v>
          </cell>
        </row>
        <row r="1474">
          <cell r="A1474">
            <v>28159</v>
          </cell>
          <cell r="B1474" t="str">
            <v>WINSTON, MS</v>
          </cell>
        </row>
        <row r="1475">
          <cell r="A1475">
            <v>28161</v>
          </cell>
          <cell r="B1475" t="str">
            <v>YALOBUSHA, MS</v>
          </cell>
        </row>
        <row r="1476">
          <cell r="A1476">
            <v>28163</v>
          </cell>
          <cell r="B1476" t="str">
            <v>YAZOO, MS</v>
          </cell>
        </row>
        <row r="1477">
          <cell r="A1477">
            <v>29001</v>
          </cell>
          <cell r="B1477" t="str">
            <v>ADAIR, MO</v>
          </cell>
        </row>
        <row r="1478">
          <cell r="A1478">
            <v>29003</v>
          </cell>
          <cell r="B1478" t="str">
            <v>ANDREW, MO</v>
          </cell>
        </row>
        <row r="1479">
          <cell r="A1479">
            <v>29005</v>
          </cell>
          <cell r="B1479" t="str">
            <v>ATCHISON, MO</v>
          </cell>
        </row>
        <row r="1480">
          <cell r="A1480">
            <v>29007</v>
          </cell>
          <cell r="B1480" t="str">
            <v>AUDRAIN, MO</v>
          </cell>
        </row>
        <row r="1481">
          <cell r="A1481">
            <v>29009</v>
          </cell>
          <cell r="B1481" t="str">
            <v>BARRY, MO</v>
          </cell>
        </row>
        <row r="1482">
          <cell r="A1482">
            <v>29011</v>
          </cell>
          <cell r="B1482" t="str">
            <v>BARTON, MO</v>
          </cell>
        </row>
        <row r="1483">
          <cell r="A1483">
            <v>29013</v>
          </cell>
          <cell r="B1483" t="str">
            <v>BATES, MO</v>
          </cell>
        </row>
        <row r="1484">
          <cell r="A1484">
            <v>29015</v>
          </cell>
          <cell r="B1484" t="str">
            <v>BENTON, MO</v>
          </cell>
        </row>
        <row r="1485">
          <cell r="A1485">
            <v>29017</v>
          </cell>
          <cell r="B1485" t="str">
            <v>BOLLINGER, MO</v>
          </cell>
        </row>
        <row r="1486">
          <cell r="A1486">
            <v>29019</v>
          </cell>
          <cell r="B1486" t="str">
            <v>BOONE, MO</v>
          </cell>
        </row>
        <row r="1487">
          <cell r="A1487">
            <v>29021</v>
          </cell>
          <cell r="B1487" t="str">
            <v>BUCHANAN, MO</v>
          </cell>
        </row>
        <row r="1488">
          <cell r="A1488">
            <v>29023</v>
          </cell>
          <cell r="B1488" t="str">
            <v>BUTLER, MO</v>
          </cell>
        </row>
        <row r="1489">
          <cell r="A1489">
            <v>29025</v>
          </cell>
          <cell r="B1489" t="str">
            <v>CALDWELL, MO</v>
          </cell>
        </row>
        <row r="1490">
          <cell r="A1490">
            <v>29027</v>
          </cell>
          <cell r="B1490" t="str">
            <v>CALLAWAY, MO</v>
          </cell>
        </row>
        <row r="1491">
          <cell r="A1491">
            <v>29029</v>
          </cell>
          <cell r="B1491" t="str">
            <v>CAMDEN, MO</v>
          </cell>
        </row>
        <row r="1492">
          <cell r="A1492">
            <v>29031</v>
          </cell>
          <cell r="B1492" t="str">
            <v>CAPE GIRARDEAU, MO</v>
          </cell>
        </row>
        <row r="1493">
          <cell r="A1493">
            <v>29033</v>
          </cell>
          <cell r="B1493" t="str">
            <v>CARROLL, MO</v>
          </cell>
        </row>
        <row r="1494">
          <cell r="A1494">
            <v>29035</v>
          </cell>
          <cell r="B1494" t="str">
            <v>CARTER, MO</v>
          </cell>
        </row>
        <row r="1495">
          <cell r="A1495">
            <v>29037</v>
          </cell>
          <cell r="B1495" t="str">
            <v>CASS, MO</v>
          </cell>
        </row>
        <row r="1496">
          <cell r="A1496">
            <v>29039</v>
          </cell>
          <cell r="B1496" t="str">
            <v>CEDAR, MO</v>
          </cell>
        </row>
        <row r="1497">
          <cell r="A1497">
            <v>29041</v>
          </cell>
          <cell r="B1497" t="str">
            <v>CHARITON, MO</v>
          </cell>
        </row>
        <row r="1498">
          <cell r="A1498">
            <v>29043</v>
          </cell>
          <cell r="B1498" t="str">
            <v>CHRISTIAN, MO</v>
          </cell>
        </row>
        <row r="1499">
          <cell r="A1499">
            <v>29045</v>
          </cell>
          <cell r="B1499" t="str">
            <v>CLARK, MO</v>
          </cell>
        </row>
        <row r="1500">
          <cell r="A1500">
            <v>29047</v>
          </cell>
          <cell r="B1500" t="str">
            <v>CLAY, MO</v>
          </cell>
        </row>
        <row r="1501">
          <cell r="A1501">
            <v>29049</v>
          </cell>
          <cell r="B1501" t="str">
            <v>CLINTON, MO</v>
          </cell>
        </row>
        <row r="1502">
          <cell r="A1502">
            <v>29051</v>
          </cell>
          <cell r="B1502" t="str">
            <v>COLE, MO</v>
          </cell>
        </row>
        <row r="1503">
          <cell r="A1503">
            <v>29053</v>
          </cell>
          <cell r="B1503" t="str">
            <v>COOPER, MO</v>
          </cell>
        </row>
        <row r="1504">
          <cell r="A1504">
            <v>29055</v>
          </cell>
          <cell r="B1504" t="str">
            <v>CRAWFORD, MO</v>
          </cell>
        </row>
        <row r="1505">
          <cell r="A1505">
            <v>29057</v>
          </cell>
          <cell r="B1505" t="str">
            <v>DADE, MO</v>
          </cell>
        </row>
        <row r="1506">
          <cell r="A1506">
            <v>29059</v>
          </cell>
          <cell r="B1506" t="str">
            <v>DALLAS, MO</v>
          </cell>
        </row>
        <row r="1507">
          <cell r="A1507">
            <v>29061</v>
          </cell>
          <cell r="B1507" t="str">
            <v>DAVIESS, MO</v>
          </cell>
        </row>
        <row r="1508">
          <cell r="A1508">
            <v>29063</v>
          </cell>
          <cell r="B1508" t="str">
            <v>DE KALB, MO</v>
          </cell>
        </row>
        <row r="1509">
          <cell r="A1509">
            <v>29065</v>
          </cell>
          <cell r="B1509" t="str">
            <v>DENT, MO</v>
          </cell>
        </row>
        <row r="1510">
          <cell r="A1510">
            <v>29067</v>
          </cell>
          <cell r="B1510" t="str">
            <v>DOUGLAS, MO</v>
          </cell>
        </row>
        <row r="1511">
          <cell r="A1511">
            <v>29069</v>
          </cell>
          <cell r="B1511" t="str">
            <v>DUNKLIN, MO</v>
          </cell>
        </row>
        <row r="1512">
          <cell r="A1512">
            <v>29071</v>
          </cell>
          <cell r="B1512" t="str">
            <v>FRANKLIN, MO</v>
          </cell>
        </row>
        <row r="1513">
          <cell r="A1513">
            <v>29073</v>
          </cell>
          <cell r="B1513" t="str">
            <v>GASCONADE, MO</v>
          </cell>
        </row>
        <row r="1514">
          <cell r="A1514">
            <v>29075</v>
          </cell>
          <cell r="B1514" t="str">
            <v>GENTRY, MO</v>
          </cell>
        </row>
        <row r="1515">
          <cell r="A1515">
            <v>29077</v>
          </cell>
          <cell r="B1515" t="str">
            <v>GREENE, MO</v>
          </cell>
        </row>
        <row r="1516">
          <cell r="A1516">
            <v>29079</v>
          </cell>
          <cell r="B1516" t="str">
            <v>GRUNDY, MO</v>
          </cell>
        </row>
        <row r="1517">
          <cell r="A1517">
            <v>29081</v>
          </cell>
          <cell r="B1517" t="str">
            <v>HARRISON, MO</v>
          </cell>
        </row>
        <row r="1518">
          <cell r="A1518">
            <v>29083</v>
          </cell>
          <cell r="B1518" t="str">
            <v>HENRY, MO</v>
          </cell>
        </row>
        <row r="1519">
          <cell r="A1519">
            <v>29085</v>
          </cell>
          <cell r="B1519" t="str">
            <v>HICKORY, MO</v>
          </cell>
        </row>
        <row r="1520">
          <cell r="A1520">
            <v>29087</v>
          </cell>
          <cell r="B1520" t="str">
            <v>HOLT, MO</v>
          </cell>
        </row>
        <row r="1521">
          <cell r="A1521">
            <v>29089</v>
          </cell>
          <cell r="B1521" t="str">
            <v>HOWARD, MO</v>
          </cell>
        </row>
        <row r="1522">
          <cell r="A1522">
            <v>29091</v>
          </cell>
          <cell r="B1522" t="str">
            <v>HOWELL, MO</v>
          </cell>
        </row>
        <row r="1523">
          <cell r="A1523">
            <v>29093</v>
          </cell>
          <cell r="B1523" t="str">
            <v>IRON, MO</v>
          </cell>
        </row>
        <row r="1524">
          <cell r="A1524">
            <v>29095</v>
          </cell>
          <cell r="B1524" t="str">
            <v>JACKSON, MO</v>
          </cell>
        </row>
        <row r="1525">
          <cell r="A1525">
            <v>29097</v>
          </cell>
          <cell r="B1525" t="str">
            <v>JASPER, MO</v>
          </cell>
        </row>
        <row r="1526">
          <cell r="A1526">
            <v>29099</v>
          </cell>
          <cell r="B1526" t="str">
            <v>JEFFERSON, MO</v>
          </cell>
        </row>
        <row r="1527">
          <cell r="A1527">
            <v>29101</v>
          </cell>
          <cell r="B1527" t="str">
            <v>JOHNSON, MO</v>
          </cell>
        </row>
        <row r="1528">
          <cell r="A1528">
            <v>29103</v>
          </cell>
          <cell r="B1528" t="str">
            <v>KNOX, MO</v>
          </cell>
        </row>
        <row r="1529">
          <cell r="A1529">
            <v>29105</v>
          </cell>
          <cell r="B1529" t="str">
            <v>LACLEDE, MO</v>
          </cell>
        </row>
        <row r="1530">
          <cell r="A1530">
            <v>29107</v>
          </cell>
          <cell r="B1530" t="str">
            <v>LAFAYETTE, MO</v>
          </cell>
        </row>
        <row r="1531">
          <cell r="A1531">
            <v>29109</v>
          </cell>
          <cell r="B1531" t="str">
            <v>LAWRENCE, MO</v>
          </cell>
        </row>
        <row r="1532">
          <cell r="A1532">
            <v>29111</v>
          </cell>
          <cell r="B1532" t="str">
            <v>LEWIS, MO</v>
          </cell>
        </row>
        <row r="1533">
          <cell r="A1533">
            <v>29113</v>
          </cell>
          <cell r="B1533" t="str">
            <v>LINCOLN, MO</v>
          </cell>
        </row>
        <row r="1534">
          <cell r="A1534">
            <v>29115</v>
          </cell>
          <cell r="B1534" t="str">
            <v>LINN, MO</v>
          </cell>
        </row>
        <row r="1535">
          <cell r="A1535">
            <v>29117</v>
          </cell>
          <cell r="B1535" t="str">
            <v>LIVINGSTON, MO</v>
          </cell>
        </row>
        <row r="1536">
          <cell r="A1536">
            <v>29119</v>
          </cell>
          <cell r="B1536" t="str">
            <v>MCDONALD, MO</v>
          </cell>
        </row>
        <row r="1537">
          <cell r="A1537">
            <v>29121</v>
          </cell>
          <cell r="B1537" t="str">
            <v>MACON, MO</v>
          </cell>
        </row>
        <row r="1538">
          <cell r="A1538">
            <v>29123</v>
          </cell>
          <cell r="B1538" t="str">
            <v>MADISON, MO</v>
          </cell>
        </row>
        <row r="1539">
          <cell r="A1539">
            <v>29125</v>
          </cell>
          <cell r="B1539" t="str">
            <v>MARIES, MO</v>
          </cell>
        </row>
        <row r="1540">
          <cell r="A1540">
            <v>29127</v>
          </cell>
          <cell r="B1540" t="str">
            <v>MARION, MO</v>
          </cell>
        </row>
        <row r="1541">
          <cell r="A1541">
            <v>29129</v>
          </cell>
          <cell r="B1541" t="str">
            <v>MERCER, MO</v>
          </cell>
        </row>
        <row r="1542">
          <cell r="A1542">
            <v>29131</v>
          </cell>
          <cell r="B1542" t="str">
            <v>MILLER, MO</v>
          </cell>
        </row>
        <row r="1543">
          <cell r="A1543">
            <v>29133</v>
          </cell>
          <cell r="B1543" t="str">
            <v>MISSISSIPPI, MO</v>
          </cell>
        </row>
        <row r="1544">
          <cell r="A1544">
            <v>29135</v>
          </cell>
          <cell r="B1544" t="str">
            <v>MONITEAU, MO</v>
          </cell>
        </row>
        <row r="1545">
          <cell r="A1545">
            <v>29137</v>
          </cell>
          <cell r="B1545" t="str">
            <v>MONROE, MO</v>
          </cell>
        </row>
        <row r="1546">
          <cell r="A1546">
            <v>29139</v>
          </cell>
          <cell r="B1546" t="str">
            <v>MONTGOMERY, MO</v>
          </cell>
        </row>
        <row r="1547">
          <cell r="A1547">
            <v>29141</v>
          </cell>
          <cell r="B1547" t="str">
            <v>MORGAN, MO</v>
          </cell>
        </row>
        <row r="1548">
          <cell r="A1548">
            <v>29143</v>
          </cell>
          <cell r="B1548" t="str">
            <v>NEW MADRID, MO</v>
          </cell>
        </row>
        <row r="1549">
          <cell r="A1549">
            <v>29145</v>
          </cell>
          <cell r="B1549" t="str">
            <v>NEWTON, MO</v>
          </cell>
        </row>
        <row r="1550">
          <cell r="A1550">
            <v>29147</v>
          </cell>
          <cell r="B1550" t="str">
            <v>NODAWAY, MO</v>
          </cell>
        </row>
        <row r="1551">
          <cell r="A1551">
            <v>29149</v>
          </cell>
          <cell r="B1551" t="str">
            <v>OREGON, MO</v>
          </cell>
        </row>
        <row r="1552">
          <cell r="A1552">
            <v>29151</v>
          </cell>
          <cell r="B1552" t="str">
            <v>OSAGE, MO</v>
          </cell>
        </row>
        <row r="1553">
          <cell r="A1553">
            <v>29153</v>
          </cell>
          <cell r="B1553" t="str">
            <v>OZARK, MO</v>
          </cell>
        </row>
        <row r="1554">
          <cell r="A1554">
            <v>29155</v>
          </cell>
          <cell r="B1554" t="str">
            <v>PEMISCOT, MO</v>
          </cell>
        </row>
        <row r="1555">
          <cell r="A1555">
            <v>29157</v>
          </cell>
          <cell r="B1555" t="str">
            <v>PERRY, MO</v>
          </cell>
        </row>
        <row r="1556">
          <cell r="A1556">
            <v>29159</v>
          </cell>
          <cell r="B1556" t="str">
            <v>PETTIS, MO</v>
          </cell>
        </row>
        <row r="1557">
          <cell r="A1557">
            <v>29161</v>
          </cell>
          <cell r="B1557" t="str">
            <v>PHELPS, MO</v>
          </cell>
        </row>
        <row r="1558">
          <cell r="A1558">
            <v>29163</v>
          </cell>
          <cell r="B1558" t="str">
            <v>PIKE, MO</v>
          </cell>
        </row>
        <row r="1559">
          <cell r="A1559">
            <v>29165</v>
          </cell>
          <cell r="B1559" t="str">
            <v>PLATTE, MO</v>
          </cell>
        </row>
        <row r="1560">
          <cell r="A1560">
            <v>29167</v>
          </cell>
          <cell r="B1560" t="str">
            <v>POLK, MO</v>
          </cell>
        </row>
        <row r="1561">
          <cell r="A1561">
            <v>29169</v>
          </cell>
          <cell r="B1561" t="str">
            <v>PULASKI, MO</v>
          </cell>
        </row>
        <row r="1562">
          <cell r="A1562">
            <v>29171</v>
          </cell>
          <cell r="B1562" t="str">
            <v>PUTNAM, MO</v>
          </cell>
        </row>
        <row r="1563">
          <cell r="A1563">
            <v>29173</v>
          </cell>
          <cell r="B1563" t="str">
            <v>RALLS, MO</v>
          </cell>
        </row>
        <row r="1564">
          <cell r="A1564">
            <v>29175</v>
          </cell>
          <cell r="B1564" t="str">
            <v>RANDOLPH, MO</v>
          </cell>
        </row>
        <row r="1565">
          <cell r="A1565">
            <v>29177</v>
          </cell>
          <cell r="B1565" t="str">
            <v>RAY, MO</v>
          </cell>
        </row>
        <row r="1566">
          <cell r="A1566">
            <v>29179</v>
          </cell>
          <cell r="B1566" t="str">
            <v>REYNOLDS, MO</v>
          </cell>
        </row>
        <row r="1567">
          <cell r="A1567">
            <v>29181</v>
          </cell>
          <cell r="B1567" t="str">
            <v>RIPLEY, MO</v>
          </cell>
        </row>
        <row r="1568">
          <cell r="A1568">
            <v>29183</v>
          </cell>
          <cell r="B1568" t="str">
            <v>ST CHARLES, MO</v>
          </cell>
        </row>
        <row r="1569">
          <cell r="A1569">
            <v>29185</v>
          </cell>
          <cell r="B1569" t="str">
            <v>ST CLAIR, MO</v>
          </cell>
        </row>
        <row r="1570">
          <cell r="A1570">
            <v>29186</v>
          </cell>
          <cell r="B1570" t="str">
            <v>STE GENEVIEVE, MO</v>
          </cell>
        </row>
        <row r="1571">
          <cell r="A1571">
            <v>29187</v>
          </cell>
          <cell r="B1571" t="str">
            <v>ST FRANCOIS, MO</v>
          </cell>
        </row>
        <row r="1572">
          <cell r="A1572">
            <v>29189</v>
          </cell>
          <cell r="B1572" t="str">
            <v>ST LOUIS, MO</v>
          </cell>
        </row>
        <row r="1573">
          <cell r="A1573">
            <v>29195</v>
          </cell>
          <cell r="B1573" t="str">
            <v>SALINE, MO</v>
          </cell>
        </row>
        <row r="1574">
          <cell r="A1574">
            <v>29197</v>
          </cell>
          <cell r="B1574" t="str">
            <v>SCHUYLER, MO</v>
          </cell>
        </row>
        <row r="1575">
          <cell r="A1575">
            <v>29199</v>
          </cell>
          <cell r="B1575" t="str">
            <v>SCOTLAND, MO</v>
          </cell>
        </row>
        <row r="1576">
          <cell r="A1576">
            <v>29201</v>
          </cell>
          <cell r="B1576" t="str">
            <v>SCOTT, MO</v>
          </cell>
        </row>
        <row r="1577">
          <cell r="A1577">
            <v>29203</v>
          </cell>
          <cell r="B1577" t="str">
            <v>SHANNON, MO</v>
          </cell>
        </row>
        <row r="1578">
          <cell r="A1578">
            <v>29205</v>
          </cell>
          <cell r="B1578" t="str">
            <v>SHELBY, MO</v>
          </cell>
        </row>
        <row r="1579">
          <cell r="A1579">
            <v>29207</v>
          </cell>
          <cell r="B1579" t="str">
            <v>STODDARD, MO</v>
          </cell>
        </row>
        <row r="1580">
          <cell r="A1580">
            <v>29209</v>
          </cell>
          <cell r="B1580" t="str">
            <v>STONE, MO</v>
          </cell>
        </row>
        <row r="1581">
          <cell r="A1581">
            <v>29211</v>
          </cell>
          <cell r="B1581" t="str">
            <v>SULLIVAN, MO</v>
          </cell>
        </row>
        <row r="1582">
          <cell r="A1582">
            <v>29213</v>
          </cell>
          <cell r="B1582" t="str">
            <v>TANEY, MO</v>
          </cell>
        </row>
        <row r="1583">
          <cell r="A1583">
            <v>29215</v>
          </cell>
          <cell r="B1583" t="str">
            <v>TEXAS, MO</v>
          </cell>
        </row>
        <row r="1584">
          <cell r="A1584">
            <v>29217</v>
          </cell>
          <cell r="B1584" t="str">
            <v>VERNON, MO</v>
          </cell>
        </row>
        <row r="1585">
          <cell r="A1585">
            <v>29219</v>
          </cell>
          <cell r="B1585" t="str">
            <v>WARREN, MO</v>
          </cell>
        </row>
        <row r="1586">
          <cell r="A1586">
            <v>29221</v>
          </cell>
          <cell r="B1586" t="str">
            <v>WASHINGTON, MO</v>
          </cell>
        </row>
        <row r="1587">
          <cell r="A1587">
            <v>29223</v>
          </cell>
          <cell r="B1587" t="str">
            <v>WAYNE, MO</v>
          </cell>
        </row>
        <row r="1588">
          <cell r="A1588">
            <v>29225</v>
          </cell>
          <cell r="B1588" t="str">
            <v>WEBSTER, MO</v>
          </cell>
        </row>
        <row r="1589">
          <cell r="A1589">
            <v>29227</v>
          </cell>
          <cell r="B1589" t="str">
            <v>WORTH, MO</v>
          </cell>
        </row>
        <row r="1590">
          <cell r="A1590">
            <v>29229</v>
          </cell>
          <cell r="B1590" t="str">
            <v>WRIGHT, MO</v>
          </cell>
        </row>
        <row r="1591">
          <cell r="A1591">
            <v>29510</v>
          </cell>
          <cell r="B1591" t="str">
            <v>ST LOUIS CITY, MO</v>
          </cell>
        </row>
        <row r="1592">
          <cell r="A1592">
            <v>30001</v>
          </cell>
          <cell r="B1592" t="str">
            <v>BEAVERHEAD, MT</v>
          </cell>
        </row>
        <row r="1593">
          <cell r="A1593">
            <v>30003</v>
          </cell>
          <cell r="B1593" t="str">
            <v>BIG HORN, MT</v>
          </cell>
        </row>
        <row r="1594">
          <cell r="A1594">
            <v>30005</v>
          </cell>
          <cell r="B1594" t="str">
            <v>BLAINE, MT</v>
          </cell>
        </row>
        <row r="1595">
          <cell r="A1595">
            <v>30007</v>
          </cell>
          <cell r="B1595" t="str">
            <v>BROADWATER, MT</v>
          </cell>
        </row>
        <row r="1596">
          <cell r="A1596">
            <v>30009</v>
          </cell>
          <cell r="B1596" t="str">
            <v>CARBON, MT</v>
          </cell>
        </row>
        <row r="1597">
          <cell r="A1597">
            <v>30011</v>
          </cell>
          <cell r="B1597" t="str">
            <v>CARTER, MT</v>
          </cell>
        </row>
        <row r="1598">
          <cell r="A1598">
            <v>30013</v>
          </cell>
          <cell r="B1598" t="str">
            <v>CASCADE, MT</v>
          </cell>
        </row>
        <row r="1599">
          <cell r="A1599">
            <v>30015</v>
          </cell>
          <cell r="B1599" t="str">
            <v>CHOUTEAU, MT</v>
          </cell>
        </row>
        <row r="1600">
          <cell r="A1600">
            <v>30017</v>
          </cell>
          <cell r="B1600" t="str">
            <v>CUSTER, MT</v>
          </cell>
        </row>
        <row r="1601">
          <cell r="A1601">
            <v>30019</v>
          </cell>
          <cell r="B1601" t="str">
            <v>DANIELS, MT</v>
          </cell>
        </row>
        <row r="1602">
          <cell r="A1602">
            <v>30021</v>
          </cell>
          <cell r="B1602" t="str">
            <v>DAWSON, MT</v>
          </cell>
        </row>
        <row r="1603">
          <cell r="A1603">
            <v>30023</v>
          </cell>
          <cell r="B1603" t="str">
            <v>DEER LODGE, MT</v>
          </cell>
        </row>
        <row r="1604">
          <cell r="A1604">
            <v>30025</v>
          </cell>
          <cell r="B1604" t="str">
            <v>FALLON, MT</v>
          </cell>
        </row>
        <row r="1605">
          <cell r="A1605">
            <v>30027</v>
          </cell>
          <cell r="B1605" t="str">
            <v>FERGUS, MT</v>
          </cell>
        </row>
        <row r="1606">
          <cell r="A1606">
            <v>30029</v>
          </cell>
          <cell r="B1606" t="str">
            <v>FLATHEAD, MT</v>
          </cell>
        </row>
        <row r="1607">
          <cell r="A1607">
            <v>30031</v>
          </cell>
          <cell r="B1607" t="str">
            <v>GALLATIN, MT</v>
          </cell>
        </row>
        <row r="1608">
          <cell r="A1608">
            <v>30033</v>
          </cell>
          <cell r="B1608" t="str">
            <v>GARFIELD, MT</v>
          </cell>
        </row>
        <row r="1609">
          <cell r="A1609">
            <v>30035</v>
          </cell>
          <cell r="B1609" t="str">
            <v>GLACIER, MT</v>
          </cell>
        </row>
        <row r="1610">
          <cell r="A1610">
            <v>30037</v>
          </cell>
          <cell r="B1610" t="str">
            <v>GOLDEN VALLEY, MT</v>
          </cell>
        </row>
        <row r="1611">
          <cell r="A1611">
            <v>30039</v>
          </cell>
          <cell r="B1611" t="str">
            <v>GRANITE, MT</v>
          </cell>
        </row>
        <row r="1612">
          <cell r="A1612">
            <v>30041</v>
          </cell>
          <cell r="B1612" t="str">
            <v>HILL, MT</v>
          </cell>
        </row>
        <row r="1613">
          <cell r="A1613">
            <v>30043</v>
          </cell>
          <cell r="B1613" t="str">
            <v>JEFFERSON, MT</v>
          </cell>
        </row>
        <row r="1614">
          <cell r="A1614">
            <v>30045</v>
          </cell>
          <cell r="B1614" t="str">
            <v>JUDITH BASIN, MT</v>
          </cell>
        </row>
        <row r="1615">
          <cell r="A1615">
            <v>30047</v>
          </cell>
          <cell r="B1615" t="str">
            <v>LAKE, MT</v>
          </cell>
        </row>
        <row r="1616">
          <cell r="A1616">
            <v>30049</v>
          </cell>
          <cell r="B1616" t="str">
            <v>LEWIS AND CLARK, MT</v>
          </cell>
        </row>
        <row r="1617">
          <cell r="A1617">
            <v>30051</v>
          </cell>
          <cell r="B1617" t="str">
            <v>LIBERTY, MT</v>
          </cell>
        </row>
        <row r="1618">
          <cell r="A1618">
            <v>30053</v>
          </cell>
          <cell r="B1618" t="str">
            <v>LINCOLN, MT</v>
          </cell>
        </row>
        <row r="1619">
          <cell r="A1619">
            <v>30055</v>
          </cell>
          <cell r="B1619" t="str">
            <v>MCCONE, MT</v>
          </cell>
        </row>
        <row r="1620">
          <cell r="A1620">
            <v>30057</v>
          </cell>
          <cell r="B1620" t="str">
            <v>MADISON, MT</v>
          </cell>
        </row>
        <row r="1621">
          <cell r="A1621">
            <v>30059</v>
          </cell>
          <cell r="B1621" t="str">
            <v>MEAGHER, MT</v>
          </cell>
        </row>
        <row r="1622">
          <cell r="A1622">
            <v>30061</v>
          </cell>
          <cell r="B1622" t="str">
            <v>MINERAL, MT</v>
          </cell>
        </row>
        <row r="1623">
          <cell r="A1623">
            <v>30063</v>
          </cell>
          <cell r="B1623" t="str">
            <v>MISSOULA, MT</v>
          </cell>
        </row>
        <row r="1624">
          <cell r="A1624">
            <v>30065</v>
          </cell>
          <cell r="B1624" t="str">
            <v>MUSSELSHELL, MT</v>
          </cell>
        </row>
        <row r="1625">
          <cell r="A1625">
            <v>30067</v>
          </cell>
          <cell r="B1625" t="str">
            <v>PARK, MT</v>
          </cell>
        </row>
        <row r="1626">
          <cell r="A1626">
            <v>30069</v>
          </cell>
          <cell r="B1626" t="str">
            <v>PETROLEUM, MT</v>
          </cell>
        </row>
        <row r="1627">
          <cell r="A1627">
            <v>30071</v>
          </cell>
          <cell r="B1627" t="str">
            <v>PHILLIPS, MT</v>
          </cell>
        </row>
        <row r="1628">
          <cell r="A1628">
            <v>30073</v>
          </cell>
          <cell r="B1628" t="str">
            <v>PONDERA, MT</v>
          </cell>
        </row>
        <row r="1629">
          <cell r="A1629">
            <v>30075</v>
          </cell>
          <cell r="B1629" t="str">
            <v>POWDER RIVER, MT</v>
          </cell>
        </row>
        <row r="1630">
          <cell r="A1630">
            <v>30077</v>
          </cell>
          <cell r="B1630" t="str">
            <v>POWELL, MT</v>
          </cell>
        </row>
        <row r="1631">
          <cell r="A1631">
            <v>30079</v>
          </cell>
          <cell r="B1631" t="str">
            <v>PRAIRIE, MT</v>
          </cell>
        </row>
        <row r="1632">
          <cell r="A1632">
            <v>30081</v>
          </cell>
          <cell r="B1632" t="str">
            <v>RAVALLI, MT</v>
          </cell>
        </row>
        <row r="1633">
          <cell r="A1633">
            <v>30083</v>
          </cell>
          <cell r="B1633" t="str">
            <v>RICHLAND, MT</v>
          </cell>
        </row>
        <row r="1634">
          <cell r="A1634">
            <v>30085</v>
          </cell>
          <cell r="B1634" t="str">
            <v>ROOSEVELT, MT</v>
          </cell>
        </row>
        <row r="1635">
          <cell r="A1635">
            <v>30087</v>
          </cell>
          <cell r="B1635" t="str">
            <v>ROSEBUD, MT</v>
          </cell>
        </row>
        <row r="1636">
          <cell r="A1636">
            <v>30089</v>
          </cell>
          <cell r="B1636" t="str">
            <v>SANDERS, MT</v>
          </cell>
        </row>
        <row r="1637">
          <cell r="A1637">
            <v>30091</v>
          </cell>
          <cell r="B1637" t="str">
            <v>SHERIDAN, MT</v>
          </cell>
        </row>
        <row r="1638">
          <cell r="A1638">
            <v>30093</v>
          </cell>
          <cell r="B1638" t="str">
            <v>SILVER BOW, MT</v>
          </cell>
        </row>
        <row r="1639">
          <cell r="A1639">
            <v>30095</v>
          </cell>
          <cell r="B1639" t="str">
            <v>STILLWATER, MT</v>
          </cell>
        </row>
        <row r="1640">
          <cell r="A1640">
            <v>30097</v>
          </cell>
          <cell r="B1640" t="str">
            <v>SWEET GRASS, MT</v>
          </cell>
        </row>
        <row r="1641">
          <cell r="A1641">
            <v>30099</v>
          </cell>
          <cell r="B1641" t="str">
            <v>TETON, MT</v>
          </cell>
        </row>
        <row r="1642">
          <cell r="A1642">
            <v>30101</v>
          </cell>
          <cell r="B1642" t="str">
            <v>TOOLE, MT</v>
          </cell>
        </row>
        <row r="1643">
          <cell r="A1643">
            <v>30103</v>
          </cell>
          <cell r="B1643" t="str">
            <v>TREASURE, MT</v>
          </cell>
        </row>
        <row r="1644">
          <cell r="A1644">
            <v>30105</v>
          </cell>
          <cell r="B1644" t="str">
            <v>VALLEY, MT</v>
          </cell>
        </row>
        <row r="1645">
          <cell r="A1645">
            <v>30107</v>
          </cell>
          <cell r="B1645" t="str">
            <v>WHEATLAND, MT</v>
          </cell>
        </row>
        <row r="1646">
          <cell r="A1646">
            <v>30109</v>
          </cell>
          <cell r="B1646" t="str">
            <v>WIBAUX, MT</v>
          </cell>
        </row>
        <row r="1647">
          <cell r="A1647">
            <v>30111</v>
          </cell>
          <cell r="B1647" t="str">
            <v>YELLOWSTONE, MT</v>
          </cell>
        </row>
        <row r="1648">
          <cell r="A1648">
            <v>31001</v>
          </cell>
          <cell r="B1648" t="str">
            <v>ADAMS, NE</v>
          </cell>
        </row>
        <row r="1649">
          <cell r="A1649">
            <v>31003</v>
          </cell>
          <cell r="B1649" t="str">
            <v>ANTELOPE, NE</v>
          </cell>
        </row>
        <row r="1650">
          <cell r="A1650">
            <v>31005</v>
          </cell>
          <cell r="B1650" t="str">
            <v>ARTHUR, NE</v>
          </cell>
        </row>
        <row r="1651">
          <cell r="A1651">
            <v>31007</v>
          </cell>
          <cell r="B1651" t="str">
            <v>BANNER, NE</v>
          </cell>
        </row>
        <row r="1652">
          <cell r="A1652">
            <v>31009</v>
          </cell>
          <cell r="B1652" t="str">
            <v>BLAINE, NE</v>
          </cell>
        </row>
        <row r="1653">
          <cell r="A1653">
            <v>31011</v>
          </cell>
          <cell r="B1653" t="str">
            <v>BOONE, NE</v>
          </cell>
        </row>
        <row r="1654">
          <cell r="A1654">
            <v>31013</v>
          </cell>
          <cell r="B1654" t="str">
            <v>BOX BUTTE, NE</v>
          </cell>
        </row>
        <row r="1655">
          <cell r="A1655">
            <v>31015</v>
          </cell>
          <cell r="B1655" t="str">
            <v>BOYD, NE</v>
          </cell>
        </row>
        <row r="1656">
          <cell r="A1656">
            <v>31017</v>
          </cell>
          <cell r="B1656" t="str">
            <v>BROWN, NE</v>
          </cell>
        </row>
        <row r="1657">
          <cell r="A1657">
            <v>31019</v>
          </cell>
          <cell r="B1657" t="str">
            <v>BUFFALO, NE</v>
          </cell>
        </row>
        <row r="1658">
          <cell r="A1658">
            <v>31021</v>
          </cell>
          <cell r="B1658" t="str">
            <v>BURT, NE</v>
          </cell>
        </row>
        <row r="1659">
          <cell r="A1659">
            <v>31023</v>
          </cell>
          <cell r="B1659" t="str">
            <v>BUTLER, NE</v>
          </cell>
        </row>
        <row r="1660">
          <cell r="A1660">
            <v>31025</v>
          </cell>
          <cell r="B1660" t="str">
            <v>CASS, NE</v>
          </cell>
        </row>
        <row r="1661">
          <cell r="A1661">
            <v>31027</v>
          </cell>
          <cell r="B1661" t="str">
            <v>CEDAR, NE</v>
          </cell>
        </row>
        <row r="1662">
          <cell r="A1662">
            <v>31029</v>
          </cell>
          <cell r="B1662" t="str">
            <v>CHASE, NE</v>
          </cell>
        </row>
        <row r="1663">
          <cell r="A1663">
            <v>31031</v>
          </cell>
          <cell r="B1663" t="str">
            <v>CHERRY, NE</v>
          </cell>
        </row>
        <row r="1664">
          <cell r="A1664">
            <v>31033</v>
          </cell>
          <cell r="B1664" t="str">
            <v>CHEYENNE, NE</v>
          </cell>
        </row>
        <row r="1665">
          <cell r="A1665">
            <v>31035</v>
          </cell>
          <cell r="B1665" t="str">
            <v>CLAY, NE</v>
          </cell>
        </row>
        <row r="1666">
          <cell r="A1666">
            <v>31037</v>
          </cell>
          <cell r="B1666" t="str">
            <v>COLFAX, NE</v>
          </cell>
        </row>
        <row r="1667">
          <cell r="A1667">
            <v>31039</v>
          </cell>
          <cell r="B1667" t="str">
            <v>CUMING, NE</v>
          </cell>
        </row>
        <row r="1668">
          <cell r="A1668">
            <v>31041</v>
          </cell>
          <cell r="B1668" t="str">
            <v>CUSTER, NE</v>
          </cell>
        </row>
        <row r="1669">
          <cell r="A1669">
            <v>31043</v>
          </cell>
          <cell r="B1669" t="str">
            <v>DAKOTA, NE</v>
          </cell>
        </row>
        <row r="1670">
          <cell r="A1670">
            <v>31045</v>
          </cell>
          <cell r="B1670" t="str">
            <v>DAWES, NE</v>
          </cell>
        </row>
        <row r="1671">
          <cell r="A1671">
            <v>31047</v>
          </cell>
          <cell r="B1671" t="str">
            <v>DAWSON, NE</v>
          </cell>
        </row>
        <row r="1672">
          <cell r="A1672">
            <v>31049</v>
          </cell>
          <cell r="B1672" t="str">
            <v>DEUEL, NE</v>
          </cell>
        </row>
        <row r="1673">
          <cell r="A1673">
            <v>31051</v>
          </cell>
          <cell r="B1673" t="str">
            <v>DIXON, NE</v>
          </cell>
        </row>
        <row r="1674">
          <cell r="A1674">
            <v>31053</v>
          </cell>
          <cell r="B1674" t="str">
            <v>DODGE, NE</v>
          </cell>
        </row>
        <row r="1675">
          <cell r="A1675">
            <v>31055</v>
          </cell>
          <cell r="B1675" t="str">
            <v>DOUGLAS, NE</v>
          </cell>
        </row>
        <row r="1676">
          <cell r="A1676">
            <v>31057</v>
          </cell>
          <cell r="B1676" t="str">
            <v>DUNDY, NE</v>
          </cell>
        </row>
        <row r="1677">
          <cell r="A1677">
            <v>31059</v>
          </cell>
          <cell r="B1677" t="str">
            <v>FILLMORE, NE</v>
          </cell>
        </row>
        <row r="1678">
          <cell r="A1678">
            <v>31061</v>
          </cell>
          <cell r="B1678" t="str">
            <v>FRANKLIN, NE</v>
          </cell>
        </row>
        <row r="1679">
          <cell r="A1679">
            <v>31063</v>
          </cell>
          <cell r="B1679" t="str">
            <v>FRONTIER, NE</v>
          </cell>
        </row>
        <row r="1680">
          <cell r="A1680">
            <v>31065</v>
          </cell>
          <cell r="B1680" t="str">
            <v>FURNAS, NE</v>
          </cell>
        </row>
        <row r="1681">
          <cell r="A1681">
            <v>31067</v>
          </cell>
          <cell r="B1681" t="str">
            <v>GAGE, NE</v>
          </cell>
        </row>
        <row r="1682">
          <cell r="A1682">
            <v>31069</v>
          </cell>
          <cell r="B1682" t="str">
            <v>GARDEN, NE</v>
          </cell>
        </row>
        <row r="1683">
          <cell r="A1683">
            <v>31071</v>
          </cell>
          <cell r="B1683" t="str">
            <v>GARFIELD, NE</v>
          </cell>
        </row>
        <row r="1684">
          <cell r="A1684">
            <v>31073</v>
          </cell>
          <cell r="B1684" t="str">
            <v>GOSPER, NE</v>
          </cell>
        </row>
        <row r="1685">
          <cell r="A1685">
            <v>31075</v>
          </cell>
          <cell r="B1685" t="str">
            <v>GRANT, NE</v>
          </cell>
        </row>
        <row r="1686">
          <cell r="A1686">
            <v>31077</v>
          </cell>
          <cell r="B1686" t="str">
            <v>GREELEY, NE</v>
          </cell>
        </row>
        <row r="1687">
          <cell r="A1687">
            <v>31079</v>
          </cell>
          <cell r="B1687" t="str">
            <v>HALL, NE</v>
          </cell>
        </row>
        <row r="1688">
          <cell r="A1688">
            <v>31081</v>
          </cell>
          <cell r="B1688" t="str">
            <v>HAMILTON, NE</v>
          </cell>
        </row>
        <row r="1689">
          <cell r="A1689">
            <v>31083</v>
          </cell>
          <cell r="B1689" t="str">
            <v>HARLAN, NE</v>
          </cell>
        </row>
        <row r="1690">
          <cell r="A1690">
            <v>31085</v>
          </cell>
          <cell r="B1690" t="str">
            <v>HAYES, NE</v>
          </cell>
        </row>
        <row r="1691">
          <cell r="A1691">
            <v>31087</v>
          </cell>
          <cell r="B1691" t="str">
            <v>HITCHCOCK, NE</v>
          </cell>
        </row>
        <row r="1692">
          <cell r="A1692">
            <v>31089</v>
          </cell>
          <cell r="B1692" t="str">
            <v>HOLT, NE</v>
          </cell>
        </row>
        <row r="1693">
          <cell r="A1693">
            <v>31091</v>
          </cell>
          <cell r="B1693" t="str">
            <v>HOOKER, NE</v>
          </cell>
        </row>
        <row r="1694">
          <cell r="A1694">
            <v>31093</v>
          </cell>
          <cell r="B1694" t="str">
            <v>HOWARD, NE</v>
          </cell>
        </row>
        <row r="1695">
          <cell r="A1695">
            <v>31095</v>
          </cell>
          <cell r="B1695" t="str">
            <v>JEFFERSON, NE</v>
          </cell>
        </row>
        <row r="1696">
          <cell r="A1696">
            <v>31097</v>
          </cell>
          <cell r="B1696" t="str">
            <v>JOHNSON, NE</v>
          </cell>
        </row>
        <row r="1697">
          <cell r="A1697">
            <v>31099</v>
          </cell>
          <cell r="B1697" t="str">
            <v>KEARNEY, NE</v>
          </cell>
        </row>
        <row r="1698">
          <cell r="A1698">
            <v>31101</v>
          </cell>
          <cell r="B1698" t="str">
            <v>KEITH, NE</v>
          </cell>
        </row>
        <row r="1699">
          <cell r="A1699">
            <v>31103</v>
          </cell>
          <cell r="B1699" t="str">
            <v>KEYA PAHA, NE</v>
          </cell>
        </row>
        <row r="1700">
          <cell r="A1700">
            <v>31105</v>
          </cell>
          <cell r="B1700" t="str">
            <v>KIMBALL, NE</v>
          </cell>
        </row>
        <row r="1701">
          <cell r="A1701">
            <v>31107</v>
          </cell>
          <cell r="B1701" t="str">
            <v>KNOX, NE</v>
          </cell>
        </row>
        <row r="1702">
          <cell r="A1702">
            <v>31109</v>
          </cell>
          <cell r="B1702" t="str">
            <v>LANCASTER, NE</v>
          </cell>
        </row>
        <row r="1703">
          <cell r="A1703">
            <v>31111</v>
          </cell>
          <cell r="B1703" t="str">
            <v>LINCOLN, NE</v>
          </cell>
        </row>
        <row r="1704">
          <cell r="A1704">
            <v>31113</v>
          </cell>
          <cell r="B1704" t="str">
            <v>LOGAN, NE</v>
          </cell>
        </row>
        <row r="1705">
          <cell r="A1705">
            <v>31115</v>
          </cell>
          <cell r="B1705" t="str">
            <v>LOUP, NE</v>
          </cell>
        </row>
        <row r="1706">
          <cell r="A1706">
            <v>31117</v>
          </cell>
          <cell r="B1706" t="str">
            <v>MCPHERSON, NE</v>
          </cell>
        </row>
        <row r="1707">
          <cell r="A1707">
            <v>31119</v>
          </cell>
          <cell r="B1707" t="str">
            <v>MADISON, NE</v>
          </cell>
        </row>
        <row r="1708">
          <cell r="A1708">
            <v>31121</v>
          </cell>
          <cell r="B1708" t="str">
            <v>MERRICK, NE</v>
          </cell>
        </row>
        <row r="1709">
          <cell r="A1709">
            <v>31123</v>
          </cell>
          <cell r="B1709" t="str">
            <v>MORRILL, NE</v>
          </cell>
        </row>
        <row r="1710">
          <cell r="A1710">
            <v>31125</v>
          </cell>
          <cell r="B1710" t="str">
            <v>NANCE, NE</v>
          </cell>
        </row>
        <row r="1711">
          <cell r="A1711">
            <v>31127</v>
          </cell>
          <cell r="B1711" t="str">
            <v>NEMAHA, NE</v>
          </cell>
        </row>
        <row r="1712">
          <cell r="A1712">
            <v>31129</v>
          </cell>
          <cell r="B1712" t="str">
            <v>NUCKOLLS, NE</v>
          </cell>
        </row>
        <row r="1713">
          <cell r="A1713">
            <v>31131</v>
          </cell>
          <cell r="B1713" t="str">
            <v>OTOE, NE</v>
          </cell>
        </row>
        <row r="1714">
          <cell r="A1714">
            <v>31133</v>
          </cell>
          <cell r="B1714" t="str">
            <v>PAWNEE, NE</v>
          </cell>
        </row>
        <row r="1715">
          <cell r="A1715">
            <v>31135</v>
          </cell>
          <cell r="B1715" t="str">
            <v>PERKINS, NE</v>
          </cell>
        </row>
        <row r="1716">
          <cell r="A1716">
            <v>31137</v>
          </cell>
          <cell r="B1716" t="str">
            <v>PHELPS, NE</v>
          </cell>
        </row>
        <row r="1717">
          <cell r="A1717">
            <v>31139</v>
          </cell>
          <cell r="B1717" t="str">
            <v>PIERCE, NE</v>
          </cell>
        </row>
        <row r="1718">
          <cell r="A1718">
            <v>31141</v>
          </cell>
          <cell r="B1718" t="str">
            <v>PLATTE, NE</v>
          </cell>
        </row>
        <row r="1719">
          <cell r="A1719">
            <v>31143</v>
          </cell>
          <cell r="B1719" t="str">
            <v>POLK, NE</v>
          </cell>
        </row>
        <row r="1720">
          <cell r="A1720">
            <v>31145</v>
          </cell>
          <cell r="B1720" t="str">
            <v>RED WILLOW, NE</v>
          </cell>
        </row>
        <row r="1721">
          <cell r="A1721">
            <v>31147</v>
          </cell>
          <cell r="B1721" t="str">
            <v>RICHARDSON, NE</v>
          </cell>
        </row>
        <row r="1722">
          <cell r="A1722">
            <v>31149</v>
          </cell>
          <cell r="B1722" t="str">
            <v>ROCK, NE</v>
          </cell>
        </row>
        <row r="1723">
          <cell r="A1723">
            <v>31151</v>
          </cell>
          <cell r="B1723" t="str">
            <v>SALINE, NE</v>
          </cell>
        </row>
        <row r="1724">
          <cell r="A1724">
            <v>31153</v>
          </cell>
          <cell r="B1724" t="str">
            <v>SARPY, NE</v>
          </cell>
        </row>
        <row r="1725">
          <cell r="A1725">
            <v>31155</v>
          </cell>
          <cell r="B1725" t="str">
            <v>SAUNDERS, NE</v>
          </cell>
        </row>
        <row r="1726">
          <cell r="A1726">
            <v>31157</v>
          </cell>
          <cell r="B1726" t="str">
            <v>SCOTTS BLUFF, NE</v>
          </cell>
        </row>
        <row r="1727">
          <cell r="A1727">
            <v>31159</v>
          </cell>
          <cell r="B1727" t="str">
            <v>SEWARD, NE</v>
          </cell>
        </row>
        <row r="1728">
          <cell r="A1728">
            <v>31161</v>
          </cell>
          <cell r="B1728" t="str">
            <v>SHERIDAN, NE</v>
          </cell>
        </row>
        <row r="1729">
          <cell r="A1729">
            <v>31163</v>
          </cell>
          <cell r="B1729" t="str">
            <v>SHERMAN, NE</v>
          </cell>
        </row>
        <row r="1730">
          <cell r="A1730">
            <v>31165</v>
          </cell>
          <cell r="B1730" t="str">
            <v>SIOUX, NE</v>
          </cell>
        </row>
        <row r="1731">
          <cell r="A1731">
            <v>31167</v>
          </cell>
          <cell r="B1731" t="str">
            <v>STANTON, NE</v>
          </cell>
        </row>
        <row r="1732">
          <cell r="A1732">
            <v>31169</v>
          </cell>
          <cell r="B1732" t="str">
            <v>THAYER, NE</v>
          </cell>
        </row>
        <row r="1733">
          <cell r="A1733">
            <v>31171</v>
          </cell>
          <cell r="B1733" t="str">
            <v>THOMAS, NE</v>
          </cell>
        </row>
        <row r="1734">
          <cell r="A1734">
            <v>31173</v>
          </cell>
          <cell r="B1734" t="str">
            <v>THURSTON, NE</v>
          </cell>
        </row>
        <row r="1735">
          <cell r="A1735">
            <v>31175</v>
          </cell>
          <cell r="B1735" t="str">
            <v>VALLEY, NE</v>
          </cell>
        </row>
        <row r="1736">
          <cell r="A1736">
            <v>31177</v>
          </cell>
          <cell r="B1736" t="str">
            <v>WASHINGTON, NE</v>
          </cell>
        </row>
        <row r="1737">
          <cell r="A1737">
            <v>31179</v>
          </cell>
          <cell r="B1737" t="str">
            <v>WAYNE, NE</v>
          </cell>
        </row>
        <row r="1738">
          <cell r="A1738">
            <v>31181</v>
          </cell>
          <cell r="B1738" t="str">
            <v>WEBSTER, NE</v>
          </cell>
        </row>
        <row r="1739">
          <cell r="A1739">
            <v>31183</v>
          </cell>
          <cell r="B1739" t="str">
            <v>WHEELER, NE</v>
          </cell>
        </row>
        <row r="1740">
          <cell r="A1740">
            <v>31185</v>
          </cell>
          <cell r="B1740" t="str">
            <v>YORK, NE</v>
          </cell>
        </row>
        <row r="1741">
          <cell r="A1741">
            <v>32001</v>
          </cell>
          <cell r="B1741" t="str">
            <v>CHURCHILL, NV</v>
          </cell>
        </row>
        <row r="1742">
          <cell r="A1742">
            <v>32003</v>
          </cell>
          <cell r="B1742" t="str">
            <v>CLARK, NV</v>
          </cell>
        </row>
        <row r="1743">
          <cell r="A1743">
            <v>32005</v>
          </cell>
          <cell r="B1743" t="str">
            <v>DOUGLAS, NV</v>
          </cell>
        </row>
        <row r="1744">
          <cell r="A1744">
            <v>32007</v>
          </cell>
          <cell r="B1744" t="str">
            <v>ELKO, NV</v>
          </cell>
        </row>
        <row r="1745">
          <cell r="A1745">
            <v>32009</v>
          </cell>
          <cell r="B1745" t="str">
            <v>ESMERALDA, NV</v>
          </cell>
        </row>
        <row r="1746">
          <cell r="A1746">
            <v>32011</v>
          </cell>
          <cell r="B1746" t="str">
            <v>EUREKA, NV</v>
          </cell>
        </row>
        <row r="1747">
          <cell r="A1747">
            <v>32013</v>
          </cell>
          <cell r="B1747" t="str">
            <v>HUMBOLDT, NV</v>
          </cell>
        </row>
        <row r="1748">
          <cell r="A1748">
            <v>32015</v>
          </cell>
          <cell r="B1748" t="str">
            <v>LANDER, NV</v>
          </cell>
        </row>
        <row r="1749">
          <cell r="A1749">
            <v>32017</v>
          </cell>
          <cell r="B1749" t="str">
            <v>LINCOLN, NV</v>
          </cell>
        </row>
        <row r="1750">
          <cell r="A1750">
            <v>32019</v>
          </cell>
          <cell r="B1750" t="str">
            <v>LYON, NV</v>
          </cell>
        </row>
        <row r="1751">
          <cell r="A1751">
            <v>32021</v>
          </cell>
          <cell r="B1751" t="str">
            <v>MINERAL, NV</v>
          </cell>
        </row>
        <row r="1752">
          <cell r="A1752">
            <v>32023</v>
          </cell>
          <cell r="B1752" t="str">
            <v>NYE, NV</v>
          </cell>
        </row>
        <row r="1753">
          <cell r="A1753">
            <v>32027</v>
          </cell>
          <cell r="B1753" t="str">
            <v>PERSHING, NV</v>
          </cell>
        </row>
        <row r="1754">
          <cell r="A1754">
            <v>32029</v>
          </cell>
          <cell r="B1754" t="str">
            <v>STOREY, NV</v>
          </cell>
        </row>
        <row r="1755">
          <cell r="A1755">
            <v>32031</v>
          </cell>
          <cell r="B1755" t="str">
            <v>WASHOE, NV</v>
          </cell>
        </row>
        <row r="1756">
          <cell r="A1756">
            <v>32033</v>
          </cell>
          <cell r="B1756" t="str">
            <v>WHITE PINE, NV</v>
          </cell>
        </row>
        <row r="1757">
          <cell r="A1757">
            <v>32510</v>
          </cell>
          <cell r="B1757" t="str">
            <v>CARSON CITY CITY, NV</v>
          </cell>
        </row>
        <row r="1758">
          <cell r="A1758">
            <v>33001</v>
          </cell>
          <cell r="B1758" t="str">
            <v>BELKNAP, NH</v>
          </cell>
        </row>
        <row r="1759">
          <cell r="A1759">
            <v>33003</v>
          </cell>
          <cell r="B1759" t="str">
            <v>CARROLL, NH</v>
          </cell>
        </row>
        <row r="1760">
          <cell r="A1760">
            <v>33005</v>
          </cell>
          <cell r="B1760" t="str">
            <v>CHESHIRE, NH</v>
          </cell>
        </row>
        <row r="1761">
          <cell r="A1761">
            <v>33007</v>
          </cell>
          <cell r="B1761" t="str">
            <v>COOS, NH</v>
          </cell>
        </row>
        <row r="1762">
          <cell r="A1762">
            <v>33009</v>
          </cell>
          <cell r="B1762" t="str">
            <v>GRAFTON, NH</v>
          </cell>
        </row>
        <row r="1763">
          <cell r="A1763">
            <v>33011</v>
          </cell>
          <cell r="B1763" t="str">
            <v>HILLSBOROUGH, NH</v>
          </cell>
        </row>
        <row r="1764">
          <cell r="A1764">
            <v>33013</v>
          </cell>
          <cell r="B1764" t="str">
            <v>MERRIMACK, NH</v>
          </cell>
        </row>
        <row r="1765">
          <cell r="A1765">
            <v>33015</v>
          </cell>
          <cell r="B1765" t="str">
            <v>ROCKINGHAM, NH</v>
          </cell>
        </row>
        <row r="1766">
          <cell r="A1766">
            <v>33017</v>
          </cell>
          <cell r="B1766" t="str">
            <v>STRAFFORD, NH</v>
          </cell>
        </row>
        <row r="1767">
          <cell r="A1767">
            <v>33019</v>
          </cell>
          <cell r="B1767" t="str">
            <v>SULLIVAN, NH</v>
          </cell>
        </row>
        <row r="1768">
          <cell r="A1768">
            <v>34001</v>
          </cell>
          <cell r="B1768" t="str">
            <v>ATLANTIC, NJ</v>
          </cell>
        </row>
        <row r="1769">
          <cell r="A1769">
            <v>34003</v>
          </cell>
          <cell r="B1769" t="str">
            <v>BERGEN, NJ</v>
          </cell>
        </row>
        <row r="1770">
          <cell r="A1770">
            <v>34005</v>
          </cell>
          <cell r="B1770" t="str">
            <v>BURLINGTON, NJ</v>
          </cell>
        </row>
        <row r="1771">
          <cell r="A1771">
            <v>34007</v>
          </cell>
          <cell r="B1771" t="str">
            <v>CAMDEN, NJ</v>
          </cell>
        </row>
        <row r="1772">
          <cell r="A1772">
            <v>34009</v>
          </cell>
          <cell r="B1772" t="str">
            <v>CAPE MAY, NJ</v>
          </cell>
        </row>
        <row r="1773">
          <cell r="A1773">
            <v>34011</v>
          </cell>
          <cell r="B1773" t="str">
            <v>CUMBERLAND, NJ</v>
          </cell>
        </row>
        <row r="1774">
          <cell r="A1774">
            <v>34013</v>
          </cell>
          <cell r="B1774" t="str">
            <v>ESSEX, NJ</v>
          </cell>
        </row>
        <row r="1775">
          <cell r="A1775">
            <v>34015</v>
          </cell>
          <cell r="B1775" t="str">
            <v>GLOUCESTER, NJ</v>
          </cell>
        </row>
        <row r="1776">
          <cell r="A1776">
            <v>34017</v>
          </cell>
          <cell r="B1776" t="str">
            <v>HUDSON, NJ</v>
          </cell>
        </row>
        <row r="1777">
          <cell r="A1777">
            <v>34019</v>
          </cell>
          <cell r="B1777" t="str">
            <v>HUNTERDON, NJ</v>
          </cell>
        </row>
        <row r="1778">
          <cell r="A1778">
            <v>34021</v>
          </cell>
          <cell r="B1778" t="str">
            <v>MERCER, NJ</v>
          </cell>
        </row>
        <row r="1779">
          <cell r="A1779">
            <v>34023</v>
          </cell>
          <cell r="B1779" t="str">
            <v>MIDDLESEX, NJ</v>
          </cell>
        </row>
        <row r="1780">
          <cell r="A1780">
            <v>34025</v>
          </cell>
          <cell r="B1780" t="str">
            <v>MONMOUTH, NJ</v>
          </cell>
        </row>
        <row r="1781">
          <cell r="A1781">
            <v>34027</v>
          </cell>
          <cell r="B1781" t="str">
            <v>MORRIS, NJ</v>
          </cell>
        </row>
        <row r="1782">
          <cell r="A1782">
            <v>34029</v>
          </cell>
          <cell r="B1782" t="str">
            <v>OCEAN, NJ</v>
          </cell>
        </row>
        <row r="1783">
          <cell r="A1783">
            <v>34031</v>
          </cell>
          <cell r="B1783" t="str">
            <v>PASSAIC, NJ</v>
          </cell>
        </row>
        <row r="1784">
          <cell r="A1784">
            <v>34033</v>
          </cell>
          <cell r="B1784" t="str">
            <v>SALEM, NJ</v>
          </cell>
        </row>
        <row r="1785">
          <cell r="A1785">
            <v>34035</v>
          </cell>
          <cell r="B1785" t="str">
            <v>SOMERSET, NJ</v>
          </cell>
        </row>
        <row r="1786">
          <cell r="A1786">
            <v>34037</v>
          </cell>
          <cell r="B1786" t="str">
            <v>SUSSEX, NJ</v>
          </cell>
        </row>
        <row r="1787">
          <cell r="A1787">
            <v>34039</v>
          </cell>
          <cell r="B1787" t="str">
            <v>UNION, NJ</v>
          </cell>
        </row>
        <row r="1788">
          <cell r="A1788">
            <v>34041</v>
          </cell>
          <cell r="B1788" t="str">
            <v>WARREN, NJ</v>
          </cell>
        </row>
        <row r="1789">
          <cell r="A1789">
            <v>35001</v>
          </cell>
          <cell r="B1789" t="str">
            <v>BERNALILLO, NM</v>
          </cell>
        </row>
        <row r="1790">
          <cell r="A1790">
            <v>35003</v>
          </cell>
          <cell r="B1790" t="str">
            <v>CATRON, NM</v>
          </cell>
        </row>
        <row r="1791">
          <cell r="A1791">
            <v>35005</v>
          </cell>
          <cell r="B1791" t="str">
            <v>CHAVES, NM</v>
          </cell>
        </row>
        <row r="1792">
          <cell r="A1792">
            <v>35007</v>
          </cell>
          <cell r="B1792" t="str">
            <v>COLFAX, NM</v>
          </cell>
        </row>
        <row r="1793">
          <cell r="A1793">
            <v>35009</v>
          </cell>
          <cell r="B1793" t="str">
            <v>CURRY, NM</v>
          </cell>
        </row>
        <row r="1794">
          <cell r="A1794">
            <v>35011</v>
          </cell>
          <cell r="B1794" t="str">
            <v>DE BACA, NM</v>
          </cell>
        </row>
        <row r="1795">
          <cell r="A1795">
            <v>35013</v>
          </cell>
          <cell r="B1795" t="str">
            <v>DONA ANA, NM</v>
          </cell>
        </row>
        <row r="1796">
          <cell r="A1796">
            <v>35015</v>
          </cell>
          <cell r="B1796" t="str">
            <v>EDDY, NM</v>
          </cell>
        </row>
        <row r="1797">
          <cell r="A1797">
            <v>35017</v>
          </cell>
          <cell r="B1797" t="str">
            <v>GRANT, NM</v>
          </cell>
        </row>
        <row r="1798">
          <cell r="A1798">
            <v>35019</v>
          </cell>
          <cell r="B1798" t="str">
            <v>GUADALUPE, NM</v>
          </cell>
        </row>
        <row r="1799">
          <cell r="A1799">
            <v>35021</v>
          </cell>
          <cell r="B1799" t="str">
            <v>HARDING, NM</v>
          </cell>
        </row>
        <row r="1800">
          <cell r="A1800">
            <v>35023</v>
          </cell>
          <cell r="B1800" t="str">
            <v>HIDALGO, NM</v>
          </cell>
        </row>
        <row r="1801">
          <cell r="A1801">
            <v>35025</v>
          </cell>
          <cell r="B1801" t="str">
            <v>LEA, NM</v>
          </cell>
        </row>
        <row r="1802">
          <cell r="A1802">
            <v>35027</v>
          </cell>
          <cell r="B1802" t="str">
            <v>LINCOLN, NM</v>
          </cell>
        </row>
        <row r="1803">
          <cell r="A1803">
            <v>35028</v>
          </cell>
          <cell r="B1803" t="str">
            <v>LOS ALAMOS, NM</v>
          </cell>
        </row>
        <row r="1804">
          <cell r="A1804">
            <v>35029</v>
          </cell>
          <cell r="B1804" t="str">
            <v>LUNA, NM</v>
          </cell>
        </row>
        <row r="1805">
          <cell r="A1805">
            <v>35031</v>
          </cell>
          <cell r="B1805" t="str">
            <v>MCKINLEY, NM</v>
          </cell>
        </row>
        <row r="1806">
          <cell r="A1806">
            <v>35033</v>
          </cell>
          <cell r="B1806" t="str">
            <v>MORA, NM</v>
          </cell>
        </row>
        <row r="1807">
          <cell r="A1807">
            <v>35035</v>
          </cell>
          <cell r="B1807" t="str">
            <v>OTERO, NM</v>
          </cell>
        </row>
        <row r="1808">
          <cell r="A1808">
            <v>35037</v>
          </cell>
          <cell r="B1808" t="str">
            <v>QUAY, NM</v>
          </cell>
        </row>
        <row r="1809">
          <cell r="A1809">
            <v>35039</v>
          </cell>
          <cell r="B1809" t="str">
            <v>RIO ARRIBA, NM</v>
          </cell>
        </row>
        <row r="1810">
          <cell r="A1810">
            <v>35041</v>
          </cell>
          <cell r="B1810" t="str">
            <v>ROOSEVELT, NM</v>
          </cell>
        </row>
        <row r="1811">
          <cell r="A1811">
            <v>35043</v>
          </cell>
          <cell r="B1811" t="str">
            <v>SANDOVAL, NM</v>
          </cell>
        </row>
        <row r="1812">
          <cell r="A1812">
            <v>35045</v>
          </cell>
          <cell r="B1812" t="str">
            <v>SAN JUAN, NM</v>
          </cell>
        </row>
        <row r="1813">
          <cell r="A1813">
            <v>35047</v>
          </cell>
          <cell r="B1813" t="str">
            <v>SAN MIGUEL, NM</v>
          </cell>
        </row>
        <row r="1814">
          <cell r="A1814">
            <v>35049</v>
          </cell>
          <cell r="B1814" t="str">
            <v>SANTA FE, NM</v>
          </cell>
        </row>
        <row r="1815">
          <cell r="A1815">
            <v>35051</v>
          </cell>
          <cell r="B1815" t="str">
            <v>SIERRA, NM</v>
          </cell>
        </row>
        <row r="1816">
          <cell r="A1816">
            <v>35053</v>
          </cell>
          <cell r="B1816" t="str">
            <v>SOCORRO, NM</v>
          </cell>
        </row>
        <row r="1817">
          <cell r="A1817">
            <v>35055</v>
          </cell>
          <cell r="B1817" t="str">
            <v>TAOS, NM</v>
          </cell>
        </row>
        <row r="1818">
          <cell r="A1818">
            <v>35057</v>
          </cell>
          <cell r="B1818" t="str">
            <v>TORRANCE, NM</v>
          </cell>
        </row>
        <row r="1819">
          <cell r="A1819">
            <v>35059</v>
          </cell>
          <cell r="B1819" t="str">
            <v>UNION, NM</v>
          </cell>
        </row>
        <row r="1820">
          <cell r="A1820">
            <v>35061</v>
          </cell>
          <cell r="B1820" t="str">
            <v>VALENCIA, NM</v>
          </cell>
        </row>
        <row r="1821">
          <cell r="A1821">
            <v>36001</v>
          </cell>
          <cell r="B1821" t="str">
            <v>ALBANY, NY</v>
          </cell>
        </row>
        <row r="1822">
          <cell r="A1822">
            <v>36003</v>
          </cell>
          <cell r="B1822" t="str">
            <v>ALLEGANY, NY</v>
          </cell>
        </row>
        <row r="1823">
          <cell r="A1823">
            <v>36005</v>
          </cell>
          <cell r="B1823" t="str">
            <v>BRONX, NY</v>
          </cell>
        </row>
        <row r="1824">
          <cell r="A1824">
            <v>36007</v>
          </cell>
          <cell r="B1824" t="str">
            <v>BROOME, NY</v>
          </cell>
        </row>
        <row r="1825">
          <cell r="A1825">
            <v>36009</v>
          </cell>
          <cell r="B1825" t="str">
            <v>CATTARAUGUS, NY</v>
          </cell>
        </row>
        <row r="1826">
          <cell r="A1826">
            <v>36011</v>
          </cell>
          <cell r="B1826" t="str">
            <v>CAYUGA, NY</v>
          </cell>
        </row>
        <row r="1827">
          <cell r="A1827">
            <v>36013</v>
          </cell>
          <cell r="B1827" t="str">
            <v>CHAUTAUQUA, NY</v>
          </cell>
        </row>
        <row r="1828">
          <cell r="A1828">
            <v>36015</v>
          </cell>
          <cell r="B1828" t="str">
            <v>CHEMUNG, NY</v>
          </cell>
        </row>
        <row r="1829">
          <cell r="A1829">
            <v>36017</v>
          </cell>
          <cell r="B1829" t="str">
            <v>CHENANGO, NY</v>
          </cell>
        </row>
        <row r="1830">
          <cell r="A1830">
            <v>36019</v>
          </cell>
          <cell r="B1830" t="str">
            <v>CLINTON, NY</v>
          </cell>
        </row>
        <row r="1831">
          <cell r="A1831">
            <v>36021</v>
          </cell>
          <cell r="B1831" t="str">
            <v>COLUMBIA, NY</v>
          </cell>
        </row>
        <row r="1832">
          <cell r="A1832">
            <v>36023</v>
          </cell>
          <cell r="B1832" t="str">
            <v>CORTLAND, NY</v>
          </cell>
        </row>
        <row r="1833">
          <cell r="A1833">
            <v>36025</v>
          </cell>
          <cell r="B1833" t="str">
            <v>DELAWARE, NY</v>
          </cell>
        </row>
        <row r="1834">
          <cell r="A1834">
            <v>36027</v>
          </cell>
          <cell r="B1834" t="str">
            <v>DUTCHESS, NY</v>
          </cell>
        </row>
        <row r="1835">
          <cell r="A1835">
            <v>36029</v>
          </cell>
          <cell r="B1835" t="str">
            <v>ERIE, NY</v>
          </cell>
        </row>
        <row r="1836">
          <cell r="A1836">
            <v>36031</v>
          </cell>
          <cell r="B1836" t="str">
            <v>ESSEX, NY</v>
          </cell>
        </row>
        <row r="1837">
          <cell r="A1837">
            <v>36033</v>
          </cell>
          <cell r="B1837" t="str">
            <v>FRANKLIN, NY</v>
          </cell>
        </row>
        <row r="1838">
          <cell r="A1838">
            <v>36035</v>
          </cell>
          <cell r="B1838" t="str">
            <v>FULTON, NY</v>
          </cell>
        </row>
        <row r="1839">
          <cell r="A1839">
            <v>36037</v>
          </cell>
          <cell r="B1839" t="str">
            <v>GENESEE, NY</v>
          </cell>
        </row>
        <row r="1840">
          <cell r="A1840">
            <v>36039</v>
          </cell>
          <cell r="B1840" t="str">
            <v>GREENE, NY</v>
          </cell>
        </row>
        <row r="1841">
          <cell r="A1841">
            <v>36041</v>
          </cell>
          <cell r="B1841" t="str">
            <v>HAMILTON, NY</v>
          </cell>
        </row>
        <row r="1842">
          <cell r="A1842">
            <v>36043</v>
          </cell>
          <cell r="B1842" t="str">
            <v>HERKIMER, NY</v>
          </cell>
        </row>
        <row r="1843">
          <cell r="A1843">
            <v>36045</v>
          </cell>
          <cell r="B1843" t="str">
            <v>JEFFERSON, NY</v>
          </cell>
        </row>
        <row r="1844">
          <cell r="A1844">
            <v>36047</v>
          </cell>
          <cell r="B1844" t="str">
            <v>KINGS, NY</v>
          </cell>
        </row>
        <row r="1845">
          <cell r="A1845">
            <v>36049</v>
          </cell>
          <cell r="B1845" t="str">
            <v>LEWIS, NY</v>
          </cell>
        </row>
        <row r="1846">
          <cell r="A1846">
            <v>36051</v>
          </cell>
          <cell r="B1846" t="str">
            <v>LIVINGSTON, NY</v>
          </cell>
        </row>
        <row r="1847">
          <cell r="A1847">
            <v>36053</v>
          </cell>
          <cell r="B1847" t="str">
            <v>MADISON, NY</v>
          </cell>
        </row>
        <row r="1848">
          <cell r="A1848">
            <v>36055</v>
          </cell>
          <cell r="B1848" t="str">
            <v>MONROE, NY</v>
          </cell>
        </row>
        <row r="1849">
          <cell r="A1849">
            <v>36057</v>
          </cell>
          <cell r="B1849" t="str">
            <v>MONTGOMERY, NY</v>
          </cell>
        </row>
        <row r="1850">
          <cell r="A1850">
            <v>36059</v>
          </cell>
          <cell r="B1850" t="str">
            <v>NASSAU, NY</v>
          </cell>
        </row>
        <row r="1851">
          <cell r="A1851">
            <v>36061</v>
          </cell>
          <cell r="B1851" t="str">
            <v>NEW YORK, NY</v>
          </cell>
        </row>
        <row r="1852">
          <cell r="A1852">
            <v>36063</v>
          </cell>
          <cell r="B1852" t="str">
            <v>NIAGARA, NY</v>
          </cell>
        </row>
        <row r="1853">
          <cell r="A1853">
            <v>36065</v>
          </cell>
          <cell r="B1853" t="str">
            <v>ONEIDA, NY</v>
          </cell>
        </row>
        <row r="1854">
          <cell r="A1854">
            <v>36067</v>
          </cell>
          <cell r="B1854" t="str">
            <v>ONONDAGA, NY</v>
          </cell>
        </row>
        <row r="1855">
          <cell r="A1855">
            <v>36069</v>
          </cell>
          <cell r="B1855" t="str">
            <v>ONTARIO, NY</v>
          </cell>
        </row>
        <row r="1856">
          <cell r="A1856">
            <v>36071</v>
          </cell>
          <cell r="B1856" t="str">
            <v>ORANGE, NY</v>
          </cell>
        </row>
        <row r="1857">
          <cell r="A1857">
            <v>36073</v>
          </cell>
          <cell r="B1857" t="str">
            <v>ORLEANS, NY</v>
          </cell>
        </row>
        <row r="1858">
          <cell r="A1858">
            <v>36075</v>
          </cell>
          <cell r="B1858" t="str">
            <v>OSWEGO, NY</v>
          </cell>
        </row>
        <row r="1859">
          <cell r="A1859">
            <v>36077</v>
          </cell>
          <cell r="B1859" t="str">
            <v>OTSEGO, NY</v>
          </cell>
        </row>
        <row r="1860">
          <cell r="A1860">
            <v>36079</v>
          </cell>
          <cell r="B1860" t="str">
            <v>PUTNAM, NY</v>
          </cell>
        </row>
        <row r="1861">
          <cell r="A1861">
            <v>36081</v>
          </cell>
          <cell r="B1861" t="str">
            <v>QUEENS, NY</v>
          </cell>
        </row>
        <row r="1862">
          <cell r="A1862">
            <v>36083</v>
          </cell>
          <cell r="B1862" t="str">
            <v>RENSSELAER, NY</v>
          </cell>
        </row>
        <row r="1863">
          <cell r="A1863">
            <v>36085</v>
          </cell>
          <cell r="B1863" t="str">
            <v>RICHMOND, NY</v>
          </cell>
        </row>
        <row r="1864">
          <cell r="A1864">
            <v>36087</v>
          </cell>
          <cell r="B1864" t="str">
            <v>ROCKLAND, NY</v>
          </cell>
        </row>
        <row r="1865">
          <cell r="A1865">
            <v>36089</v>
          </cell>
          <cell r="B1865" t="str">
            <v>ST LAWRENCE, NY</v>
          </cell>
        </row>
        <row r="1866">
          <cell r="A1866">
            <v>36091</v>
          </cell>
          <cell r="B1866" t="str">
            <v>SARATOGA, NY</v>
          </cell>
        </row>
        <row r="1867">
          <cell r="A1867">
            <v>36093</v>
          </cell>
          <cell r="B1867" t="str">
            <v>SCHENECTADY, NY</v>
          </cell>
        </row>
        <row r="1868">
          <cell r="A1868">
            <v>36095</v>
          </cell>
          <cell r="B1868" t="str">
            <v>SCHOHARIE, NY</v>
          </cell>
        </row>
        <row r="1869">
          <cell r="A1869">
            <v>36097</v>
          </cell>
          <cell r="B1869" t="str">
            <v>SCHUYLER, NY</v>
          </cell>
        </row>
        <row r="1870">
          <cell r="A1870">
            <v>36099</v>
          </cell>
          <cell r="B1870" t="str">
            <v>SENECA, NY</v>
          </cell>
        </row>
        <row r="1871">
          <cell r="A1871">
            <v>36101</v>
          </cell>
          <cell r="B1871" t="str">
            <v>STEUBEN, NY</v>
          </cell>
        </row>
        <row r="1872">
          <cell r="A1872">
            <v>36103</v>
          </cell>
          <cell r="B1872" t="str">
            <v>SUFFOLK, NY</v>
          </cell>
        </row>
        <row r="1873">
          <cell r="A1873">
            <v>36105</v>
          </cell>
          <cell r="B1873" t="str">
            <v>SULLIVAN, NY</v>
          </cell>
        </row>
        <row r="1874">
          <cell r="A1874">
            <v>36107</v>
          </cell>
          <cell r="B1874" t="str">
            <v>TIOGA, NY</v>
          </cell>
        </row>
        <row r="1875">
          <cell r="A1875">
            <v>36109</v>
          </cell>
          <cell r="B1875" t="str">
            <v>TOMPKINS, NY</v>
          </cell>
        </row>
        <row r="1876">
          <cell r="A1876">
            <v>36111</v>
          </cell>
          <cell r="B1876" t="str">
            <v>ULSTER, NY</v>
          </cell>
        </row>
        <row r="1877">
          <cell r="A1877">
            <v>36113</v>
          </cell>
          <cell r="B1877" t="str">
            <v>WARREN, NY</v>
          </cell>
        </row>
        <row r="1878">
          <cell r="A1878">
            <v>36115</v>
          </cell>
          <cell r="B1878" t="str">
            <v>WASHINGTON, NY</v>
          </cell>
        </row>
        <row r="1879">
          <cell r="A1879">
            <v>36117</v>
          </cell>
          <cell r="B1879" t="str">
            <v>WAYNE, NY</v>
          </cell>
        </row>
        <row r="1880">
          <cell r="A1880">
            <v>36119</v>
          </cell>
          <cell r="B1880" t="str">
            <v>WESTCHESTER, NY</v>
          </cell>
        </row>
        <row r="1881">
          <cell r="A1881">
            <v>36121</v>
          </cell>
          <cell r="B1881" t="str">
            <v>WYOMING, NY</v>
          </cell>
        </row>
        <row r="1882">
          <cell r="A1882">
            <v>36123</v>
          </cell>
          <cell r="B1882" t="str">
            <v>YATES, NY</v>
          </cell>
        </row>
        <row r="1883">
          <cell r="A1883">
            <v>37001</v>
          </cell>
          <cell r="B1883" t="str">
            <v>ALAMANCE, NC</v>
          </cell>
        </row>
        <row r="1884">
          <cell r="A1884">
            <v>37003</v>
          </cell>
          <cell r="B1884" t="str">
            <v>ALEXANDER, NC</v>
          </cell>
        </row>
        <row r="1885">
          <cell r="A1885">
            <v>37005</v>
          </cell>
          <cell r="B1885" t="str">
            <v>ALLEGHANY, NC</v>
          </cell>
        </row>
        <row r="1886">
          <cell r="A1886">
            <v>37007</v>
          </cell>
          <cell r="B1886" t="str">
            <v>ANSON, NC</v>
          </cell>
        </row>
        <row r="1887">
          <cell r="A1887">
            <v>37009</v>
          </cell>
          <cell r="B1887" t="str">
            <v>ASHE, NC</v>
          </cell>
        </row>
        <row r="1888">
          <cell r="A1888">
            <v>37011</v>
          </cell>
          <cell r="B1888" t="str">
            <v>AVERY, NC</v>
          </cell>
        </row>
        <row r="1889">
          <cell r="A1889">
            <v>37013</v>
          </cell>
          <cell r="B1889" t="str">
            <v>BEAUFORT, NC</v>
          </cell>
        </row>
        <row r="1890">
          <cell r="A1890">
            <v>37015</v>
          </cell>
          <cell r="B1890" t="str">
            <v>BERTIE, NC</v>
          </cell>
        </row>
        <row r="1891">
          <cell r="A1891">
            <v>37017</v>
          </cell>
          <cell r="B1891" t="str">
            <v>BLADEN, NC</v>
          </cell>
        </row>
        <row r="1892">
          <cell r="A1892">
            <v>37019</v>
          </cell>
          <cell r="B1892" t="str">
            <v>BRUNSWICK, NC</v>
          </cell>
        </row>
        <row r="1893">
          <cell r="A1893">
            <v>37021</v>
          </cell>
          <cell r="B1893" t="str">
            <v>BUNCOMBE, NC</v>
          </cell>
        </row>
        <row r="1894">
          <cell r="A1894">
            <v>37023</v>
          </cell>
          <cell r="B1894" t="str">
            <v>BURKE, NC</v>
          </cell>
        </row>
        <row r="1895">
          <cell r="A1895">
            <v>37025</v>
          </cell>
          <cell r="B1895" t="str">
            <v>CABARRUS, NC</v>
          </cell>
        </row>
        <row r="1896">
          <cell r="A1896">
            <v>37027</v>
          </cell>
          <cell r="B1896" t="str">
            <v>CALDWELL, NC</v>
          </cell>
        </row>
        <row r="1897">
          <cell r="A1897">
            <v>37029</v>
          </cell>
          <cell r="B1897" t="str">
            <v>CAMDEN, NC</v>
          </cell>
        </row>
        <row r="1898">
          <cell r="A1898">
            <v>37031</v>
          </cell>
          <cell r="B1898" t="str">
            <v>CARTERET, NC</v>
          </cell>
        </row>
        <row r="1899">
          <cell r="A1899">
            <v>37033</v>
          </cell>
          <cell r="B1899" t="str">
            <v>CASWELL, NC</v>
          </cell>
        </row>
        <row r="1900">
          <cell r="A1900">
            <v>37035</v>
          </cell>
          <cell r="B1900" t="str">
            <v>CATAWBA, NC</v>
          </cell>
        </row>
        <row r="1901">
          <cell r="A1901">
            <v>37037</v>
          </cell>
          <cell r="B1901" t="str">
            <v>CHATHAM, NC</v>
          </cell>
        </row>
        <row r="1902">
          <cell r="A1902">
            <v>37039</v>
          </cell>
          <cell r="B1902" t="str">
            <v>CHEROKEE, NC</v>
          </cell>
        </row>
        <row r="1903">
          <cell r="A1903">
            <v>37041</v>
          </cell>
          <cell r="B1903" t="str">
            <v>CHOWAN, NC</v>
          </cell>
        </row>
        <row r="1904">
          <cell r="A1904">
            <v>37043</v>
          </cell>
          <cell r="B1904" t="str">
            <v>CLAY, NC</v>
          </cell>
        </row>
        <row r="1905">
          <cell r="A1905">
            <v>37045</v>
          </cell>
          <cell r="B1905" t="str">
            <v>CLEVELAND, NC</v>
          </cell>
        </row>
        <row r="1906">
          <cell r="A1906">
            <v>37047</v>
          </cell>
          <cell r="B1906" t="str">
            <v>COLUMBUS, NC</v>
          </cell>
        </row>
        <row r="1907">
          <cell r="A1907">
            <v>37049</v>
          </cell>
          <cell r="B1907" t="str">
            <v>CRAVEN, NC</v>
          </cell>
        </row>
        <row r="1908">
          <cell r="A1908">
            <v>37051</v>
          </cell>
          <cell r="B1908" t="str">
            <v>CUMBERLAND, NC</v>
          </cell>
        </row>
        <row r="1909">
          <cell r="A1909">
            <v>37053</v>
          </cell>
          <cell r="B1909" t="str">
            <v>CURRITUCK, NC</v>
          </cell>
        </row>
        <row r="1910">
          <cell r="A1910">
            <v>37055</v>
          </cell>
          <cell r="B1910" t="str">
            <v>DARE, NC</v>
          </cell>
        </row>
        <row r="1911">
          <cell r="A1911">
            <v>37057</v>
          </cell>
          <cell r="B1911" t="str">
            <v>DAVIDSON, NC</v>
          </cell>
        </row>
        <row r="1912">
          <cell r="A1912">
            <v>37059</v>
          </cell>
          <cell r="B1912" t="str">
            <v>DAVIE, NC</v>
          </cell>
        </row>
        <row r="1913">
          <cell r="A1913">
            <v>37061</v>
          </cell>
          <cell r="B1913" t="str">
            <v>DUPLIN, NC</v>
          </cell>
        </row>
        <row r="1914">
          <cell r="A1914">
            <v>37063</v>
          </cell>
          <cell r="B1914" t="str">
            <v>DURHAM, NC</v>
          </cell>
        </row>
        <row r="1915">
          <cell r="A1915">
            <v>37065</v>
          </cell>
          <cell r="B1915" t="str">
            <v>EDGECOMBE, NC</v>
          </cell>
        </row>
        <row r="1916">
          <cell r="A1916">
            <v>37067</v>
          </cell>
          <cell r="B1916" t="str">
            <v>FORSYTH, NC</v>
          </cell>
        </row>
        <row r="1917">
          <cell r="A1917">
            <v>37069</v>
          </cell>
          <cell r="B1917" t="str">
            <v>FRANKLIN, NC</v>
          </cell>
        </row>
        <row r="1918">
          <cell r="A1918">
            <v>37071</v>
          </cell>
          <cell r="B1918" t="str">
            <v>GASTON, NC</v>
          </cell>
        </row>
        <row r="1919">
          <cell r="A1919">
            <v>37073</v>
          </cell>
          <cell r="B1919" t="str">
            <v>GATES, NC</v>
          </cell>
        </row>
        <row r="1920">
          <cell r="A1920">
            <v>37075</v>
          </cell>
          <cell r="B1920" t="str">
            <v>GRAHAM, NC</v>
          </cell>
        </row>
        <row r="1921">
          <cell r="A1921">
            <v>37077</v>
          </cell>
          <cell r="B1921" t="str">
            <v>GRANVILLE, NC</v>
          </cell>
        </row>
        <row r="1922">
          <cell r="A1922">
            <v>37079</v>
          </cell>
          <cell r="B1922" t="str">
            <v>GREENE, NC</v>
          </cell>
        </row>
        <row r="1923">
          <cell r="A1923">
            <v>37081</v>
          </cell>
          <cell r="B1923" t="str">
            <v>GUILFORD, NC</v>
          </cell>
        </row>
        <row r="1924">
          <cell r="A1924">
            <v>37083</v>
          </cell>
          <cell r="B1924" t="str">
            <v>HALIFAX, NC</v>
          </cell>
        </row>
        <row r="1925">
          <cell r="A1925">
            <v>37085</v>
          </cell>
          <cell r="B1925" t="str">
            <v>HARNETT, NC</v>
          </cell>
        </row>
        <row r="1926">
          <cell r="A1926">
            <v>37087</v>
          </cell>
          <cell r="B1926" t="str">
            <v>HAYWOOD, NC</v>
          </cell>
        </row>
        <row r="1927">
          <cell r="A1927">
            <v>37089</v>
          </cell>
          <cell r="B1927" t="str">
            <v>HENDERSON, NC</v>
          </cell>
        </row>
        <row r="1928">
          <cell r="A1928">
            <v>37091</v>
          </cell>
          <cell r="B1928" t="str">
            <v>HERTFORD, NC</v>
          </cell>
        </row>
        <row r="1929">
          <cell r="A1929">
            <v>37093</v>
          </cell>
          <cell r="B1929" t="str">
            <v>HOKE, NC</v>
          </cell>
        </row>
        <row r="1930">
          <cell r="A1930">
            <v>37095</v>
          </cell>
          <cell r="B1930" t="str">
            <v>HYDE, NC</v>
          </cell>
        </row>
        <row r="1931">
          <cell r="A1931">
            <v>37097</v>
          </cell>
          <cell r="B1931" t="str">
            <v>IREDELL, NC</v>
          </cell>
        </row>
        <row r="1932">
          <cell r="A1932">
            <v>37099</v>
          </cell>
          <cell r="B1932" t="str">
            <v>JACKSON, NC</v>
          </cell>
        </row>
        <row r="1933">
          <cell r="A1933">
            <v>37101</v>
          </cell>
          <cell r="B1933" t="str">
            <v>JOHNSTON, NC</v>
          </cell>
        </row>
        <row r="1934">
          <cell r="A1934">
            <v>37103</v>
          </cell>
          <cell r="B1934" t="str">
            <v>JONES, NC</v>
          </cell>
        </row>
        <row r="1935">
          <cell r="A1935">
            <v>37105</v>
          </cell>
          <cell r="B1935" t="str">
            <v>LEE, NC</v>
          </cell>
        </row>
        <row r="1936">
          <cell r="A1936">
            <v>37107</v>
          </cell>
          <cell r="B1936" t="str">
            <v>LENOIR, NC</v>
          </cell>
        </row>
        <row r="1937">
          <cell r="A1937">
            <v>37109</v>
          </cell>
          <cell r="B1937" t="str">
            <v>LINCOLN, NC</v>
          </cell>
        </row>
        <row r="1938">
          <cell r="A1938">
            <v>37111</v>
          </cell>
          <cell r="B1938" t="str">
            <v>MCDOWELL, NC</v>
          </cell>
        </row>
        <row r="1939">
          <cell r="A1939">
            <v>37113</v>
          </cell>
          <cell r="B1939" t="str">
            <v>MACON, NC</v>
          </cell>
        </row>
        <row r="1940">
          <cell r="A1940">
            <v>37115</v>
          </cell>
          <cell r="B1940" t="str">
            <v>MADISON, NC</v>
          </cell>
        </row>
        <row r="1941">
          <cell r="A1941">
            <v>37117</v>
          </cell>
          <cell r="B1941" t="str">
            <v>MARTIN, NC</v>
          </cell>
        </row>
        <row r="1942">
          <cell r="A1942">
            <v>37119</v>
          </cell>
          <cell r="B1942" t="str">
            <v>MECKLENBURG, NC</v>
          </cell>
        </row>
        <row r="1943">
          <cell r="A1943">
            <v>37121</v>
          </cell>
          <cell r="B1943" t="str">
            <v>MITCHELL, NC</v>
          </cell>
        </row>
        <row r="1944">
          <cell r="A1944">
            <v>37123</v>
          </cell>
          <cell r="B1944" t="str">
            <v>MONTGOMERY, NC</v>
          </cell>
        </row>
        <row r="1945">
          <cell r="A1945">
            <v>37125</v>
          </cell>
          <cell r="B1945" t="str">
            <v>MOORE, NC</v>
          </cell>
        </row>
        <row r="1946">
          <cell r="A1946">
            <v>37127</v>
          </cell>
          <cell r="B1946" t="str">
            <v>NASH, NC</v>
          </cell>
        </row>
        <row r="1947">
          <cell r="A1947">
            <v>37129</v>
          </cell>
          <cell r="B1947" t="str">
            <v>NEW HANOVER, NC</v>
          </cell>
        </row>
        <row r="1948">
          <cell r="A1948">
            <v>37131</v>
          </cell>
          <cell r="B1948" t="str">
            <v>NORTHAMPTON, NC</v>
          </cell>
        </row>
        <row r="1949">
          <cell r="A1949">
            <v>37133</v>
          </cell>
          <cell r="B1949" t="str">
            <v>ONSLOW, NC</v>
          </cell>
        </row>
        <row r="1950">
          <cell r="A1950">
            <v>37135</v>
          </cell>
          <cell r="B1950" t="str">
            <v>ORANGE, NC</v>
          </cell>
        </row>
        <row r="1951">
          <cell r="A1951">
            <v>37137</v>
          </cell>
          <cell r="B1951" t="str">
            <v>PAMLICO, NC</v>
          </cell>
        </row>
        <row r="1952">
          <cell r="A1952">
            <v>37139</v>
          </cell>
          <cell r="B1952" t="str">
            <v>PASQUOTANK, NC</v>
          </cell>
        </row>
        <row r="1953">
          <cell r="A1953">
            <v>37141</v>
          </cell>
          <cell r="B1953" t="str">
            <v>PENDER, NC</v>
          </cell>
        </row>
        <row r="1954">
          <cell r="A1954">
            <v>37143</v>
          </cell>
          <cell r="B1954" t="str">
            <v>PERQUIMANS, NC</v>
          </cell>
        </row>
        <row r="1955">
          <cell r="A1955">
            <v>37145</v>
          </cell>
          <cell r="B1955" t="str">
            <v>PERSON, NC</v>
          </cell>
        </row>
        <row r="1956">
          <cell r="A1956">
            <v>37147</v>
          </cell>
          <cell r="B1956" t="str">
            <v>PITT, NC</v>
          </cell>
        </row>
        <row r="1957">
          <cell r="A1957">
            <v>37149</v>
          </cell>
          <cell r="B1957" t="str">
            <v>POLK, NC</v>
          </cell>
        </row>
        <row r="1958">
          <cell r="A1958">
            <v>37151</v>
          </cell>
          <cell r="B1958" t="str">
            <v>RANDOLPH, NC</v>
          </cell>
        </row>
        <row r="1959">
          <cell r="A1959">
            <v>37153</v>
          </cell>
          <cell r="B1959" t="str">
            <v>RICHMOND, NC</v>
          </cell>
        </row>
        <row r="1960">
          <cell r="A1960">
            <v>37155</v>
          </cell>
          <cell r="B1960" t="str">
            <v>ROBESON, NC</v>
          </cell>
        </row>
        <row r="1961">
          <cell r="A1961">
            <v>37157</v>
          </cell>
          <cell r="B1961" t="str">
            <v>ROCKINGHAM, NC</v>
          </cell>
        </row>
        <row r="1962">
          <cell r="A1962">
            <v>37159</v>
          </cell>
          <cell r="B1962" t="str">
            <v>ROWAN, NC</v>
          </cell>
        </row>
        <row r="1963">
          <cell r="A1963">
            <v>37161</v>
          </cell>
          <cell r="B1963" t="str">
            <v>RUTHERFORD, NC</v>
          </cell>
        </row>
        <row r="1964">
          <cell r="A1964">
            <v>37163</v>
          </cell>
          <cell r="B1964" t="str">
            <v>SAMPSON, NC</v>
          </cell>
        </row>
        <row r="1965">
          <cell r="A1965">
            <v>37165</v>
          </cell>
          <cell r="B1965" t="str">
            <v>SCOTLAND, NC</v>
          </cell>
        </row>
        <row r="1966">
          <cell r="A1966">
            <v>37167</v>
          </cell>
          <cell r="B1966" t="str">
            <v>STANLY, NC</v>
          </cell>
        </row>
        <row r="1967">
          <cell r="A1967">
            <v>37169</v>
          </cell>
          <cell r="B1967" t="str">
            <v>STOKES, NC</v>
          </cell>
        </row>
        <row r="1968">
          <cell r="A1968">
            <v>37171</v>
          </cell>
          <cell r="B1968" t="str">
            <v>SURRY, NC</v>
          </cell>
        </row>
        <row r="1969">
          <cell r="A1969">
            <v>37173</v>
          </cell>
          <cell r="B1969" t="str">
            <v>SWAIN, NC</v>
          </cell>
        </row>
        <row r="1970">
          <cell r="A1970">
            <v>37175</v>
          </cell>
          <cell r="B1970" t="str">
            <v>TRANSYLVANIA, NC</v>
          </cell>
        </row>
        <row r="1971">
          <cell r="A1971">
            <v>37177</v>
          </cell>
          <cell r="B1971" t="str">
            <v>TYRRELL, NC</v>
          </cell>
        </row>
        <row r="1972">
          <cell r="A1972">
            <v>37179</v>
          </cell>
          <cell r="B1972" t="str">
            <v>UNION, NC</v>
          </cell>
        </row>
        <row r="1973">
          <cell r="A1973">
            <v>37181</v>
          </cell>
          <cell r="B1973" t="str">
            <v>VANCE, NC</v>
          </cell>
        </row>
        <row r="1974">
          <cell r="A1974">
            <v>37183</v>
          </cell>
          <cell r="B1974" t="str">
            <v>WAKE, NC</v>
          </cell>
        </row>
        <row r="1975">
          <cell r="A1975">
            <v>37185</v>
          </cell>
          <cell r="B1975" t="str">
            <v>WARREN, NC</v>
          </cell>
        </row>
        <row r="1976">
          <cell r="A1976">
            <v>37187</v>
          </cell>
          <cell r="B1976" t="str">
            <v>WASHINGTON, NC</v>
          </cell>
        </row>
        <row r="1977">
          <cell r="A1977">
            <v>37189</v>
          </cell>
          <cell r="B1977" t="str">
            <v>WATAUGA, NC</v>
          </cell>
        </row>
        <row r="1978">
          <cell r="A1978">
            <v>37191</v>
          </cell>
          <cell r="B1978" t="str">
            <v>WAYNE, NC</v>
          </cell>
        </row>
        <row r="1979">
          <cell r="A1979">
            <v>37193</v>
          </cell>
          <cell r="B1979" t="str">
            <v>WILKES, NC</v>
          </cell>
        </row>
        <row r="1980">
          <cell r="A1980">
            <v>37195</v>
          </cell>
          <cell r="B1980" t="str">
            <v>WILSON, NC</v>
          </cell>
        </row>
        <row r="1981">
          <cell r="A1981">
            <v>37197</v>
          </cell>
          <cell r="B1981" t="str">
            <v>YADKIN, NC</v>
          </cell>
        </row>
        <row r="1982">
          <cell r="A1982">
            <v>37199</v>
          </cell>
          <cell r="B1982" t="str">
            <v>YANCEY, NC</v>
          </cell>
        </row>
        <row r="1983">
          <cell r="A1983">
            <v>38001</v>
          </cell>
          <cell r="B1983" t="str">
            <v>ADAMS, ND</v>
          </cell>
        </row>
        <row r="1984">
          <cell r="A1984">
            <v>38003</v>
          </cell>
          <cell r="B1984" t="str">
            <v>BARNES, ND</v>
          </cell>
        </row>
        <row r="1985">
          <cell r="A1985">
            <v>38005</v>
          </cell>
          <cell r="B1985" t="str">
            <v>BENSON, ND</v>
          </cell>
        </row>
        <row r="1986">
          <cell r="A1986">
            <v>38007</v>
          </cell>
          <cell r="B1986" t="str">
            <v>BILLINGS, ND</v>
          </cell>
        </row>
        <row r="1987">
          <cell r="A1987">
            <v>38009</v>
          </cell>
          <cell r="B1987" t="str">
            <v>BOTTINEAU, ND</v>
          </cell>
        </row>
        <row r="1988">
          <cell r="A1988">
            <v>38011</v>
          </cell>
          <cell r="B1988" t="str">
            <v>BOWMAN, ND</v>
          </cell>
        </row>
        <row r="1989">
          <cell r="A1989">
            <v>38013</v>
          </cell>
          <cell r="B1989" t="str">
            <v>BURKE, ND</v>
          </cell>
        </row>
        <row r="1990">
          <cell r="A1990">
            <v>38015</v>
          </cell>
          <cell r="B1990" t="str">
            <v>BURLEIGH, ND</v>
          </cell>
        </row>
        <row r="1991">
          <cell r="A1991">
            <v>38017</v>
          </cell>
          <cell r="B1991" t="str">
            <v>CASS, ND</v>
          </cell>
        </row>
        <row r="1992">
          <cell r="A1992">
            <v>38019</v>
          </cell>
          <cell r="B1992" t="str">
            <v>CAVALIER, ND</v>
          </cell>
        </row>
        <row r="1993">
          <cell r="A1993">
            <v>38021</v>
          </cell>
          <cell r="B1993" t="str">
            <v>DICKEY, ND</v>
          </cell>
        </row>
        <row r="1994">
          <cell r="A1994">
            <v>38023</v>
          </cell>
          <cell r="B1994" t="str">
            <v>DIVIDE, ND</v>
          </cell>
        </row>
        <row r="1995">
          <cell r="A1995">
            <v>38025</v>
          </cell>
          <cell r="B1995" t="str">
            <v>DUNN, ND</v>
          </cell>
        </row>
        <row r="1996">
          <cell r="A1996">
            <v>38027</v>
          </cell>
          <cell r="B1996" t="str">
            <v>EDDY, ND</v>
          </cell>
        </row>
        <row r="1997">
          <cell r="A1997">
            <v>38029</v>
          </cell>
          <cell r="B1997" t="str">
            <v>EMMONS, ND</v>
          </cell>
        </row>
        <row r="1998">
          <cell r="A1998">
            <v>38031</v>
          </cell>
          <cell r="B1998" t="str">
            <v>FOSTER, ND</v>
          </cell>
        </row>
        <row r="1999">
          <cell r="A1999">
            <v>38033</v>
          </cell>
          <cell r="B1999" t="str">
            <v>GOLDEN VALLEY, ND</v>
          </cell>
        </row>
        <row r="2000">
          <cell r="A2000">
            <v>38035</v>
          </cell>
          <cell r="B2000" t="str">
            <v>GRAND FORKS, ND</v>
          </cell>
        </row>
        <row r="2001">
          <cell r="A2001">
            <v>38037</v>
          </cell>
          <cell r="B2001" t="str">
            <v>GRANT, ND</v>
          </cell>
        </row>
        <row r="2002">
          <cell r="A2002">
            <v>38039</v>
          </cell>
          <cell r="B2002" t="str">
            <v>GRIGGS, ND</v>
          </cell>
        </row>
        <row r="2003">
          <cell r="A2003">
            <v>38041</v>
          </cell>
          <cell r="B2003" t="str">
            <v>HETTINGER, ND</v>
          </cell>
        </row>
        <row r="2004">
          <cell r="A2004">
            <v>38043</v>
          </cell>
          <cell r="B2004" t="str">
            <v>KIDDER, ND</v>
          </cell>
        </row>
        <row r="2005">
          <cell r="A2005">
            <v>38045</v>
          </cell>
          <cell r="B2005" t="str">
            <v>LA MOURE, ND</v>
          </cell>
        </row>
        <row r="2006">
          <cell r="A2006">
            <v>38047</v>
          </cell>
          <cell r="B2006" t="str">
            <v>LOGAN, ND</v>
          </cell>
        </row>
        <row r="2007">
          <cell r="A2007">
            <v>38049</v>
          </cell>
          <cell r="B2007" t="str">
            <v>MCHENRY, ND</v>
          </cell>
        </row>
        <row r="2008">
          <cell r="A2008">
            <v>38051</v>
          </cell>
          <cell r="B2008" t="str">
            <v>MCINTOSH, ND</v>
          </cell>
        </row>
        <row r="2009">
          <cell r="A2009">
            <v>38053</v>
          </cell>
          <cell r="B2009" t="str">
            <v>MCKENZIE, ND</v>
          </cell>
        </row>
        <row r="2010">
          <cell r="A2010">
            <v>38055</v>
          </cell>
          <cell r="B2010" t="str">
            <v>MCLEAN, ND</v>
          </cell>
        </row>
        <row r="2011">
          <cell r="A2011">
            <v>38057</v>
          </cell>
          <cell r="B2011" t="str">
            <v>MERCER, ND</v>
          </cell>
        </row>
        <row r="2012">
          <cell r="A2012">
            <v>38059</v>
          </cell>
          <cell r="B2012" t="str">
            <v>MORTON, ND</v>
          </cell>
        </row>
        <row r="2013">
          <cell r="A2013">
            <v>38061</v>
          </cell>
          <cell r="B2013" t="str">
            <v>MOUNTRAIL, ND</v>
          </cell>
        </row>
        <row r="2014">
          <cell r="A2014">
            <v>38063</v>
          </cell>
          <cell r="B2014" t="str">
            <v>NELSON, ND</v>
          </cell>
        </row>
        <row r="2015">
          <cell r="A2015">
            <v>38065</v>
          </cell>
          <cell r="B2015" t="str">
            <v>OLIVER, ND</v>
          </cell>
        </row>
        <row r="2016">
          <cell r="A2016">
            <v>38067</v>
          </cell>
          <cell r="B2016" t="str">
            <v>PEMBINA, ND</v>
          </cell>
        </row>
        <row r="2017">
          <cell r="A2017">
            <v>38069</v>
          </cell>
          <cell r="B2017" t="str">
            <v>PIERCE, ND</v>
          </cell>
        </row>
        <row r="2018">
          <cell r="A2018">
            <v>38071</v>
          </cell>
          <cell r="B2018" t="str">
            <v>RAMSEY, ND</v>
          </cell>
        </row>
        <row r="2019">
          <cell r="A2019">
            <v>38073</v>
          </cell>
          <cell r="B2019" t="str">
            <v>RANSOM, ND</v>
          </cell>
        </row>
        <row r="2020">
          <cell r="A2020">
            <v>38075</v>
          </cell>
          <cell r="B2020" t="str">
            <v>RENVILLE, ND</v>
          </cell>
        </row>
        <row r="2021">
          <cell r="A2021">
            <v>38077</v>
          </cell>
          <cell r="B2021" t="str">
            <v>RICHLAND, ND</v>
          </cell>
        </row>
        <row r="2022">
          <cell r="A2022">
            <v>38079</v>
          </cell>
          <cell r="B2022" t="str">
            <v>ROLETTE, ND</v>
          </cell>
        </row>
        <row r="2023">
          <cell r="A2023">
            <v>38081</v>
          </cell>
          <cell r="B2023" t="str">
            <v>SARGENT, ND</v>
          </cell>
        </row>
        <row r="2024">
          <cell r="A2024">
            <v>38083</v>
          </cell>
          <cell r="B2024" t="str">
            <v>SHERIDAN, ND</v>
          </cell>
        </row>
        <row r="2025">
          <cell r="A2025">
            <v>38085</v>
          </cell>
          <cell r="B2025" t="str">
            <v>SIOUX, ND</v>
          </cell>
        </row>
        <row r="2026">
          <cell r="A2026">
            <v>38087</v>
          </cell>
          <cell r="B2026" t="str">
            <v>SLOPE, ND</v>
          </cell>
        </row>
        <row r="2027">
          <cell r="A2027">
            <v>38089</v>
          </cell>
          <cell r="B2027" t="str">
            <v>STARK, ND</v>
          </cell>
        </row>
        <row r="2028">
          <cell r="A2028">
            <v>38091</v>
          </cell>
          <cell r="B2028" t="str">
            <v>STEELE, ND</v>
          </cell>
        </row>
        <row r="2029">
          <cell r="A2029">
            <v>38093</v>
          </cell>
          <cell r="B2029" t="str">
            <v>STUTSMAN, ND</v>
          </cell>
        </row>
        <row r="2030">
          <cell r="A2030">
            <v>38095</v>
          </cell>
          <cell r="B2030" t="str">
            <v>TOWNER, ND</v>
          </cell>
        </row>
        <row r="2031">
          <cell r="A2031">
            <v>38097</v>
          </cell>
          <cell r="B2031" t="str">
            <v>TRAILL, ND</v>
          </cell>
        </row>
        <row r="2032">
          <cell r="A2032">
            <v>38099</v>
          </cell>
          <cell r="B2032" t="str">
            <v>WALSH, ND</v>
          </cell>
        </row>
        <row r="2033">
          <cell r="A2033">
            <v>38101</v>
          </cell>
          <cell r="B2033" t="str">
            <v>WARD, ND</v>
          </cell>
        </row>
        <row r="2034">
          <cell r="A2034">
            <v>38103</v>
          </cell>
          <cell r="B2034" t="str">
            <v>WELLS, ND</v>
          </cell>
        </row>
        <row r="2035">
          <cell r="A2035">
            <v>38105</v>
          </cell>
          <cell r="B2035" t="str">
            <v>WILLIAMS, ND</v>
          </cell>
        </row>
        <row r="2036">
          <cell r="A2036">
            <v>39001</v>
          </cell>
          <cell r="B2036" t="str">
            <v>ADAMS, OH</v>
          </cell>
        </row>
        <row r="2037">
          <cell r="A2037">
            <v>39003</v>
          </cell>
          <cell r="B2037" t="str">
            <v>ALLEN, OH</v>
          </cell>
        </row>
        <row r="2038">
          <cell r="A2038">
            <v>39005</v>
          </cell>
          <cell r="B2038" t="str">
            <v>ASHLAND, OH</v>
          </cell>
        </row>
        <row r="2039">
          <cell r="A2039">
            <v>39007</v>
          </cell>
          <cell r="B2039" t="str">
            <v>ASHTABULA, OH</v>
          </cell>
        </row>
        <row r="2040">
          <cell r="A2040">
            <v>39009</v>
          </cell>
          <cell r="B2040" t="str">
            <v>ATHENS, OH</v>
          </cell>
        </row>
        <row r="2041">
          <cell r="A2041">
            <v>39011</v>
          </cell>
          <cell r="B2041" t="str">
            <v>AUGLAIZE, OH</v>
          </cell>
        </row>
        <row r="2042">
          <cell r="A2042">
            <v>39013</v>
          </cell>
          <cell r="B2042" t="str">
            <v>BELMONT, OH</v>
          </cell>
        </row>
        <row r="2043">
          <cell r="A2043">
            <v>39015</v>
          </cell>
          <cell r="B2043" t="str">
            <v>BROWN, OH</v>
          </cell>
        </row>
        <row r="2044">
          <cell r="A2044">
            <v>39017</v>
          </cell>
          <cell r="B2044" t="str">
            <v>BUTLER, OH</v>
          </cell>
        </row>
        <row r="2045">
          <cell r="A2045">
            <v>39019</v>
          </cell>
          <cell r="B2045" t="str">
            <v>CARROLL, OH</v>
          </cell>
        </row>
        <row r="2046">
          <cell r="A2046">
            <v>39021</v>
          </cell>
          <cell r="B2046" t="str">
            <v>CHAMPAIGN, OH</v>
          </cell>
        </row>
        <row r="2047">
          <cell r="A2047">
            <v>39023</v>
          </cell>
          <cell r="B2047" t="str">
            <v>CLARK, OH</v>
          </cell>
        </row>
        <row r="2048">
          <cell r="A2048">
            <v>39025</v>
          </cell>
          <cell r="B2048" t="str">
            <v>CLERMONT, OH</v>
          </cell>
        </row>
        <row r="2049">
          <cell r="A2049">
            <v>39027</v>
          </cell>
          <cell r="B2049" t="str">
            <v>CLINTON, OH</v>
          </cell>
        </row>
        <row r="2050">
          <cell r="A2050">
            <v>39029</v>
          </cell>
          <cell r="B2050" t="str">
            <v>COLUMBIANA, OH</v>
          </cell>
        </row>
        <row r="2051">
          <cell r="A2051">
            <v>39031</v>
          </cell>
          <cell r="B2051" t="str">
            <v>COSHOCTON, OH</v>
          </cell>
        </row>
        <row r="2052">
          <cell r="A2052">
            <v>39033</v>
          </cell>
          <cell r="B2052" t="str">
            <v>CRAWFORD, OH</v>
          </cell>
        </row>
        <row r="2053">
          <cell r="A2053">
            <v>39035</v>
          </cell>
          <cell r="B2053" t="str">
            <v>CUYAHOGA, OH</v>
          </cell>
        </row>
        <row r="2054">
          <cell r="A2054">
            <v>39037</v>
          </cell>
          <cell r="B2054" t="str">
            <v>DARKE, OH</v>
          </cell>
        </row>
        <row r="2055">
          <cell r="A2055">
            <v>39039</v>
          </cell>
          <cell r="B2055" t="str">
            <v>DEFIANCE, OH</v>
          </cell>
        </row>
        <row r="2056">
          <cell r="A2056">
            <v>39041</v>
          </cell>
          <cell r="B2056" t="str">
            <v>DELAWARE, OH</v>
          </cell>
        </row>
        <row r="2057">
          <cell r="A2057">
            <v>39043</v>
          </cell>
          <cell r="B2057" t="str">
            <v>ERIE, OH</v>
          </cell>
        </row>
        <row r="2058">
          <cell r="A2058">
            <v>39045</v>
          </cell>
          <cell r="B2058" t="str">
            <v>FAIRFIELD, OH</v>
          </cell>
        </row>
        <row r="2059">
          <cell r="A2059">
            <v>39047</v>
          </cell>
          <cell r="B2059" t="str">
            <v>FAYETTE, OH</v>
          </cell>
        </row>
        <row r="2060">
          <cell r="A2060">
            <v>39049</v>
          </cell>
          <cell r="B2060" t="str">
            <v>FRANKLIN, OH</v>
          </cell>
        </row>
        <row r="2061">
          <cell r="A2061">
            <v>39051</v>
          </cell>
          <cell r="B2061" t="str">
            <v>FULTON, OH</v>
          </cell>
        </row>
        <row r="2062">
          <cell r="A2062">
            <v>39053</v>
          </cell>
          <cell r="B2062" t="str">
            <v>GALLIA, OH</v>
          </cell>
        </row>
        <row r="2063">
          <cell r="A2063">
            <v>39055</v>
          </cell>
          <cell r="B2063" t="str">
            <v>GEAUGA, OH</v>
          </cell>
        </row>
        <row r="2064">
          <cell r="A2064">
            <v>39057</v>
          </cell>
          <cell r="B2064" t="str">
            <v>GREENE, OH</v>
          </cell>
        </row>
        <row r="2065">
          <cell r="A2065">
            <v>39059</v>
          </cell>
          <cell r="B2065" t="str">
            <v>GUERNSEY, OH</v>
          </cell>
        </row>
        <row r="2066">
          <cell r="A2066">
            <v>39061</v>
          </cell>
          <cell r="B2066" t="str">
            <v>HAMILTON, OH</v>
          </cell>
        </row>
        <row r="2067">
          <cell r="A2067">
            <v>39063</v>
          </cell>
          <cell r="B2067" t="str">
            <v>HANCOCK, OH</v>
          </cell>
        </row>
        <row r="2068">
          <cell r="A2068">
            <v>39065</v>
          </cell>
          <cell r="B2068" t="str">
            <v>HARDIN, OH</v>
          </cell>
        </row>
        <row r="2069">
          <cell r="A2069">
            <v>39067</v>
          </cell>
          <cell r="B2069" t="str">
            <v>HARRISON, OH</v>
          </cell>
        </row>
        <row r="2070">
          <cell r="A2070">
            <v>39069</v>
          </cell>
          <cell r="B2070" t="str">
            <v>HENRY, OH</v>
          </cell>
        </row>
        <row r="2071">
          <cell r="A2071">
            <v>39071</v>
          </cell>
          <cell r="B2071" t="str">
            <v>HIGHLAND, OH</v>
          </cell>
        </row>
        <row r="2072">
          <cell r="A2072">
            <v>39073</v>
          </cell>
          <cell r="B2072" t="str">
            <v>HOCKING, OH</v>
          </cell>
        </row>
        <row r="2073">
          <cell r="A2073">
            <v>39075</v>
          </cell>
          <cell r="B2073" t="str">
            <v>HOLMES, OH</v>
          </cell>
        </row>
        <row r="2074">
          <cell r="A2074">
            <v>39077</v>
          </cell>
          <cell r="B2074" t="str">
            <v>HURON, OH</v>
          </cell>
        </row>
        <row r="2075">
          <cell r="A2075">
            <v>39079</v>
          </cell>
          <cell r="B2075" t="str">
            <v>JACKSON, OH</v>
          </cell>
        </row>
        <row r="2076">
          <cell r="A2076">
            <v>39081</v>
          </cell>
          <cell r="B2076" t="str">
            <v>JEFFERSON, OH</v>
          </cell>
        </row>
        <row r="2077">
          <cell r="A2077">
            <v>39083</v>
          </cell>
          <cell r="B2077" t="str">
            <v>KNOX, OH</v>
          </cell>
        </row>
        <row r="2078">
          <cell r="A2078">
            <v>39085</v>
          </cell>
          <cell r="B2078" t="str">
            <v>LAKE, OH</v>
          </cell>
        </row>
        <row r="2079">
          <cell r="A2079">
            <v>39087</v>
          </cell>
          <cell r="B2079" t="str">
            <v>LAWRENCE, OH</v>
          </cell>
        </row>
        <row r="2080">
          <cell r="A2080">
            <v>39089</v>
          </cell>
          <cell r="B2080" t="str">
            <v>LICKING, OH</v>
          </cell>
        </row>
        <row r="2081">
          <cell r="A2081">
            <v>39091</v>
          </cell>
          <cell r="B2081" t="str">
            <v>LOGAN, OH</v>
          </cell>
        </row>
        <row r="2082">
          <cell r="A2082">
            <v>39093</v>
          </cell>
          <cell r="B2082" t="str">
            <v>LORAIN, OH</v>
          </cell>
        </row>
        <row r="2083">
          <cell r="A2083">
            <v>39095</v>
          </cell>
          <cell r="B2083" t="str">
            <v>LUCAS, OH</v>
          </cell>
        </row>
        <row r="2084">
          <cell r="A2084">
            <v>39097</v>
          </cell>
          <cell r="B2084" t="str">
            <v>MADISON, OH</v>
          </cell>
        </row>
        <row r="2085">
          <cell r="A2085">
            <v>39099</v>
          </cell>
          <cell r="B2085" t="str">
            <v>MAHONING, OH</v>
          </cell>
        </row>
        <row r="2086">
          <cell r="A2086">
            <v>39101</v>
          </cell>
          <cell r="B2086" t="str">
            <v>MARION, OH</v>
          </cell>
        </row>
        <row r="2087">
          <cell r="A2087">
            <v>39103</v>
          </cell>
          <cell r="B2087" t="str">
            <v>MEDINA, OH</v>
          </cell>
        </row>
        <row r="2088">
          <cell r="A2088">
            <v>39105</v>
          </cell>
          <cell r="B2088" t="str">
            <v>MEIGS, OH</v>
          </cell>
        </row>
        <row r="2089">
          <cell r="A2089">
            <v>39107</v>
          </cell>
          <cell r="B2089" t="str">
            <v>MERCER, OH</v>
          </cell>
        </row>
        <row r="2090">
          <cell r="A2090">
            <v>39109</v>
          </cell>
          <cell r="B2090" t="str">
            <v>MIAMI, OH</v>
          </cell>
        </row>
        <row r="2091">
          <cell r="A2091">
            <v>39111</v>
          </cell>
          <cell r="B2091" t="str">
            <v>MONROE, OH</v>
          </cell>
        </row>
        <row r="2092">
          <cell r="A2092">
            <v>39113</v>
          </cell>
          <cell r="B2092" t="str">
            <v>MONTGOMERY, OH</v>
          </cell>
        </row>
        <row r="2093">
          <cell r="A2093">
            <v>39115</v>
          </cell>
          <cell r="B2093" t="str">
            <v>MORGAN, OH</v>
          </cell>
        </row>
        <row r="2094">
          <cell r="A2094">
            <v>39117</v>
          </cell>
          <cell r="B2094" t="str">
            <v>MORROW, OH</v>
          </cell>
        </row>
        <row r="2095">
          <cell r="A2095">
            <v>39119</v>
          </cell>
          <cell r="B2095" t="str">
            <v>MUSKINGUM, OH</v>
          </cell>
        </row>
        <row r="2096">
          <cell r="A2096">
            <v>39121</v>
          </cell>
          <cell r="B2096" t="str">
            <v>NOBLE, OH</v>
          </cell>
        </row>
        <row r="2097">
          <cell r="A2097">
            <v>39123</v>
          </cell>
          <cell r="B2097" t="str">
            <v>OTTAWA, OH</v>
          </cell>
        </row>
        <row r="2098">
          <cell r="A2098">
            <v>39125</v>
          </cell>
          <cell r="B2098" t="str">
            <v>PAULDING, OH</v>
          </cell>
        </row>
        <row r="2099">
          <cell r="A2099">
            <v>39127</v>
          </cell>
          <cell r="B2099" t="str">
            <v>PERRY, OH</v>
          </cell>
        </row>
        <row r="2100">
          <cell r="A2100">
            <v>39129</v>
          </cell>
          <cell r="B2100" t="str">
            <v>PICKAWAY, OH</v>
          </cell>
        </row>
        <row r="2101">
          <cell r="A2101">
            <v>39131</v>
          </cell>
          <cell r="B2101" t="str">
            <v>PIKE, OH</v>
          </cell>
        </row>
        <row r="2102">
          <cell r="A2102">
            <v>39133</v>
          </cell>
          <cell r="B2102" t="str">
            <v>PORTAGE, OH</v>
          </cell>
        </row>
        <row r="2103">
          <cell r="A2103">
            <v>39135</v>
          </cell>
          <cell r="B2103" t="str">
            <v>PREBLE, OH</v>
          </cell>
        </row>
        <row r="2104">
          <cell r="A2104">
            <v>39137</v>
          </cell>
          <cell r="B2104" t="str">
            <v>PUTNAM, OH</v>
          </cell>
        </row>
        <row r="2105">
          <cell r="A2105">
            <v>39139</v>
          </cell>
          <cell r="B2105" t="str">
            <v>RICHLAND, OH</v>
          </cell>
        </row>
        <row r="2106">
          <cell r="A2106">
            <v>39141</v>
          </cell>
          <cell r="B2106" t="str">
            <v>ROSS, OH</v>
          </cell>
        </row>
        <row r="2107">
          <cell r="A2107">
            <v>39143</v>
          </cell>
          <cell r="B2107" t="str">
            <v>SANDUSKY, OH</v>
          </cell>
        </row>
        <row r="2108">
          <cell r="A2108">
            <v>39145</v>
          </cell>
          <cell r="B2108" t="str">
            <v>SCIOTO, OH</v>
          </cell>
        </row>
        <row r="2109">
          <cell r="A2109">
            <v>39147</v>
          </cell>
          <cell r="B2109" t="str">
            <v>SENECA, OH</v>
          </cell>
        </row>
        <row r="2110">
          <cell r="A2110">
            <v>39149</v>
          </cell>
          <cell r="B2110" t="str">
            <v>SHELBY, OH</v>
          </cell>
        </row>
        <row r="2111">
          <cell r="A2111">
            <v>39151</v>
          </cell>
          <cell r="B2111" t="str">
            <v>STARK, OH</v>
          </cell>
        </row>
        <row r="2112">
          <cell r="A2112">
            <v>39153</v>
          </cell>
          <cell r="B2112" t="str">
            <v>SUMMIT, OH</v>
          </cell>
        </row>
        <row r="2113">
          <cell r="A2113">
            <v>39155</v>
          </cell>
          <cell r="B2113" t="str">
            <v>TRUMBULL, OH</v>
          </cell>
        </row>
        <row r="2114">
          <cell r="A2114">
            <v>39157</v>
          </cell>
          <cell r="B2114" t="str">
            <v>TUSCARAWAS, OH</v>
          </cell>
        </row>
        <row r="2115">
          <cell r="A2115">
            <v>39159</v>
          </cell>
          <cell r="B2115" t="str">
            <v>UNION, OH</v>
          </cell>
        </row>
        <row r="2116">
          <cell r="A2116">
            <v>39161</v>
          </cell>
          <cell r="B2116" t="str">
            <v>VAN WERT, OH</v>
          </cell>
        </row>
        <row r="2117">
          <cell r="A2117">
            <v>39163</v>
          </cell>
          <cell r="B2117" t="str">
            <v>VINTON, OH</v>
          </cell>
        </row>
        <row r="2118">
          <cell r="A2118">
            <v>39165</v>
          </cell>
          <cell r="B2118" t="str">
            <v>WARREN, OH</v>
          </cell>
        </row>
        <row r="2119">
          <cell r="A2119">
            <v>39167</v>
          </cell>
          <cell r="B2119" t="str">
            <v>WASHINGTON, OH</v>
          </cell>
        </row>
        <row r="2120">
          <cell r="A2120">
            <v>39169</v>
          </cell>
          <cell r="B2120" t="str">
            <v>WAYNE, OH</v>
          </cell>
        </row>
        <row r="2121">
          <cell r="A2121">
            <v>39171</v>
          </cell>
          <cell r="B2121" t="str">
            <v>WILLIAMS, OH</v>
          </cell>
        </row>
        <row r="2122">
          <cell r="A2122">
            <v>39173</v>
          </cell>
          <cell r="B2122" t="str">
            <v>WOOD, OH</v>
          </cell>
        </row>
        <row r="2123">
          <cell r="A2123">
            <v>39175</v>
          </cell>
          <cell r="B2123" t="str">
            <v>WYANDOT, OH</v>
          </cell>
        </row>
        <row r="2124">
          <cell r="A2124">
            <v>40001</v>
          </cell>
          <cell r="B2124" t="str">
            <v>ADAIR, OK</v>
          </cell>
        </row>
        <row r="2125">
          <cell r="A2125">
            <v>40003</v>
          </cell>
          <cell r="B2125" t="str">
            <v>ALFALFA, OK</v>
          </cell>
        </row>
        <row r="2126">
          <cell r="A2126">
            <v>40005</v>
          </cell>
          <cell r="B2126" t="str">
            <v>ATOKA, OK</v>
          </cell>
        </row>
        <row r="2127">
          <cell r="A2127">
            <v>40007</v>
          </cell>
          <cell r="B2127" t="str">
            <v>BEAVER, OK</v>
          </cell>
        </row>
        <row r="2128">
          <cell r="A2128">
            <v>40009</v>
          </cell>
          <cell r="B2128" t="str">
            <v>BECKHAM, OK</v>
          </cell>
        </row>
        <row r="2129">
          <cell r="A2129">
            <v>40011</v>
          </cell>
          <cell r="B2129" t="str">
            <v>BLAINE, OK</v>
          </cell>
        </row>
        <row r="2130">
          <cell r="A2130">
            <v>40013</v>
          </cell>
          <cell r="B2130" t="str">
            <v>BRYAN, OK</v>
          </cell>
        </row>
        <row r="2131">
          <cell r="A2131">
            <v>40015</v>
          </cell>
          <cell r="B2131" t="str">
            <v>CADDO, OK</v>
          </cell>
        </row>
        <row r="2132">
          <cell r="A2132">
            <v>40017</v>
          </cell>
          <cell r="B2132" t="str">
            <v>CANADIAN, OK</v>
          </cell>
        </row>
        <row r="2133">
          <cell r="A2133">
            <v>40019</v>
          </cell>
          <cell r="B2133" t="str">
            <v>CARTER, OK</v>
          </cell>
        </row>
        <row r="2134">
          <cell r="A2134">
            <v>40021</v>
          </cell>
          <cell r="B2134" t="str">
            <v>CHEROKEE, OK</v>
          </cell>
        </row>
        <row r="2135">
          <cell r="A2135">
            <v>40023</v>
          </cell>
          <cell r="B2135" t="str">
            <v>CHOCTAW, OK</v>
          </cell>
        </row>
        <row r="2136">
          <cell r="A2136">
            <v>40025</v>
          </cell>
          <cell r="B2136" t="str">
            <v>CIMARRON, OK</v>
          </cell>
        </row>
        <row r="2137">
          <cell r="A2137">
            <v>40027</v>
          </cell>
          <cell r="B2137" t="str">
            <v>CLEVELAND, OK</v>
          </cell>
        </row>
        <row r="2138">
          <cell r="A2138">
            <v>40029</v>
          </cell>
          <cell r="B2138" t="str">
            <v>COAL, OK</v>
          </cell>
        </row>
        <row r="2139">
          <cell r="A2139">
            <v>40031</v>
          </cell>
          <cell r="B2139" t="str">
            <v>COMANCHE, OK</v>
          </cell>
        </row>
        <row r="2140">
          <cell r="A2140">
            <v>40033</v>
          </cell>
          <cell r="B2140" t="str">
            <v>COTTON, OK</v>
          </cell>
        </row>
        <row r="2141">
          <cell r="A2141">
            <v>40035</v>
          </cell>
          <cell r="B2141" t="str">
            <v>CRAIG, OK</v>
          </cell>
        </row>
        <row r="2142">
          <cell r="A2142">
            <v>40037</v>
          </cell>
          <cell r="B2142" t="str">
            <v>CREEK, OK</v>
          </cell>
        </row>
        <row r="2143">
          <cell r="A2143">
            <v>40039</v>
          </cell>
          <cell r="B2143" t="str">
            <v>CUSTER, OK</v>
          </cell>
        </row>
        <row r="2144">
          <cell r="A2144">
            <v>40041</v>
          </cell>
          <cell r="B2144" t="str">
            <v>DELAWARE, OK</v>
          </cell>
        </row>
        <row r="2145">
          <cell r="A2145">
            <v>40043</v>
          </cell>
          <cell r="B2145" t="str">
            <v>DEWEY, OK</v>
          </cell>
        </row>
        <row r="2146">
          <cell r="A2146">
            <v>40045</v>
          </cell>
          <cell r="B2146" t="str">
            <v>ELLIS, OK</v>
          </cell>
        </row>
        <row r="2147">
          <cell r="A2147">
            <v>40047</v>
          </cell>
          <cell r="B2147" t="str">
            <v>GARFIELD, OK</v>
          </cell>
        </row>
        <row r="2148">
          <cell r="A2148">
            <v>40049</v>
          </cell>
          <cell r="B2148" t="str">
            <v>GARVIN, OK</v>
          </cell>
        </row>
        <row r="2149">
          <cell r="A2149">
            <v>40051</v>
          </cell>
          <cell r="B2149" t="str">
            <v>GRADY, OK</v>
          </cell>
        </row>
        <row r="2150">
          <cell r="A2150">
            <v>40053</v>
          </cell>
          <cell r="B2150" t="str">
            <v>GRANT, OK</v>
          </cell>
        </row>
        <row r="2151">
          <cell r="A2151">
            <v>40055</v>
          </cell>
          <cell r="B2151" t="str">
            <v>GREER, OK</v>
          </cell>
        </row>
        <row r="2152">
          <cell r="A2152">
            <v>40057</v>
          </cell>
          <cell r="B2152" t="str">
            <v>HARMON, OK</v>
          </cell>
        </row>
        <row r="2153">
          <cell r="A2153">
            <v>40059</v>
          </cell>
          <cell r="B2153" t="str">
            <v>HARPER, OK</v>
          </cell>
        </row>
        <row r="2154">
          <cell r="A2154">
            <v>40061</v>
          </cell>
          <cell r="B2154" t="str">
            <v>HASKELL, OK</v>
          </cell>
        </row>
        <row r="2155">
          <cell r="A2155">
            <v>40063</v>
          </cell>
          <cell r="B2155" t="str">
            <v>HUGHES, OK</v>
          </cell>
        </row>
        <row r="2156">
          <cell r="A2156">
            <v>40065</v>
          </cell>
          <cell r="B2156" t="str">
            <v>JACKSON, OK</v>
          </cell>
        </row>
        <row r="2157">
          <cell r="A2157">
            <v>40067</v>
          </cell>
          <cell r="B2157" t="str">
            <v>JEFFERSON, OK</v>
          </cell>
        </row>
        <row r="2158">
          <cell r="A2158">
            <v>40069</v>
          </cell>
          <cell r="B2158" t="str">
            <v>JOHNSTON, OK</v>
          </cell>
        </row>
        <row r="2159">
          <cell r="A2159">
            <v>40071</v>
          </cell>
          <cell r="B2159" t="str">
            <v>KAY, OK</v>
          </cell>
        </row>
        <row r="2160">
          <cell r="A2160">
            <v>40073</v>
          </cell>
          <cell r="B2160" t="str">
            <v>KINGFISHER, OK</v>
          </cell>
        </row>
        <row r="2161">
          <cell r="A2161">
            <v>40075</v>
          </cell>
          <cell r="B2161" t="str">
            <v>KIOWA, OK</v>
          </cell>
        </row>
        <row r="2162">
          <cell r="A2162">
            <v>40077</v>
          </cell>
          <cell r="B2162" t="str">
            <v>LATIMER, OK</v>
          </cell>
        </row>
        <row r="2163">
          <cell r="A2163">
            <v>40079</v>
          </cell>
          <cell r="B2163" t="str">
            <v>LE FLORE, OK</v>
          </cell>
        </row>
        <row r="2164">
          <cell r="A2164">
            <v>40081</v>
          </cell>
          <cell r="B2164" t="str">
            <v>LINCOLN, OK</v>
          </cell>
        </row>
        <row r="2165">
          <cell r="A2165">
            <v>40083</v>
          </cell>
          <cell r="B2165" t="str">
            <v>LOGAN, OK</v>
          </cell>
        </row>
        <row r="2166">
          <cell r="A2166">
            <v>40085</v>
          </cell>
          <cell r="B2166" t="str">
            <v>LOVE, OK</v>
          </cell>
        </row>
        <row r="2167">
          <cell r="A2167">
            <v>40087</v>
          </cell>
          <cell r="B2167" t="str">
            <v>MCCLAIN, OK</v>
          </cell>
        </row>
        <row r="2168">
          <cell r="A2168">
            <v>40089</v>
          </cell>
          <cell r="B2168" t="str">
            <v>MC CURTAIN, OK</v>
          </cell>
        </row>
        <row r="2169">
          <cell r="A2169">
            <v>40091</v>
          </cell>
          <cell r="B2169" t="str">
            <v>MCINTOSH, OK</v>
          </cell>
        </row>
        <row r="2170">
          <cell r="A2170">
            <v>40093</v>
          </cell>
          <cell r="B2170" t="str">
            <v>MAJOR, OK</v>
          </cell>
        </row>
        <row r="2171">
          <cell r="A2171">
            <v>40095</v>
          </cell>
          <cell r="B2171" t="str">
            <v>MARSHALL, OK</v>
          </cell>
        </row>
        <row r="2172">
          <cell r="A2172">
            <v>40097</v>
          </cell>
          <cell r="B2172" t="str">
            <v>MAYES, OK</v>
          </cell>
        </row>
        <row r="2173">
          <cell r="A2173">
            <v>40099</v>
          </cell>
          <cell r="B2173" t="str">
            <v>MURRAY, OK</v>
          </cell>
        </row>
        <row r="2174">
          <cell r="A2174">
            <v>40101</v>
          </cell>
          <cell r="B2174" t="str">
            <v>MUSKOGEE, OK</v>
          </cell>
        </row>
        <row r="2175">
          <cell r="A2175">
            <v>40103</v>
          </cell>
          <cell r="B2175" t="str">
            <v>NOBLE, OK</v>
          </cell>
        </row>
        <row r="2176">
          <cell r="A2176">
            <v>40105</v>
          </cell>
          <cell r="B2176" t="str">
            <v>NOWATA, OK</v>
          </cell>
        </row>
        <row r="2177">
          <cell r="A2177">
            <v>40107</v>
          </cell>
          <cell r="B2177" t="str">
            <v>OKFUSKEE, OK</v>
          </cell>
        </row>
        <row r="2178">
          <cell r="A2178">
            <v>40109</v>
          </cell>
          <cell r="B2178" t="str">
            <v>OKLAHOMA, OK</v>
          </cell>
        </row>
        <row r="2179">
          <cell r="A2179">
            <v>40111</v>
          </cell>
          <cell r="B2179" t="str">
            <v>OKMULGEE, OK</v>
          </cell>
        </row>
        <row r="2180">
          <cell r="A2180">
            <v>40113</v>
          </cell>
          <cell r="B2180" t="str">
            <v>OSAGE, OK</v>
          </cell>
        </row>
        <row r="2181">
          <cell r="A2181">
            <v>40115</v>
          </cell>
          <cell r="B2181" t="str">
            <v>OTTAWA, OK</v>
          </cell>
        </row>
        <row r="2182">
          <cell r="A2182">
            <v>40117</v>
          </cell>
          <cell r="B2182" t="str">
            <v>PAWNEE, OK</v>
          </cell>
        </row>
        <row r="2183">
          <cell r="A2183">
            <v>40119</v>
          </cell>
          <cell r="B2183" t="str">
            <v>PAYNE, OK</v>
          </cell>
        </row>
        <row r="2184">
          <cell r="A2184">
            <v>40121</v>
          </cell>
          <cell r="B2184" t="str">
            <v>PITTSBURG, OK</v>
          </cell>
        </row>
        <row r="2185">
          <cell r="A2185">
            <v>40123</v>
          </cell>
          <cell r="B2185" t="str">
            <v>PONTOTOC, OK</v>
          </cell>
        </row>
        <row r="2186">
          <cell r="A2186">
            <v>40125</v>
          </cell>
          <cell r="B2186" t="str">
            <v>POTTAWATOMIE, OK</v>
          </cell>
        </row>
        <row r="2187">
          <cell r="A2187">
            <v>40127</v>
          </cell>
          <cell r="B2187" t="str">
            <v>PUSHMATAHA, OK</v>
          </cell>
        </row>
        <row r="2188">
          <cell r="A2188">
            <v>40129</v>
          </cell>
          <cell r="B2188" t="str">
            <v>ROGER MILLS, OK</v>
          </cell>
        </row>
        <row r="2189">
          <cell r="A2189">
            <v>40131</v>
          </cell>
          <cell r="B2189" t="str">
            <v>ROGERS, OK</v>
          </cell>
        </row>
        <row r="2190">
          <cell r="A2190">
            <v>40133</v>
          </cell>
          <cell r="B2190" t="str">
            <v>SEMINOLE, OK</v>
          </cell>
        </row>
        <row r="2191">
          <cell r="A2191">
            <v>40135</v>
          </cell>
          <cell r="B2191" t="str">
            <v>SEQUOYAH, OK</v>
          </cell>
        </row>
        <row r="2192">
          <cell r="A2192">
            <v>40137</v>
          </cell>
          <cell r="B2192" t="str">
            <v>STEPHENS, OK</v>
          </cell>
        </row>
        <row r="2193">
          <cell r="A2193">
            <v>40139</v>
          </cell>
          <cell r="B2193" t="str">
            <v>TEXAS, OK</v>
          </cell>
        </row>
        <row r="2194">
          <cell r="A2194">
            <v>40141</v>
          </cell>
          <cell r="B2194" t="str">
            <v>TILLMAN, OK</v>
          </cell>
        </row>
        <row r="2195">
          <cell r="A2195">
            <v>40143</v>
          </cell>
          <cell r="B2195" t="str">
            <v>TULSA, OK</v>
          </cell>
        </row>
        <row r="2196">
          <cell r="A2196">
            <v>40145</v>
          </cell>
          <cell r="B2196" t="str">
            <v>WAGONER, OK</v>
          </cell>
        </row>
        <row r="2197">
          <cell r="A2197">
            <v>40147</v>
          </cell>
          <cell r="B2197" t="str">
            <v>WASHINGTON, OK</v>
          </cell>
        </row>
        <row r="2198">
          <cell r="A2198">
            <v>40149</v>
          </cell>
          <cell r="B2198" t="str">
            <v>WASHITA, OK</v>
          </cell>
        </row>
        <row r="2199">
          <cell r="A2199">
            <v>40151</v>
          </cell>
          <cell r="B2199" t="str">
            <v>WOODS, OK</v>
          </cell>
        </row>
        <row r="2200">
          <cell r="A2200">
            <v>40153</v>
          </cell>
          <cell r="B2200" t="str">
            <v>WOODWARD, OK</v>
          </cell>
        </row>
        <row r="2201">
          <cell r="A2201">
            <v>41001</v>
          </cell>
          <cell r="B2201" t="str">
            <v>BAKER, OR</v>
          </cell>
        </row>
        <row r="2202">
          <cell r="A2202">
            <v>41003</v>
          </cell>
          <cell r="B2202" t="str">
            <v>BENTON, OR</v>
          </cell>
        </row>
        <row r="2203">
          <cell r="A2203">
            <v>41005</v>
          </cell>
          <cell r="B2203" t="str">
            <v>CLACKAMAS, OR</v>
          </cell>
        </row>
        <row r="2204">
          <cell r="A2204">
            <v>41007</v>
          </cell>
          <cell r="B2204" t="str">
            <v>CLATSOP, OR</v>
          </cell>
        </row>
        <row r="2205">
          <cell r="A2205">
            <v>41009</v>
          </cell>
          <cell r="B2205" t="str">
            <v>COLUMBIA, OR</v>
          </cell>
        </row>
        <row r="2206">
          <cell r="A2206">
            <v>41011</v>
          </cell>
          <cell r="B2206" t="str">
            <v>COOS, OR</v>
          </cell>
        </row>
        <row r="2207">
          <cell r="A2207">
            <v>41013</v>
          </cell>
          <cell r="B2207" t="str">
            <v>CROOK, OR</v>
          </cell>
        </row>
        <row r="2208">
          <cell r="A2208">
            <v>41015</v>
          </cell>
          <cell r="B2208" t="str">
            <v>CURRY, OR</v>
          </cell>
        </row>
        <row r="2209">
          <cell r="A2209">
            <v>41017</v>
          </cell>
          <cell r="B2209" t="str">
            <v>DESCHUTES, OR</v>
          </cell>
        </row>
        <row r="2210">
          <cell r="A2210">
            <v>41019</v>
          </cell>
          <cell r="B2210" t="str">
            <v>DOUGLAS, OR</v>
          </cell>
        </row>
        <row r="2211">
          <cell r="A2211">
            <v>41021</v>
          </cell>
          <cell r="B2211" t="str">
            <v>GILLIAM, OR</v>
          </cell>
        </row>
        <row r="2212">
          <cell r="A2212">
            <v>41023</v>
          </cell>
          <cell r="B2212" t="str">
            <v>GRANT, OR</v>
          </cell>
        </row>
        <row r="2213">
          <cell r="A2213">
            <v>41025</v>
          </cell>
          <cell r="B2213" t="str">
            <v>HARNEY, OR</v>
          </cell>
        </row>
        <row r="2214">
          <cell r="A2214">
            <v>41027</v>
          </cell>
          <cell r="B2214" t="str">
            <v>HOOD RIVER, OR</v>
          </cell>
        </row>
        <row r="2215">
          <cell r="A2215">
            <v>41029</v>
          </cell>
          <cell r="B2215" t="str">
            <v>JACKSON, OR</v>
          </cell>
        </row>
        <row r="2216">
          <cell r="A2216">
            <v>41031</v>
          </cell>
          <cell r="B2216" t="str">
            <v>JEFFERSON, OR</v>
          </cell>
        </row>
        <row r="2217">
          <cell r="A2217">
            <v>41033</v>
          </cell>
          <cell r="B2217" t="str">
            <v>JOSEPHINE, OR</v>
          </cell>
        </row>
        <row r="2218">
          <cell r="A2218">
            <v>41035</v>
          </cell>
          <cell r="B2218" t="str">
            <v>KLAMATH, OR</v>
          </cell>
        </row>
        <row r="2219">
          <cell r="A2219">
            <v>41037</v>
          </cell>
          <cell r="B2219" t="str">
            <v>LAKE, OR</v>
          </cell>
        </row>
        <row r="2220">
          <cell r="A2220">
            <v>41039</v>
          </cell>
          <cell r="B2220" t="str">
            <v>LANE, OR</v>
          </cell>
        </row>
        <row r="2221">
          <cell r="A2221">
            <v>41041</v>
          </cell>
          <cell r="B2221" t="str">
            <v>LINCOLN, OR</v>
          </cell>
        </row>
        <row r="2222">
          <cell r="A2222">
            <v>41043</v>
          </cell>
          <cell r="B2222" t="str">
            <v>LINN, OR</v>
          </cell>
        </row>
        <row r="2223">
          <cell r="A2223">
            <v>41045</v>
          </cell>
          <cell r="B2223" t="str">
            <v>MALHEUR, OR</v>
          </cell>
        </row>
        <row r="2224">
          <cell r="A2224">
            <v>41047</v>
          </cell>
          <cell r="B2224" t="str">
            <v>MARION, OR</v>
          </cell>
        </row>
        <row r="2225">
          <cell r="A2225">
            <v>41049</v>
          </cell>
          <cell r="B2225" t="str">
            <v>MORROW, OR</v>
          </cell>
        </row>
        <row r="2226">
          <cell r="A2226">
            <v>41051</v>
          </cell>
          <cell r="B2226" t="str">
            <v>MULTNOMAH, OR</v>
          </cell>
        </row>
        <row r="2227">
          <cell r="A2227">
            <v>41053</v>
          </cell>
          <cell r="B2227" t="str">
            <v>POLK, OR</v>
          </cell>
        </row>
        <row r="2228">
          <cell r="A2228">
            <v>41055</v>
          </cell>
          <cell r="B2228" t="str">
            <v>SHERMAN, OR</v>
          </cell>
        </row>
        <row r="2229">
          <cell r="A2229">
            <v>41057</v>
          </cell>
          <cell r="B2229" t="str">
            <v>TILLAMOOK, OR</v>
          </cell>
        </row>
        <row r="2230">
          <cell r="A2230">
            <v>41059</v>
          </cell>
          <cell r="B2230" t="str">
            <v>UMATILLA, OR</v>
          </cell>
        </row>
        <row r="2231">
          <cell r="A2231">
            <v>41061</v>
          </cell>
          <cell r="B2231" t="str">
            <v>UNION, OR</v>
          </cell>
        </row>
        <row r="2232">
          <cell r="A2232">
            <v>41063</v>
          </cell>
          <cell r="B2232" t="str">
            <v>WALLOWA, OR</v>
          </cell>
        </row>
        <row r="2233">
          <cell r="A2233">
            <v>41065</v>
          </cell>
          <cell r="B2233" t="str">
            <v>WASCO, OR</v>
          </cell>
        </row>
        <row r="2234">
          <cell r="A2234">
            <v>41067</v>
          </cell>
          <cell r="B2234" t="str">
            <v>WASHINGTON, OR</v>
          </cell>
        </row>
        <row r="2235">
          <cell r="A2235">
            <v>41069</v>
          </cell>
          <cell r="B2235" t="str">
            <v>WHEELER, OR</v>
          </cell>
        </row>
        <row r="2236">
          <cell r="A2236">
            <v>41071</v>
          </cell>
          <cell r="B2236" t="str">
            <v>YAMHILL, OR</v>
          </cell>
        </row>
        <row r="2237">
          <cell r="A2237">
            <v>42001</v>
          </cell>
          <cell r="B2237" t="str">
            <v>ADAMS, PA</v>
          </cell>
        </row>
        <row r="2238">
          <cell r="A2238">
            <v>42003</v>
          </cell>
          <cell r="B2238" t="str">
            <v>ALLEGHENY, PA</v>
          </cell>
        </row>
        <row r="2239">
          <cell r="A2239">
            <v>42005</v>
          </cell>
          <cell r="B2239" t="str">
            <v>ARMSTRONG, PA</v>
          </cell>
        </row>
        <row r="2240">
          <cell r="A2240">
            <v>42007</v>
          </cell>
          <cell r="B2240" t="str">
            <v>BEAVER, PA</v>
          </cell>
        </row>
        <row r="2241">
          <cell r="A2241">
            <v>42009</v>
          </cell>
          <cell r="B2241" t="str">
            <v>BEDFORD, PA</v>
          </cell>
        </row>
        <row r="2242">
          <cell r="A2242">
            <v>42011</v>
          </cell>
          <cell r="B2242" t="str">
            <v>BERKS, PA</v>
          </cell>
        </row>
        <row r="2243">
          <cell r="A2243">
            <v>42013</v>
          </cell>
          <cell r="B2243" t="str">
            <v>BLAIR, PA</v>
          </cell>
        </row>
        <row r="2244">
          <cell r="A2244">
            <v>42015</v>
          </cell>
          <cell r="B2244" t="str">
            <v>BRADFORD, PA</v>
          </cell>
        </row>
        <row r="2245">
          <cell r="A2245">
            <v>42017</v>
          </cell>
          <cell r="B2245" t="str">
            <v>BUCKS, PA</v>
          </cell>
        </row>
        <row r="2246">
          <cell r="A2246">
            <v>42019</v>
          </cell>
          <cell r="B2246" t="str">
            <v>BUTLER, PA</v>
          </cell>
        </row>
        <row r="2247">
          <cell r="A2247">
            <v>42021</v>
          </cell>
          <cell r="B2247" t="str">
            <v>CAMBRIA, PA</v>
          </cell>
        </row>
        <row r="2248">
          <cell r="A2248">
            <v>42023</v>
          </cell>
          <cell r="B2248" t="str">
            <v>CAMERON, PA</v>
          </cell>
        </row>
        <row r="2249">
          <cell r="A2249">
            <v>42025</v>
          </cell>
          <cell r="B2249" t="str">
            <v>CARBON, PA</v>
          </cell>
        </row>
        <row r="2250">
          <cell r="A2250">
            <v>42027</v>
          </cell>
          <cell r="B2250" t="str">
            <v>CENTRE, PA</v>
          </cell>
        </row>
        <row r="2251">
          <cell r="A2251">
            <v>42029</v>
          </cell>
          <cell r="B2251" t="str">
            <v>CHESTER, PA</v>
          </cell>
        </row>
        <row r="2252">
          <cell r="A2252">
            <v>42031</v>
          </cell>
          <cell r="B2252" t="str">
            <v>CLARION, PA</v>
          </cell>
        </row>
        <row r="2253">
          <cell r="A2253">
            <v>42033</v>
          </cell>
          <cell r="B2253" t="str">
            <v>CLEARFIELD, PA</v>
          </cell>
        </row>
        <row r="2254">
          <cell r="A2254">
            <v>42035</v>
          </cell>
          <cell r="B2254" t="str">
            <v>CLINTON, PA</v>
          </cell>
        </row>
        <row r="2255">
          <cell r="A2255">
            <v>42037</v>
          </cell>
          <cell r="B2255" t="str">
            <v>COLUMBIA, PA</v>
          </cell>
        </row>
        <row r="2256">
          <cell r="A2256">
            <v>42039</v>
          </cell>
          <cell r="B2256" t="str">
            <v>CRAWFORD, PA</v>
          </cell>
        </row>
        <row r="2257">
          <cell r="A2257">
            <v>42041</v>
          </cell>
          <cell r="B2257" t="str">
            <v>CUMBERLAND, PA</v>
          </cell>
        </row>
        <row r="2258">
          <cell r="A2258">
            <v>42043</v>
          </cell>
          <cell r="B2258" t="str">
            <v>DAUPHIN, PA</v>
          </cell>
        </row>
        <row r="2259">
          <cell r="A2259">
            <v>42045</v>
          </cell>
          <cell r="B2259" t="str">
            <v>DELAWARE, PA</v>
          </cell>
        </row>
        <row r="2260">
          <cell r="A2260">
            <v>42047</v>
          </cell>
          <cell r="B2260" t="str">
            <v>ELK, PA</v>
          </cell>
        </row>
        <row r="2261">
          <cell r="A2261">
            <v>42049</v>
          </cell>
          <cell r="B2261" t="str">
            <v>ERIE, PA</v>
          </cell>
        </row>
        <row r="2262">
          <cell r="A2262">
            <v>42051</v>
          </cell>
          <cell r="B2262" t="str">
            <v>FAYETTE, PA</v>
          </cell>
        </row>
        <row r="2263">
          <cell r="A2263">
            <v>42053</v>
          </cell>
          <cell r="B2263" t="str">
            <v>FOREST, PA</v>
          </cell>
        </row>
        <row r="2264">
          <cell r="A2264">
            <v>42055</v>
          </cell>
          <cell r="B2264" t="str">
            <v>FRANKLIN, PA</v>
          </cell>
        </row>
        <row r="2265">
          <cell r="A2265">
            <v>42057</v>
          </cell>
          <cell r="B2265" t="str">
            <v>FULTON, PA</v>
          </cell>
        </row>
        <row r="2266">
          <cell r="A2266">
            <v>42059</v>
          </cell>
          <cell r="B2266" t="str">
            <v>GREENE, PA</v>
          </cell>
        </row>
        <row r="2267">
          <cell r="A2267">
            <v>42061</v>
          </cell>
          <cell r="B2267" t="str">
            <v>HUNTINGDON, PA</v>
          </cell>
        </row>
        <row r="2268">
          <cell r="A2268">
            <v>42063</v>
          </cell>
          <cell r="B2268" t="str">
            <v>INDIANA, PA</v>
          </cell>
        </row>
        <row r="2269">
          <cell r="A2269">
            <v>42065</v>
          </cell>
          <cell r="B2269" t="str">
            <v>JEFFERSON, PA</v>
          </cell>
        </row>
        <row r="2270">
          <cell r="A2270">
            <v>42067</v>
          </cell>
          <cell r="B2270" t="str">
            <v>JUNIATA, PA</v>
          </cell>
        </row>
        <row r="2271">
          <cell r="A2271">
            <v>42069</v>
          </cell>
          <cell r="B2271" t="str">
            <v>LACKAWANNA, PA</v>
          </cell>
        </row>
        <row r="2272">
          <cell r="A2272">
            <v>42071</v>
          </cell>
          <cell r="B2272" t="str">
            <v>LANCASTER, PA</v>
          </cell>
        </row>
        <row r="2273">
          <cell r="A2273">
            <v>42073</v>
          </cell>
          <cell r="B2273" t="str">
            <v>LAWRENCE, PA</v>
          </cell>
        </row>
        <row r="2274">
          <cell r="A2274">
            <v>42075</v>
          </cell>
          <cell r="B2274" t="str">
            <v>LEBANON, PA</v>
          </cell>
        </row>
        <row r="2275">
          <cell r="A2275">
            <v>42077</v>
          </cell>
          <cell r="B2275" t="str">
            <v>LEHIGH, PA</v>
          </cell>
        </row>
        <row r="2276">
          <cell r="A2276">
            <v>42079</v>
          </cell>
          <cell r="B2276" t="str">
            <v>LUZERNE, PA</v>
          </cell>
        </row>
        <row r="2277">
          <cell r="A2277">
            <v>42081</v>
          </cell>
          <cell r="B2277" t="str">
            <v>LYCOMING, PA</v>
          </cell>
        </row>
        <row r="2278">
          <cell r="A2278">
            <v>42083</v>
          </cell>
          <cell r="B2278" t="str">
            <v>MCKEAN, PA</v>
          </cell>
        </row>
        <row r="2279">
          <cell r="A2279">
            <v>42085</v>
          </cell>
          <cell r="B2279" t="str">
            <v>MERCER, PA</v>
          </cell>
        </row>
        <row r="2280">
          <cell r="A2280">
            <v>42087</v>
          </cell>
          <cell r="B2280" t="str">
            <v>MIFFLIN, PA</v>
          </cell>
        </row>
        <row r="2281">
          <cell r="A2281">
            <v>42089</v>
          </cell>
          <cell r="B2281" t="str">
            <v>MONROE, PA</v>
          </cell>
        </row>
        <row r="2282">
          <cell r="A2282">
            <v>42091</v>
          </cell>
          <cell r="B2282" t="str">
            <v>MONTGOMERY, PA</v>
          </cell>
        </row>
        <row r="2283">
          <cell r="A2283">
            <v>42093</v>
          </cell>
          <cell r="B2283" t="str">
            <v>MONTOUR, PA</v>
          </cell>
        </row>
        <row r="2284">
          <cell r="A2284">
            <v>42095</v>
          </cell>
          <cell r="B2284" t="str">
            <v>NORTHAMPTON, PA</v>
          </cell>
        </row>
        <row r="2285">
          <cell r="A2285">
            <v>42097</v>
          </cell>
          <cell r="B2285" t="str">
            <v>NORTHUMBERLAND, PA</v>
          </cell>
        </row>
        <row r="2286">
          <cell r="A2286">
            <v>42099</v>
          </cell>
          <cell r="B2286" t="str">
            <v>PERRY, PA</v>
          </cell>
        </row>
        <row r="2287">
          <cell r="A2287">
            <v>42101</v>
          </cell>
          <cell r="B2287" t="str">
            <v>PHILADELPHIA, PA</v>
          </cell>
        </row>
        <row r="2288">
          <cell r="A2288">
            <v>42103</v>
          </cell>
          <cell r="B2288" t="str">
            <v>PIKE, PA</v>
          </cell>
        </row>
        <row r="2289">
          <cell r="A2289">
            <v>42105</v>
          </cell>
          <cell r="B2289" t="str">
            <v>POTTER, PA</v>
          </cell>
        </row>
        <row r="2290">
          <cell r="A2290">
            <v>42107</v>
          </cell>
          <cell r="B2290" t="str">
            <v>SCHUYLKILL, PA</v>
          </cell>
        </row>
        <row r="2291">
          <cell r="A2291">
            <v>42109</v>
          </cell>
          <cell r="B2291" t="str">
            <v>SNYDER, PA</v>
          </cell>
        </row>
        <row r="2292">
          <cell r="A2292">
            <v>42111</v>
          </cell>
          <cell r="B2292" t="str">
            <v>SOMERSET, PA</v>
          </cell>
        </row>
        <row r="2293">
          <cell r="A2293">
            <v>42113</v>
          </cell>
          <cell r="B2293" t="str">
            <v>SULLIVAN, PA</v>
          </cell>
        </row>
        <row r="2294">
          <cell r="A2294">
            <v>42115</v>
          </cell>
          <cell r="B2294" t="str">
            <v>SUSQUEHANNA, PA</v>
          </cell>
        </row>
        <row r="2295">
          <cell r="A2295">
            <v>42117</v>
          </cell>
          <cell r="B2295" t="str">
            <v>TIOGA, PA</v>
          </cell>
        </row>
        <row r="2296">
          <cell r="A2296">
            <v>42119</v>
          </cell>
          <cell r="B2296" t="str">
            <v>UNION, PA</v>
          </cell>
        </row>
        <row r="2297">
          <cell r="A2297">
            <v>42121</v>
          </cell>
          <cell r="B2297" t="str">
            <v>VENANGO, PA</v>
          </cell>
        </row>
        <row r="2298">
          <cell r="A2298">
            <v>42123</v>
          </cell>
          <cell r="B2298" t="str">
            <v>WARREN, PA</v>
          </cell>
        </row>
        <row r="2299">
          <cell r="A2299">
            <v>42125</v>
          </cell>
          <cell r="B2299" t="str">
            <v>WASHINGTON, PA</v>
          </cell>
        </row>
        <row r="2300">
          <cell r="A2300">
            <v>42127</v>
          </cell>
          <cell r="B2300" t="str">
            <v>WAYNE, PA</v>
          </cell>
        </row>
        <row r="2301">
          <cell r="A2301">
            <v>42129</v>
          </cell>
          <cell r="B2301" t="str">
            <v>WESTMORELAND, PA</v>
          </cell>
        </row>
        <row r="2302">
          <cell r="A2302">
            <v>42131</v>
          </cell>
          <cell r="B2302" t="str">
            <v>WYOMING, PA</v>
          </cell>
        </row>
        <row r="2303">
          <cell r="A2303">
            <v>42133</v>
          </cell>
          <cell r="B2303" t="str">
            <v>YORK, PA</v>
          </cell>
        </row>
        <row r="2304">
          <cell r="A2304">
            <v>44001</v>
          </cell>
          <cell r="B2304" t="str">
            <v>BRISTOL, RI</v>
          </cell>
        </row>
        <row r="2305">
          <cell r="A2305">
            <v>44003</v>
          </cell>
          <cell r="B2305" t="str">
            <v>KENT, RI</v>
          </cell>
        </row>
        <row r="2306">
          <cell r="A2306">
            <v>44005</v>
          </cell>
          <cell r="B2306" t="str">
            <v>NEWPORT, RI</v>
          </cell>
        </row>
        <row r="2307">
          <cell r="A2307">
            <v>44007</v>
          </cell>
          <cell r="B2307" t="str">
            <v>PROVIDENCE, RI</v>
          </cell>
        </row>
        <row r="2308">
          <cell r="A2308">
            <v>44009</v>
          </cell>
          <cell r="B2308" t="str">
            <v>WASHINGTON, RI</v>
          </cell>
        </row>
        <row r="2309">
          <cell r="A2309">
            <v>45001</v>
          </cell>
          <cell r="B2309" t="str">
            <v>ABBEVILLE, SC</v>
          </cell>
        </row>
        <row r="2310">
          <cell r="A2310">
            <v>45003</v>
          </cell>
          <cell r="B2310" t="str">
            <v>AIKEN, SC</v>
          </cell>
        </row>
        <row r="2311">
          <cell r="A2311">
            <v>45005</v>
          </cell>
          <cell r="B2311" t="str">
            <v>ALLENDALE, SC</v>
          </cell>
        </row>
        <row r="2312">
          <cell r="A2312">
            <v>45007</v>
          </cell>
          <cell r="B2312" t="str">
            <v>ANDERSON, SC</v>
          </cell>
        </row>
        <row r="2313">
          <cell r="A2313">
            <v>45009</v>
          </cell>
          <cell r="B2313" t="str">
            <v>BAMBERG, SC</v>
          </cell>
        </row>
        <row r="2314">
          <cell r="A2314">
            <v>45011</v>
          </cell>
          <cell r="B2314" t="str">
            <v>BARNWELL, SC</v>
          </cell>
        </row>
        <row r="2315">
          <cell r="A2315">
            <v>45013</v>
          </cell>
          <cell r="B2315" t="str">
            <v>BEAUFORT, SC</v>
          </cell>
        </row>
        <row r="2316">
          <cell r="A2316">
            <v>45015</v>
          </cell>
          <cell r="B2316" t="str">
            <v>BERKELEY, SC</v>
          </cell>
        </row>
        <row r="2317">
          <cell r="A2317">
            <v>45017</v>
          </cell>
          <cell r="B2317" t="str">
            <v>CALHOUN, SC</v>
          </cell>
        </row>
        <row r="2318">
          <cell r="A2318">
            <v>45019</v>
          </cell>
          <cell r="B2318" t="str">
            <v>CHARLESTON, SC</v>
          </cell>
        </row>
        <row r="2319">
          <cell r="A2319">
            <v>45021</v>
          </cell>
          <cell r="B2319" t="str">
            <v>CHEROKEE, SC</v>
          </cell>
        </row>
        <row r="2320">
          <cell r="A2320">
            <v>45023</v>
          </cell>
          <cell r="B2320" t="str">
            <v>CHESTER, SC</v>
          </cell>
        </row>
        <row r="2321">
          <cell r="A2321">
            <v>45025</v>
          </cell>
          <cell r="B2321" t="str">
            <v>CHESTERFIELD, SC</v>
          </cell>
        </row>
        <row r="2322">
          <cell r="A2322">
            <v>45027</v>
          </cell>
          <cell r="B2322" t="str">
            <v>CLARENDON, SC</v>
          </cell>
        </row>
        <row r="2323">
          <cell r="A2323">
            <v>45029</v>
          </cell>
          <cell r="B2323" t="str">
            <v>COLLETON, SC</v>
          </cell>
        </row>
        <row r="2324">
          <cell r="A2324">
            <v>45031</v>
          </cell>
          <cell r="B2324" t="str">
            <v>DARLINGTON, SC</v>
          </cell>
        </row>
        <row r="2325">
          <cell r="A2325">
            <v>45033</v>
          </cell>
          <cell r="B2325" t="str">
            <v>DILLON, SC</v>
          </cell>
        </row>
        <row r="2326">
          <cell r="A2326">
            <v>45035</v>
          </cell>
          <cell r="B2326" t="str">
            <v>DORCHESTER, SC</v>
          </cell>
        </row>
        <row r="2327">
          <cell r="A2327">
            <v>45037</v>
          </cell>
          <cell r="B2327" t="str">
            <v>EDGEFIELD, SC</v>
          </cell>
        </row>
        <row r="2328">
          <cell r="A2328">
            <v>45039</v>
          </cell>
          <cell r="B2328" t="str">
            <v>FAIRFIELD, SC</v>
          </cell>
        </row>
        <row r="2329">
          <cell r="A2329">
            <v>45041</v>
          </cell>
          <cell r="B2329" t="str">
            <v>FLORENCE, SC</v>
          </cell>
        </row>
        <row r="2330">
          <cell r="A2330">
            <v>45043</v>
          </cell>
          <cell r="B2330" t="str">
            <v>GEORGETOWN, SC</v>
          </cell>
        </row>
        <row r="2331">
          <cell r="A2331">
            <v>45045</v>
          </cell>
          <cell r="B2331" t="str">
            <v>GREENVILLE, SC</v>
          </cell>
        </row>
        <row r="2332">
          <cell r="A2332">
            <v>45047</v>
          </cell>
          <cell r="B2332" t="str">
            <v>GREENWOOD, SC</v>
          </cell>
        </row>
        <row r="2333">
          <cell r="A2333">
            <v>45049</v>
          </cell>
          <cell r="B2333" t="str">
            <v>HAMPTON, SC</v>
          </cell>
        </row>
        <row r="2334">
          <cell r="A2334">
            <v>45051</v>
          </cell>
          <cell r="B2334" t="str">
            <v>HORRY, SC</v>
          </cell>
        </row>
        <row r="2335">
          <cell r="A2335">
            <v>45053</v>
          </cell>
          <cell r="B2335" t="str">
            <v>JASPER, SC</v>
          </cell>
        </row>
        <row r="2336">
          <cell r="A2336">
            <v>45055</v>
          </cell>
          <cell r="B2336" t="str">
            <v>KERSHAW, SC</v>
          </cell>
        </row>
        <row r="2337">
          <cell r="A2337">
            <v>45057</v>
          </cell>
          <cell r="B2337" t="str">
            <v>LANCASTER, SC</v>
          </cell>
        </row>
        <row r="2338">
          <cell r="A2338">
            <v>45059</v>
          </cell>
          <cell r="B2338" t="str">
            <v>LAURENS, SC</v>
          </cell>
        </row>
        <row r="2339">
          <cell r="A2339">
            <v>45061</v>
          </cell>
          <cell r="B2339" t="str">
            <v>LEE, SC</v>
          </cell>
        </row>
        <row r="2340">
          <cell r="A2340">
            <v>45063</v>
          </cell>
          <cell r="B2340" t="str">
            <v>LEXINGTON, SC</v>
          </cell>
        </row>
        <row r="2341">
          <cell r="A2341">
            <v>45065</v>
          </cell>
          <cell r="B2341" t="str">
            <v>MC CORMICK, SC</v>
          </cell>
        </row>
        <row r="2342">
          <cell r="A2342">
            <v>45067</v>
          </cell>
          <cell r="B2342" t="str">
            <v>MARION, SC</v>
          </cell>
        </row>
        <row r="2343">
          <cell r="A2343">
            <v>45069</v>
          </cell>
          <cell r="B2343" t="str">
            <v>MARLBORO, SC</v>
          </cell>
        </row>
        <row r="2344">
          <cell r="A2344">
            <v>45071</v>
          </cell>
          <cell r="B2344" t="str">
            <v>NEWBERRY, SC</v>
          </cell>
        </row>
        <row r="2345">
          <cell r="A2345">
            <v>45073</v>
          </cell>
          <cell r="B2345" t="str">
            <v>OCONEE, SC</v>
          </cell>
        </row>
        <row r="2346">
          <cell r="A2346">
            <v>45075</v>
          </cell>
          <cell r="B2346" t="str">
            <v>ORANGEBURG, SC</v>
          </cell>
        </row>
        <row r="2347">
          <cell r="A2347">
            <v>45077</v>
          </cell>
          <cell r="B2347" t="str">
            <v>PICKENS, SC</v>
          </cell>
        </row>
        <row r="2348">
          <cell r="A2348">
            <v>45079</v>
          </cell>
          <cell r="B2348" t="str">
            <v>RICHLAND, SC</v>
          </cell>
        </row>
        <row r="2349">
          <cell r="A2349">
            <v>45081</v>
          </cell>
          <cell r="B2349" t="str">
            <v>SALUDA, SC</v>
          </cell>
        </row>
        <row r="2350">
          <cell r="A2350">
            <v>45083</v>
          </cell>
          <cell r="B2350" t="str">
            <v>SPARTANBURG, SC</v>
          </cell>
        </row>
        <row r="2351">
          <cell r="A2351">
            <v>45085</v>
          </cell>
          <cell r="B2351" t="str">
            <v>SUMTER, SC</v>
          </cell>
        </row>
        <row r="2352">
          <cell r="A2352">
            <v>45087</v>
          </cell>
          <cell r="B2352" t="str">
            <v>UNION, SC</v>
          </cell>
        </row>
        <row r="2353">
          <cell r="A2353">
            <v>45089</v>
          </cell>
          <cell r="B2353" t="str">
            <v>WILLIAMSBURG, SC</v>
          </cell>
        </row>
        <row r="2354">
          <cell r="A2354">
            <v>45091</v>
          </cell>
          <cell r="B2354" t="str">
            <v>YORK, SC</v>
          </cell>
        </row>
        <row r="2355">
          <cell r="A2355">
            <v>46003</v>
          </cell>
          <cell r="B2355" t="str">
            <v>AURORA, SD</v>
          </cell>
        </row>
        <row r="2356">
          <cell r="A2356">
            <v>46005</v>
          </cell>
          <cell r="B2356" t="str">
            <v>BEADLE, SD</v>
          </cell>
        </row>
        <row r="2357">
          <cell r="A2357">
            <v>46007</v>
          </cell>
          <cell r="B2357" t="str">
            <v>BENNETT, SD</v>
          </cell>
        </row>
        <row r="2358">
          <cell r="A2358">
            <v>46009</v>
          </cell>
          <cell r="B2358" t="str">
            <v>BON HOMME, SD</v>
          </cell>
        </row>
        <row r="2359">
          <cell r="A2359">
            <v>46011</v>
          </cell>
          <cell r="B2359" t="str">
            <v>BROOKINGS, SD</v>
          </cell>
        </row>
        <row r="2360">
          <cell r="A2360">
            <v>46013</v>
          </cell>
          <cell r="B2360" t="str">
            <v>BROWN, SD</v>
          </cell>
        </row>
        <row r="2361">
          <cell r="A2361">
            <v>46015</v>
          </cell>
          <cell r="B2361" t="str">
            <v>BRULE, SD</v>
          </cell>
        </row>
        <row r="2362">
          <cell r="A2362">
            <v>46017</v>
          </cell>
          <cell r="B2362" t="str">
            <v>BUFFALO, SD</v>
          </cell>
        </row>
        <row r="2363">
          <cell r="A2363">
            <v>46019</v>
          </cell>
          <cell r="B2363" t="str">
            <v>BUTTE, SD</v>
          </cell>
        </row>
        <row r="2364">
          <cell r="A2364">
            <v>46021</v>
          </cell>
          <cell r="B2364" t="str">
            <v>CAMPBELL, SD</v>
          </cell>
        </row>
        <row r="2365">
          <cell r="A2365">
            <v>46023</v>
          </cell>
          <cell r="B2365" t="str">
            <v>CHARLES MIX, SD</v>
          </cell>
        </row>
        <row r="2366">
          <cell r="A2366">
            <v>46025</v>
          </cell>
          <cell r="B2366" t="str">
            <v>CLARK, SD</v>
          </cell>
        </row>
        <row r="2367">
          <cell r="A2367">
            <v>46027</v>
          </cell>
          <cell r="B2367" t="str">
            <v>CLAY, SD</v>
          </cell>
        </row>
        <row r="2368">
          <cell r="A2368">
            <v>46029</v>
          </cell>
          <cell r="B2368" t="str">
            <v>CODINGTON, SD</v>
          </cell>
        </row>
        <row r="2369">
          <cell r="A2369">
            <v>46031</v>
          </cell>
          <cell r="B2369" t="str">
            <v>CORSON, SD</v>
          </cell>
        </row>
        <row r="2370">
          <cell r="A2370">
            <v>46033</v>
          </cell>
          <cell r="B2370" t="str">
            <v>CUSTER, SD</v>
          </cell>
        </row>
        <row r="2371">
          <cell r="A2371">
            <v>46035</v>
          </cell>
          <cell r="B2371" t="str">
            <v>DAVISON, SD</v>
          </cell>
        </row>
        <row r="2372">
          <cell r="A2372">
            <v>46037</v>
          </cell>
          <cell r="B2372" t="str">
            <v>DAY, SD</v>
          </cell>
        </row>
        <row r="2373">
          <cell r="A2373">
            <v>46039</v>
          </cell>
          <cell r="B2373" t="str">
            <v>DEUEL, SD</v>
          </cell>
        </row>
        <row r="2374">
          <cell r="A2374">
            <v>46041</v>
          </cell>
          <cell r="B2374" t="str">
            <v>DEWEY, SD</v>
          </cell>
        </row>
        <row r="2375">
          <cell r="A2375">
            <v>46043</v>
          </cell>
          <cell r="B2375" t="str">
            <v>DOUGLAS, SD</v>
          </cell>
        </row>
        <row r="2376">
          <cell r="A2376">
            <v>46045</v>
          </cell>
          <cell r="B2376" t="str">
            <v>EDMUNDS, SD</v>
          </cell>
        </row>
        <row r="2377">
          <cell r="A2377">
            <v>46047</v>
          </cell>
          <cell r="B2377" t="str">
            <v>FALL RIVER, SD</v>
          </cell>
        </row>
        <row r="2378">
          <cell r="A2378">
            <v>46049</v>
          </cell>
          <cell r="B2378" t="str">
            <v>FAULK, SD</v>
          </cell>
        </row>
        <row r="2379">
          <cell r="A2379">
            <v>46051</v>
          </cell>
          <cell r="B2379" t="str">
            <v>GRANT, SD</v>
          </cell>
        </row>
        <row r="2380">
          <cell r="A2380">
            <v>46053</v>
          </cell>
          <cell r="B2380" t="str">
            <v>GREGORY, SD</v>
          </cell>
        </row>
        <row r="2381">
          <cell r="A2381">
            <v>46055</v>
          </cell>
          <cell r="B2381" t="str">
            <v>HAAKON, SD</v>
          </cell>
        </row>
        <row r="2382">
          <cell r="A2382">
            <v>46057</v>
          </cell>
          <cell r="B2382" t="str">
            <v>HAMLIN, SD</v>
          </cell>
        </row>
        <row r="2383">
          <cell r="A2383">
            <v>46059</v>
          </cell>
          <cell r="B2383" t="str">
            <v>HAND, SD</v>
          </cell>
        </row>
        <row r="2384">
          <cell r="A2384">
            <v>46061</v>
          </cell>
          <cell r="B2384" t="str">
            <v>HANSON, SD</v>
          </cell>
        </row>
        <row r="2385">
          <cell r="A2385">
            <v>46063</v>
          </cell>
          <cell r="B2385" t="str">
            <v>HARDING, SD</v>
          </cell>
        </row>
        <row r="2386">
          <cell r="A2386">
            <v>46065</v>
          </cell>
          <cell r="B2386" t="str">
            <v>HUGHES, SD</v>
          </cell>
        </row>
        <row r="2387">
          <cell r="A2387">
            <v>46067</v>
          </cell>
          <cell r="B2387" t="str">
            <v>HUTCHINSON, SD</v>
          </cell>
        </row>
        <row r="2388">
          <cell r="A2388">
            <v>46069</v>
          </cell>
          <cell r="B2388" t="str">
            <v>HYDE, SD</v>
          </cell>
        </row>
        <row r="2389">
          <cell r="A2389">
            <v>46071</v>
          </cell>
          <cell r="B2389" t="str">
            <v>JACKSON, SD</v>
          </cell>
        </row>
        <row r="2390">
          <cell r="A2390">
            <v>46073</v>
          </cell>
          <cell r="B2390" t="str">
            <v>JERAULD, SD</v>
          </cell>
        </row>
        <row r="2391">
          <cell r="A2391">
            <v>46075</v>
          </cell>
          <cell r="B2391" t="str">
            <v>JONES, SD</v>
          </cell>
        </row>
        <row r="2392">
          <cell r="A2392">
            <v>46077</v>
          </cell>
          <cell r="B2392" t="str">
            <v>KINGSBURY, SD</v>
          </cell>
        </row>
        <row r="2393">
          <cell r="A2393">
            <v>46079</v>
          </cell>
          <cell r="B2393" t="str">
            <v>LAKE, SD</v>
          </cell>
        </row>
        <row r="2394">
          <cell r="A2394">
            <v>46081</v>
          </cell>
          <cell r="B2394" t="str">
            <v>LAWRENCE, SD</v>
          </cell>
        </row>
        <row r="2395">
          <cell r="A2395">
            <v>46083</v>
          </cell>
          <cell r="B2395" t="str">
            <v>LINCOLN, SD</v>
          </cell>
        </row>
        <row r="2396">
          <cell r="A2396">
            <v>46085</v>
          </cell>
          <cell r="B2396" t="str">
            <v>LYMAN, SD</v>
          </cell>
        </row>
        <row r="2397">
          <cell r="A2397">
            <v>46087</v>
          </cell>
          <cell r="B2397" t="str">
            <v>MCCOOK, SD</v>
          </cell>
        </row>
        <row r="2398">
          <cell r="A2398">
            <v>46089</v>
          </cell>
          <cell r="B2398" t="str">
            <v>MC PHERSON, SD</v>
          </cell>
        </row>
        <row r="2399">
          <cell r="A2399">
            <v>46091</v>
          </cell>
          <cell r="B2399" t="str">
            <v>MARSHALL, SD</v>
          </cell>
        </row>
        <row r="2400">
          <cell r="A2400">
            <v>46093</v>
          </cell>
          <cell r="B2400" t="str">
            <v>MEADE, SD</v>
          </cell>
        </row>
        <row r="2401">
          <cell r="A2401">
            <v>46095</v>
          </cell>
          <cell r="B2401" t="str">
            <v>MELLETTE, SD</v>
          </cell>
        </row>
        <row r="2402">
          <cell r="A2402">
            <v>46097</v>
          </cell>
          <cell r="B2402" t="str">
            <v>MINER, SD</v>
          </cell>
        </row>
        <row r="2403">
          <cell r="A2403">
            <v>46099</v>
          </cell>
          <cell r="B2403" t="str">
            <v>MINNEHAHA, SD</v>
          </cell>
        </row>
        <row r="2404">
          <cell r="A2404">
            <v>46101</v>
          </cell>
          <cell r="B2404" t="str">
            <v>MOODY, SD</v>
          </cell>
        </row>
        <row r="2405">
          <cell r="A2405">
            <v>46103</v>
          </cell>
          <cell r="B2405" t="str">
            <v>PENNINGTON, SD</v>
          </cell>
        </row>
        <row r="2406">
          <cell r="A2406">
            <v>46105</v>
          </cell>
          <cell r="B2406" t="str">
            <v>PERKINS, SD</v>
          </cell>
        </row>
        <row r="2407">
          <cell r="A2407">
            <v>46107</v>
          </cell>
          <cell r="B2407" t="str">
            <v>POTTER, SD</v>
          </cell>
        </row>
        <row r="2408">
          <cell r="A2408">
            <v>46109</v>
          </cell>
          <cell r="B2408" t="str">
            <v>ROBERTS, SD</v>
          </cell>
        </row>
        <row r="2409">
          <cell r="A2409">
            <v>46111</v>
          </cell>
          <cell r="B2409" t="str">
            <v>SANBORN, SD</v>
          </cell>
        </row>
        <row r="2410">
          <cell r="A2410">
            <v>46113</v>
          </cell>
          <cell r="B2410" t="str">
            <v>SHANNON, SD</v>
          </cell>
        </row>
        <row r="2411">
          <cell r="A2411">
            <v>46115</v>
          </cell>
          <cell r="B2411" t="str">
            <v>SPINK, SD</v>
          </cell>
        </row>
        <row r="2412">
          <cell r="A2412">
            <v>46117</v>
          </cell>
          <cell r="B2412" t="str">
            <v>STANLEY, SD</v>
          </cell>
        </row>
        <row r="2413">
          <cell r="A2413">
            <v>46119</v>
          </cell>
          <cell r="B2413" t="str">
            <v>SULLY, SD</v>
          </cell>
        </row>
        <row r="2414">
          <cell r="A2414">
            <v>46121</v>
          </cell>
          <cell r="B2414" t="str">
            <v>TODD, SD</v>
          </cell>
        </row>
        <row r="2415">
          <cell r="A2415">
            <v>46123</v>
          </cell>
          <cell r="B2415" t="str">
            <v>TRIPP, SD</v>
          </cell>
        </row>
        <row r="2416">
          <cell r="A2416">
            <v>46125</v>
          </cell>
          <cell r="B2416" t="str">
            <v>TURNER, SD</v>
          </cell>
        </row>
        <row r="2417">
          <cell r="A2417">
            <v>46127</v>
          </cell>
          <cell r="B2417" t="str">
            <v>UNION, SD</v>
          </cell>
        </row>
        <row r="2418">
          <cell r="A2418">
            <v>46129</v>
          </cell>
          <cell r="B2418" t="str">
            <v>WALWORTH, SD</v>
          </cell>
        </row>
        <row r="2419">
          <cell r="A2419">
            <v>46135</v>
          </cell>
          <cell r="B2419" t="str">
            <v>YANKTON, SD</v>
          </cell>
        </row>
        <row r="2420">
          <cell r="A2420">
            <v>46137</v>
          </cell>
          <cell r="B2420" t="str">
            <v>ZIEBACH, SD</v>
          </cell>
        </row>
        <row r="2421">
          <cell r="A2421">
            <v>47001</v>
          </cell>
          <cell r="B2421" t="str">
            <v>ANDERSON, TN</v>
          </cell>
        </row>
        <row r="2422">
          <cell r="A2422">
            <v>47003</v>
          </cell>
          <cell r="B2422" t="str">
            <v>BEDFORD, TN</v>
          </cell>
        </row>
        <row r="2423">
          <cell r="A2423">
            <v>47005</v>
          </cell>
          <cell r="B2423" t="str">
            <v>BENTON, TN</v>
          </cell>
        </row>
        <row r="2424">
          <cell r="A2424">
            <v>47007</v>
          </cell>
          <cell r="B2424" t="str">
            <v>BLEDSOE, TN</v>
          </cell>
        </row>
        <row r="2425">
          <cell r="A2425">
            <v>47009</v>
          </cell>
          <cell r="B2425" t="str">
            <v>BLOUNT, TN</v>
          </cell>
        </row>
        <row r="2426">
          <cell r="A2426">
            <v>47011</v>
          </cell>
          <cell r="B2426" t="str">
            <v>BRADLEY, TN</v>
          </cell>
        </row>
        <row r="2427">
          <cell r="A2427">
            <v>47013</v>
          </cell>
          <cell r="B2427" t="str">
            <v>CAMPBELL, TN</v>
          </cell>
        </row>
        <row r="2428">
          <cell r="A2428">
            <v>47015</v>
          </cell>
          <cell r="B2428" t="str">
            <v>CANNON, TN</v>
          </cell>
        </row>
        <row r="2429">
          <cell r="A2429">
            <v>47017</v>
          </cell>
          <cell r="B2429" t="str">
            <v>CARROLL, TN</v>
          </cell>
        </row>
        <row r="2430">
          <cell r="A2430">
            <v>47019</v>
          </cell>
          <cell r="B2430" t="str">
            <v>CARTER, TN</v>
          </cell>
        </row>
        <row r="2431">
          <cell r="A2431">
            <v>47021</v>
          </cell>
          <cell r="B2431" t="str">
            <v>CHEATHAM, TN</v>
          </cell>
        </row>
        <row r="2432">
          <cell r="A2432">
            <v>47023</v>
          </cell>
          <cell r="B2432" t="str">
            <v>CHESTER, TN</v>
          </cell>
        </row>
        <row r="2433">
          <cell r="A2433">
            <v>47025</v>
          </cell>
          <cell r="B2433" t="str">
            <v>CLAIBORNE, TN</v>
          </cell>
        </row>
        <row r="2434">
          <cell r="A2434">
            <v>47027</v>
          </cell>
          <cell r="B2434" t="str">
            <v>CLAY, TN</v>
          </cell>
        </row>
        <row r="2435">
          <cell r="A2435">
            <v>47029</v>
          </cell>
          <cell r="B2435" t="str">
            <v>COCKE, TN</v>
          </cell>
        </row>
        <row r="2436">
          <cell r="A2436">
            <v>47031</v>
          </cell>
          <cell r="B2436" t="str">
            <v>COFFEE, TN</v>
          </cell>
        </row>
        <row r="2437">
          <cell r="A2437">
            <v>47033</v>
          </cell>
          <cell r="B2437" t="str">
            <v>CROCKETT, TN</v>
          </cell>
        </row>
        <row r="2438">
          <cell r="A2438">
            <v>47035</v>
          </cell>
          <cell r="B2438" t="str">
            <v>CUMBERLAND, TN</v>
          </cell>
        </row>
        <row r="2439">
          <cell r="A2439">
            <v>47037</v>
          </cell>
          <cell r="B2439" t="str">
            <v>DAVIDSON, TN</v>
          </cell>
        </row>
        <row r="2440">
          <cell r="A2440">
            <v>47039</v>
          </cell>
          <cell r="B2440" t="str">
            <v>DECATUR, TN</v>
          </cell>
        </row>
        <row r="2441">
          <cell r="A2441">
            <v>47041</v>
          </cell>
          <cell r="B2441" t="str">
            <v>DEKALB, TN</v>
          </cell>
        </row>
        <row r="2442">
          <cell r="A2442">
            <v>47043</v>
          </cell>
          <cell r="B2442" t="str">
            <v>DICKSON, TN</v>
          </cell>
        </row>
        <row r="2443">
          <cell r="A2443">
            <v>47045</v>
          </cell>
          <cell r="B2443" t="str">
            <v>DYER, TN</v>
          </cell>
        </row>
        <row r="2444">
          <cell r="A2444">
            <v>47047</v>
          </cell>
          <cell r="B2444" t="str">
            <v>FAYETTE, TN</v>
          </cell>
        </row>
        <row r="2445">
          <cell r="A2445">
            <v>47049</v>
          </cell>
          <cell r="B2445" t="str">
            <v>FENTRESS, TN</v>
          </cell>
        </row>
        <row r="2446">
          <cell r="A2446">
            <v>47051</v>
          </cell>
          <cell r="B2446" t="str">
            <v>FRANKLIN, TN</v>
          </cell>
        </row>
        <row r="2447">
          <cell r="A2447">
            <v>47053</v>
          </cell>
          <cell r="B2447" t="str">
            <v>GIBSON, TN</v>
          </cell>
        </row>
        <row r="2448">
          <cell r="A2448">
            <v>47055</v>
          </cell>
          <cell r="B2448" t="str">
            <v>GILES, TN</v>
          </cell>
        </row>
        <row r="2449">
          <cell r="A2449">
            <v>47057</v>
          </cell>
          <cell r="B2449" t="str">
            <v>GRAINGER, TN</v>
          </cell>
        </row>
        <row r="2450">
          <cell r="A2450">
            <v>47059</v>
          </cell>
          <cell r="B2450" t="str">
            <v>GREENE, TN</v>
          </cell>
        </row>
        <row r="2451">
          <cell r="A2451">
            <v>47061</v>
          </cell>
          <cell r="B2451" t="str">
            <v>GRUNDY, TN</v>
          </cell>
        </row>
        <row r="2452">
          <cell r="A2452">
            <v>47063</v>
          </cell>
          <cell r="B2452" t="str">
            <v>HAMBLEN, TN</v>
          </cell>
        </row>
        <row r="2453">
          <cell r="A2453">
            <v>47065</v>
          </cell>
          <cell r="B2453" t="str">
            <v>HAMILTON, TN</v>
          </cell>
        </row>
        <row r="2454">
          <cell r="A2454">
            <v>47067</v>
          </cell>
          <cell r="B2454" t="str">
            <v>HANCOCK, TN</v>
          </cell>
        </row>
        <row r="2455">
          <cell r="A2455">
            <v>47069</v>
          </cell>
          <cell r="B2455" t="str">
            <v>HARDEMAN, TN</v>
          </cell>
        </row>
        <row r="2456">
          <cell r="A2456">
            <v>47071</v>
          </cell>
          <cell r="B2456" t="str">
            <v>HARDIN, TN</v>
          </cell>
        </row>
        <row r="2457">
          <cell r="A2457">
            <v>47073</v>
          </cell>
          <cell r="B2457" t="str">
            <v>HAWKINS, TN</v>
          </cell>
        </row>
        <row r="2458">
          <cell r="A2458">
            <v>47075</v>
          </cell>
          <cell r="B2458" t="str">
            <v>HAYWOOD, TN</v>
          </cell>
        </row>
        <row r="2459">
          <cell r="A2459">
            <v>47077</v>
          </cell>
          <cell r="B2459" t="str">
            <v>HENDERSON, TN</v>
          </cell>
        </row>
        <row r="2460">
          <cell r="A2460">
            <v>47079</v>
          </cell>
          <cell r="B2460" t="str">
            <v>HENRY, TN</v>
          </cell>
        </row>
        <row r="2461">
          <cell r="A2461">
            <v>47081</v>
          </cell>
          <cell r="B2461" t="str">
            <v>HICKMAN, TN</v>
          </cell>
        </row>
        <row r="2462">
          <cell r="A2462">
            <v>47083</v>
          </cell>
          <cell r="B2462" t="str">
            <v>HOUSTON, TN</v>
          </cell>
        </row>
        <row r="2463">
          <cell r="A2463">
            <v>47085</v>
          </cell>
          <cell r="B2463" t="str">
            <v>HUMPHREYS, TN</v>
          </cell>
        </row>
        <row r="2464">
          <cell r="A2464">
            <v>47087</v>
          </cell>
          <cell r="B2464" t="str">
            <v>JACKSON, TN</v>
          </cell>
        </row>
        <row r="2465">
          <cell r="A2465">
            <v>47089</v>
          </cell>
          <cell r="B2465" t="str">
            <v>JEFFERSON, TN</v>
          </cell>
        </row>
        <row r="2466">
          <cell r="A2466">
            <v>47091</v>
          </cell>
          <cell r="B2466" t="str">
            <v>JOHNSON, TN</v>
          </cell>
        </row>
        <row r="2467">
          <cell r="A2467">
            <v>47093</v>
          </cell>
          <cell r="B2467" t="str">
            <v>KNOX, TN</v>
          </cell>
        </row>
        <row r="2468">
          <cell r="A2468">
            <v>47095</v>
          </cell>
          <cell r="B2468" t="str">
            <v>LAKE, TN</v>
          </cell>
        </row>
        <row r="2469">
          <cell r="A2469">
            <v>47097</v>
          </cell>
          <cell r="B2469" t="str">
            <v>LAUDERDALE, TN</v>
          </cell>
        </row>
        <row r="2470">
          <cell r="A2470">
            <v>47099</v>
          </cell>
          <cell r="B2470" t="str">
            <v>LAWRENCE, TN</v>
          </cell>
        </row>
        <row r="2471">
          <cell r="A2471">
            <v>47101</v>
          </cell>
          <cell r="B2471" t="str">
            <v>LEWIS, TN</v>
          </cell>
        </row>
        <row r="2472">
          <cell r="A2472">
            <v>47103</v>
          </cell>
          <cell r="B2472" t="str">
            <v>LINCOLN, TN</v>
          </cell>
        </row>
        <row r="2473">
          <cell r="A2473">
            <v>47105</v>
          </cell>
          <cell r="B2473" t="str">
            <v>LOUDON, TN</v>
          </cell>
        </row>
        <row r="2474">
          <cell r="A2474">
            <v>47107</v>
          </cell>
          <cell r="B2474" t="str">
            <v>MCMINN, TN</v>
          </cell>
        </row>
        <row r="2475">
          <cell r="A2475">
            <v>47109</v>
          </cell>
          <cell r="B2475" t="str">
            <v>MCNAIRY, TN</v>
          </cell>
        </row>
        <row r="2476">
          <cell r="A2476">
            <v>47111</v>
          </cell>
          <cell r="B2476" t="str">
            <v>MACON, TN</v>
          </cell>
        </row>
        <row r="2477">
          <cell r="A2477">
            <v>47113</v>
          </cell>
          <cell r="B2477" t="str">
            <v>MADISON, TN</v>
          </cell>
        </row>
        <row r="2478">
          <cell r="A2478">
            <v>47115</v>
          </cell>
          <cell r="B2478" t="str">
            <v>MARION, TN</v>
          </cell>
        </row>
        <row r="2479">
          <cell r="A2479">
            <v>47117</v>
          </cell>
          <cell r="B2479" t="str">
            <v>MARSHALL, TN</v>
          </cell>
        </row>
        <row r="2480">
          <cell r="A2480">
            <v>47119</v>
          </cell>
          <cell r="B2480" t="str">
            <v>MAURY, TN</v>
          </cell>
        </row>
        <row r="2481">
          <cell r="A2481">
            <v>47121</v>
          </cell>
          <cell r="B2481" t="str">
            <v>MEIGS, TN</v>
          </cell>
        </row>
        <row r="2482">
          <cell r="A2482">
            <v>47123</v>
          </cell>
          <cell r="B2482" t="str">
            <v>MONROE, TN</v>
          </cell>
        </row>
        <row r="2483">
          <cell r="A2483">
            <v>47125</v>
          </cell>
          <cell r="B2483" t="str">
            <v>MONTGOMERY, TN</v>
          </cell>
        </row>
        <row r="2484">
          <cell r="A2484">
            <v>47127</v>
          </cell>
          <cell r="B2484" t="str">
            <v>MOORE, TN</v>
          </cell>
        </row>
        <row r="2485">
          <cell r="A2485">
            <v>47129</v>
          </cell>
          <cell r="B2485" t="str">
            <v>MORGAN, TN</v>
          </cell>
        </row>
        <row r="2486">
          <cell r="A2486">
            <v>47131</v>
          </cell>
          <cell r="B2486" t="str">
            <v>OBION, TN</v>
          </cell>
        </row>
        <row r="2487">
          <cell r="A2487">
            <v>47133</v>
          </cell>
          <cell r="B2487" t="str">
            <v>OVERTON, TN</v>
          </cell>
        </row>
        <row r="2488">
          <cell r="A2488">
            <v>47135</v>
          </cell>
          <cell r="B2488" t="str">
            <v>PERRY, TN</v>
          </cell>
        </row>
        <row r="2489">
          <cell r="A2489">
            <v>47137</v>
          </cell>
          <cell r="B2489" t="str">
            <v>PICKETT, TN</v>
          </cell>
        </row>
        <row r="2490">
          <cell r="A2490">
            <v>47139</v>
          </cell>
          <cell r="B2490" t="str">
            <v>POLK, TN</v>
          </cell>
        </row>
        <row r="2491">
          <cell r="A2491">
            <v>47141</v>
          </cell>
          <cell r="B2491" t="str">
            <v>PUTNAM, TN</v>
          </cell>
        </row>
        <row r="2492">
          <cell r="A2492">
            <v>47143</v>
          </cell>
          <cell r="B2492" t="str">
            <v>RHEA, TN</v>
          </cell>
        </row>
        <row r="2493">
          <cell r="A2493">
            <v>47145</v>
          </cell>
          <cell r="B2493" t="str">
            <v>ROANE, TN</v>
          </cell>
        </row>
        <row r="2494">
          <cell r="A2494">
            <v>47147</v>
          </cell>
          <cell r="B2494" t="str">
            <v>ROBERTSON, TN</v>
          </cell>
        </row>
        <row r="2495">
          <cell r="A2495">
            <v>47149</v>
          </cell>
          <cell r="B2495" t="str">
            <v>RUTHERFORD, TN</v>
          </cell>
        </row>
        <row r="2496">
          <cell r="A2496">
            <v>47151</v>
          </cell>
          <cell r="B2496" t="str">
            <v>SCOTT, TN</v>
          </cell>
        </row>
        <row r="2497">
          <cell r="A2497">
            <v>47153</v>
          </cell>
          <cell r="B2497" t="str">
            <v>SEQUATCHIE, TN</v>
          </cell>
        </row>
        <row r="2498">
          <cell r="A2498">
            <v>47155</v>
          </cell>
          <cell r="B2498" t="str">
            <v>SEVIER, TN</v>
          </cell>
        </row>
        <row r="2499">
          <cell r="A2499">
            <v>47157</v>
          </cell>
          <cell r="B2499" t="str">
            <v>SHELBY, TN</v>
          </cell>
        </row>
        <row r="2500">
          <cell r="A2500">
            <v>47159</v>
          </cell>
          <cell r="B2500" t="str">
            <v>SMITH, TN</v>
          </cell>
        </row>
        <row r="2501">
          <cell r="A2501">
            <v>47161</v>
          </cell>
          <cell r="B2501" t="str">
            <v>STEWART, TN</v>
          </cell>
        </row>
        <row r="2502">
          <cell r="A2502">
            <v>47163</v>
          </cell>
          <cell r="B2502" t="str">
            <v>SULLIVAN, TN</v>
          </cell>
        </row>
        <row r="2503">
          <cell r="A2503">
            <v>47165</v>
          </cell>
          <cell r="B2503" t="str">
            <v>SUMNER, TN</v>
          </cell>
        </row>
        <row r="2504">
          <cell r="A2504">
            <v>47167</v>
          </cell>
          <cell r="B2504" t="str">
            <v>TIPTON, TN</v>
          </cell>
        </row>
        <row r="2505">
          <cell r="A2505">
            <v>47169</v>
          </cell>
          <cell r="B2505" t="str">
            <v>TROUSDALE, TN</v>
          </cell>
        </row>
        <row r="2506">
          <cell r="A2506">
            <v>47171</v>
          </cell>
          <cell r="B2506" t="str">
            <v>UNICOI, TN</v>
          </cell>
        </row>
        <row r="2507">
          <cell r="A2507">
            <v>47173</v>
          </cell>
          <cell r="B2507" t="str">
            <v>UNION, TN</v>
          </cell>
        </row>
        <row r="2508">
          <cell r="A2508">
            <v>47175</v>
          </cell>
          <cell r="B2508" t="str">
            <v>VAN BUREN, TN</v>
          </cell>
        </row>
        <row r="2509">
          <cell r="A2509">
            <v>47177</v>
          </cell>
          <cell r="B2509" t="str">
            <v>WARREN, TN</v>
          </cell>
        </row>
        <row r="2510">
          <cell r="A2510">
            <v>47179</v>
          </cell>
          <cell r="B2510" t="str">
            <v>WASHINGTON, TN</v>
          </cell>
        </row>
        <row r="2511">
          <cell r="A2511">
            <v>47181</v>
          </cell>
          <cell r="B2511" t="str">
            <v>WAYNE, TN</v>
          </cell>
        </row>
        <row r="2512">
          <cell r="A2512">
            <v>47183</v>
          </cell>
          <cell r="B2512" t="str">
            <v>WEAKLEY, TN</v>
          </cell>
        </row>
        <row r="2513">
          <cell r="A2513">
            <v>47185</v>
          </cell>
          <cell r="B2513" t="str">
            <v>WHITE, TN</v>
          </cell>
        </row>
        <row r="2514">
          <cell r="A2514">
            <v>47187</v>
          </cell>
          <cell r="B2514" t="str">
            <v>WILLIAMSON, TN</v>
          </cell>
        </row>
        <row r="2515">
          <cell r="A2515">
            <v>47189</v>
          </cell>
          <cell r="B2515" t="str">
            <v>WILSON, TN</v>
          </cell>
        </row>
        <row r="2516">
          <cell r="A2516">
            <v>48001</v>
          </cell>
          <cell r="B2516" t="str">
            <v>ANDERSON, TX</v>
          </cell>
        </row>
        <row r="2517">
          <cell r="A2517">
            <v>48003</v>
          </cell>
          <cell r="B2517" t="str">
            <v>ANDREWS, TX</v>
          </cell>
        </row>
        <row r="2518">
          <cell r="A2518">
            <v>48005</v>
          </cell>
          <cell r="B2518" t="str">
            <v>ANGELINA, TX</v>
          </cell>
        </row>
        <row r="2519">
          <cell r="A2519">
            <v>48007</v>
          </cell>
          <cell r="B2519" t="str">
            <v>ARANSAS, TX</v>
          </cell>
        </row>
        <row r="2520">
          <cell r="A2520">
            <v>48009</v>
          </cell>
          <cell r="B2520" t="str">
            <v>ARCHER, TX</v>
          </cell>
        </row>
        <row r="2521">
          <cell r="A2521">
            <v>48011</v>
          </cell>
          <cell r="B2521" t="str">
            <v>ARMSTRONG, TX</v>
          </cell>
        </row>
        <row r="2522">
          <cell r="A2522">
            <v>48013</v>
          </cell>
          <cell r="B2522" t="str">
            <v>ATASCOSA, TX</v>
          </cell>
        </row>
        <row r="2523">
          <cell r="A2523">
            <v>48015</v>
          </cell>
          <cell r="B2523" t="str">
            <v>AUSTIN, TX</v>
          </cell>
        </row>
        <row r="2524">
          <cell r="A2524">
            <v>48017</v>
          </cell>
          <cell r="B2524" t="str">
            <v>BAILEY, TX</v>
          </cell>
        </row>
        <row r="2525">
          <cell r="A2525">
            <v>48019</v>
          </cell>
          <cell r="B2525" t="str">
            <v>BANDERA, TX</v>
          </cell>
        </row>
        <row r="2526">
          <cell r="A2526">
            <v>48021</v>
          </cell>
          <cell r="B2526" t="str">
            <v>BASTROP, TX</v>
          </cell>
        </row>
        <row r="2527">
          <cell r="A2527">
            <v>48023</v>
          </cell>
          <cell r="B2527" t="str">
            <v>BAYLOR, TX</v>
          </cell>
        </row>
        <row r="2528">
          <cell r="A2528">
            <v>48025</v>
          </cell>
          <cell r="B2528" t="str">
            <v>BEE, TX</v>
          </cell>
        </row>
        <row r="2529">
          <cell r="A2529">
            <v>48027</v>
          </cell>
          <cell r="B2529" t="str">
            <v>BELL, TX</v>
          </cell>
        </row>
        <row r="2530">
          <cell r="A2530">
            <v>48029</v>
          </cell>
          <cell r="B2530" t="str">
            <v>BEXAR, TX</v>
          </cell>
        </row>
        <row r="2531">
          <cell r="A2531">
            <v>48031</v>
          </cell>
          <cell r="B2531" t="str">
            <v>BLANCO, TX</v>
          </cell>
        </row>
        <row r="2532">
          <cell r="A2532">
            <v>48033</v>
          </cell>
          <cell r="B2532" t="str">
            <v>BORDEN, TX</v>
          </cell>
        </row>
        <row r="2533">
          <cell r="A2533">
            <v>48035</v>
          </cell>
          <cell r="B2533" t="str">
            <v>BOSQUE, TX</v>
          </cell>
        </row>
        <row r="2534">
          <cell r="A2534">
            <v>48037</v>
          </cell>
          <cell r="B2534" t="str">
            <v>BOWIE, TX</v>
          </cell>
        </row>
        <row r="2535">
          <cell r="A2535">
            <v>48039</v>
          </cell>
          <cell r="B2535" t="str">
            <v>BRAZORIA, TX</v>
          </cell>
        </row>
        <row r="2536">
          <cell r="A2536">
            <v>48041</v>
          </cell>
          <cell r="B2536" t="str">
            <v>BRAZOS, TX</v>
          </cell>
        </row>
        <row r="2537">
          <cell r="A2537">
            <v>48043</v>
          </cell>
          <cell r="B2537" t="str">
            <v>BREWSTER, TX</v>
          </cell>
        </row>
        <row r="2538">
          <cell r="A2538">
            <v>48045</v>
          </cell>
          <cell r="B2538" t="str">
            <v>BRISCOE, TX</v>
          </cell>
        </row>
        <row r="2539">
          <cell r="A2539">
            <v>48047</v>
          </cell>
          <cell r="B2539" t="str">
            <v>BROOKS, TX</v>
          </cell>
        </row>
        <row r="2540">
          <cell r="A2540">
            <v>48049</v>
          </cell>
          <cell r="B2540" t="str">
            <v>BROWN, TX</v>
          </cell>
        </row>
        <row r="2541">
          <cell r="A2541">
            <v>48051</v>
          </cell>
          <cell r="B2541" t="str">
            <v>BURLESON, TX</v>
          </cell>
        </row>
        <row r="2542">
          <cell r="A2542">
            <v>48053</v>
          </cell>
          <cell r="B2542" t="str">
            <v>BURNET, TX</v>
          </cell>
        </row>
        <row r="2543">
          <cell r="A2543">
            <v>48055</v>
          </cell>
          <cell r="B2543" t="str">
            <v>CALDWELL, TX</v>
          </cell>
        </row>
        <row r="2544">
          <cell r="A2544">
            <v>48057</v>
          </cell>
          <cell r="B2544" t="str">
            <v>CALHOUN, TX</v>
          </cell>
        </row>
        <row r="2545">
          <cell r="A2545">
            <v>48059</v>
          </cell>
          <cell r="B2545" t="str">
            <v>CALLAHAN, TX</v>
          </cell>
        </row>
        <row r="2546">
          <cell r="A2546">
            <v>48061</v>
          </cell>
          <cell r="B2546" t="str">
            <v>CAMERON, TX</v>
          </cell>
        </row>
        <row r="2547">
          <cell r="A2547">
            <v>48063</v>
          </cell>
          <cell r="B2547" t="str">
            <v>CAMP, TX</v>
          </cell>
        </row>
        <row r="2548">
          <cell r="A2548">
            <v>48065</v>
          </cell>
          <cell r="B2548" t="str">
            <v>CARSON, TX</v>
          </cell>
        </row>
        <row r="2549">
          <cell r="A2549">
            <v>48067</v>
          </cell>
          <cell r="B2549" t="str">
            <v>CASS, TX</v>
          </cell>
        </row>
        <row r="2550">
          <cell r="A2550">
            <v>48069</v>
          </cell>
          <cell r="B2550" t="str">
            <v>CASTRO, TX</v>
          </cell>
        </row>
        <row r="2551">
          <cell r="A2551">
            <v>48071</v>
          </cell>
          <cell r="B2551" t="str">
            <v>CHAMBERS, TX</v>
          </cell>
        </row>
        <row r="2552">
          <cell r="A2552">
            <v>48073</v>
          </cell>
          <cell r="B2552" t="str">
            <v>CHEROKEE, TX</v>
          </cell>
        </row>
        <row r="2553">
          <cell r="A2553">
            <v>48075</v>
          </cell>
          <cell r="B2553" t="str">
            <v>CHILDRESS, TX</v>
          </cell>
        </row>
        <row r="2554">
          <cell r="A2554">
            <v>48077</v>
          </cell>
          <cell r="B2554" t="str">
            <v>CLAY, TX</v>
          </cell>
        </row>
        <row r="2555">
          <cell r="A2555">
            <v>48079</v>
          </cell>
          <cell r="B2555" t="str">
            <v>COCHRAN, TX</v>
          </cell>
        </row>
        <row r="2556">
          <cell r="A2556">
            <v>48081</v>
          </cell>
          <cell r="B2556" t="str">
            <v>COKE, TX</v>
          </cell>
        </row>
        <row r="2557">
          <cell r="A2557">
            <v>48083</v>
          </cell>
          <cell r="B2557" t="str">
            <v>COLEMAN, TX</v>
          </cell>
        </row>
        <row r="2558">
          <cell r="A2558">
            <v>48085</v>
          </cell>
          <cell r="B2558" t="str">
            <v>COLLIN, TX</v>
          </cell>
        </row>
        <row r="2559">
          <cell r="A2559">
            <v>48087</v>
          </cell>
          <cell r="B2559" t="str">
            <v>COLLINGSWORTH, TX</v>
          </cell>
        </row>
        <row r="2560">
          <cell r="A2560">
            <v>48089</v>
          </cell>
          <cell r="B2560" t="str">
            <v>COLORADO, TX</v>
          </cell>
        </row>
        <row r="2561">
          <cell r="A2561">
            <v>48091</v>
          </cell>
          <cell r="B2561" t="str">
            <v>COMAL, TX</v>
          </cell>
        </row>
        <row r="2562">
          <cell r="A2562">
            <v>48093</v>
          </cell>
          <cell r="B2562" t="str">
            <v>COMANCHE, TX</v>
          </cell>
        </row>
        <row r="2563">
          <cell r="A2563">
            <v>48095</v>
          </cell>
          <cell r="B2563" t="str">
            <v>CONCHO, TX</v>
          </cell>
        </row>
        <row r="2564">
          <cell r="A2564">
            <v>48097</v>
          </cell>
          <cell r="B2564" t="str">
            <v>COOKE, TX</v>
          </cell>
        </row>
        <row r="2565">
          <cell r="A2565">
            <v>48099</v>
          </cell>
          <cell r="B2565" t="str">
            <v>CORYELL, TX</v>
          </cell>
        </row>
        <row r="2566">
          <cell r="A2566">
            <v>48101</v>
          </cell>
          <cell r="B2566" t="str">
            <v>COTTLE, TX</v>
          </cell>
        </row>
        <row r="2567">
          <cell r="A2567">
            <v>48103</v>
          </cell>
          <cell r="B2567" t="str">
            <v>CRANE, TX</v>
          </cell>
        </row>
        <row r="2568">
          <cell r="A2568">
            <v>48105</v>
          </cell>
          <cell r="B2568" t="str">
            <v>CROCKETT, TX</v>
          </cell>
        </row>
        <row r="2569">
          <cell r="A2569">
            <v>48107</v>
          </cell>
          <cell r="B2569" t="str">
            <v>CROSBY, TX</v>
          </cell>
        </row>
        <row r="2570">
          <cell r="A2570">
            <v>48109</v>
          </cell>
          <cell r="B2570" t="str">
            <v>CULBERSON, TX</v>
          </cell>
        </row>
        <row r="2571">
          <cell r="A2571">
            <v>48111</v>
          </cell>
          <cell r="B2571" t="str">
            <v>DALLAM, TX</v>
          </cell>
        </row>
        <row r="2572">
          <cell r="A2572">
            <v>48113</v>
          </cell>
          <cell r="B2572" t="str">
            <v>DALLAS, TX</v>
          </cell>
        </row>
        <row r="2573">
          <cell r="A2573">
            <v>48115</v>
          </cell>
          <cell r="B2573" t="str">
            <v>DAWSON, TX</v>
          </cell>
        </row>
        <row r="2574">
          <cell r="A2574">
            <v>48117</v>
          </cell>
          <cell r="B2574" t="str">
            <v>DEAF SMITH, TX</v>
          </cell>
        </row>
        <row r="2575">
          <cell r="A2575">
            <v>48119</v>
          </cell>
          <cell r="B2575" t="str">
            <v>DELTA, TX</v>
          </cell>
        </row>
        <row r="2576">
          <cell r="A2576">
            <v>48121</v>
          </cell>
          <cell r="B2576" t="str">
            <v>DENTON, TX</v>
          </cell>
        </row>
        <row r="2577">
          <cell r="A2577">
            <v>48123</v>
          </cell>
          <cell r="B2577" t="str">
            <v>DE WITT, TX</v>
          </cell>
        </row>
        <row r="2578">
          <cell r="A2578">
            <v>48125</v>
          </cell>
          <cell r="B2578" t="str">
            <v>DICKENS, TX</v>
          </cell>
        </row>
        <row r="2579">
          <cell r="A2579">
            <v>48127</v>
          </cell>
          <cell r="B2579" t="str">
            <v>DIMMIT, TX</v>
          </cell>
        </row>
        <row r="2580">
          <cell r="A2580">
            <v>48129</v>
          </cell>
          <cell r="B2580" t="str">
            <v>DONLEY, TX</v>
          </cell>
        </row>
        <row r="2581">
          <cell r="A2581">
            <v>48131</v>
          </cell>
          <cell r="B2581" t="str">
            <v>DUVAL, TX</v>
          </cell>
        </row>
        <row r="2582">
          <cell r="A2582">
            <v>48133</v>
          </cell>
          <cell r="B2582" t="str">
            <v>EASTLAND, TX</v>
          </cell>
        </row>
        <row r="2583">
          <cell r="A2583">
            <v>48135</v>
          </cell>
          <cell r="B2583" t="str">
            <v>ECTOR, TX</v>
          </cell>
        </row>
        <row r="2584">
          <cell r="A2584">
            <v>48137</v>
          </cell>
          <cell r="B2584" t="str">
            <v>EDWARDS, TX</v>
          </cell>
        </row>
        <row r="2585">
          <cell r="A2585">
            <v>48139</v>
          </cell>
          <cell r="B2585" t="str">
            <v>ELLIS, TX</v>
          </cell>
        </row>
        <row r="2586">
          <cell r="A2586">
            <v>48141</v>
          </cell>
          <cell r="B2586" t="str">
            <v>EL PASO, TX</v>
          </cell>
        </row>
        <row r="2587">
          <cell r="A2587">
            <v>48143</v>
          </cell>
          <cell r="B2587" t="str">
            <v>ERATH, TX</v>
          </cell>
        </row>
        <row r="2588">
          <cell r="A2588">
            <v>48145</v>
          </cell>
          <cell r="B2588" t="str">
            <v>FALLS, TX</v>
          </cell>
        </row>
        <row r="2589">
          <cell r="A2589">
            <v>48147</v>
          </cell>
          <cell r="B2589" t="str">
            <v>FANNIN, TX</v>
          </cell>
        </row>
        <row r="2590">
          <cell r="A2590">
            <v>48149</v>
          </cell>
          <cell r="B2590" t="str">
            <v>FAYETTE, TX</v>
          </cell>
        </row>
        <row r="2591">
          <cell r="A2591">
            <v>48151</v>
          </cell>
          <cell r="B2591" t="str">
            <v>FISHER, TX</v>
          </cell>
        </row>
        <row r="2592">
          <cell r="A2592">
            <v>48153</v>
          </cell>
          <cell r="B2592" t="str">
            <v>FLOYD, TX</v>
          </cell>
        </row>
        <row r="2593">
          <cell r="A2593">
            <v>48155</v>
          </cell>
          <cell r="B2593" t="str">
            <v>FOARD, TX</v>
          </cell>
        </row>
        <row r="2594">
          <cell r="A2594">
            <v>48157</v>
          </cell>
          <cell r="B2594" t="str">
            <v>FORT BEND, TX</v>
          </cell>
        </row>
        <row r="2595">
          <cell r="A2595">
            <v>48159</v>
          </cell>
          <cell r="B2595" t="str">
            <v>FRANKLIN, TX</v>
          </cell>
        </row>
        <row r="2596">
          <cell r="A2596">
            <v>48161</v>
          </cell>
          <cell r="B2596" t="str">
            <v>FREESTONE, TX</v>
          </cell>
        </row>
        <row r="2597">
          <cell r="A2597">
            <v>48163</v>
          </cell>
          <cell r="B2597" t="str">
            <v>FRIO, TX</v>
          </cell>
        </row>
        <row r="2598">
          <cell r="A2598">
            <v>48165</v>
          </cell>
          <cell r="B2598" t="str">
            <v>GAINES, TX</v>
          </cell>
        </row>
        <row r="2599">
          <cell r="A2599">
            <v>48167</v>
          </cell>
          <cell r="B2599" t="str">
            <v>GALVESTON, TX</v>
          </cell>
        </row>
        <row r="2600">
          <cell r="A2600">
            <v>48169</v>
          </cell>
          <cell r="B2600" t="str">
            <v>GARZA, TX</v>
          </cell>
        </row>
        <row r="2601">
          <cell r="A2601">
            <v>48171</v>
          </cell>
          <cell r="B2601" t="str">
            <v>GILLESPIE, TX</v>
          </cell>
        </row>
        <row r="2602">
          <cell r="A2602">
            <v>48173</v>
          </cell>
          <cell r="B2602" t="str">
            <v>GLASSCOCK, TX</v>
          </cell>
        </row>
        <row r="2603">
          <cell r="A2603">
            <v>48175</v>
          </cell>
          <cell r="B2603" t="str">
            <v>GOLIAD, TX</v>
          </cell>
        </row>
        <row r="2604">
          <cell r="A2604">
            <v>48177</v>
          </cell>
          <cell r="B2604" t="str">
            <v>GONZALES, TX</v>
          </cell>
        </row>
        <row r="2605">
          <cell r="A2605">
            <v>48179</v>
          </cell>
          <cell r="B2605" t="str">
            <v>GRAY, TX</v>
          </cell>
        </row>
        <row r="2606">
          <cell r="A2606">
            <v>48181</v>
          </cell>
          <cell r="B2606" t="str">
            <v>GRAYSON, TX</v>
          </cell>
        </row>
        <row r="2607">
          <cell r="A2607">
            <v>48183</v>
          </cell>
          <cell r="B2607" t="str">
            <v>GREGG, TX</v>
          </cell>
        </row>
        <row r="2608">
          <cell r="A2608">
            <v>48185</v>
          </cell>
          <cell r="B2608" t="str">
            <v>GRIMES, TX</v>
          </cell>
        </row>
        <row r="2609">
          <cell r="A2609">
            <v>48187</v>
          </cell>
          <cell r="B2609" t="str">
            <v>GUADALUPE, TX</v>
          </cell>
        </row>
        <row r="2610">
          <cell r="A2610">
            <v>48189</v>
          </cell>
          <cell r="B2610" t="str">
            <v>HALE, TX</v>
          </cell>
        </row>
        <row r="2611">
          <cell r="A2611">
            <v>48191</v>
          </cell>
          <cell r="B2611" t="str">
            <v>HALL, TX</v>
          </cell>
        </row>
        <row r="2612">
          <cell r="A2612">
            <v>48193</v>
          </cell>
          <cell r="B2612" t="str">
            <v>HAMILTON, TX</v>
          </cell>
        </row>
        <row r="2613">
          <cell r="A2613">
            <v>48195</v>
          </cell>
          <cell r="B2613" t="str">
            <v>HANSFORD, TX</v>
          </cell>
        </row>
        <row r="2614">
          <cell r="A2614">
            <v>48197</v>
          </cell>
          <cell r="B2614" t="str">
            <v>HARDEMAN, TX</v>
          </cell>
        </row>
        <row r="2615">
          <cell r="A2615">
            <v>48199</v>
          </cell>
          <cell r="B2615" t="str">
            <v>HARDIN, TX</v>
          </cell>
        </row>
        <row r="2616">
          <cell r="A2616">
            <v>48201</v>
          </cell>
          <cell r="B2616" t="str">
            <v>HARRIS, TX</v>
          </cell>
        </row>
        <row r="2617">
          <cell r="A2617">
            <v>48203</v>
          </cell>
          <cell r="B2617" t="str">
            <v>HARRISON, TX</v>
          </cell>
        </row>
        <row r="2618">
          <cell r="A2618">
            <v>48205</v>
          </cell>
          <cell r="B2618" t="str">
            <v>HARTLEY, TX</v>
          </cell>
        </row>
        <row r="2619">
          <cell r="A2619">
            <v>48207</v>
          </cell>
          <cell r="B2619" t="str">
            <v>HASKELL, TX</v>
          </cell>
        </row>
        <row r="2620">
          <cell r="A2620">
            <v>48209</v>
          </cell>
          <cell r="B2620" t="str">
            <v>HAYS, TX</v>
          </cell>
        </row>
        <row r="2621">
          <cell r="A2621">
            <v>48211</v>
          </cell>
          <cell r="B2621" t="str">
            <v>HEMPHILL, TX</v>
          </cell>
        </row>
        <row r="2622">
          <cell r="A2622">
            <v>48213</v>
          </cell>
          <cell r="B2622" t="str">
            <v>HENDERSON, TX</v>
          </cell>
        </row>
        <row r="2623">
          <cell r="A2623">
            <v>48215</v>
          </cell>
          <cell r="B2623" t="str">
            <v>HIDALGO, TX</v>
          </cell>
        </row>
        <row r="2624">
          <cell r="A2624">
            <v>48217</v>
          </cell>
          <cell r="B2624" t="str">
            <v>HILL, TX</v>
          </cell>
        </row>
        <row r="2625">
          <cell r="A2625">
            <v>48219</v>
          </cell>
          <cell r="B2625" t="str">
            <v>HOCKLEY, TX</v>
          </cell>
        </row>
        <row r="2626">
          <cell r="A2626">
            <v>48221</v>
          </cell>
          <cell r="B2626" t="str">
            <v>HOOD, TX</v>
          </cell>
        </row>
        <row r="2627">
          <cell r="A2627">
            <v>48223</v>
          </cell>
          <cell r="B2627" t="str">
            <v>HOPKINS, TX</v>
          </cell>
        </row>
        <row r="2628">
          <cell r="A2628">
            <v>48225</v>
          </cell>
          <cell r="B2628" t="str">
            <v>HOUSTON, TX</v>
          </cell>
        </row>
        <row r="2629">
          <cell r="A2629">
            <v>48227</v>
          </cell>
          <cell r="B2629" t="str">
            <v>HOWARD, TX</v>
          </cell>
        </row>
        <row r="2630">
          <cell r="A2630">
            <v>48229</v>
          </cell>
          <cell r="B2630" t="str">
            <v>HUDSPETH, TX</v>
          </cell>
        </row>
        <row r="2631">
          <cell r="A2631">
            <v>48231</v>
          </cell>
          <cell r="B2631" t="str">
            <v>HUNT, TX</v>
          </cell>
        </row>
        <row r="2632">
          <cell r="A2632">
            <v>48233</v>
          </cell>
          <cell r="B2632" t="str">
            <v>HUTCHINSON, TX</v>
          </cell>
        </row>
        <row r="2633">
          <cell r="A2633">
            <v>48235</v>
          </cell>
          <cell r="B2633" t="str">
            <v>IRION, TX</v>
          </cell>
        </row>
        <row r="2634">
          <cell r="A2634">
            <v>48237</v>
          </cell>
          <cell r="B2634" t="str">
            <v>JACK, TX</v>
          </cell>
        </row>
        <row r="2635">
          <cell r="A2635">
            <v>48239</v>
          </cell>
          <cell r="B2635" t="str">
            <v>JACKSON, TX</v>
          </cell>
        </row>
        <row r="2636">
          <cell r="A2636">
            <v>48241</v>
          </cell>
          <cell r="B2636" t="str">
            <v>JASPER, TX</v>
          </cell>
        </row>
        <row r="2637">
          <cell r="A2637">
            <v>48243</v>
          </cell>
          <cell r="B2637" t="str">
            <v>JEFF DAVIS, TX</v>
          </cell>
        </row>
        <row r="2638">
          <cell r="A2638">
            <v>48245</v>
          </cell>
          <cell r="B2638" t="str">
            <v>JEFFERSON, TX</v>
          </cell>
        </row>
        <row r="2639">
          <cell r="A2639">
            <v>48247</v>
          </cell>
          <cell r="B2639" t="str">
            <v>JIM HOGG, TX</v>
          </cell>
        </row>
        <row r="2640">
          <cell r="A2640">
            <v>48249</v>
          </cell>
          <cell r="B2640" t="str">
            <v>JIM WELLS, TX</v>
          </cell>
        </row>
        <row r="2641">
          <cell r="A2641">
            <v>48251</v>
          </cell>
          <cell r="B2641" t="str">
            <v>JOHNSON, TX</v>
          </cell>
        </row>
        <row r="2642">
          <cell r="A2642">
            <v>48253</v>
          </cell>
          <cell r="B2642" t="str">
            <v>JONES, TX</v>
          </cell>
        </row>
        <row r="2643">
          <cell r="A2643">
            <v>48255</v>
          </cell>
          <cell r="B2643" t="str">
            <v>KARNES, TX</v>
          </cell>
        </row>
        <row r="2644">
          <cell r="A2644">
            <v>48257</v>
          </cell>
          <cell r="B2644" t="str">
            <v>KAUFMAN, TX</v>
          </cell>
        </row>
        <row r="2645">
          <cell r="A2645">
            <v>48259</v>
          </cell>
          <cell r="B2645" t="str">
            <v>KENDALL, TX</v>
          </cell>
        </row>
        <row r="2646">
          <cell r="A2646">
            <v>48261</v>
          </cell>
          <cell r="B2646" t="str">
            <v>KENEDY, TX</v>
          </cell>
        </row>
        <row r="2647">
          <cell r="A2647">
            <v>48263</v>
          </cell>
          <cell r="B2647" t="str">
            <v>KENT, TX</v>
          </cell>
        </row>
        <row r="2648">
          <cell r="A2648">
            <v>48265</v>
          </cell>
          <cell r="B2648" t="str">
            <v>KERR, TX</v>
          </cell>
        </row>
        <row r="2649">
          <cell r="A2649">
            <v>48267</v>
          </cell>
          <cell r="B2649" t="str">
            <v>KIMBLE, TX</v>
          </cell>
        </row>
        <row r="2650">
          <cell r="A2650">
            <v>48269</v>
          </cell>
          <cell r="B2650" t="str">
            <v>KING, TX</v>
          </cell>
        </row>
        <row r="2651">
          <cell r="A2651">
            <v>48271</v>
          </cell>
          <cell r="B2651" t="str">
            <v>KINNEY, TX</v>
          </cell>
        </row>
        <row r="2652">
          <cell r="A2652">
            <v>48273</v>
          </cell>
          <cell r="B2652" t="str">
            <v>KLEBERG, TX</v>
          </cell>
        </row>
        <row r="2653">
          <cell r="A2653">
            <v>48275</v>
          </cell>
          <cell r="B2653" t="str">
            <v>KNOX, TX</v>
          </cell>
        </row>
        <row r="2654">
          <cell r="A2654">
            <v>48277</v>
          </cell>
          <cell r="B2654" t="str">
            <v>LAMAR, TX</v>
          </cell>
        </row>
        <row r="2655">
          <cell r="A2655">
            <v>48279</v>
          </cell>
          <cell r="B2655" t="str">
            <v>LAMB, TX</v>
          </cell>
        </row>
        <row r="2656">
          <cell r="A2656">
            <v>48281</v>
          </cell>
          <cell r="B2656" t="str">
            <v>LAMPASAS, TX</v>
          </cell>
        </row>
        <row r="2657">
          <cell r="A2657">
            <v>48283</v>
          </cell>
          <cell r="B2657" t="str">
            <v>LA SALLE, TX</v>
          </cell>
        </row>
        <row r="2658">
          <cell r="A2658">
            <v>48285</v>
          </cell>
          <cell r="B2658" t="str">
            <v>LAVACA, TX</v>
          </cell>
        </row>
        <row r="2659">
          <cell r="A2659">
            <v>48287</v>
          </cell>
          <cell r="B2659" t="str">
            <v>LEE, TX</v>
          </cell>
        </row>
        <row r="2660">
          <cell r="A2660">
            <v>48289</v>
          </cell>
          <cell r="B2660" t="str">
            <v>LEON, TX</v>
          </cell>
        </row>
        <row r="2661">
          <cell r="A2661">
            <v>48291</v>
          </cell>
          <cell r="B2661" t="str">
            <v>LIBERTY, TX</v>
          </cell>
        </row>
        <row r="2662">
          <cell r="A2662">
            <v>48293</v>
          </cell>
          <cell r="B2662" t="str">
            <v>LIMESTONE, TX</v>
          </cell>
        </row>
        <row r="2663">
          <cell r="A2663">
            <v>48295</v>
          </cell>
          <cell r="B2663" t="str">
            <v>LIPSCOMB, TX</v>
          </cell>
        </row>
        <row r="2664">
          <cell r="A2664">
            <v>48297</v>
          </cell>
          <cell r="B2664" t="str">
            <v>LIVE OAK, TX</v>
          </cell>
        </row>
        <row r="2665">
          <cell r="A2665">
            <v>48299</v>
          </cell>
          <cell r="B2665" t="str">
            <v>LLANO, TX</v>
          </cell>
        </row>
        <row r="2666">
          <cell r="A2666">
            <v>48303</v>
          </cell>
          <cell r="B2666" t="str">
            <v>LUBBOCK, TX</v>
          </cell>
        </row>
        <row r="2667">
          <cell r="A2667">
            <v>48305</v>
          </cell>
          <cell r="B2667" t="str">
            <v>LYNN, TX</v>
          </cell>
        </row>
        <row r="2668">
          <cell r="A2668">
            <v>48307</v>
          </cell>
          <cell r="B2668" t="str">
            <v>MC CULLOCH, TX</v>
          </cell>
        </row>
        <row r="2669">
          <cell r="A2669">
            <v>48309</v>
          </cell>
          <cell r="B2669" t="str">
            <v>MCLENNAN, TX</v>
          </cell>
        </row>
        <row r="2670">
          <cell r="A2670">
            <v>48311</v>
          </cell>
          <cell r="B2670" t="str">
            <v>MCMULLEN, TX</v>
          </cell>
        </row>
        <row r="2671">
          <cell r="A2671">
            <v>48313</v>
          </cell>
          <cell r="B2671" t="str">
            <v>MADISON, TX</v>
          </cell>
        </row>
        <row r="2672">
          <cell r="A2672">
            <v>48315</v>
          </cell>
          <cell r="B2672" t="str">
            <v>MARION, TX</v>
          </cell>
        </row>
        <row r="2673">
          <cell r="A2673">
            <v>48317</v>
          </cell>
          <cell r="B2673" t="str">
            <v>MARTIN, TX</v>
          </cell>
        </row>
        <row r="2674">
          <cell r="A2674">
            <v>48319</v>
          </cell>
          <cell r="B2674" t="str">
            <v>MASON, TX</v>
          </cell>
        </row>
        <row r="2675">
          <cell r="A2675">
            <v>48321</v>
          </cell>
          <cell r="B2675" t="str">
            <v>MATAGORDA, TX</v>
          </cell>
        </row>
        <row r="2676">
          <cell r="A2676">
            <v>48323</v>
          </cell>
          <cell r="B2676" t="str">
            <v>MAVERICK, TX</v>
          </cell>
        </row>
        <row r="2677">
          <cell r="A2677">
            <v>48325</v>
          </cell>
          <cell r="B2677" t="str">
            <v>MEDINA, TX</v>
          </cell>
        </row>
        <row r="2678">
          <cell r="A2678">
            <v>48327</v>
          </cell>
          <cell r="B2678" t="str">
            <v>MENARD, TX</v>
          </cell>
        </row>
        <row r="2679">
          <cell r="A2679">
            <v>48329</v>
          </cell>
          <cell r="B2679" t="str">
            <v>MIDLAND, TX</v>
          </cell>
        </row>
        <row r="2680">
          <cell r="A2680">
            <v>48331</v>
          </cell>
          <cell r="B2680" t="str">
            <v>MILAM, TX</v>
          </cell>
        </row>
        <row r="2681">
          <cell r="A2681">
            <v>48333</v>
          </cell>
          <cell r="B2681" t="str">
            <v>MILLS, TX</v>
          </cell>
        </row>
        <row r="2682">
          <cell r="A2682">
            <v>48335</v>
          </cell>
          <cell r="B2682" t="str">
            <v>MITCHELL, TX</v>
          </cell>
        </row>
        <row r="2683">
          <cell r="A2683">
            <v>48337</v>
          </cell>
          <cell r="B2683" t="str">
            <v>MONTAGUE, TX</v>
          </cell>
        </row>
        <row r="2684">
          <cell r="A2684">
            <v>48339</v>
          </cell>
          <cell r="B2684" t="str">
            <v>MONTGOMERY, TX</v>
          </cell>
        </row>
        <row r="2685">
          <cell r="A2685">
            <v>48341</v>
          </cell>
          <cell r="B2685" t="str">
            <v>MOORE, TX</v>
          </cell>
        </row>
        <row r="2686">
          <cell r="A2686">
            <v>48343</v>
          </cell>
          <cell r="B2686" t="str">
            <v>MORRIS, TX</v>
          </cell>
        </row>
        <row r="2687">
          <cell r="A2687">
            <v>48345</v>
          </cell>
          <cell r="B2687" t="str">
            <v>MOTLEY, TX</v>
          </cell>
        </row>
        <row r="2688">
          <cell r="A2688">
            <v>48347</v>
          </cell>
          <cell r="B2688" t="str">
            <v>NACOGDOCHES, TX</v>
          </cell>
        </row>
        <row r="2689">
          <cell r="A2689">
            <v>48349</v>
          </cell>
          <cell r="B2689" t="str">
            <v>NAVARRO, TX</v>
          </cell>
        </row>
        <row r="2690">
          <cell r="A2690">
            <v>48351</v>
          </cell>
          <cell r="B2690" t="str">
            <v>NEWTON, TX</v>
          </cell>
        </row>
        <row r="2691">
          <cell r="A2691">
            <v>48353</v>
          </cell>
          <cell r="B2691" t="str">
            <v>NOLAN, TX</v>
          </cell>
        </row>
        <row r="2692">
          <cell r="A2692">
            <v>48355</v>
          </cell>
          <cell r="B2692" t="str">
            <v>NUECES, TX</v>
          </cell>
        </row>
        <row r="2693">
          <cell r="A2693">
            <v>48357</v>
          </cell>
          <cell r="B2693" t="str">
            <v>OCHILTREE, TX</v>
          </cell>
        </row>
        <row r="2694">
          <cell r="A2694">
            <v>48359</v>
          </cell>
          <cell r="B2694" t="str">
            <v>OLDHAM, TX</v>
          </cell>
        </row>
        <row r="2695">
          <cell r="A2695">
            <v>48361</v>
          </cell>
          <cell r="B2695" t="str">
            <v>ORANGE, TX</v>
          </cell>
        </row>
        <row r="2696">
          <cell r="A2696">
            <v>48363</v>
          </cell>
          <cell r="B2696" t="str">
            <v>PALO PINTO, TX</v>
          </cell>
        </row>
        <row r="2697">
          <cell r="A2697">
            <v>48365</v>
          </cell>
          <cell r="B2697" t="str">
            <v>PANOLA, TX</v>
          </cell>
        </row>
        <row r="2698">
          <cell r="A2698">
            <v>48367</v>
          </cell>
          <cell r="B2698" t="str">
            <v>PARKER, TX</v>
          </cell>
        </row>
        <row r="2699">
          <cell r="A2699">
            <v>48369</v>
          </cell>
          <cell r="B2699" t="str">
            <v>PARMER, TX</v>
          </cell>
        </row>
        <row r="2700">
          <cell r="A2700">
            <v>48371</v>
          </cell>
          <cell r="B2700" t="str">
            <v>PECOS, TX</v>
          </cell>
        </row>
        <row r="2701">
          <cell r="A2701">
            <v>48373</v>
          </cell>
          <cell r="B2701" t="str">
            <v>POLK, TX</v>
          </cell>
        </row>
        <row r="2702">
          <cell r="A2702">
            <v>48375</v>
          </cell>
          <cell r="B2702" t="str">
            <v>POTTER, TX</v>
          </cell>
        </row>
        <row r="2703">
          <cell r="A2703">
            <v>48377</v>
          </cell>
          <cell r="B2703" t="str">
            <v>PRESIDIO, TX</v>
          </cell>
        </row>
        <row r="2704">
          <cell r="A2704">
            <v>48379</v>
          </cell>
          <cell r="B2704" t="str">
            <v>RAINS, TX</v>
          </cell>
        </row>
        <row r="2705">
          <cell r="A2705">
            <v>48381</v>
          </cell>
          <cell r="B2705" t="str">
            <v>RANDALL, TX</v>
          </cell>
        </row>
        <row r="2706">
          <cell r="A2706">
            <v>48383</v>
          </cell>
          <cell r="B2706" t="str">
            <v>REAGAN, TX</v>
          </cell>
        </row>
        <row r="2707">
          <cell r="A2707">
            <v>48385</v>
          </cell>
          <cell r="B2707" t="str">
            <v>REAL, TX</v>
          </cell>
        </row>
        <row r="2708">
          <cell r="A2708">
            <v>48387</v>
          </cell>
          <cell r="B2708" t="str">
            <v>RED RIVER, TX</v>
          </cell>
        </row>
        <row r="2709">
          <cell r="A2709">
            <v>48389</v>
          </cell>
          <cell r="B2709" t="str">
            <v>REEVES, TX</v>
          </cell>
        </row>
        <row r="2710">
          <cell r="A2710">
            <v>48391</v>
          </cell>
          <cell r="B2710" t="str">
            <v>REFUGIO, TX</v>
          </cell>
        </row>
        <row r="2711">
          <cell r="A2711">
            <v>48393</v>
          </cell>
          <cell r="B2711" t="str">
            <v>ROBERTS, TX</v>
          </cell>
        </row>
        <row r="2712">
          <cell r="A2712">
            <v>48395</v>
          </cell>
          <cell r="B2712" t="str">
            <v>ROBERTSON, TX</v>
          </cell>
        </row>
        <row r="2713">
          <cell r="A2713">
            <v>48397</v>
          </cell>
          <cell r="B2713" t="str">
            <v>ROCKWALL, TX</v>
          </cell>
        </row>
        <row r="2714">
          <cell r="A2714">
            <v>48399</v>
          </cell>
          <cell r="B2714" t="str">
            <v>RUNNELS, TX</v>
          </cell>
        </row>
        <row r="2715">
          <cell r="A2715">
            <v>48401</v>
          </cell>
          <cell r="B2715" t="str">
            <v>RUSK, TX</v>
          </cell>
        </row>
        <row r="2716">
          <cell r="A2716">
            <v>48403</v>
          </cell>
          <cell r="B2716" t="str">
            <v>SABINE, TX</v>
          </cell>
        </row>
        <row r="2717">
          <cell r="A2717">
            <v>48405</v>
          </cell>
          <cell r="B2717" t="str">
            <v>SAN AUGUSTINE, TX</v>
          </cell>
        </row>
        <row r="2718">
          <cell r="A2718">
            <v>48407</v>
          </cell>
          <cell r="B2718" t="str">
            <v>SAN JACINTO, TX</v>
          </cell>
        </row>
        <row r="2719">
          <cell r="A2719">
            <v>48409</v>
          </cell>
          <cell r="B2719" t="str">
            <v>SAN PATRICIO, TX</v>
          </cell>
        </row>
        <row r="2720">
          <cell r="A2720">
            <v>48411</v>
          </cell>
          <cell r="B2720" t="str">
            <v>SAN SABA, TX</v>
          </cell>
        </row>
        <row r="2721">
          <cell r="A2721">
            <v>48413</v>
          </cell>
          <cell r="B2721" t="str">
            <v>SCHLEICHER, TX</v>
          </cell>
        </row>
        <row r="2722">
          <cell r="A2722">
            <v>48415</v>
          </cell>
          <cell r="B2722" t="str">
            <v>SCURRY, TX</v>
          </cell>
        </row>
        <row r="2723">
          <cell r="A2723">
            <v>48417</v>
          </cell>
          <cell r="B2723" t="str">
            <v>SHACKELFORD, TX</v>
          </cell>
        </row>
        <row r="2724">
          <cell r="A2724">
            <v>48419</v>
          </cell>
          <cell r="B2724" t="str">
            <v>SHELBY, TX</v>
          </cell>
        </row>
        <row r="2725">
          <cell r="A2725">
            <v>48421</v>
          </cell>
          <cell r="B2725" t="str">
            <v>SHERMAN, TX</v>
          </cell>
        </row>
        <row r="2726">
          <cell r="A2726">
            <v>48423</v>
          </cell>
          <cell r="B2726" t="str">
            <v>SMITH, TX</v>
          </cell>
        </row>
        <row r="2727">
          <cell r="A2727">
            <v>48425</v>
          </cell>
          <cell r="B2727" t="str">
            <v>SOMERVELL, TX</v>
          </cell>
        </row>
        <row r="2728">
          <cell r="A2728">
            <v>48427</v>
          </cell>
          <cell r="B2728" t="str">
            <v>STARR, TX</v>
          </cell>
        </row>
        <row r="2729">
          <cell r="A2729">
            <v>48429</v>
          </cell>
          <cell r="B2729" t="str">
            <v>STEPHENS, TX</v>
          </cell>
        </row>
        <row r="2730">
          <cell r="A2730">
            <v>48431</v>
          </cell>
          <cell r="B2730" t="str">
            <v>STERLING, TX</v>
          </cell>
        </row>
        <row r="2731">
          <cell r="A2731">
            <v>48433</v>
          </cell>
          <cell r="B2731" t="str">
            <v>STONEWALL, TX</v>
          </cell>
        </row>
        <row r="2732">
          <cell r="A2732">
            <v>48435</v>
          </cell>
          <cell r="B2732" t="str">
            <v>SUTTON, TX</v>
          </cell>
        </row>
        <row r="2733">
          <cell r="A2733">
            <v>48437</v>
          </cell>
          <cell r="B2733" t="str">
            <v>SWISHER, TX</v>
          </cell>
        </row>
        <row r="2734">
          <cell r="A2734">
            <v>48439</v>
          </cell>
          <cell r="B2734" t="str">
            <v>TARRANT, TX</v>
          </cell>
        </row>
        <row r="2735">
          <cell r="A2735">
            <v>48441</v>
          </cell>
          <cell r="B2735" t="str">
            <v>TAYLOR, TX</v>
          </cell>
        </row>
        <row r="2736">
          <cell r="A2736">
            <v>48443</v>
          </cell>
          <cell r="B2736" t="str">
            <v>TERRELL, TX</v>
          </cell>
        </row>
        <row r="2737">
          <cell r="A2737">
            <v>48445</v>
          </cell>
          <cell r="B2737" t="str">
            <v>TERRY, TX</v>
          </cell>
        </row>
        <row r="2738">
          <cell r="A2738">
            <v>48447</v>
          </cell>
          <cell r="B2738" t="str">
            <v>THROCKMORTON, TX</v>
          </cell>
        </row>
        <row r="2739">
          <cell r="A2739">
            <v>48449</v>
          </cell>
          <cell r="B2739" t="str">
            <v>TITUS, TX</v>
          </cell>
        </row>
        <row r="2740">
          <cell r="A2740">
            <v>48451</v>
          </cell>
          <cell r="B2740" t="str">
            <v>TOM GREEN, TX</v>
          </cell>
        </row>
        <row r="2741">
          <cell r="A2741">
            <v>48453</v>
          </cell>
          <cell r="B2741" t="str">
            <v>TRAVIS, TX</v>
          </cell>
        </row>
        <row r="2742">
          <cell r="A2742">
            <v>48455</v>
          </cell>
          <cell r="B2742" t="str">
            <v>TRINITY, TX</v>
          </cell>
        </row>
        <row r="2743">
          <cell r="A2743">
            <v>48457</v>
          </cell>
          <cell r="B2743" t="str">
            <v>TYLER, TX</v>
          </cell>
        </row>
        <row r="2744">
          <cell r="A2744">
            <v>48459</v>
          </cell>
          <cell r="B2744" t="str">
            <v>UPSHUR, TX</v>
          </cell>
        </row>
        <row r="2745">
          <cell r="A2745">
            <v>48461</v>
          </cell>
          <cell r="B2745" t="str">
            <v>UPTON, TX</v>
          </cell>
        </row>
        <row r="2746">
          <cell r="A2746">
            <v>48463</v>
          </cell>
          <cell r="B2746" t="str">
            <v>UVALDE, TX</v>
          </cell>
        </row>
        <row r="2747">
          <cell r="A2747">
            <v>48465</v>
          </cell>
          <cell r="B2747" t="str">
            <v>VAL VERDE, TX</v>
          </cell>
        </row>
        <row r="2748">
          <cell r="A2748">
            <v>48467</v>
          </cell>
          <cell r="B2748" t="str">
            <v>VAN ZANDT, TX</v>
          </cell>
        </row>
        <row r="2749">
          <cell r="A2749">
            <v>48469</v>
          </cell>
          <cell r="B2749" t="str">
            <v>VICTORIA, TX</v>
          </cell>
        </row>
        <row r="2750">
          <cell r="A2750">
            <v>48471</v>
          </cell>
          <cell r="B2750" t="str">
            <v>WALKER, TX</v>
          </cell>
        </row>
        <row r="2751">
          <cell r="A2751">
            <v>48473</v>
          </cell>
          <cell r="B2751" t="str">
            <v>WALLER, TX</v>
          </cell>
        </row>
        <row r="2752">
          <cell r="A2752">
            <v>48475</v>
          </cell>
          <cell r="B2752" t="str">
            <v>WARD, TX</v>
          </cell>
        </row>
        <row r="2753">
          <cell r="A2753">
            <v>48477</v>
          </cell>
          <cell r="B2753" t="str">
            <v>WASHINGTON, TX</v>
          </cell>
        </row>
        <row r="2754">
          <cell r="A2754">
            <v>48479</v>
          </cell>
          <cell r="B2754" t="str">
            <v>WEBB, TX</v>
          </cell>
        </row>
        <row r="2755">
          <cell r="A2755">
            <v>48481</v>
          </cell>
          <cell r="B2755" t="str">
            <v>WHARTON, TX</v>
          </cell>
        </row>
        <row r="2756">
          <cell r="A2756">
            <v>48483</v>
          </cell>
          <cell r="B2756" t="str">
            <v>WHEELER, TX</v>
          </cell>
        </row>
        <row r="2757">
          <cell r="A2757">
            <v>48485</v>
          </cell>
          <cell r="B2757" t="str">
            <v>WICHITA, TX</v>
          </cell>
        </row>
        <row r="2758">
          <cell r="A2758">
            <v>48487</v>
          </cell>
          <cell r="B2758" t="str">
            <v>WILBARGER, TX</v>
          </cell>
        </row>
        <row r="2759">
          <cell r="A2759">
            <v>48489</v>
          </cell>
          <cell r="B2759" t="str">
            <v>WILLACY, TX</v>
          </cell>
        </row>
        <row r="2760">
          <cell r="A2760">
            <v>48491</v>
          </cell>
          <cell r="B2760" t="str">
            <v>WILLIAMSON, TX</v>
          </cell>
        </row>
        <row r="2761">
          <cell r="A2761">
            <v>48493</v>
          </cell>
          <cell r="B2761" t="str">
            <v>WILSON, TX</v>
          </cell>
        </row>
        <row r="2762">
          <cell r="A2762">
            <v>48495</v>
          </cell>
          <cell r="B2762" t="str">
            <v>WINKLER, TX</v>
          </cell>
        </row>
        <row r="2763">
          <cell r="A2763">
            <v>48497</v>
          </cell>
          <cell r="B2763" t="str">
            <v>WISE, TX</v>
          </cell>
        </row>
        <row r="2764">
          <cell r="A2764">
            <v>48499</v>
          </cell>
          <cell r="B2764" t="str">
            <v>WOOD, TX</v>
          </cell>
        </row>
        <row r="2765">
          <cell r="A2765">
            <v>48501</v>
          </cell>
          <cell r="B2765" t="str">
            <v>YOAKUM, TX</v>
          </cell>
        </row>
        <row r="2766">
          <cell r="A2766">
            <v>48503</v>
          </cell>
          <cell r="B2766" t="str">
            <v>YOUNG, TX</v>
          </cell>
        </row>
        <row r="2767">
          <cell r="A2767">
            <v>48505</v>
          </cell>
          <cell r="B2767" t="str">
            <v>ZAPATA, TX</v>
          </cell>
        </row>
        <row r="2768">
          <cell r="A2768">
            <v>48507</v>
          </cell>
          <cell r="B2768" t="str">
            <v>ZAVALA, TX</v>
          </cell>
        </row>
        <row r="2769">
          <cell r="A2769">
            <v>49001</v>
          </cell>
          <cell r="B2769" t="str">
            <v>BEAVER, UT</v>
          </cell>
        </row>
        <row r="2770">
          <cell r="A2770">
            <v>49003</v>
          </cell>
          <cell r="B2770" t="str">
            <v>BOX ELDER, UT</v>
          </cell>
        </row>
        <row r="2771">
          <cell r="A2771">
            <v>49005</v>
          </cell>
          <cell r="B2771" t="str">
            <v>CACHE, UT</v>
          </cell>
        </row>
        <row r="2772">
          <cell r="A2772">
            <v>49007</v>
          </cell>
          <cell r="B2772" t="str">
            <v>CARBON, UT</v>
          </cell>
        </row>
        <row r="2773">
          <cell r="A2773">
            <v>49009</v>
          </cell>
          <cell r="B2773" t="str">
            <v>DAGGETT, UT</v>
          </cell>
        </row>
        <row r="2774">
          <cell r="A2774">
            <v>49011</v>
          </cell>
          <cell r="B2774" t="str">
            <v>DAVIS, UT</v>
          </cell>
        </row>
        <row r="2775">
          <cell r="A2775">
            <v>49013</v>
          </cell>
          <cell r="B2775" t="str">
            <v>DUCHESNE, UT</v>
          </cell>
        </row>
        <row r="2776">
          <cell r="A2776">
            <v>49015</v>
          </cell>
          <cell r="B2776" t="str">
            <v>EMERY, UT</v>
          </cell>
        </row>
        <row r="2777">
          <cell r="A2777">
            <v>49017</v>
          </cell>
          <cell r="B2777" t="str">
            <v>GARFIELD, UT</v>
          </cell>
        </row>
        <row r="2778">
          <cell r="A2778">
            <v>49019</v>
          </cell>
          <cell r="B2778" t="str">
            <v>GRAND, UT</v>
          </cell>
        </row>
        <row r="2779">
          <cell r="A2779">
            <v>49021</v>
          </cell>
          <cell r="B2779" t="str">
            <v>IRON, UT</v>
          </cell>
        </row>
        <row r="2780">
          <cell r="A2780">
            <v>49023</v>
          </cell>
          <cell r="B2780" t="str">
            <v>JUAB, UT</v>
          </cell>
        </row>
        <row r="2781">
          <cell r="A2781">
            <v>49025</v>
          </cell>
          <cell r="B2781" t="str">
            <v>KANE, UT</v>
          </cell>
        </row>
        <row r="2782">
          <cell r="A2782">
            <v>49027</v>
          </cell>
          <cell r="B2782" t="str">
            <v>MILLARD, UT</v>
          </cell>
        </row>
        <row r="2783">
          <cell r="A2783">
            <v>49029</v>
          </cell>
          <cell r="B2783" t="str">
            <v>MORGAN, UT</v>
          </cell>
        </row>
        <row r="2784">
          <cell r="A2784">
            <v>49031</v>
          </cell>
          <cell r="B2784" t="str">
            <v>PIUTE, UT</v>
          </cell>
        </row>
        <row r="2785">
          <cell r="A2785">
            <v>49033</v>
          </cell>
          <cell r="B2785" t="str">
            <v>RICH, UT</v>
          </cell>
        </row>
        <row r="2786">
          <cell r="A2786">
            <v>49035</v>
          </cell>
          <cell r="B2786" t="str">
            <v>SALT LAKE, UT</v>
          </cell>
        </row>
        <row r="2787">
          <cell r="A2787">
            <v>49037</v>
          </cell>
          <cell r="B2787" t="str">
            <v>SAN JUAN, UT</v>
          </cell>
        </row>
        <row r="2788">
          <cell r="A2788">
            <v>49039</v>
          </cell>
          <cell r="B2788" t="str">
            <v>SANPETE, UT</v>
          </cell>
        </row>
        <row r="2789">
          <cell r="A2789">
            <v>49041</v>
          </cell>
          <cell r="B2789" t="str">
            <v>SEVIER, UT</v>
          </cell>
        </row>
        <row r="2790">
          <cell r="A2790">
            <v>49043</v>
          </cell>
          <cell r="B2790" t="str">
            <v>SUMMIT, UT</v>
          </cell>
        </row>
        <row r="2791">
          <cell r="A2791">
            <v>49045</v>
          </cell>
          <cell r="B2791" t="str">
            <v>TOOELE, UT</v>
          </cell>
        </row>
        <row r="2792">
          <cell r="A2792">
            <v>49047</v>
          </cell>
          <cell r="B2792" t="str">
            <v>UINTAH, UT</v>
          </cell>
        </row>
        <row r="2793">
          <cell r="A2793">
            <v>49049</v>
          </cell>
          <cell r="B2793" t="str">
            <v>UTAH, UT</v>
          </cell>
        </row>
        <row r="2794">
          <cell r="A2794">
            <v>49051</v>
          </cell>
          <cell r="B2794" t="str">
            <v>WASATCH, UT</v>
          </cell>
        </row>
        <row r="2795">
          <cell r="A2795">
            <v>49053</v>
          </cell>
          <cell r="B2795" t="str">
            <v>WASHINGTON, UT</v>
          </cell>
        </row>
        <row r="2796">
          <cell r="A2796">
            <v>49055</v>
          </cell>
          <cell r="B2796" t="str">
            <v>WAYNE, UT</v>
          </cell>
        </row>
        <row r="2797">
          <cell r="A2797">
            <v>49057</v>
          </cell>
          <cell r="B2797" t="str">
            <v>WEBER, UT</v>
          </cell>
        </row>
        <row r="2798">
          <cell r="A2798">
            <v>50001</v>
          </cell>
          <cell r="B2798" t="str">
            <v>ADDISON, VT</v>
          </cell>
        </row>
        <row r="2799">
          <cell r="A2799">
            <v>50003</v>
          </cell>
          <cell r="B2799" t="str">
            <v>BENNINGTON, VT</v>
          </cell>
        </row>
        <row r="2800">
          <cell r="A2800">
            <v>50005</v>
          </cell>
          <cell r="B2800" t="str">
            <v>CALEDONIA, VT</v>
          </cell>
        </row>
        <row r="2801">
          <cell r="A2801">
            <v>50007</v>
          </cell>
          <cell r="B2801" t="str">
            <v>CHITTENDEN, VT</v>
          </cell>
        </row>
        <row r="2802">
          <cell r="A2802">
            <v>50009</v>
          </cell>
          <cell r="B2802" t="str">
            <v>ESSEX, VT</v>
          </cell>
        </row>
        <row r="2803">
          <cell r="A2803">
            <v>50011</v>
          </cell>
          <cell r="B2803" t="str">
            <v>FRANKLIN, VT</v>
          </cell>
        </row>
        <row r="2804">
          <cell r="A2804">
            <v>50013</v>
          </cell>
          <cell r="B2804" t="str">
            <v>GRAND ISLE, VT</v>
          </cell>
        </row>
        <row r="2805">
          <cell r="A2805">
            <v>50015</v>
          </cell>
          <cell r="B2805" t="str">
            <v>LAMOILLE, VT</v>
          </cell>
        </row>
        <row r="2806">
          <cell r="A2806">
            <v>50017</v>
          </cell>
          <cell r="B2806" t="str">
            <v>ORANGE, VT</v>
          </cell>
        </row>
        <row r="2807">
          <cell r="A2807">
            <v>50019</v>
          </cell>
          <cell r="B2807" t="str">
            <v>ORLEANS, VT</v>
          </cell>
        </row>
        <row r="2808">
          <cell r="A2808">
            <v>50021</v>
          </cell>
          <cell r="B2808" t="str">
            <v>RUTLAND, VT</v>
          </cell>
        </row>
        <row r="2809">
          <cell r="A2809">
            <v>50023</v>
          </cell>
          <cell r="B2809" t="str">
            <v>WASHINGTON, VT</v>
          </cell>
        </row>
        <row r="2810">
          <cell r="A2810">
            <v>50025</v>
          </cell>
          <cell r="B2810" t="str">
            <v>WINDHAM, VT</v>
          </cell>
        </row>
        <row r="2811">
          <cell r="A2811">
            <v>50027</v>
          </cell>
          <cell r="B2811" t="str">
            <v>WINDSOR, VT</v>
          </cell>
        </row>
        <row r="2812">
          <cell r="A2812">
            <v>51001</v>
          </cell>
          <cell r="B2812" t="str">
            <v>ACCOMACK, VA</v>
          </cell>
        </row>
        <row r="2813">
          <cell r="A2813">
            <v>51003</v>
          </cell>
          <cell r="B2813" t="str">
            <v>ALBEMARLE, VA</v>
          </cell>
        </row>
        <row r="2814">
          <cell r="A2814">
            <v>51005</v>
          </cell>
          <cell r="B2814" t="str">
            <v>ALLEGHANY, VA</v>
          </cell>
        </row>
        <row r="2815">
          <cell r="A2815">
            <v>51007</v>
          </cell>
          <cell r="B2815" t="str">
            <v>AMELIA, VA</v>
          </cell>
        </row>
        <row r="2816">
          <cell r="A2816">
            <v>51009</v>
          </cell>
          <cell r="B2816" t="str">
            <v>AMHERST, VA</v>
          </cell>
        </row>
        <row r="2817">
          <cell r="A2817">
            <v>51011</v>
          </cell>
          <cell r="B2817" t="str">
            <v>APPOMATTOX, VA</v>
          </cell>
        </row>
        <row r="2818">
          <cell r="A2818">
            <v>51013</v>
          </cell>
          <cell r="B2818" t="str">
            <v>ARLINGTON, VA</v>
          </cell>
        </row>
        <row r="2819">
          <cell r="A2819">
            <v>51015</v>
          </cell>
          <cell r="B2819" t="str">
            <v>AUGUSTA, VA</v>
          </cell>
        </row>
        <row r="2820">
          <cell r="A2820">
            <v>51017</v>
          </cell>
          <cell r="B2820" t="str">
            <v>BATH, VA</v>
          </cell>
        </row>
        <row r="2821">
          <cell r="A2821">
            <v>51019</v>
          </cell>
          <cell r="B2821" t="str">
            <v>BEDFORD, VA</v>
          </cell>
        </row>
        <row r="2822">
          <cell r="A2822">
            <v>51021</v>
          </cell>
          <cell r="B2822" t="str">
            <v>BLAND, VA</v>
          </cell>
        </row>
        <row r="2823">
          <cell r="A2823">
            <v>51023</v>
          </cell>
          <cell r="B2823" t="str">
            <v>BOTETOURT, VA</v>
          </cell>
        </row>
        <row r="2824">
          <cell r="A2824">
            <v>51025</v>
          </cell>
          <cell r="B2824" t="str">
            <v>BRUNSWICK, VA</v>
          </cell>
        </row>
        <row r="2825">
          <cell r="A2825">
            <v>51027</v>
          </cell>
          <cell r="B2825" t="str">
            <v>BUCHANAN, VA</v>
          </cell>
        </row>
        <row r="2826">
          <cell r="A2826">
            <v>51029</v>
          </cell>
          <cell r="B2826" t="str">
            <v>BUCKINGHAM, VA</v>
          </cell>
        </row>
        <row r="2827">
          <cell r="A2827">
            <v>51031</v>
          </cell>
          <cell r="B2827" t="str">
            <v>CAMPBELL, VA</v>
          </cell>
        </row>
        <row r="2828">
          <cell r="A2828">
            <v>51033</v>
          </cell>
          <cell r="B2828" t="str">
            <v>CAROLINE, VA</v>
          </cell>
        </row>
        <row r="2829">
          <cell r="A2829">
            <v>51035</v>
          </cell>
          <cell r="B2829" t="str">
            <v>CARROLL, VA</v>
          </cell>
        </row>
        <row r="2830">
          <cell r="A2830">
            <v>51036</v>
          </cell>
          <cell r="B2830" t="str">
            <v>CHARLES CITY, VA</v>
          </cell>
        </row>
        <row r="2831">
          <cell r="A2831">
            <v>51037</v>
          </cell>
          <cell r="B2831" t="str">
            <v>CHARLOTTE, VA</v>
          </cell>
        </row>
        <row r="2832">
          <cell r="A2832">
            <v>51041</v>
          </cell>
          <cell r="B2832" t="str">
            <v>CHESTERFIELD, VA</v>
          </cell>
        </row>
        <row r="2833">
          <cell r="A2833">
            <v>51043</v>
          </cell>
          <cell r="B2833" t="str">
            <v>CLARKE, VA</v>
          </cell>
        </row>
        <row r="2834">
          <cell r="A2834">
            <v>51045</v>
          </cell>
          <cell r="B2834" t="str">
            <v>CRAIG, VA</v>
          </cell>
        </row>
        <row r="2835">
          <cell r="A2835">
            <v>51047</v>
          </cell>
          <cell r="B2835" t="str">
            <v>CULPEPER, VA</v>
          </cell>
        </row>
        <row r="2836">
          <cell r="A2836">
            <v>51049</v>
          </cell>
          <cell r="B2836" t="str">
            <v>CUMBERLAND, VA</v>
          </cell>
        </row>
        <row r="2837">
          <cell r="A2837">
            <v>51051</v>
          </cell>
          <cell r="B2837" t="str">
            <v>DICKENSON, VA</v>
          </cell>
        </row>
        <row r="2838">
          <cell r="A2838">
            <v>51053</v>
          </cell>
          <cell r="B2838" t="str">
            <v>DINWIDDIE, VA</v>
          </cell>
        </row>
        <row r="2839">
          <cell r="A2839">
            <v>51057</v>
          </cell>
          <cell r="B2839" t="str">
            <v>ESSEX, VA</v>
          </cell>
        </row>
        <row r="2840">
          <cell r="A2840">
            <v>51059</v>
          </cell>
          <cell r="B2840" t="str">
            <v>FAIRFAX, VA</v>
          </cell>
        </row>
        <row r="2841">
          <cell r="A2841">
            <v>51061</v>
          </cell>
          <cell r="B2841" t="str">
            <v>FAUQUIER, VA</v>
          </cell>
        </row>
        <row r="2842">
          <cell r="A2842">
            <v>51063</v>
          </cell>
          <cell r="B2842" t="str">
            <v>FLOYD, VA</v>
          </cell>
        </row>
        <row r="2843">
          <cell r="A2843">
            <v>51065</v>
          </cell>
          <cell r="B2843" t="str">
            <v>FLUVANNA, VA</v>
          </cell>
        </row>
        <row r="2844">
          <cell r="A2844">
            <v>51067</v>
          </cell>
          <cell r="B2844" t="str">
            <v>FRANKLIN, VA</v>
          </cell>
        </row>
        <row r="2845">
          <cell r="A2845">
            <v>51069</v>
          </cell>
          <cell r="B2845" t="str">
            <v>FREDERICK, VA</v>
          </cell>
        </row>
        <row r="2846">
          <cell r="A2846">
            <v>51071</v>
          </cell>
          <cell r="B2846" t="str">
            <v>GILES, VA</v>
          </cell>
        </row>
        <row r="2847">
          <cell r="A2847">
            <v>51073</v>
          </cell>
          <cell r="B2847" t="str">
            <v>GLOUCESTER, VA</v>
          </cell>
        </row>
        <row r="2848">
          <cell r="A2848">
            <v>51075</v>
          </cell>
          <cell r="B2848" t="str">
            <v>GOOCHLAND, VA</v>
          </cell>
        </row>
        <row r="2849">
          <cell r="A2849">
            <v>51077</v>
          </cell>
          <cell r="B2849" t="str">
            <v>GRAYSON, VA</v>
          </cell>
        </row>
        <row r="2850">
          <cell r="A2850">
            <v>51079</v>
          </cell>
          <cell r="B2850" t="str">
            <v>GREENE, VA</v>
          </cell>
        </row>
        <row r="2851">
          <cell r="A2851">
            <v>51081</v>
          </cell>
          <cell r="B2851" t="str">
            <v>GREENSVILLE, VA</v>
          </cell>
        </row>
        <row r="2852">
          <cell r="A2852">
            <v>51083</v>
          </cell>
          <cell r="B2852" t="str">
            <v>HALIFAX, VA</v>
          </cell>
        </row>
        <row r="2853">
          <cell r="A2853">
            <v>51085</v>
          </cell>
          <cell r="B2853" t="str">
            <v>HANOVER, VA</v>
          </cell>
        </row>
        <row r="2854">
          <cell r="A2854">
            <v>51087</v>
          </cell>
          <cell r="B2854" t="str">
            <v>HENRICO, VA</v>
          </cell>
        </row>
        <row r="2855">
          <cell r="A2855">
            <v>51089</v>
          </cell>
          <cell r="B2855" t="str">
            <v>HENRY, VA</v>
          </cell>
        </row>
        <row r="2856">
          <cell r="A2856">
            <v>51091</v>
          </cell>
          <cell r="B2856" t="str">
            <v>HIGHLAND, VA</v>
          </cell>
        </row>
        <row r="2857">
          <cell r="A2857">
            <v>51093</v>
          </cell>
          <cell r="B2857" t="str">
            <v>ISLE OF WIGHT, VA</v>
          </cell>
        </row>
        <row r="2858">
          <cell r="A2858">
            <v>51095</v>
          </cell>
          <cell r="B2858" t="str">
            <v>JAMES CITY, VA</v>
          </cell>
        </row>
        <row r="2859">
          <cell r="A2859">
            <v>51097</v>
          </cell>
          <cell r="B2859" t="str">
            <v>KING AND QUEEN, VA</v>
          </cell>
        </row>
        <row r="2860">
          <cell r="A2860">
            <v>51099</v>
          </cell>
          <cell r="B2860" t="str">
            <v>KING GEORGE, VA</v>
          </cell>
        </row>
        <row r="2861">
          <cell r="A2861">
            <v>51101</v>
          </cell>
          <cell r="B2861" t="str">
            <v>KING WILLIAM, VA</v>
          </cell>
        </row>
        <row r="2862">
          <cell r="A2862">
            <v>51103</v>
          </cell>
          <cell r="B2862" t="str">
            <v>LANCASTER, VA</v>
          </cell>
        </row>
        <row r="2863">
          <cell r="A2863">
            <v>51105</v>
          </cell>
          <cell r="B2863" t="str">
            <v>LEE, VA</v>
          </cell>
        </row>
        <row r="2864">
          <cell r="A2864">
            <v>51107</v>
          </cell>
          <cell r="B2864" t="str">
            <v>LOUDOUN, VA</v>
          </cell>
        </row>
        <row r="2865">
          <cell r="A2865">
            <v>51109</v>
          </cell>
          <cell r="B2865" t="str">
            <v>LOUISA, VA</v>
          </cell>
        </row>
        <row r="2866">
          <cell r="A2866">
            <v>51111</v>
          </cell>
          <cell r="B2866" t="str">
            <v>LUNENBERG, VA</v>
          </cell>
        </row>
        <row r="2867">
          <cell r="A2867">
            <v>51113</v>
          </cell>
          <cell r="B2867" t="str">
            <v>MADISON, VA</v>
          </cell>
        </row>
        <row r="2868">
          <cell r="A2868">
            <v>51115</v>
          </cell>
          <cell r="B2868" t="str">
            <v>MATHEWS, VA</v>
          </cell>
        </row>
        <row r="2869">
          <cell r="A2869">
            <v>51117</v>
          </cell>
          <cell r="B2869" t="str">
            <v>MECKLENBURG, VA</v>
          </cell>
        </row>
        <row r="2870">
          <cell r="A2870">
            <v>51119</v>
          </cell>
          <cell r="B2870" t="str">
            <v>MIDDLESEX, VA</v>
          </cell>
        </row>
        <row r="2871">
          <cell r="A2871">
            <v>51121</v>
          </cell>
          <cell r="B2871" t="str">
            <v>MONTGOMERY, VA</v>
          </cell>
        </row>
        <row r="2872">
          <cell r="A2872">
            <v>51125</v>
          </cell>
          <cell r="B2872" t="str">
            <v>NELSON, VA</v>
          </cell>
        </row>
        <row r="2873">
          <cell r="A2873">
            <v>51127</v>
          </cell>
          <cell r="B2873" t="str">
            <v>NEW KENT, VA</v>
          </cell>
        </row>
        <row r="2874">
          <cell r="A2874">
            <v>51131</v>
          </cell>
          <cell r="B2874" t="str">
            <v>NORTHAMPTON, VA</v>
          </cell>
        </row>
        <row r="2875">
          <cell r="A2875">
            <v>51133</v>
          </cell>
          <cell r="B2875" t="str">
            <v>NORTHUMBERLAND, VA</v>
          </cell>
        </row>
        <row r="2876">
          <cell r="A2876">
            <v>51135</v>
          </cell>
          <cell r="B2876" t="str">
            <v>NOTTOWAY, VA</v>
          </cell>
        </row>
        <row r="2877">
          <cell r="A2877">
            <v>51137</v>
          </cell>
          <cell r="B2877" t="str">
            <v>ORANGE, VA</v>
          </cell>
        </row>
        <row r="2878">
          <cell r="A2878">
            <v>51139</v>
          </cell>
          <cell r="B2878" t="str">
            <v>PAGE, VA</v>
          </cell>
        </row>
        <row r="2879">
          <cell r="A2879">
            <v>51141</v>
          </cell>
          <cell r="B2879" t="str">
            <v>PATRICK, VA</v>
          </cell>
        </row>
        <row r="2880">
          <cell r="A2880">
            <v>51143</v>
          </cell>
          <cell r="B2880" t="str">
            <v>PITTSYLVANIA, VA</v>
          </cell>
        </row>
        <row r="2881">
          <cell r="A2881">
            <v>51145</v>
          </cell>
          <cell r="B2881" t="str">
            <v>POWHATAN, VA</v>
          </cell>
        </row>
        <row r="2882">
          <cell r="A2882">
            <v>51147</v>
          </cell>
          <cell r="B2882" t="str">
            <v>PRINCE EDWARD, VA</v>
          </cell>
        </row>
        <row r="2883">
          <cell r="A2883">
            <v>51149</v>
          </cell>
          <cell r="B2883" t="str">
            <v>PRINCE GEORGE, VA</v>
          </cell>
        </row>
        <row r="2884">
          <cell r="A2884">
            <v>51153</v>
          </cell>
          <cell r="B2884" t="str">
            <v>PRINCE WILLIAM, VA</v>
          </cell>
        </row>
        <row r="2885">
          <cell r="A2885">
            <v>51155</v>
          </cell>
          <cell r="B2885" t="str">
            <v>PULASKI, VA</v>
          </cell>
        </row>
        <row r="2886">
          <cell r="A2886">
            <v>51157</v>
          </cell>
          <cell r="B2886" t="str">
            <v>RAPPAHANNOCK, VA</v>
          </cell>
        </row>
        <row r="2887">
          <cell r="A2887">
            <v>51159</v>
          </cell>
          <cell r="B2887" t="str">
            <v>RICHMOND, VA</v>
          </cell>
        </row>
        <row r="2888">
          <cell r="A2888">
            <v>51161</v>
          </cell>
          <cell r="B2888" t="str">
            <v>ROANOKE, VA</v>
          </cell>
        </row>
        <row r="2889">
          <cell r="A2889">
            <v>51163</v>
          </cell>
          <cell r="B2889" t="str">
            <v>ROCKBRIDGE, VA</v>
          </cell>
        </row>
        <row r="2890">
          <cell r="A2890">
            <v>51165</v>
          </cell>
          <cell r="B2890" t="str">
            <v>ROCKINGHAM, VA</v>
          </cell>
        </row>
        <row r="2891">
          <cell r="A2891">
            <v>51167</v>
          </cell>
          <cell r="B2891" t="str">
            <v>RUSSELL, VA</v>
          </cell>
        </row>
        <row r="2892">
          <cell r="A2892">
            <v>51169</v>
          </cell>
          <cell r="B2892" t="str">
            <v>SCOTT, VA</v>
          </cell>
        </row>
        <row r="2893">
          <cell r="A2893">
            <v>51171</v>
          </cell>
          <cell r="B2893" t="str">
            <v>SHENANDOAH, VA</v>
          </cell>
        </row>
        <row r="2894">
          <cell r="A2894">
            <v>51173</v>
          </cell>
          <cell r="B2894" t="str">
            <v>SMYTH, VA</v>
          </cell>
        </row>
        <row r="2895">
          <cell r="A2895">
            <v>51175</v>
          </cell>
          <cell r="B2895" t="str">
            <v>SOUTHAMPTON, VA</v>
          </cell>
        </row>
        <row r="2896">
          <cell r="A2896">
            <v>51177</v>
          </cell>
          <cell r="B2896" t="str">
            <v>SPOTSYLVANIA, VA</v>
          </cell>
        </row>
        <row r="2897">
          <cell r="A2897">
            <v>51179</v>
          </cell>
          <cell r="B2897" t="str">
            <v>STAFFORD, VA</v>
          </cell>
        </row>
        <row r="2898">
          <cell r="A2898">
            <v>51181</v>
          </cell>
          <cell r="B2898" t="str">
            <v>SURRY, VA</v>
          </cell>
        </row>
        <row r="2899">
          <cell r="A2899">
            <v>51183</v>
          </cell>
          <cell r="B2899" t="str">
            <v>SUSSEX, VA</v>
          </cell>
        </row>
        <row r="2900">
          <cell r="A2900">
            <v>51185</v>
          </cell>
          <cell r="B2900" t="str">
            <v>TAZEWELL, VA</v>
          </cell>
        </row>
        <row r="2901">
          <cell r="A2901">
            <v>51187</v>
          </cell>
          <cell r="B2901" t="str">
            <v>WARREN, VA</v>
          </cell>
        </row>
        <row r="2902">
          <cell r="A2902">
            <v>51191</v>
          </cell>
          <cell r="B2902" t="str">
            <v>WASHINGTON, VA</v>
          </cell>
        </row>
        <row r="2903">
          <cell r="A2903">
            <v>51193</v>
          </cell>
          <cell r="B2903" t="str">
            <v>WESTMORELAND, VA</v>
          </cell>
        </row>
        <row r="2904">
          <cell r="A2904">
            <v>51195</v>
          </cell>
          <cell r="B2904" t="str">
            <v>WISE, VA</v>
          </cell>
        </row>
        <row r="2905">
          <cell r="A2905">
            <v>51197</v>
          </cell>
          <cell r="B2905" t="str">
            <v>WYTHE, VA</v>
          </cell>
        </row>
        <row r="2906">
          <cell r="A2906">
            <v>51199</v>
          </cell>
          <cell r="B2906" t="str">
            <v>YORK, VA</v>
          </cell>
        </row>
        <row r="2907">
          <cell r="A2907">
            <v>51510</v>
          </cell>
          <cell r="B2907" t="str">
            <v>ALEXANDRIA CITY, VA</v>
          </cell>
        </row>
        <row r="2908">
          <cell r="A2908">
            <v>51520</v>
          </cell>
          <cell r="B2908" t="str">
            <v>BRISTOL CITY, VA</v>
          </cell>
        </row>
        <row r="2909">
          <cell r="A2909">
            <v>51530</v>
          </cell>
          <cell r="B2909" t="str">
            <v>BUENA VISTA CITY, VA</v>
          </cell>
        </row>
        <row r="2910">
          <cell r="A2910">
            <v>51540</v>
          </cell>
          <cell r="B2910" t="str">
            <v>CHARLOTTESVILLE CITY, VA</v>
          </cell>
        </row>
        <row r="2911">
          <cell r="A2911">
            <v>51550</v>
          </cell>
          <cell r="B2911" t="str">
            <v>CHESAPEAKE CITY, VA</v>
          </cell>
        </row>
        <row r="2912">
          <cell r="A2912">
            <v>51560</v>
          </cell>
          <cell r="B2912" t="str">
            <v>CLIFTON FORGE CITY, VA</v>
          </cell>
        </row>
        <row r="2913">
          <cell r="A2913">
            <v>51570</v>
          </cell>
          <cell r="B2913" t="str">
            <v>COLONIAL HEIGHTS CY, VA</v>
          </cell>
        </row>
        <row r="2914">
          <cell r="A2914">
            <v>51590</v>
          </cell>
          <cell r="B2914" t="str">
            <v>DANVILLE CITY, VA</v>
          </cell>
        </row>
        <row r="2915">
          <cell r="A2915">
            <v>51600</v>
          </cell>
          <cell r="B2915" t="str">
            <v>FAIRFAX CITY, VA</v>
          </cell>
        </row>
        <row r="2916">
          <cell r="A2916">
            <v>51610</v>
          </cell>
          <cell r="B2916" t="str">
            <v>FALLS CHURCH CITY, VA</v>
          </cell>
        </row>
        <row r="2917">
          <cell r="A2917">
            <v>51620</v>
          </cell>
          <cell r="B2917" t="str">
            <v>FRANKLIN CITY, VA</v>
          </cell>
        </row>
        <row r="2918">
          <cell r="A2918">
            <v>51640</v>
          </cell>
          <cell r="B2918" t="str">
            <v>GALAX CITY, VA</v>
          </cell>
        </row>
        <row r="2919">
          <cell r="A2919">
            <v>51650</v>
          </cell>
          <cell r="B2919" t="str">
            <v>HAMPTON CITY, VA</v>
          </cell>
        </row>
        <row r="2920">
          <cell r="A2920">
            <v>51660</v>
          </cell>
          <cell r="B2920" t="str">
            <v>HARRISONBURG CITY, VA</v>
          </cell>
        </row>
        <row r="2921">
          <cell r="A2921">
            <v>51670</v>
          </cell>
          <cell r="B2921" t="str">
            <v>HOPEWELL CITY, VA</v>
          </cell>
        </row>
        <row r="2922">
          <cell r="A2922">
            <v>51678</v>
          </cell>
          <cell r="B2922" t="str">
            <v>LEXINGTON CITY, VA</v>
          </cell>
        </row>
        <row r="2923">
          <cell r="A2923">
            <v>51680</v>
          </cell>
          <cell r="B2923" t="str">
            <v>LYNCHBURG CITY, VA</v>
          </cell>
        </row>
        <row r="2924">
          <cell r="A2924">
            <v>51685</v>
          </cell>
          <cell r="B2924" t="str">
            <v>MANASSAS PARK CITY, VA</v>
          </cell>
        </row>
        <row r="2925">
          <cell r="A2925">
            <v>51700</v>
          </cell>
          <cell r="B2925" t="str">
            <v>NEWPORT NEWS CITY, VA</v>
          </cell>
        </row>
        <row r="2926">
          <cell r="A2926">
            <v>51710</v>
          </cell>
          <cell r="B2926" t="str">
            <v>NORFOLK CITY, VA</v>
          </cell>
        </row>
        <row r="2927">
          <cell r="A2927">
            <v>51720</v>
          </cell>
          <cell r="B2927" t="str">
            <v>NORTON CITY, VA</v>
          </cell>
        </row>
        <row r="2928">
          <cell r="A2928">
            <v>51730</v>
          </cell>
          <cell r="B2928" t="str">
            <v>PETERSBURG CITY, VA</v>
          </cell>
        </row>
        <row r="2929">
          <cell r="A2929">
            <v>51735</v>
          </cell>
          <cell r="B2929" t="str">
            <v>POQUOSON CITY, VA</v>
          </cell>
        </row>
        <row r="2930">
          <cell r="A2930">
            <v>51740</v>
          </cell>
          <cell r="B2930" t="str">
            <v>PORTSMOUTH CITY, VA</v>
          </cell>
        </row>
        <row r="2931">
          <cell r="A2931">
            <v>51750</v>
          </cell>
          <cell r="B2931" t="str">
            <v>RADFORD CITY, VA</v>
          </cell>
        </row>
        <row r="2932">
          <cell r="A2932">
            <v>51760</v>
          </cell>
          <cell r="B2932" t="str">
            <v>RICHMOND CITY, VA</v>
          </cell>
        </row>
        <row r="2933">
          <cell r="A2933">
            <v>51770</v>
          </cell>
          <cell r="B2933" t="str">
            <v>ROANOKE CITY, VA</v>
          </cell>
        </row>
        <row r="2934">
          <cell r="A2934">
            <v>51775</v>
          </cell>
          <cell r="B2934" t="str">
            <v>SALEM CITY, VA</v>
          </cell>
        </row>
        <row r="2935">
          <cell r="A2935">
            <v>51790</v>
          </cell>
          <cell r="B2935" t="str">
            <v>STAUNTON CITY, VA</v>
          </cell>
        </row>
        <row r="2936">
          <cell r="A2936">
            <v>51800</v>
          </cell>
          <cell r="B2936" t="str">
            <v>SUFFOLK CITY, VA</v>
          </cell>
        </row>
        <row r="2937">
          <cell r="A2937">
            <v>51810</v>
          </cell>
          <cell r="B2937" t="str">
            <v>VIRGINIA BEACH CITY, VA</v>
          </cell>
        </row>
        <row r="2938">
          <cell r="A2938">
            <v>51820</v>
          </cell>
          <cell r="B2938" t="str">
            <v>WAYNESBORO CITY, VA</v>
          </cell>
        </row>
        <row r="2939">
          <cell r="A2939">
            <v>51840</v>
          </cell>
          <cell r="B2939" t="str">
            <v>WINCHESTER CITY, VA</v>
          </cell>
        </row>
        <row r="2940">
          <cell r="A2940">
            <v>53001</v>
          </cell>
          <cell r="B2940" t="str">
            <v>ADAMS, WA</v>
          </cell>
        </row>
        <row r="2941">
          <cell r="A2941">
            <v>53003</v>
          </cell>
          <cell r="B2941" t="str">
            <v>ASOTIN, WA</v>
          </cell>
        </row>
        <row r="2942">
          <cell r="A2942">
            <v>53005</v>
          </cell>
          <cell r="B2942" t="str">
            <v>BENTON, WA</v>
          </cell>
        </row>
        <row r="2943">
          <cell r="A2943">
            <v>53007</v>
          </cell>
          <cell r="B2943" t="str">
            <v>CHELAN, WA</v>
          </cell>
        </row>
        <row r="2944">
          <cell r="A2944">
            <v>53009</v>
          </cell>
          <cell r="B2944" t="str">
            <v>CLALLAM, WA</v>
          </cell>
        </row>
        <row r="2945">
          <cell r="A2945">
            <v>53011</v>
          </cell>
          <cell r="B2945" t="str">
            <v>CLARK, WA</v>
          </cell>
        </row>
        <row r="2946">
          <cell r="A2946">
            <v>53013</v>
          </cell>
          <cell r="B2946" t="str">
            <v>COLUMBIA, WA</v>
          </cell>
        </row>
        <row r="2947">
          <cell r="A2947">
            <v>53015</v>
          </cell>
          <cell r="B2947" t="str">
            <v>COWLITZ, WA</v>
          </cell>
        </row>
        <row r="2948">
          <cell r="A2948">
            <v>53017</v>
          </cell>
          <cell r="B2948" t="str">
            <v>DOUGLAS, WA</v>
          </cell>
        </row>
        <row r="2949">
          <cell r="A2949">
            <v>53019</v>
          </cell>
          <cell r="B2949" t="str">
            <v>FERRY, WA</v>
          </cell>
        </row>
        <row r="2950">
          <cell r="A2950">
            <v>53021</v>
          </cell>
          <cell r="B2950" t="str">
            <v>FRANKLIN, WA</v>
          </cell>
        </row>
        <row r="2951">
          <cell r="A2951">
            <v>53023</v>
          </cell>
          <cell r="B2951" t="str">
            <v>GARFIELD, WA</v>
          </cell>
        </row>
        <row r="2952">
          <cell r="A2952">
            <v>53025</v>
          </cell>
          <cell r="B2952" t="str">
            <v>GRANT, WA</v>
          </cell>
        </row>
        <row r="2953">
          <cell r="A2953">
            <v>53027</v>
          </cell>
          <cell r="B2953" t="str">
            <v>GRAYS HARBOR, WA</v>
          </cell>
        </row>
        <row r="2954">
          <cell r="A2954">
            <v>53029</v>
          </cell>
          <cell r="B2954" t="str">
            <v>ISLAND, WA</v>
          </cell>
        </row>
        <row r="2955">
          <cell r="A2955">
            <v>53031</v>
          </cell>
          <cell r="B2955" t="str">
            <v>JEFFERSON, WA</v>
          </cell>
        </row>
        <row r="2956">
          <cell r="A2956">
            <v>53033</v>
          </cell>
          <cell r="B2956" t="str">
            <v>KING, WA</v>
          </cell>
        </row>
        <row r="2957">
          <cell r="A2957">
            <v>53035</v>
          </cell>
          <cell r="B2957" t="str">
            <v>KITSAP, WA</v>
          </cell>
        </row>
        <row r="2958">
          <cell r="A2958">
            <v>53037</v>
          </cell>
          <cell r="B2958" t="str">
            <v>KITTITAS, WA</v>
          </cell>
        </row>
        <row r="2959">
          <cell r="A2959">
            <v>53039</v>
          </cell>
          <cell r="B2959" t="str">
            <v>KLICKITAT, WA</v>
          </cell>
        </row>
        <row r="2960">
          <cell r="A2960">
            <v>53041</v>
          </cell>
          <cell r="B2960" t="str">
            <v>LEWIS, WA</v>
          </cell>
        </row>
        <row r="2961">
          <cell r="A2961">
            <v>53043</v>
          </cell>
          <cell r="B2961" t="str">
            <v>LINCOLN, WA</v>
          </cell>
        </row>
        <row r="2962">
          <cell r="A2962">
            <v>53045</v>
          </cell>
          <cell r="B2962" t="str">
            <v>MASON, WA</v>
          </cell>
        </row>
        <row r="2963">
          <cell r="A2963">
            <v>53047</v>
          </cell>
          <cell r="B2963" t="str">
            <v>OKANOGAN, WA</v>
          </cell>
        </row>
        <row r="2964">
          <cell r="A2964">
            <v>53049</v>
          </cell>
          <cell r="B2964" t="str">
            <v>PACIFIC, WA</v>
          </cell>
        </row>
        <row r="2965">
          <cell r="A2965">
            <v>53051</v>
          </cell>
          <cell r="B2965" t="str">
            <v>PEND OREILLE, WA</v>
          </cell>
        </row>
        <row r="2966">
          <cell r="A2966">
            <v>53053</v>
          </cell>
          <cell r="B2966" t="str">
            <v>PIERCE, WA</v>
          </cell>
        </row>
        <row r="2967">
          <cell r="A2967">
            <v>53055</v>
          </cell>
          <cell r="B2967" t="str">
            <v>SAN JUAN, WA</v>
          </cell>
        </row>
        <row r="2968">
          <cell r="A2968">
            <v>53057</v>
          </cell>
          <cell r="B2968" t="str">
            <v>SKAGIT, WA</v>
          </cell>
        </row>
        <row r="2969">
          <cell r="A2969">
            <v>53059</v>
          </cell>
          <cell r="B2969" t="str">
            <v>SKAMANIA, WA</v>
          </cell>
        </row>
        <row r="2970">
          <cell r="A2970">
            <v>53061</v>
          </cell>
          <cell r="B2970" t="str">
            <v>SNOHOMISH, WA</v>
          </cell>
        </row>
        <row r="2971">
          <cell r="A2971">
            <v>53063</v>
          </cell>
          <cell r="B2971" t="str">
            <v>SPOKANE, WA</v>
          </cell>
        </row>
        <row r="2972">
          <cell r="A2972">
            <v>53065</v>
          </cell>
          <cell r="B2972" t="str">
            <v>STEVENS, WA</v>
          </cell>
        </row>
        <row r="2973">
          <cell r="A2973">
            <v>53067</v>
          </cell>
          <cell r="B2973" t="str">
            <v>THURSTON, WA</v>
          </cell>
        </row>
        <row r="2974">
          <cell r="A2974">
            <v>53069</v>
          </cell>
          <cell r="B2974" t="str">
            <v>WAHKIAKUM, WA</v>
          </cell>
        </row>
        <row r="2975">
          <cell r="A2975">
            <v>53071</v>
          </cell>
          <cell r="B2975" t="str">
            <v>WALLA WALLA, WA</v>
          </cell>
        </row>
        <row r="2976">
          <cell r="A2976">
            <v>53073</v>
          </cell>
          <cell r="B2976" t="str">
            <v>WHATCOM, WA</v>
          </cell>
        </row>
        <row r="2977">
          <cell r="A2977">
            <v>53075</v>
          </cell>
          <cell r="B2977" t="str">
            <v>WHITMAN, WA</v>
          </cell>
        </row>
        <row r="2978">
          <cell r="A2978">
            <v>53077</v>
          </cell>
          <cell r="B2978" t="str">
            <v>YAKIMA, WA</v>
          </cell>
        </row>
        <row r="2979">
          <cell r="A2979">
            <v>54001</v>
          </cell>
          <cell r="B2979" t="str">
            <v>BARBOUR, WV</v>
          </cell>
        </row>
        <row r="2980">
          <cell r="A2980">
            <v>54003</v>
          </cell>
          <cell r="B2980" t="str">
            <v>BERKELEY, WV</v>
          </cell>
        </row>
        <row r="2981">
          <cell r="A2981">
            <v>54005</v>
          </cell>
          <cell r="B2981" t="str">
            <v>BOONE, WV</v>
          </cell>
        </row>
        <row r="2982">
          <cell r="A2982">
            <v>54007</v>
          </cell>
          <cell r="B2982" t="str">
            <v>BRAXTON, WV</v>
          </cell>
        </row>
        <row r="2983">
          <cell r="A2983">
            <v>54009</v>
          </cell>
          <cell r="B2983" t="str">
            <v>BROOKE, WV</v>
          </cell>
        </row>
        <row r="2984">
          <cell r="A2984">
            <v>54011</v>
          </cell>
          <cell r="B2984" t="str">
            <v>CABELL, WV</v>
          </cell>
        </row>
        <row r="2985">
          <cell r="A2985">
            <v>54013</v>
          </cell>
          <cell r="B2985" t="str">
            <v>CALHOUN, WV</v>
          </cell>
        </row>
        <row r="2986">
          <cell r="A2986">
            <v>54015</v>
          </cell>
          <cell r="B2986" t="str">
            <v>CLAY, WV</v>
          </cell>
        </row>
        <row r="2987">
          <cell r="A2987">
            <v>54017</v>
          </cell>
          <cell r="B2987" t="str">
            <v>DODDRIDGE, WV</v>
          </cell>
        </row>
        <row r="2988">
          <cell r="A2988">
            <v>54019</v>
          </cell>
          <cell r="B2988" t="str">
            <v>FAYETTE, WV</v>
          </cell>
        </row>
        <row r="2989">
          <cell r="A2989">
            <v>54021</v>
          </cell>
          <cell r="B2989" t="str">
            <v>GILMER, WV</v>
          </cell>
        </row>
        <row r="2990">
          <cell r="A2990">
            <v>54023</v>
          </cell>
          <cell r="B2990" t="str">
            <v>GRANT, WV</v>
          </cell>
        </row>
        <row r="2991">
          <cell r="A2991">
            <v>54025</v>
          </cell>
          <cell r="B2991" t="str">
            <v>GREENBRIER, WV</v>
          </cell>
        </row>
        <row r="2992">
          <cell r="A2992">
            <v>54027</v>
          </cell>
          <cell r="B2992" t="str">
            <v>HAMPSHIRE, WV</v>
          </cell>
        </row>
        <row r="2993">
          <cell r="A2993">
            <v>54029</v>
          </cell>
          <cell r="B2993" t="str">
            <v>HANCOCK, WV</v>
          </cell>
        </row>
        <row r="2994">
          <cell r="A2994">
            <v>54031</v>
          </cell>
          <cell r="B2994" t="str">
            <v>HARDY, WV</v>
          </cell>
        </row>
        <row r="2995">
          <cell r="A2995">
            <v>54033</v>
          </cell>
          <cell r="B2995" t="str">
            <v>HARRISON, WV</v>
          </cell>
        </row>
        <row r="2996">
          <cell r="A2996">
            <v>54035</v>
          </cell>
          <cell r="B2996" t="str">
            <v>JACKSON, WV</v>
          </cell>
        </row>
        <row r="2997">
          <cell r="A2997">
            <v>54037</v>
          </cell>
          <cell r="B2997" t="str">
            <v>JEFFERSON, WV</v>
          </cell>
        </row>
        <row r="2998">
          <cell r="A2998">
            <v>54039</v>
          </cell>
          <cell r="B2998" t="str">
            <v>KANAWHA, WV</v>
          </cell>
        </row>
        <row r="2999">
          <cell r="A2999">
            <v>54041</v>
          </cell>
          <cell r="B2999" t="str">
            <v>LEWIS, WV</v>
          </cell>
        </row>
        <row r="3000">
          <cell r="A3000">
            <v>54043</v>
          </cell>
          <cell r="B3000" t="str">
            <v>LINCOLN, WV</v>
          </cell>
        </row>
        <row r="3001">
          <cell r="A3001">
            <v>54045</v>
          </cell>
          <cell r="B3001" t="str">
            <v>LOGAN, WV</v>
          </cell>
        </row>
        <row r="3002">
          <cell r="A3002">
            <v>54047</v>
          </cell>
          <cell r="B3002" t="str">
            <v>MCDOWELL, WV</v>
          </cell>
        </row>
        <row r="3003">
          <cell r="A3003">
            <v>54049</v>
          </cell>
          <cell r="B3003" t="str">
            <v>MARION, WV</v>
          </cell>
        </row>
        <row r="3004">
          <cell r="A3004">
            <v>54051</v>
          </cell>
          <cell r="B3004" t="str">
            <v>MARSHALL, WV</v>
          </cell>
        </row>
        <row r="3005">
          <cell r="A3005">
            <v>54053</v>
          </cell>
          <cell r="B3005" t="str">
            <v>MASON, WV</v>
          </cell>
        </row>
        <row r="3006">
          <cell r="A3006">
            <v>54055</v>
          </cell>
          <cell r="B3006" t="str">
            <v>MERCER, WV</v>
          </cell>
        </row>
        <row r="3007">
          <cell r="A3007">
            <v>54057</v>
          </cell>
          <cell r="B3007" t="str">
            <v>MINERAL, WV</v>
          </cell>
        </row>
        <row r="3008">
          <cell r="A3008">
            <v>54059</v>
          </cell>
          <cell r="B3008" t="str">
            <v>MINGO, WV</v>
          </cell>
        </row>
        <row r="3009">
          <cell r="A3009">
            <v>54061</v>
          </cell>
          <cell r="B3009" t="str">
            <v>MONONGALIA, WV</v>
          </cell>
        </row>
        <row r="3010">
          <cell r="A3010">
            <v>54063</v>
          </cell>
          <cell r="B3010" t="str">
            <v>MONROE, WV</v>
          </cell>
        </row>
        <row r="3011">
          <cell r="A3011">
            <v>54065</v>
          </cell>
          <cell r="B3011" t="str">
            <v>MORGAN, WV</v>
          </cell>
        </row>
        <row r="3012">
          <cell r="A3012">
            <v>54067</v>
          </cell>
          <cell r="B3012" t="str">
            <v>NICHOLAS, WV</v>
          </cell>
        </row>
        <row r="3013">
          <cell r="A3013">
            <v>54069</v>
          </cell>
          <cell r="B3013" t="str">
            <v>OHIO, WV</v>
          </cell>
        </row>
        <row r="3014">
          <cell r="A3014">
            <v>54071</v>
          </cell>
          <cell r="B3014" t="str">
            <v>PENDLETON, WV</v>
          </cell>
        </row>
        <row r="3015">
          <cell r="A3015">
            <v>54073</v>
          </cell>
          <cell r="B3015" t="str">
            <v>PLEASANTS, WV</v>
          </cell>
        </row>
        <row r="3016">
          <cell r="A3016">
            <v>54075</v>
          </cell>
          <cell r="B3016" t="str">
            <v>POCAHONTAS, WV</v>
          </cell>
        </row>
        <row r="3017">
          <cell r="A3017">
            <v>54077</v>
          </cell>
          <cell r="B3017" t="str">
            <v>PRESTON, WV</v>
          </cell>
        </row>
        <row r="3018">
          <cell r="A3018">
            <v>54079</v>
          </cell>
          <cell r="B3018" t="str">
            <v>PUTNAM, WV</v>
          </cell>
        </row>
        <row r="3019">
          <cell r="A3019">
            <v>54081</v>
          </cell>
          <cell r="B3019" t="str">
            <v>RALEIGH, WV</v>
          </cell>
        </row>
        <row r="3020">
          <cell r="A3020">
            <v>54083</v>
          </cell>
          <cell r="B3020" t="str">
            <v>RANDOLPH, WV</v>
          </cell>
        </row>
        <row r="3021">
          <cell r="A3021">
            <v>54085</v>
          </cell>
          <cell r="B3021" t="str">
            <v>RITCHIE, WV</v>
          </cell>
        </row>
        <row r="3022">
          <cell r="A3022">
            <v>54087</v>
          </cell>
          <cell r="B3022" t="str">
            <v>ROANE, WV</v>
          </cell>
        </row>
        <row r="3023">
          <cell r="A3023">
            <v>54089</v>
          </cell>
          <cell r="B3023" t="str">
            <v>SUMMERS, WV</v>
          </cell>
        </row>
        <row r="3024">
          <cell r="A3024">
            <v>54091</v>
          </cell>
          <cell r="B3024" t="str">
            <v>TAYLOR, WV</v>
          </cell>
        </row>
        <row r="3025">
          <cell r="A3025">
            <v>54093</v>
          </cell>
          <cell r="B3025" t="str">
            <v>TUCKER, WV</v>
          </cell>
        </row>
        <row r="3026">
          <cell r="A3026">
            <v>54095</v>
          </cell>
          <cell r="B3026" t="str">
            <v>TYLER, WV</v>
          </cell>
        </row>
        <row r="3027">
          <cell r="A3027">
            <v>54097</v>
          </cell>
          <cell r="B3027" t="str">
            <v>UPSHUR, WV</v>
          </cell>
        </row>
        <row r="3028">
          <cell r="A3028">
            <v>54099</v>
          </cell>
          <cell r="B3028" t="str">
            <v>WAYNE, WV</v>
          </cell>
        </row>
        <row r="3029">
          <cell r="A3029">
            <v>54101</v>
          </cell>
          <cell r="B3029" t="str">
            <v>WEBSTER, WV</v>
          </cell>
        </row>
        <row r="3030">
          <cell r="A3030">
            <v>54103</v>
          </cell>
          <cell r="B3030" t="str">
            <v>WETZEL, WV</v>
          </cell>
        </row>
        <row r="3031">
          <cell r="A3031">
            <v>54105</v>
          </cell>
          <cell r="B3031" t="str">
            <v>WIRT, WV</v>
          </cell>
        </row>
        <row r="3032">
          <cell r="A3032">
            <v>54107</v>
          </cell>
          <cell r="B3032" t="str">
            <v>WOOD, WV</v>
          </cell>
        </row>
        <row r="3033">
          <cell r="A3033">
            <v>54109</v>
          </cell>
          <cell r="B3033" t="str">
            <v>WYOMING, WV</v>
          </cell>
        </row>
        <row r="3034">
          <cell r="A3034">
            <v>55001</v>
          </cell>
          <cell r="B3034" t="str">
            <v>ADAMS, WI</v>
          </cell>
        </row>
        <row r="3035">
          <cell r="A3035">
            <v>55003</v>
          </cell>
          <cell r="B3035" t="str">
            <v>ASHLAND, WI</v>
          </cell>
        </row>
        <row r="3036">
          <cell r="A3036">
            <v>55005</v>
          </cell>
          <cell r="B3036" t="str">
            <v>BARRON, WI</v>
          </cell>
        </row>
        <row r="3037">
          <cell r="A3037">
            <v>55007</v>
          </cell>
          <cell r="B3037" t="str">
            <v>BAYFIELD, WI</v>
          </cell>
        </row>
        <row r="3038">
          <cell r="A3038">
            <v>55009</v>
          </cell>
          <cell r="B3038" t="str">
            <v>BROWN, WI</v>
          </cell>
        </row>
        <row r="3039">
          <cell r="A3039">
            <v>55011</v>
          </cell>
          <cell r="B3039" t="str">
            <v>BUFFALO, WI</v>
          </cell>
        </row>
        <row r="3040">
          <cell r="A3040">
            <v>55013</v>
          </cell>
          <cell r="B3040" t="str">
            <v>BURNETT, WI</v>
          </cell>
        </row>
        <row r="3041">
          <cell r="A3041">
            <v>55015</v>
          </cell>
          <cell r="B3041" t="str">
            <v>CALUMET, WI</v>
          </cell>
        </row>
        <row r="3042">
          <cell r="A3042">
            <v>55017</v>
          </cell>
          <cell r="B3042" t="str">
            <v>CHIPPEWA, WI</v>
          </cell>
        </row>
        <row r="3043">
          <cell r="A3043">
            <v>55019</v>
          </cell>
          <cell r="B3043" t="str">
            <v>CLARK, WI</v>
          </cell>
        </row>
        <row r="3044">
          <cell r="A3044">
            <v>55021</v>
          </cell>
          <cell r="B3044" t="str">
            <v>COLUMBIA, WI</v>
          </cell>
        </row>
        <row r="3045">
          <cell r="A3045">
            <v>55023</v>
          </cell>
          <cell r="B3045" t="str">
            <v>CRAWFORD, WI</v>
          </cell>
        </row>
        <row r="3046">
          <cell r="A3046">
            <v>55025</v>
          </cell>
          <cell r="B3046" t="str">
            <v>DANE, WI</v>
          </cell>
        </row>
        <row r="3047">
          <cell r="A3047">
            <v>55027</v>
          </cell>
          <cell r="B3047" t="str">
            <v>DODGE, WI</v>
          </cell>
        </row>
        <row r="3048">
          <cell r="A3048">
            <v>55029</v>
          </cell>
          <cell r="B3048" t="str">
            <v>DOOR, WI</v>
          </cell>
        </row>
        <row r="3049">
          <cell r="A3049">
            <v>55031</v>
          </cell>
          <cell r="B3049" t="str">
            <v>DOUGLAS, WI</v>
          </cell>
        </row>
        <row r="3050">
          <cell r="A3050">
            <v>55033</v>
          </cell>
          <cell r="B3050" t="str">
            <v>DUNN, WI</v>
          </cell>
        </row>
        <row r="3051">
          <cell r="A3051">
            <v>55035</v>
          </cell>
          <cell r="B3051" t="str">
            <v>EAU CLAIRE, WI</v>
          </cell>
        </row>
        <row r="3052">
          <cell r="A3052">
            <v>55037</v>
          </cell>
          <cell r="B3052" t="str">
            <v>FLORENCE, WI</v>
          </cell>
        </row>
        <row r="3053">
          <cell r="A3053">
            <v>55039</v>
          </cell>
          <cell r="B3053" t="str">
            <v>FOND DU LAC, WI</v>
          </cell>
        </row>
        <row r="3054">
          <cell r="A3054">
            <v>55041</v>
          </cell>
          <cell r="B3054" t="str">
            <v>FOREST, WI</v>
          </cell>
        </row>
        <row r="3055">
          <cell r="A3055">
            <v>55043</v>
          </cell>
          <cell r="B3055" t="str">
            <v>GRANT, WI</v>
          </cell>
        </row>
        <row r="3056">
          <cell r="A3056">
            <v>55045</v>
          </cell>
          <cell r="B3056" t="str">
            <v>GREEN, WI</v>
          </cell>
        </row>
        <row r="3057">
          <cell r="A3057">
            <v>55047</v>
          </cell>
          <cell r="B3057" t="str">
            <v>GREEN LAKE, WI</v>
          </cell>
        </row>
        <row r="3058">
          <cell r="A3058">
            <v>55049</v>
          </cell>
          <cell r="B3058" t="str">
            <v>IOWA, WI</v>
          </cell>
        </row>
        <row r="3059">
          <cell r="A3059">
            <v>55051</v>
          </cell>
          <cell r="B3059" t="str">
            <v>IRON, WI</v>
          </cell>
        </row>
        <row r="3060">
          <cell r="A3060">
            <v>55053</v>
          </cell>
          <cell r="B3060" t="str">
            <v>JACKSON, WI</v>
          </cell>
        </row>
        <row r="3061">
          <cell r="A3061">
            <v>55055</v>
          </cell>
          <cell r="B3061" t="str">
            <v>JEFFERSON, WI</v>
          </cell>
        </row>
        <row r="3062">
          <cell r="A3062">
            <v>55057</v>
          </cell>
          <cell r="B3062" t="str">
            <v>JUNEAU, WI</v>
          </cell>
        </row>
        <row r="3063">
          <cell r="A3063">
            <v>55059</v>
          </cell>
          <cell r="B3063" t="str">
            <v>KENOSHA, WI</v>
          </cell>
        </row>
        <row r="3064">
          <cell r="A3064">
            <v>55061</v>
          </cell>
          <cell r="B3064" t="str">
            <v>KEWAUNEE, WI</v>
          </cell>
        </row>
        <row r="3065">
          <cell r="A3065">
            <v>55063</v>
          </cell>
          <cell r="B3065" t="str">
            <v>LA CROSSE, WI</v>
          </cell>
        </row>
        <row r="3066">
          <cell r="A3066">
            <v>55065</v>
          </cell>
          <cell r="B3066" t="str">
            <v>LAFAYETTE, WI</v>
          </cell>
        </row>
        <row r="3067">
          <cell r="A3067">
            <v>55067</v>
          </cell>
          <cell r="B3067" t="str">
            <v>LANGLADE, WI</v>
          </cell>
        </row>
        <row r="3068">
          <cell r="A3068">
            <v>55069</v>
          </cell>
          <cell r="B3068" t="str">
            <v>LINCOLN, WI</v>
          </cell>
        </row>
        <row r="3069">
          <cell r="A3069">
            <v>55071</v>
          </cell>
          <cell r="B3069" t="str">
            <v>MANITOWOC, WI</v>
          </cell>
        </row>
        <row r="3070">
          <cell r="A3070">
            <v>55073</v>
          </cell>
          <cell r="B3070" t="str">
            <v>MARATHON, WI</v>
          </cell>
        </row>
        <row r="3071">
          <cell r="A3071">
            <v>55075</v>
          </cell>
          <cell r="B3071" t="str">
            <v>MARINETTE, WI</v>
          </cell>
        </row>
        <row r="3072">
          <cell r="A3072">
            <v>55077</v>
          </cell>
          <cell r="B3072" t="str">
            <v>MARQUETTE, WI</v>
          </cell>
        </row>
        <row r="3073">
          <cell r="A3073">
            <v>55078</v>
          </cell>
          <cell r="B3073" t="str">
            <v>MENOMINEE, WI</v>
          </cell>
        </row>
        <row r="3074">
          <cell r="A3074">
            <v>55079</v>
          </cell>
          <cell r="B3074" t="str">
            <v>MILWAUKEE, WI</v>
          </cell>
        </row>
        <row r="3075">
          <cell r="A3075">
            <v>55081</v>
          </cell>
          <cell r="B3075" t="str">
            <v>MONROE, WI</v>
          </cell>
        </row>
        <row r="3076">
          <cell r="A3076">
            <v>55083</v>
          </cell>
          <cell r="B3076" t="str">
            <v>OCONTO, WI</v>
          </cell>
        </row>
        <row r="3077">
          <cell r="A3077">
            <v>55085</v>
          </cell>
          <cell r="B3077" t="str">
            <v>ONEIDA, WI</v>
          </cell>
        </row>
        <row r="3078">
          <cell r="A3078">
            <v>55087</v>
          </cell>
          <cell r="B3078" t="str">
            <v>OUTAGAMIE, WI</v>
          </cell>
        </row>
        <row r="3079">
          <cell r="A3079">
            <v>55089</v>
          </cell>
          <cell r="B3079" t="str">
            <v>OZAUKEE, WI</v>
          </cell>
        </row>
        <row r="3080">
          <cell r="A3080">
            <v>55091</v>
          </cell>
          <cell r="B3080" t="str">
            <v>PEPIN, WI</v>
          </cell>
        </row>
        <row r="3081">
          <cell r="A3081">
            <v>55093</v>
          </cell>
          <cell r="B3081" t="str">
            <v>PIERCE, WI</v>
          </cell>
        </row>
        <row r="3082">
          <cell r="A3082">
            <v>55095</v>
          </cell>
          <cell r="B3082" t="str">
            <v>POLK, WI</v>
          </cell>
        </row>
        <row r="3083">
          <cell r="A3083">
            <v>55097</v>
          </cell>
          <cell r="B3083" t="str">
            <v>PORTAGE, WI</v>
          </cell>
        </row>
        <row r="3084">
          <cell r="A3084">
            <v>55099</v>
          </cell>
          <cell r="B3084" t="str">
            <v>PRICE, WI</v>
          </cell>
        </row>
        <row r="3085">
          <cell r="A3085">
            <v>55101</v>
          </cell>
          <cell r="B3085" t="str">
            <v>RACINE, WI</v>
          </cell>
        </row>
        <row r="3086">
          <cell r="A3086">
            <v>55103</v>
          </cell>
          <cell r="B3086" t="str">
            <v>RICHLAND, WI</v>
          </cell>
        </row>
        <row r="3087">
          <cell r="A3087">
            <v>55105</v>
          </cell>
          <cell r="B3087" t="str">
            <v>ROCK, WI</v>
          </cell>
        </row>
        <row r="3088">
          <cell r="A3088">
            <v>55107</v>
          </cell>
          <cell r="B3088" t="str">
            <v>RUSK, WI</v>
          </cell>
        </row>
        <row r="3089">
          <cell r="A3089">
            <v>55109</v>
          </cell>
          <cell r="B3089" t="str">
            <v>ST CROIX, WI</v>
          </cell>
        </row>
        <row r="3090">
          <cell r="A3090">
            <v>55111</v>
          </cell>
          <cell r="B3090" t="str">
            <v>SAUK, WI</v>
          </cell>
        </row>
        <row r="3091">
          <cell r="A3091">
            <v>55113</v>
          </cell>
          <cell r="B3091" t="str">
            <v>SAWYER, WI</v>
          </cell>
        </row>
        <row r="3092">
          <cell r="A3092">
            <v>55115</v>
          </cell>
          <cell r="B3092" t="str">
            <v>SHAWANO, WI</v>
          </cell>
        </row>
        <row r="3093">
          <cell r="A3093">
            <v>55117</v>
          </cell>
          <cell r="B3093" t="str">
            <v>SHEBOYGAN, WI</v>
          </cell>
        </row>
        <row r="3094">
          <cell r="A3094">
            <v>55119</v>
          </cell>
          <cell r="B3094" t="str">
            <v>TAYLOR, WI</v>
          </cell>
        </row>
        <row r="3095">
          <cell r="A3095">
            <v>55121</v>
          </cell>
          <cell r="B3095" t="str">
            <v>TREMPEALEAU, WI</v>
          </cell>
        </row>
        <row r="3096">
          <cell r="A3096">
            <v>55123</v>
          </cell>
          <cell r="B3096" t="str">
            <v>VERNON, WI</v>
          </cell>
        </row>
        <row r="3097">
          <cell r="A3097">
            <v>55125</v>
          </cell>
          <cell r="B3097" t="str">
            <v>VILAS, WI</v>
          </cell>
        </row>
        <row r="3098">
          <cell r="A3098">
            <v>55127</v>
          </cell>
          <cell r="B3098" t="str">
            <v>WALWORTH, WI</v>
          </cell>
        </row>
        <row r="3099">
          <cell r="A3099">
            <v>55129</v>
          </cell>
          <cell r="B3099" t="str">
            <v>WASHBURN, WI</v>
          </cell>
        </row>
        <row r="3100">
          <cell r="A3100">
            <v>55131</v>
          </cell>
          <cell r="B3100" t="str">
            <v>WASHINGTON, WI</v>
          </cell>
        </row>
        <row r="3101">
          <cell r="A3101">
            <v>55133</v>
          </cell>
          <cell r="B3101" t="str">
            <v>WAUKESHA, WI</v>
          </cell>
        </row>
        <row r="3102">
          <cell r="A3102">
            <v>55135</v>
          </cell>
          <cell r="B3102" t="str">
            <v>WAUPACA, WI</v>
          </cell>
        </row>
        <row r="3103">
          <cell r="A3103">
            <v>55137</v>
          </cell>
          <cell r="B3103" t="str">
            <v>WAUSHARA, WI</v>
          </cell>
        </row>
        <row r="3104">
          <cell r="A3104">
            <v>55139</v>
          </cell>
          <cell r="B3104" t="str">
            <v>WINNEBAGO, WI</v>
          </cell>
        </row>
        <row r="3105">
          <cell r="A3105">
            <v>55141</v>
          </cell>
          <cell r="B3105" t="str">
            <v>WOOD, WI</v>
          </cell>
        </row>
        <row r="3106">
          <cell r="A3106">
            <v>56001</v>
          </cell>
          <cell r="B3106" t="str">
            <v>ALBANY, WY</v>
          </cell>
        </row>
        <row r="3107">
          <cell r="A3107">
            <v>56003</v>
          </cell>
          <cell r="B3107" t="str">
            <v>BIG HORN, WY</v>
          </cell>
        </row>
        <row r="3108">
          <cell r="A3108">
            <v>56005</v>
          </cell>
          <cell r="B3108" t="str">
            <v>CAMPBELL, WY</v>
          </cell>
        </row>
        <row r="3109">
          <cell r="A3109">
            <v>56007</v>
          </cell>
          <cell r="B3109" t="str">
            <v>CARBON, WY</v>
          </cell>
        </row>
        <row r="3110">
          <cell r="A3110">
            <v>56009</v>
          </cell>
          <cell r="B3110" t="str">
            <v>CONVERSE, WY</v>
          </cell>
        </row>
        <row r="3111">
          <cell r="A3111">
            <v>56011</v>
          </cell>
          <cell r="B3111" t="str">
            <v>CROOK, WY</v>
          </cell>
        </row>
        <row r="3112">
          <cell r="A3112">
            <v>56013</v>
          </cell>
          <cell r="B3112" t="str">
            <v>FREMONT, WY</v>
          </cell>
        </row>
        <row r="3113">
          <cell r="A3113">
            <v>56015</v>
          </cell>
          <cell r="B3113" t="str">
            <v>GOSHEN, WY</v>
          </cell>
        </row>
        <row r="3114">
          <cell r="A3114">
            <v>56017</v>
          </cell>
          <cell r="B3114" t="str">
            <v>HOT SPRINGS, WY</v>
          </cell>
        </row>
        <row r="3115">
          <cell r="A3115">
            <v>56019</v>
          </cell>
          <cell r="B3115" t="str">
            <v>JOHNSON, WY</v>
          </cell>
        </row>
        <row r="3116">
          <cell r="A3116">
            <v>56021</v>
          </cell>
          <cell r="B3116" t="str">
            <v>LARAMIE, WY</v>
          </cell>
        </row>
        <row r="3117">
          <cell r="A3117">
            <v>56023</v>
          </cell>
          <cell r="B3117" t="str">
            <v>LINCOLN, WY</v>
          </cell>
        </row>
        <row r="3118">
          <cell r="A3118">
            <v>56025</v>
          </cell>
          <cell r="B3118" t="str">
            <v>NATRONA, WY</v>
          </cell>
        </row>
        <row r="3119">
          <cell r="A3119">
            <v>56027</v>
          </cell>
          <cell r="B3119" t="str">
            <v>NIOBRARA, WY</v>
          </cell>
        </row>
        <row r="3120">
          <cell r="A3120">
            <v>56029</v>
          </cell>
          <cell r="B3120" t="str">
            <v>PARK, WY</v>
          </cell>
        </row>
        <row r="3121">
          <cell r="A3121">
            <v>56031</v>
          </cell>
          <cell r="B3121" t="str">
            <v>PLATTE, WY</v>
          </cell>
        </row>
        <row r="3122">
          <cell r="A3122">
            <v>56033</v>
          </cell>
          <cell r="B3122" t="str">
            <v>SHERIDAN, WY</v>
          </cell>
        </row>
        <row r="3123">
          <cell r="A3123">
            <v>56035</v>
          </cell>
          <cell r="B3123" t="str">
            <v>SUBLETTE, WY</v>
          </cell>
        </row>
        <row r="3124">
          <cell r="A3124">
            <v>56037</v>
          </cell>
          <cell r="B3124" t="str">
            <v>SWEETWATER, WY</v>
          </cell>
        </row>
        <row r="3125">
          <cell r="A3125">
            <v>56039</v>
          </cell>
          <cell r="B3125" t="str">
            <v>TETON, WY</v>
          </cell>
        </row>
        <row r="3126">
          <cell r="A3126">
            <v>56041</v>
          </cell>
          <cell r="B3126" t="str">
            <v>UINTA, WY</v>
          </cell>
        </row>
        <row r="3127">
          <cell r="A3127">
            <v>56043</v>
          </cell>
          <cell r="B3127" t="str">
            <v>WASHAKIE, WY</v>
          </cell>
        </row>
        <row r="3128">
          <cell r="A3128">
            <v>56045</v>
          </cell>
          <cell r="B3128" t="str">
            <v>WESTON, WY</v>
          </cell>
        </row>
      </sheetData>
      <sheetData sheetId="2" refreshError="1">
        <row r="1">
          <cell r="A1">
            <v>10100</v>
          </cell>
          <cell r="B1" t="str">
            <v>ALABAMA NORTH</v>
          </cell>
        </row>
        <row r="2">
          <cell r="A2">
            <v>10200</v>
          </cell>
          <cell r="B2" t="str">
            <v>ALABAMA SOUTH</v>
          </cell>
        </row>
        <row r="3">
          <cell r="A3">
            <v>10300</v>
          </cell>
          <cell r="B3" t="str">
            <v>BIRMINGHAM, AL</v>
          </cell>
        </row>
        <row r="4">
          <cell r="A4">
            <v>10400</v>
          </cell>
          <cell r="B4" t="str">
            <v>MOBILE, AL</v>
          </cell>
        </row>
        <row r="5">
          <cell r="A5">
            <v>20100</v>
          </cell>
          <cell r="B5" t="str">
            <v>ALASKA</v>
          </cell>
        </row>
        <row r="6">
          <cell r="A6">
            <v>40100</v>
          </cell>
          <cell r="B6" t="str">
            <v>PHOENIX, AZ</v>
          </cell>
        </row>
        <row r="7">
          <cell r="A7">
            <v>40200</v>
          </cell>
          <cell r="B7" t="str">
            <v>ARIZONA AREA</v>
          </cell>
        </row>
        <row r="8">
          <cell r="A8">
            <v>40300</v>
          </cell>
          <cell r="B8" t="str">
            <v>TUCSON, AZ</v>
          </cell>
        </row>
        <row r="9">
          <cell r="A9">
            <v>50100</v>
          </cell>
          <cell r="B9" t="str">
            <v>LITTLE ROCK, AR</v>
          </cell>
        </row>
        <row r="10">
          <cell r="A10">
            <v>50200</v>
          </cell>
          <cell r="B10" t="str">
            <v>ARKANSAS NORTH</v>
          </cell>
        </row>
        <row r="11">
          <cell r="A11">
            <v>50300</v>
          </cell>
          <cell r="B11" t="str">
            <v>ARKANSAS SOUTH</v>
          </cell>
        </row>
        <row r="12">
          <cell r="A12">
            <v>60100</v>
          </cell>
          <cell r="B12" t="str">
            <v>ANAHEIM-SANTA ANA, CA</v>
          </cell>
        </row>
        <row r="13">
          <cell r="A13">
            <v>60200</v>
          </cell>
          <cell r="B13" t="str">
            <v>LOS ANGELES-LONG BEACH,CA</v>
          </cell>
        </row>
        <row r="14">
          <cell r="A14">
            <v>60300</v>
          </cell>
          <cell r="B14" t="str">
            <v>OAKLAND, CA</v>
          </cell>
        </row>
        <row r="15">
          <cell r="A15">
            <v>60400</v>
          </cell>
          <cell r="B15" t="str">
            <v>RIVERSIDE-SAN BERNARDINO, CA</v>
          </cell>
        </row>
        <row r="16">
          <cell r="A16">
            <v>60500</v>
          </cell>
          <cell r="B16" t="str">
            <v>SACRAMENTO, CA</v>
          </cell>
        </row>
        <row r="17">
          <cell r="A17">
            <v>60600</v>
          </cell>
          <cell r="B17" t="str">
            <v>SAN DIEGO, CA</v>
          </cell>
        </row>
        <row r="18">
          <cell r="A18">
            <v>60700</v>
          </cell>
          <cell r="B18" t="str">
            <v>SAN FRANCISCO/SAN MATEO</v>
          </cell>
        </row>
        <row r="19">
          <cell r="A19">
            <v>60800</v>
          </cell>
          <cell r="B19" t="str">
            <v>SAN JOSE-SANTA CRUZ, CA</v>
          </cell>
        </row>
        <row r="20">
          <cell r="A20">
            <v>60900</v>
          </cell>
          <cell r="B20" t="str">
            <v>CALIFORNIA SOUTH/CENTRAL</v>
          </cell>
        </row>
        <row r="21">
          <cell r="A21">
            <v>61000</v>
          </cell>
          <cell r="B21" t="str">
            <v>CALIFORNIA NORTH</v>
          </cell>
        </row>
        <row r="22">
          <cell r="A22">
            <v>61100</v>
          </cell>
          <cell r="B22" t="str">
            <v>CALIFORNIA NORTH CENTRAL</v>
          </cell>
        </row>
        <row r="23">
          <cell r="A23">
            <v>61200</v>
          </cell>
          <cell r="B23" t="str">
            <v>OXNARD/VENTURA CA</v>
          </cell>
        </row>
        <row r="24">
          <cell r="A24">
            <v>61300</v>
          </cell>
          <cell r="B24" t="str">
            <v>SANTA BARBARA/SANTA MARIA CA</v>
          </cell>
        </row>
        <row r="25">
          <cell r="A25">
            <v>61400</v>
          </cell>
          <cell r="B25" t="str">
            <v>SAN LUIS OBISPO, CA</v>
          </cell>
        </row>
        <row r="26">
          <cell r="A26">
            <v>61500</v>
          </cell>
          <cell r="B26" t="str">
            <v>SALINAS/MONTEREY, CA</v>
          </cell>
        </row>
        <row r="27">
          <cell r="A27">
            <v>61600</v>
          </cell>
          <cell r="B27" t="str">
            <v>PALM SPRINGS</v>
          </cell>
        </row>
        <row r="28">
          <cell r="A28">
            <v>80100</v>
          </cell>
          <cell r="B28" t="str">
            <v>DENVER, CO</v>
          </cell>
        </row>
        <row r="29">
          <cell r="A29">
            <v>80200</v>
          </cell>
          <cell r="B29" t="str">
            <v>COLORADO EAST</v>
          </cell>
        </row>
        <row r="30">
          <cell r="A30">
            <v>80300</v>
          </cell>
          <cell r="B30" t="str">
            <v>COLORADO WEST</v>
          </cell>
        </row>
        <row r="31">
          <cell r="A31">
            <v>80400</v>
          </cell>
          <cell r="B31" t="str">
            <v>COLORADO SPRINGS, CO</v>
          </cell>
        </row>
        <row r="32">
          <cell r="A32">
            <v>90200</v>
          </cell>
          <cell r="B32" t="str">
            <v>CONNECTICUT AREA</v>
          </cell>
        </row>
        <row r="33">
          <cell r="A33">
            <v>90300</v>
          </cell>
          <cell r="B33" t="str">
            <v>HARTFORD, CT</v>
          </cell>
        </row>
        <row r="34">
          <cell r="A34">
            <v>100100</v>
          </cell>
          <cell r="B34" t="str">
            <v>DELAWARE</v>
          </cell>
        </row>
        <row r="35">
          <cell r="A35">
            <v>110100</v>
          </cell>
          <cell r="B35" t="str">
            <v>WASHINGTON, DC-MD-VA</v>
          </cell>
        </row>
        <row r="36">
          <cell r="A36">
            <v>120100</v>
          </cell>
          <cell r="B36" t="str">
            <v>FORT LAUDERDALE, FL</v>
          </cell>
        </row>
        <row r="37">
          <cell r="A37">
            <v>120200</v>
          </cell>
          <cell r="B37" t="str">
            <v>JACKSONVILLE, FL</v>
          </cell>
        </row>
        <row r="38">
          <cell r="A38">
            <v>120300</v>
          </cell>
          <cell r="B38" t="str">
            <v>MIAMI-HIALEAH, FL</v>
          </cell>
        </row>
        <row r="39">
          <cell r="A39">
            <v>120400</v>
          </cell>
          <cell r="B39" t="str">
            <v>ORLANDO, FL</v>
          </cell>
        </row>
        <row r="40">
          <cell r="A40">
            <v>120500</v>
          </cell>
          <cell r="B40" t="str">
            <v>TAMPA-ST. PETERSBURG, FL</v>
          </cell>
        </row>
        <row r="41">
          <cell r="A41">
            <v>120600</v>
          </cell>
          <cell r="B41" t="str">
            <v>FLORIDA NORTH</v>
          </cell>
        </row>
        <row r="42">
          <cell r="A42">
            <v>120700</v>
          </cell>
          <cell r="B42" t="str">
            <v>FLORIDA CENTRAL</v>
          </cell>
        </row>
        <row r="43">
          <cell r="A43">
            <v>120800</v>
          </cell>
          <cell r="B43" t="str">
            <v>FLORIDA SOUTH</v>
          </cell>
        </row>
        <row r="44">
          <cell r="A44">
            <v>120900</v>
          </cell>
          <cell r="B44" t="str">
            <v>WEST PALM BEACH-BOCA RATON, FL</v>
          </cell>
        </row>
        <row r="45">
          <cell r="A45">
            <v>121000</v>
          </cell>
          <cell r="B45" t="str">
            <v>FT. MYERS, FL</v>
          </cell>
        </row>
        <row r="46">
          <cell r="A46">
            <v>121200</v>
          </cell>
          <cell r="B46" t="str">
            <v>DAYTONA BEACH, FL</v>
          </cell>
        </row>
        <row r="47">
          <cell r="A47">
            <v>121300</v>
          </cell>
          <cell r="B47" t="str">
            <v>MELBOURNE-TITUSVILLE, FL</v>
          </cell>
        </row>
        <row r="48">
          <cell r="A48">
            <v>121400</v>
          </cell>
          <cell r="B48" t="str">
            <v>FLORIDA KEYS</v>
          </cell>
        </row>
        <row r="49">
          <cell r="A49">
            <v>130100</v>
          </cell>
          <cell r="B49" t="str">
            <v>ATLANTA, GA</v>
          </cell>
        </row>
        <row r="50">
          <cell r="A50">
            <v>130200</v>
          </cell>
          <cell r="B50" t="str">
            <v>GEORGIA NORTH</v>
          </cell>
        </row>
        <row r="51">
          <cell r="A51">
            <v>130300</v>
          </cell>
          <cell r="B51" t="str">
            <v>GEORGIA SOUTH</v>
          </cell>
        </row>
        <row r="52">
          <cell r="A52">
            <v>130400</v>
          </cell>
          <cell r="B52" t="str">
            <v>MACON/WARNER ROBBINS, GA</v>
          </cell>
        </row>
        <row r="53">
          <cell r="A53">
            <v>130500</v>
          </cell>
          <cell r="B53" t="str">
            <v>AUGUSTA, GA-SC</v>
          </cell>
        </row>
        <row r="54">
          <cell r="A54">
            <v>130600</v>
          </cell>
          <cell r="B54" t="str">
            <v>SAVANNAH, GA</v>
          </cell>
        </row>
        <row r="55">
          <cell r="A55">
            <v>150100</v>
          </cell>
          <cell r="B55" t="str">
            <v>HAWAII-KAUAI ISLANDS</v>
          </cell>
        </row>
        <row r="56">
          <cell r="A56">
            <v>150200</v>
          </cell>
          <cell r="B56" t="str">
            <v>OAHU ISLAND</v>
          </cell>
        </row>
        <row r="57">
          <cell r="A57">
            <v>150300</v>
          </cell>
          <cell r="B57" t="str">
            <v>MAUI ISLAND</v>
          </cell>
        </row>
        <row r="58">
          <cell r="A58">
            <v>160100</v>
          </cell>
          <cell r="B58" t="str">
            <v>IDAHO</v>
          </cell>
        </row>
        <row r="59">
          <cell r="A59">
            <v>170100</v>
          </cell>
          <cell r="B59" t="str">
            <v>CHICAGO, IL</v>
          </cell>
        </row>
        <row r="60">
          <cell r="A60">
            <v>170200</v>
          </cell>
          <cell r="B60" t="str">
            <v>ILLINOIS NORTH</v>
          </cell>
        </row>
        <row r="61">
          <cell r="A61">
            <v>170300</v>
          </cell>
          <cell r="B61" t="str">
            <v>ILLINOIS SOUTH</v>
          </cell>
        </row>
        <row r="62">
          <cell r="A62">
            <v>180100</v>
          </cell>
          <cell r="B62" t="str">
            <v>INDIANA NORTH</v>
          </cell>
        </row>
        <row r="63">
          <cell r="A63">
            <v>180200</v>
          </cell>
          <cell r="B63" t="str">
            <v>INDIANA SOUTH</v>
          </cell>
        </row>
        <row r="64">
          <cell r="A64">
            <v>180300</v>
          </cell>
          <cell r="B64" t="str">
            <v>INDIANAPOLIS, IN</v>
          </cell>
        </row>
        <row r="65">
          <cell r="A65">
            <v>190100</v>
          </cell>
          <cell r="B65" t="str">
            <v>IOWA AREA</v>
          </cell>
        </row>
        <row r="66">
          <cell r="A66">
            <v>190200</v>
          </cell>
          <cell r="B66" t="str">
            <v>DAVENPORT-ROCK ISLAND-MOLINE,</v>
          </cell>
        </row>
        <row r="67">
          <cell r="A67">
            <v>190300</v>
          </cell>
          <cell r="B67" t="str">
            <v>DES MOINES, IA</v>
          </cell>
        </row>
        <row r="68">
          <cell r="A68">
            <v>200100</v>
          </cell>
          <cell r="B68" t="str">
            <v>KANSAS</v>
          </cell>
        </row>
        <row r="69">
          <cell r="A69">
            <v>210100</v>
          </cell>
          <cell r="B69" t="str">
            <v>LOUISVILLE, KY-IN</v>
          </cell>
        </row>
        <row r="70">
          <cell r="A70">
            <v>210200</v>
          </cell>
          <cell r="B70" t="str">
            <v>KENTUCKY WEST</v>
          </cell>
        </row>
        <row r="71">
          <cell r="A71">
            <v>210300</v>
          </cell>
          <cell r="B71" t="str">
            <v>KENTUCKY EAST</v>
          </cell>
        </row>
        <row r="72">
          <cell r="A72">
            <v>220100</v>
          </cell>
          <cell r="B72" t="str">
            <v>NEW ORLEANS, LA</v>
          </cell>
        </row>
        <row r="73">
          <cell r="A73">
            <v>220200</v>
          </cell>
          <cell r="B73" t="str">
            <v>LOUISIANA NORTH</v>
          </cell>
        </row>
        <row r="74">
          <cell r="A74">
            <v>220300</v>
          </cell>
          <cell r="B74" t="str">
            <v>LOUISIANA SOUTH</v>
          </cell>
        </row>
        <row r="75">
          <cell r="A75">
            <v>230100</v>
          </cell>
          <cell r="B75" t="str">
            <v>MAINE</v>
          </cell>
        </row>
        <row r="76">
          <cell r="A76">
            <v>240100</v>
          </cell>
          <cell r="B76" t="str">
            <v>BALTIMORE, MD</v>
          </cell>
        </row>
        <row r="77">
          <cell r="A77">
            <v>240200</v>
          </cell>
          <cell r="B77" t="str">
            <v>MARYLAND AREA</v>
          </cell>
        </row>
        <row r="78">
          <cell r="A78">
            <v>250100</v>
          </cell>
          <cell r="B78" t="str">
            <v>BOSTON, MA</v>
          </cell>
        </row>
        <row r="79">
          <cell r="A79">
            <v>250200</v>
          </cell>
          <cell r="B79" t="str">
            <v>MASSACHUSETTS AREA</v>
          </cell>
        </row>
        <row r="80">
          <cell r="A80">
            <v>260100</v>
          </cell>
          <cell r="B80" t="str">
            <v>DETROIT, MI</v>
          </cell>
        </row>
        <row r="81">
          <cell r="A81">
            <v>260200</v>
          </cell>
          <cell r="B81" t="str">
            <v>MICHIGAN SOUTH</v>
          </cell>
        </row>
        <row r="82">
          <cell r="A82">
            <v>260300</v>
          </cell>
          <cell r="B82" t="str">
            <v>MICHIGAN NORTH</v>
          </cell>
        </row>
        <row r="83">
          <cell r="A83">
            <v>270100</v>
          </cell>
          <cell r="B83" t="str">
            <v>MINNEAPOLIS-ST. PAUL, MN-WI</v>
          </cell>
        </row>
        <row r="84">
          <cell r="A84">
            <v>270200</v>
          </cell>
          <cell r="B84" t="str">
            <v>MINNESOTA NORTH</v>
          </cell>
        </row>
        <row r="85">
          <cell r="A85">
            <v>270300</v>
          </cell>
          <cell r="B85" t="str">
            <v>MINNESOTA SOUTH</v>
          </cell>
        </row>
        <row r="86">
          <cell r="A86">
            <v>280100</v>
          </cell>
          <cell r="B86" t="str">
            <v>MISSISSIPPI</v>
          </cell>
        </row>
        <row r="87">
          <cell r="A87">
            <v>280200</v>
          </cell>
          <cell r="B87" t="str">
            <v>JACKSON, MS</v>
          </cell>
        </row>
        <row r="88">
          <cell r="A88">
            <v>290100</v>
          </cell>
          <cell r="B88" t="str">
            <v>KANSAS CITY, MO-KS</v>
          </cell>
        </row>
        <row r="89">
          <cell r="A89">
            <v>290200</v>
          </cell>
          <cell r="B89" t="str">
            <v>ST. LOUIS, MO-IL</v>
          </cell>
        </row>
        <row r="90">
          <cell r="A90">
            <v>290300</v>
          </cell>
          <cell r="B90" t="str">
            <v>MISSOURI NORTH</v>
          </cell>
        </row>
        <row r="91">
          <cell r="A91">
            <v>290400</v>
          </cell>
          <cell r="B91" t="str">
            <v>MISSOURI SOUTH</v>
          </cell>
        </row>
        <row r="92">
          <cell r="A92">
            <v>300100</v>
          </cell>
          <cell r="B92" t="str">
            <v>MONTANA EAST</v>
          </cell>
        </row>
        <row r="93">
          <cell r="A93">
            <v>300200</v>
          </cell>
          <cell r="B93" t="str">
            <v>MONTANA WEST</v>
          </cell>
        </row>
        <row r="94">
          <cell r="A94">
            <v>310100</v>
          </cell>
          <cell r="B94" t="str">
            <v>NEBRASKA</v>
          </cell>
        </row>
        <row r="95">
          <cell r="A95">
            <v>310200</v>
          </cell>
          <cell r="B95" t="str">
            <v>OMAHA, NE</v>
          </cell>
        </row>
        <row r="96">
          <cell r="A96">
            <v>320100</v>
          </cell>
          <cell r="B96" t="str">
            <v>NEVADA AREA</v>
          </cell>
        </row>
        <row r="97">
          <cell r="A97">
            <v>320200</v>
          </cell>
          <cell r="B97" t="str">
            <v>LAS VEGAS, NV</v>
          </cell>
        </row>
        <row r="98">
          <cell r="A98">
            <v>320300</v>
          </cell>
          <cell r="B98" t="str">
            <v>RENO, NV</v>
          </cell>
        </row>
        <row r="99">
          <cell r="A99">
            <v>330100</v>
          </cell>
          <cell r="B99" t="str">
            <v>NEW HAMPSHIRE</v>
          </cell>
        </row>
        <row r="100">
          <cell r="A100">
            <v>340100</v>
          </cell>
          <cell r="B100" t="str">
            <v>BERGEN-PASSAIC, NJ</v>
          </cell>
        </row>
        <row r="101">
          <cell r="A101">
            <v>340200</v>
          </cell>
          <cell r="B101" t="str">
            <v>NEWARK, NJ</v>
          </cell>
        </row>
        <row r="102">
          <cell r="A102">
            <v>340300</v>
          </cell>
          <cell r="B102" t="str">
            <v>CENTRAL NEW JERSEY</v>
          </cell>
        </row>
        <row r="103">
          <cell r="A103">
            <v>340400</v>
          </cell>
          <cell r="B103" t="str">
            <v>NEW JERSEY SHORE</v>
          </cell>
        </row>
        <row r="104">
          <cell r="A104">
            <v>350100</v>
          </cell>
          <cell r="B104" t="str">
            <v>NEW MEXICO NORTH</v>
          </cell>
        </row>
        <row r="105">
          <cell r="A105">
            <v>350200</v>
          </cell>
          <cell r="B105" t="str">
            <v>NEW MEXICO SOUTH</v>
          </cell>
        </row>
        <row r="106">
          <cell r="A106">
            <v>350300</v>
          </cell>
          <cell r="B106" t="str">
            <v>ALBUQUERQUE, NM</v>
          </cell>
        </row>
        <row r="107">
          <cell r="A107">
            <v>360100</v>
          </cell>
          <cell r="B107" t="str">
            <v>NEW YORK, NY</v>
          </cell>
        </row>
        <row r="108">
          <cell r="A108">
            <v>360200</v>
          </cell>
          <cell r="B108" t="str">
            <v>LONG ISLAND</v>
          </cell>
        </row>
        <row r="109">
          <cell r="A109">
            <v>360300</v>
          </cell>
          <cell r="B109" t="str">
            <v>NEW YORK EAST</v>
          </cell>
        </row>
        <row r="110">
          <cell r="A110">
            <v>360400</v>
          </cell>
          <cell r="B110" t="str">
            <v>NEW YORK CENTRAL</v>
          </cell>
        </row>
        <row r="111">
          <cell r="A111">
            <v>360500</v>
          </cell>
          <cell r="B111" t="str">
            <v>NEW YORK WEST</v>
          </cell>
        </row>
        <row r="112">
          <cell r="A112">
            <v>360600</v>
          </cell>
          <cell r="B112" t="str">
            <v>SYRACUSE, NY</v>
          </cell>
        </row>
        <row r="113">
          <cell r="A113">
            <v>360700</v>
          </cell>
          <cell r="B113" t="str">
            <v>ALBANY/SCHENECTADY, NY</v>
          </cell>
        </row>
        <row r="114">
          <cell r="A114">
            <v>360800</v>
          </cell>
          <cell r="B114" t="str">
            <v>BUFFALO, N.Y.</v>
          </cell>
        </row>
        <row r="115">
          <cell r="A115">
            <v>360900</v>
          </cell>
          <cell r="B115" t="str">
            <v>ROCHESTER, NY</v>
          </cell>
        </row>
        <row r="116">
          <cell r="A116">
            <v>370100</v>
          </cell>
          <cell r="B116" t="str">
            <v>CHARLOTTE, NC-SC</v>
          </cell>
        </row>
        <row r="117">
          <cell r="A117">
            <v>370200</v>
          </cell>
          <cell r="B117" t="str">
            <v>GREENSBORO-WINSTON SALEM, NC</v>
          </cell>
        </row>
        <row r="118">
          <cell r="A118">
            <v>370300</v>
          </cell>
          <cell r="B118" t="str">
            <v>RALEIGH-DURHAM-CHAPEL HILL, NC</v>
          </cell>
        </row>
        <row r="119">
          <cell r="A119">
            <v>370400</v>
          </cell>
          <cell r="B119" t="str">
            <v>NORTH CAROLINA WEST</v>
          </cell>
        </row>
        <row r="120">
          <cell r="A120">
            <v>370500</v>
          </cell>
          <cell r="B120" t="str">
            <v>NORTH CAROLINA EAST</v>
          </cell>
        </row>
        <row r="121">
          <cell r="A121">
            <v>370600</v>
          </cell>
          <cell r="B121" t="str">
            <v>I-95 CORRIDOR, NC</v>
          </cell>
        </row>
        <row r="122">
          <cell r="A122">
            <v>380100</v>
          </cell>
          <cell r="B122" t="str">
            <v>NORTH DAKOTA</v>
          </cell>
        </row>
        <row r="123">
          <cell r="A123">
            <v>390100</v>
          </cell>
          <cell r="B123" t="str">
            <v>OHIO NORTH</v>
          </cell>
        </row>
        <row r="124">
          <cell r="A124">
            <v>390200</v>
          </cell>
          <cell r="B124" t="str">
            <v>CINCINNATI, OH-KY-IN</v>
          </cell>
        </row>
        <row r="125">
          <cell r="A125">
            <v>390300</v>
          </cell>
          <cell r="B125" t="str">
            <v>OHIO SOUTH</v>
          </cell>
        </row>
        <row r="126">
          <cell r="A126">
            <v>390400</v>
          </cell>
          <cell r="B126" t="str">
            <v>CLEVELAND, OH</v>
          </cell>
        </row>
        <row r="127">
          <cell r="A127">
            <v>390500</v>
          </cell>
          <cell r="B127" t="str">
            <v>COLUMBUS, OH</v>
          </cell>
        </row>
        <row r="128">
          <cell r="A128">
            <v>390600</v>
          </cell>
          <cell r="B128" t="str">
            <v>DAYTON-SPRINGFIELD, OH</v>
          </cell>
        </row>
        <row r="129">
          <cell r="A129">
            <v>400100</v>
          </cell>
          <cell r="B129" t="str">
            <v>OKLAHOMA CITY, OK</v>
          </cell>
        </row>
        <row r="130">
          <cell r="A130">
            <v>400200</v>
          </cell>
          <cell r="B130" t="str">
            <v>OKLAHOMA AREA</v>
          </cell>
        </row>
        <row r="131">
          <cell r="A131">
            <v>400300</v>
          </cell>
          <cell r="B131" t="str">
            <v>TULSA, OK</v>
          </cell>
        </row>
        <row r="132">
          <cell r="A132">
            <v>410100</v>
          </cell>
          <cell r="B132" t="str">
            <v>PORTLAND, OR</v>
          </cell>
        </row>
        <row r="133">
          <cell r="A133">
            <v>410200</v>
          </cell>
          <cell r="B133" t="str">
            <v>OREGON AREA</v>
          </cell>
        </row>
        <row r="134">
          <cell r="A134">
            <v>420100</v>
          </cell>
          <cell r="B134" t="str">
            <v>PHILADELPHIA, PA-NJ</v>
          </cell>
        </row>
        <row r="135">
          <cell r="A135">
            <v>420200</v>
          </cell>
          <cell r="B135" t="str">
            <v>PITTSBURGH, PA</v>
          </cell>
        </row>
        <row r="136">
          <cell r="A136">
            <v>420300</v>
          </cell>
          <cell r="B136" t="str">
            <v>PENNSYLVANIA SOUTH CENTRAL</v>
          </cell>
        </row>
        <row r="137">
          <cell r="A137">
            <v>420400</v>
          </cell>
          <cell r="B137" t="str">
            <v>SCRANTON--WILKES-BARRE, PA</v>
          </cell>
        </row>
        <row r="138">
          <cell r="A138">
            <v>420500</v>
          </cell>
          <cell r="B138" t="str">
            <v>PENNSYLVANIA AREA</v>
          </cell>
        </row>
        <row r="139">
          <cell r="A139">
            <v>420600</v>
          </cell>
          <cell r="B139" t="str">
            <v>HARRISBURG, PA</v>
          </cell>
        </row>
        <row r="140">
          <cell r="A140">
            <v>420700</v>
          </cell>
          <cell r="B140" t="str">
            <v>ALLENTOWN-READING, PA</v>
          </cell>
        </row>
        <row r="141">
          <cell r="A141">
            <v>440200</v>
          </cell>
          <cell r="B141" t="str">
            <v>RHODE ISLAND</v>
          </cell>
        </row>
        <row r="142">
          <cell r="A142">
            <v>450100</v>
          </cell>
          <cell r="B142" t="str">
            <v>GREENVILLE-SPARTANBURG, SC</v>
          </cell>
        </row>
        <row r="143">
          <cell r="A143">
            <v>450200</v>
          </cell>
          <cell r="B143" t="str">
            <v>COLUMBIA, SC</v>
          </cell>
        </row>
        <row r="144">
          <cell r="A144">
            <v>450300</v>
          </cell>
          <cell r="B144" t="str">
            <v>SOUTH CAROLINA AREA</v>
          </cell>
        </row>
        <row r="145">
          <cell r="A145">
            <v>450400</v>
          </cell>
          <cell r="B145" t="str">
            <v>CHARLESTON, SC</v>
          </cell>
        </row>
        <row r="146">
          <cell r="A146">
            <v>450500</v>
          </cell>
          <cell r="B146" t="str">
            <v>MYRTLE BEACH, SC</v>
          </cell>
        </row>
        <row r="147">
          <cell r="A147">
            <v>460100</v>
          </cell>
          <cell r="B147" t="str">
            <v>SOUTH DAKOTA</v>
          </cell>
        </row>
        <row r="148">
          <cell r="A148">
            <v>470100</v>
          </cell>
          <cell r="B148" t="str">
            <v>KNOXVILLE, TN</v>
          </cell>
        </row>
        <row r="149">
          <cell r="A149">
            <v>470200</v>
          </cell>
          <cell r="B149" t="str">
            <v>MEMPHIS, TN-AR-MS</v>
          </cell>
        </row>
        <row r="150">
          <cell r="A150">
            <v>470300</v>
          </cell>
          <cell r="B150" t="str">
            <v>NASHVILLE, TN</v>
          </cell>
        </row>
        <row r="151">
          <cell r="A151">
            <v>470400</v>
          </cell>
          <cell r="B151" t="str">
            <v>TENNESSEE AREA</v>
          </cell>
        </row>
        <row r="152">
          <cell r="A152">
            <v>470500</v>
          </cell>
          <cell r="B152" t="str">
            <v>CHATTANOOGA, TN-GA</v>
          </cell>
        </row>
        <row r="153">
          <cell r="A153">
            <v>470600</v>
          </cell>
          <cell r="B153" t="str">
            <v>GATLINBURG - PIGEON FORGE</v>
          </cell>
        </row>
        <row r="154">
          <cell r="A154">
            <v>480100</v>
          </cell>
          <cell r="B154" t="str">
            <v>AUSTIN, TX</v>
          </cell>
        </row>
        <row r="155">
          <cell r="A155">
            <v>480200</v>
          </cell>
          <cell r="B155" t="str">
            <v>DALLAS, TX</v>
          </cell>
        </row>
        <row r="156">
          <cell r="A156">
            <v>480300</v>
          </cell>
          <cell r="B156" t="str">
            <v>FORT WORTH-ARLINGTON, TX</v>
          </cell>
        </row>
        <row r="157">
          <cell r="A157">
            <v>480400</v>
          </cell>
          <cell r="B157" t="str">
            <v>HOUSTON, TX</v>
          </cell>
        </row>
        <row r="158">
          <cell r="A158">
            <v>480500</v>
          </cell>
          <cell r="B158" t="str">
            <v>SAN ANTONIO, TX</v>
          </cell>
        </row>
        <row r="159">
          <cell r="A159">
            <v>480600</v>
          </cell>
          <cell r="B159" t="str">
            <v>TEXAS NORTH</v>
          </cell>
        </row>
        <row r="160">
          <cell r="A160">
            <v>480700</v>
          </cell>
          <cell r="B160" t="str">
            <v>TEXAS SOUTH</v>
          </cell>
        </row>
        <row r="161">
          <cell r="A161">
            <v>480800</v>
          </cell>
          <cell r="B161" t="str">
            <v>TEXAS WEST</v>
          </cell>
        </row>
        <row r="162">
          <cell r="A162">
            <v>480900</v>
          </cell>
          <cell r="B162" t="str">
            <v>TEXAS EAST</v>
          </cell>
        </row>
        <row r="163">
          <cell r="A163">
            <v>490100</v>
          </cell>
          <cell r="B163" t="str">
            <v>SALT LAKE CITY-OGDEN, UT</v>
          </cell>
        </row>
        <row r="164">
          <cell r="A164">
            <v>490200</v>
          </cell>
          <cell r="B164" t="str">
            <v>UTAH AREA</v>
          </cell>
        </row>
        <row r="165">
          <cell r="A165">
            <v>500200</v>
          </cell>
          <cell r="B165" t="str">
            <v>VERMONT</v>
          </cell>
        </row>
        <row r="166">
          <cell r="A166">
            <v>510100</v>
          </cell>
          <cell r="B166" t="str">
            <v>NORFOLK-VIRGINIA BEACH, VA</v>
          </cell>
        </row>
        <row r="167">
          <cell r="A167">
            <v>510200</v>
          </cell>
          <cell r="B167" t="str">
            <v>RICHMOND-PETERSBURG, VA</v>
          </cell>
        </row>
        <row r="168">
          <cell r="A168">
            <v>510300</v>
          </cell>
          <cell r="B168" t="str">
            <v>I-81 CORRIDOR</v>
          </cell>
        </row>
        <row r="169">
          <cell r="A169">
            <v>510400</v>
          </cell>
          <cell r="B169" t="str">
            <v>VIRGINIA AREA</v>
          </cell>
        </row>
        <row r="170">
          <cell r="A170">
            <v>530100</v>
          </cell>
          <cell r="B170" t="str">
            <v>SEATTLE, WA</v>
          </cell>
        </row>
        <row r="171">
          <cell r="A171">
            <v>530200</v>
          </cell>
          <cell r="B171" t="str">
            <v>WASHINGTON EAST</v>
          </cell>
        </row>
        <row r="172">
          <cell r="A172">
            <v>530300</v>
          </cell>
          <cell r="B172" t="str">
            <v>WASHINGTON WEST</v>
          </cell>
        </row>
        <row r="173">
          <cell r="A173">
            <v>540100</v>
          </cell>
          <cell r="B173" t="str">
            <v>WEST VIRGINIA</v>
          </cell>
        </row>
        <row r="174">
          <cell r="A174">
            <v>550100</v>
          </cell>
          <cell r="B174" t="str">
            <v>WISCONSIN SOUTH</v>
          </cell>
        </row>
        <row r="175">
          <cell r="A175">
            <v>550200</v>
          </cell>
          <cell r="B175" t="str">
            <v>WISCONSIN NORTH</v>
          </cell>
        </row>
        <row r="176">
          <cell r="A176">
            <v>550300</v>
          </cell>
          <cell r="B176" t="str">
            <v>MILWAUKEE, WI</v>
          </cell>
        </row>
        <row r="177">
          <cell r="A177">
            <v>560100</v>
          </cell>
          <cell r="B177" t="str">
            <v>WYOMING</v>
          </cell>
        </row>
      </sheetData>
      <sheetData sheetId="3" refreshError="1">
        <row r="1">
          <cell r="A1">
            <v>6001</v>
          </cell>
          <cell r="B1" t="str">
            <v>RICHFIELD</v>
          </cell>
        </row>
        <row r="2">
          <cell r="A2">
            <v>6002</v>
          </cell>
          <cell r="B2" t="str">
            <v>CREATIVE HOTEL ASSOCIATES</v>
          </cell>
        </row>
        <row r="3">
          <cell r="A3">
            <v>6003</v>
          </cell>
          <cell r="B3" t="str">
            <v>WHI</v>
          </cell>
        </row>
        <row r="4">
          <cell r="A4">
            <v>6004</v>
          </cell>
          <cell r="B4" t="str">
            <v>PRIME HOSPITALITY CORP.</v>
          </cell>
        </row>
        <row r="5">
          <cell r="A5">
            <v>6005</v>
          </cell>
          <cell r="B5" t="str">
            <v>TOLLMAN HUNDLEY</v>
          </cell>
        </row>
        <row r="6">
          <cell r="A6">
            <v>6006</v>
          </cell>
          <cell r="B6" t="str">
            <v>AMERICAN PROPERTY MANAGEMENT</v>
          </cell>
        </row>
        <row r="7">
          <cell r="A7">
            <v>6007</v>
          </cell>
          <cell r="B7" t="str">
            <v>WOODFIN SUITE HOTELS</v>
          </cell>
        </row>
        <row r="8">
          <cell r="A8">
            <v>6008</v>
          </cell>
          <cell r="B8" t="str">
            <v>FAIRMONT HOTELS &amp; RESORTS</v>
          </cell>
        </row>
        <row r="9">
          <cell r="A9">
            <v>6009</v>
          </cell>
          <cell r="B9" t="str">
            <v>HUDSON HOTELS CORPORATION</v>
          </cell>
        </row>
        <row r="10">
          <cell r="A10">
            <v>6010</v>
          </cell>
          <cell r="B10" t="str">
            <v>WYNDHAM</v>
          </cell>
        </row>
        <row r="11">
          <cell r="A11">
            <v>6011</v>
          </cell>
          <cell r="B11" t="str">
            <v>INNKEEPERS</v>
          </cell>
        </row>
        <row r="12">
          <cell r="A12">
            <v>6012</v>
          </cell>
          <cell r="B12" t="str">
            <v>INTERSTATE HOTELS</v>
          </cell>
        </row>
        <row r="13">
          <cell r="A13">
            <v>6013</v>
          </cell>
          <cell r="B13" t="str">
            <v>LODGEWORKS</v>
          </cell>
        </row>
        <row r="14">
          <cell r="A14">
            <v>6014</v>
          </cell>
          <cell r="B14" t="str">
            <v>HILTON MANAGED</v>
          </cell>
        </row>
        <row r="15">
          <cell r="A15">
            <v>6015</v>
          </cell>
          <cell r="B15" t="str">
            <v>LARRY BLUMBERG</v>
          </cell>
        </row>
        <row r="16">
          <cell r="A16">
            <v>6016</v>
          </cell>
          <cell r="B16" t="str">
            <v>RIDGEWOOD HOTELS INC</v>
          </cell>
        </row>
        <row r="17">
          <cell r="A17">
            <v>6017</v>
          </cell>
          <cell r="B17" t="str">
            <v>KIMPTON HOTEL GROUP</v>
          </cell>
        </row>
        <row r="18">
          <cell r="A18">
            <v>6018</v>
          </cell>
          <cell r="B18" t="str">
            <v>SHOLODGE</v>
          </cell>
        </row>
        <row r="19">
          <cell r="A19">
            <v>6019</v>
          </cell>
          <cell r="B19" t="str">
            <v>PEABODY HOTEL GROUP</v>
          </cell>
        </row>
        <row r="20">
          <cell r="A20">
            <v>6020</v>
          </cell>
          <cell r="B20" t="str">
            <v>PARAMOUNT MANAGEMENT ASSOC LLC</v>
          </cell>
        </row>
        <row r="21">
          <cell r="A21">
            <v>6021</v>
          </cell>
          <cell r="B21" t="str">
            <v>LARKEN INC.</v>
          </cell>
        </row>
        <row r="22">
          <cell r="A22">
            <v>6022</v>
          </cell>
          <cell r="B22" t="str">
            <v>THE HOTEL GROUP</v>
          </cell>
        </row>
        <row r="23">
          <cell r="A23">
            <v>6023</v>
          </cell>
          <cell r="B23" t="str">
            <v>QUORUM HOTELS</v>
          </cell>
        </row>
        <row r="24">
          <cell r="A24">
            <v>6024</v>
          </cell>
          <cell r="B24" t="str">
            <v>DRIFTWOOD VENTURES</v>
          </cell>
        </row>
        <row r="25">
          <cell r="A25">
            <v>6025</v>
          </cell>
          <cell r="B25" t="str">
            <v>LOEWS HOTELS</v>
          </cell>
        </row>
        <row r="26">
          <cell r="A26">
            <v>6026</v>
          </cell>
          <cell r="B26" t="str">
            <v>WATERFORD HOTEL GROUP</v>
          </cell>
        </row>
        <row r="27">
          <cell r="A27">
            <v>6027</v>
          </cell>
          <cell r="B27" t="str">
            <v>WHITE LODGING</v>
          </cell>
        </row>
        <row r="28">
          <cell r="A28">
            <v>6028</v>
          </cell>
          <cell r="B28" t="str">
            <v>HOTEL CORPORATION OF AMERICA</v>
          </cell>
        </row>
        <row r="29">
          <cell r="A29">
            <v>6029</v>
          </cell>
          <cell r="B29" t="str">
            <v>SAGE</v>
          </cell>
        </row>
        <row r="30">
          <cell r="A30">
            <v>6030</v>
          </cell>
          <cell r="B30" t="str">
            <v>UNITED INNS</v>
          </cell>
        </row>
        <row r="31">
          <cell r="A31">
            <v>6031</v>
          </cell>
          <cell r="B31" t="str">
            <v>HLC</v>
          </cell>
        </row>
        <row r="32">
          <cell r="A32">
            <v>6032</v>
          </cell>
          <cell r="B32" t="str">
            <v>CHARLESTOWN MANAGEMENT INC</v>
          </cell>
        </row>
        <row r="33">
          <cell r="A33">
            <v>6033</v>
          </cell>
          <cell r="B33" t="str">
            <v>GUEST INC</v>
          </cell>
        </row>
        <row r="34">
          <cell r="A34">
            <v>6034</v>
          </cell>
          <cell r="B34" t="str">
            <v>NOBLE HOUSE HOTELS</v>
          </cell>
        </row>
        <row r="35">
          <cell r="A35">
            <v>6035</v>
          </cell>
          <cell r="B35" t="str">
            <v>CARLSON HOSPITALITY</v>
          </cell>
        </row>
        <row r="36">
          <cell r="A36">
            <v>6036</v>
          </cell>
          <cell r="B36" t="str">
            <v>LANE HOSPITALITY</v>
          </cell>
        </row>
        <row r="37">
          <cell r="A37">
            <v>6037</v>
          </cell>
          <cell r="B37" t="str">
            <v>SUNBURST</v>
          </cell>
        </row>
        <row r="38">
          <cell r="A38">
            <v>6040</v>
          </cell>
          <cell r="B38" t="str">
            <v>DOLCE INTERNATIONAL</v>
          </cell>
        </row>
        <row r="39">
          <cell r="A39">
            <v>6041</v>
          </cell>
          <cell r="B39" t="str">
            <v>MERISTAR</v>
          </cell>
        </row>
        <row r="40">
          <cell r="A40">
            <v>6042</v>
          </cell>
          <cell r="B40" t="str">
            <v>MMI HOTEL GROUP</v>
          </cell>
        </row>
        <row r="41">
          <cell r="A41">
            <v>6043</v>
          </cell>
          <cell r="B41" t="str">
            <v>RENAISSANCE HOTELS INT'L</v>
          </cell>
        </row>
        <row r="42">
          <cell r="A42">
            <v>6044</v>
          </cell>
          <cell r="B42" t="str">
            <v>OLYMPUS HOSPITALITY</v>
          </cell>
        </row>
        <row r="43">
          <cell r="A43">
            <v>6045</v>
          </cell>
          <cell r="B43" t="str">
            <v>CROSSROADS</v>
          </cell>
        </row>
        <row r="44">
          <cell r="A44">
            <v>6046</v>
          </cell>
          <cell r="B44" t="str">
            <v>ALLEN MANAGEMENT, INC</v>
          </cell>
        </row>
        <row r="45">
          <cell r="A45">
            <v>6047</v>
          </cell>
          <cell r="B45" t="str">
            <v>THARALDSON GROUP</v>
          </cell>
        </row>
        <row r="46">
          <cell r="A46">
            <v>6048</v>
          </cell>
          <cell r="B46" t="str">
            <v>CARNIVAL HOTELS</v>
          </cell>
        </row>
        <row r="47">
          <cell r="A47">
            <v>6049</v>
          </cell>
          <cell r="B47" t="str">
            <v>DESTINATION</v>
          </cell>
        </row>
        <row r="48">
          <cell r="A48">
            <v>6050</v>
          </cell>
          <cell r="B48" t="str">
            <v>POSADAS DE MEXICO</v>
          </cell>
        </row>
        <row r="49">
          <cell r="A49">
            <v>6051</v>
          </cell>
          <cell r="B49" t="str">
            <v>LA QUINTA</v>
          </cell>
        </row>
        <row r="50">
          <cell r="A50">
            <v>6052</v>
          </cell>
          <cell r="B50" t="str">
            <v>ACCOR</v>
          </cell>
        </row>
        <row r="51">
          <cell r="A51">
            <v>6053</v>
          </cell>
          <cell r="B51" t="str">
            <v>CAMPBELL MOTEL PROPERTIES, INC</v>
          </cell>
        </row>
        <row r="52">
          <cell r="A52">
            <v>6054</v>
          </cell>
          <cell r="B52" t="str">
            <v>CALINDA</v>
          </cell>
        </row>
        <row r="53">
          <cell r="A53">
            <v>6055</v>
          </cell>
          <cell r="B53" t="str">
            <v>JOHN Q HAMMONS</v>
          </cell>
        </row>
        <row r="54">
          <cell r="A54">
            <v>6056</v>
          </cell>
          <cell r="B54" t="str">
            <v>SITUR</v>
          </cell>
        </row>
        <row r="55">
          <cell r="A55">
            <v>6057</v>
          </cell>
          <cell r="B55" t="str">
            <v>LODGIAN</v>
          </cell>
        </row>
        <row r="56">
          <cell r="A56">
            <v>6058</v>
          </cell>
          <cell r="B56" t="str">
            <v>VAGABOND INNS</v>
          </cell>
        </row>
        <row r="57">
          <cell r="A57">
            <v>6060</v>
          </cell>
          <cell r="B57" t="str">
            <v>JOURNEYS END</v>
          </cell>
        </row>
        <row r="58">
          <cell r="A58">
            <v>6061</v>
          </cell>
          <cell r="B58" t="str">
            <v>REMINGTON HOTEL</v>
          </cell>
        </row>
        <row r="59">
          <cell r="A59">
            <v>6062</v>
          </cell>
          <cell r="B59" t="str">
            <v>BOYKIN</v>
          </cell>
        </row>
        <row r="60">
          <cell r="A60">
            <v>6063</v>
          </cell>
          <cell r="B60" t="str">
            <v>BRISTOL HOTEL CORPORATION</v>
          </cell>
        </row>
        <row r="61">
          <cell r="A61">
            <v>6064</v>
          </cell>
          <cell r="B61" t="str">
            <v>PARK HOSPITALITY</v>
          </cell>
        </row>
        <row r="62">
          <cell r="A62">
            <v>6065</v>
          </cell>
          <cell r="B62" t="str">
            <v>COAKLEY &amp; WILLIAMS</v>
          </cell>
        </row>
        <row r="63">
          <cell r="A63">
            <v>6066</v>
          </cell>
          <cell r="B63" t="str">
            <v>HOSPITALITY PARTNERS</v>
          </cell>
        </row>
        <row r="64">
          <cell r="A64">
            <v>6067</v>
          </cell>
          <cell r="B64" t="str">
            <v>MOTEL 6</v>
          </cell>
        </row>
        <row r="65">
          <cell r="A65">
            <v>6068</v>
          </cell>
          <cell r="B65" t="str">
            <v>SOUTHERN HOSPITALITY</v>
          </cell>
        </row>
        <row r="66">
          <cell r="A66">
            <v>6069</v>
          </cell>
          <cell r="B66" t="str">
            <v>TRIGILD CORP</v>
          </cell>
        </row>
        <row r="67">
          <cell r="A67">
            <v>6070</v>
          </cell>
          <cell r="B67" t="str">
            <v>MANHATTAN EAST SUITE HOTELS</v>
          </cell>
        </row>
        <row r="68">
          <cell r="A68">
            <v>6071</v>
          </cell>
          <cell r="B68" t="str">
            <v>HOSTMARK MANAGEMENT</v>
          </cell>
        </row>
        <row r="69">
          <cell r="A69">
            <v>6072</v>
          </cell>
          <cell r="B69" t="str">
            <v>SHANER HOTEL GROUP</v>
          </cell>
        </row>
        <row r="70">
          <cell r="A70">
            <v>6073</v>
          </cell>
          <cell r="B70" t="str">
            <v>POSADA REAL</v>
          </cell>
        </row>
        <row r="71">
          <cell r="A71">
            <v>6074</v>
          </cell>
          <cell r="B71" t="str">
            <v>PERFORMANCE HOSPITALITY</v>
          </cell>
        </row>
        <row r="72">
          <cell r="A72">
            <v>6075</v>
          </cell>
          <cell r="B72" t="str">
            <v>BUCKHEAD AMERICA CORPORATION</v>
          </cell>
        </row>
        <row r="73">
          <cell r="A73">
            <v>6076</v>
          </cell>
          <cell r="B73" t="str">
            <v>NATIONAL PURCHASING NETWORK</v>
          </cell>
        </row>
        <row r="74">
          <cell r="A74">
            <v>6077</v>
          </cell>
          <cell r="B74" t="str">
            <v>STANFORD HOTELS</v>
          </cell>
        </row>
        <row r="75">
          <cell r="A75">
            <v>6079</v>
          </cell>
          <cell r="B75" t="str">
            <v>FLAGSTONE</v>
          </cell>
        </row>
        <row r="76">
          <cell r="A76">
            <v>6080</v>
          </cell>
          <cell r="B76" t="str">
            <v>ARLINGTON MANAGEMENT, INC</v>
          </cell>
        </row>
        <row r="77">
          <cell r="A77">
            <v>6081</v>
          </cell>
          <cell r="B77" t="str">
            <v>WESTLODGE HOSPITALITY</v>
          </cell>
        </row>
        <row r="78">
          <cell r="A78">
            <v>6082</v>
          </cell>
          <cell r="B78" t="str">
            <v>TECTON</v>
          </cell>
        </row>
        <row r="79">
          <cell r="A79">
            <v>6083</v>
          </cell>
          <cell r="B79" t="str">
            <v>WESTMONT HOSPITALITY</v>
          </cell>
        </row>
        <row r="80">
          <cell r="A80">
            <v>6084</v>
          </cell>
          <cell r="B80" t="str">
            <v>SUNSTONE HOTEL INVESTORS</v>
          </cell>
        </row>
        <row r="81">
          <cell r="A81">
            <v>6085</v>
          </cell>
          <cell r="B81" t="str">
            <v>WESTCOAST HOTELS</v>
          </cell>
        </row>
        <row r="82">
          <cell r="A82">
            <v>6086</v>
          </cell>
          <cell r="B82" t="str">
            <v>JHM HOTELS</v>
          </cell>
        </row>
        <row r="83">
          <cell r="A83">
            <v>6087</v>
          </cell>
          <cell r="B83" t="str">
            <v>CITY HOTELS</v>
          </cell>
        </row>
        <row r="84">
          <cell r="A84">
            <v>6088</v>
          </cell>
          <cell r="B84" t="str">
            <v>STARWOOD LODGING</v>
          </cell>
        </row>
        <row r="85">
          <cell r="A85">
            <v>6089</v>
          </cell>
          <cell r="B85" t="str">
            <v>NEW CASTLE HOTELS</v>
          </cell>
        </row>
        <row r="86">
          <cell r="A86">
            <v>6090</v>
          </cell>
          <cell r="B86" t="str">
            <v>WRIGHT INVESTMENT PROPERTIES</v>
          </cell>
        </row>
        <row r="87">
          <cell r="A87">
            <v>6091</v>
          </cell>
          <cell r="B87" t="str">
            <v>OCEAN PROPERTIES, LTD</v>
          </cell>
        </row>
        <row r="88">
          <cell r="A88">
            <v>6092</v>
          </cell>
          <cell r="B88" t="str">
            <v>CHIP HOSPITALITY</v>
          </cell>
        </row>
        <row r="89">
          <cell r="A89">
            <v>6093</v>
          </cell>
          <cell r="B89" t="str">
            <v>WESTMINSTER HOSPITALITY</v>
          </cell>
        </row>
        <row r="90">
          <cell r="A90">
            <v>6094</v>
          </cell>
          <cell r="B90" t="str">
            <v>NORTHWEST LODGING, INC</v>
          </cell>
        </row>
        <row r="91">
          <cell r="A91">
            <v>6095</v>
          </cell>
          <cell r="B91" t="str">
            <v>TORGERSON PROPERTIES</v>
          </cell>
        </row>
        <row r="92">
          <cell r="A92">
            <v>6096</v>
          </cell>
          <cell r="B92" t="str">
            <v>NATIONAL HOTELS</v>
          </cell>
        </row>
        <row r="93">
          <cell r="A93">
            <v>6097</v>
          </cell>
          <cell r="B93" t="str">
            <v>DESTINATION SEASONAL</v>
          </cell>
        </row>
        <row r="94">
          <cell r="A94">
            <v>6098</v>
          </cell>
          <cell r="B94" t="str">
            <v>ALLIED HOSPITALITY GROUP</v>
          </cell>
        </row>
        <row r="95">
          <cell r="A95">
            <v>6099</v>
          </cell>
          <cell r="B95" t="str">
            <v>MOA</v>
          </cell>
        </row>
        <row r="96">
          <cell r="A96">
            <v>6100</v>
          </cell>
          <cell r="B96" t="str">
            <v>MILLENNIUM HOTELS &amp; RESORTS</v>
          </cell>
        </row>
        <row r="97">
          <cell r="A97">
            <v>6101</v>
          </cell>
          <cell r="B97" t="str">
            <v>CRESTLINE HOTELS</v>
          </cell>
        </row>
        <row r="98">
          <cell r="A98">
            <v>6102</v>
          </cell>
          <cell r="B98" t="str">
            <v>REMIC HOTEL MANAGEMENT</v>
          </cell>
        </row>
        <row r="99">
          <cell r="A99">
            <v>6103</v>
          </cell>
          <cell r="B99" t="str">
            <v>LEISURE HOTEL GROUP</v>
          </cell>
        </row>
        <row r="100">
          <cell r="A100">
            <v>6104</v>
          </cell>
          <cell r="B100" t="str">
            <v>HERSHA</v>
          </cell>
        </row>
        <row r="101">
          <cell r="A101">
            <v>6105</v>
          </cell>
          <cell r="B101" t="str">
            <v>SIX HATS HOSPITALITY COMPANY</v>
          </cell>
        </row>
        <row r="102">
          <cell r="A102">
            <v>6106</v>
          </cell>
          <cell r="B102" t="str">
            <v>RAYMOND MANAGEMENT COMPANY</v>
          </cell>
        </row>
        <row r="103">
          <cell r="A103">
            <v>6107</v>
          </cell>
          <cell r="B103" t="str">
            <v>PACIFIC PLAZA HOTELS</v>
          </cell>
        </row>
        <row r="104">
          <cell r="A104">
            <v>6108</v>
          </cell>
          <cell r="B104" t="str">
            <v>DAVIDSON HOTEL COMPANY</v>
          </cell>
        </row>
        <row r="105">
          <cell r="A105">
            <v>6109</v>
          </cell>
          <cell r="B105" t="str">
            <v>LARKSPUR</v>
          </cell>
        </row>
        <row r="106">
          <cell r="A106">
            <v>6250</v>
          </cell>
          <cell r="B106" t="str">
            <v>THE SMALL HOTEL COMPANY</v>
          </cell>
        </row>
        <row r="107">
          <cell r="A107">
            <v>6501</v>
          </cell>
          <cell r="B107" t="str">
            <v>SIGNET HOTELS</v>
          </cell>
        </row>
        <row r="108">
          <cell r="A108">
            <v>6502</v>
          </cell>
          <cell r="B108" t="str">
            <v>THE EQUITY GROUP</v>
          </cell>
        </row>
        <row r="109">
          <cell r="A109">
            <v>6503</v>
          </cell>
          <cell r="B109" t="str">
            <v>AMPAK</v>
          </cell>
        </row>
        <row r="110">
          <cell r="A110">
            <v>6504</v>
          </cell>
          <cell r="B110" t="str">
            <v>BECK SUMMIT</v>
          </cell>
        </row>
        <row r="111">
          <cell r="A111">
            <v>6505</v>
          </cell>
          <cell r="B111" t="str">
            <v>TISHMAN HOTEL GROUP</v>
          </cell>
        </row>
        <row r="112">
          <cell r="A112">
            <v>6506</v>
          </cell>
          <cell r="B112" t="str">
            <v>VISTA HOST</v>
          </cell>
        </row>
        <row r="113">
          <cell r="A113">
            <v>6507</v>
          </cell>
          <cell r="B113" t="str">
            <v>CAPITOL MANAGEMENT CORP</v>
          </cell>
        </row>
        <row r="114">
          <cell r="A114">
            <v>6509</v>
          </cell>
          <cell r="B114" t="str">
            <v>VICTOR MGMT</v>
          </cell>
        </row>
        <row r="115">
          <cell r="A115">
            <v>6510</v>
          </cell>
          <cell r="B115" t="str">
            <v>HOSPITALITY MGMT</v>
          </cell>
        </row>
        <row r="116">
          <cell r="A116">
            <v>6511</v>
          </cell>
          <cell r="B116" t="str">
            <v>WILSON HOTEL MGMT</v>
          </cell>
        </row>
        <row r="117">
          <cell r="A117">
            <v>6512</v>
          </cell>
          <cell r="B117" t="str">
            <v>H I DEVELOPMENT</v>
          </cell>
        </row>
        <row r="118">
          <cell r="A118">
            <v>6513</v>
          </cell>
          <cell r="B118" t="str">
            <v>LANDCOM HOSPITALITY</v>
          </cell>
        </row>
        <row r="119">
          <cell r="A119">
            <v>6514</v>
          </cell>
          <cell r="B119" t="str">
            <v>BROOKSHIRE HOTELS</v>
          </cell>
        </row>
        <row r="120">
          <cell r="A120">
            <v>6515</v>
          </cell>
          <cell r="B120" t="str">
            <v>DEPALMA HOTEL CORP</v>
          </cell>
        </row>
        <row r="121">
          <cell r="A121">
            <v>6516</v>
          </cell>
          <cell r="B121" t="str">
            <v>HORIZON HOTELS</v>
          </cell>
        </row>
        <row r="122">
          <cell r="A122">
            <v>6517</v>
          </cell>
          <cell r="B122" t="str">
            <v>DORAL HOTELS &amp; RESORTS</v>
          </cell>
        </row>
        <row r="123">
          <cell r="A123">
            <v>6518</v>
          </cell>
          <cell r="B123" t="str">
            <v>WINDSOR HOSPITALITY</v>
          </cell>
        </row>
        <row r="124">
          <cell r="A124">
            <v>6519</v>
          </cell>
          <cell r="B124" t="str">
            <v>INN DEVELOPMENT</v>
          </cell>
        </row>
        <row r="125">
          <cell r="A125">
            <v>6520</v>
          </cell>
          <cell r="B125" t="str">
            <v>SIGNATURE HOSPITALITY</v>
          </cell>
        </row>
        <row r="126">
          <cell r="A126">
            <v>6521</v>
          </cell>
          <cell r="B126" t="str">
            <v>MARSHALL MGMT</v>
          </cell>
        </row>
        <row r="127">
          <cell r="A127">
            <v>6523</v>
          </cell>
          <cell r="B127" t="str">
            <v>FINE HOTELS</v>
          </cell>
        </row>
        <row r="128">
          <cell r="A128">
            <v>6524</v>
          </cell>
          <cell r="B128" t="str">
            <v>LODGING UNLIMITED</v>
          </cell>
        </row>
        <row r="129">
          <cell r="A129">
            <v>6525</v>
          </cell>
          <cell r="B129" t="str">
            <v>STERLING HOTELS</v>
          </cell>
        </row>
        <row r="130">
          <cell r="A130">
            <v>6526</v>
          </cell>
          <cell r="B130" t="str">
            <v>MARDECK LTD</v>
          </cell>
        </row>
        <row r="131">
          <cell r="A131">
            <v>6527</v>
          </cell>
          <cell r="B131" t="str">
            <v>HOSPITALITY HOTEL GROUP</v>
          </cell>
        </row>
        <row r="132">
          <cell r="A132">
            <v>6528</v>
          </cell>
          <cell r="B132" t="str">
            <v>HOTEL EQUITIES GROUP</v>
          </cell>
        </row>
        <row r="133">
          <cell r="A133">
            <v>6529</v>
          </cell>
          <cell r="B133" t="str">
            <v>SUNWAY HOTEL MGMT</v>
          </cell>
        </row>
        <row r="134">
          <cell r="A134">
            <v>6530</v>
          </cell>
          <cell r="B134" t="str">
            <v>SANTA FE MGMT</v>
          </cell>
        </row>
        <row r="135">
          <cell r="A135">
            <v>6532</v>
          </cell>
          <cell r="B135" t="str">
            <v>GRAND HERITAGE HOTELS INT</v>
          </cell>
        </row>
        <row r="136">
          <cell r="A136">
            <v>6534</v>
          </cell>
          <cell r="B136" t="str">
            <v>INNCAL</v>
          </cell>
        </row>
        <row r="137">
          <cell r="A137">
            <v>6535</v>
          </cell>
          <cell r="B137" t="str">
            <v>IAN SCHRAGER</v>
          </cell>
        </row>
        <row r="138">
          <cell r="A138">
            <v>6559</v>
          </cell>
          <cell r="B138" t="str">
            <v>OUTRIGGER LODGING</v>
          </cell>
        </row>
        <row r="139">
          <cell r="A139">
            <v>6701</v>
          </cell>
          <cell r="B139" t="str">
            <v>ANA HOTELS</v>
          </cell>
        </row>
        <row r="140">
          <cell r="A140">
            <v>6702</v>
          </cell>
          <cell r="B140" t="str">
            <v>CENTURY INTERNATIONAL HOTELS</v>
          </cell>
        </row>
        <row r="141">
          <cell r="A141">
            <v>6703</v>
          </cell>
          <cell r="B141" t="str">
            <v>TOKYU GROUP HOTELS &amp; RESORTS</v>
          </cell>
        </row>
        <row r="142">
          <cell r="A142">
            <v>6704</v>
          </cell>
          <cell r="B142" t="str">
            <v>MANDARIN ORIENTAL HOTEL GROUP</v>
          </cell>
        </row>
        <row r="143">
          <cell r="A143">
            <v>6705</v>
          </cell>
          <cell r="B143" t="str">
            <v>MERITUS HOTELS &amp; RESORTS</v>
          </cell>
        </row>
        <row r="144">
          <cell r="A144">
            <v>6706</v>
          </cell>
          <cell r="B144" t="str">
            <v>THE TAJ GROUP</v>
          </cell>
        </row>
        <row r="145">
          <cell r="A145">
            <v>6707</v>
          </cell>
          <cell r="B145" t="str">
            <v>FUJITA KANKO GROUP</v>
          </cell>
        </row>
        <row r="146">
          <cell r="A146">
            <v>6708</v>
          </cell>
          <cell r="B146" t="str">
            <v>TOP INTERNATIONAL HOTELS</v>
          </cell>
        </row>
        <row r="147">
          <cell r="A147">
            <v>6709</v>
          </cell>
          <cell r="B147" t="str">
            <v>CONSORT HOTELS GROUP</v>
          </cell>
        </row>
        <row r="148">
          <cell r="A148">
            <v>6710</v>
          </cell>
          <cell r="B148" t="str">
            <v>OCCIDENTAL HOTELS</v>
          </cell>
        </row>
        <row r="149">
          <cell r="A149">
            <v>6711</v>
          </cell>
          <cell r="B149" t="str">
            <v>HELNAN INTERNATINOAL HOTELS</v>
          </cell>
        </row>
        <row r="150">
          <cell r="A150">
            <v>6712</v>
          </cell>
          <cell r="B150" t="str">
            <v>SEDONA HOTELS INTERNATIONAL</v>
          </cell>
        </row>
        <row r="151">
          <cell r="A151">
            <v>6713</v>
          </cell>
          <cell r="B151" t="str">
            <v>SMI HOTELS &amp; RESORTS</v>
          </cell>
        </row>
        <row r="152">
          <cell r="A152">
            <v>6714</v>
          </cell>
          <cell r="B152" t="str">
            <v>TRAVEL CHARME HOTELS</v>
          </cell>
        </row>
        <row r="153">
          <cell r="A153">
            <v>6715</v>
          </cell>
          <cell r="B153" t="str">
            <v>AMS HOTEL GROUP</v>
          </cell>
        </row>
        <row r="154">
          <cell r="A154">
            <v>6716</v>
          </cell>
          <cell r="B154" t="str">
            <v>AUSTROPA HOTELS</v>
          </cell>
        </row>
        <row r="155">
          <cell r="A155">
            <v>6717</v>
          </cell>
          <cell r="B155" t="str">
            <v>AUSTRIA TREND HOTELS</v>
          </cell>
        </row>
        <row r="156">
          <cell r="A156">
            <v>6718</v>
          </cell>
          <cell r="B156" t="str">
            <v>LUCIEN BARRIERE</v>
          </cell>
        </row>
        <row r="157">
          <cell r="A157">
            <v>6719</v>
          </cell>
          <cell r="B157" t="str">
            <v>MARCO POLO HOTELS</v>
          </cell>
        </row>
        <row r="158">
          <cell r="A158">
            <v>6720</v>
          </cell>
          <cell r="B158" t="str">
            <v>LTI INTERNATIONAL HOTELS</v>
          </cell>
        </row>
        <row r="159">
          <cell r="A159">
            <v>6721</v>
          </cell>
          <cell r="B159" t="str">
            <v>JIN JIANG GROUP</v>
          </cell>
        </row>
        <row r="160">
          <cell r="A160">
            <v>6722</v>
          </cell>
          <cell r="B160" t="str">
            <v>SPHC GROUP (SOUTHERN PACIFIC)</v>
          </cell>
        </row>
        <row r="161">
          <cell r="A161">
            <v>6723</v>
          </cell>
          <cell r="B161" t="str">
            <v>AMARI HOTELS AND RESORTS</v>
          </cell>
        </row>
        <row r="162">
          <cell r="A162">
            <v>6724</v>
          </cell>
          <cell r="B162" t="str">
            <v>THE SAVOY GROUP</v>
          </cell>
        </row>
        <row r="163">
          <cell r="A163">
            <v>6725</v>
          </cell>
          <cell r="B163" t="str">
            <v>GROUPE HOTELIER HELAN</v>
          </cell>
        </row>
        <row r="164">
          <cell r="A164">
            <v>6726</v>
          </cell>
          <cell r="B164" t="str">
            <v>CITYHOTELS</v>
          </cell>
        </row>
        <row r="165">
          <cell r="A165">
            <v>6727</v>
          </cell>
          <cell r="B165" t="str">
            <v>ROSEWOOD HOTELS &amp; RESORTS, INC</v>
          </cell>
        </row>
        <row r="166">
          <cell r="A166">
            <v>6728</v>
          </cell>
          <cell r="B166" t="str">
            <v>ALLSON INTL HOTELS &amp; RESORTS</v>
          </cell>
        </row>
        <row r="167">
          <cell r="A167">
            <v>6729</v>
          </cell>
          <cell r="B167" t="str">
            <v>THAKRAL HOLDINGS</v>
          </cell>
        </row>
        <row r="168">
          <cell r="A168">
            <v>6730</v>
          </cell>
          <cell r="B168" t="str">
            <v>RADISSON SAS HOTELS WORLDWIDE</v>
          </cell>
        </row>
        <row r="169">
          <cell r="A169">
            <v>6731</v>
          </cell>
          <cell r="B169" t="str">
            <v>FURAMA HOTELS INTERNATIONAL</v>
          </cell>
        </row>
        <row r="170">
          <cell r="A170">
            <v>6732</v>
          </cell>
          <cell r="B170" t="str">
            <v>RAFAEL HOTELS LIMITED</v>
          </cell>
        </row>
      </sheetData>
      <sheetData sheetId="4" refreshError="1">
        <row r="1">
          <cell r="A1">
            <v>10</v>
          </cell>
          <cell r="B1" t="str">
            <v>NON-MSA</v>
          </cell>
        </row>
        <row r="2">
          <cell r="A2">
            <v>40</v>
          </cell>
          <cell r="B2" t="str">
            <v>ABILENE, TX</v>
          </cell>
        </row>
        <row r="3">
          <cell r="A3">
            <v>80</v>
          </cell>
          <cell r="B3" t="str">
            <v>AKRON, OH</v>
          </cell>
        </row>
        <row r="4">
          <cell r="A4">
            <v>120</v>
          </cell>
          <cell r="B4" t="str">
            <v>ALBANY, GA</v>
          </cell>
        </row>
        <row r="5">
          <cell r="A5">
            <v>160</v>
          </cell>
          <cell r="B5" t="str">
            <v>ALBANY-SCHENECTADY-TROY, NY</v>
          </cell>
        </row>
        <row r="6">
          <cell r="A6">
            <v>200</v>
          </cell>
          <cell r="B6" t="str">
            <v>ALBUQUERQUE, NM</v>
          </cell>
        </row>
        <row r="7">
          <cell r="A7">
            <v>220</v>
          </cell>
          <cell r="B7" t="str">
            <v>ALEXANDRIA, LA</v>
          </cell>
        </row>
        <row r="8">
          <cell r="A8">
            <v>240</v>
          </cell>
          <cell r="B8" t="str">
            <v>ALLENTOWN-BETHLEHEM, PA-NJ</v>
          </cell>
        </row>
        <row r="9">
          <cell r="A9">
            <v>280</v>
          </cell>
          <cell r="B9" t="str">
            <v>ALTOONA, PA</v>
          </cell>
        </row>
        <row r="10">
          <cell r="A10">
            <v>320</v>
          </cell>
          <cell r="B10" t="str">
            <v>AMARILLO, TX</v>
          </cell>
        </row>
        <row r="11">
          <cell r="A11">
            <v>360</v>
          </cell>
          <cell r="B11" t="str">
            <v>ANAHEIM-SANTA ANA, CA</v>
          </cell>
        </row>
        <row r="12">
          <cell r="A12">
            <v>380</v>
          </cell>
          <cell r="B12" t="str">
            <v>ANCHORAGE, AK</v>
          </cell>
        </row>
        <row r="13">
          <cell r="A13">
            <v>400</v>
          </cell>
          <cell r="B13" t="str">
            <v>ANDERSON, IN</v>
          </cell>
        </row>
        <row r="14">
          <cell r="A14">
            <v>405</v>
          </cell>
          <cell r="B14" t="str">
            <v>ANDERSON, SC</v>
          </cell>
        </row>
        <row r="15">
          <cell r="A15">
            <v>440</v>
          </cell>
          <cell r="B15" t="str">
            <v>ANN ARBOR, MI</v>
          </cell>
        </row>
        <row r="16">
          <cell r="A16">
            <v>450</v>
          </cell>
          <cell r="B16" t="str">
            <v>ANNISTON, AL</v>
          </cell>
        </row>
        <row r="17">
          <cell r="A17">
            <v>460</v>
          </cell>
          <cell r="B17" t="str">
            <v>APPLETON-OSHKOSH-NEENAH, WI</v>
          </cell>
        </row>
        <row r="18">
          <cell r="A18">
            <v>480</v>
          </cell>
          <cell r="B18" t="str">
            <v>ASHEVILLE, NC</v>
          </cell>
        </row>
        <row r="19">
          <cell r="A19">
            <v>500</v>
          </cell>
          <cell r="B19" t="str">
            <v>ATHENS, GA</v>
          </cell>
        </row>
        <row r="20">
          <cell r="A20">
            <v>520</v>
          </cell>
          <cell r="B20" t="str">
            <v>ATLANTA, GA</v>
          </cell>
        </row>
        <row r="21">
          <cell r="A21">
            <v>560</v>
          </cell>
          <cell r="B21" t="str">
            <v>ATLANTIC CITY, NJ</v>
          </cell>
        </row>
        <row r="22">
          <cell r="A22">
            <v>600</v>
          </cell>
          <cell r="B22" t="str">
            <v>AUGUSTA, GA-SC</v>
          </cell>
        </row>
        <row r="23">
          <cell r="A23">
            <v>620</v>
          </cell>
          <cell r="B23" t="str">
            <v>AURORA-ELGIN, IL</v>
          </cell>
        </row>
        <row r="24">
          <cell r="A24">
            <v>640</v>
          </cell>
          <cell r="B24" t="str">
            <v>AUSTIN, TX</v>
          </cell>
        </row>
        <row r="25">
          <cell r="A25">
            <v>680</v>
          </cell>
          <cell r="B25" t="str">
            <v>BAKERSFIELD, CA</v>
          </cell>
        </row>
        <row r="26">
          <cell r="A26">
            <v>720</v>
          </cell>
          <cell r="B26" t="str">
            <v>BALTIMORE, MD</v>
          </cell>
        </row>
        <row r="27">
          <cell r="A27">
            <v>733</v>
          </cell>
          <cell r="B27" t="str">
            <v>BANGOR, ME</v>
          </cell>
        </row>
        <row r="28">
          <cell r="A28">
            <v>760</v>
          </cell>
          <cell r="B28" t="str">
            <v>BATON ROUGE, LA</v>
          </cell>
        </row>
        <row r="29">
          <cell r="A29">
            <v>780</v>
          </cell>
          <cell r="B29" t="str">
            <v>BATTLE CREEK, MI</v>
          </cell>
        </row>
        <row r="30">
          <cell r="A30">
            <v>840</v>
          </cell>
          <cell r="B30" t="str">
            <v>BEAUMONT-PORT ARTHUR, TX</v>
          </cell>
        </row>
        <row r="31">
          <cell r="A31">
            <v>845</v>
          </cell>
          <cell r="B31" t="str">
            <v>BEAVER COUNTY, PA</v>
          </cell>
        </row>
        <row r="32">
          <cell r="A32">
            <v>860</v>
          </cell>
          <cell r="B32" t="str">
            <v>BELLINGHAM, WA</v>
          </cell>
        </row>
        <row r="33">
          <cell r="A33">
            <v>870</v>
          </cell>
          <cell r="B33" t="str">
            <v>BENTON HARBOR, MI</v>
          </cell>
        </row>
        <row r="34">
          <cell r="A34">
            <v>875</v>
          </cell>
          <cell r="B34" t="str">
            <v>BERGEN-PASSIAC, NJ</v>
          </cell>
        </row>
        <row r="35">
          <cell r="A35">
            <v>880</v>
          </cell>
          <cell r="B35" t="str">
            <v>BILLINGS, MT</v>
          </cell>
        </row>
        <row r="36">
          <cell r="A36">
            <v>920</v>
          </cell>
          <cell r="B36" t="str">
            <v>BILOXI-GULFPORT, MS</v>
          </cell>
        </row>
        <row r="37">
          <cell r="A37">
            <v>960</v>
          </cell>
          <cell r="B37" t="str">
            <v>BINGHAMTON, NY</v>
          </cell>
        </row>
        <row r="38">
          <cell r="A38">
            <v>1000</v>
          </cell>
          <cell r="B38" t="str">
            <v>BIRMINGHAM, AL</v>
          </cell>
        </row>
        <row r="39">
          <cell r="A39">
            <v>1010</v>
          </cell>
          <cell r="B39" t="str">
            <v>BISMARCK, ND</v>
          </cell>
        </row>
        <row r="40">
          <cell r="A40">
            <v>1020</v>
          </cell>
          <cell r="B40" t="str">
            <v>BLOOMINGTON, IN</v>
          </cell>
        </row>
        <row r="41">
          <cell r="A41">
            <v>1040</v>
          </cell>
          <cell r="B41" t="str">
            <v>BLOOMINGTON-NORMAL, IL</v>
          </cell>
        </row>
        <row r="42">
          <cell r="A42">
            <v>1080</v>
          </cell>
          <cell r="B42" t="str">
            <v>BOISE CITY, ID</v>
          </cell>
        </row>
        <row r="43">
          <cell r="A43">
            <v>1123</v>
          </cell>
          <cell r="B43" t="str">
            <v>BOSTON-LAWRENCE-SALEM-LOWELL-B</v>
          </cell>
        </row>
        <row r="44">
          <cell r="A44">
            <v>1125</v>
          </cell>
          <cell r="B44" t="str">
            <v>BOULDER-LONGMONT, CO</v>
          </cell>
        </row>
        <row r="45">
          <cell r="A45">
            <v>1140</v>
          </cell>
          <cell r="B45" t="str">
            <v>BRADENTON, FL</v>
          </cell>
        </row>
        <row r="46">
          <cell r="A46">
            <v>1145</v>
          </cell>
          <cell r="B46" t="str">
            <v>BRAZORIA, TX</v>
          </cell>
        </row>
        <row r="47">
          <cell r="A47">
            <v>1150</v>
          </cell>
          <cell r="B47" t="str">
            <v>BREMERTON, WA</v>
          </cell>
        </row>
        <row r="48">
          <cell r="A48">
            <v>1163</v>
          </cell>
          <cell r="B48" t="str">
            <v>BRIDGEPORT-STAMFORD-NORWALK-DA</v>
          </cell>
        </row>
        <row r="49">
          <cell r="A49">
            <v>1240</v>
          </cell>
          <cell r="B49" t="str">
            <v>BROWNSVILLE-HARLINGEN, TX</v>
          </cell>
        </row>
        <row r="50">
          <cell r="A50">
            <v>1260</v>
          </cell>
          <cell r="B50" t="str">
            <v>BRYAN-COLLEGE STATION, TX</v>
          </cell>
        </row>
        <row r="51">
          <cell r="A51">
            <v>1280</v>
          </cell>
          <cell r="B51" t="str">
            <v>BUFFALO, NY</v>
          </cell>
        </row>
        <row r="52">
          <cell r="A52">
            <v>1300</v>
          </cell>
          <cell r="B52" t="str">
            <v>BURLINGTON, NC</v>
          </cell>
        </row>
        <row r="53">
          <cell r="A53">
            <v>1303</v>
          </cell>
          <cell r="B53" t="str">
            <v>BURLINGTON, VT</v>
          </cell>
        </row>
        <row r="54">
          <cell r="A54">
            <v>1320</v>
          </cell>
          <cell r="B54" t="str">
            <v>CANTON, OH</v>
          </cell>
        </row>
        <row r="55">
          <cell r="A55">
            <v>1350</v>
          </cell>
          <cell r="B55" t="str">
            <v>CASPER, WY</v>
          </cell>
        </row>
        <row r="56">
          <cell r="A56">
            <v>1360</v>
          </cell>
          <cell r="B56" t="str">
            <v>CEDAR RAPIDS, IA</v>
          </cell>
        </row>
        <row r="57">
          <cell r="A57">
            <v>1400</v>
          </cell>
          <cell r="B57" t="str">
            <v>CHAMPAIGN-URBANA-RANTOUL, IL</v>
          </cell>
        </row>
        <row r="58">
          <cell r="A58">
            <v>1440</v>
          </cell>
          <cell r="B58" t="str">
            <v>CHARLESTON, SC</v>
          </cell>
        </row>
        <row r="59">
          <cell r="A59">
            <v>1480</v>
          </cell>
          <cell r="B59" t="str">
            <v>CHARLESTON, WV</v>
          </cell>
        </row>
        <row r="60">
          <cell r="A60">
            <v>1520</v>
          </cell>
          <cell r="B60" t="str">
            <v>CHARLOTTE-GASTONIA-ROCK HILL,</v>
          </cell>
        </row>
        <row r="61">
          <cell r="A61">
            <v>1540</v>
          </cell>
          <cell r="B61" t="str">
            <v>CHARLOTTESVILLE, VA</v>
          </cell>
        </row>
        <row r="62">
          <cell r="A62">
            <v>1560</v>
          </cell>
          <cell r="B62" t="str">
            <v>CHATTANOOGA, TN-GA</v>
          </cell>
        </row>
        <row r="63">
          <cell r="A63">
            <v>1600</v>
          </cell>
          <cell r="B63" t="str">
            <v>CHICAGO, IL</v>
          </cell>
        </row>
        <row r="64">
          <cell r="A64">
            <v>1620</v>
          </cell>
          <cell r="B64" t="str">
            <v>CHICO, CA</v>
          </cell>
        </row>
        <row r="65">
          <cell r="A65">
            <v>1640</v>
          </cell>
          <cell r="B65" t="str">
            <v>CINCINNATI, OH-KY-IN</v>
          </cell>
        </row>
        <row r="66">
          <cell r="A66">
            <v>1660</v>
          </cell>
          <cell r="B66" t="str">
            <v>CLARKSVILLE-HOPKINSVILLE, TN-K</v>
          </cell>
        </row>
        <row r="67">
          <cell r="A67">
            <v>1680</v>
          </cell>
          <cell r="B67" t="str">
            <v>CLEVELAND, OH</v>
          </cell>
        </row>
        <row r="68">
          <cell r="A68">
            <v>1720</v>
          </cell>
          <cell r="B68" t="str">
            <v>COLORADO SPRINGS, CO</v>
          </cell>
        </row>
        <row r="69">
          <cell r="A69">
            <v>1740</v>
          </cell>
          <cell r="B69" t="str">
            <v>COLUMBIA, MO</v>
          </cell>
        </row>
        <row r="70">
          <cell r="A70">
            <v>1760</v>
          </cell>
          <cell r="B70" t="str">
            <v>COLUMBIA, SC</v>
          </cell>
        </row>
        <row r="71">
          <cell r="A71">
            <v>1800</v>
          </cell>
          <cell r="B71" t="str">
            <v>COLUMBUS, GA-AL</v>
          </cell>
        </row>
        <row r="72">
          <cell r="A72">
            <v>1840</v>
          </cell>
          <cell r="B72" t="str">
            <v>COLUMBUS, OH</v>
          </cell>
        </row>
        <row r="73">
          <cell r="A73">
            <v>1880</v>
          </cell>
          <cell r="B73" t="str">
            <v>CORPUS CHRISTI, TX</v>
          </cell>
        </row>
        <row r="74">
          <cell r="A74">
            <v>1900</v>
          </cell>
          <cell r="B74" t="str">
            <v>CUMBERLAND, MD-WV</v>
          </cell>
        </row>
        <row r="75">
          <cell r="A75">
            <v>1920</v>
          </cell>
          <cell r="B75" t="str">
            <v>DALLAS, TX</v>
          </cell>
        </row>
        <row r="76">
          <cell r="A76">
            <v>1950</v>
          </cell>
          <cell r="B76" t="str">
            <v>DANVILLE, VA</v>
          </cell>
        </row>
        <row r="77">
          <cell r="A77">
            <v>1960</v>
          </cell>
          <cell r="B77" t="str">
            <v>DAVENPORT-ROCK ISLAND-MOLINE,</v>
          </cell>
        </row>
        <row r="78">
          <cell r="A78">
            <v>2000</v>
          </cell>
          <cell r="B78" t="str">
            <v>DAYTON-SPRINGFIELD, OH</v>
          </cell>
        </row>
        <row r="79">
          <cell r="A79">
            <v>2020</v>
          </cell>
          <cell r="B79" t="str">
            <v>DAYTONA BEACH, FL</v>
          </cell>
        </row>
        <row r="80">
          <cell r="A80">
            <v>2040</v>
          </cell>
          <cell r="B80" t="str">
            <v>DECATUR, IL</v>
          </cell>
        </row>
        <row r="81">
          <cell r="A81">
            <v>2080</v>
          </cell>
          <cell r="B81" t="str">
            <v>DENVER, CO</v>
          </cell>
        </row>
        <row r="82">
          <cell r="A82">
            <v>2120</v>
          </cell>
          <cell r="B82" t="str">
            <v>DES MOINES, IA</v>
          </cell>
        </row>
        <row r="83">
          <cell r="A83">
            <v>2160</v>
          </cell>
          <cell r="B83" t="str">
            <v>DETROIT, MI</v>
          </cell>
        </row>
        <row r="84">
          <cell r="A84">
            <v>2180</v>
          </cell>
          <cell r="B84" t="str">
            <v>DOTHAN, AL</v>
          </cell>
        </row>
        <row r="85">
          <cell r="A85">
            <v>2200</v>
          </cell>
          <cell r="B85" t="str">
            <v>DUBUQUE, IA</v>
          </cell>
        </row>
        <row r="86">
          <cell r="A86">
            <v>2240</v>
          </cell>
          <cell r="B86" t="str">
            <v>DULUTH, MN-WI</v>
          </cell>
        </row>
        <row r="87">
          <cell r="A87">
            <v>2290</v>
          </cell>
          <cell r="B87" t="str">
            <v>EAU CLAIRE, WI</v>
          </cell>
        </row>
        <row r="88">
          <cell r="A88">
            <v>2320</v>
          </cell>
          <cell r="B88" t="str">
            <v>EL PASO, TX</v>
          </cell>
        </row>
        <row r="89">
          <cell r="A89">
            <v>2330</v>
          </cell>
          <cell r="B89" t="str">
            <v>ELKHART-GOSHEN, IN</v>
          </cell>
        </row>
        <row r="90">
          <cell r="A90">
            <v>2335</v>
          </cell>
          <cell r="B90" t="str">
            <v>ELMIRA, NY</v>
          </cell>
        </row>
        <row r="91">
          <cell r="A91">
            <v>2340</v>
          </cell>
          <cell r="B91" t="str">
            <v>ENID, OK</v>
          </cell>
        </row>
        <row r="92">
          <cell r="A92">
            <v>2360</v>
          </cell>
          <cell r="B92" t="str">
            <v>ERIE, PA</v>
          </cell>
        </row>
        <row r="93">
          <cell r="A93">
            <v>2400</v>
          </cell>
          <cell r="B93" t="str">
            <v>EUGENE-SPRINGFIELD, OR</v>
          </cell>
        </row>
        <row r="94">
          <cell r="A94">
            <v>2440</v>
          </cell>
          <cell r="B94" t="str">
            <v>EVANSVILLE, IN-KY</v>
          </cell>
        </row>
        <row r="95">
          <cell r="A95">
            <v>2520</v>
          </cell>
          <cell r="B95" t="str">
            <v>FARGO-MOORHEAD, ND-MN</v>
          </cell>
        </row>
        <row r="96">
          <cell r="A96">
            <v>2560</v>
          </cell>
          <cell r="B96" t="str">
            <v>FAYETTEVILLE, NC</v>
          </cell>
        </row>
        <row r="97">
          <cell r="A97">
            <v>2580</v>
          </cell>
          <cell r="B97" t="str">
            <v>FAYETTEVILLE-SPRINGDALE, AR</v>
          </cell>
        </row>
        <row r="98">
          <cell r="A98">
            <v>2640</v>
          </cell>
          <cell r="B98" t="str">
            <v>FLINT, MI</v>
          </cell>
        </row>
        <row r="99">
          <cell r="A99">
            <v>2650</v>
          </cell>
          <cell r="B99" t="str">
            <v>FLORENCE, AL</v>
          </cell>
        </row>
        <row r="100">
          <cell r="A100">
            <v>2655</v>
          </cell>
          <cell r="B100" t="str">
            <v>FLORENCE, SC</v>
          </cell>
        </row>
        <row r="101">
          <cell r="A101">
            <v>2670</v>
          </cell>
          <cell r="B101" t="str">
            <v>FORT COLLINS-LOVELAND, CO</v>
          </cell>
        </row>
        <row r="102">
          <cell r="A102">
            <v>2680</v>
          </cell>
          <cell r="B102" t="str">
            <v>FORT LAUDERDALE-HOLLYWOOD-POMP</v>
          </cell>
        </row>
        <row r="103">
          <cell r="A103">
            <v>2700</v>
          </cell>
          <cell r="B103" t="str">
            <v>FORT MYERS-CAPE CORAL, FL</v>
          </cell>
        </row>
        <row r="104">
          <cell r="A104">
            <v>2710</v>
          </cell>
          <cell r="B104" t="str">
            <v>FORT PIERCE, FL</v>
          </cell>
        </row>
        <row r="105">
          <cell r="A105">
            <v>2720</v>
          </cell>
          <cell r="B105" t="str">
            <v>FORT SMITH, AR-OK</v>
          </cell>
        </row>
        <row r="106">
          <cell r="A106">
            <v>2750</v>
          </cell>
          <cell r="B106" t="str">
            <v>FORT WALTON BEACH, FL</v>
          </cell>
        </row>
        <row r="107">
          <cell r="A107">
            <v>2760</v>
          </cell>
          <cell r="B107" t="str">
            <v>FORT WAYNE, IN</v>
          </cell>
        </row>
        <row r="108">
          <cell r="A108">
            <v>2800</v>
          </cell>
          <cell r="B108" t="str">
            <v>FORT WORTH-ARLINGTON, TX</v>
          </cell>
        </row>
        <row r="109">
          <cell r="A109">
            <v>2840</v>
          </cell>
          <cell r="B109" t="str">
            <v>FRESNO, CA</v>
          </cell>
        </row>
        <row r="110">
          <cell r="A110">
            <v>2880</v>
          </cell>
          <cell r="B110" t="str">
            <v>GADSDEN, AL</v>
          </cell>
        </row>
        <row r="111">
          <cell r="A111">
            <v>2900</v>
          </cell>
          <cell r="B111" t="str">
            <v>GAINESVILLE, FL</v>
          </cell>
        </row>
        <row r="112">
          <cell r="A112">
            <v>2920</v>
          </cell>
          <cell r="B112" t="str">
            <v>GALVESTON-TEXAS CITY, TX</v>
          </cell>
        </row>
        <row r="113">
          <cell r="A113">
            <v>2960</v>
          </cell>
          <cell r="B113" t="str">
            <v>GARY-HAMMOND, IN</v>
          </cell>
        </row>
        <row r="114">
          <cell r="A114">
            <v>2975</v>
          </cell>
          <cell r="B114" t="str">
            <v>GLENS FALLS, NY</v>
          </cell>
        </row>
        <row r="115">
          <cell r="A115">
            <v>2985</v>
          </cell>
          <cell r="B115" t="str">
            <v>GRAND FORKS, ND</v>
          </cell>
        </row>
        <row r="116">
          <cell r="A116">
            <v>3000</v>
          </cell>
          <cell r="B116" t="str">
            <v>GRAND RAPIDS, MI</v>
          </cell>
        </row>
        <row r="117">
          <cell r="A117">
            <v>3040</v>
          </cell>
          <cell r="B117" t="str">
            <v>GREAT FALLS, MT</v>
          </cell>
        </row>
        <row r="118">
          <cell r="A118">
            <v>3060</v>
          </cell>
          <cell r="B118" t="str">
            <v>GREELEY, CO</v>
          </cell>
        </row>
        <row r="119">
          <cell r="A119">
            <v>3080</v>
          </cell>
          <cell r="B119" t="str">
            <v>GREEN BAY, WI</v>
          </cell>
        </row>
        <row r="120">
          <cell r="A120">
            <v>3120</v>
          </cell>
          <cell r="B120" t="str">
            <v>GREENSBORO--WINSTON-SALEM--HIG</v>
          </cell>
        </row>
        <row r="121">
          <cell r="A121">
            <v>3160</v>
          </cell>
          <cell r="B121" t="str">
            <v>GREENVILLE-SPARTANBURG, SC</v>
          </cell>
        </row>
        <row r="122">
          <cell r="A122">
            <v>3180</v>
          </cell>
          <cell r="B122" t="str">
            <v>HAGERSTOWN, MD</v>
          </cell>
        </row>
        <row r="123">
          <cell r="A123">
            <v>3200</v>
          </cell>
          <cell r="B123" t="str">
            <v>HAMILTON-MIDDLETOWN, OH</v>
          </cell>
        </row>
        <row r="124">
          <cell r="A124">
            <v>3240</v>
          </cell>
          <cell r="B124" t="str">
            <v>HARRISBURG-LEBANON-CARLISLE, P</v>
          </cell>
        </row>
        <row r="125">
          <cell r="A125">
            <v>3283</v>
          </cell>
          <cell r="B125" t="str">
            <v>HARTFORD-NEW BRITAIN-MIDDLETOW</v>
          </cell>
        </row>
        <row r="126">
          <cell r="A126">
            <v>3290</v>
          </cell>
          <cell r="B126" t="str">
            <v>HICKORY, NC</v>
          </cell>
        </row>
        <row r="127">
          <cell r="A127">
            <v>3320</v>
          </cell>
          <cell r="B127" t="str">
            <v>HONOLULU, HI</v>
          </cell>
        </row>
        <row r="128">
          <cell r="A128">
            <v>3350</v>
          </cell>
          <cell r="B128" t="str">
            <v>HOUMA-THIBODAUX, LA</v>
          </cell>
        </row>
        <row r="129">
          <cell r="A129">
            <v>3360</v>
          </cell>
          <cell r="B129" t="str">
            <v>HOUSTON, TX</v>
          </cell>
        </row>
        <row r="130">
          <cell r="A130">
            <v>3400</v>
          </cell>
          <cell r="B130" t="str">
            <v>HUNTINGTON-ASHLAND, WV-KY-OH</v>
          </cell>
        </row>
        <row r="131">
          <cell r="A131">
            <v>3440</v>
          </cell>
          <cell r="B131" t="str">
            <v>HUNTSVILLE, AL</v>
          </cell>
        </row>
        <row r="132">
          <cell r="A132">
            <v>3480</v>
          </cell>
          <cell r="B132" t="str">
            <v>INDIANAPOLIS, IN</v>
          </cell>
        </row>
        <row r="133">
          <cell r="A133">
            <v>3500</v>
          </cell>
          <cell r="B133" t="str">
            <v>IOWA CITY, IA</v>
          </cell>
        </row>
        <row r="134">
          <cell r="A134">
            <v>3520</v>
          </cell>
          <cell r="B134" t="str">
            <v>JACKSON, MI</v>
          </cell>
        </row>
        <row r="135">
          <cell r="A135">
            <v>3560</v>
          </cell>
          <cell r="B135" t="str">
            <v>JACKSON, MS</v>
          </cell>
        </row>
        <row r="136">
          <cell r="A136">
            <v>3580</v>
          </cell>
          <cell r="B136" t="str">
            <v>JACKSON, TN</v>
          </cell>
        </row>
        <row r="137">
          <cell r="A137">
            <v>3600</v>
          </cell>
          <cell r="B137" t="str">
            <v>JACKSONVILLE, FL</v>
          </cell>
        </row>
        <row r="138">
          <cell r="A138">
            <v>3605</v>
          </cell>
          <cell r="B138" t="str">
            <v>JACKSONVILLE, NC</v>
          </cell>
        </row>
        <row r="139">
          <cell r="A139">
            <v>3620</v>
          </cell>
          <cell r="B139" t="str">
            <v>JANESVILLE-BELOIT, WI</v>
          </cell>
        </row>
        <row r="140">
          <cell r="A140">
            <v>3640</v>
          </cell>
          <cell r="B140" t="str">
            <v>JERSEY CITY, NJ</v>
          </cell>
        </row>
        <row r="141">
          <cell r="A141">
            <v>3660</v>
          </cell>
          <cell r="B141" t="str">
            <v>JOHNSON CITY-KINGSPORT-BRISTOL</v>
          </cell>
        </row>
        <row r="142">
          <cell r="A142">
            <v>3680</v>
          </cell>
          <cell r="B142" t="str">
            <v>JOHNSTOWN, PA</v>
          </cell>
        </row>
        <row r="143">
          <cell r="A143">
            <v>3690</v>
          </cell>
          <cell r="B143" t="str">
            <v>JOLIET, IL</v>
          </cell>
        </row>
        <row r="144">
          <cell r="A144">
            <v>3710</v>
          </cell>
          <cell r="B144" t="str">
            <v>JOPLIN, MO</v>
          </cell>
        </row>
        <row r="145">
          <cell r="A145">
            <v>3720</v>
          </cell>
          <cell r="B145" t="str">
            <v>KALAMAZOO, MI</v>
          </cell>
        </row>
        <row r="146">
          <cell r="A146">
            <v>3740</v>
          </cell>
          <cell r="B146" t="str">
            <v>KANKAKEE, IL</v>
          </cell>
        </row>
        <row r="147">
          <cell r="A147">
            <v>3760</v>
          </cell>
          <cell r="B147" t="str">
            <v>KANSAS CITY, MO-KS</v>
          </cell>
        </row>
        <row r="148">
          <cell r="A148">
            <v>3800</v>
          </cell>
          <cell r="B148" t="str">
            <v>KENOSHA, WI</v>
          </cell>
        </row>
        <row r="149">
          <cell r="A149">
            <v>3810</v>
          </cell>
          <cell r="B149" t="str">
            <v>KILLEEN-TEMPLE, TX</v>
          </cell>
        </row>
        <row r="150">
          <cell r="A150">
            <v>3840</v>
          </cell>
          <cell r="B150" t="str">
            <v>KNOXVILLE, TN</v>
          </cell>
        </row>
        <row r="151">
          <cell r="A151">
            <v>3850</v>
          </cell>
          <cell r="B151" t="str">
            <v>KOKOMO, IN</v>
          </cell>
        </row>
        <row r="152">
          <cell r="A152">
            <v>3870</v>
          </cell>
          <cell r="B152" t="str">
            <v>LA CROSSE, WI</v>
          </cell>
        </row>
        <row r="153">
          <cell r="A153">
            <v>3880</v>
          </cell>
          <cell r="B153" t="str">
            <v>LAFAYETTE, LA</v>
          </cell>
        </row>
        <row r="154">
          <cell r="A154">
            <v>3920</v>
          </cell>
          <cell r="B154" t="str">
            <v>LAFAYETTE, IN</v>
          </cell>
        </row>
        <row r="155">
          <cell r="A155">
            <v>3960</v>
          </cell>
          <cell r="B155" t="str">
            <v>LAKE CHARLES, LA</v>
          </cell>
        </row>
        <row r="156">
          <cell r="A156">
            <v>3965</v>
          </cell>
          <cell r="B156" t="str">
            <v>LAKE COUNTY, IL</v>
          </cell>
        </row>
        <row r="157">
          <cell r="A157">
            <v>3980</v>
          </cell>
          <cell r="B157" t="str">
            <v>LAKELAND-WINTER HAVEN, FL</v>
          </cell>
        </row>
        <row r="158">
          <cell r="A158">
            <v>4000</v>
          </cell>
          <cell r="B158" t="str">
            <v>LANCASTER, PA</v>
          </cell>
        </row>
        <row r="159">
          <cell r="A159">
            <v>4040</v>
          </cell>
          <cell r="B159" t="str">
            <v>LANSING-EAST LANSING, MI</v>
          </cell>
        </row>
        <row r="160">
          <cell r="A160">
            <v>4080</v>
          </cell>
          <cell r="B160" t="str">
            <v>LAREDO, TX</v>
          </cell>
        </row>
        <row r="161">
          <cell r="A161">
            <v>4100</v>
          </cell>
          <cell r="B161" t="str">
            <v>LAS CRUCES, NM</v>
          </cell>
        </row>
        <row r="162">
          <cell r="A162">
            <v>4120</v>
          </cell>
          <cell r="B162" t="str">
            <v>LAS VEGAS, NV</v>
          </cell>
        </row>
        <row r="163">
          <cell r="A163">
            <v>4150</v>
          </cell>
          <cell r="B163" t="str">
            <v>LAWRENCE, KS</v>
          </cell>
        </row>
        <row r="164">
          <cell r="A164">
            <v>4200</v>
          </cell>
          <cell r="B164" t="str">
            <v>LAWTON, OK</v>
          </cell>
        </row>
        <row r="165">
          <cell r="A165">
            <v>4243</v>
          </cell>
          <cell r="B165" t="str">
            <v>LEWISTON-AUBURN, ME</v>
          </cell>
        </row>
        <row r="166">
          <cell r="A166">
            <v>4280</v>
          </cell>
          <cell r="B166" t="str">
            <v>LEXINGTON-FAYETTE, KY</v>
          </cell>
        </row>
        <row r="167">
          <cell r="A167">
            <v>4320</v>
          </cell>
          <cell r="B167" t="str">
            <v>LIMA, OH</v>
          </cell>
        </row>
        <row r="168">
          <cell r="A168">
            <v>4360</v>
          </cell>
          <cell r="B168" t="str">
            <v>LINCOLN, NE</v>
          </cell>
        </row>
        <row r="169">
          <cell r="A169">
            <v>4400</v>
          </cell>
          <cell r="B169" t="str">
            <v>LITTLE ROCK-NORTH LITTLE ROCK,</v>
          </cell>
        </row>
        <row r="170">
          <cell r="A170">
            <v>4420</v>
          </cell>
          <cell r="B170" t="str">
            <v>LONGVIEW-MARSHALL, TX</v>
          </cell>
        </row>
        <row r="171">
          <cell r="A171">
            <v>4440</v>
          </cell>
          <cell r="B171" t="str">
            <v>LORAIN-ELYRIA, OH</v>
          </cell>
        </row>
        <row r="172">
          <cell r="A172">
            <v>4480</v>
          </cell>
          <cell r="B172" t="str">
            <v>LOS ANGELES-LONG BEACH, CA</v>
          </cell>
        </row>
        <row r="173">
          <cell r="A173">
            <v>4520</v>
          </cell>
          <cell r="B173" t="str">
            <v>LOUISVILLE, KY-IN</v>
          </cell>
        </row>
        <row r="174">
          <cell r="A174">
            <v>4600</v>
          </cell>
          <cell r="B174" t="str">
            <v>LUBBOCK, TX</v>
          </cell>
        </row>
        <row r="175">
          <cell r="A175">
            <v>4640</v>
          </cell>
          <cell r="B175" t="str">
            <v>LYNCHBURG, VA</v>
          </cell>
        </row>
        <row r="176">
          <cell r="A176">
            <v>4680</v>
          </cell>
          <cell r="B176" t="str">
            <v>MACON-WARNER ROBINS, GA</v>
          </cell>
        </row>
        <row r="177">
          <cell r="A177">
            <v>4720</v>
          </cell>
          <cell r="B177" t="str">
            <v>MADISON, WI</v>
          </cell>
        </row>
        <row r="178">
          <cell r="A178">
            <v>4763</v>
          </cell>
          <cell r="B178" t="str">
            <v>MANCHESTER-NASHUA, NH</v>
          </cell>
        </row>
        <row r="179">
          <cell r="A179">
            <v>4800</v>
          </cell>
          <cell r="B179" t="str">
            <v>MANSFIELD, OH</v>
          </cell>
        </row>
        <row r="180">
          <cell r="A180">
            <v>4880</v>
          </cell>
          <cell r="B180" t="str">
            <v>MCALLEN-EDINBURG-MISSION, TX</v>
          </cell>
        </row>
        <row r="181">
          <cell r="A181">
            <v>4890</v>
          </cell>
          <cell r="B181" t="str">
            <v>MEDFORD, OR</v>
          </cell>
        </row>
        <row r="182">
          <cell r="A182">
            <v>4900</v>
          </cell>
          <cell r="B182" t="str">
            <v>MELBOURNE-TITUSVILLE-PALM BAY,</v>
          </cell>
        </row>
        <row r="183">
          <cell r="A183">
            <v>4920</v>
          </cell>
          <cell r="B183" t="str">
            <v>MEMPHIS, TN-AR-MS</v>
          </cell>
        </row>
        <row r="184">
          <cell r="A184">
            <v>5000</v>
          </cell>
          <cell r="B184" t="str">
            <v>MIAMI-HIALEAH, FL</v>
          </cell>
        </row>
        <row r="185">
          <cell r="A185">
            <v>5015</v>
          </cell>
          <cell r="B185" t="str">
            <v>MIDDLESEX-SOMERSET-HUNTERDON,</v>
          </cell>
        </row>
        <row r="186">
          <cell r="A186">
            <v>5040</v>
          </cell>
          <cell r="B186" t="str">
            <v>MIDLAND, TX</v>
          </cell>
        </row>
        <row r="187">
          <cell r="A187">
            <v>5080</v>
          </cell>
          <cell r="B187" t="str">
            <v>MILWAUKEE, WI</v>
          </cell>
        </row>
        <row r="188">
          <cell r="A188">
            <v>5120</v>
          </cell>
          <cell r="B188" t="str">
            <v>MINNEAPOLIS-ST. PAUL, MN-WI</v>
          </cell>
        </row>
        <row r="189">
          <cell r="A189">
            <v>5160</v>
          </cell>
          <cell r="B189" t="str">
            <v>MOBILE, AL</v>
          </cell>
        </row>
        <row r="190">
          <cell r="A190">
            <v>5170</v>
          </cell>
          <cell r="B190" t="str">
            <v>MODESTO, CA</v>
          </cell>
        </row>
        <row r="191">
          <cell r="A191">
            <v>5190</v>
          </cell>
          <cell r="B191" t="str">
            <v>MONMOUTH-OCEAN, NJ</v>
          </cell>
        </row>
        <row r="192">
          <cell r="A192">
            <v>5200</v>
          </cell>
          <cell r="B192" t="str">
            <v>MONROE, LA</v>
          </cell>
        </row>
        <row r="193">
          <cell r="A193">
            <v>5240</v>
          </cell>
          <cell r="B193" t="str">
            <v>MONTGOMERY, AL</v>
          </cell>
        </row>
        <row r="194">
          <cell r="A194">
            <v>5280</v>
          </cell>
          <cell r="B194" t="str">
            <v>MUNCIE, IN</v>
          </cell>
        </row>
        <row r="195">
          <cell r="A195">
            <v>5320</v>
          </cell>
          <cell r="B195" t="str">
            <v>MUSKEGON, MI</v>
          </cell>
        </row>
        <row r="196">
          <cell r="A196">
            <v>5345</v>
          </cell>
          <cell r="B196" t="str">
            <v>NAPLES, FL</v>
          </cell>
        </row>
        <row r="197">
          <cell r="A197">
            <v>5360</v>
          </cell>
          <cell r="B197" t="str">
            <v>NASHVILLE, TN</v>
          </cell>
        </row>
        <row r="198">
          <cell r="A198">
            <v>5380</v>
          </cell>
          <cell r="B198" t="str">
            <v>NASSAU-SUFFOLK, NY</v>
          </cell>
        </row>
        <row r="199">
          <cell r="A199">
            <v>5403</v>
          </cell>
          <cell r="B199" t="str">
            <v>NEW BEDFORD-FALL RIVER-ATTLEBO</v>
          </cell>
        </row>
        <row r="200">
          <cell r="A200">
            <v>5483</v>
          </cell>
          <cell r="B200" t="str">
            <v>NEW HAVEN-WATERBURY-MERIDEN, C</v>
          </cell>
        </row>
        <row r="201">
          <cell r="A201">
            <v>5523</v>
          </cell>
          <cell r="B201" t="str">
            <v>NEW LONDON-NORWICH, CT</v>
          </cell>
        </row>
        <row r="202">
          <cell r="A202">
            <v>5560</v>
          </cell>
          <cell r="B202" t="str">
            <v>NEW ORLEANS, LA</v>
          </cell>
        </row>
        <row r="203">
          <cell r="A203">
            <v>5600</v>
          </cell>
          <cell r="B203" t="str">
            <v>NEW YORK, NY</v>
          </cell>
        </row>
        <row r="204">
          <cell r="A204">
            <v>5640</v>
          </cell>
          <cell r="B204" t="str">
            <v>NEWARK, NJ</v>
          </cell>
        </row>
        <row r="205">
          <cell r="A205">
            <v>5700</v>
          </cell>
          <cell r="B205" t="str">
            <v>NIAGARA FALLS, NY</v>
          </cell>
        </row>
        <row r="206">
          <cell r="A206">
            <v>5720</v>
          </cell>
          <cell r="B206" t="str">
            <v>NORFOLK-VIRGINIA BEACH-NEWPORT</v>
          </cell>
        </row>
        <row r="207">
          <cell r="A207">
            <v>5775</v>
          </cell>
          <cell r="B207" t="str">
            <v>OAKLAND, CA</v>
          </cell>
        </row>
        <row r="208">
          <cell r="A208">
            <v>5790</v>
          </cell>
          <cell r="B208" t="str">
            <v>OCALA, FL</v>
          </cell>
        </row>
        <row r="209">
          <cell r="A209">
            <v>5800</v>
          </cell>
          <cell r="B209" t="str">
            <v>ODESSA, TX</v>
          </cell>
        </row>
        <row r="210">
          <cell r="A210">
            <v>5880</v>
          </cell>
          <cell r="B210" t="str">
            <v>OKLAHOMA CITY, OK</v>
          </cell>
        </row>
        <row r="211">
          <cell r="A211">
            <v>5910</v>
          </cell>
          <cell r="B211" t="str">
            <v>OLYMPIA, WA</v>
          </cell>
        </row>
        <row r="212">
          <cell r="A212">
            <v>5920</v>
          </cell>
          <cell r="B212" t="str">
            <v>OMAHA, NE-IA</v>
          </cell>
        </row>
        <row r="213">
          <cell r="A213">
            <v>5950</v>
          </cell>
          <cell r="B213" t="str">
            <v>ORANGE COUNTY, NY</v>
          </cell>
        </row>
        <row r="214">
          <cell r="A214">
            <v>5960</v>
          </cell>
          <cell r="B214" t="str">
            <v>ORLANDO, FL</v>
          </cell>
        </row>
        <row r="215">
          <cell r="A215">
            <v>5990</v>
          </cell>
          <cell r="B215" t="str">
            <v>OWENSBORO, KY</v>
          </cell>
        </row>
        <row r="216">
          <cell r="A216">
            <v>6000</v>
          </cell>
          <cell r="B216" t="str">
            <v>OXNARD-VENTURA, CA</v>
          </cell>
        </row>
        <row r="217">
          <cell r="A217">
            <v>6015</v>
          </cell>
          <cell r="B217" t="str">
            <v>PANAMA CITY, FL</v>
          </cell>
        </row>
        <row r="218">
          <cell r="A218">
            <v>6020</v>
          </cell>
          <cell r="B218" t="str">
            <v>PARKERSBURG-MARIETTA, WV-OH</v>
          </cell>
        </row>
        <row r="219">
          <cell r="A219">
            <v>6025</v>
          </cell>
          <cell r="B219" t="str">
            <v>PASCAGOULA, MS</v>
          </cell>
        </row>
        <row r="220">
          <cell r="A220">
            <v>6080</v>
          </cell>
          <cell r="B220" t="str">
            <v>PENSACOLA, FL</v>
          </cell>
        </row>
        <row r="221">
          <cell r="A221">
            <v>6120</v>
          </cell>
          <cell r="B221" t="str">
            <v>PEORIA, IL</v>
          </cell>
        </row>
        <row r="222">
          <cell r="A222">
            <v>6160</v>
          </cell>
          <cell r="B222" t="str">
            <v>PHILADELPHIA, PA-NJ</v>
          </cell>
        </row>
        <row r="223">
          <cell r="A223">
            <v>6200</v>
          </cell>
          <cell r="B223" t="str">
            <v>PHOENIX, AZ</v>
          </cell>
        </row>
        <row r="224">
          <cell r="A224">
            <v>6240</v>
          </cell>
          <cell r="B224" t="str">
            <v>PINE BLUFF, AR</v>
          </cell>
        </row>
        <row r="225">
          <cell r="A225">
            <v>6280</v>
          </cell>
          <cell r="B225" t="str">
            <v>PITTSBURGH, PA</v>
          </cell>
        </row>
        <row r="226">
          <cell r="A226">
            <v>6323</v>
          </cell>
          <cell r="B226" t="str">
            <v>PITTSFIELD, MA</v>
          </cell>
        </row>
        <row r="227">
          <cell r="A227">
            <v>6403</v>
          </cell>
          <cell r="B227" t="str">
            <v>PORTLAND, ME</v>
          </cell>
        </row>
        <row r="228">
          <cell r="A228">
            <v>6440</v>
          </cell>
          <cell r="B228" t="str">
            <v>PORTLAND, OR</v>
          </cell>
        </row>
        <row r="229">
          <cell r="A229">
            <v>6453</v>
          </cell>
          <cell r="B229" t="str">
            <v>PORTSMOUTH-DOVER-ROCHESTER, NH</v>
          </cell>
        </row>
        <row r="230">
          <cell r="A230">
            <v>6460</v>
          </cell>
          <cell r="B230" t="str">
            <v>POUGHKEEPSIE, NY</v>
          </cell>
        </row>
        <row r="231">
          <cell r="A231">
            <v>6483</v>
          </cell>
          <cell r="B231" t="str">
            <v>PROVIDENCE-PAWTUCKET-WOONSOCKE</v>
          </cell>
        </row>
        <row r="232">
          <cell r="A232">
            <v>6520</v>
          </cell>
          <cell r="B232" t="str">
            <v>PROVO-OREM, UT</v>
          </cell>
        </row>
        <row r="233">
          <cell r="A233">
            <v>6560</v>
          </cell>
          <cell r="B233" t="str">
            <v>PUEBLO, CO</v>
          </cell>
        </row>
        <row r="234">
          <cell r="A234">
            <v>6600</v>
          </cell>
          <cell r="B234" t="str">
            <v>RACINE, WI</v>
          </cell>
        </row>
        <row r="235">
          <cell r="A235">
            <v>6640</v>
          </cell>
          <cell r="B235" t="str">
            <v>RALEIGH-DURHAM, NC</v>
          </cell>
        </row>
        <row r="236">
          <cell r="A236">
            <v>6660</v>
          </cell>
          <cell r="B236" t="str">
            <v>RAPID CITY, SD</v>
          </cell>
        </row>
        <row r="237">
          <cell r="A237">
            <v>6680</v>
          </cell>
          <cell r="B237" t="str">
            <v>READING, PA</v>
          </cell>
        </row>
        <row r="238">
          <cell r="A238">
            <v>6690</v>
          </cell>
          <cell r="B238" t="str">
            <v>REDDING, CA</v>
          </cell>
        </row>
        <row r="239">
          <cell r="A239">
            <v>6720</v>
          </cell>
          <cell r="B239" t="str">
            <v>RENO, NV</v>
          </cell>
        </row>
        <row r="240">
          <cell r="A240">
            <v>6740</v>
          </cell>
          <cell r="B240" t="str">
            <v>RICHLAND-KENNEWICK-PASCO, WA</v>
          </cell>
        </row>
        <row r="241">
          <cell r="A241">
            <v>6760</v>
          </cell>
          <cell r="B241" t="str">
            <v>RICHMOND-PETERSBURG, VA</v>
          </cell>
        </row>
        <row r="242">
          <cell r="A242">
            <v>6780</v>
          </cell>
          <cell r="B242" t="str">
            <v>RIVERSIDE-SAN BERNARDINO, CA</v>
          </cell>
        </row>
        <row r="243">
          <cell r="A243">
            <v>6800</v>
          </cell>
          <cell r="B243" t="str">
            <v>ROANOKE, VA</v>
          </cell>
        </row>
        <row r="244">
          <cell r="A244">
            <v>6820</v>
          </cell>
          <cell r="B244" t="str">
            <v>ROCHESTER, MN</v>
          </cell>
        </row>
        <row r="245">
          <cell r="A245">
            <v>6840</v>
          </cell>
          <cell r="B245" t="str">
            <v>ROCHESTER, NY</v>
          </cell>
        </row>
        <row r="246">
          <cell r="A246">
            <v>6880</v>
          </cell>
          <cell r="B246" t="str">
            <v>ROCKFORD, IL</v>
          </cell>
        </row>
        <row r="247">
          <cell r="A247">
            <v>6920</v>
          </cell>
          <cell r="B247" t="str">
            <v>SACRAMENTO, CA</v>
          </cell>
        </row>
        <row r="248">
          <cell r="A248">
            <v>6960</v>
          </cell>
          <cell r="B248" t="str">
            <v>SAGINAW-BAY CITY-MIDLAND, MI</v>
          </cell>
        </row>
        <row r="249">
          <cell r="A249">
            <v>6980</v>
          </cell>
          <cell r="B249" t="str">
            <v>ST. CLOUD, MN</v>
          </cell>
        </row>
        <row r="250">
          <cell r="A250">
            <v>7000</v>
          </cell>
          <cell r="B250" t="str">
            <v>ST. JOSEPH, MO</v>
          </cell>
        </row>
        <row r="251">
          <cell r="A251">
            <v>7040</v>
          </cell>
          <cell r="B251" t="str">
            <v>ST. LOUIS, MO-IL</v>
          </cell>
        </row>
        <row r="252">
          <cell r="A252">
            <v>7080</v>
          </cell>
          <cell r="B252" t="str">
            <v>SALEM, OR</v>
          </cell>
        </row>
        <row r="253">
          <cell r="A253">
            <v>7120</v>
          </cell>
          <cell r="B253" t="str">
            <v>SALINAS-SEASIDE-MONTEREY, CA</v>
          </cell>
        </row>
        <row r="254">
          <cell r="A254">
            <v>7160</v>
          </cell>
          <cell r="B254" t="str">
            <v>SALT LAKE CITY-OGDEN, UT</v>
          </cell>
        </row>
        <row r="255">
          <cell r="A255">
            <v>7200</v>
          </cell>
          <cell r="B255" t="str">
            <v>SAN ANGELO, TX</v>
          </cell>
        </row>
        <row r="256">
          <cell r="A256">
            <v>7240</v>
          </cell>
          <cell r="B256" t="str">
            <v>SAN ANTONIO, TX</v>
          </cell>
        </row>
        <row r="257">
          <cell r="A257">
            <v>7320</v>
          </cell>
          <cell r="B257" t="str">
            <v>SAN DIEGO, CA</v>
          </cell>
        </row>
        <row r="258">
          <cell r="A258">
            <v>7360</v>
          </cell>
          <cell r="B258" t="str">
            <v>SAN FRANCISCO, CA</v>
          </cell>
        </row>
        <row r="259">
          <cell r="A259">
            <v>7400</v>
          </cell>
          <cell r="B259" t="str">
            <v>SAN JOSE, CA</v>
          </cell>
        </row>
        <row r="260">
          <cell r="A260">
            <v>7480</v>
          </cell>
          <cell r="B260" t="str">
            <v>SANTA BARBARA-SANTA MARIA-LOMP</v>
          </cell>
        </row>
        <row r="261">
          <cell r="A261">
            <v>7485</v>
          </cell>
          <cell r="B261" t="str">
            <v>SANTA CRUZ, CA</v>
          </cell>
        </row>
        <row r="262">
          <cell r="A262">
            <v>7490</v>
          </cell>
          <cell r="B262" t="str">
            <v>SANTA FE, NM</v>
          </cell>
        </row>
        <row r="263">
          <cell r="A263">
            <v>7500</v>
          </cell>
          <cell r="B263" t="str">
            <v>SANTA ROSA-PETALUMA, CA</v>
          </cell>
        </row>
        <row r="264">
          <cell r="A264">
            <v>7510</v>
          </cell>
          <cell r="B264" t="str">
            <v>SARASOTA, FL</v>
          </cell>
        </row>
        <row r="265">
          <cell r="A265">
            <v>7520</v>
          </cell>
          <cell r="B265" t="str">
            <v>SAVANNAH, GA</v>
          </cell>
        </row>
        <row r="266">
          <cell r="A266">
            <v>7560</v>
          </cell>
          <cell r="B266" t="str">
            <v>SCRANTON--WILKES-BARRE, PA</v>
          </cell>
        </row>
        <row r="267">
          <cell r="A267">
            <v>7600</v>
          </cell>
          <cell r="B267" t="str">
            <v>SEATTLE, WA</v>
          </cell>
        </row>
        <row r="268">
          <cell r="A268">
            <v>7610</v>
          </cell>
          <cell r="B268" t="str">
            <v>SHARON, PA</v>
          </cell>
        </row>
        <row r="269">
          <cell r="A269">
            <v>7620</v>
          </cell>
          <cell r="B269" t="str">
            <v>SHEBOYGAN, WI</v>
          </cell>
        </row>
        <row r="270">
          <cell r="A270">
            <v>7640</v>
          </cell>
          <cell r="B270" t="str">
            <v>SHERMAN-DENISON, TX</v>
          </cell>
        </row>
        <row r="271">
          <cell r="A271">
            <v>7680</v>
          </cell>
          <cell r="B271" t="str">
            <v>SHREVEPORT, LA</v>
          </cell>
        </row>
        <row r="272">
          <cell r="A272">
            <v>7720</v>
          </cell>
          <cell r="B272" t="str">
            <v>SIOUX CITY, IA-NE</v>
          </cell>
        </row>
        <row r="273">
          <cell r="A273">
            <v>7760</v>
          </cell>
          <cell r="B273" t="str">
            <v>SIOUX FALLS, SD</v>
          </cell>
        </row>
        <row r="274">
          <cell r="A274">
            <v>7800</v>
          </cell>
          <cell r="B274" t="str">
            <v>SOUTH BEND-MISHAWAKA, IN</v>
          </cell>
        </row>
        <row r="275">
          <cell r="A275">
            <v>7840</v>
          </cell>
          <cell r="B275" t="str">
            <v>SPOKANE, WA</v>
          </cell>
        </row>
        <row r="276">
          <cell r="A276">
            <v>7880</v>
          </cell>
          <cell r="B276" t="str">
            <v>SPRINGFIELD, IL</v>
          </cell>
        </row>
        <row r="277">
          <cell r="A277">
            <v>7920</v>
          </cell>
          <cell r="B277" t="str">
            <v>SPRINGFIELD, MO</v>
          </cell>
        </row>
        <row r="278">
          <cell r="A278">
            <v>8003</v>
          </cell>
          <cell r="B278" t="str">
            <v>SPRINGFIELD, MA</v>
          </cell>
        </row>
        <row r="279">
          <cell r="A279">
            <v>8050</v>
          </cell>
          <cell r="B279" t="str">
            <v>STATE COLLEGE, PA</v>
          </cell>
        </row>
        <row r="280">
          <cell r="A280">
            <v>8080</v>
          </cell>
          <cell r="B280" t="str">
            <v>STEUBENVILLE-WEIRTON, OH-WV</v>
          </cell>
        </row>
        <row r="281">
          <cell r="A281">
            <v>8120</v>
          </cell>
          <cell r="B281" t="str">
            <v>STOCKTON, CA</v>
          </cell>
        </row>
        <row r="282">
          <cell r="A282">
            <v>8160</v>
          </cell>
          <cell r="B282" t="str">
            <v>SYRACUSE, NY</v>
          </cell>
        </row>
        <row r="283">
          <cell r="A283">
            <v>8200</v>
          </cell>
          <cell r="B283" t="str">
            <v>TACOMA, WA</v>
          </cell>
        </row>
        <row r="284">
          <cell r="A284">
            <v>8240</v>
          </cell>
          <cell r="B284" t="str">
            <v>TALLAHASSEE, FL</v>
          </cell>
        </row>
        <row r="285">
          <cell r="A285">
            <v>8280</v>
          </cell>
          <cell r="B285" t="str">
            <v>TAMPA-ST. PETERSBURG-CLEARWATE</v>
          </cell>
        </row>
        <row r="286">
          <cell r="A286">
            <v>8320</v>
          </cell>
          <cell r="B286" t="str">
            <v>TERRE HAUTE, IN</v>
          </cell>
        </row>
        <row r="287">
          <cell r="A287">
            <v>8360</v>
          </cell>
          <cell r="B287" t="str">
            <v>TEXARKANA, TX-TEXARKANA, AR</v>
          </cell>
        </row>
        <row r="288">
          <cell r="A288">
            <v>8400</v>
          </cell>
          <cell r="B288" t="str">
            <v>TOLEDO, OH</v>
          </cell>
        </row>
        <row r="289">
          <cell r="A289">
            <v>8440</v>
          </cell>
          <cell r="B289" t="str">
            <v>TOPEKA, KS</v>
          </cell>
        </row>
        <row r="290">
          <cell r="A290">
            <v>8480</v>
          </cell>
          <cell r="B290" t="str">
            <v>TRENTON, NJ</v>
          </cell>
        </row>
        <row r="291">
          <cell r="A291">
            <v>8520</v>
          </cell>
          <cell r="B291" t="str">
            <v>TUCSON, AZ</v>
          </cell>
        </row>
        <row r="292">
          <cell r="A292">
            <v>8560</v>
          </cell>
          <cell r="B292" t="str">
            <v>TULSA, OK</v>
          </cell>
        </row>
        <row r="293">
          <cell r="A293">
            <v>8600</v>
          </cell>
          <cell r="B293" t="str">
            <v>TUSCALOOSA, AL</v>
          </cell>
        </row>
        <row r="294">
          <cell r="A294">
            <v>8640</v>
          </cell>
          <cell r="B294" t="str">
            <v>TYLER, TX</v>
          </cell>
        </row>
        <row r="295">
          <cell r="A295">
            <v>8680</v>
          </cell>
          <cell r="B295" t="str">
            <v>UTICA-ROME, NY</v>
          </cell>
        </row>
        <row r="296">
          <cell r="A296">
            <v>8720</v>
          </cell>
          <cell r="B296" t="str">
            <v>VALLEJO-FAIRFIELD-NAPA, CA</v>
          </cell>
        </row>
        <row r="297">
          <cell r="A297">
            <v>8725</v>
          </cell>
          <cell r="B297" t="str">
            <v>VANCOUVER, WA</v>
          </cell>
        </row>
        <row r="298">
          <cell r="A298">
            <v>8750</v>
          </cell>
          <cell r="B298" t="str">
            <v>VICTORIA, TX</v>
          </cell>
        </row>
        <row r="299">
          <cell r="A299">
            <v>8760</v>
          </cell>
          <cell r="B299" t="str">
            <v>VINELAND-MILLVILLE-BRIDGETON,</v>
          </cell>
        </row>
        <row r="300">
          <cell r="A300">
            <v>8780</v>
          </cell>
          <cell r="B300" t="str">
            <v>VISALIA-TULARE-PORTERVILLE, CA</v>
          </cell>
        </row>
        <row r="301">
          <cell r="A301">
            <v>8800</v>
          </cell>
          <cell r="B301" t="str">
            <v>WACO, TX</v>
          </cell>
        </row>
        <row r="302">
          <cell r="A302">
            <v>8840</v>
          </cell>
          <cell r="B302" t="str">
            <v>WASHINGTON, DC-MD-VA</v>
          </cell>
        </row>
        <row r="303">
          <cell r="A303">
            <v>8920</v>
          </cell>
          <cell r="B303" t="str">
            <v>WATERLOO-CEDAR FALLS, IA</v>
          </cell>
        </row>
        <row r="304">
          <cell r="A304">
            <v>8940</v>
          </cell>
          <cell r="B304" t="str">
            <v>WAUSAU, WI</v>
          </cell>
        </row>
        <row r="305">
          <cell r="A305">
            <v>8960</v>
          </cell>
          <cell r="B305" t="str">
            <v>WEST PALM BEACH-BOCA RATON-DEL</v>
          </cell>
        </row>
        <row r="306">
          <cell r="A306">
            <v>9000</v>
          </cell>
          <cell r="B306" t="str">
            <v>WHEELING, WV-OH</v>
          </cell>
        </row>
        <row r="307">
          <cell r="A307">
            <v>9040</v>
          </cell>
          <cell r="B307" t="str">
            <v>WICHITA, KS</v>
          </cell>
        </row>
        <row r="308">
          <cell r="A308">
            <v>9080</v>
          </cell>
          <cell r="B308" t="str">
            <v>WICHITA FALLS, TX</v>
          </cell>
        </row>
        <row r="309">
          <cell r="A309">
            <v>9140</v>
          </cell>
          <cell r="B309" t="str">
            <v>WILLIAMSPORT, PA</v>
          </cell>
        </row>
        <row r="310">
          <cell r="A310">
            <v>9160</v>
          </cell>
          <cell r="B310" t="str">
            <v>WILMINGTON, DE-NJ-MD</v>
          </cell>
        </row>
        <row r="311">
          <cell r="A311">
            <v>9200</v>
          </cell>
          <cell r="B311" t="str">
            <v>WILMINGTON, NC</v>
          </cell>
        </row>
        <row r="312">
          <cell r="A312">
            <v>9243</v>
          </cell>
          <cell r="B312" t="str">
            <v>WORCESTER-FITCHBURG-LEOMINSTER</v>
          </cell>
        </row>
        <row r="313">
          <cell r="A313">
            <v>9260</v>
          </cell>
          <cell r="B313" t="str">
            <v>YAKIMA, WA</v>
          </cell>
        </row>
        <row r="314">
          <cell r="A314">
            <v>9280</v>
          </cell>
          <cell r="B314" t="str">
            <v>YORK, PA</v>
          </cell>
        </row>
        <row r="315">
          <cell r="A315">
            <v>9320</v>
          </cell>
          <cell r="B315" t="str">
            <v>YOUNGSTOWN-WARREN, OH</v>
          </cell>
        </row>
        <row r="316">
          <cell r="A316">
            <v>9340</v>
          </cell>
          <cell r="B316" t="str">
            <v>YUBA CITY, CA</v>
          </cell>
        </row>
        <row r="317">
          <cell r="A317">
            <v>9999</v>
          </cell>
          <cell r="B317" t="str">
            <v>OTHER MSA</v>
          </cell>
        </row>
      </sheetData>
      <sheetData sheetId="5" refreshError="1">
        <row r="1">
          <cell r="A1">
            <v>10102</v>
          </cell>
          <cell r="B1" t="str">
            <v>HUNTSVILLE, AL</v>
          </cell>
        </row>
        <row r="2">
          <cell r="A2">
            <v>10103</v>
          </cell>
          <cell r="B2" t="str">
            <v>TUSCALOOSA</v>
          </cell>
        </row>
        <row r="3">
          <cell r="A3">
            <v>10104</v>
          </cell>
          <cell r="B3" t="str">
            <v>ALABAMA NORTH AREA</v>
          </cell>
        </row>
        <row r="4">
          <cell r="A4">
            <v>10202</v>
          </cell>
          <cell r="B4" t="str">
            <v>MONTGOMERY, AL</v>
          </cell>
        </row>
        <row r="5">
          <cell r="A5">
            <v>10203</v>
          </cell>
          <cell r="B5" t="str">
            <v>DOTHAN, AL</v>
          </cell>
        </row>
        <row r="6">
          <cell r="A6">
            <v>10204</v>
          </cell>
          <cell r="B6" t="str">
            <v>ALABAMA SOUTH AREA</v>
          </cell>
        </row>
        <row r="7">
          <cell r="A7">
            <v>10301</v>
          </cell>
          <cell r="B7" t="str">
            <v>BIRMINGHAM DOWNTOWN-AIRPORT</v>
          </cell>
        </row>
        <row r="8">
          <cell r="A8">
            <v>10302</v>
          </cell>
          <cell r="B8" t="str">
            <v>BIRMINGHAM AREA</v>
          </cell>
        </row>
        <row r="9">
          <cell r="A9">
            <v>10401</v>
          </cell>
          <cell r="B9" t="str">
            <v>MOBILE, AL (CITY OF)</v>
          </cell>
        </row>
        <row r="10">
          <cell r="A10">
            <v>10402</v>
          </cell>
          <cell r="B10" t="str">
            <v>MOBILE, AL (AREA)</v>
          </cell>
        </row>
        <row r="11">
          <cell r="A11">
            <v>20101</v>
          </cell>
          <cell r="B11" t="str">
            <v>ALASKA</v>
          </cell>
        </row>
        <row r="12">
          <cell r="A12">
            <v>40101</v>
          </cell>
          <cell r="B12" t="str">
            <v>PHOENIX WEST</v>
          </cell>
        </row>
        <row r="13">
          <cell r="A13">
            <v>40102</v>
          </cell>
          <cell r="B13" t="str">
            <v>SCOTTSDALE, AZ</v>
          </cell>
        </row>
        <row r="14">
          <cell r="A14">
            <v>40103</v>
          </cell>
          <cell r="B14" t="str">
            <v>TEMPE, AZ</v>
          </cell>
        </row>
        <row r="15">
          <cell r="A15">
            <v>40104</v>
          </cell>
          <cell r="B15" t="str">
            <v>PHOENIX AIRPORT</v>
          </cell>
        </row>
        <row r="16">
          <cell r="A16">
            <v>40105</v>
          </cell>
          <cell r="B16" t="str">
            <v>MESA/CHANDLER AZ</v>
          </cell>
        </row>
        <row r="17">
          <cell r="A17">
            <v>40106</v>
          </cell>
          <cell r="B17" t="str">
            <v>PHOENIX EAST</v>
          </cell>
        </row>
        <row r="18">
          <cell r="A18">
            <v>40201</v>
          </cell>
          <cell r="B18" t="str">
            <v>FLAGSTAFF</v>
          </cell>
        </row>
        <row r="19">
          <cell r="A19">
            <v>40202</v>
          </cell>
          <cell r="B19" t="str">
            <v>EASTERN ARIZONA</v>
          </cell>
        </row>
        <row r="20">
          <cell r="A20">
            <v>40203</v>
          </cell>
          <cell r="B20" t="str">
            <v>ARIZONA NORTH</v>
          </cell>
        </row>
        <row r="21">
          <cell r="A21">
            <v>40204</v>
          </cell>
          <cell r="B21" t="str">
            <v>ARIZONA WEST AREA</v>
          </cell>
        </row>
        <row r="22">
          <cell r="A22">
            <v>40205</v>
          </cell>
          <cell r="B22" t="str">
            <v>ARIZONA CENTRAL AREA</v>
          </cell>
        </row>
        <row r="23">
          <cell r="A23">
            <v>40206</v>
          </cell>
          <cell r="B23" t="str">
            <v>ARIZONA SOUTHEAST AREA</v>
          </cell>
        </row>
        <row r="24">
          <cell r="A24">
            <v>40301</v>
          </cell>
          <cell r="B24" t="str">
            <v>TUCSON/EAST TUCSON</v>
          </cell>
        </row>
        <row r="25">
          <cell r="A25">
            <v>40302</v>
          </cell>
          <cell r="B25" t="str">
            <v>TUCSON SOUTH/AIRPORT</v>
          </cell>
        </row>
        <row r="26">
          <cell r="A26">
            <v>40303</v>
          </cell>
          <cell r="B26" t="str">
            <v>TUCSON NORTH/WEST</v>
          </cell>
        </row>
        <row r="27">
          <cell r="A27">
            <v>50101</v>
          </cell>
          <cell r="B27" t="str">
            <v>LITTLE ROCK NORTH-EAST</v>
          </cell>
        </row>
        <row r="28">
          <cell r="A28">
            <v>50102</v>
          </cell>
          <cell r="B28" t="str">
            <v>LITTLE ROCK</v>
          </cell>
        </row>
        <row r="29">
          <cell r="A29">
            <v>50201</v>
          </cell>
          <cell r="B29" t="str">
            <v>FAYETTEVILLE-FORT SMITH</v>
          </cell>
        </row>
        <row r="30">
          <cell r="A30">
            <v>50202</v>
          </cell>
          <cell r="B30" t="str">
            <v>ARKANSAS NORTH AREA</v>
          </cell>
        </row>
        <row r="31">
          <cell r="A31">
            <v>50301</v>
          </cell>
          <cell r="B31" t="str">
            <v>HOT SPRINGS</v>
          </cell>
        </row>
        <row r="32">
          <cell r="A32">
            <v>50302</v>
          </cell>
          <cell r="B32" t="str">
            <v>ARKANSAS SOUTH AREA</v>
          </cell>
        </row>
        <row r="33">
          <cell r="A33">
            <v>60101</v>
          </cell>
          <cell r="B33" t="str">
            <v>ANAHEIM</v>
          </cell>
        </row>
        <row r="34">
          <cell r="A34">
            <v>60102</v>
          </cell>
          <cell r="B34" t="str">
            <v>ORANGE COUNTY NORTHWEST</v>
          </cell>
        </row>
        <row r="35">
          <cell r="A35">
            <v>60103</v>
          </cell>
          <cell r="B35" t="str">
            <v>ORANGE COUNTY SOUTH-WEST</v>
          </cell>
        </row>
        <row r="36">
          <cell r="A36">
            <v>60104</v>
          </cell>
          <cell r="B36" t="str">
            <v>ORANGE COUNTY SOUTH-EAST</v>
          </cell>
        </row>
        <row r="37">
          <cell r="A37">
            <v>60201</v>
          </cell>
          <cell r="B37" t="str">
            <v>LOS ANGELES</v>
          </cell>
        </row>
        <row r="38">
          <cell r="A38">
            <v>60202</v>
          </cell>
          <cell r="B38" t="str">
            <v>HOLLYWOOD-BEVERLY HILLS</v>
          </cell>
        </row>
        <row r="39">
          <cell r="A39">
            <v>60203</v>
          </cell>
          <cell r="B39" t="str">
            <v>LOS ANGELES AIRPORT</v>
          </cell>
        </row>
        <row r="40">
          <cell r="A40">
            <v>60204</v>
          </cell>
          <cell r="B40" t="str">
            <v>LOS ANGELES SOUTHWEST</v>
          </cell>
        </row>
        <row r="41">
          <cell r="A41">
            <v>60205</v>
          </cell>
          <cell r="B41" t="str">
            <v>LOS ANGELES SOUTHEAST</v>
          </cell>
        </row>
        <row r="42">
          <cell r="A42">
            <v>60206</v>
          </cell>
          <cell r="B42" t="str">
            <v>LONG BEACH</v>
          </cell>
        </row>
        <row r="43">
          <cell r="A43">
            <v>60207</v>
          </cell>
          <cell r="B43" t="str">
            <v>LOS ANGELES EAST</v>
          </cell>
        </row>
        <row r="44">
          <cell r="A44">
            <v>60208</v>
          </cell>
          <cell r="B44" t="str">
            <v>LOS ANGELES NORTH</v>
          </cell>
        </row>
        <row r="45">
          <cell r="A45">
            <v>60209</v>
          </cell>
          <cell r="B45" t="str">
            <v>PASADENA/GLENDALE/BURBANK</v>
          </cell>
        </row>
        <row r="46">
          <cell r="A46">
            <v>60301</v>
          </cell>
          <cell r="B46" t="str">
            <v>OAKLAND-BERKELEY</v>
          </cell>
        </row>
        <row r="47">
          <cell r="A47">
            <v>60302</v>
          </cell>
          <cell r="B47" t="str">
            <v>OAKLAND CA AREA</v>
          </cell>
        </row>
        <row r="48">
          <cell r="A48">
            <v>60303</v>
          </cell>
          <cell r="B48" t="str">
            <v>CONCORD/WALNUT CREEK, CA</v>
          </cell>
        </row>
        <row r="49">
          <cell r="A49">
            <v>60402</v>
          </cell>
          <cell r="B49" t="str">
            <v>RIVERSIDE COUNTY AREA</v>
          </cell>
        </row>
        <row r="50">
          <cell r="A50">
            <v>60403</v>
          </cell>
          <cell r="B50" t="str">
            <v>SAN BERNARDINO</v>
          </cell>
        </row>
        <row r="51">
          <cell r="A51">
            <v>60404</v>
          </cell>
          <cell r="B51" t="str">
            <v>SAN BERNARDINO AREA</v>
          </cell>
        </row>
        <row r="52">
          <cell r="A52">
            <v>60405</v>
          </cell>
          <cell r="B52" t="str">
            <v>ONTARIO/AIRPORT</v>
          </cell>
        </row>
        <row r="53">
          <cell r="A53">
            <v>60501</v>
          </cell>
          <cell r="B53" t="str">
            <v>SACRAMENTO DOWNTOWN &amp; NORTH</v>
          </cell>
        </row>
        <row r="54">
          <cell r="A54">
            <v>60502</v>
          </cell>
          <cell r="B54" t="str">
            <v>SOUTH LAKE TAHOE</v>
          </cell>
        </row>
        <row r="55">
          <cell r="A55">
            <v>60503</v>
          </cell>
          <cell r="B55" t="str">
            <v>SACRAMENTO EAST</v>
          </cell>
        </row>
        <row r="56">
          <cell r="A56">
            <v>60601</v>
          </cell>
          <cell r="B56" t="str">
            <v>SAN DIEGO</v>
          </cell>
        </row>
        <row r="57">
          <cell r="A57">
            <v>60602</v>
          </cell>
          <cell r="B57" t="str">
            <v>MISSION VALLEY</v>
          </cell>
        </row>
        <row r="58">
          <cell r="A58">
            <v>60603</v>
          </cell>
          <cell r="B58" t="str">
            <v>LA JOLLA-POINT LOMA</v>
          </cell>
        </row>
        <row r="59">
          <cell r="A59">
            <v>60604</v>
          </cell>
          <cell r="B59" t="str">
            <v>SAN DIEGO SOUTH</v>
          </cell>
        </row>
        <row r="60">
          <cell r="A60">
            <v>60605</v>
          </cell>
          <cell r="B60" t="str">
            <v>SAN DIEGO NORTH</v>
          </cell>
        </row>
        <row r="61">
          <cell r="A61">
            <v>60606</v>
          </cell>
          <cell r="B61" t="str">
            <v>CARLSBAD-OCEANSIDE</v>
          </cell>
        </row>
        <row r="62">
          <cell r="A62">
            <v>60701</v>
          </cell>
          <cell r="B62" t="str">
            <v>SAN FRANCISCO - MARKET ST</v>
          </cell>
        </row>
        <row r="63">
          <cell r="A63">
            <v>60702</v>
          </cell>
          <cell r="B63" t="str">
            <v>SAN FRANCISCO AREA</v>
          </cell>
        </row>
        <row r="64">
          <cell r="A64">
            <v>60703</v>
          </cell>
          <cell r="B64" t="str">
            <v>SAN FRANCISCO AIRPORT</v>
          </cell>
        </row>
        <row r="65">
          <cell r="A65">
            <v>60704</v>
          </cell>
          <cell r="B65" t="str">
            <v>S.F.- NOB HILL/WHARF</v>
          </cell>
        </row>
        <row r="66">
          <cell r="A66">
            <v>60801</v>
          </cell>
          <cell r="B66" t="str">
            <v>SAN JOSE/CAMPBELL</v>
          </cell>
        </row>
        <row r="67">
          <cell r="A67">
            <v>60802</v>
          </cell>
          <cell r="B67" t="str">
            <v>SAN JOSE CA AREA</v>
          </cell>
        </row>
        <row r="68">
          <cell r="A68">
            <v>60803</v>
          </cell>
          <cell r="B68" t="str">
            <v>SAN JOSE AIRPORT</v>
          </cell>
        </row>
        <row r="69">
          <cell r="A69">
            <v>60901</v>
          </cell>
          <cell r="B69" t="str">
            <v>BAKERSFIELD, CA</v>
          </cell>
        </row>
        <row r="70">
          <cell r="A70">
            <v>60902</v>
          </cell>
          <cell r="B70" t="str">
            <v>FRESNO, CA</v>
          </cell>
        </row>
        <row r="71">
          <cell r="A71">
            <v>60906</v>
          </cell>
          <cell r="B71" t="str">
            <v>INYO/KINGS/TULARE, CA</v>
          </cell>
        </row>
        <row r="72">
          <cell r="A72">
            <v>61001</v>
          </cell>
          <cell r="B72" t="str">
            <v>SANTA ROSA-PETALUMA, CA</v>
          </cell>
        </row>
        <row r="73">
          <cell r="A73">
            <v>61002</v>
          </cell>
          <cell r="B73" t="str">
            <v>REDDING/CHICO</v>
          </cell>
        </row>
        <row r="74">
          <cell r="A74">
            <v>61003</v>
          </cell>
          <cell r="B74" t="str">
            <v>VALLEJO-FAIRFIELD-NAPA, CA</v>
          </cell>
        </row>
        <row r="75">
          <cell r="A75">
            <v>61004</v>
          </cell>
          <cell r="B75" t="str">
            <v>CALIFORNIA NORTH AREA</v>
          </cell>
        </row>
        <row r="76">
          <cell r="A76">
            <v>61005</v>
          </cell>
          <cell r="B76" t="str">
            <v>EUREKA/CRESCENT CITY</v>
          </cell>
        </row>
        <row r="77">
          <cell r="A77">
            <v>61101</v>
          </cell>
          <cell r="B77" t="str">
            <v>STOCKTON AREA</v>
          </cell>
        </row>
        <row r="78">
          <cell r="A78">
            <v>61102</v>
          </cell>
          <cell r="B78" t="str">
            <v>CALIFORNIA CENTRAL AREA</v>
          </cell>
        </row>
        <row r="79">
          <cell r="A79">
            <v>61201</v>
          </cell>
          <cell r="B79" t="str">
            <v>OXNARD CA</v>
          </cell>
        </row>
        <row r="80">
          <cell r="A80">
            <v>61202</v>
          </cell>
          <cell r="B80" t="str">
            <v>VENTURA CA</v>
          </cell>
        </row>
        <row r="81">
          <cell r="A81">
            <v>61301</v>
          </cell>
          <cell r="B81" t="str">
            <v>SANTA BARBARA</v>
          </cell>
        </row>
        <row r="82">
          <cell r="A82">
            <v>61302</v>
          </cell>
          <cell r="B82" t="str">
            <v>SANTA MARIA/LOMPOC</v>
          </cell>
        </row>
        <row r="83">
          <cell r="A83">
            <v>61401</v>
          </cell>
          <cell r="B83" t="str">
            <v>SAN LUIS OBISPO NORTH</v>
          </cell>
        </row>
        <row r="84">
          <cell r="A84">
            <v>61402</v>
          </cell>
          <cell r="B84" t="str">
            <v>SAN LUIS OBISPO SOUTH</v>
          </cell>
        </row>
        <row r="85">
          <cell r="A85">
            <v>61501</v>
          </cell>
          <cell r="B85" t="str">
            <v>MONTEREY</v>
          </cell>
        </row>
        <row r="86">
          <cell r="A86">
            <v>61502</v>
          </cell>
          <cell r="B86" t="str">
            <v>SALINAS</v>
          </cell>
        </row>
        <row r="87">
          <cell r="A87">
            <v>61601</v>
          </cell>
          <cell r="B87" t="str">
            <v>PALM SPRINGS (CITY OF)</v>
          </cell>
        </row>
        <row r="88">
          <cell r="A88">
            <v>61602</v>
          </cell>
          <cell r="B88" t="str">
            <v>PALM SPRINGS (AREA)</v>
          </cell>
        </row>
        <row r="89">
          <cell r="A89">
            <v>80101</v>
          </cell>
          <cell r="B89" t="str">
            <v>DENVER</v>
          </cell>
        </row>
        <row r="90">
          <cell r="A90">
            <v>80102</v>
          </cell>
          <cell r="B90" t="str">
            <v>DENVER NORTH</v>
          </cell>
        </row>
        <row r="91">
          <cell r="A91">
            <v>80103</v>
          </cell>
          <cell r="B91" t="str">
            <v>DENVER AIRPORT/EAST</v>
          </cell>
        </row>
        <row r="92">
          <cell r="A92">
            <v>80104</v>
          </cell>
          <cell r="B92" t="str">
            <v>DENVER WEST</v>
          </cell>
        </row>
        <row r="93">
          <cell r="A93">
            <v>80105</v>
          </cell>
          <cell r="B93" t="str">
            <v>DENVER SOUTH</v>
          </cell>
        </row>
        <row r="94">
          <cell r="A94">
            <v>80106</v>
          </cell>
          <cell r="B94" t="str">
            <v>ENGLEWOOD</v>
          </cell>
        </row>
        <row r="95">
          <cell r="A95">
            <v>80202</v>
          </cell>
          <cell r="B95" t="str">
            <v>COLORADO EAST AREA</v>
          </cell>
        </row>
        <row r="96">
          <cell r="A96">
            <v>80301</v>
          </cell>
          <cell r="B96" t="str">
            <v>FORT COLLINS-LOVELAND, CO</v>
          </cell>
        </row>
        <row r="97">
          <cell r="A97">
            <v>80302</v>
          </cell>
          <cell r="B97" t="str">
            <v>BOULDER, CO</v>
          </cell>
        </row>
        <row r="98">
          <cell r="A98">
            <v>80303</v>
          </cell>
          <cell r="B98" t="str">
            <v>COLORADO NORTH-WEST</v>
          </cell>
        </row>
        <row r="99">
          <cell r="A99">
            <v>80304</v>
          </cell>
          <cell r="B99" t="str">
            <v>COLORADO SOUTH-WEST</v>
          </cell>
        </row>
        <row r="100">
          <cell r="A100">
            <v>80305</v>
          </cell>
          <cell r="B100" t="str">
            <v>COLORADO CENTRAL-WEST</v>
          </cell>
        </row>
        <row r="101">
          <cell r="A101">
            <v>80401</v>
          </cell>
          <cell r="B101" t="str">
            <v>COLORADO SPRINGS NORTH</v>
          </cell>
        </row>
        <row r="102">
          <cell r="A102">
            <v>80402</v>
          </cell>
          <cell r="B102" t="str">
            <v>COLORADO SPRINGS SO./AIRPORT</v>
          </cell>
        </row>
        <row r="103">
          <cell r="A103">
            <v>90201</v>
          </cell>
          <cell r="B103" t="str">
            <v>NEW HAVEN-WATERBURY, CT</v>
          </cell>
        </row>
        <row r="104">
          <cell r="A104">
            <v>90202</v>
          </cell>
          <cell r="B104" t="str">
            <v>CONNECTICUT EAST-WEST</v>
          </cell>
        </row>
        <row r="105">
          <cell r="A105">
            <v>90203</v>
          </cell>
          <cell r="B105" t="str">
            <v>BRIDGEPORT/DANBURY/STAMFORD</v>
          </cell>
        </row>
        <row r="106">
          <cell r="A106">
            <v>90301</v>
          </cell>
          <cell r="B106" t="str">
            <v>HARTFORD NORTH</v>
          </cell>
        </row>
        <row r="107">
          <cell r="A107">
            <v>90302</v>
          </cell>
          <cell r="B107" t="str">
            <v>HARTFORD SOUTH</v>
          </cell>
        </row>
        <row r="108">
          <cell r="A108">
            <v>100101</v>
          </cell>
          <cell r="B108" t="str">
            <v>WILMINGTON, DE-NJ-MD</v>
          </cell>
        </row>
        <row r="109">
          <cell r="A109">
            <v>100102</v>
          </cell>
          <cell r="B109" t="str">
            <v>DELAWARE AREA</v>
          </cell>
        </row>
        <row r="110">
          <cell r="A110">
            <v>110101</v>
          </cell>
          <cell r="B110" t="str">
            <v>WASHINGTON DC</v>
          </cell>
        </row>
        <row r="111">
          <cell r="A111">
            <v>110102</v>
          </cell>
          <cell r="B111" t="str">
            <v>BETHESDA-SILVER SPRING</v>
          </cell>
        </row>
        <row r="112">
          <cell r="A112">
            <v>110103</v>
          </cell>
          <cell r="B112" t="str">
            <v>SUBURBAN MARYLAND SOUTH</v>
          </cell>
        </row>
        <row r="113">
          <cell r="A113">
            <v>110104</v>
          </cell>
          <cell r="B113" t="str">
            <v>FREDERICK-ROCKVILLE</v>
          </cell>
        </row>
        <row r="114">
          <cell r="A114">
            <v>110105</v>
          </cell>
          <cell r="B114" t="str">
            <v>ARLINGTON</v>
          </cell>
        </row>
        <row r="115">
          <cell r="A115">
            <v>110106</v>
          </cell>
          <cell r="B115" t="str">
            <v>SUBURBAN VIRGINIA AREA</v>
          </cell>
        </row>
        <row r="116">
          <cell r="A116">
            <v>110107</v>
          </cell>
          <cell r="B116" t="str">
            <v>ALEXANDRIA</v>
          </cell>
        </row>
        <row r="117">
          <cell r="A117">
            <v>110108</v>
          </cell>
          <cell r="B117" t="str">
            <v>FAIRFAX</v>
          </cell>
        </row>
        <row r="118">
          <cell r="A118">
            <v>120101</v>
          </cell>
          <cell r="B118" t="str">
            <v>FORT LAUDERDALE NORTH</v>
          </cell>
        </row>
        <row r="119">
          <cell r="A119">
            <v>120102</v>
          </cell>
          <cell r="B119" t="str">
            <v>FORT LAUDERDALE EAST</v>
          </cell>
        </row>
        <row r="120">
          <cell r="A120">
            <v>120103</v>
          </cell>
          <cell r="B120" t="str">
            <v>FORT LAUDERDALE SOUTH</v>
          </cell>
        </row>
        <row r="121">
          <cell r="A121">
            <v>120104</v>
          </cell>
          <cell r="B121" t="str">
            <v>FORT LAUDERDALE WEST</v>
          </cell>
        </row>
        <row r="122">
          <cell r="A122">
            <v>120201</v>
          </cell>
          <cell r="B122" t="str">
            <v>JACKSONVILLE BEACH</v>
          </cell>
        </row>
        <row r="123">
          <cell r="A123">
            <v>120202</v>
          </cell>
          <cell r="B123" t="str">
            <v>ST. AUGUSTINE</v>
          </cell>
        </row>
        <row r="124">
          <cell r="A124">
            <v>120203</v>
          </cell>
          <cell r="B124" t="str">
            <v>JACKSONVILLE AIRPORT-NORTHEAST</v>
          </cell>
        </row>
        <row r="125">
          <cell r="A125">
            <v>120204</v>
          </cell>
          <cell r="B125" t="str">
            <v>JACKSONVILLE SOUTH-WEST</v>
          </cell>
        </row>
        <row r="126">
          <cell r="A126">
            <v>120205</v>
          </cell>
          <cell r="B126" t="str">
            <v>JACKSONVILLE, FL-S.E.</v>
          </cell>
        </row>
        <row r="127">
          <cell r="A127">
            <v>120301</v>
          </cell>
          <cell r="B127" t="str">
            <v>MIAMI DOWNTOWN-NORTH</v>
          </cell>
        </row>
        <row r="128">
          <cell r="A128">
            <v>120302</v>
          </cell>
          <cell r="B128" t="str">
            <v>MIAMI BEACH</v>
          </cell>
        </row>
        <row r="129">
          <cell r="A129">
            <v>120303</v>
          </cell>
          <cell r="B129" t="str">
            <v>MIAMI SOUTH</v>
          </cell>
        </row>
        <row r="130">
          <cell r="A130">
            <v>120304</v>
          </cell>
          <cell r="B130" t="str">
            <v>MIAMI AIRPORT-CIVIC CENTER</v>
          </cell>
        </row>
        <row r="131">
          <cell r="A131">
            <v>120401</v>
          </cell>
          <cell r="B131" t="str">
            <v>ORLANDO NORTH</v>
          </cell>
        </row>
        <row r="132">
          <cell r="A132">
            <v>120402</v>
          </cell>
          <cell r="B132" t="str">
            <v>ORLANDO</v>
          </cell>
        </row>
        <row r="133">
          <cell r="A133">
            <v>120403</v>
          </cell>
          <cell r="B133" t="str">
            <v>ORLANDO-INTERNATIONAL DRIVE</v>
          </cell>
        </row>
        <row r="134">
          <cell r="A134">
            <v>120404</v>
          </cell>
          <cell r="B134" t="str">
            <v>KISSIMMEE EAST</v>
          </cell>
        </row>
        <row r="135">
          <cell r="A135">
            <v>120405</v>
          </cell>
          <cell r="B135" t="str">
            <v>ORLANDO SOUTH</v>
          </cell>
        </row>
        <row r="136">
          <cell r="A136">
            <v>120406</v>
          </cell>
          <cell r="B136" t="str">
            <v>LAKE BUENA VISTA</v>
          </cell>
        </row>
        <row r="137">
          <cell r="A137">
            <v>120407</v>
          </cell>
          <cell r="B137" t="str">
            <v>KISSIMMEE WEST</v>
          </cell>
        </row>
        <row r="138">
          <cell r="A138">
            <v>120501</v>
          </cell>
          <cell r="B138" t="str">
            <v>TAMPA DOWNTOWN-AIRPORT</v>
          </cell>
        </row>
        <row r="139">
          <cell r="A139">
            <v>120502</v>
          </cell>
          <cell r="B139" t="str">
            <v>CLEARWATER</v>
          </cell>
        </row>
        <row r="140">
          <cell r="A140">
            <v>120503</v>
          </cell>
          <cell r="B140" t="str">
            <v>TARPON SPRINGS/NEW PORT RICHEY</v>
          </cell>
        </row>
        <row r="141">
          <cell r="A141">
            <v>120504</v>
          </cell>
          <cell r="B141" t="str">
            <v>ST. PETERSBURG</v>
          </cell>
        </row>
        <row r="142">
          <cell r="A142">
            <v>120505</v>
          </cell>
          <cell r="B142" t="str">
            <v>TAMPA NORTH-BUSCH GARDENS</v>
          </cell>
        </row>
        <row r="143">
          <cell r="A143">
            <v>120506</v>
          </cell>
          <cell r="B143" t="str">
            <v>TAMPA EAST</v>
          </cell>
        </row>
        <row r="144">
          <cell r="A144">
            <v>120601</v>
          </cell>
          <cell r="B144" t="str">
            <v>FORT WALTON BEACH, FL</v>
          </cell>
        </row>
        <row r="145">
          <cell r="A145">
            <v>120602</v>
          </cell>
          <cell r="B145" t="str">
            <v>GAINESVILLE, FL</v>
          </cell>
        </row>
        <row r="146">
          <cell r="A146">
            <v>120603</v>
          </cell>
          <cell r="B146" t="str">
            <v>PANAMA CITY, FL</v>
          </cell>
        </row>
        <row r="147">
          <cell r="A147">
            <v>120604</v>
          </cell>
          <cell r="B147" t="str">
            <v>PENSACOLA, FL</v>
          </cell>
        </row>
        <row r="148">
          <cell r="A148">
            <v>120605</v>
          </cell>
          <cell r="B148" t="str">
            <v>TALLAHASSEE, FL</v>
          </cell>
        </row>
        <row r="149">
          <cell r="A149">
            <v>120606</v>
          </cell>
          <cell r="B149" t="str">
            <v>FLORIDA NORTH AREA</v>
          </cell>
        </row>
        <row r="150">
          <cell r="A150">
            <v>120702</v>
          </cell>
          <cell r="B150" t="str">
            <v>LAKELAND-WINTER HAVEN, FL</v>
          </cell>
        </row>
        <row r="151">
          <cell r="A151">
            <v>120704</v>
          </cell>
          <cell r="B151" t="str">
            <v>OCALA, FL</v>
          </cell>
        </row>
        <row r="152">
          <cell r="A152">
            <v>120705</v>
          </cell>
          <cell r="B152" t="str">
            <v>FLORIDA CENTRAL AREA</v>
          </cell>
        </row>
        <row r="153">
          <cell r="A153">
            <v>120802</v>
          </cell>
          <cell r="B153" t="str">
            <v>FORT PIERCE, FL</v>
          </cell>
        </row>
        <row r="154">
          <cell r="A154">
            <v>120803</v>
          </cell>
          <cell r="B154" t="str">
            <v>NAPLES, FL</v>
          </cell>
        </row>
        <row r="155">
          <cell r="A155">
            <v>120804</v>
          </cell>
          <cell r="B155" t="str">
            <v>SARASOTA, FL</v>
          </cell>
        </row>
        <row r="156">
          <cell r="A156">
            <v>120807</v>
          </cell>
          <cell r="B156" t="str">
            <v>BRADENTON-LONG BOAT KEY</v>
          </cell>
        </row>
        <row r="157">
          <cell r="A157">
            <v>120901</v>
          </cell>
          <cell r="B157" t="str">
            <v>WEST PALM BEACH</v>
          </cell>
        </row>
        <row r="158">
          <cell r="A158">
            <v>120902</v>
          </cell>
          <cell r="B158" t="str">
            <v>BOCA RATON</v>
          </cell>
        </row>
        <row r="159">
          <cell r="A159">
            <v>121001</v>
          </cell>
          <cell r="B159" t="str">
            <v>FT. MYERS-BONITA SPRINGS</v>
          </cell>
        </row>
        <row r="160">
          <cell r="A160">
            <v>121002</v>
          </cell>
          <cell r="B160" t="str">
            <v>CAPE CORAL-SANIBEL, FL</v>
          </cell>
        </row>
        <row r="161">
          <cell r="A161">
            <v>121201</v>
          </cell>
          <cell r="B161" t="str">
            <v>DAYTONA BEACH NORTH</v>
          </cell>
        </row>
        <row r="162">
          <cell r="A162">
            <v>121202</v>
          </cell>
          <cell r="B162" t="str">
            <v>DAYTONA BEACH SOUTH</v>
          </cell>
        </row>
        <row r="163">
          <cell r="A163">
            <v>121301</v>
          </cell>
          <cell r="B163" t="str">
            <v>TITUSVILLE-SATELLITE BEACH</v>
          </cell>
        </row>
        <row r="164">
          <cell r="A164">
            <v>121302</v>
          </cell>
          <cell r="B164" t="str">
            <v>MELBOURNE-PALM BAY</v>
          </cell>
        </row>
        <row r="165">
          <cell r="A165">
            <v>121401</v>
          </cell>
          <cell r="B165" t="str">
            <v>UPPER FLORIDA KEYS</v>
          </cell>
        </row>
        <row r="166">
          <cell r="A166">
            <v>121402</v>
          </cell>
          <cell r="B166" t="str">
            <v>KEY WEST</v>
          </cell>
        </row>
        <row r="167">
          <cell r="A167">
            <v>130101</v>
          </cell>
          <cell r="B167" t="str">
            <v>ATLANTA DOWNTOWN</v>
          </cell>
        </row>
        <row r="168">
          <cell r="A168">
            <v>130102</v>
          </cell>
          <cell r="B168" t="str">
            <v>ATLANTA NORTHEAST</v>
          </cell>
        </row>
        <row r="169">
          <cell r="A169">
            <v>130103</v>
          </cell>
          <cell r="B169" t="str">
            <v>ATLANTA NORTHWEST</v>
          </cell>
        </row>
        <row r="170">
          <cell r="A170">
            <v>130104</v>
          </cell>
          <cell r="B170" t="str">
            <v>ATLANTA NORTH</v>
          </cell>
        </row>
        <row r="171">
          <cell r="A171">
            <v>130105</v>
          </cell>
          <cell r="B171" t="str">
            <v>ATLANTA NORTH CENTRAL</v>
          </cell>
        </row>
        <row r="172">
          <cell r="A172">
            <v>130106</v>
          </cell>
          <cell r="B172" t="str">
            <v>ATLANTA EAST</v>
          </cell>
        </row>
        <row r="173">
          <cell r="A173">
            <v>130107</v>
          </cell>
          <cell r="B173" t="str">
            <v>ATLANTA AIRPORT</v>
          </cell>
        </row>
        <row r="174">
          <cell r="A174">
            <v>130108</v>
          </cell>
          <cell r="B174" t="str">
            <v>ATLANTA SOUTH</v>
          </cell>
        </row>
        <row r="175">
          <cell r="A175">
            <v>130109</v>
          </cell>
          <cell r="B175" t="str">
            <v>ATLANTA GALLERIA AREA</v>
          </cell>
        </row>
        <row r="176">
          <cell r="A176">
            <v>130110</v>
          </cell>
          <cell r="B176" t="str">
            <v>ALPHARETTA</v>
          </cell>
        </row>
        <row r="177">
          <cell r="A177">
            <v>130201</v>
          </cell>
          <cell r="B177" t="str">
            <v>GEORGIA NORTHWEST</v>
          </cell>
        </row>
        <row r="178">
          <cell r="A178">
            <v>130202</v>
          </cell>
          <cell r="B178" t="str">
            <v>GEORGIA NORTHEAST</v>
          </cell>
        </row>
        <row r="179">
          <cell r="A179">
            <v>130203</v>
          </cell>
          <cell r="B179" t="str">
            <v>ATHENS/GAINESVILLE/COMMERCE</v>
          </cell>
        </row>
        <row r="180">
          <cell r="A180">
            <v>130301</v>
          </cell>
          <cell r="B180" t="str">
            <v>COLUMBUS/LAGRANGE</v>
          </cell>
        </row>
        <row r="181">
          <cell r="A181">
            <v>130302</v>
          </cell>
          <cell r="B181" t="str">
            <v>BRUNSWICK</v>
          </cell>
        </row>
        <row r="182">
          <cell r="A182">
            <v>130303</v>
          </cell>
          <cell r="B182" t="str">
            <v>I-95 CORRIDOR</v>
          </cell>
        </row>
        <row r="183">
          <cell r="A183">
            <v>130304</v>
          </cell>
          <cell r="B183" t="str">
            <v>I-75 CORRIDOR</v>
          </cell>
        </row>
        <row r="184">
          <cell r="A184">
            <v>130305</v>
          </cell>
          <cell r="B184" t="str">
            <v>GEORGIA SOUTH AREA</v>
          </cell>
        </row>
        <row r="185">
          <cell r="A185">
            <v>130401</v>
          </cell>
          <cell r="B185" t="str">
            <v>MACON, GA</v>
          </cell>
        </row>
        <row r="186">
          <cell r="A186">
            <v>130402</v>
          </cell>
          <cell r="B186" t="str">
            <v>WARNER ROBBINS, GA</v>
          </cell>
        </row>
        <row r="187">
          <cell r="A187">
            <v>130501</v>
          </cell>
          <cell r="B187" t="str">
            <v>AUGUSTA &amp; SOUTH</v>
          </cell>
        </row>
        <row r="188">
          <cell r="A188">
            <v>130502</v>
          </cell>
          <cell r="B188" t="str">
            <v>AUGUSTA NORTH &amp; WEST</v>
          </cell>
        </row>
        <row r="189">
          <cell r="A189">
            <v>130601</v>
          </cell>
          <cell r="B189" t="str">
            <v>SAVANNAH SOUTH&amp;EAST</v>
          </cell>
        </row>
        <row r="190">
          <cell r="A190">
            <v>130602</v>
          </cell>
          <cell r="B190" t="str">
            <v>SAVANNAH DOWNTOWN/AIRPORT</v>
          </cell>
        </row>
        <row r="191">
          <cell r="A191">
            <v>150101</v>
          </cell>
          <cell r="B191" t="str">
            <v>HAWAII</v>
          </cell>
        </row>
        <row r="192">
          <cell r="A192">
            <v>150102</v>
          </cell>
          <cell r="B192" t="str">
            <v>KAUAI</v>
          </cell>
        </row>
        <row r="193">
          <cell r="A193">
            <v>150201</v>
          </cell>
          <cell r="B193" t="str">
            <v>WAIKIKI</v>
          </cell>
        </row>
        <row r="194">
          <cell r="A194">
            <v>150202</v>
          </cell>
          <cell r="B194" t="str">
            <v>OAHU AREA</v>
          </cell>
        </row>
        <row r="195">
          <cell r="A195">
            <v>150301</v>
          </cell>
          <cell r="B195" t="str">
            <v>KAANAPALI/LAHAINA/KAPALUA</v>
          </cell>
        </row>
        <row r="196">
          <cell r="A196">
            <v>150302</v>
          </cell>
          <cell r="B196" t="str">
            <v>MAUI AREA</v>
          </cell>
        </row>
        <row r="197">
          <cell r="A197">
            <v>160101</v>
          </cell>
          <cell r="B197" t="str">
            <v>IDAHO NORTH</v>
          </cell>
        </row>
        <row r="198">
          <cell r="A198">
            <v>160102</v>
          </cell>
          <cell r="B198" t="str">
            <v>IDAHO SOUTHEAST</v>
          </cell>
        </row>
        <row r="199">
          <cell r="A199">
            <v>160103</v>
          </cell>
          <cell r="B199" t="str">
            <v>IDAHO SOUTHWEST</v>
          </cell>
        </row>
        <row r="200">
          <cell r="A200">
            <v>170101</v>
          </cell>
          <cell r="B200" t="str">
            <v>CHICAGO NORTH</v>
          </cell>
        </row>
        <row r="201">
          <cell r="A201">
            <v>170102</v>
          </cell>
          <cell r="B201" t="str">
            <v>CHICAGO NORTHWEST</v>
          </cell>
        </row>
        <row r="202">
          <cell r="A202">
            <v>170103</v>
          </cell>
          <cell r="B202" t="str">
            <v>CHICAGO AIRPORT</v>
          </cell>
        </row>
        <row r="203">
          <cell r="A203">
            <v>170104</v>
          </cell>
          <cell r="B203" t="str">
            <v>CHICAGO DUPAGE CO.</v>
          </cell>
        </row>
        <row r="204">
          <cell r="A204">
            <v>170105</v>
          </cell>
          <cell r="B204" t="str">
            <v>CHICAGO SOUTH</v>
          </cell>
        </row>
        <row r="205">
          <cell r="A205">
            <v>170106</v>
          </cell>
          <cell r="B205" t="str">
            <v>CHICAGO</v>
          </cell>
        </row>
        <row r="206">
          <cell r="A206">
            <v>170107</v>
          </cell>
          <cell r="B206" t="str">
            <v>CHICAGO - MIDWAY</v>
          </cell>
        </row>
        <row r="207">
          <cell r="A207">
            <v>170201</v>
          </cell>
          <cell r="B207" t="str">
            <v>LAKE COUNTY, IL</v>
          </cell>
        </row>
        <row r="208">
          <cell r="A208">
            <v>170202</v>
          </cell>
          <cell r="B208" t="str">
            <v>CHAMPAIGN-URBANA, IL</v>
          </cell>
        </row>
        <row r="209">
          <cell r="A209">
            <v>170203</v>
          </cell>
          <cell r="B209" t="str">
            <v>ILLINOIS NORTH AREA</v>
          </cell>
        </row>
        <row r="210">
          <cell r="A210">
            <v>170204</v>
          </cell>
          <cell r="B210" t="str">
            <v>PEORIA, IL</v>
          </cell>
        </row>
        <row r="211">
          <cell r="A211">
            <v>170205</v>
          </cell>
          <cell r="B211" t="str">
            <v>ROCKFORD-DEKALB-AURORA-ELGIN</v>
          </cell>
        </row>
        <row r="212">
          <cell r="A212">
            <v>170206</v>
          </cell>
          <cell r="B212" t="str">
            <v>BLOOMINGTON/NORMAL, IL</v>
          </cell>
        </row>
        <row r="213">
          <cell r="A213">
            <v>170207</v>
          </cell>
          <cell r="B213" t="str">
            <v>JOLIET, IL</v>
          </cell>
        </row>
        <row r="214">
          <cell r="A214">
            <v>170301</v>
          </cell>
          <cell r="B214" t="str">
            <v>SPRINGFIELD, IL</v>
          </cell>
        </row>
        <row r="215">
          <cell r="A215">
            <v>170302</v>
          </cell>
          <cell r="B215" t="str">
            <v>ILLINOIS SOUTH AREA</v>
          </cell>
        </row>
        <row r="216">
          <cell r="A216">
            <v>170303</v>
          </cell>
          <cell r="B216" t="str">
            <v>MT VERNON/CARBONDALE, IL</v>
          </cell>
        </row>
        <row r="217">
          <cell r="A217">
            <v>180101</v>
          </cell>
          <cell r="B217" t="str">
            <v>FORT WAYNE, IN</v>
          </cell>
        </row>
        <row r="218">
          <cell r="A218">
            <v>180102</v>
          </cell>
          <cell r="B218" t="str">
            <v>GARY-HAMMOND, IN</v>
          </cell>
        </row>
        <row r="219">
          <cell r="A219">
            <v>180103</v>
          </cell>
          <cell r="B219" t="str">
            <v>INDIANA NORTH AREA</v>
          </cell>
        </row>
        <row r="220">
          <cell r="A220">
            <v>180104</v>
          </cell>
          <cell r="B220" t="str">
            <v>MICHIGAN CITY-SOUTH BEND-ELKHA</v>
          </cell>
        </row>
        <row r="221">
          <cell r="A221">
            <v>180201</v>
          </cell>
          <cell r="B221" t="str">
            <v>EVANSVILLE</v>
          </cell>
        </row>
        <row r="222">
          <cell r="A222">
            <v>180202</v>
          </cell>
          <cell r="B222" t="str">
            <v>TERRE HAUTE, IN</v>
          </cell>
        </row>
        <row r="223">
          <cell r="A223">
            <v>180203</v>
          </cell>
          <cell r="B223" t="str">
            <v>INDIANA SOUTH AREA</v>
          </cell>
        </row>
        <row r="224">
          <cell r="A224">
            <v>180301</v>
          </cell>
          <cell r="B224" t="str">
            <v>INDIANAPOLIS SOUTH</v>
          </cell>
        </row>
        <row r="225">
          <cell r="A225">
            <v>180302</v>
          </cell>
          <cell r="B225" t="str">
            <v>INDIANAPOLIS DOWNTOWN/EAST</v>
          </cell>
        </row>
        <row r="226">
          <cell r="A226">
            <v>180304</v>
          </cell>
          <cell r="B226" t="str">
            <v>INDIANAPOLIS AIRPORT-WEST</v>
          </cell>
        </row>
        <row r="227">
          <cell r="A227">
            <v>180305</v>
          </cell>
          <cell r="B227" t="str">
            <v>INDIANAPOLIS-NORTH</v>
          </cell>
        </row>
        <row r="228">
          <cell r="A228">
            <v>190103</v>
          </cell>
          <cell r="B228" t="str">
            <v>IOWA CITY-WATERLOO</v>
          </cell>
        </row>
        <row r="229">
          <cell r="A229">
            <v>190105</v>
          </cell>
          <cell r="B229" t="str">
            <v>FORT DODGE-AMES</v>
          </cell>
        </row>
        <row r="230">
          <cell r="A230">
            <v>190106</v>
          </cell>
          <cell r="B230" t="str">
            <v>WEST IOWA AREA</v>
          </cell>
        </row>
        <row r="231">
          <cell r="A231">
            <v>190107</v>
          </cell>
          <cell r="B231" t="str">
            <v>EAST IOWA AREA</v>
          </cell>
        </row>
        <row r="232">
          <cell r="A232">
            <v>190201</v>
          </cell>
          <cell r="B232" t="str">
            <v>MOLINE,IL</v>
          </cell>
        </row>
        <row r="233">
          <cell r="A233">
            <v>190202</v>
          </cell>
          <cell r="B233" t="str">
            <v>DAVENPORT</v>
          </cell>
        </row>
        <row r="234">
          <cell r="A234">
            <v>190301</v>
          </cell>
          <cell r="B234" t="str">
            <v>DES MOINES AIRPORT/WEST</v>
          </cell>
        </row>
        <row r="235">
          <cell r="A235">
            <v>190302</v>
          </cell>
          <cell r="B235" t="str">
            <v>DES MOINES DOWNTOWN/NORTH</v>
          </cell>
        </row>
        <row r="236">
          <cell r="A236">
            <v>200101</v>
          </cell>
          <cell r="B236" t="str">
            <v>TOPEKA/LAWRENCE</v>
          </cell>
        </row>
        <row r="237">
          <cell r="A237">
            <v>200102</v>
          </cell>
          <cell r="B237" t="str">
            <v>WICHITA, KS</v>
          </cell>
        </row>
        <row r="238">
          <cell r="A238">
            <v>200103</v>
          </cell>
          <cell r="B238" t="str">
            <v>I-70 CORRIDOR</v>
          </cell>
        </row>
        <row r="239">
          <cell r="A239">
            <v>200104</v>
          </cell>
          <cell r="B239" t="str">
            <v>KANSAS AREA</v>
          </cell>
        </row>
        <row r="240">
          <cell r="A240">
            <v>210101</v>
          </cell>
          <cell r="B240" t="str">
            <v>DOWNTOWN/AIRPORT</v>
          </cell>
        </row>
        <row r="241">
          <cell r="A241">
            <v>210102</v>
          </cell>
          <cell r="B241" t="str">
            <v>LOUISVILLE AREA</v>
          </cell>
        </row>
        <row r="242">
          <cell r="A242">
            <v>210103</v>
          </cell>
          <cell r="B242" t="str">
            <v>LOUISVILLE EAST</v>
          </cell>
        </row>
        <row r="243">
          <cell r="A243">
            <v>210201</v>
          </cell>
          <cell r="B243" t="str">
            <v>BOWLING GREEN AREA</v>
          </cell>
        </row>
        <row r="244">
          <cell r="A244">
            <v>210202</v>
          </cell>
          <cell r="B244" t="str">
            <v>KENTUCKY WEST AREA</v>
          </cell>
        </row>
        <row r="245">
          <cell r="A245">
            <v>210301</v>
          </cell>
          <cell r="B245" t="str">
            <v>LEXINGTON-FAYETTE, KY</v>
          </cell>
        </row>
        <row r="246">
          <cell r="A246">
            <v>210302</v>
          </cell>
          <cell r="B246" t="str">
            <v>KENTUCKY EAST AREA</v>
          </cell>
        </row>
        <row r="247">
          <cell r="A247">
            <v>210303</v>
          </cell>
          <cell r="B247" t="str">
            <v>I-75 CORRIDOR SOUTH</v>
          </cell>
        </row>
        <row r="248">
          <cell r="A248">
            <v>220101</v>
          </cell>
          <cell r="B248" t="str">
            <v>NEW ORLEANS</v>
          </cell>
        </row>
        <row r="249">
          <cell r="A249">
            <v>220102</v>
          </cell>
          <cell r="B249" t="str">
            <v>NEW ORLEANS EAST/FRENCH QUARTE</v>
          </cell>
        </row>
        <row r="250">
          <cell r="A250">
            <v>220104</v>
          </cell>
          <cell r="B250" t="str">
            <v>METARIE-AIRPORT</v>
          </cell>
        </row>
        <row r="251">
          <cell r="A251">
            <v>220201</v>
          </cell>
          <cell r="B251" t="str">
            <v>SHREVEPORT, LA</v>
          </cell>
        </row>
        <row r="252">
          <cell r="A252">
            <v>220202</v>
          </cell>
          <cell r="B252" t="str">
            <v>MONROE, LA</v>
          </cell>
        </row>
        <row r="253">
          <cell r="A253">
            <v>220203</v>
          </cell>
          <cell r="B253" t="str">
            <v>LOUISIANA NORTH AREA</v>
          </cell>
        </row>
        <row r="254">
          <cell r="A254">
            <v>220301</v>
          </cell>
          <cell r="B254" t="str">
            <v>BATON ROUGE, LA</v>
          </cell>
        </row>
        <row r="255">
          <cell r="A255">
            <v>220302</v>
          </cell>
          <cell r="B255" t="str">
            <v>LAFAYETTE, LA</v>
          </cell>
        </row>
        <row r="256">
          <cell r="A256">
            <v>220304</v>
          </cell>
          <cell r="B256" t="str">
            <v>LOUISIANA SOUTH AREA</v>
          </cell>
        </row>
        <row r="257">
          <cell r="A257">
            <v>230101</v>
          </cell>
          <cell r="B257" t="str">
            <v>PORTLAND, ME</v>
          </cell>
        </row>
        <row r="258">
          <cell r="A258">
            <v>230102</v>
          </cell>
          <cell r="B258" t="str">
            <v>BANGOR, ME</v>
          </cell>
        </row>
        <row r="259">
          <cell r="A259">
            <v>230103</v>
          </cell>
          <cell r="B259" t="str">
            <v>MAINE AREA</v>
          </cell>
        </row>
        <row r="260">
          <cell r="A260">
            <v>240101</v>
          </cell>
          <cell r="B260" t="str">
            <v>BALTIMORE CITY</v>
          </cell>
        </row>
        <row r="261">
          <cell r="A261">
            <v>240102</v>
          </cell>
          <cell r="B261" t="str">
            <v>BALTIMORE</v>
          </cell>
        </row>
        <row r="262">
          <cell r="A262">
            <v>240103</v>
          </cell>
          <cell r="B262" t="str">
            <v>ANNE ARUNDEL</v>
          </cell>
        </row>
        <row r="263">
          <cell r="A263">
            <v>240104</v>
          </cell>
          <cell r="B263" t="str">
            <v>BALTIMORE, MD AREA</v>
          </cell>
        </row>
        <row r="264">
          <cell r="A264">
            <v>240201</v>
          </cell>
          <cell r="B264" t="str">
            <v>MARYLAND WEST</v>
          </cell>
        </row>
        <row r="265">
          <cell r="A265">
            <v>240202</v>
          </cell>
          <cell r="B265" t="str">
            <v>CHESAPEAKE</v>
          </cell>
        </row>
        <row r="266">
          <cell r="A266">
            <v>250101</v>
          </cell>
          <cell r="B266" t="str">
            <v>BOSTON</v>
          </cell>
        </row>
        <row r="267">
          <cell r="A267">
            <v>250102</v>
          </cell>
          <cell r="B267" t="str">
            <v>ESSEX COUNTY</v>
          </cell>
        </row>
        <row r="268">
          <cell r="A268">
            <v>250103</v>
          </cell>
          <cell r="B268" t="str">
            <v>BOSTON SOUTHSHORE</v>
          </cell>
        </row>
        <row r="269">
          <cell r="A269">
            <v>250104</v>
          </cell>
          <cell r="B269" t="str">
            <v>CAMBRIDGE-LEXINGTON</v>
          </cell>
        </row>
        <row r="270">
          <cell r="A270">
            <v>250105</v>
          </cell>
          <cell r="B270" t="str">
            <v>BOSTON SOUTH/SOUTHWEST</v>
          </cell>
        </row>
        <row r="271">
          <cell r="A271">
            <v>250106</v>
          </cell>
          <cell r="B271" t="str">
            <v>BOSTON NORTH</v>
          </cell>
        </row>
        <row r="272">
          <cell r="A272">
            <v>250201</v>
          </cell>
          <cell r="B272" t="str">
            <v>WORCESTER, MA</v>
          </cell>
        </row>
        <row r="273">
          <cell r="A273">
            <v>250202</v>
          </cell>
          <cell r="B273" t="str">
            <v>MASSACHUSETTS WEST</v>
          </cell>
        </row>
        <row r="274">
          <cell r="A274">
            <v>250203</v>
          </cell>
          <cell r="B274" t="str">
            <v>MASSACHUSETTS SOUTHEAST</v>
          </cell>
        </row>
        <row r="275">
          <cell r="A275">
            <v>250204</v>
          </cell>
          <cell r="B275" t="str">
            <v>SPRINGFIELD, MA</v>
          </cell>
        </row>
        <row r="276">
          <cell r="A276">
            <v>260101</v>
          </cell>
          <cell r="B276" t="str">
            <v>DETROIT/DEARBORN</v>
          </cell>
        </row>
        <row r="277">
          <cell r="A277">
            <v>260102</v>
          </cell>
          <cell r="B277" t="str">
            <v>DETROIT SOUTHWEST-AIRPORT</v>
          </cell>
        </row>
        <row r="278">
          <cell r="A278">
            <v>260103</v>
          </cell>
          <cell r="B278" t="str">
            <v>DETROIT NORTHWEST</v>
          </cell>
        </row>
        <row r="279">
          <cell r="A279">
            <v>260104</v>
          </cell>
          <cell r="B279" t="str">
            <v>DETROIT NORTH</v>
          </cell>
        </row>
        <row r="280">
          <cell r="A280">
            <v>260105</v>
          </cell>
          <cell r="B280" t="str">
            <v>DETROIT NORTHEAST</v>
          </cell>
        </row>
        <row r="281">
          <cell r="A281">
            <v>260201</v>
          </cell>
          <cell r="B281" t="str">
            <v>MICHIGAN SOUTHWEST</v>
          </cell>
        </row>
        <row r="282">
          <cell r="A282">
            <v>260202</v>
          </cell>
          <cell r="B282" t="str">
            <v>LANSING-EAST LANSING, MI</v>
          </cell>
        </row>
        <row r="283">
          <cell r="A283">
            <v>260203</v>
          </cell>
          <cell r="B283" t="str">
            <v>KALAMAZOO-BATTLE CREEK</v>
          </cell>
        </row>
        <row r="284">
          <cell r="A284">
            <v>260204</v>
          </cell>
          <cell r="B284" t="str">
            <v>ANN ARBOR-JACKSON</v>
          </cell>
        </row>
        <row r="285">
          <cell r="A285">
            <v>260301</v>
          </cell>
          <cell r="B285" t="str">
            <v>GRAND RAPIDS, MI</v>
          </cell>
        </row>
        <row r="286">
          <cell r="A286">
            <v>260302</v>
          </cell>
          <cell r="B286" t="str">
            <v>MIDLAND-FLINT</v>
          </cell>
        </row>
        <row r="287">
          <cell r="A287">
            <v>260303</v>
          </cell>
          <cell r="B287" t="str">
            <v>LOWER MI NORTHWEST</v>
          </cell>
        </row>
        <row r="288">
          <cell r="A288">
            <v>260304</v>
          </cell>
          <cell r="B288" t="str">
            <v>LOWER MI NORTH/CENTRAL</v>
          </cell>
        </row>
        <row r="289">
          <cell r="A289">
            <v>260306</v>
          </cell>
          <cell r="B289" t="str">
            <v>UPPER PENINSULA</v>
          </cell>
        </row>
        <row r="290">
          <cell r="A290">
            <v>270101</v>
          </cell>
          <cell r="B290" t="str">
            <v>MINNEAPOLIS</v>
          </cell>
        </row>
        <row r="291">
          <cell r="A291">
            <v>270102</v>
          </cell>
          <cell r="B291" t="str">
            <v>BLOOMINGTON</v>
          </cell>
        </row>
        <row r="292">
          <cell r="A292">
            <v>270103</v>
          </cell>
          <cell r="B292" t="str">
            <v>ST. PAUL</v>
          </cell>
        </row>
        <row r="293">
          <cell r="A293">
            <v>270104</v>
          </cell>
          <cell r="B293" t="str">
            <v>MINNEAPOLIS NORTH AREA</v>
          </cell>
        </row>
        <row r="294">
          <cell r="A294">
            <v>270105</v>
          </cell>
          <cell r="B294" t="str">
            <v>MINNEAPOLIS SOUTH AREA</v>
          </cell>
        </row>
        <row r="295">
          <cell r="A295">
            <v>270201</v>
          </cell>
          <cell r="B295" t="str">
            <v>DULUTH, MN-WI</v>
          </cell>
        </row>
        <row r="296">
          <cell r="A296">
            <v>270202</v>
          </cell>
          <cell r="B296" t="str">
            <v>ST CLOUD/I-94</v>
          </cell>
        </row>
        <row r="297">
          <cell r="A297">
            <v>270203</v>
          </cell>
          <cell r="B297" t="str">
            <v>MINNESOTA NORTH AREA</v>
          </cell>
        </row>
        <row r="298">
          <cell r="A298">
            <v>270301</v>
          </cell>
          <cell r="B298" t="str">
            <v>ROCHESTER, MN</v>
          </cell>
        </row>
        <row r="299">
          <cell r="A299">
            <v>270302</v>
          </cell>
          <cell r="B299" t="str">
            <v>MINNESOTA SOUTH AREA</v>
          </cell>
        </row>
        <row r="300">
          <cell r="A300">
            <v>280102</v>
          </cell>
          <cell r="B300" t="str">
            <v>BILOXI-GULFPORT, MS</v>
          </cell>
        </row>
        <row r="301">
          <cell r="A301">
            <v>280104</v>
          </cell>
          <cell r="B301" t="str">
            <v>MISSISSIPPI NORTH</v>
          </cell>
        </row>
        <row r="302">
          <cell r="A302">
            <v>280105</v>
          </cell>
          <cell r="B302" t="str">
            <v>MISSISSIPPI CENTRAL</v>
          </cell>
        </row>
        <row r="303">
          <cell r="A303">
            <v>280106</v>
          </cell>
          <cell r="B303" t="str">
            <v>MISSISSIPPI SOUTH</v>
          </cell>
        </row>
        <row r="304">
          <cell r="A304">
            <v>280107</v>
          </cell>
          <cell r="B304" t="str">
            <v>MISSISSIPPI EAST</v>
          </cell>
        </row>
        <row r="305">
          <cell r="A305">
            <v>280201</v>
          </cell>
          <cell r="B305" t="str">
            <v>JACKSON MS SOUTH</v>
          </cell>
        </row>
        <row r="306">
          <cell r="A306">
            <v>280202</v>
          </cell>
          <cell r="B306" t="str">
            <v>JACKSON MS NORTH</v>
          </cell>
        </row>
        <row r="307">
          <cell r="A307">
            <v>290101</v>
          </cell>
          <cell r="B307" t="str">
            <v>KANSAS CITY</v>
          </cell>
        </row>
        <row r="308">
          <cell r="A308">
            <v>290102</v>
          </cell>
          <cell r="B308" t="str">
            <v>OVERLAND PARK-LENEXA</v>
          </cell>
        </row>
        <row r="309">
          <cell r="A309">
            <v>290103</v>
          </cell>
          <cell r="B309" t="str">
            <v>KANSAS CITY NORTH-AIRPORT</v>
          </cell>
        </row>
        <row r="310">
          <cell r="A310">
            <v>290104</v>
          </cell>
          <cell r="B310" t="str">
            <v>KANSAS CITY, MO AREA</v>
          </cell>
        </row>
        <row r="311">
          <cell r="A311">
            <v>290201</v>
          </cell>
          <cell r="B311" t="str">
            <v>ST. LOUIS</v>
          </cell>
        </row>
        <row r="312">
          <cell r="A312">
            <v>290202</v>
          </cell>
          <cell r="B312" t="str">
            <v>ST. LOUIS NORTHWEST</v>
          </cell>
        </row>
        <row r="313">
          <cell r="A313">
            <v>290203</v>
          </cell>
          <cell r="B313" t="str">
            <v>ST. LOUIS SOUTHWEST</v>
          </cell>
        </row>
        <row r="314">
          <cell r="A314">
            <v>290204</v>
          </cell>
          <cell r="B314" t="str">
            <v>ST. LOUIS EAST</v>
          </cell>
        </row>
        <row r="315">
          <cell r="A315">
            <v>290205</v>
          </cell>
          <cell r="B315" t="str">
            <v>ST LOUIS AIRPORT</v>
          </cell>
        </row>
        <row r="316">
          <cell r="A316">
            <v>290301</v>
          </cell>
          <cell r="B316" t="str">
            <v>COLUMBIA-JEFFERSON</v>
          </cell>
        </row>
        <row r="317">
          <cell r="A317">
            <v>290302</v>
          </cell>
          <cell r="B317" t="str">
            <v>MISSOURI NORTH AREA</v>
          </cell>
        </row>
        <row r="318">
          <cell r="A318">
            <v>290401</v>
          </cell>
          <cell r="B318" t="str">
            <v>SPRINGFIELD, MO</v>
          </cell>
        </row>
        <row r="319">
          <cell r="A319">
            <v>290402</v>
          </cell>
          <cell r="B319" t="str">
            <v>MISSOURI SOUTH CENTRAL</v>
          </cell>
        </row>
        <row r="320">
          <cell r="A320">
            <v>290403</v>
          </cell>
          <cell r="B320" t="str">
            <v>BRANSON</v>
          </cell>
        </row>
        <row r="321">
          <cell r="A321">
            <v>290404</v>
          </cell>
          <cell r="B321" t="str">
            <v>MISSOURI SOUTH AREA</v>
          </cell>
        </row>
        <row r="322">
          <cell r="A322">
            <v>300101</v>
          </cell>
          <cell r="B322" t="str">
            <v>BILLINGS, MT</v>
          </cell>
        </row>
        <row r="323">
          <cell r="A323">
            <v>300102</v>
          </cell>
          <cell r="B323" t="str">
            <v>MONTANA EAST AREA</v>
          </cell>
        </row>
        <row r="324">
          <cell r="A324">
            <v>300201</v>
          </cell>
          <cell r="B324" t="str">
            <v>BOZEMAN/YELLOWSTONE</v>
          </cell>
        </row>
        <row r="325">
          <cell r="A325">
            <v>300202</v>
          </cell>
          <cell r="B325" t="str">
            <v>MONTANA WEST AREA</v>
          </cell>
        </row>
        <row r="326">
          <cell r="A326">
            <v>300203</v>
          </cell>
          <cell r="B326" t="str">
            <v>MISSOULA/BUTTE</v>
          </cell>
        </row>
        <row r="327">
          <cell r="A327">
            <v>310101</v>
          </cell>
          <cell r="B327" t="str">
            <v>LINCOLN, NE</v>
          </cell>
        </row>
        <row r="328">
          <cell r="A328">
            <v>310103</v>
          </cell>
          <cell r="B328" t="str">
            <v>I-80 CORRIDOR</v>
          </cell>
        </row>
        <row r="329">
          <cell r="A329">
            <v>310104</v>
          </cell>
          <cell r="B329" t="str">
            <v>NEBRASKA AREA</v>
          </cell>
        </row>
        <row r="330">
          <cell r="A330">
            <v>310201</v>
          </cell>
          <cell r="B330" t="str">
            <v>OMAHA NORTH</v>
          </cell>
        </row>
        <row r="331">
          <cell r="A331">
            <v>310202</v>
          </cell>
          <cell r="B331" t="str">
            <v>COUNCIL BLUFFS, IA</v>
          </cell>
        </row>
        <row r="332">
          <cell r="A332">
            <v>310203</v>
          </cell>
          <cell r="B332" t="str">
            <v>OMAHA SOUTH</v>
          </cell>
        </row>
        <row r="333">
          <cell r="A333">
            <v>320103</v>
          </cell>
          <cell r="B333" t="str">
            <v>NEVADA AREA</v>
          </cell>
        </row>
        <row r="334">
          <cell r="A334">
            <v>320201</v>
          </cell>
          <cell r="B334" t="str">
            <v>LAS VEGAS-NORTH</v>
          </cell>
        </row>
        <row r="335">
          <cell r="A335">
            <v>320202</v>
          </cell>
          <cell r="B335" t="str">
            <v>LAS VEGAS-SOUTH</v>
          </cell>
        </row>
        <row r="336">
          <cell r="A336">
            <v>320203</v>
          </cell>
          <cell r="B336" t="str">
            <v>LAS VEGAS STRIP</v>
          </cell>
        </row>
        <row r="337">
          <cell r="A337">
            <v>320301</v>
          </cell>
          <cell r="B337" t="str">
            <v>RENO</v>
          </cell>
        </row>
        <row r="338">
          <cell r="A338">
            <v>320302</v>
          </cell>
          <cell r="B338" t="str">
            <v>RENO AREA</v>
          </cell>
        </row>
        <row r="339">
          <cell r="A339">
            <v>330101</v>
          </cell>
          <cell r="B339" t="str">
            <v>NEW HAMPSHIRE CENTRAL-NORTH</v>
          </cell>
        </row>
        <row r="340">
          <cell r="A340">
            <v>330102</v>
          </cell>
          <cell r="B340" t="str">
            <v>NEW HAMPSHIRE SOUTH</v>
          </cell>
        </row>
        <row r="341">
          <cell r="A341">
            <v>340101</v>
          </cell>
          <cell r="B341" t="str">
            <v>PASSAIC AREA</v>
          </cell>
        </row>
        <row r="342">
          <cell r="A342">
            <v>340102</v>
          </cell>
          <cell r="B342" t="str">
            <v>HACKENSACK-SOUTH</v>
          </cell>
        </row>
        <row r="343">
          <cell r="A343">
            <v>340201</v>
          </cell>
          <cell r="B343" t="str">
            <v>NEWARK</v>
          </cell>
        </row>
        <row r="344">
          <cell r="A344">
            <v>340202</v>
          </cell>
          <cell r="B344" t="str">
            <v>MORRIS-SUSSEX COUNTY</v>
          </cell>
        </row>
        <row r="345">
          <cell r="A345">
            <v>340203</v>
          </cell>
          <cell r="B345" t="str">
            <v>UNION COUNTY</v>
          </cell>
        </row>
        <row r="346">
          <cell r="A346">
            <v>340301</v>
          </cell>
          <cell r="B346" t="str">
            <v>MIDDLESEX-HUNTERDON</v>
          </cell>
        </row>
        <row r="347">
          <cell r="A347">
            <v>340302</v>
          </cell>
          <cell r="B347" t="str">
            <v>SOMERSET-HUNTERDON</v>
          </cell>
        </row>
        <row r="348">
          <cell r="A348">
            <v>340303</v>
          </cell>
          <cell r="B348" t="str">
            <v>PRINCETON/CENTAL N.J.</v>
          </cell>
        </row>
        <row r="349">
          <cell r="A349">
            <v>340401</v>
          </cell>
          <cell r="B349" t="str">
            <v>NORTH SHORE</v>
          </cell>
        </row>
        <row r="350">
          <cell r="A350">
            <v>340402</v>
          </cell>
          <cell r="B350" t="str">
            <v>VINELAND/SOUTH SHORE</v>
          </cell>
        </row>
        <row r="351">
          <cell r="A351">
            <v>340403</v>
          </cell>
          <cell r="B351" t="str">
            <v>ATLANTIC CITY</v>
          </cell>
        </row>
        <row r="352">
          <cell r="A352">
            <v>350102</v>
          </cell>
          <cell r="B352" t="str">
            <v>SANTA FE, NM</v>
          </cell>
        </row>
        <row r="353">
          <cell r="A353">
            <v>350103</v>
          </cell>
          <cell r="B353" t="str">
            <v>NEW MEXICO NORTH AREA</v>
          </cell>
        </row>
        <row r="354">
          <cell r="A354">
            <v>350201</v>
          </cell>
          <cell r="B354" t="str">
            <v>LAS CRUCES/DEMING, NM</v>
          </cell>
        </row>
        <row r="355">
          <cell r="A355">
            <v>350202</v>
          </cell>
          <cell r="B355" t="str">
            <v>NEW MEXICO SOUTH AREA</v>
          </cell>
        </row>
        <row r="356">
          <cell r="A356">
            <v>350301</v>
          </cell>
          <cell r="B356" t="str">
            <v>ALBUQUERQUE</v>
          </cell>
        </row>
        <row r="357">
          <cell r="A357">
            <v>350302</v>
          </cell>
          <cell r="B357" t="str">
            <v>ALBUQUERQUE AREA</v>
          </cell>
        </row>
        <row r="358">
          <cell r="A358">
            <v>360102</v>
          </cell>
          <cell r="B358" t="str">
            <v>WESTCHESTER-ROCKLAND</v>
          </cell>
        </row>
        <row r="359">
          <cell r="A359">
            <v>360103</v>
          </cell>
          <cell r="B359" t="str">
            <v>NEW YORK NY AREA</v>
          </cell>
        </row>
        <row r="360">
          <cell r="A360">
            <v>360104</v>
          </cell>
          <cell r="B360" t="str">
            <v>MANHATTAN - WEST</v>
          </cell>
        </row>
        <row r="361">
          <cell r="A361">
            <v>360105</v>
          </cell>
          <cell r="B361" t="str">
            <v>MANHATTAN - EAST</v>
          </cell>
        </row>
        <row r="362">
          <cell r="A362">
            <v>360201</v>
          </cell>
          <cell r="B362" t="str">
            <v>NASSAU</v>
          </cell>
        </row>
        <row r="363">
          <cell r="A363">
            <v>360202</v>
          </cell>
          <cell r="B363" t="str">
            <v>SUFFOLK</v>
          </cell>
        </row>
        <row r="364">
          <cell r="A364">
            <v>360302</v>
          </cell>
          <cell r="B364" t="str">
            <v>NEWBURGH/KINGSTON</v>
          </cell>
        </row>
        <row r="365">
          <cell r="A365">
            <v>360304</v>
          </cell>
          <cell r="B365" t="str">
            <v>NEW YORK EAST AREA</v>
          </cell>
        </row>
        <row r="366">
          <cell r="A366">
            <v>360401</v>
          </cell>
          <cell r="B366" t="str">
            <v>BINGHAMTON, NY</v>
          </cell>
        </row>
        <row r="367">
          <cell r="A367">
            <v>360404</v>
          </cell>
          <cell r="B367" t="str">
            <v>NEW YORK CENTRAL AREA</v>
          </cell>
        </row>
        <row r="368">
          <cell r="A368">
            <v>360501</v>
          </cell>
          <cell r="B368" t="str">
            <v>ITHACA/ELMIRA</v>
          </cell>
        </row>
        <row r="369">
          <cell r="A369">
            <v>360504</v>
          </cell>
          <cell r="B369" t="str">
            <v>NEW YORK WEST AREA</v>
          </cell>
        </row>
        <row r="370">
          <cell r="A370">
            <v>360601</v>
          </cell>
          <cell r="B370" t="str">
            <v>SYRACUSE</v>
          </cell>
        </row>
        <row r="371">
          <cell r="A371">
            <v>360602</v>
          </cell>
          <cell r="B371" t="str">
            <v>SYRACUSE AREA</v>
          </cell>
        </row>
        <row r="372">
          <cell r="A372">
            <v>360701</v>
          </cell>
          <cell r="B372" t="str">
            <v>ALBANY NY</v>
          </cell>
        </row>
        <row r="373">
          <cell r="A373">
            <v>360702</v>
          </cell>
          <cell r="B373" t="str">
            <v>SCHENECTADY NY</v>
          </cell>
        </row>
        <row r="374">
          <cell r="A374">
            <v>360801</v>
          </cell>
          <cell r="B374" t="str">
            <v>BUFFALO NORTH</v>
          </cell>
        </row>
        <row r="375">
          <cell r="A375">
            <v>360802</v>
          </cell>
          <cell r="B375" t="str">
            <v>BUFFALO SOUTH</v>
          </cell>
        </row>
        <row r="376">
          <cell r="A376">
            <v>360803</v>
          </cell>
          <cell r="B376" t="str">
            <v>NIAGARA FALLS, NY</v>
          </cell>
        </row>
        <row r="377">
          <cell r="A377">
            <v>360901</v>
          </cell>
          <cell r="B377" t="str">
            <v>ROCHESTER NY (CITY OF)</v>
          </cell>
        </row>
        <row r="378">
          <cell r="A378">
            <v>360902</v>
          </cell>
          <cell r="B378" t="str">
            <v>ROCHESTER NY (AREA)</v>
          </cell>
        </row>
        <row r="379">
          <cell r="A379">
            <v>370101</v>
          </cell>
          <cell r="B379" t="str">
            <v>CHARLOTTE AIRPORT/WEST</v>
          </cell>
        </row>
        <row r="380">
          <cell r="A380">
            <v>370102</v>
          </cell>
          <cell r="B380" t="str">
            <v>CHARLOTTE DOWNTOWN/SOUTHPARK</v>
          </cell>
        </row>
        <row r="381">
          <cell r="A381">
            <v>370103</v>
          </cell>
          <cell r="B381" t="str">
            <v>CHARLOTTE EAST</v>
          </cell>
        </row>
        <row r="382">
          <cell r="A382">
            <v>370104</v>
          </cell>
          <cell r="B382" t="str">
            <v>CHARLOTTE NORTH</v>
          </cell>
        </row>
        <row r="383">
          <cell r="A383">
            <v>370105</v>
          </cell>
          <cell r="B383" t="str">
            <v>ROCK HILL, SC</v>
          </cell>
        </row>
        <row r="384">
          <cell r="A384">
            <v>370106</v>
          </cell>
          <cell r="B384" t="str">
            <v>CHARLOTTE SOUTHWEST</v>
          </cell>
        </row>
        <row r="385">
          <cell r="A385">
            <v>370201</v>
          </cell>
          <cell r="B385" t="str">
            <v>WINSTON-SALEM</v>
          </cell>
        </row>
        <row r="386">
          <cell r="A386">
            <v>370202</v>
          </cell>
          <cell r="B386" t="str">
            <v>GREENSBORO</v>
          </cell>
        </row>
        <row r="387">
          <cell r="A387">
            <v>370203</v>
          </cell>
          <cell r="B387" t="str">
            <v>GREENSBORO-WINSTON-SALEM AREA</v>
          </cell>
        </row>
        <row r="388">
          <cell r="A388">
            <v>370301</v>
          </cell>
          <cell r="B388" t="str">
            <v>RALEIGH SOUTH</v>
          </cell>
        </row>
        <row r="389">
          <cell r="A389">
            <v>370302</v>
          </cell>
          <cell r="B389" t="str">
            <v>DURHAM</v>
          </cell>
        </row>
        <row r="390">
          <cell r="A390">
            <v>370303</v>
          </cell>
          <cell r="B390" t="str">
            <v>AIRPORT/TRIANGLE PARK</v>
          </cell>
        </row>
        <row r="391">
          <cell r="A391">
            <v>370304</v>
          </cell>
          <cell r="B391" t="str">
            <v>RALEIGH NORTH-WEST</v>
          </cell>
        </row>
        <row r="392">
          <cell r="A392">
            <v>370305</v>
          </cell>
          <cell r="B392" t="str">
            <v>RALEIGH NORTH-EAST</v>
          </cell>
        </row>
        <row r="393">
          <cell r="A393">
            <v>370401</v>
          </cell>
          <cell r="B393" t="str">
            <v>ASHEVILLE, NC</v>
          </cell>
        </row>
        <row r="394">
          <cell r="A394">
            <v>370402</v>
          </cell>
          <cell r="B394" t="str">
            <v>NORTH CAROLINA WEST CENTRAL</v>
          </cell>
        </row>
        <row r="395">
          <cell r="A395">
            <v>370403</v>
          </cell>
          <cell r="B395" t="str">
            <v>NORTH CAROLINA WEST AREA</v>
          </cell>
        </row>
        <row r="396">
          <cell r="A396">
            <v>370501</v>
          </cell>
          <cell r="B396" t="str">
            <v>WILMINGTON, NC</v>
          </cell>
        </row>
        <row r="397">
          <cell r="A397">
            <v>370503</v>
          </cell>
          <cell r="B397" t="str">
            <v>NORTHEAST BEACH AREA, NC</v>
          </cell>
        </row>
        <row r="398">
          <cell r="A398">
            <v>370504</v>
          </cell>
          <cell r="B398" t="str">
            <v>NORTH CAROLINA EAST AREA</v>
          </cell>
        </row>
        <row r="399">
          <cell r="A399">
            <v>370505</v>
          </cell>
          <cell r="B399" t="str">
            <v>NORTH CAROLINA CENTRAL</v>
          </cell>
        </row>
        <row r="400">
          <cell r="A400">
            <v>370506</v>
          </cell>
          <cell r="B400" t="str">
            <v>SOUTH BEACH AREA</v>
          </cell>
        </row>
        <row r="401">
          <cell r="A401">
            <v>370601</v>
          </cell>
          <cell r="B401" t="str">
            <v>NORTH I-95 CORRIDOR</v>
          </cell>
        </row>
        <row r="402">
          <cell r="A402">
            <v>370602</v>
          </cell>
          <cell r="B402" t="str">
            <v>SOUTH I-95 CORRIDOR</v>
          </cell>
        </row>
        <row r="403">
          <cell r="A403">
            <v>370604</v>
          </cell>
          <cell r="B403" t="str">
            <v>FAYETTEVILLE-LUMBERTON</v>
          </cell>
        </row>
        <row r="404">
          <cell r="A404">
            <v>380101</v>
          </cell>
          <cell r="B404" t="str">
            <v>BISMARCK, ND</v>
          </cell>
        </row>
        <row r="405">
          <cell r="A405">
            <v>380102</v>
          </cell>
          <cell r="B405" t="str">
            <v>NORTH DAKOTA AREA</v>
          </cell>
        </row>
        <row r="406">
          <cell r="A406">
            <v>380103</v>
          </cell>
          <cell r="B406" t="str">
            <v>FARGO, ND</v>
          </cell>
        </row>
        <row r="407">
          <cell r="A407">
            <v>390101</v>
          </cell>
          <cell r="B407" t="str">
            <v>AKRON, OH</v>
          </cell>
        </row>
        <row r="408">
          <cell r="A408">
            <v>390102</v>
          </cell>
          <cell r="B408" t="str">
            <v>SANDUSKY, OH</v>
          </cell>
        </row>
        <row r="409">
          <cell r="A409">
            <v>390103</v>
          </cell>
          <cell r="B409" t="str">
            <v>TOLEDO, OH</v>
          </cell>
        </row>
        <row r="410">
          <cell r="A410">
            <v>390104</v>
          </cell>
          <cell r="B410" t="str">
            <v>YOUNGSTOWN-WARREN, OH</v>
          </cell>
        </row>
        <row r="411">
          <cell r="A411">
            <v>390105</v>
          </cell>
          <cell r="B411" t="str">
            <v>OHIO NORTH AREA</v>
          </cell>
        </row>
        <row r="412">
          <cell r="A412">
            <v>390106</v>
          </cell>
          <cell r="B412" t="str">
            <v>I-75 CORRIDOR NORTH</v>
          </cell>
        </row>
        <row r="413">
          <cell r="A413">
            <v>390201</v>
          </cell>
          <cell r="B413" t="str">
            <v>CINCINNATI</v>
          </cell>
        </row>
        <row r="414">
          <cell r="A414">
            <v>390202</v>
          </cell>
          <cell r="B414" t="str">
            <v>CINCINNATI SOUTH</v>
          </cell>
        </row>
        <row r="415">
          <cell r="A415">
            <v>390203</v>
          </cell>
          <cell r="B415" t="str">
            <v>CINCINNATI NORTH/EAST</v>
          </cell>
        </row>
        <row r="416">
          <cell r="A416">
            <v>390204</v>
          </cell>
          <cell r="B416" t="str">
            <v>WARREN COUNTY</v>
          </cell>
        </row>
        <row r="417">
          <cell r="A417">
            <v>390301</v>
          </cell>
          <cell r="B417" t="str">
            <v>OHIO SOUTH AREA</v>
          </cell>
        </row>
        <row r="418">
          <cell r="A418">
            <v>390401</v>
          </cell>
          <cell r="B418" t="str">
            <v>CLEVELAND AIRPORT</v>
          </cell>
        </row>
        <row r="419">
          <cell r="A419">
            <v>390402</v>
          </cell>
          <cell r="B419" t="str">
            <v>CLEVELAND SOUTH-WEST</v>
          </cell>
        </row>
        <row r="420">
          <cell r="A420">
            <v>390403</v>
          </cell>
          <cell r="B420" t="str">
            <v>CLEVELAND CBD &amp; NORTH-EAST</v>
          </cell>
        </row>
        <row r="421">
          <cell r="A421">
            <v>390501</v>
          </cell>
          <cell r="B421" t="str">
            <v>COLUMBUS SOUTH-EAST</v>
          </cell>
        </row>
        <row r="422">
          <cell r="A422">
            <v>390502</v>
          </cell>
          <cell r="B422" t="str">
            <v>COLUMBUS &amp; WEST</v>
          </cell>
        </row>
        <row r="423">
          <cell r="A423">
            <v>390503</v>
          </cell>
          <cell r="B423" t="str">
            <v>COLUMBUS-WORTHINGTON</v>
          </cell>
        </row>
        <row r="424">
          <cell r="A424">
            <v>390601</v>
          </cell>
          <cell r="B424" t="str">
            <v>DAYTON OH</v>
          </cell>
        </row>
        <row r="425">
          <cell r="A425">
            <v>390602</v>
          </cell>
          <cell r="B425" t="str">
            <v>SPRINGFIELD OH</v>
          </cell>
        </row>
        <row r="426">
          <cell r="A426">
            <v>400101</v>
          </cell>
          <cell r="B426" t="str">
            <v>OKLAHOMA CITY AIRPORT-SOUTH</v>
          </cell>
        </row>
        <row r="427">
          <cell r="A427">
            <v>400102</v>
          </cell>
          <cell r="B427" t="str">
            <v>OKLAHOMA CITY &amp; NORTH</v>
          </cell>
        </row>
        <row r="428">
          <cell r="A428">
            <v>400202</v>
          </cell>
          <cell r="B428" t="str">
            <v>OKLAHOMA WEST</v>
          </cell>
        </row>
        <row r="429">
          <cell r="A429">
            <v>400203</v>
          </cell>
          <cell r="B429" t="str">
            <v>OKLAHOMA EAST</v>
          </cell>
        </row>
        <row r="430">
          <cell r="A430">
            <v>400301</v>
          </cell>
          <cell r="B430" t="str">
            <v>TULSA AIRPORT-NORTH</v>
          </cell>
        </row>
        <row r="431">
          <cell r="A431">
            <v>400302</v>
          </cell>
          <cell r="B431" t="str">
            <v>TULSA &amp; SOUTHWEST</v>
          </cell>
        </row>
        <row r="432">
          <cell r="A432">
            <v>410101</v>
          </cell>
          <cell r="B432" t="str">
            <v>PORTLAND AIRPORT</v>
          </cell>
        </row>
        <row r="433">
          <cell r="A433">
            <v>410102</v>
          </cell>
          <cell r="B433" t="str">
            <v>DOWNTOWN &amp; WEST</v>
          </cell>
        </row>
        <row r="434">
          <cell r="A434">
            <v>410103</v>
          </cell>
          <cell r="B434" t="str">
            <v>PORTLAND EAST &amp; SOUTH</v>
          </cell>
        </row>
        <row r="435">
          <cell r="A435">
            <v>410201</v>
          </cell>
          <cell r="B435" t="str">
            <v>OREGON WEST AREA</v>
          </cell>
        </row>
        <row r="436">
          <cell r="A436">
            <v>410202</v>
          </cell>
          <cell r="B436" t="str">
            <v>OREGON EAST AREA</v>
          </cell>
        </row>
        <row r="437">
          <cell r="A437">
            <v>410203</v>
          </cell>
          <cell r="B437" t="str">
            <v>EUGENE</v>
          </cell>
        </row>
        <row r="438">
          <cell r="A438">
            <v>410204</v>
          </cell>
          <cell r="B438" t="str">
            <v>MEDFORD/GRANTS PASS</v>
          </cell>
        </row>
        <row r="439">
          <cell r="A439">
            <v>420101</v>
          </cell>
          <cell r="B439" t="str">
            <v>PHILA CENTER CITY</v>
          </cell>
        </row>
        <row r="440">
          <cell r="A440">
            <v>420102</v>
          </cell>
          <cell r="B440" t="str">
            <v>PHILA NORTHERN SUBURBS</v>
          </cell>
        </row>
        <row r="441">
          <cell r="A441">
            <v>420103</v>
          </cell>
          <cell r="B441" t="str">
            <v>PHILA WESTERN SUBURBS</v>
          </cell>
        </row>
        <row r="442">
          <cell r="A442">
            <v>420104</v>
          </cell>
          <cell r="B442" t="str">
            <v>SOUTH JERSEY</v>
          </cell>
        </row>
        <row r="443">
          <cell r="A443">
            <v>420105</v>
          </cell>
          <cell r="B443" t="str">
            <v>PHILA AIRPORT/STADIUM</v>
          </cell>
        </row>
        <row r="444">
          <cell r="A444">
            <v>420106</v>
          </cell>
          <cell r="B444" t="str">
            <v>PHILA NORTHEAST/LOWER BUCKS</v>
          </cell>
        </row>
        <row r="445">
          <cell r="A445">
            <v>420201</v>
          </cell>
          <cell r="B445" t="str">
            <v>PITTSBURGH SOUTH-WEST</v>
          </cell>
        </row>
        <row r="446">
          <cell r="A446">
            <v>420202</v>
          </cell>
          <cell r="B446" t="str">
            <v>PITTSBURGH PA AREA</v>
          </cell>
        </row>
        <row r="447">
          <cell r="A447">
            <v>420203</v>
          </cell>
          <cell r="B447" t="str">
            <v>PITTSBURGH &amp; NORTH-EAST</v>
          </cell>
        </row>
        <row r="448">
          <cell r="A448">
            <v>420301</v>
          </cell>
          <cell r="B448" t="str">
            <v>LANCASTER, PA</v>
          </cell>
        </row>
        <row r="449">
          <cell r="A449">
            <v>420302</v>
          </cell>
          <cell r="B449" t="str">
            <v>YORK, PA</v>
          </cell>
        </row>
        <row r="450">
          <cell r="A450">
            <v>420401</v>
          </cell>
          <cell r="B450" t="str">
            <v>SCRANTON/WILKES-BARRE/POCONOS</v>
          </cell>
        </row>
        <row r="451">
          <cell r="A451">
            <v>420402</v>
          </cell>
          <cell r="B451" t="str">
            <v>POCONOS AREA</v>
          </cell>
        </row>
        <row r="452">
          <cell r="A452">
            <v>420502</v>
          </cell>
          <cell r="B452" t="str">
            <v>PENNSYLVANIA NORTHWEST</v>
          </cell>
        </row>
        <row r="453">
          <cell r="A453">
            <v>420503</v>
          </cell>
          <cell r="B453" t="str">
            <v>PENNSYLVANIA CENTRAL</v>
          </cell>
        </row>
        <row r="454">
          <cell r="A454">
            <v>420504</v>
          </cell>
          <cell r="B454" t="str">
            <v>ALTOONA/JOHNSTOWN PA</v>
          </cell>
        </row>
        <row r="455">
          <cell r="A455">
            <v>420601</v>
          </cell>
          <cell r="B455" t="str">
            <v>CARLISLE/MECHANICSBURG PA</v>
          </cell>
        </row>
        <row r="456">
          <cell r="A456">
            <v>420602</v>
          </cell>
          <cell r="B456" t="str">
            <v>HARRISBURG/HERSHEY PA</v>
          </cell>
        </row>
        <row r="457">
          <cell r="A457">
            <v>420701</v>
          </cell>
          <cell r="B457" t="str">
            <v>ALLENTOWN</v>
          </cell>
        </row>
        <row r="458">
          <cell r="A458">
            <v>420702</v>
          </cell>
          <cell r="B458" t="str">
            <v>READING</v>
          </cell>
        </row>
        <row r="459">
          <cell r="A459">
            <v>440201</v>
          </cell>
          <cell r="B459" t="str">
            <v>RHODE ISLAND</v>
          </cell>
        </row>
        <row r="460">
          <cell r="A460">
            <v>450101</v>
          </cell>
          <cell r="B460" t="str">
            <v>GREENVILLE</v>
          </cell>
        </row>
        <row r="461">
          <cell r="A461">
            <v>450102</v>
          </cell>
          <cell r="B461" t="str">
            <v>SPARTANBURG</v>
          </cell>
        </row>
        <row r="462">
          <cell r="A462">
            <v>450201</v>
          </cell>
          <cell r="B462" t="str">
            <v>COLUMBIA EAST</v>
          </cell>
        </row>
        <row r="463">
          <cell r="A463">
            <v>450202</v>
          </cell>
          <cell r="B463" t="str">
            <v>COLUMBIA WEST</v>
          </cell>
        </row>
        <row r="464">
          <cell r="A464">
            <v>450301</v>
          </cell>
          <cell r="B464" t="str">
            <v>FLORENCE/DILLION</v>
          </cell>
        </row>
        <row r="465">
          <cell r="A465">
            <v>450303</v>
          </cell>
          <cell r="B465" t="str">
            <v>HILTON HEAD</v>
          </cell>
        </row>
        <row r="466">
          <cell r="A466">
            <v>450304</v>
          </cell>
          <cell r="B466" t="str">
            <v>I-95 CORRIDOR</v>
          </cell>
        </row>
        <row r="467">
          <cell r="A467">
            <v>450305</v>
          </cell>
          <cell r="B467" t="str">
            <v>SOUTH CAROLINA SMALL TOWN</v>
          </cell>
        </row>
        <row r="468">
          <cell r="A468">
            <v>450401</v>
          </cell>
          <cell r="B468" t="str">
            <v>CHARLESTON AIRPORT-NORTH</v>
          </cell>
        </row>
        <row r="469">
          <cell r="A469">
            <v>450402</v>
          </cell>
          <cell r="B469" t="str">
            <v>CHARLESTON</v>
          </cell>
        </row>
        <row r="470">
          <cell r="A470">
            <v>450403</v>
          </cell>
          <cell r="B470" t="str">
            <v>CHARLESTON SOUTH</v>
          </cell>
        </row>
        <row r="471">
          <cell r="A471">
            <v>450501</v>
          </cell>
          <cell r="B471" t="str">
            <v>MYRTLE BEACH NORTH AREA</v>
          </cell>
        </row>
        <row r="472">
          <cell r="A472">
            <v>450502</v>
          </cell>
          <cell r="B472" t="str">
            <v>MYRTLE BEACH &amp; SOUTH</v>
          </cell>
        </row>
        <row r="473">
          <cell r="A473">
            <v>460101</v>
          </cell>
          <cell r="B473" t="str">
            <v>RAPID CITY, SD</v>
          </cell>
        </row>
        <row r="474">
          <cell r="A474">
            <v>460102</v>
          </cell>
          <cell r="B474" t="str">
            <v>SIOUX FALLS, SD</v>
          </cell>
        </row>
        <row r="475">
          <cell r="A475">
            <v>460103</v>
          </cell>
          <cell r="B475" t="str">
            <v>SOUTH DAKOTA AREA</v>
          </cell>
        </row>
        <row r="476">
          <cell r="A476">
            <v>470101</v>
          </cell>
          <cell r="B476" t="str">
            <v>KNOXVILLE</v>
          </cell>
        </row>
        <row r="477">
          <cell r="A477">
            <v>470103</v>
          </cell>
          <cell r="B477" t="str">
            <v>KNOXVILLE TN AREA</v>
          </cell>
        </row>
        <row r="478">
          <cell r="A478">
            <v>470201</v>
          </cell>
          <cell r="B478" t="str">
            <v>MEMPHIS</v>
          </cell>
        </row>
        <row r="479">
          <cell r="A479">
            <v>470202</v>
          </cell>
          <cell r="B479" t="str">
            <v>MEMPHIS AIRPORT &amp; SOUTH</v>
          </cell>
        </row>
        <row r="480">
          <cell r="A480">
            <v>470203</v>
          </cell>
          <cell r="B480" t="str">
            <v>MEMPHIS EAST</v>
          </cell>
        </row>
        <row r="481">
          <cell r="A481">
            <v>470204</v>
          </cell>
          <cell r="B481" t="str">
            <v>WEST MEMPHIS</v>
          </cell>
        </row>
        <row r="482">
          <cell r="A482">
            <v>470301</v>
          </cell>
          <cell r="B482" t="str">
            <v>NASHVILLE DOWNTOWN &amp; SOUTH</v>
          </cell>
        </row>
        <row r="483">
          <cell r="A483">
            <v>470302</v>
          </cell>
          <cell r="B483" t="str">
            <v>NASHVILLE EAST AIRPORT</v>
          </cell>
        </row>
        <row r="484">
          <cell r="A484">
            <v>470303</v>
          </cell>
          <cell r="B484" t="str">
            <v>NASHVILLE TN AREA NORTH</v>
          </cell>
        </row>
        <row r="485">
          <cell r="A485">
            <v>470304</v>
          </cell>
          <cell r="B485" t="str">
            <v>NASHVILLE METRO CENTER-NORTH</v>
          </cell>
        </row>
        <row r="486">
          <cell r="A486">
            <v>470305</v>
          </cell>
          <cell r="B486" t="str">
            <v>NASHVILLE TN AREA SOUTH</v>
          </cell>
        </row>
        <row r="487">
          <cell r="A487">
            <v>470402</v>
          </cell>
          <cell r="B487" t="str">
            <v>JOHNSON CITY-BRISTOL, TN-VA</v>
          </cell>
        </row>
        <row r="488">
          <cell r="A488">
            <v>470403</v>
          </cell>
          <cell r="B488" t="str">
            <v>TENNESSEE EAST AREA</v>
          </cell>
        </row>
        <row r="489">
          <cell r="A489">
            <v>470404</v>
          </cell>
          <cell r="B489" t="str">
            <v>TENNESSEE CENTRAL AREA</v>
          </cell>
        </row>
        <row r="490">
          <cell r="A490">
            <v>470405</v>
          </cell>
          <cell r="B490" t="str">
            <v>TENNESSEE WEST AREA</v>
          </cell>
        </row>
        <row r="491">
          <cell r="A491">
            <v>470501</v>
          </cell>
          <cell r="B491" t="str">
            <v>CHATTANOOGA</v>
          </cell>
        </row>
        <row r="492">
          <cell r="A492">
            <v>470502</v>
          </cell>
          <cell r="B492" t="str">
            <v>CHATTANOOGA AREA</v>
          </cell>
        </row>
        <row r="493">
          <cell r="A493">
            <v>470601</v>
          </cell>
          <cell r="B493" t="str">
            <v>GATLINBURG</v>
          </cell>
        </row>
        <row r="494">
          <cell r="A494">
            <v>470602</v>
          </cell>
          <cell r="B494" t="str">
            <v>PIGEON FORGE</v>
          </cell>
        </row>
        <row r="495">
          <cell r="A495">
            <v>480101</v>
          </cell>
          <cell r="B495" t="str">
            <v>AUSTIN</v>
          </cell>
        </row>
        <row r="496">
          <cell r="A496">
            <v>480102</v>
          </cell>
          <cell r="B496" t="str">
            <v>AUSTIN NORTH</v>
          </cell>
        </row>
        <row r="497">
          <cell r="A497">
            <v>480103</v>
          </cell>
          <cell r="B497" t="str">
            <v>AUSTIN SOUTH</v>
          </cell>
        </row>
        <row r="498">
          <cell r="A498">
            <v>480201</v>
          </cell>
          <cell r="B498" t="str">
            <v>DALLAS/MARKET CENTER</v>
          </cell>
        </row>
        <row r="499">
          <cell r="A499">
            <v>480202</v>
          </cell>
          <cell r="B499" t="str">
            <v>IRVING NORTH</v>
          </cell>
        </row>
        <row r="500">
          <cell r="A500">
            <v>480203</v>
          </cell>
          <cell r="B500" t="str">
            <v>DALLAS NORTH</v>
          </cell>
        </row>
        <row r="501">
          <cell r="A501">
            <v>480204</v>
          </cell>
          <cell r="B501" t="str">
            <v>DALLAS NORTHWEST</v>
          </cell>
        </row>
        <row r="502">
          <cell r="A502">
            <v>480205</v>
          </cell>
          <cell r="B502" t="str">
            <v>DALLAS SOUTH-EAST</v>
          </cell>
        </row>
        <row r="503">
          <cell r="A503">
            <v>480206</v>
          </cell>
          <cell r="B503" t="str">
            <v>IRVING SOUTH/GRAND PRAIRE</v>
          </cell>
        </row>
        <row r="504">
          <cell r="A504">
            <v>480207</v>
          </cell>
          <cell r="B504" t="str">
            <v>DALLAS NORTH AREA</v>
          </cell>
        </row>
        <row r="505">
          <cell r="A505">
            <v>480208</v>
          </cell>
          <cell r="B505" t="str">
            <v>PLANO/RICHARDSON</v>
          </cell>
        </row>
        <row r="506">
          <cell r="A506">
            <v>480301</v>
          </cell>
          <cell r="B506" t="str">
            <v>FORT WORTH</v>
          </cell>
        </row>
        <row r="507">
          <cell r="A507">
            <v>480302</v>
          </cell>
          <cell r="B507" t="str">
            <v>ARLINGTON-EULESS</v>
          </cell>
        </row>
        <row r="508">
          <cell r="A508">
            <v>480401</v>
          </cell>
          <cell r="B508" t="str">
            <v>HOUSTON/SOUTH</v>
          </cell>
        </row>
        <row r="509">
          <cell r="A509">
            <v>480402</v>
          </cell>
          <cell r="B509" t="str">
            <v>HOUSTON EAST/NASA/BAYTOWN</v>
          </cell>
        </row>
        <row r="510">
          <cell r="A510">
            <v>480404</v>
          </cell>
          <cell r="B510" t="str">
            <v>HOUSTON SOUTHWEST</v>
          </cell>
        </row>
        <row r="511">
          <cell r="A511">
            <v>480405</v>
          </cell>
          <cell r="B511" t="str">
            <v>HOUSTON WEST</v>
          </cell>
        </row>
        <row r="512">
          <cell r="A512">
            <v>480406</v>
          </cell>
          <cell r="B512" t="str">
            <v>HOUSTON NORTHWEST</v>
          </cell>
        </row>
        <row r="513">
          <cell r="A513">
            <v>480407</v>
          </cell>
          <cell r="B513" t="str">
            <v>HOUSTON NORTH</v>
          </cell>
        </row>
        <row r="514">
          <cell r="A514">
            <v>480501</v>
          </cell>
          <cell r="B514" t="str">
            <v>SAN ANTONIO</v>
          </cell>
        </row>
        <row r="515">
          <cell r="A515">
            <v>480502</v>
          </cell>
          <cell r="B515" t="str">
            <v>SAN ANTONIO NORTHEAST</v>
          </cell>
        </row>
        <row r="516">
          <cell r="A516">
            <v>480503</v>
          </cell>
          <cell r="B516" t="str">
            <v>SAN ANTONIO NORTHWEST</v>
          </cell>
        </row>
        <row r="517">
          <cell r="A517">
            <v>480504</v>
          </cell>
          <cell r="B517" t="str">
            <v>SAN ANTONIO AIRPORT</v>
          </cell>
        </row>
        <row r="518">
          <cell r="A518">
            <v>480505</v>
          </cell>
          <cell r="B518" t="str">
            <v>SAN ANTONIO EAST</v>
          </cell>
        </row>
        <row r="519">
          <cell r="A519">
            <v>480601</v>
          </cell>
          <cell r="B519" t="str">
            <v>AMARILLO, TX</v>
          </cell>
        </row>
        <row r="520">
          <cell r="A520">
            <v>480602</v>
          </cell>
          <cell r="B520" t="str">
            <v>TEXAS NORTH AREA</v>
          </cell>
        </row>
        <row r="521">
          <cell r="A521">
            <v>480701</v>
          </cell>
          <cell r="B521" t="str">
            <v>BROWNSVILLE-HARLINGEN, TX</v>
          </cell>
        </row>
        <row r="522">
          <cell r="A522">
            <v>480702</v>
          </cell>
          <cell r="B522" t="str">
            <v>CORPUS CHRISTI, TX</v>
          </cell>
        </row>
        <row r="523">
          <cell r="A523">
            <v>480703</v>
          </cell>
          <cell r="B523" t="str">
            <v>MCALLEN, TX</v>
          </cell>
        </row>
        <row r="524">
          <cell r="A524">
            <v>480704</v>
          </cell>
          <cell r="B524" t="str">
            <v>TEXAS SOUTH AREA</v>
          </cell>
        </row>
        <row r="525">
          <cell r="A525">
            <v>480801</v>
          </cell>
          <cell r="B525" t="str">
            <v>EL PASO, TX</v>
          </cell>
        </row>
        <row r="526">
          <cell r="A526">
            <v>480802</v>
          </cell>
          <cell r="B526" t="str">
            <v>MIDLAND-ODESSA</v>
          </cell>
        </row>
        <row r="527">
          <cell r="A527">
            <v>480803</v>
          </cell>
          <cell r="B527" t="str">
            <v>TEXAS WEST AREA</v>
          </cell>
        </row>
        <row r="528">
          <cell r="A528">
            <v>480901</v>
          </cell>
          <cell r="B528" t="str">
            <v>ABILENE, TX</v>
          </cell>
        </row>
        <row r="529">
          <cell r="A529">
            <v>480902</v>
          </cell>
          <cell r="B529" t="str">
            <v>BEAUMONT-PORT ARTHUR, TX</v>
          </cell>
        </row>
        <row r="530">
          <cell r="A530">
            <v>480903</v>
          </cell>
          <cell r="B530" t="str">
            <v>BRYAN COLLEGE STATION, TX</v>
          </cell>
        </row>
        <row r="531">
          <cell r="A531">
            <v>480904</v>
          </cell>
          <cell r="B531" t="str">
            <v>GALVESTON-TEXAS CITY, TX</v>
          </cell>
        </row>
        <row r="532">
          <cell r="A532">
            <v>480905</v>
          </cell>
          <cell r="B532" t="str">
            <v>KILLEEN-TEMPLE, TX</v>
          </cell>
        </row>
        <row r="533">
          <cell r="A533">
            <v>480906</v>
          </cell>
          <cell r="B533" t="str">
            <v>LONGVIEW-MARSHALL, TX</v>
          </cell>
        </row>
        <row r="534">
          <cell r="A534">
            <v>480907</v>
          </cell>
          <cell r="B534" t="str">
            <v>WICHITA FALLS</v>
          </cell>
        </row>
        <row r="535">
          <cell r="A535">
            <v>480908</v>
          </cell>
          <cell r="B535" t="str">
            <v>TYLER, TX</v>
          </cell>
        </row>
        <row r="536">
          <cell r="A536">
            <v>480909</v>
          </cell>
          <cell r="B536" t="str">
            <v>TEXAS EAST AREA</v>
          </cell>
        </row>
        <row r="537">
          <cell r="A537">
            <v>490101</v>
          </cell>
          <cell r="B537" t="str">
            <v>SALT LAKE CITY SOUTH</v>
          </cell>
        </row>
        <row r="538">
          <cell r="A538">
            <v>490102</v>
          </cell>
          <cell r="B538" t="str">
            <v>SALT LAKE CITY</v>
          </cell>
        </row>
        <row r="539">
          <cell r="A539">
            <v>490103</v>
          </cell>
          <cell r="B539" t="str">
            <v>SALT LAKE CITY NORTH</v>
          </cell>
        </row>
        <row r="540">
          <cell r="A540">
            <v>490201</v>
          </cell>
          <cell r="B540" t="str">
            <v>I-15 CORRIDOR</v>
          </cell>
        </row>
        <row r="541">
          <cell r="A541">
            <v>490202</v>
          </cell>
          <cell r="B541" t="str">
            <v>UTAH EAST AREA</v>
          </cell>
        </row>
        <row r="542">
          <cell r="A542">
            <v>500201</v>
          </cell>
          <cell r="B542" t="str">
            <v>VERMONT NORTH</v>
          </cell>
        </row>
        <row r="543">
          <cell r="A543">
            <v>500202</v>
          </cell>
          <cell r="B543" t="str">
            <v>VERMONT SOUTH</v>
          </cell>
        </row>
        <row r="544">
          <cell r="A544">
            <v>510101</v>
          </cell>
          <cell r="B544" t="str">
            <v>WILLIAMSBURG</v>
          </cell>
        </row>
        <row r="545">
          <cell r="A545">
            <v>510102</v>
          </cell>
          <cell r="B545" t="str">
            <v>VIRGINIA BEACH CITY</v>
          </cell>
        </row>
        <row r="546">
          <cell r="A546">
            <v>510103</v>
          </cell>
          <cell r="B546" t="str">
            <v>NORFOLK CITY</v>
          </cell>
        </row>
        <row r="547">
          <cell r="A547">
            <v>510104</v>
          </cell>
          <cell r="B547" t="str">
            <v>NEWPORT NEWS/HAMPTON</v>
          </cell>
        </row>
        <row r="548">
          <cell r="A548">
            <v>510105</v>
          </cell>
          <cell r="B548" t="str">
            <v>CHEASAPEAKE/PORTSMOUTH</v>
          </cell>
        </row>
        <row r="549">
          <cell r="A549">
            <v>510201</v>
          </cell>
          <cell r="B549" t="str">
            <v>RICHMOND CITY</v>
          </cell>
        </row>
        <row r="550">
          <cell r="A550">
            <v>510202</v>
          </cell>
          <cell r="B550" t="str">
            <v>HENRICO</v>
          </cell>
        </row>
        <row r="551">
          <cell r="A551">
            <v>510203</v>
          </cell>
          <cell r="B551" t="str">
            <v>RICHMOND AREA</v>
          </cell>
        </row>
        <row r="552">
          <cell r="A552">
            <v>510301</v>
          </cell>
          <cell r="B552" t="str">
            <v>LEXINGTON-WINCHESTER</v>
          </cell>
        </row>
        <row r="553">
          <cell r="A553">
            <v>510302</v>
          </cell>
          <cell r="B553" t="str">
            <v>ROANOKE, VA</v>
          </cell>
        </row>
        <row r="554">
          <cell r="A554">
            <v>510303</v>
          </cell>
          <cell r="B554" t="str">
            <v>I-81/I-77 CROSSROADS</v>
          </cell>
        </row>
        <row r="555">
          <cell r="A555">
            <v>510401</v>
          </cell>
          <cell r="B555" t="str">
            <v>VIRGINIA NORTH</v>
          </cell>
        </row>
        <row r="556">
          <cell r="A556">
            <v>510402</v>
          </cell>
          <cell r="B556" t="str">
            <v>VIRGINIA SOUTH</v>
          </cell>
        </row>
        <row r="557">
          <cell r="A557">
            <v>510403</v>
          </cell>
          <cell r="B557" t="str">
            <v>CHARLOTTESVILLE, VA</v>
          </cell>
        </row>
        <row r="558">
          <cell r="A558">
            <v>530101</v>
          </cell>
          <cell r="B558" t="str">
            <v>SEATTLE AIRPORT</v>
          </cell>
        </row>
        <row r="559">
          <cell r="A559">
            <v>530102</v>
          </cell>
          <cell r="B559" t="str">
            <v>SEATTLE SOUTH &amp; EAST</v>
          </cell>
        </row>
        <row r="560">
          <cell r="A560">
            <v>530103</v>
          </cell>
          <cell r="B560" t="str">
            <v>SEATTLE</v>
          </cell>
        </row>
        <row r="561">
          <cell r="A561">
            <v>530104</v>
          </cell>
          <cell r="B561" t="str">
            <v>SEATTLE NORTH</v>
          </cell>
        </row>
        <row r="562">
          <cell r="A562">
            <v>530201</v>
          </cell>
          <cell r="B562" t="str">
            <v>SPOKANE, WA</v>
          </cell>
        </row>
        <row r="563">
          <cell r="A563">
            <v>530202</v>
          </cell>
          <cell r="B563" t="str">
            <v>WASHINGTON EAST AREA</v>
          </cell>
        </row>
        <row r="564">
          <cell r="A564">
            <v>530301</v>
          </cell>
          <cell r="B564" t="str">
            <v>TACOMA WA</v>
          </cell>
        </row>
        <row r="565">
          <cell r="A565">
            <v>530302</v>
          </cell>
          <cell r="B565" t="str">
            <v>WASHINGTON NORTHWEST AREA</v>
          </cell>
        </row>
        <row r="566">
          <cell r="A566">
            <v>530303</v>
          </cell>
          <cell r="B566" t="str">
            <v>WASHINGTON SOUTHWEST AREA</v>
          </cell>
        </row>
        <row r="567">
          <cell r="A567">
            <v>540101</v>
          </cell>
          <cell r="B567" t="str">
            <v>WEST VIRGINIA SOUTH</v>
          </cell>
        </row>
        <row r="568">
          <cell r="A568">
            <v>540102</v>
          </cell>
          <cell r="B568" t="str">
            <v>WEST VIRGINIA NORTH</v>
          </cell>
        </row>
        <row r="569">
          <cell r="A569">
            <v>550101</v>
          </cell>
          <cell r="B569" t="str">
            <v>MADISON, WI</v>
          </cell>
        </row>
        <row r="570">
          <cell r="A570">
            <v>550102</v>
          </cell>
          <cell r="B570" t="str">
            <v>LA CROSSE, WI</v>
          </cell>
        </row>
        <row r="571">
          <cell r="A571">
            <v>550103</v>
          </cell>
          <cell r="B571" t="str">
            <v>WISCONSIN SOUTH AREA</v>
          </cell>
        </row>
        <row r="572">
          <cell r="A572">
            <v>550201</v>
          </cell>
          <cell r="B572" t="str">
            <v>GREEN BAY, WI</v>
          </cell>
        </row>
        <row r="573">
          <cell r="A573">
            <v>550202</v>
          </cell>
          <cell r="B573" t="str">
            <v>WISCONSIN NORTH AREA</v>
          </cell>
        </row>
        <row r="574">
          <cell r="A574">
            <v>550203</v>
          </cell>
          <cell r="B574" t="str">
            <v>APPLETON/OSHKOSH/NEENAH</v>
          </cell>
        </row>
        <row r="575">
          <cell r="A575">
            <v>550301</v>
          </cell>
          <cell r="B575" t="str">
            <v>MILWAUKEE NORTH</v>
          </cell>
        </row>
        <row r="576">
          <cell r="A576">
            <v>550302</v>
          </cell>
          <cell r="B576" t="str">
            <v>MILWAUKEE</v>
          </cell>
        </row>
        <row r="577">
          <cell r="A577">
            <v>550303</v>
          </cell>
          <cell r="B577" t="str">
            <v>MILWAUKEE WEST-SOUTH</v>
          </cell>
        </row>
        <row r="578">
          <cell r="A578">
            <v>560101</v>
          </cell>
          <cell r="B578" t="str">
            <v>I-25 CORRIDOR</v>
          </cell>
        </row>
        <row r="579">
          <cell r="A579">
            <v>560102</v>
          </cell>
          <cell r="B579" t="str">
            <v>I-80 CORRIDOR</v>
          </cell>
        </row>
        <row r="580">
          <cell r="A580">
            <v>560103</v>
          </cell>
          <cell r="B580" t="str">
            <v>WYOMING AREA</v>
          </cell>
        </row>
      </sheetData>
      <sheetData sheetId="6" refreshError="1">
        <row r="2">
          <cell r="B2">
            <v>1</v>
          </cell>
          <cell r="C2" t="str">
            <v>URBAN</v>
          </cell>
          <cell r="E2">
            <v>1</v>
          </cell>
          <cell r="F2" t="str">
            <v>LOWER TIER</v>
          </cell>
        </row>
        <row r="3">
          <cell r="B3">
            <v>2</v>
          </cell>
          <cell r="C3" t="str">
            <v>SUBURBAN</v>
          </cell>
          <cell r="E3">
            <v>2</v>
          </cell>
          <cell r="F3" t="str">
            <v>MIDDLE TIER</v>
          </cell>
        </row>
        <row r="4">
          <cell r="B4">
            <v>3</v>
          </cell>
          <cell r="C4" t="str">
            <v>AIRPORT</v>
          </cell>
          <cell r="E4">
            <v>3</v>
          </cell>
          <cell r="F4" t="str">
            <v>UPPER TIER</v>
          </cell>
        </row>
        <row r="5">
          <cell r="B5">
            <v>4</v>
          </cell>
          <cell r="C5" t="str">
            <v>HIGHWAY</v>
          </cell>
        </row>
        <row r="6">
          <cell r="B6">
            <v>5</v>
          </cell>
          <cell r="C6" t="str">
            <v>RESORT</v>
          </cell>
        </row>
        <row r="10">
          <cell r="B10">
            <v>1</v>
          </cell>
          <cell r="C10" t="str">
            <v>CHAIN MANAGEMENT</v>
          </cell>
        </row>
        <row r="11">
          <cell r="B11">
            <v>2</v>
          </cell>
          <cell r="C11" t="str">
            <v>FRANCHISE</v>
          </cell>
        </row>
        <row r="12">
          <cell r="B12">
            <v>3</v>
          </cell>
          <cell r="C12" t="str">
            <v>INDEPENDENT</v>
          </cell>
        </row>
        <row r="13">
          <cell r="B13">
            <v>4</v>
          </cell>
          <cell r="C13" t="str">
            <v>LEASED</v>
          </cell>
        </row>
        <row r="14">
          <cell r="B14">
            <v>5</v>
          </cell>
          <cell r="C14" t="str">
            <v>OWNED</v>
          </cell>
        </row>
        <row r="19">
          <cell r="B19">
            <v>1</v>
          </cell>
          <cell r="C19" t="str">
            <v>LUXURY</v>
          </cell>
        </row>
        <row r="20">
          <cell r="B20">
            <v>2</v>
          </cell>
          <cell r="C20" t="str">
            <v>UPSCALE</v>
          </cell>
        </row>
        <row r="21">
          <cell r="B21">
            <v>3</v>
          </cell>
          <cell r="C21" t="str">
            <v>MIDPRICE</v>
          </cell>
        </row>
        <row r="22">
          <cell r="B22">
            <v>4</v>
          </cell>
          <cell r="C22" t="str">
            <v>ECONOMY</v>
          </cell>
        </row>
        <row r="23">
          <cell r="B23">
            <v>5</v>
          </cell>
          <cell r="C23" t="str">
            <v>BUDGET</v>
          </cell>
        </row>
        <row r="26">
          <cell r="B26">
            <v>1</v>
          </cell>
          <cell r="C26" t="str">
            <v>NEW ENGLAND</v>
          </cell>
        </row>
        <row r="27">
          <cell r="B27">
            <v>2</v>
          </cell>
          <cell r="C27" t="str">
            <v>MIDDLE ATLANTIC</v>
          </cell>
        </row>
        <row r="28">
          <cell r="B28">
            <v>3</v>
          </cell>
          <cell r="C28" t="str">
            <v>SOUTH ATLANTIC</v>
          </cell>
        </row>
        <row r="29">
          <cell r="B29">
            <v>4</v>
          </cell>
          <cell r="C29" t="str">
            <v>EAST NORTH CENTRAL</v>
          </cell>
        </row>
        <row r="30">
          <cell r="B30">
            <v>5</v>
          </cell>
          <cell r="C30" t="str">
            <v>EAST SOUTH CENTRAL</v>
          </cell>
        </row>
        <row r="31">
          <cell r="B31">
            <v>6</v>
          </cell>
          <cell r="C31" t="str">
            <v>WEST NORTH CENTRAL</v>
          </cell>
        </row>
        <row r="32">
          <cell r="B32">
            <v>7</v>
          </cell>
          <cell r="C32" t="str">
            <v>WEST SOUTH CENTRAL</v>
          </cell>
        </row>
        <row r="33">
          <cell r="B33">
            <v>8</v>
          </cell>
          <cell r="C33" t="str">
            <v>MOUNTAIN</v>
          </cell>
        </row>
        <row r="34">
          <cell r="B34">
            <v>9</v>
          </cell>
          <cell r="C34" t="str">
            <v>PACIFIC</v>
          </cell>
        </row>
        <row r="37">
          <cell r="B37">
            <v>1</v>
          </cell>
          <cell r="C37" t="str">
            <v>RESTAURANT</v>
          </cell>
        </row>
        <row r="38">
          <cell r="B38">
            <v>2</v>
          </cell>
          <cell r="C38" t="str">
            <v>NO RESTAURANT</v>
          </cell>
        </row>
        <row r="42">
          <cell r="B42">
            <v>1</v>
          </cell>
          <cell r="C42" t="str">
            <v>UPPER UPSCALE</v>
          </cell>
        </row>
        <row r="43">
          <cell r="B43">
            <v>2</v>
          </cell>
          <cell r="C43" t="str">
            <v>UPSCALE</v>
          </cell>
        </row>
        <row r="44">
          <cell r="B44">
            <v>3</v>
          </cell>
          <cell r="C44" t="str">
            <v>MIDSCALE W/ F&amp;B</v>
          </cell>
        </row>
        <row r="45">
          <cell r="B45">
            <v>4</v>
          </cell>
          <cell r="C45" t="str">
            <v>MIDSCALE W/O F&amp;B</v>
          </cell>
        </row>
        <row r="46">
          <cell r="B46">
            <v>5</v>
          </cell>
          <cell r="C46" t="str">
            <v>ECONOMY</v>
          </cell>
        </row>
        <row r="47">
          <cell r="B47">
            <v>6</v>
          </cell>
          <cell r="C47" t="str">
            <v>INDEPENDENTS</v>
          </cell>
        </row>
      </sheetData>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 2"/>
      <sheetName val="Chart 1-by Mkt Seg"/>
    </sheetNames>
    <sheetDataSet>
      <sheetData sheetId="0" refreshError="1">
        <row r="1">
          <cell r="A1" t="str">
            <v>1991–1995 HOTEL SALES SURVEY</v>
          </cell>
        </row>
        <row r="3">
          <cell r="B3">
            <v>1991</v>
          </cell>
          <cell r="E3">
            <v>1992</v>
          </cell>
          <cell r="H3">
            <v>1993</v>
          </cell>
          <cell r="K3">
            <v>1994</v>
          </cell>
          <cell r="N3">
            <v>1995</v>
          </cell>
        </row>
        <row r="4">
          <cell r="A4" t="str">
            <v>By Property Type</v>
          </cell>
          <cell r="B4" t="str">
            <v>Hotels Sold</v>
          </cell>
          <cell r="C4" t="str">
            <v>Avg. # of Rooms</v>
          </cell>
          <cell r="D4" t="str">
            <v>Avg. Selling Price per Room</v>
          </cell>
          <cell r="E4" t="str">
            <v>Hotels Sold</v>
          </cell>
          <cell r="F4" t="str">
            <v>Avg. # of Rooms</v>
          </cell>
          <cell r="G4" t="str">
            <v>Avg. Selling Price per Room</v>
          </cell>
          <cell r="H4" t="str">
            <v>Hotels Sold</v>
          </cell>
          <cell r="I4" t="str">
            <v>Avg. # of Rooms</v>
          </cell>
          <cell r="J4" t="str">
            <v>Avg. Selling Price per Room</v>
          </cell>
          <cell r="K4" t="str">
            <v>Hotels Sold</v>
          </cell>
          <cell r="L4" t="str">
            <v>Avg. # of Rooms</v>
          </cell>
          <cell r="M4" t="str">
            <v>Avg. Selling Price per Room</v>
          </cell>
          <cell r="N4" t="str">
            <v>Hotels Sold</v>
          </cell>
          <cell r="O4" t="str">
            <v>Avg. # of Rooms</v>
          </cell>
          <cell r="P4" t="str">
            <v>Avg. Selling Price per Room</v>
          </cell>
        </row>
        <row r="5">
          <cell r="A5" t="str">
            <v xml:space="preserve">Budget </v>
          </cell>
          <cell r="B5">
            <v>93</v>
          </cell>
          <cell r="C5">
            <v>66.924731182795696</v>
          </cell>
          <cell r="D5">
            <v>11561.897689588688</v>
          </cell>
          <cell r="E5">
            <v>68</v>
          </cell>
          <cell r="F5">
            <v>66.720588235294116</v>
          </cell>
          <cell r="G5">
            <v>9591.7474101829412</v>
          </cell>
          <cell r="H5">
            <v>66</v>
          </cell>
          <cell r="I5">
            <v>70.818181818181813</v>
          </cell>
          <cell r="J5">
            <v>13559.060975609756</v>
          </cell>
          <cell r="K5">
            <v>65</v>
          </cell>
          <cell r="L5">
            <v>52.876923076923077</v>
          </cell>
          <cell r="M5">
            <v>11495.479778876928</v>
          </cell>
          <cell r="N5">
            <v>46</v>
          </cell>
          <cell r="O5">
            <v>57</v>
          </cell>
          <cell r="P5">
            <v>11803.714721586575</v>
          </cell>
        </row>
        <row r="6">
          <cell r="A6" t="str">
            <v xml:space="preserve">Economy (Limited &amp; Full-Service) </v>
          </cell>
          <cell r="B6">
            <v>206</v>
          </cell>
          <cell r="C6">
            <v>114.27184466019418</v>
          </cell>
          <cell r="D6">
            <v>15149.749269753611</v>
          </cell>
          <cell r="E6">
            <v>185</v>
          </cell>
          <cell r="F6">
            <v>117.25405405405405</v>
          </cell>
          <cell r="G6">
            <v>16009.254195094965</v>
          </cell>
          <cell r="H6">
            <v>178</v>
          </cell>
          <cell r="I6">
            <v>128.3932584269663</v>
          </cell>
          <cell r="J6">
            <v>13856.455368863219</v>
          </cell>
          <cell r="K6">
            <v>140</v>
          </cell>
          <cell r="L6">
            <v>106.06428571428572</v>
          </cell>
          <cell r="M6">
            <v>16955.581992053336</v>
          </cell>
          <cell r="N6">
            <v>121</v>
          </cell>
          <cell r="O6">
            <v>108.10743801652893</v>
          </cell>
          <cell r="P6">
            <v>19540.321305710571</v>
          </cell>
        </row>
        <row r="7">
          <cell r="A7" t="str">
            <v xml:space="preserve">Mid-Market (Limited &amp; Full-Service) </v>
          </cell>
          <cell r="B7">
            <v>228</v>
          </cell>
          <cell r="C7">
            <v>102.30263157894737</v>
          </cell>
          <cell r="D7">
            <v>27524.501776205791</v>
          </cell>
          <cell r="E7">
            <v>231</v>
          </cell>
          <cell r="F7">
            <v>151.84415584415584</v>
          </cell>
          <cell r="G7">
            <v>26914.950079826664</v>
          </cell>
          <cell r="H7">
            <v>216</v>
          </cell>
          <cell r="I7">
            <v>139.88425925925927</v>
          </cell>
          <cell r="J7">
            <v>26867.909713718353</v>
          </cell>
          <cell r="K7">
            <v>256</v>
          </cell>
          <cell r="L7">
            <v>130.48828125</v>
          </cell>
          <cell r="M7">
            <v>33899.603861697353</v>
          </cell>
          <cell r="N7">
            <v>227</v>
          </cell>
          <cell r="O7">
            <v>134.10132158590309</v>
          </cell>
          <cell r="P7">
            <v>42152.112578430409</v>
          </cell>
        </row>
        <row r="8">
          <cell r="A8" t="str">
            <v xml:space="preserve">Upscale (First Class) </v>
          </cell>
          <cell r="B8">
            <v>50</v>
          </cell>
          <cell r="C8">
            <v>245.7</v>
          </cell>
          <cell r="D8">
            <v>49990.909157509159</v>
          </cell>
          <cell r="E8">
            <v>68</v>
          </cell>
          <cell r="F8">
            <v>284.5735294117647</v>
          </cell>
          <cell r="G8">
            <v>49126.066663221536</v>
          </cell>
          <cell r="H8">
            <v>60</v>
          </cell>
          <cell r="I8">
            <v>283.48333333333335</v>
          </cell>
          <cell r="J8">
            <v>44306.175789288027</v>
          </cell>
          <cell r="K8">
            <v>91</v>
          </cell>
          <cell r="L8">
            <v>306.61538461538464</v>
          </cell>
          <cell r="M8">
            <v>57942.824887104864</v>
          </cell>
          <cell r="N8">
            <v>123</v>
          </cell>
          <cell r="O8">
            <v>306.91869918699189</v>
          </cell>
          <cell r="P8">
            <v>65174.434902386689</v>
          </cell>
        </row>
        <row r="9">
          <cell r="A9" t="str">
            <v xml:space="preserve">Luxury </v>
          </cell>
          <cell r="B9">
            <v>16</v>
          </cell>
          <cell r="C9">
            <v>266.875</v>
          </cell>
          <cell r="D9">
            <v>152950.62412177987</v>
          </cell>
          <cell r="E9">
            <v>9</v>
          </cell>
          <cell r="F9">
            <v>282.33333333333331</v>
          </cell>
          <cell r="G9">
            <v>161846.51711924438</v>
          </cell>
          <cell r="H9">
            <v>9</v>
          </cell>
          <cell r="I9">
            <v>431.66666666666669</v>
          </cell>
          <cell r="J9">
            <v>160893.17889317891</v>
          </cell>
          <cell r="K9">
            <v>18</v>
          </cell>
          <cell r="L9">
            <v>326.83333333333331</v>
          </cell>
          <cell r="M9">
            <v>144753.52711201768</v>
          </cell>
          <cell r="N9">
            <v>14</v>
          </cell>
          <cell r="O9">
            <v>303.78571428571428</v>
          </cell>
          <cell r="P9">
            <v>176910.41617681636</v>
          </cell>
        </row>
        <row r="10">
          <cell r="A10" t="str">
            <v>Grand Total</v>
          </cell>
          <cell r="B10">
            <v>593</v>
          </cell>
          <cell r="C10">
            <v>117.44350758853288</v>
          </cell>
          <cell r="D10">
            <v>33568.330896559644</v>
          </cell>
          <cell r="E10">
            <v>561</v>
          </cell>
          <cell r="F10">
            <v>148.30124777183602</v>
          </cell>
          <cell r="G10">
            <v>32414.027008185392</v>
          </cell>
          <cell r="H10">
            <v>529</v>
          </cell>
          <cell r="I10">
            <v>148.65217391304347</v>
          </cell>
          <cell r="J10">
            <v>32688.659511425918</v>
          </cell>
          <cell r="K10">
            <v>570</v>
          </cell>
          <cell r="L10">
            <v>149.95789473684209</v>
          </cell>
          <cell r="M10">
            <v>45533.311900416491</v>
          </cell>
          <cell r="N10">
            <v>531</v>
          </cell>
          <cell r="O10">
            <v>166.00376647834275</v>
          </cell>
          <cell r="P10">
            <v>54255.443504106726</v>
          </cell>
        </row>
      </sheetData>
      <sheetData sheetId="1"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ces"/>
      <sheetName val="Major v. River v. Equip."/>
      <sheetName val="LgCapEBITDA"/>
      <sheetName val="SmCapEBITDA"/>
      <sheetName val="SupplyEBITDA"/>
      <sheetName val="LgCapEPS"/>
      <sheetName val="SmCapEPS"/>
      <sheetName val="SupplyEPS"/>
      <sheetName val="LodgingEBITDA"/>
      <sheetName val="LodgingEPS"/>
      <sheetName val="LargerCap Gaming Stock Val 2001"/>
      <sheetName val="LargerCap Gaming Stock Val 2002"/>
      <sheetName val="Smaller Cap Gaming Stock Val"/>
      <sheetName val="Lodging Stock Val."/>
      <sheetName val="Universe Table"/>
      <sheetName val="Universe Table Gaming only"/>
      <sheetName val="Universe Table Lodging Only"/>
      <sheetName val="CruiseEBITDA"/>
      <sheetName val="CruiseEPS"/>
      <sheetName val="Industry (2)"/>
      <sheetName val="Industry"/>
      <sheetName val="Lodging Returns ppt"/>
      <sheetName val="pbos"/>
      <sheetName val="Major v. River"/>
      <sheetName val="Major v. Equipment"/>
      <sheetName val="EBITDA Growth"/>
      <sheetName val="LV REt"/>
      <sheetName val="River Ret"/>
      <sheetName val="Demographics"/>
      <sheetName val="Leisure"/>
      <sheetName val="States"/>
      <sheetName val="nongame"/>
      <sheetName val="nongame2"/>
      <sheetName val="Room Margin"/>
      <sheetName val="Hyp Casino"/>
      <sheetName val="lv gates"/>
      <sheetName val="potential"/>
      <sheetName val="LV Detail $1 Mil"/>
      <sheetName val="Room Mrgn 95"/>
      <sheetName val="ACcap2"/>
      <sheetName val="ACcap"/>
      <sheetName val="LVCap"/>
      <sheetName val="LVCap2"/>
      <sheetName val="LVrooms"/>
      <sheetName val="LV Investment"/>
      <sheetName val="disclosure"/>
      <sheetName val="disclosure inpres"/>
      <sheetName val="EBITDA Mix"/>
      <sheetName val="Free Cash Flow"/>
      <sheetName val="Tougher Comps in 01 "/>
      <sheetName val="Lodging Historical Returns"/>
      <sheetName val="Lodging Recent Price Trends"/>
      <sheetName val="Daily Closes"/>
      <sheetName val="Lodging PE Multiples"/>
      <sheetName val="Lodging EBITDA Multiples"/>
      <sheetName val="Lodging Stock Valuation"/>
      <sheetName val="Cash EPS, PE Multiples"/>
      <sheetName val="ABN EPS Est. V First Call"/>
      <sheetName val="THE LINK FOR ALL"/>
      <sheetName val="Worksheet Cash EPS, P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refreshError="1">
        <row r="6">
          <cell r="G6" t="str">
            <v xml:space="preserve"> </v>
          </cell>
        </row>
        <row r="28">
          <cell r="G28">
            <v>175</v>
          </cell>
        </row>
        <row r="42">
          <cell r="B42" t="str">
            <v xml:space="preserve"> </v>
          </cell>
        </row>
      </sheetData>
      <sheetData sheetId="59"/>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Sheet"/>
      <sheetName val="Valuation"/>
      <sheetName val="Revenue Model"/>
      <sheetName val="Alliance Boots"/>
      <sheetName val="Monthly Sales"/>
      <sheetName val="New RAD model"/>
      <sheetName val="RAD model old"/>
      <sheetName val="RAD accretion old"/>
      <sheetName val="Qtrly SSS"/>
      <sheetName val="IS Assumptions"/>
      <sheetName val="Quarterly"/>
      <sheetName val="GPSVAL7-154138-1774"/>
      <sheetName val="Annual"/>
      <sheetName val="Balance Sheet"/>
      <sheetName val="Cash Flow"/>
      <sheetName val="Free Cash Flow"/>
      <sheetName val="NWI"/>
      <sheetName val="BS Inputs"/>
      <sheetName val="Debt Schedule"/>
      <sheetName val="GPS7 - WBA US"/>
      <sheetName val="GPSVAL7-154138-171"/>
      <sheetName val="GPSVAL7-154138-2431"/>
      <sheetName val="GPSVAL7-154138-1493"/>
      <sheetName val="GPSVAL-WAG-GPS6NR"/>
    </sheetNames>
    <definedNames>
      <definedName name="Choices_Wrapper" sheetId="6"/>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AMETEK"/>
      <sheetName val="AME cash flow"/>
      <sheetName val="AMEBS"/>
      <sheetName val="AME Units"/>
      <sheetName val="AME Units Q"/>
      <sheetName val="Acquisitions"/>
      <sheetName val="AME-MULT"/>
      <sheetName val="Hedge Clause"/>
      <sheetName val="UPDATE"/>
    </sheetNames>
    <sheetDataSet>
      <sheetData sheetId="0" refreshError="1"/>
      <sheetData sheetId="1" refreshError="1">
        <row r="2">
          <cell r="A2" t="str">
            <v>Ametek, Inc.</v>
          </cell>
        </row>
        <row r="4">
          <cell r="A4" t="str">
            <v>Harriet C. Baldwin,CFA  (212) 469-8157  harriet.baldwin@db.com</v>
          </cell>
        </row>
        <row r="5">
          <cell r="A5" t="str">
            <v>Deutsche Bank Securities Multi-Industry Team</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Lookups"/>
      <sheetName val="Q2 99 Projects"/>
      <sheetName val="Pivots"/>
      <sheetName val="LE Brand Chart"/>
      <sheetName val="All Cat"/>
      <sheetName val="1996 8/15/96"/>
      <sheetName val="1995 8/15/96"/>
      <sheetName val="Master"/>
    </sheetNames>
    <sheetDataSet>
      <sheetData sheetId="0"/>
      <sheetData sheetId="1"/>
      <sheetData sheetId="2"/>
      <sheetData sheetId="3"/>
      <sheetData sheetId="4"/>
      <sheetData sheetId="5"/>
      <sheetData sheetId="6" refreshError="1"/>
      <sheetData sheetId="7" refreshError="1"/>
      <sheetData sheetId="8"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Consolidated"/>
      <sheetName val="DLJ"/>
      <sheetName val="Alliance"/>
      <sheetName val="Life Insurance"/>
      <sheetName val="Premiums"/>
      <sheetName val="Segments"/>
      <sheetName val="Partnerships"/>
      <sheetName val="AMA"/>
      <sheetName val="Macro1"/>
      <sheetName val="Mod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uation"/>
      <sheetName val="P&amp;L"/>
      <sheetName val="2000 Revenue Worksheet"/>
      <sheetName val="Stats"/>
      <sheetName val="DCF Output"/>
      <sheetName val="DCF Calculations"/>
      <sheetName val="DCF Calculations II"/>
      <sheetName val="Historical Balance Sheet"/>
      <sheetName val="Sheet1"/>
      <sheetName val="Misc calculations"/>
      <sheetName val="Pipeline Projects"/>
      <sheetName val="List of Open Props"/>
      <sheetName val="Present Pie"/>
      <sheetName val="Build Out Pie"/>
      <sheetName val="N.America Now Pie"/>
      <sheetName val="Chart4"/>
      <sheetName val="Openings Timeline"/>
      <sheetName val="NOTES"/>
      <sheetName val="xxx"/>
      <sheetName val="Currency Conversion Pa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4">
          <cell r="B4">
            <v>1.5</v>
          </cell>
        </row>
      </sheetData>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rrency Conversion Page"/>
      <sheetName val="Valuation"/>
      <sheetName val="DCF Output"/>
      <sheetName val="Sheet5"/>
      <sheetName val="DCF Calculations"/>
      <sheetName val="P&amp;L"/>
      <sheetName val="2000 Revenue Worksheet"/>
      <sheetName val="Stats"/>
      <sheetName val="Managed Properties"/>
      <sheetName val="Sheet1"/>
      <sheetName val="Pipeline Projects"/>
      <sheetName val="Sheet3"/>
      <sheetName val="NOTES"/>
      <sheetName val="Sheet2"/>
      <sheetName val="DCF"/>
    </sheetNames>
    <sheetDataSet>
      <sheetData sheetId="0" refreshError="1">
        <row r="16">
          <cell r="B16">
            <v>1.5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VS Q"/>
      <sheetName val="CVS LT"/>
      <sheetName val="ARBR"/>
      <sheetName val="Monthly_Sales_RXR_Arbor_Rstated"/>
      <sheetName val="FE Comp"/>
      <sheetName val="CVS LT (2)"/>
      <sheetName val="CVS Q (3)"/>
      <sheetName val="CVS Q (2)"/>
      <sheetName val="Best2000"/>
      <sheetName val="Annual Results"/>
      <sheetName val="CO1"/>
      <sheetName val="Sheet1"/>
      <sheetName val="sss"/>
      <sheetName val="Capitalization"/>
      <sheetName val="PTCs 2027"/>
      <sheetName val="Map"/>
      <sheetName val="conf"/>
      <sheetName val="other"/>
      <sheetName val="Sale leaseback"/>
      <sheetName val="segment"/>
      <sheetName val="CVS + ABS"/>
    </sheetNames>
    <sheetDataSet>
      <sheetData sheetId="0" refreshError="1">
        <row r="93">
          <cell r="Y93">
            <v>12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COMPLink"/>
      <sheetName val="Guidance-Old"/>
      <sheetName val="Buyback"/>
      <sheetName val="bad debt allowance"/>
      <sheetName val="Guidance"/>
      <sheetName val="XPT-VAR"/>
      <sheetName val="Tricare"/>
      <sheetName val="HUM"/>
      <sheetName val="SPRY Datasheet"/>
      <sheetName val="Capital"/>
      <sheetName val="Reserve analysis"/>
      <sheetName val="DataDoc"/>
      <sheetName val="Segment Exhibit"/>
      <sheetName val="Enroll Chart"/>
      <sheetName val="Enroll Table"/>
      <sheetName val="1999-2001 Reserves"/>
      <sheetName val="4Q01 BS Chg"/>
      <sheetName val="3Q01 Rpt Change"/>
      <sheetName val="-- END OF ACTIVE SHEETS --"/>
      <sheetName val="Savings"/>
      <sheetName val="Xpect Earn"/>
      <sheetName val="Trend"/>
      <sheetName val="Notes"/>
      <sheetName val="YieldCost"/>
      <sheetName val="Segment"/>
      <sheetName val="FCN data"/>
      <sheetName val="GW"/>
      <sheetName val="Charges"/>
      <sheetName val="Chart"/>
      <sheetName val="Exhibits"/>
      <sheetName val="RBC"/>
    </sheetNames>
    <sheetDataSet>
      <sheetData sheetId="0"/>
      <sheetData sheetId="1"/>
      <sheetData sheetId="2"/>
      <sheetData sheetId="3"/>
      <sheetData sheetId="4"/>
      <sheetData sheetId="5"/>
      <sheetData sheetId="6"/>
      <sheetData sheetId="7" refreshError="1"/>
      <sheetData sheetId="8"/>
      <sheetData sheetId="9"/>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sheetName val="S&amp;U Outputs"/>
      <sheetName val="Case Summary"/>
      <sheetName val="Returns - Sale"/>
      <sheetName val="Mav P&amp;L"/>
      <sheetName val="WF"/>
      <sheetName val="Top Contracts"/>
      <sheetName val="Adj. Historical WF"/>
      <sheetName val="FY19A QoE Push Up"/>
      <sheetName val="FY19A QoE Table"/>
      <sheetName val="FY19 Reported"/>
      <sheetName val="FY20 Update"/>
      <sheetName val="WF Cases"/>
      <sheetName val="QoE"/>
      <sheetName val="DHQ"/>
      <sheetName val="PSA Deducts"/>
      <sheetName val="Reserves"/>
      <sheetName val="19-20 Bridge"/>
      <sheetName val="CIQ_LinkingNames"/>
      <sheetName val="Owned Rev"/>
      <sheetName val="Mav Build Cover"/>
      <sheetName val="ECF vs CNI"/>
      <sheetName val="Case Comparison"/>
      <sheetName val="Dyn Build Cover"/>
      <sheetName val="Dyn-PAE P&amp;L"/>
      <sheetName val="IAP Build Cover"/>
      <sheetName val="IAP-PAE P&amp;L"/>
      <sheetName val="Outputs &gt;&gt;"/>
      <sheetName val="Mix"/>
      <sheetName val="SG&amp;A Reduction"/>
      <sheetName val="FY19 SBU P&amp;L"/>
      <sheetName val="Inputs &gt;&gt;"/>
      <sheetName val="DDL"/>
      <sheetName val="BS"/>
      <sheetName val="Rec"/>
      <sheetName val="QE"/>
      <sheetName val="FY19 QoE"/>
      <sheetName val="Buy-side QE"/>
      <sheetName val="FY19 Quarterly"/>
      <sheetName val="DataTable"/>
      <sheetName val="JV Model"/>
      <sheetName val="NCI"/>
      <sheetName val="New Business (Active)"/>
      <sheetName val="Management Financial Inputs"/>
      <sheetName val="Outputs"/>
      <sheetName val="Print Data"/>
      <sheetName val="WDA Existing &amp; Recompete"/>
      <sheetName val="UK"/>
      <sheetName val="WDA JV"/>
      <sheetName val="WDA Identified NB"/>
      <sheetName val="NE Analysis"/>
      <sheetName val="JPM P-Wins"/>
      <sheetName val="WDA Unidentified NB"/>
      <sheetName val="Historical Fin Exhibit"/>
      <sheetName val="QoE Push Down"/>
      <sheetName val="Missing"/>
      <sheetName val="LIBOR"/>
      <sheetName val="Returns - IP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2">
          <cell r="D2" t="str">
            <v>Column</v>
          </cell>
          <cell r="E2">
            <v>2</v>
          </cell>
          <cell r="F2">
            <v>3</v>
          </cell>
          <cell r="G2">
            <v>4</v>
          </cell>
          <cell r="H2">
            <v>5</v>
          </cell>
          <cell r="I2">
            <v>6</v>
          </cell>
          <cell r="J2">
            <v>7</v>
          </cell>
          <cell r="K2">
            <v>8</v>
          </cell>
          <cell r="L2">
            <v>9</v>
          </cell>
          <cell r="M2">
            <v>10</v>
          </cell>
          <cell r="N2">
            <v>11</v>
          </cell>
          <cell r="O2">
            <v>12</v>
          </cell>
          <cell r="P2">
            <v>13</v>
          </cell>
          <cell r="Q2">
            <v>14</v>
          </cell>
          <cell r="R2">
            <v>15</v>
          </cell>
          <cell r="S2">
            <v>16</v>
          </cell>
          <cell r="U2">
            <v>18</v>
          </cell>
          <cell r="V2">
            <v>19</v>
          </cell>
          <cell r="W2">
            <v>20</v>
          </cell>
          <cell r="X2">
            <v>21</v>
          </cell>
          <cell r="Y2">
            <v>22</v>
          </cell>
          <cell r="Z2">
            <v>23</v>
          </cell>
          <cell r="AA2">
            <v>24</v>
          </cell>
          <cell r="AB2">
            <v>25</v>
          </cell>
          <cell r="AC2">
            <v>26</v>
          </cell>
          <cell r="AD2">
            <v>27</v>
          </cell>
          <cell r="AI2">
            <v>32</v>
          </cell>
          <cell r="AJ2">
            <v>33</v>
          </cell>
          <cell r="AK2">
            <v>34</v>
          </cell>
          <cell r="AP2">
            <v>39</v>
          </cell>
          <cell r="AQ2">
            <v>40</v>
          </cell>
          <cell r="AR2">
            <v>41</v>
          </cell>
          <cell r="AS2">
            <v>42</v>
          </cell>
          <cell r="AX2">
            <v>47</v>
          </cell>
          <cell r="AY2">
            <v>48</v>
          </cell>
          <cell r="AZ2">
            <v>49</v>
          </cell>
          <cell r="BA2">
            <v>50</v>
          </cell>
          <cell r="BB2">
            <v>51</v>
          </cell>
          <cell r="BC2">
            <v>52</v>
          </cell>
          <cell r="BD2">
            <v>53</v>
          </cell>
          <cell r="BE2">
            <v>54</v>
          </cell>
          <cell r="BI2">
            <v>58</v>
          </cell>
          <cell r="BJ2">
            <v>59</v>
          </cell>
          <cell r="BK2">
            <v>60</v>
          </cell>
          <cell r="BL2">
            <v>61</v>
          </cell>
          <cell r="BM2">
            <v>62</v>
          </cell>
          <cell r="BN2">
            <v>63</v>
          </cell>
          <cell r="BO2">
            <v>64</v>
          </cell>
          <cell r="BP2">
            <v>65</v>
          </cell>
          <cell r="BQ2">
            <v>66</v>
          </cell>
          <cell r="BR2">
            <v>67</v>
          </cell>
        </row>
        <row r="3">
          <cell r="D3" t="str">
            <v>New Bus</v>
          </cell>
          <cell r="BM3">
            <v>0</v>
          </cell>
          <cell r="BN3">
            <v>1</v>
          </cell>
          <cell r="BO3">
            <v>2</v>
          </cell>
          <cell r="BP3">
            <v>3</v>
          </cell>
          <cell r="BQ3">
            <v>4</v>
          </cell>
        </row>
        <row r="4">
          <cell r="D4" t="str">
            <v>JV Model</v>
          </cell>
          <cell r="H4">
            <v>2</v>
          </cell>
          <cell r="I4">
            <v>6</v>
          </cell>
          <cell r="J4">
            <v>7</v>
          </cell>
          <cell r="K4">
            <v>8</v>
          </cell>
          <cell r="O4">
            <v>10</v>
          </cell>
          <cell r="P4">
            <v>11</v>
          </cell>
          <cell r="Q4">
            <v>4</v>
          </cell>
          <cell r="R4">
            <v>9</v>
          </cell>
          <cell r="T4">
            <v>5</v>
          </cell>
          <cell r="W4">
            <v>20</v>
          </cell>
          <cell r="X4">
            <v>21</v>
          </cell>
          <cell r="Y4">
            <v>24</v>
          </cell>
          <cell r="Z4">
            <v>23</v>
          </cell>
          <cell r="AA4">
            <v>12</v>
          </cell>
          <cell r="AB4">
            <v>13</v>
          </cell>
          <cell r="AC4">
            <v>14</v>
          </cell>
          <cell r="AD4">
            <v>15</v>
          </cell>
          <cell r="BI4">
            <v>0</v>
          </cell>
          <cell r="BJ4">
            <v>1</v>
          </cell>
          <cell r="BK4">
            <v>2</v>
          </cell>
          <cell r="BL4">
            <v>3</v>
          </cell>
          <cell r="BM4">
            <v>4</v>
          </cell>
          <cell r="BN4">
            <v>5</v>
          </cell>
          <cell r="BO4">
            <v>6</v>
          </cell>
          <cell r="BP4">
            <v>7</v>
          </cell>
          <cell r="BQ4">
            <v>8</v>
          </cell>
        </row>
        <row r="6">
          <cell r="D6" t="str">
            <v>LG Column Match Codes:</v>
          </cell>
          <cell r="H6" t="str">
            <v>Entity Name</v>
          </cell>
          <cell r="L6" t="str">
            <v>Summary Agency</v>
          </cell>
          <cell r="N6" t="str">
            <v>Summary Location</v>
          </cell>
          <cell r="O6" t="str">
            <v>Beg. Date</v>
          </cell>
          <cell r="P6" t="str">
            <v>End Date</v>
          </cell>
          <cell r="Q6" t="str">
            <v>Prime / Sub</v>
          </cell>
          <cell r="R6" t="str">
            <v>Contract Type</v>
          </cell>
          <cell r="S6" t="str">
            <v>JV?</v>
          </cell>
          <cell r="T6" t="str">
            <v>Consolidated?</v>
          </cell>
          <cell r="Y6" t="str">
            <v>P-Win</v>
          </cell>
          <cell r="Z6" t="str">
            <v>Pipeline</v>
          </cell>
          <cell r="AD6" t="str">
            <v>Backlog</v>
          </cell>
          <cell r="AE6" t="str">
            <v>Rev % FY17</v>
          </cell>
          <cell r="AF6" t="str">
            <v>Rev % FY18</v>
          </cell>
          <cell r="AG6" t="str">
            <v>Rev % FY19</v>
          </cell>
          <cell r="AH6" t="str">
            <v>Rev % FY20</v>
          </cell>
          <cell r="AI6" t="str">
            <v>Rev % FY21</v>
          </cell>
          <cell r="AJ6" t="str">
            <v>Rev % FY22</v>
          </cell>
          <cell r="AK6" t="str">
            <v>Rev % FY23</v>
          </cell>
          <cell r="AL6" t="str">
            <v>GM % FY16</v>
          </cell>
          <cell r="AM6" t="str">
            <v>GM % FY17</v>
          </cell>
          <cell r="AN6" t="str">
            <v>GM % FY18</v>
          </cell>
          <cell r="AO6" t="str">
            <v>GM % FY19</v>
          </cell>
          <cell r="AP6" t="str">
            <v>GM % FY20</v>
          </cell>
          <cell r="AQ6" t="str">
            <v>GM % FY21</v>
          </cell>
          <cell r="AR6" t="str">
            <v>GM % FY22</v>
          </cell>
          <cell r="AS6" t="str">
            <v>GM % FY23</v>
          </cell>
          <cell r="AT6" t="str">
            <v>EBITA % FY16</v>
          </cell>
          <cell r="AU6" t="str">
            <v>EBITA % FY17</v>
          </cell>
          <cell r="AV6" t="str">
            <v>EBITA % FY18</v>
          </cell>
          <cell r="AW6" t="str">
            <v>EBITA % FY19</v>
          </cell>
          <cell r="AX6" t="str">
            <v>EBITA % FY20</v>
          </cell>
          <cell r="AY6" t="str">
            <v>EBITA % FY21</v>
          </cell>
          <cell r="AZ6" t="str">
            <v>EBITA % FY22</v>
          </cell>
          <cell r="BA6" t="str">
            <v>EBITA % FY23</v>
          </cell>
          <cell r="BB6" t="str">
            <v>Burn</v>
          </cell>
          <cell r="BF6" t="str">
            <v>FY16</v>
          </cell>
          <cell r="BG6" t="str">
            <v>FY17</v>
          </cell>
          <cell r="BH6" t="str">
            <v>FY18</v>
          </cell>
          <cell r="BM6" t="str">
            <v>FY19</v>
          </cell>
          <cell r="BN6" t="str">
            <v>FY20</v>
          </cell>
          <cell r="BO6" t="str">
            <v>FY21</v>
          </cell>
          <cell r="BP6" t="str">
            <v>FY22</v>
          </cell>
          <cell r="BQ6" t="str">
            <v>FY23</v>
          </cell>
        </row>
        <row r="7">
          <cell r="D7" t="str">
            <v>Project Maverick</v>
          </cell>
          <cell r="BT7">
            <v>22.68193327221886</v>
          </cell>
        </row>
        <row r="8">
          <cell r="D8" t="str">
            <v>DataTable</v>
          </cell>
          <cell r="BG8" t="str">
            <v>FY16 by SBU</v>
          </cell>
          <cell r="BT8">
            <v>3.2979582922188597</v>
          </cell>
        </row>
        <row r="9">
          <cell r="BG9" t="str">
            <v>MR</v>
          </cell>
          <cell r="BH9">
            <v>83.990121620000025</v>
          </cell>
          <cell r="BI9">
            <v>3217564934.753983</v>
          </cell>
        </row>
        <row r="10">
          <cell r="BG10" t="str">
            <v>IS4</v>
          </cell>
          <cell r="BH10">
            <v>40.141594520000012</v>
          </cell>
        </row>
        <row r="11">
          <cell r="BG11" t="str">
            <v>NE</v>
          </cell>
          <cell r="BH11">
            <v>98.668629913370978</v>
          </cell>
        </row>
        <row r="12">
          <cell r="AC12" t="str">
            <v>Backlog</v>
          </cell>
          <cell r="AD12">
            <v>20598.512523214747</v>
          </cell>
          <cell r="BG12" t="str">
            <v>COMG</v>
          </cell>
          <cell r="BH12">
            <v>5.5930718068189957</v>
          </cell>
          <cell r="BM12">
            <v>43738</v>
          </cell>
          <cell r="BN12">
            <v>44104</v>
          </cell>
          <cell r="BO12">
            <v>44469</v>
          </cell>
          <cell r="BP12">
            <v>44834</v>
          </cell>
          <cell r="BQ12">
            <v>45199</v>
          </cell>
          <cell r="BV12" t="str">
            <v>JV Build</v>
          </cell>
          <cell r="BX12" t="str">
            <v>New Business</v>
          </cell>
        </row>
        <row r="13">
          <cell r="K13" t="str">
            <v>Customer Data</v>
          </cell>
          <cell r="W13" t="str">
            <v>Pipeline Factors</v>
          </cell>
          <cell r="AA13" t="str">
            <v>Backlog / MODs &amp; TOs</v>
          </cell>
          <cell r="AE13" t="str">
            <v>YoY Rev Growth %</v>
          </cell>
          <cell r="AL13" t="str">
            <v>GM%</v>
          </cell>
          <cell r="AT13" t="str">
            <v>EBITA %</v>
          </cell>
          <cell r="BB13" t="str">
            <v>Annual Revenue Burn</v>
          </cell>
          <cell r="BI13" t="str">
            <v>FY19</v>
          </cell>
        </row>
        <row r="14">
          <cell r="D14" t="str">
            <v>#</v>
          </cell>
          <cell r="E14" t="str">
            <v>IS Category</v>
          </cell>
          <cell r="F14" t="str">
            <v>Type</v>
          </cell>
          <cell r="G14" t="str">
            <v>Entity</v>
          </cell>
          <cell r="H14" t="str">
            <v>Entity Name</v>
          </cell>
          <cell r="I14" t="str">
            <v>SBU</v>
          </cell>
          <cell r="J14" t="str">
            <v>SBU Sector</v>
          </cell>
          <cell r="K14" t="str">
            <v>Agency</v>
          </cell>
          <cell r="L14" t="str">
            <v>Summary Agency</v>
          </cell>
          <cell r="M14" t="str">
            <v>Location</v>
          </cell>
          <cell r="N14" t="str">
            <v>Summary Location</v>
          </cell>
          <cell r="O14" t="str">
            <v>Beg. Date</v>
          </cell>
          <cell r="P14" t="str">
            <v>End Date</v>
          </cell>
          <cell r="Q14" t="str">
            <v>Prime / Sub</v>
          </cell>
          <cell r="R14" t="str">
            <v>Contract Type</v>
          </cell>
          <cell r="S14" t="str">
            <v>JV?</v>
          </cell>
          <cell r="T14" t="str">
            <v>Consolidated?</v>
          </cell>
          <cell r="U14" t="str">
            <v>Category</v>
          </cell>
          <cell r="V14" t="str">
            <v>Revenue Type</v>
          </cell>
          <cell r="W14" t="str">
            <v>Stage</v>
          </cell>
          <cell r="X14" t="str">
            <v>Priority</v>
          </cell>
          <cell r="Y14" t="str">
            <v xml:space="preserve">PWIN </v>
          </cell>
          <cell r="Z14" t="str">
            <v>Contract Value</v>
          </cell>
          <cell r="AA14" t="str">
            <v>Contracted (Q4'19)</v>
          </cell>
          <cell r="AB14" t="str">
            <v>Awarded (Q4'19)</v>
          </cell>
          <cell r="AC14" t="str">
            <v>Mods/TOs</v>
          </cell>
          <cell r="AD14" t="str">
            <v>Total</v>
          </cell>
          <cell r="AE14" t="str">
            <v>Rev % FY17</v>
          </cell>
          <cell r="AF14" t="str">
            <v>Rev % FY18</v>
          </cell>
          <cell r="AG14" t="str">
            <v>Rev % FY19</v>
          </cell>
          <cell r="AH14" t="str">
            <v>Rev % FY20</v>
          </cell>
          <cell r="AI14" t="str">
            <v>Rev % FY21</v>
          </cell>
          <cell r="AJ14" t="str">
            <v>Rev % FY22</v>
          </cell>
          <cell r="AK14" t="str">
            <v>Rev % FY23</v>
          </cell>
          <cell r="AL14" t="str">
            <v>GM % FY16</v>
          </cell>
          <cell r="AM14" t="str">
            <v>GM % FY17</v>
          </cell>
          <cell r="AN14" t="str">
            <v>GM % FY18</v>
          </cell>
          <cell r="AO14" t="str">
            <v>GM % FY19</v>
          </cell>
          <cell r="AP14" t="str">
            <v>GM % FY20</v>
          </cell>
          <cell r="AQ14" t="str">
            <v>GM % FY21</v>
          </cell>
          <cell r="AR14" t="str">
            <v>GM % FY22</v>
          </cell>
          <cell r="AS14" t="str">
            <v>GM % FY23</v>
          </cell>
          <cell r="AT14" t="str">
            <v>EBITA % FY16</v>
          </cell>
          <cell r="AU14" t="str">
            <v>EBITA % FY17</v>
          </cell>
          <cell r="AV14" t="str">
            <v>EBITA % FY18</v>
          </cell>
          <cell r="AW14" t="str">
            <v>EBITA % FY19</v>
          </cell>
          <cell r="AX14" t="str">
            <v>EBITA % FY20</v>
          </cell>
          <cell r="AY14" t="str">
            <v>EBITA % FY21</v>
          </cell>
          <cell r="AZ14" t="str">
            <v>EBITA % FY22</v>
          </cell>
          <cell r="BA14" t="str">
            <v>EBITA % FY23</v>
          </cell>
          <cell r="BB14" t="str">
            <v>Initial Burn</v>
          </cell>
          <cell r="BC14" t="str">
            <v>Burn FY21</v>
          </cell>
          <cell r="BD14" t="str">
            <v>Burn FY22</v>
          </cell>
          <cell r="BE14" t="str">
            <v>Burn FY23</v>
          </cell>
          <cell r="BF14" t="str">
            <v>FY16</v>
          </cell>
          <cell r="BG14" t="str">
            <v>FY17</v>
          </cell>
          <cell r="BH14" t="str">
            <v>FY18</v>
          </cell>
          <cell r="BI14" t="str">
            <v>FY19 Q1</v>
          </cell>
          <cell r="BJ14" t="str">
            <v>FY19 Q2</v>
          </cell>
          <cell r="BK14" t="str">
            <v>FY19 Q3</v>
          </cell>
          <cell r="BL14" t="str">
            <v>FY19 Q4</v>
          </cell>
          <cell r="BM14" t="str">
            <v>FY19</v>
          </cell>
          <cell r="BN14" t="str">
            <v>FY20</v>
          </cell>
          <cell r="BO14" t="str">
            <v>FY21</v>
          </cell>
          <cell r="BP14" t="str">
            <v>FY22</v>
          </cell>
          <cell r="BQ14" t="str">
            <v>FY23</v>
          </cell>
          <cell r="BR14" t="str">
            <v>FY19-FY23</v>
          </cell>
          <cell r="BT14" t="str">
            <v>Top Program?</v>
          </cell>
          <cell r="BV14" t="str">
            <v>Row</v>
          </cell>
          <cell r="BW14" t="str">
            <v>Column</v>
          </cell>
          <cell r="BX14" t="str">
            <v>Row</v>
          </cell>
          <cell r="BY14" t="str">
            <v>Column</v>
          </cell>
          <cell r="CA14" t="str">
            <v>DataTable Code</v>
          </cell>
          <cell r="CC14" t="str">
            <v>LG Match Code</v>
          </cell>
          <cell r="CD14" t="str">
            <v>MR</v>
          </cell>
          <cell r="CF14" t="str">
            <v>Generic LG Match Code</v>
          </cell>
        </row>
        <row r="15">
          <cell r="D15">
            <v>1</v>
          </cell>
          <cell r="E15">
            <v>1</v>
          </cell>
          <cell r="F15">
            <v>1</v>
          </cell>
          <cell r="G15" t="str">
            <v>LVS OTH</v>
          </cell>
          <cell r="H15" t="str">
            <v>LVS OTH</v>
          </cell>
          <cell r="I15" t="str">
            <v>MR</v>
          </cell>
          <cell r="J15" t="str">
            <v>MR Warfighter Support</v>
          </cell>
          <cell r="K15" t="str">
            <v>Other DOD</v>
          </cell>
          <cell r="L15" t="str">
            <v>DOD</v>
          </cell>
          <cell r="M15" t="str">
            <v>US_State</v>
          </cell>
          <cell r="N15" t="str">
            <v>CONUS</v>
          </cell>
          <cell r="O15">
            <v>43033</v>
          </cell>
          <cell r="P15">
            <v>49034</v>
          </cell>
          <cell r="Q15" t="str">
            <v>Prime</v>
          </cell>
          <cell r="R15" t="str">
            <v>CPAF</v>
          </cell>
          <cell r="S15">
            <v>0</v>
          </cell>
          <cell r="T15">
            <v>1</v>
          </cell>
          <cell r="U15" t="str">
            <v>REVTOT</v>
          </cell>
          <cell r="V15" t="str">
            <v>Base</v>
          </cell>
          <cell r="W15" t="str">
            <v>05 Won</v>
          </cell>
          <cell r="X15" t="str">
            <v>Active</v>
          </cell>
          <cell r="Y15">
            <v>1</v>
          </cell>
          <cell r="Z15">
            <v>0</v>
          </cell>
          <cell r="AA15">
            <v>624107060.5</v>
          </cell>
          <cell r="AB15">
            <v>5868819635</v>
          </cell>
          <cell r="AC15">
            <v>0</v>
          </cell>
          <cell r="AD15">
            <v>6492926695.5</v>
          </cell>
          <cell r="AE15">
            <v>1.0133577103457125</v>
          </cell>
          <cell r="AF15">
            <v>80.529797037278115</v>
          </cell>
          <cell r="AG15">
            <v>1.8619736472850299</v>
          </cell>
          <cell r="AH15">
            <v>2.4999999999999911E-2</v>
          </cell>
          <cell r="AI15">
            <v>2.5000000000000001E-2</v>
          </cell>
          <cell r="AJ15">
            <v>2.5000000000000001E-2</v>
          </cell>
          <cell r="AK15">
            <v>2.5000000000000001E-2</v>
          </cell>
          <cell r="BB15">
            <v>602808850.83850002</v>
          </cell>
          <cell r="BC15">
            <v>617879072.1094625</v>
          </cell>
          <cell r="BD15">
            <v>633326048.91219902</v>
          </cell>
          <cell r="BE15">
            <v>649159200.13500392</v>
          </cell>
          <cell r="BF15">
            <v>1251851.52</v>
          </cell>
          <cell r="BG15">
            <v>2520424.91</v>
          </cell>
          <cell r="BH15">
            <v>205489731.35999995</v>
          </cell>
          <cell r="BI15">
            <v>140856600.91</v>
          </cell>
          <cell r="BJ15">
            <v>149981650.05000001</v>
          </cell>
          <cell r="BK15">
            <v>157092153.16</v>
          </cell>
          <cell r="BL15">
            <v>140175791.81999999</v>
          </cell>
          <cell r="BM15">
            <v>588106195.94000006</v>
          </cell>
          <cell r="BN15">
            <v>602808850.83850002</v>
          </cell>
          <cell r="BO15">
            <v>617879072.1094625</v>
          </cell>
          <cell r="BP15">
            <v>633326048.91219902</v>
          </cell>
          <cell r="BQ15">
            <v>649159200.13500392</v>
          </cell>
          <cell r="BR15">
            <v>3091279367.9351654</v>
          </cell>
          <cell r="BT15">
            <v>4</v>
          </cell>
          <cell r="CA15" t="str">
            <v>LVS OTH - REVTOT - Base</v>
          </cell>
          <cell r="CC15" t="str">
            <v>LVS OTH - REVTOT - Base - MR</v>
          </cell>
          <cell r="CD15" t="str">
            <v>LVS OTH - REVTOT - Base - MR</v>
          </cell>
          <cell r="CF15" t="str">
            <v>LVS OTH - Base - MR</v>
          </cell>
        </row>
        <row r="16">
          <cell r="D16">
            <v>2</v>
          </cell>
          <cell r="E16">
            <v>1</v>
          </cell>
          <cell r="F16">
            <v>2</v>
          </cell>
          <cell r="G16" t="str">
            <v>LVS OTH</v>
          </cell>
          <cell r="H16" t="str">
            <v>LVS OTH</v>
          </cell>
          <cell r="I16" t="str">
            <v>MR</v>
          </cell>
          <cell r="J16" t="str">
            <v>MR Warfighter Support</v>
          </cell>
          <cell r="K16" t="str">
            <v>Other DOD</v>
          </cell>
          <cell r="L16" t="str">
            <v>DOD</v>
          </cell>
          <cell r="M16" t="str">
            <v>US_State</v>
          </cell>
          <cell r="N16" t="str">
            <v>CONUS</v>
          </cell>
          <cell r="O16">
            <v>0</v>
          </cell>
          <cell r="P16">
            <v>0</v>
          </cell>
          <cell r="Q16">
            <v>0</v>
          </cell>
          <cell r="R16" t="str">
            <v>CPAF</v>
          </cell>
          <cell r="S16">
            <v>0</v>
          </cell>
          <cell r="T16">
            <v>1</v>
          </cell>
          <cell r="U16" t="str">
            <v>REVTOT</v>
          </cell>
          <cell r="V16" t="str">
            <v>Identified - Recompete</v>
          </cell>
          <cell r="W16">
            <v>0</v>
          </cell>
          <cell r="X16">
            <v>0</v>
          </cell>
          <cell r="Y16">
            <v>0</v>
          </cell>
          <cell r="Z16">
            <v>0</v>
          </cell>
          <cell r="AA16">
            <v>0</v>
          </cell>
          <cell r="AB16">
            <v>0</v>
          </cell>
          <cell r="AC16">
            <v>0</v>
          </cell>
          <cell r="AD16">
            <v>0</v>
          </cell>
          <cell r="AI16">
            <v>0</v>
          </cell>
          <cell r="AJ16">
            <v>0</v>
          </cell>
          <cell r="AK16">
            <v>0</v>
          </cell>
          <cell r="BB16">
            <v>0</v>
          </cell>
          <cell r="BC16">
            <v>0</v>
          </cell>
          <cell r="BD16">
            <v>0</v>
          </cell>
          <cell r="BE16">
            <v>0</v>
          </cell>
          <cell r="BI16">
            <v>0</v>
          </cell>
          <cell r="BJ16">
            <v>0</v>
          </cell>
          <cell r="BK16">
            <v>0</v>
          </cell>
          <cell r="BL16">
            <v>0</v>
          </cell>
          <cell r="BM16">
            <v>0</v>
          </cell>
          <cell r="BN16">
            <v>0</v>
          </cell>
          <cell r="BO16">
            <v>0</v>
          </cell>
          <cell r="BP16">
            <v>0</v>
          </cell>
          <cell r="BQ16">
            <v>0</v>
          </cell>
          <cell r="BR16">
            <v>0</v>
          </cell>
          <cell r="BT16">
            <v>4</v>
          </cell>
          <cell r="CA16" t="str">
            <v>LVS OTH - REVTOT - Identified - Recompete</v>
          </cell>
          <cell r="CC16" t="str">
            <v>LVS OTH - REVTOT - Identified - Recompete - MR</v>
          </cell>
          <cell r="CD16" t="str">
            <v/>
          </cell>
          <cell r="CF16" t="str">
            <v>LVS OTH - Identified - Recompete - MR</v>
          </cell>
        </row>
        <row r="17">
          <cell r="D17">
            <v>3</v>
          </cell>
          <cell r="E17">
            <v>2</v>
          </cell>
          <cell r="F17">
            <v>3</v>
          </cell>
          <cell r="G17" t="str">
            <v>LVS OTH</v>
          </cell>
          <cell r="H17" t="str">
            <v>LVS OTH</v>
          </cell>
          <cell r="I17" t="str">
            <v>MR</v>
          </cell>
          <cell r="J17" t="str">
            <v>MR Warfighter Support</v>
          </cell>
          <cell r="K17" t="str">
            <v>Other DOD</v>
          </cell>
          <cell r="L17" t="str">
            <v>DOD</v>
          </cell>
          <cell r="M17" t="str">
            <v>US_State</v>
          </cell>
          <cell r="N17" t="str">
            <v>CONUS</v>
          </cell>
          <cell r="O17">
            <v>43033</v>
          </cell>
          <cell r="P17">
            <v>49034</v>
          </cell>
          <cell r="Q17" t="str">
            <v>Prime</v>
          </cell>
          <cell r="R17" t="str">
            <v>CPAF</v>
          </cell>
          <cell r="S17">
            <v>0</v>
          </cell>
          <cell r="T17">
            <v>1</v>
          </cell>
          <cell r="U17" t="str">
            <v>CONTRACT</v>
          </cell>
          <cell r="V17" t="str">
            <v>Base</v>
          </cell>
          <cell r="W17" t="str">
            <v>05 Won</v>
          </cell>
          <cell r="X17" t="str">
            <v>Active</v>
          </cell>
          <cell r="Y17">
            <v>1</v>
          </cell>
          <cell r="Z17">
            <v>0</v>
          </cell>
          <cell r="AA17">
            <v>624107060.5</v>
          </cell>
          <cell r="AB17">
            <v>5868819635</v>
          </cell>
          <cell r="AC17">
            <v>0</v>
          </cell>
          <cell r="AD17">
            <v>6492926695.5</v>
          </cell>
          <cell r="AL17">
            <v>0.18632955767789464</v>
          </cell>
          <cell r="AM17">
            <v>8.2361453886757516E-2</v>
          </cell>
          <cell r="AN17">
            <v>4.33081178855068E-2</v>
          </cell>
          <cell r="AO17">
            <v>3.5293392953750405E-2</v>
          </cell>
          <cell r="AP17">
            <v>3.9053702591076572E-2</v>
          </cell>
          <cell r="AQ17">
            <v>4.1176208627775261E-2</v>
          </cell>
          <cell r="AR17">
            <v>4.3092997085453902E-2</v>
          </cell>
          <cell r="AS17">
            <v>4.3813470677147359E-2</v>
          </cell>
          <cell r="BF17">
            <v>233256.94000000006</v>
          </cell>
          <cell r="BG17">
            <v>207585.85999999996</v>
          </cell>
          <cell r="BH17">
            <v>8899373.5100000016</v>
          </cell>
          <cell r="BI17">
            <v>4356932.43</v>
          </cell>
          <cell r="BJ17">
            <v>3435297.8099999949</v>
          </cell>
          <cell r="BK17">
            <v>4491364.8699999973</v>
          </cell>
          <cell r="BL17">
            <v>8472667.961845763</v>
          </cell>
          <cell r="BM17">
            <v>20756263.071845755</v>
          </cell>
          <cell r="BN17">
            <v>23541917.579915419</v>
          </cell>
          <cell r="BO17">
            <v>25441917.579915423</v>
          </cell>
          <cell r="BP17">
            <v>27291917.579915427</v>
          </cell>
          <cell r="BQ17">
            <v>28441917.579915427</v>
          </cell>
          <cell r="BR17">
            <v>125473933.39150745</v>
          </cell>
          <cell r="BT17">
            <v>4</v>
          </cell>
          <cell r="CA17" t="str">
            <v>LVS OTH - CONTRACT - Base</v>
          </cell>
          <cell r="CC17" t="str">
            <v>LVS OTH - CONTRACT - Base - MR</v>
          </cell>
          <cell r="CD17" t="str">
            <v/>
          </cell>
          <cell r="CF17" t="str">
            <v>LVS OTH - Base - MR</v>
          </cell>
        </row>
        <row r="18">
          <cell r="D18">
            <v>4</v>
          </cell>
          <cell r="E18">
            <v>2</v>
          </cell>
          <cell r="F18">
            <v>4</v>
          </cell>
          <cell r="G18" t="str">
            <v>LVS OTH</v>
          </cell>
          <cell r="H18" t="str">
            <v>LVS OTH</v>
          </cell>
          <cell r="I18" t="str">
            <v>MR</v>
          </cell>
          <cell r="J18" t="str">
            <v>MR Warfighter Support</v>
          </cell>
          <cell r="K18" t="str">
            <v>Other DOD</v>
          </cell>
          <cell r="L18" t="str">
            <v>DOD</v>
          </cell>
          <cell r="M18" t="str">
            <v>US_State</v>
          </cell>
          <cell r="N18" t="str">
            <v>CONUS</v>
          </cell>
          <cell r="O18">
            <v>0</v>
          </cell>
          <cell r="P18">
            <v>0</v>
          </cell>
          <cell r="Q18">
            <v>0</v>
          </cell>
          <cell r="R18" t="str">
            <v>CPAF</v>
          </cell>
          <cell r="S18">
            <v>0</v>
          </cell>
          <cell r="T18">
            <v>1</v>
          </cell>
          <cell r="U18" t="str">
            <v>CONTRACT</v>
          </cell>
          <cell r="V18" t="str">
            <v>Identified - Recompete</v>
          </cell>
          <cell r="W18">
            <v>0</v>
          </cell>
          <cell r="X18">
            <v>0</v>
          </cell>
          <cell r="Y18">
            <v>0</v>
          </cell>
          <cell r="Z18">
            <v>0</v>
          </cell>
          <cell r="AA18">
            <v>0</v>
          </cell>
          <cell r="AB18">
            <v>0</v>
          </cell>
          <cell r="AC18">
            <v>0</v>
          </cell>
          <cell r="AD18">
            <v>0</v>
          </cell>
          <cell r="AP18">
            <v>3.9053702591076572E-2</v>
          </cell>
          <cell r="AQ18">
            <v>4.1176208627775261E-2</v>
          </cell>
          <cell r="AR18">
            <v>4.3092997085453902E-2</v>
          </cell>
          <cell r="AS18">
            <v>4.3813470677147359E-2</v>
          </cell>
          <cell r="BI18">
            <v>0</v>
          </cell>
          <cell r="BJ18">
            <v>0</v>
          </cell>
          <cell r="BK18">
            <v>0</v>
          </cell>
          <cell r="BL18">
            <v>0</v>
          </cell>
          <cell r="BM18">
            <v>0</v>
          </cell>
          <cell r="BN18">
            <v>0</v>
          </cell>
          <cell r="BO18">
            <v>0</v>
          </cell>
          <cell r="BP18">
            <v>0</v>
          </cell>
          <cell r="BQ18">
            <v>0</v>
          </cell>
          <cell r="BR18">
            <v>0</v>
          </cell>
          <cell r="BT18">
            <v>4</v>
          </cell>
          <cell r="CA18" t="str">
            <v>LVS OTH - CONTRACT - Identified - Recompete</v>
          </cell>
          <cell r="CC18" t="str">
            <v>LVS OTH - CONTRACT - Identified - Recompete - MR</v>
          </cell>
          <cell r="CD18" t="str">
            <v/>
          </cell>
          <cell r="CF18" t="str">
            <v>LVS OTH - Identified - Recompete - MR</v>
          </cell>
        </row>
        <row r="19">
          <cell r="D19">
            <v>5</v>
          </cell>
          <cell r="E19">
            <v>0</v>
          </cell>
          <cell r="F19">
            <v>5</v>
          </cell>
          <cell r="G19" t="str">
            <v>LVS OTH</v>
          </cell>
          <cell r="H19" t="str">
            <v>LVS OTH</v>
          </cell>
          <cell r="I19" t="str">
            <v>MR</v>
          </cell>
          <cell r="J19" t="str">
            <v>MR Warfighter Support</v>
          </cell>
          <cell r="K19" t="str">
            <v>Other DOD</v>
          </cell>
          <cell r="L19" t="str">
            <v>DOD</v>
          </cell>
          <cell r="M19" t="str">
            <v>US_State</v>
          </cell>
          <cell r="N19" t="str">
            <v>CONUS</v>
          </cell>
          <cell r="O19">
            <v>43033</v>
          </cell>
          <cell r="P19">
            <v>49034</v>
          </cell>
          <cell r="Q19" t="str">
            <v>Prime</v>
          </cell>
          <cell r="R19" t="str">
            <v>CPAF</v>
          </cell>
          <cell r="S19">
            <v>0</v>
          </cell>
          <cell r="T19">
            <v>1</v>
          </cell>
          <cell r="U19" t="str">
            <v>EBITA</v>
          </cell>
          <cell r="V19" t="str">
            <v>Base</v>
          </cell>
          <cell r="W19" t="str">
            <v>05 Won</v>
          </cell>
          <cell r="X19" t="str">
            <v>Active</v>
          </cell>
          <cell r="Y19">
            <v>1</v>
          </cell>
          <cell r="Z19">
            <v>0</v>
          </cell>
          <cell r="AA19">
            <v>624107060.5</v>
          </cell>
          <cell r="AB19">
            <v>5868819635</v>
          </cell>
          <cell r="AC19">
            <v>0</v>
          </cell>
          <cell r="AD19">
            <v>6492926695.5</v>
          </cell>
          <cell r="AT19">
            <v>3.6433953445213725E-2</v>
          </cell>
          <cell r="AU19">
            <v>4.6356854170275581E-2</v>
          </cell>
          <cell r="AV19">
            <v>2.6732166924567251E-2</v>
          </cell>
          <cell r="AW19">
            <v>1.5837863223057434E-2</v>
          </cell>
          <cell r="AX19">
            <v>2.007269797576635E-2</v>
          </cell>
          <cell r="AY19">
            <v>2.2658155344545777E-2</v>
          </cell>
          <cell r="AZ19">
            <v>2.5026603638400736E-2</v>
          </cell>
          <cell r="BA19">
            <v>2.6187720972705247E-2</v>
          </cell>
          <cell r="BF19">
            <v>45609.900000000038</v>
          </cell>
          <cell r="BG19">
            <v>116838.96999999996</v>
          </cell>
          <cell r="BH19">
            <v>5493185.8000000007</v>
          </cell>
          <cell r="BI19">
            <v>2651064.0399999996</v>
          </cell>
          <cell r="BJ19">
            <v>1548291.3599999947</v>
          </cell>
          <cell r="BK19">
            <v>2492975.9199999976</v>
          </cell>
          <cell r="BL19">
            <v>2622014.1719303438</v>
          </cell>
          <cell r="BM19">
            <v>9314345.4919303358</v>
          </cell>
          <cell r="BN19">
            <v>12100000</v>
          </cell>
          <cell r="BO19">
            <v>14000000.000000004</v>
          </cell>
          <cell r="BP19">
            <v>15850000.000000004</v>
          </cell>
          <cell r="BQ19">
            <v>17000000.000000004</v>
          </cell>
          <cell r="BR19">
            <v>68264345.491930336</v>
          </cell>
          <cell r="BT19">
            <v>4</v>
          </cell>
          <cell r="CA19" t="str">
            <v>LVS OTH - EBITA - Base</v>
          </cell>
          <cell r="CC19" t="str">
            <v>LVS OTH - EBITA - Base - MR</v>
          </cell>
          <cell r="CD19" t="str">
            <v/>
          </cell>
          <cell r="CF19" t="str">
            <v>LVS OTH - Base - MR</v>
          </cell>
        </row>
        <row r="20">
          <cell r="D20">
            <v>6</v>
          </cell>
          <cell r="E20">
            <v>0</v>
          </cell>
          <cell r="F20">
            <v>0</v>
          </cell>
          <cell r="G20" t="str">
            <v>LVS OTH</v>
          </cell>
          <cell r="H20" t="str">
            <v>LVS OTH</v>
          </cell>
          <cell r="I20" t="str">
            <v>MR</v>
          </cell>
          <cell r="J20" t="str">
            <v>MR Warfighter Support</v>
          </cell>
          <cell r="K20" t="str">
            <v>Other DOD</v>
          </cell>
          <cell r="L20" t="str">
            <v>DOD</v>
          </cell>
          <cell r="M20" t="str">
            <v>US_State</v>
          </cell>
          <cell r="N20" t="str">
            <v>CONUS</v>
          </cell>
          <cell r="O20">
            <v>0</v>
          </cell>
          <cell r="P20">
            <v>0</v>
          </cell>
          <cell r="Q20">
            <v>0</v>
          </cell>
          <cell r="R20" t="str">
            <v>CPAF</v>
          </cell>
          <cell r="S20">
            <v>0</v>
          </cell>
          <cell r="T20">
            <v>1</v>
          </cell>
          <cell r="U20" t="str">
            <v>EBITA</v>
          </cell>
          <cell r="V20" t="str">
            <v>Identified - Recompete</v>
          </cell>
          <cell r="W20">
            <v>0</v>
          </cell>
          <cell r="X20">
            <v>0</v>
          </cell>
          <cell r="Y20">
            <v>0</v>
          </cell>
          <cell r="Z20">
            <v>0</v>
          </cell>
          <cell r="AA20">
            <v>0</v>
          </cell>
          <cell r="AB20">
            <v>0</v>
          </cell>
          <cell r="AC20">
            <v>0</v>
          </cell>
          <cell r="AD20">
            <v>0</v>
          </cell>
          <cell r="AX20">
            <v>2.007269797576635E-2</v>
          </cell>
          <cell r="AY20">
            <v>2.2658155344545777E-2</v>
          </cell>
          <cell r="AZ20">
            <v>2.5026603638400736E-2</v>
          </cell>
          <cell r="BA20">
            <v>2.6187720972705247E-2</v>
          </cell>
          <cell r="BI20">
            <v>0</v>
          </cell>
          <cell r="BJ20">
            <v>0</v>
          </cell>
          <cell r="BK20">
            <v>0</v>
          </cell>
          <cell r="BL20">
            <v>0</v>
          </cell>
          <cell r="BM20">
            <v>0</v>
          </cell>
          <cell r="BN20">
            <v>0</v>
          </cell>
          <cell r="BO20">
            <v>0</v>
          </cell>
          <cell r="BP20">
            <v>0</v>
          </cell>
          <cell r="BQ20">
            <v>0</v>
          </cell>
          <cell r="BR20">
            <v>0</v>
          </cell>
          <cell r="BT20">
            <v>4</v>
          </cell>
          <cell r="CA20" t="str">
            <v>LVS OTH - EBITA - Identified - Recompete</v>
          </cell>
          <cell r="CC20" t="str">
            <v>LVS OTH - EBITA - Identified - Recompete - MR</v>
          </cell>
          <cell r="CD20" t="str">
            <v/>
          </cell>
          <cell r="CF20" t="str">
            <v>LVS OTH - Identified - Recompete - MR</v>
          </cell>
        </row>
        <row r="21">
          <cell r="D21">
            <v>7</v>
          </cell>
          <cell r="E21">
            <v>1</v>
          </cell>
          <cell r="F21">
            <v>1</v>
          </cell>
          <cell r="G21" t="str">
            <v>BLUGRS</v>
          </cell>
          <cell r="H21" t="str">
            <v>Blue Grass</v>
          </cell>
          <cell r="I21" t="str">
            <v>MR</v>
          </cell>
          <cell r="J21" t="str">
            <v>MR Non-Proliferation and Security Services</v>
          </cell>
          <cell r="K21" t="str">
            <v>Army</v>
          </cell>
          <cell r="L21" t="str">
            <v>DOD</v>
          </cell>
          <cell r="M21" t="str">
            <v>KY</v>
          </cell>
          <cell r="N21" t="str">
            <v>CONUS</v>
          </cell>
          <cell r="O21">
            <v>40087</v>
          </cell>
          <cell r="P21">
            <v>45068</v>
          </cell>
          <cell r="Q21" t="str">
            <v>Sub</v>
          </cell>
          <cell r="R21" t="str">
            <v>CPFF</v>
          </cell>
          <cell r="S21">
            <v>0</v>
          </cell>
          <cell r="T21">
            <v>1</v>
          </cell>
          <cell r="U21" t="str">
            <v>REVTOT</v>
          </cell>
          <cell r="V21" t="str">
            <v>Base</v>
          </cell>
          <cell r="W21" t="str">
            <v>05 Won</v>
          </cell>
          <cell r="X21" t="str">
            <v>Active</v>
          </cell>
          <cell r="Y21">
            <v>1</v>
          </cell>
          <cell r="Z21">
            <v>0</v>
          </cell>
          <cell r="AA21">
            <v>290052898.84999925</v>
          </cell>
          <cell r="AB21">
            <v>0</v>
          </cell>
          <cell r="AC21">
            <v>30000000</v>
          </cell>
          <cell r="AD21">
            <v>320052898.84999925</v>
          </cell>
          <cell r="AE21">
            <v>-0.20074740767048016</v>
          </cell>
          <cell r="AF21">
            <v>2.2171365324852754E-2</v>
          </cell>
          <cell r="AG21">
            <v>0.17204566930005338</v>
          </cell>
          <cell r="AH21">
            <v>9.4053737037622653E-3</v>
          </cell>
          <cell r="AI21">
            <v>0</v>
          </cell>
          <cell r="AJ21">
            <v>0</v>
          </cell>
          <cell r="AK21">
            <v>0</v>
          </cell>
          <cell r="BB21">
            <v>68741684.430000007</v>
          </cell>
          <cell r="BC21">
            <v>68741684.430000007</v>
          </cell>
          <cell r="BD21">
            <v>68741684.430000007</v>
          </cell>
          <cell r="BE21">
            <v>68741684.430000007</v>
          </cell>
          <cell r="BF21">
            <v>71121721.25</v>
          </cell>
          <cell r="BG21">
            <v>56844220.079999998</v>
          </cell>
          <cell r="BH21">
            <v>58104534.050000012</v>
          </cell>
          <cell r="BI21">
            <v>15152051.48</v>
          </cell>
          <cell r="BJ21">
            <v>16518081.379999999</v>
          </cell>
          <cell r="BK21">
            <v>17579249.069999997</v>
          </cell>
          <cell r="BL21">
            <v>18851785.57</v>
          </cell>
          <cell r="BM21">
            <v>68101167.5</v>
          </cell>
          <cell r="BN21">
            <v>68741684.430000007</v>
          </cell>
          <cell r="BO21">
            <v>68741684.430000007</v>
          </cell>
          <cell r="BP21">
            <v>68741684.430000007</v>
          </cell>
          <cell r="BQ21">
            <v>44300196.632666677</v>
          </cell>
          <cell r="BR21">
            <v>318626417.42266667</v>
          </cell>
          <cell r="BT21">
            <v>5</v>
          </cell>
          <cell r="CA21" t="str">
            <v>BLUGRS - REVTOT - Base</v>
          </cell>
          <cell r="CC21" t="str">
            <v>BLUGRS - REVTOT - Base - MR</v>
          </cell>
          <cell r="CD21" t="str">
            <v>BLUGRS - REVTOT - Base - MR</v>
          </cell>
          <cell r="CF21" t="str">
            <v>BLUGRS - Base - MR</v>
          </cell>
        </row>
        <row r="22">
          <cell r="D22">
            <v>8</v>
          </cell>
          <cell r="E22">
            <v>1</v>
          </cell>
          <cell r="F22">
            <v>2</v>
          </cell>
          <cell r="G22" t="str">
            <v>BLUGRS</v>
          </cell>
          <cell r="H22" t="str">
            <v>Blue Grass</v>
          </cell>
          <cell r="I22" t="str">
            <v>MR</v>
          </cell>
          <cell r="J22" t="str">
            <v>MR Non-Proliferation and Security Services</v>
          </cell>
          <cell r="K22" t="str">
            <v>Army</v>
          </cell>
          <cell r="L22" t="str">
            <v>DOD</v>
          </cell>
          <cell r="M22" t="str">
            <v>KY</v>
          </cell>
          <cell r="N22" t="str">
            <v>CONUS</v>
          </cell>
          <cell r="O22">
            <v>45069</v>
          </cell>
          <cell r="P22">
            <v>46164</v>
          </cell>
          <cell r="Q22" t="str">
            <v>Sub</v>
          </cell>
          <cell r="R22" t="str">
            <v>CPFF</v>
          </cell>
          <cell r="S22">
            <v>0</v>
          </cell>
          <cell r="T22">
            <v>1</v>
          </cell>
          <cell r="U22" t="str">
            <v>REVTOT</v>
          </cell>
          <cell r="V22" t="str">
            <v>Base</v>
          </cell>
          <cell r="W22">
            <v>0</v>
          </cell>
          <cell r="X22">
            <v>0</v>
          </cell>
          <cell r="Y22">
            <v>1</v>
          </cell>
          <cell r="Z22">
            <v>150000000</v>
          </cell>
          <cell r="AA22">
            <v>0</v>
          </cell>
          <cell r="AB22">
            <v>0</v>
          </cell>
          <cell r="AC22">
            <v>0</v>
          </cell>
          <cell r="AD22">
            <v>0</v>
          </cell>
          <cell r="AI22">
            <v>0</v>
          </cell>
          <cell r="AJ22">
            <v>0</v>
          </cell>
          <cell r="AK22">
            <v>0</v>
          </cell>
          <cell r="BB22">
            <v>0</v>
          </cell>
          <cell r="BC22">
            <v>0</v>
          </cell>
          <cell r="BD22">
            <v>0</v>
          </cell>
          <cell r="BE22">
            <v>50000000</v>
          </cell>
          <cell r="BI22">
            <v>0</v>
          </cell>
          <cell r="BJ22">
            <v>0</v>
          </cell>
          <cell r="BK22">
            <v>0</v>
          </cell>
          <cell r="BL22">
            <v>0</v>
          </cell>
          <cell r="BM22">
            <v>0</v>
          </cell>
          <cell r="BN22">
            <v>0</v>
          </cell>
          <cell r="BO22">
            <v>0</v>
          </cell>
          <cell r="BP22">
            <v>0</v>
          </cell>
          <cell r="BQ22">
            <v>17638888.888888892</v>
          </cell>
          <cell r="BR22">
            <v>17638888.888888892</v>
          </cell>
          <cell r="BT22">
            <v>5</v>
          </cell>
          <cell r="CA22" t="str">
            <v>BLUGRS - REVTOT - Base</v>
          </cell>
          <cell r="CC22" t="str">
            <v>BLUGRS - REVTOT - Base - MR - 2</v>
          </cell>
          <cell r="CD22" t="str">
            <v>BLUGRS - REVTOT - Base - MR - 2</v>
          </cell>
          <cell r="CF22" t="str">
            <v>BLUGRS - Base - MR</v>
          </cell>
        </row>
        <row r="23">
          <cell r="D23">
            <v>9</v>
          </cell>
          <cell r="E23">
            <v>2</v>
          </cell>
          <cell r="F23">
            <v>3</v>
          </cell>
          <cell r="G23" t="str">
            <v>BLUGRS</v>
          </cell>
          <cell r="H23" t="str">
            <v>Blue Grass</v>
          </cell>
          <cell r="I23" t="str">
            <v>MR</v>
          </cell>
          <cell r="J23" t="str">
            <v>MR Non-Proliferation and Security Services</v>
          </cell>
          <cell r="K23" t="str">
            <v>Army</v>
          </cell>
          <cell r="L23" t="str">
            <v>DOD</v>
          </cell>
          <cell r="M23" t="str">
            <v>KY</v>
          </cell>
          <cell r="N23" t="str">
            <v>CONUS</v>
          </cell>
          <cell r="O23">
            <v>40087</v>
          </cell>
          <cell r="P23">
            <v>45068</v>
          </cell>
          <cell r="Q23" t="str">
            <v>Sub</v>
          </cell>
          <cell r="R23" t="str">
            <v>CPFF</v>
          </cell>
          <cell r="S23">
            <v>0</v>
          </cell>
          <cell r="T23">
            <v>1</v>
          </cell>
          <cell r="U23" t="str">
            <v>CONTRACT</v>
          </cell>
          <cell r="V23" t="str">
            <v>Base</v>
          </cell>
          <cell r="W23" t="str">
            <v>05 Won</v>
          </cell>
          <cell r="X23" t="str">
            <v>Active</v>
          </cell>
          <cell r="Y23">
            <v>1</v>
          </cell>
          <cell r="Z23">
            <v>0</v>
          </cell>
          <cell r="AA23">
            <v>290052898.84999925</v>
          </cell>
          <cell r="AB23">
            <v>0</v>
          </cell>
          <cell r="AC23">
            <v>30000000</v>
          </cell>
          <cell r="AD23">
            <v>320052898.84999925</v>
          </cell>
          <cell r="AL23">
            <v>0.18617359461052133</v>
          </cell>
          <cell r="AM23">
            <v>0.20305976269452231</v>
          </cell>
          <cell r="AN23">
            <v>0.24961668563625633</v>
          </cell>
          <cell r="AO23">
            <v>0.21424746102921069</v>
          </cell>
          <cell r="AP23">
            <v>0.19959764385081127</v>
          </cell>
          <cell r="AQ23">
            <v>0.19959764385081127</v>
          </cell>
          <cell r="AR23">
            <v>0.19959764385081127</v>
          </cell>
          <cell r="AS23">
            <v>0.19959764385081127</v>
          </cell>
          <cell r="BF23">
            <v>13240986.5</v>
          </cell>
          <cell r="BG23">
            <v>11542773.84</v>
          </cell>
          <cell r="BH23">
            <v>14503861.210000005</v>
          </cell>
          <cell r="BI23">
            <v>3779634.5000000009</v>
          </cell>
          <cell r="BJ23">
            <v>3402690.4900000012</v>
          </cell>
          <cell r="BK23">
            <v>3300036.7799999975</v>
          </cell>
          <cell r="BL23">
            <v>4108140.4600000009</v>
          </cell>
          <cell r="BM23">
            <v>14590502.23</v>
          </cell>
          <cell r="BN23">
            <v>13720678.246564001</v>
          </cell>
          <cell r="BO23">
            <v>13720678.246564001</v>
          </cell>
          <cell r="BP23">
            <v>13720678.246564001</v>
          </cell>
          <cell r="BQ23">
            <v>8842214.8700079117</v>
          </cell>
          <cell r="BR23">
            <v>64594751.839699917</v>
          </cell>
          <cell r="BT23">
            <v>5</v>
          </cell>
          <cell r="CA23" t="str">
            <v>BLUGRS - CONTRACT - Base</v>
          </cell>
          <cell r="CC23" t="str">
            <v>BLUGRS - CONTRACT - Base - MR</v>
          </cell>
          <cell r="CD23" t="str">
            <v/>
          </cell>
          <cell r="CF23" t="str">
            <v>BLUGRS - Base - MR</v>
          </cell>
        </row>
        <row r="24">
          <cell r="D24">
            <v>10</v>
          </cell>
          <cell r="E24">
            <v>2</v>
          </cell>
          <cell r="F24">
            <v>4</v>
          </cell>
          <cell r="G24" t="str">
            <v>BLUGRS</v>
          </cell>
          <cell r="H24" t="str">
            <v>Blue Grass</v>
          </cell>
          <cell r="I24" t="str">
            <v>MR</v>
          </cell>
          <cell r="J24" t="str">
            <v>MR Non-Proliferation and Security Services</v>
          </cell>
          <cell r="K24" t="str">
            <v>Army</v>
          </cell>
          <cell r="L24" t="str">
            <v>DOD</v>
          </cell>
          <cell r="M24" t="str">
            <v>KY</v>
          </cell>
          <cell r="N24" t="str">
            <v>CONUS</v>
          </cell>
          <cell r="O24">
            <v>45069</v>
          </cell>
          <cell r="P24">
            <v>46164</v>
          </cell>
          <cell r="Q24" t="str">
            <v>Sub</v>
          </cell>
          <cell r="R24" t="str">
            <v>CPFF</v>
          </cell>
          <cell r="S24">
            <v>0</v>
          </cell>
          <cell r="T24">
            <v>1</v>
          </cell>
          <cell r="U24" t="str">
            <v>CONTRACT</v>
          </cell>
          <cell r="V24" t="str">
            <v>Base</v>
          </cell>
          <cell r="W24">
            <v>0</v>
          </cell>
          <cell r="X24">
            <v>0</v>
          </cell>
          <cell r="Y24">
            <v>1</v>
          </cell>
          <cell r="Z24">
            <v>150000000</v>
          </cell>
          <cell r="AA24">
            <v>0</v>
          </cell>
          <cell r="AB24">
            <v>0</v>
          </cell>
          <cell r="AC24">
            <v>0</v>
          </cell>
          <cell r="AD24">
            <v>0</v>
          </cell>
          <cell r="AP24">
            <v>0.19959764385081127</v>
          </cell>
          <cell r="AQ24">
            <v>0.19959764385081127</v>
          </cell>
          <cell r="AR24">
            <v>0.19959764385081127</v>
          </cell>
          <cell r="AS24">
            <v>0.19959764385081127</v>
          </cell>
          <cell r="BI24">
            <v>0</v>
          </cell>
          <cell r="BJ24">
            <v>0</v>
          </cell>
          <cell r="BK24">
            <v>0</v>
          </cell>
          <cell r="BL24">
            <v>0</v>
          </cell>
          <cell r="BM24">
            <v>0</v>
          </cell>
          <cell r="BN24">
            <v>0</v>
          </cell>
          <cell r="BO24">
            <v>0</v>
          </cell>
          <cell r="BP24">
            <v>0</v>
          </cell>
          <cell r="BQ24">
            <v>3520680.6623684773</v>
          </cell>
          <cell r="BR24">
            <v>3520680.6623684773</v>
          </cell>
          <cell r="BT24">
            <v>5</v>
          </cell>
          <cell r="CA24" t="str">
            <v>BLUGRS - CONTRACT - Base</v>
          </cell>
          <cell r="CC24" t="str">
            <v>BLUGRS - CONTRACT - Base - MR - 2</v>
          </cell>
          <cell r="CD24" t="str">
            <v/>
          </cell>
          <cell r="CF24" t="str">
            <v>BLUGRS - Base - MR</v>
          </cell>
        </row>
        <row r="25">
          <cell r="D25">
            <v>11</v>
          </cell>
          <cell r="E25">
            <v>0</v>
          </cell>
          <cell r="F25">
            <v>5</v>
          </cell>
          <cell r="G25" t="str">
            <v>BLUGRS</v>
          </cell>
          <cell r="H25" t="str">
            <v>Blue Grass</v>
          </cell>
          <cell r="I25" t="str">
            <v>MR</v>
          </cell>
          <cell r="J25" t="str">
            <v>MR Non-Proliferation and Security Services</v>
          </cell>
          <cell r="K25" t="str">
            <v>Army</v>
          </cell>
          <cell r="L25" t="str">
            <v>DOD</v>
          </cell>
          <cell r="M25" t="str">
            <v>KY</v>
          </cell>
          <cell r="N25" t="str">
            <v>CONUS</v>
          </cell>
          <cell r="O25">
            <v>40087</v>
          </cell>
          <cell r="P25">
            <v>45068</v>
          </cell>
          <cell r="Q25" t="str">
            <v>Sub</v>
          </cell>
          <cell r="R25" t="str">
            <v>CPFF</v>
          </cell>
          <cell r="S25">
            <v>0</v>
          </cell>
          <cell r="T25">
            <v>1</v>
          </cell>
          <cell r="U25" t="str">
            <v>EBITA</v>
          </cell>
          <cell r="V25" t="str">
            <v>Base</v>
          </cell>
          <cell r="W25" t="str">
            <v>05 Won</v>
          </cell>
          <cell r="X25" t="str">
            <v>Active</v>
          </cell>
          <cell r="Y25">
            <v>1</v>
          </cell>
          <cell r="Z25">
            <v>0</v>
          </cell>
          <cell r="AA25">
            <v>290052898.84999925</v>
          </cell>
          <cell r="AB25">
            <v>0</v>
          </cell>
          <cell r="AC25">
            <v>30000000</v>
          </cell>
          <cell r="AD25">
            <v>320052898.84999925</v>
          </cell>
          <cell r="AT25">
            <v>0.10782122669732208</v>
          </cell>
          <cell r="AU25">
            <v>0.1080981294378241</v>
          </cell>
          <cell r="AV25">
            <v>0.1796064477691135</v>
          </cell>
          <cell r="AW25">
            <v>0.13522420169962579</v>
          </cell>
          <cell r="AX25">
            <v>0.12273006418534188</v>
          </cell>
          <cell r="AY25">
            <v>0.12273006418534188</v>
          </cell>
          <cell r="AZ25">
            <v>0.12273006418534188</v>
          </cell>
          <cell r="BA25">
            <v>0.12273006418534188</v>
          </cell>
          <cell r="BF25">
            <v>7668431.2299999995</v>
          </cell>
          <cell r="BG25">
            <v>6144753.8599999994</v>
          </cell>
          <cell r="BH25">
            <v>10435948.960000005</v>
          </cell>
          <cell r="BI25">
            <v>2628590.3600000013</v>
          </cell>
          <cell r="BJ25">
            <v>2129902.3800000013</v>
          </cell>
          <cell r="BK25">
            <v>1888981.7999999975</v>
          </cell>
          <cell r="BL25">
            <v>2561451.4700000007</v>
          </cell>
          <cell r="BM25">
            <v>9208926.0099999998</v>
          </cell>
          <cell r="BN25">
            <v>8436671.3423024174</v>
          </cell>
          <cell r="BO25">
            <v>8436671.3423024174</v>
          </cell>
          <cell r="BP25">
            <v>8436671.3423024174</v>
          </cell>
          <cell r="BQ25">
            <v>5436965.9761504475</v>
          </cell>
          <cell r="BR25">
            <v>39955906.013057701</v>
          </cell>
          <cell r="BT25">
            <v>5</v>
          </cell>
          <cell r="CA25" t="str">
            <v>BLUGRS - EBITA - Base</v>
          </cell>
          <cell r="CC25" t="str">
            <v>BLUGRS - EBITA - Base - MR</v>
          </cell>
          <cell r="CD25" t="str">
            <v/>
          </cell>
          <cell r="CF25" t="str">
            <v>BLUGRS - Base - MR</v>
          </cell>
        </row>
        <row r="26">
          <cell r="D26">
            <v>12</v>
          </cell>
          <cell r="E26">
            <v>0</v>
          </cell>
          <cell r="F26">
            <v>0</v>
          </cell>
          <cell r="G26" t="str">
            <v>BLUGRS</v>
          </cell>
          <cell r="H26" t="str">
            <v>Blue Grass</v>
          </cell>
          <cell r="I26" t="str">
            <v>MR</v>
          </cell>
          <cell r="J26" t="str">
            <v>MR Non-Proliferation and Security Services</v>
          </cell>
          <cell r="K26" t="str">
            <v>Army</v>
          </cell>
          <cell r="L26" t="str">
            <v>DOD</v>
          </cell>
          <cell r="M26" t="str">
            <v>KY</v>
          </cell>
          <cell r="N26" t="str">
            <v>CONUS</v>
          </cell>
          <cell r="O26">
            <v>45069</v>
          </cell>
          <cell r="P26">
            <v>46164</v>
          </cell>
          <cell r="Q26" t="str">
            <v>Sub</v>
          </cell>
          <cell r="R26" t="str">
            <v>CPFF</v>
          </cell>
          <cell r="S26">
            <v>0</v>
          </cell>
          <cell r="T26">
            <v>1</v>
          </cell>
          <cell r="U26" t="str">
            <v>EBITA</v>
          </cell>
          <cell r="V26" t="str">
            <v>Base</v>
          </cell>
          <cell r="W26">
            <v>0</v>
          </cell>
          <cell r="X26">
            <v>0</v>
          </cell>
          <cell r="Y26">
            <v>1</v>
          </cell>
          <cell r="Z26">
            <v>150000000</v>
          </cell>
          <cell r="AA26">
            <v>0</v>
          </cell>
          <cell r="AB26">
            <v>0</v>
          </cell>
          <cell r="AC26">
            <v>0</v>
          </cell>
          <cell r="AD26">
            <v>0</v>
          </cell>
          <cell r="AX26">
            <v>0.1</v>
          </cell>
          <cell r="AY26">
            <v>0.1</v>
          </cell>
          <cell r="AZ26">
            <v>0.1</v>
          </cell>
          <cell r="BA26">
            <v>0.1</v>
          </cell>
          <cell r="BI26">
            <v>0</v>
          </cell>
          <cell r="BJ26">
            <v>0</v>
          </cell>
          <cell r="BK26">
            <v>0</v>
          </cell>
          <cell r="BL26">
            <v>0</v>
          </cell>
          <cell r="BM26">
            <v>0</v>
          </cell>
          <cell r="BN26">
            <v>0</v>
          </cell>
          <cell r="BO26">
            <v>0</v>
          </cell>
          <cell r="BP26">
            <v>0</v>
          </cell>
          <cell r="BQ26">
            <v>1763888.8888888892</v>
          </cell>
          <cell r="BR26">
            <v>1763888.8888888892</v>
          </cell>
          <cell r="BT26">
            <v>5</v>
          </cell>
          <cell r="CA26" t="str">
            <v>BLUGRS - EBITA - Base</v>
          </cell>
          <cell r="CC26" t="str">
            <v>BLUGRS - EBITA - Base - MR - 2</v>
          </cell>
          <cell r="CD26" t="str">
            <v/>
          </cell>
          <cell r="CF26" t="str">
            <v>BLUGRS - Base - MR</v>
          </cell>
        </row>
        <row r="27">
          <cell r="D27">
            <v>13</v>
          </cell>
          <cell r="E27">
            <v>1</v>
          </cell>
          <cell r="F27">
            <v>1</v>
          </cell>
          <cell r="G27" t="str">
            <v>PUEBLO</v>
          </cell>
          <cell r="H27" t="str">
            <v>Pueblo Project</v>
          </cell>
          <cell r="I27" t="str">
            <v>MR</v>
          </cell>
          <cell r="J27" t="str">
            <v>MR Non-Proliferation and Security Services</v>
          </cell>
          <cell r="K27" t="str">
            <v>Army</v>
          </cell>
          <cell r="L27" t="str">
            <v>DOD</v>
          </cell>
          <cell r="M27" t="str">
            <v>CO</v>
          </cell>
          <cell r="N27" t="str">
            <v>CONUS</v>
          </cell>
          <cell r="O27">
            <v>39995</v>
          </cell>
          <cell r="P27">
            <v>45166</v>
          </cell>
          <cell r="Q27" t="str">
            <v>Sub</v>
          </cell>
          <cell r="R27" t="str">
            <v>CPAF</v>
          </cell>
          <cell r="S27">
            <v>0</v>
          </cell>
          <cell r="T27">
            <v>1</v>
          </cell>
          <cell r="U27" t="str">
            <v>REVTOT</v>
          </cell>
          <cell r="V27" t="str">
            <v>Base</v>
          </cell>
          <cell r="W27" t="str">
            <v>05 Won</v>
          </cell>
          <cell r="X27" t="str">
            <v>Active</v>
          </cell>
          <cell r="Y27">
            <v>1</v>
          </cell>
          <cell r="Z27">
            <v>0</v>
          </cell>
          <cell r="AA27">
            <v>130639207.33000003</v>
          </cell>
          <cell r="AB27">
            <v>0</v>
          </cell>
          <cell r="AC27">
            <v>451000000</v>
          </cell>
          <cell r="AD27">
            <v>581639207.33000004</v>
          </cell>
          <cell r="AE27">
            <v>-5.8109260441171706E-2</v>
          </cell>
          <cell r="AF27">
            <v>4.7069673296571413E-3</v>
          </cell>
          <cell r="AG27">
            <v>0.15692020537660967</v>
          </cell>
          <cell r="AH27">
            <v>8.4118227094084119E-2</v>
          </cell>
          <cell r="AI27">
            <v>0</v>
          </cell>
          <cell r="AJ27">
            <v>0</v>
          </cell>
          <cell r="AK27">
            <v>0</v>
          </cell>
          <cell r="BB27">
            <v>140578344</v>
          </cell>
          <cell r="BC27">
            <v>140578344</v>
          </cell>
          <cell r="BD27">
            <v>140578344</v>
          </cell>
          <cell r="BE27">
            <v>140578344</v>
          </cell>
          <cell r="BF27">
            <v>118440008.48999999</v>
          </cell>
          <cell r="BG27">
            <v>111557547.19</v>
          </cell>
          <cell r="BH27">
            <v>112082644.92</v>
          </cell>
          <cell r="BI27">
            <v>30256191.540000003</v>
          </cell>
          <cell r="BJ27">
            <v>32939710.780000001</v>
          </cell>
          <cell r="BK27">
            <v>34130846.32</v>
          </cell>
          <cell r="BL27">
            <v>32343927.939999998</v>
          </cell>
          <cell r="BM27">
            <v>129670676.58000001</v>
          </cell>
          <cell r="BN27">
            <v>140578344</v>
          </cell>
          <cell r="BO27">
            <v>140578344</v>
          </cell>
          <cell r="BP27">
            <v>140578344</v>
          </cell>
          <cell r="BQ27">
            <v>128082491.2</v>
          </cell>
          <cell r="BR27">
            <v>679488199.78000009</v>
          </cell>
          <cell r="BT27">
            <v>6</v>
          </cell>
          <cell r="CA27" t="str">
            <v>PUEBLO - REVTOT - Base</v>
          </cell>
          <cell r="CC27" t="str">
            <v>PUEBLO - REVTOT - Base - MR</v>
          </cell>
          <cell r="CD27" t="str">
            <v>PUEBLO - REVTOT - Base - MR</v>
          </cell>
          <cell r="CF27" t="str">
            <v>PUEBLO - Base - MR</v>
          </cell>
        </row>
        <row r="28">
          <cell r="D28">
            <v>14</v>
          </cell>
          <cell r="E28">
            <v>1</v>
          </cell>
          <cell r="F28">
            <v>2</v>
          </cell>
          <cell r="G28" t="str">
            <v>PUEBLO</v>
          </cell>
          <cell r="H28" t="str">
            <v>Pueblo Project</v>
          </cell>
          <cell r="I28" t="str">
            <v>MR</v>
          </cell>
          <cell r="J28" t="str">
            <v>MR Non-Proliferation and Security Services</v>
          </cell>
          <cell r="K28" t="str">
            <v>Army</v>
          </cell>
          <cell r="L28" t="str">
            <v>DOD</v>
          </cell>
          <cell r="M28" t="str">
            <v>CO</v>
          </cell>
          <cell r="N28" t="str">
            <v>CONUS</v>
          </cell>
          <cell r="O28">
            <v>45167</v>
          </cell>
          <cell r="P28">
            <v>46262</v>
          </cell>
          <cell r="Q28" t="str">
            <v>Sub</v>
          </cell>
          <cell r="R28" t="str">
            <v>CPAF</v>
          </cell>
          <cell r="S28">
            <v>0</v>
          </cell>
          <cell r="T28">
            <v>1</v>
          </cell>
          <cell r="U28" t="str">
            <v>REVTOT</v>
          </cell>
          <cell r="V28" t="str">
            <v>Base</v>
          </cell>
          <cell r="W28">
            <v>0</v>
          </cell>
          <cell r="X28">
            <v>0</v>
          </cell>
          <cell r="Y28">
            <v>1</v>
          </cell>
          <cell r="Z28">
            <v>225000000</v>
          </cell>
          <cell r="AA28">
            <v>0</v>
          </cell>
          <cell r="AB28">
            <v>0</v>
          </cell>
          <cell r="AC28">
            <v>0</v>
          </cell>
          <cell r="AD28">
            <v>0</v>
          </cell>
          <cell r="AI28">
            <v>0</v>
          </cell>
          <cell r="AJ28">
            <v>0</v>
          </cell>
          <cell r="AK28">
            <v>0</v>
          </cell>
          <cell r="BB28">
            <v>0</v>
          </cell>
          <cell r="BC28">
            <v>0</v>
          </cell>
          <cell r="BD28">
            <v>0</v>
          </cell>
          <cell r="BE28">
            <v>75000000</v>
          </cell>
          <cell r="BI28">
            <v>0</v>
          </cell>
          <cell r="BJ28">
            <v>0</v>
          </cell>
          <cell r="BK28">
            <v>0</v>
          </cell>
          <cell r="BL28">
            <v>0</v>
          </cell>
          <cell r="BM28">
            <v>0</v>
          </cell>
          <cell r="BN28">
            <v>0</v>
          </cell>
          <cell r="BO28">
            <v>0</v>
          </cell>
          <cell r="BP28">
            <v>0</v>
          </cell>
          <cell r="BQ28">
            <v>6458333.333333333</v>
          </cell>
          <cell r="BR28">
            <v>6458333.333333333</v>
          </cell>
          <cell r="BT28">
            <v>6</v>
          </cell>
          <cell r="CA28" t="str">
            <v>PUEBLO - REVTOT - Base</v>
          </cell>
          <cell r="CC28" t="str">
            <v>PUEBLO - REVTOT - Base - MR - 2</v>
          </cell>
          <cell r="CD28" t="str">
            <v>PUEBLO - REVTOT - Base - MR - 2</v>
          </cell>
          <cell r="CF28" t="str">
            <v>PUEBLO - Base - MR</v>
          </cell>
        </row>
        <row r="29">
          <cell r="D29">
            <v>15</v>
          </cell>
          <cell r="E29">
            <v>2</v>
          </cell>
          <cell r="F29">
            <v>3</v>
          </cell>
          <cell r="G29" t="str">
            <v>PUEBLO</v>
          </cell>
          <cell r="H29" t="str">
            <v>Pueblo Project</v>
          </cell>
          <cell r="I29" t="str">
            <v>MR</v>
          </cell>
          <cell r="J29" t="str">
            <v>MR Non-Proliferation and Security Services</v>
          </cell>
          <cell r="K29" t="str">
            <v>Army</v>
          </cell>
          <cell r="L29" t="str">
            <v>DOD</v>
          </cell>
          <cell r="M29" t="str">
            <v>CO</v>
          </cell>
          <cell r="N29" t="str">
            <v>CONUS</v>
          </cell>
          <cell r="O29">
            <v>39995</v>
          </cell>
          <cell r="P29">
            <v>45166</v>
          </cell>
          <cell r="Q29" t="str">
            <v>Sub</v>
          </cell>
          <cell r="R29" t="str">
            <v>CPAF</v>
          </cell>
          <cell r="S29">
            <v>0</v>
          </cell>
          <cell r="T29">
            <v>1</v>
          </cell>
          <cell r="U29" t="str">
            <v>CONTRACT</v>
          </cell>
          <cell r="V29" t="str">
            <v>Base</v>
          </cell>
          <cell r="W29" t="str">
            <v>05 Won</v>
          </cell>
          <cell r="X29" t="str">
            <v>Active</v>
          </cell>
          <cell r="Y29">
            <v>1</v>
          </cell>
          <cell r="Z29">
            <v>0</v>
          </cell>
          <cell r="AA29">
            <v>130639207.33000003</v>
          </cell>
          <cell r="AB29">
            <v>0</v>
          </cell>
          <cell r="AC29">
            <v>451000000</v>
          </cell>
          <cell r="AD29">
            <v>581639207.33000004</v>
          </cell>
          <cell r="AL29">
            <v>0.18415896425608241</v>
          </cell>
          <cell r="AM29">
            <v>0.2252825730131581</v>
          </cell>
          <cell r="AN29">
            <v>0.19809669780587111</v>
          </cell>
          <cell r="AO29">
            <v>0.20273847012574905</v>
          </cell>
          <cell r="AP29">
            <v>0.215</v>
          </cell>
          <cell r="AQ29">
            <v>0.215</v>
          </cell>
          <cell r="AR29">
            <v>0.215</v>
          </cell>
          <cell r="AS29">
            <v>0.215</v>
          </cell>
          <cell r="BF29">
            <v>21811789.290000007</v>
          </cell>
          <cell r="BG29">
            <v>25131971.270000003</v>
          </cell>
          <cell r="BH29">
            <v>22203201.839999996</v>
          </cell>
          <cell r="BI29">
            <v>5599861.7300000014</v>
          </cell>
          <cell r="BJ29">
            <v>6775305.1299999999</v>
          </cell>
          <cell r="BK29">
            <v>7319788.6000000015</v>
          </cell>
          <cell r="BL29">
            <v>6594279.1299999999</v>
          </cell>
          <cell r="BM29">
            <v>26289234.59</v>
          </cell>
          <cell r="BN29">
            <v>30224343.960000001</v>
          </cell>
          <cell r="BO29">
            <v>30224343.960000001</v>
          </cell>
          <cell r="BP29">
            <v>30224343.960000001</v>
          </cell>
          <cell r="BQ29">
            <v>27537735.607999999</v>
          </cell>
          <cell r="BR29">
            <v>144500002.07800001</v>
          </cell>
          <cell r="BT29">
            <v>6</v>
          </cell>
          <cell r="CA29" t="str">
            <v>PUEBLO - CONTRACT - Base</v>
          </cell>
          <cell r="CC29" t="str">
            <v>PUEBLO - CONTRACT - Base - MR</v>
          </cell>
          <cell r="CD29" t="str">
            <v/>
          </cell>
          <cell r="CF29" t="str">
            <v>PUEBLO - Base - MR</v>
          </cell>
        </row>
        <row r="30">
          <cell r="D30">
            <v>16</v>
          </cell>
          <cell r="E30">
            <v>2</v>
          </cell>
          <cell r="F30">
            <v>4</v>
          </cell>
          <cell r="G30" t="str">
            <v>PUEBLO</v>
          </cell>
          <cell r="H30" t="str">
            <v>Pueblo Project</v>
          </cell>
          <cell r="I30" t="str">
            <v>MR</v>
          </cell>
          <cell r="J30" t="str">
            <v>MR Non-Proliferation and Security Services</v>
          </cell>
          <cell r="K30" t="str">
            <v>Army</v>
          </cell>
          <cell r="L30" t="str">
            <v>DOD</v>
          </cell>
          <cell r="M30" t="str">
            <v>CO</v>
          </cell>
          <cell r="N30" t="str">
            <v>CONUS</v>
          </cell>
          <cell r="O30">
            <v>45167</v>
          </cell>
          <cell r="P30">
            <v>46262</v>
          </cell>
          <cell r="Q30" t="str">
            <v>Sub</v>
          </cell>
          <cell r="R30" t="str">
            <v>CPAF</v>
          </cell>
          <cell r="S30">
            <v>0</v>
          </cell>
          <cell r="T30">
            <v>1</v>
          </cell>
          <cell r="U30" t="str">
            <v>CONTRACT</v>
          </cell>
          <cell r="V30" t="str">
            <v>Base</v>
          </cell>
          <cell r="W30">
            <v>0</v>
          </cell>
          <cell r="X30">
            <v>0</v>
          </cell>
          <cell r="Y30">
            <v>1</v>
          </cell>
          <cell r="Z30">
            <v>225000000</v>
          </cell>
          <cell r="AA30">
            <v>0</v>
          </cell>
          <cell r="AB30">
            <v>0</v>
          </cell>
          <cell r="AC30">
            <v>0</v>
          </cell>
          <cell r="AD30">
            <v>0</v>
          </cell>
          <cell r="AP30">
            <v>0.215</v>
          </cell>
          <cell r="AQ30">
            <v>0.215</v>
          </cell>
          <cell r="AR30">
            <v>0.215</v>
          </cell>
          <cell r="AS30">
            <v>0.215</v>
          </cell>
          <cell r="BI30">
            <v>0</v>
          </cell>
          <cell r="BJ30">
            <v>0</v>
          </cell>
          <cell r="BK30">
            <v>0</v>
          </cell>
          <cell r="BL30">
            <v>0</v>
          </cell>
          <cell r="BM30">
            <v>0</v>
          </cell>
          <cell r="BN30">
            <v>0</v>
          </cell>
          <cell r="BO30">
            <v>0</v>
          </cell>
          <cell r="BP30">
            <v>0</v>
          </cell>
          <cell r="BQ30">
            <v>1388541.6666666665</v>
          </cell>
          <cell r="BR30">
            <v>1388541.6666666665</v>
          </cell>
          <cell r="BT30">
            <v>6</v>
          </cell>
          <cell r="CA30" t="str">
            <v>PUEBLO - CONTRACT - Base</v>
          </cell>
          <cell r="CC30" t="str">
            <v>PUEBLO - CONTRACT - Base - MR - 2</v>
          </cell>
          <cell r="CD30" t="str">
            <v/>
          </cell>
          <cell r="CF30" t="str">
            <v>PUEBLO - Base - MR</v>
          </cell>
        </row>
        <row r="31">
          <cell r="D31">
            <v>17</v>
          </cell>
          <cell r="E31">
            <v>0</v>
          </cell>
          <cell r="F31">
            <v>5</v>
          </cell>
          <cell r="G31" t="str">
            <v>PUEBLO</v>
          </cell>
          <cell r="H31" t="str">
            <v>Pueblo Project</v>
          </cell>
          <cell r="I31" t="str">
            <v>MR</v>
          </cell>
          <cell r="J31" t="str">
            <v>MR Non-Proliferation and Security Services</v>
          </cell>
          <cell r="K31" t="str">
            <v>Army</v>
          </cell>
          <cell r="L31" t="str">
            <v>DOD</v>
          </cell>
          <cell r="M31" t="str">
            <v>CO</v>
          </cell>
          <cell r="N31" t="str">
            <v>CONUS</v>
          </cell>
          <cell r="O31">
            <v>39995</v>
          </cell>
          <cell r="P31">
            <v>45166</v>
          </cell>
          <cell r="Q31" t="str">
            <v>Sub</v>
          </cell>
          <cell r="R31" t="str">
            <v>CPAF</v>
          </cell>
          <cell r="S31">
            <v>0</v>
          </cell>
          <cell r="T31">
            <v>1</v>
          </cell>
          <cell r="U31" t="str">
            <v>EBITA</v>
          </cell>
          <cell r="V31" t="str">
            <v>Base</v>
          </cell>
          <cell r="W31" t="str">
            <v>05 Won</v>
          </cell>
          <cell r="X31" t="str">
            <v>Active</v>
          </cell>
          <cell r="Y31">
            <v>1</v>
          </cell>
          <cell r="Z31">
            <v>0</v>
          </cell>
          <cell r="AA31">
            <v>130639207.33000003</v>
          </cell>
          <cell r="AB31">
            <v>0</v>
          </cell>
          <cell r="AC31">
            <v>451000000</v>
          </cell>
          <cell r="AD31">
            <v>581639207.33000004</v>
          </cell>
          <cell r="AT31">
            <v>0.10561999681937041</v>
          </cell>
          <cell r="AU31">
            <v>0.14349020683232538</v>
          </cell>
          <cell r="AV31">
            <v>0.12398645615401843</v>
          </cell>
          <cell r="AW31">
            <v>0.12384470208337676</v>
          </cell>
          <cell r="AX31">
            <v>0.13500000000000001</v>
          </cell>
          <cell r="AY31">
            <v>0.13500000000000001</v>
          </cell>
          <cell r="AZ31">
            <v>0.13500000000000001</v>
          </cell>
          <cell r="BA31">
            <v>0.13500000000000001</v>
          </cell>
          <cell r="BF31">
            <v>12509633.320000004</v>
          </cell>
          <cell r="BG31">
            <v>16007415.52</v>
          </cell>
          <cell r="BH31">
            <v>13896729.939999998</v>
          </cell>
          <cell r="BI31">
            <v>3147033.7900000014</v>
          </cell>
          <cell r="BJ31">
            <v>4248939.5</v>
          </cell>
          <cell r="BK31">
            <v>4671479.8900000015</v>
          </cell>
          <cell r="BL31">
            <v>3991573.13</v>
          </cell>
          <cell r="BM31">
            <v>16059026.310000002</v>
          </cell>
          <cell r="BN31">
            <v>18978076.440000001</v>
          </cell>
          <cell r="BO31">
            <v>18978076.440000001</v>
          </cell>
          <cell r="BP31">
            <v>18978076.440000001</v>
          </cell>
          <cell r="BQ31">
            <v>17291136.312000003</v>
          </cell>
          <cell r="BR31">
            <v>90284391.942000002</v>
          </cell>
          <cell r="BT31">
            <v>6</v>
          </cell>
          <cell r="CA31" t="str">
            <v>PUEBLO - EBITA - Base</v>
          </cell>
          <cell r="CC31" t="str">
            <v>PUEBLO - EBITA - Base - MR</v>
          </cell>
          <cell r="CD31" t="str">
            <v/>
          </cell>
          <cell r="CF31" t="str">
            <v>PUEBLO - Base - MR</v>
          </cell>
        </row>
        <row r="32">
          <cell r="D32">
            <v>18</v>
          </cell>
          <cell r="E32">
            <v>0</v>
          </cell>
          <cell r="F32">
            <v>0</v>
          </cell>
          <cell r="G32" t="str">
            <v>PUEBLO</v>
          </cell>
          <cell r="H32" t="str">
            <v>Pueblo Project</v>
          </cell>
          <cell r="I32" t="str">
            <v>MR</v>
          </cell>
          <cell r="J32" t="str">
            <v>MR Non-Proliferation and Security Services</v>
          </cell>
          <cell r="K32" t="str">
            <v>Army</v>
          </cell>
          <cell r="L32" t="str">
            <v>DOD</v>
          </cell>
          <cell r="M32" t="str">
            <v>CO</v>
          </cell>
          <cell r="N32" t="str">
            <v>CONUS</v>
          </cell>
          <cell r="O32">
            <v>45167</v>
          </cell>
          <cell r="P32">
            <v>46262</v>
          </cell>
          <cell r="Q32" t="str">
            <v>Sub</v>
          </cell>
          <cell r="R32" t="str">
            <v>CPAF</v>
          </cell>
          <cell r="S32">
            <v>0</v>
          </cell>
          <cell r="T32">
            <v>1</v>
          </cell>
          <cell r="U32" t="str">
            <v>EBITA</v>
          </cell>
          <cell r="V32" t="str">
            <v>Base</v>
          </cell>
          <cell r="W32">
            <v>0</v>
          </cell>
          <cell r="X32">
            <v>0</v>
          </cell>
          <cell r="Y32">
            <v>1</v>
          </cell>
          <cell r="Z32">
            <v>225000000</v>
          </cell>
          <cell r="AA32">
            <v>0</v>
          </cell>
          <cell r="AB32">
            <v>0</v>
          </cell>
          <cell r="AC32">
            <v>0</v>
          </cell>
          <cell r="AD32">
            <v>0</v>
          </cell>
          <cell r="AX32">
            <v>0.1</v>
          </cell>
          <cell r="AY32">
            <v>0.1</v>
          </cell>
          <cell r="AZ32">
            <v>0.1</v>
          </cell>
          <cell r="BA32">
            <v>0.1</v>
          </cell>
          <cell r="BI32">
            <v>0</v>
          </cell>
          <cell r="BJ32">
            <v>0</v>
          </cell>
          <cell r="BK32">
            <v>0</v>
          </cell>
          <cell r="BL32">
            <v>0</v>
          </cell>
          <cell r="BM32">
            <v>0</v>
          </cell>
          <cell r="BN32">
            <v>0</v>
          </cell>
          <cell r="BO32">
            <v>0</v>
          </cell>
          <cell r="BP32">
            <v>0</v>
          </cell>
          <cell r="BQ32">
            <v>645833.33333333337</v>
          </cell>
          <cell r="BR32">
            <v>645833.33333333337</v>
          </cell>
          <cell r="BT32">
            <v>6</v>
          </cell>
          <cell r="CA32" t="str">
            <v>PUEBLO - EBITA - Base</v>
          </cell>
          <cell r="CC32" t="str">
            <v>PUEBLO - EBITA - Base - MR - 2</v>
          </cell>
          <cell r="CD32" t="str">
            <v/>
          </cell>
          <cell r="CF32" t="str">
            <v>PUEBLO - Base - MR</v>
          </cell>
        </row>
        <row r="33">
          <cell r="D33">
            <v>19</v>
          </cell>
          <cell r="E33">
            <v>1</v>
          </cell>
          <cell r="F33">
            <v>1</v>
          </cell>
          <cell r="G33" t="str">
            <v>USTRSY</v>
          </cell>
          <cell r="H33" t="str">
            <v>Treasury Seized Assets</v>
          </cell>
          <cell r="I33" t="str">
            <v>MR</v>
          </cell>
          <cell r="J33" t="str">
            <v>MR Logistics &amp; Supply</v>
          </cell>
          <cell r="K33" t="str">
            <v>DOT</v>
          </cell>
          <cell r="L33" t="str">
            <v>DOT</v>
          </cell>
          <cell r="M33" t="str">
            <v>VA</v>
          </cell>
          <cell r="N33" t="str">
            <v>CONUS</v>
          </cell>
          <cell r="O33">
            <v>41649</v>
          </cell>
          <cell r="P33">
            <v>45291</v>
          </cell>
          <cell r="Q33" t="str">
            <v>Prime</v>
          </cell>
          <cell r="R33" t="str">
            <v>FPAF</v>
          </cell>
          <cell r="S33">
            <v>0</v>
          </cell>
          <cell r="T33">
            <v>1</v>
          </cell>
          <cell r="U33" t="str">
            <v>REVTOT</v>
          </cell>
          <cell r="V33" t="str">
            <v>Base</v>
          </cell>
          <cell r="W33" t="str">
            <v>05 Won</v>
          </cell>
          <cell r="X33" t="str">
            <v>Active</v>
          </cell>
          <cell r="Y33">
            <v>1</v>
          </cell>
          <cell r="Z33">
            <v>0</v>
          </cell>
          <cell r="AA33">
            <v>22188695.539999995</v>
          </cell>
          <cell r="AB33">
            <v>61655173.160000004</v>
          </cell>
          <cell r="AC33">
            <v>40000000</v>
          </cell>
          <cell r="AD33">
            <v>123843868.7</v>
          </cell>
          <cell r="AE33">
            <v>0.16427333891057994</v>
          </cell>
          <cell r="AF33">
            <v>0.11165272193595444</v>
          </cell>
          <cell r="AG33">
            <v>-0.14052973127338453</v>
          </cell>
          <cell r="AH33">
            <v>3.3445852283794375E-2</v>
          </cell>
          <cell r="AI33">
            <v>0</v>
          </cell>
          <cell r="AJ33">
            <v>0</v>
          </cell>
          <cell r="AK33">
            <v>0</v>
          </cell>
          <cell r="BB33">
            <v>28873043</v>
          </cell>
          <cell r="BC33">
            <v>28873043</v>
          </cell>
          <cell r="BD33">
            <v>28873043</v>
          </cell>
          <cell r="BE33">
            <v>28873043</v>
          </cell>
          <cell r="BF33">
            <v>25115965.909999996</v>
          </cell>
          <cell r="BG33">
            <v>29241849.489999998</v>
          </cell>
          <cell r="BH33">
            <v>32506781.580000002</v>
          </cell>
          <cell r="BI33">
            <v>7787139.3899999997</v>
          </cell>
          <cell r="BJ33">
            <v>6668154.6500000004</v>
          </cell>
          <cell r="BK33">
            <v>6661622.8599999994</v>
          </cell>
          <cell r="BL33">
            <v>6821695.4000000004</v>
          </cell>
          <cell r="BM33">
            <v>27938612.299999997</v>
          </cell>
          <cell r="BN33">
            <v>28873043</v>
          </cell>
          <cell r="BO33">
            <v>28873043</v>
          </cell>
          <cell r="BP33">
            <v>28873043</v>
          </cell>
          <cell r="BQ33">
            <v>28873043</v>
          </cell>
          <cell r="BR33">
            <v>143430784.30000001</v>
          </cell>
          <cell r="BT33">
            <v>7</v>
          </cell>
          <cell r="CA33" t="str">
            <v>USTRSY - REVTOT - Base</v>
          </cell>
          <cell r="CC33" t="str">
            <v>USTRSY - REVTOT - Base - MR</v>
          </cell>
          <cell r="CD33" t="str">
            <v>USTRSY - REVTOT - Base - MR</v>
          </cell>
          <cell r="CF33" t="str">
            <v>USTRSY - Base - MR</v>
          </cell>
        </row>
        <row r="34">
          <cell r="D34">
            <v>20</v>
          </cell>
          <cell r="E34">
            <v>1</v>
          </cell>
          <cell r="F34">
            <v>2</v>
          </cell>
          <cell r="G34" t="str">
            <v>USTRSY</v>
          </cell>
          <cell r="H34" t="str">
            <v>Treasury Seized Assets</v>
          </cell>
          <cell r="I34" t="str">
            <v>MR</v>
          </cell>
          <cell r="J34" t="str">
            <v>MR Logistics &amp; Supply</v>
          </cell>
          <cell r="K34" t="str">
            <v>DOT</v>
          </cell>
          <cell r="L34" t="str">
            <v>DOT</v>
          </cell>
          <cell r="M34" t="str">
            <v>VA</v>
          </cell>
          <cell r="N34" t="str">
            <v>CONUS</v>
          </cell>
          <cell r="O34">
            <v>0</v>
          </cell>
          <cell r="P34">
            <v>0</v>
          </cell>
          <cell r="Q34">
            <v>0</v>
          </cell>
          <cell r="R34" t="str">
            <v>FPAF</v>
          </cell>
          <cell r="S34">
            <v>0</v>
          </cell>
          <cell r="T34">
            <v>1</v>
          </cell>
          <cell r="U34" t="str">
            <v>REVTOT</v>
          </cell>
          <cell r="V34" t="str">
            <v>Identified - Recompete</v>
          </cell>
          <cell r="W34">
            <v>0</v>
          </cell>
          <cell r="X34">
            <v>0</v>
          </cell>
          <cell r="Y34">
            <v>0</v>
          </cell>
          <cell r="Z34">
            <v>0</v>
          </cell>
          <cell r="AA34">
            <v>0</v>
          </cell>
          <cell r="AB34">
            <v>0</v>
          </cell>
          <cell r="AC34">
            <v>0</v>
          </cell>
          <cell r="AD34">
            <v>0</v>
          </cell>
          <cell r="AI34">
            <v>0</v>
          </cell>
          <cell r="AJ34">
            <v>0</v>
          </cell>
          <cell r="AK34">
            <v>0</v>
          </cell>
          <cell r="BB34">
            <v>0</v>
          </cell>
          <cell r="BC34">
            <v>0</v>
          </cell>
          <cell r="BD34">
            <v>0</v>
          </cell>
          <cell r="BE34">
            <v>0</v>
          </cell>
          <cell r="BI34">
            <v>0</v>
          </cell>
          <cell r="BJ34">
            <v>0</v>
          </cell>
          <cell r="BK34">
            <v>0</v>
          </cell>
          <cell r="BL34">
            <v>0</v>
          </cell>
          <cell r="BM34">
            <v>0</v>
          </cell>
          <cell r="BN34">
            <v>0</v>
          </cell>
          <cell r="BO34">
            <v>0</v>
          </cell>
          <cell r="BP34">
            <v>0</v>
          </cell>
          <cell r="BQ34">
            <v>0</v>
          </cell>
          <cell r="BR34">
            <v>0</v>
          </cell>
          <cell r="BT34">
            <v>7</v>
          </cell>
          <cell r="CA34" t="str">
            <v>USTRSY - REVTOT - Identified - Recompete</v>
          </cell>
          <cell r="CC34" t="str">
            <v>USTRSY - REVTOT - Identified - Recompete - MR</v>
          </cell>
          <cell r="CD34" t="str">
            <v/>
          </cell>
          <cell r="CF34" t="str">
            <v>USTRSY - Identified - Recompete - MR</v>
          </cell>
        </row>
        <row r="35">
          <cell r="D35">
            <v>21</v>
          </cell>
          <cell r="E35">
            <v>2</v>
          </cell>
          <cell r="F35">
            <v>3</v>
          </cell>
          <cell r="G35" t="str">
            <v>USTRSY</v>
          </cell>
          <cell r="H35" t="str">
            <v>Treasury Seized Assets</v>
          </cell>
          <cell r="I35" t="str">
            <v>MR</v>
          </cell>
          <cell r="J35" t="str">
            <v>MR Logistics &amp; Supply</v>
          </cell>
          <cell r="K35" t="str">
            <v>DOT</v>
          </cell>
          <cell r="L35" t="str">
            <v>DOT</v>
          </cell>
          <cell r="M35" t="str">
            <v>VA</v>
          </cell>
          <cell r="N35" t="str">
            <v>CONUS</v>
          </cell>
          <cell r="O35">
            <v>41649</v>
          </cell>
          <cell r="P35">
            <v>45291</v>
          </cell>
          <cell r="Q35" t="str">
            <v>Prime</v>
          </cell>
          <cell r="R35" t="str">
            <v>FPAF</v>
          </cell>
          <cell r="S35">
            <v>0</v>
          </cell>
          <cell r="T35">
            <v>1</v>
          </cell>
          <cell r="U35" t="str">
            <v>CONTRACT</v>
          </cell>
          <cell r="V35" t="str">
            <v>Base</v>
          </cell>
          <cell r="W35" t="str">
            <v>05 Won</v>
          </cell>
          <cell r="X35" t="str">
            <v>Active</v>
          </cell>
          <cell r="Y35">
            <v>1</v>
          </cell>
          <cell r="Z35">
            <v>0</v>
          </cell>
          <cell r="AA35">
            <v>22188695.539999995</v>
          </cell>
          <cell r="AB35">
            <v>61655173.160000004</v>
          </cell>
          <cell r="AC35">
            <v>40000000</v>
          </cell>
          <cell r="AD35">
            <v>123843868.7</v>
          </cell>
          <cell r="AL35">
            <v>0.23858613049057137</v>
          </cell>
          <cell r="AM35">
            <v>0.2161291686478754</v>
          </cell>
          <cell r="AN35">
            <v>0.2638001836292525</v>
          </cell>
          <cell r="AO35">
            <v>0.28751637353155152</v>
          </cell>
          <cell r="AP35">
            <v>0.26862044744454355</v>
          </cell>
          <cell r="AQ35">
            <v>0.26862044744454355</v>
          </cell>
          <cell r="AR35">
            <v>0.26862044744454355</v>
          </cell>
          <cell r="AS35">
            <v>0.26862044744454355</v>
          </cell>
          <cell r="BF35">
            <v>5992321.120000001</v>
          </cell>
          <cell r="BG35">
            <v>6320016.6199999992</v>
          </cell>
          <cell r="BH35">
            <v>8575294.950000003</v>
          </cell>
          <cell r="BI35">
            <v>1889391.7999999993</v>
          </cell>
          <cell r="BJ35">
            <v>1998227.16</v>
          </cell>
          <cell r="BK35">
            <v>2143929.1800000002</v>
          </cell>
          <cell r="BL35">
            <v>2001260.35</v>
          </cell>
          <cell r="BM35">
            <v>8032808.4899999984</v>
          </cell>
          <cell r="BN35">
            <v>7755889.7297455464</v>
          </cell>
          <cell r="BO35">
            <v>7755889.7297455464</v>
          </cell>
          <cell r="BP35">
            <v>7755889.7297455464</v>
          </cell>
          <cell r="BQ35">
            <v>7755889.7297455464</v>
          </cell>
          <cell r="BR35">
            <v>39056367.40898218</v>
          </cell>
          <cell r="BT35">
            <v>7</v>
          </cell>
          <cell r="CA35" t="str">
            <v>USTRSY - CONTRACT - Base</v>
          </cell>
          <cell r="CC35" t="str">
            <v>USTRSY - CONTRACT - Base - MR</v>
          </cell>
          <cell r="CD35" t="str">
            <v/>
          </cell>
          <cell r="CF35" t="str">
            <v>USTRSY - Base - MR</v>
          </cell>
        </row>
        <row r="36">
          <cell r="D36">
            <v>22</v>
          </cell>
          <cell r="E36">
            <v>2</v>
          </cell>
          <cell r="F36">
            <v>4</v>
          </cell>
          <cell r="G36" t="str">
            <v>USTRSY</v>
          </cell>
          <cell r="H36" t="str">
            <v>Treasury Seized Assets</v>
          </cell>
          <cell r="I36" t="str">
            <v>MR</v>
          </cell>
          <cell r="J36" t="str">
            <v>MR Logistics &amp; Supply</v>
          </cell>
          <cell r="K36" t="str">
            <v>DOT</v>
          </cell>
          <cell r="L36" t="str">
            <v>DOT</v>
          </cell>
          <cell r="M36" t="str">
            <v>VA</v>
          </cell>
          <cell r="N36" t="str">
            <v>CONUS</v>
          </cell>
          <cell r="O36">
            <v>0</v>
          </cell>
          <cell r="P36">
            <v>0</v>
          </cell>
          <cell r="Q36">
            <v>0</v>
          </cell>
          <cell r="R36" t="str">
            <v>FPAF</v>
          </cell>
          <cell r="S36">
            <v>0</v>
          </cell>
          <cell r="T36">
            <v>1</v>
          </cell>
          <cell r="U36" t="str">
            <v>CONTRACT</v>
          </cell>
          <cell r="V36" t="str">
            <v>Identified - Recompete</v>
          </cell>
          <cell r="W36">
            <v>0</v>
          </cell>
          <cell r="X36">
            <v>0</v>
          </cell>
          <cell r="Y36">
            <v>0</v>
          </cell>
          <cell r="Z36">
            <v>0</v>
          </cell>
          <cell r="AA36">
            <v>0</v>
          </cell>
          <cell r="AB36">
            <v>0</v>
          </cell>
          <cell r="AC36">
            <v>0</v>
          </cell>
          <cell r="AD36">
            <v>0</v>
          </cell>
          <cell r="AP36">
            <v>0.26862044744454355</v>
          </cell>
          <cell r="AQ36">
            <v>0.26862044744454355</v>
          </cell>
          <cell r="AR36">
            <v>0.26862044744454355</v>
          </cell>
          <cell r="AS36">
            <v>0.26862044744454355</v>
          </cell>
          <cell r="BI36">
            <v>0</v>
          </cell>
          <cell r="BJ36">
            <v>0</v>
          </cell>
          <cell r="BK36">
            <v>0</v>
          </cell>
          <cell r="BL36">
            <v>0</v>
          </cell>
          <cell r="BM36">
            <v>0</v>
          </cell>
          <cell r="BN36">
            <v>0</v>
          </cell>
          <cell r="BO36">
            <v>0</v>
          </cell>
          <cell r="BP36">
            <v>0</v>
          </cell>
          <cell r="BQ36">
            <v>0</v>
          </cell>
          <cell r="BR36">
            <v>0</v>
          </cell>
          <cell r="BT36">
            <v>7</v>
          </cell>
          <cell r="CA36" t="str">
            <v>USTRSY - CONTRACT - Identified - Recompete</v>
          </cell>
          <cell r="CC36" t="str">
            <v>USTRSY - CONTRACT - Identified - Recompete - MR</v>
          </cell>
          <cell r="CD36" t="str">
            <v/>
          </cell>
          <cell r="CF36" t="str">
            <v>USTRSY - Identified - Recompete - MR</v>
          </cell>
        </row>
        <row r="37">
          <cell r="D37">
            <v>23</v>
          </cell>
          <cell r="E37">
            <v>0</v>
          </cell>
          <cell r="F37">
            <v>5</v>
          </cell>
          <cell r="G37" t="str">
            <v>USTRSY</v>
          </cell>
          <cell r="H37" t="str">
            <v>Treasury Seized Assets</v>
          </cell>
          <cell r="I37" t="str">
            <v>MR</v>
          </cell>
          <cell r="J37" t="str">
            <v>MR Logistics &amp; Supply</v>
          </cell>
          <cell r="K37" t="str">
            <v>DOT</v>
          </cell>
          <cell r="L37" t="str">
            <v>DOT</v>
          </cell>
          <cell r="M37" t="str">
            <v>VA</v>
          </cell>
          <cell r="N37" t="str">
            <v>CONUS</v>
          </cell>
          <cell r="O37">
            <v>41649</v>
          </cell>
          <cell r="P37">
            <v>45291</v>
          </cell>
          <cell r="Q37" t="str">
            <v>Prime</v>
          </cell>
          <cell r="R37" t="str">
            <v>FPAF</v>
          </cell>
          <cell r="S37">
            <v>0</v>
          </cell>
          <cell r="T37">
            <v>1</v>
          </cell>
          <cell r="U37" t="str">
            <v>EBITA</v>
          </cell>
          <cell r="V37" t="str">
            <v>Base</v>
          </cell>
          <cell r="W37" t="str">
            <v>05 Won</v>
          </cell>
          <cell r="X37" t="str">
            <v>Active</v>
          </cell>
          <cell r="Y37">
            <v>1</v>
          </cell>
          <cell r="Z37">
            <v>0</v>
          </cell>
          <cell r="AA37">
            <v>22188695.539999995</v>
          </cell>
          <cell r="AB37">
            <v>61655173.160000004</v>
          </cell>
          <cell r="AC37">
            <v>40000000</v>
          </cell>
          <cell r="AD37">
            <v>123843868.7</v>
          </cell>
          <cell r="AT37">
            <v>0.18941515914806406</v>
          </cell>
          <cell r="AU37">
            <v>0.16761538703891332</v>
          </cell>
          <cell r="AV37">
            <v>0.21977440437830023</v>
          </cell>
          <cell r="AW37">
            <v>0.24567909945906655</v>
          </cell>
          <cell r="AX37">
            <v>0.22519301618111165</v>
          </cell>
          <cell r="AY37">
            <v>0.22619301618111165</v>
          </cell>
          <cell r="AZ37">
            <v>0.22719301618111165</v>
          </cell>
          <cell r="BA37">
            <v>0.22819301618111165</v>
          </cell>
          <cell r="BF37">
            <v>4757344.6800000006</v>
          </cell>
          <cell r="BG37">
            <v>4901383.92</v>
          </cell>
          <cell r="BH37">
            <v>7144158.5600000015</v>
          </cell>
          <cell r="BI37">
            <v>1571059.0699999994</v>
          </cell>
          <cell r="BJ37">
            <v>1726053.9</v>
          </cell>
          <cell r="BK37">
            <v>1859605.3900000001</v>
          </cell>
          <cell r="BL37">
            <v>1707214.75</v>
          </cell>
          <cell r="BM37">
            <v>6863933.1099999994</v>
          </cell>
          <cell r="BN37">
            <v>6502007.6394969327</v>
          </cell>
          <cell r="BO37">
            <v>6530880.6824969323</v>
          </cell>
          <cell r="BP37">
            <v>6559753.7254969329</v>
          </cell>
          <cell r="BQ37">
            <v>6588626.7684969325</v>
          </cell>
          <cell r="BR37">
            <v>33045201.925987728</v>
          </cell>
          <cell r="BT37">
            <v>7</v>
          </cell>
          <cell r="CA37" t="str">
            <v>USTRSY - EBITA - Base</v>
          </cell>
          <cell r="CC37" t="str">
            <v>USTRSY - EBITA - Base - MR</v>
          </cell>
          <cell r="CD37" t="str">
            <v/>
          </cell>
          <cell r="CF37" t="str">
            <v>USTRSY - Base - MR</v>
          </cell>
        </row>
        <row r="38">
          <cell r="D38">
            <v>24</v>
          </cell>
          <cell r="E38">
            <v>0</v>
          </cell>
          <cell r="F38">
            <v>0</v>
          </cell>
          <cell r="G38" t="str">
            <v>USTRSY</v>
          </cell>
          <cell r="H38" t="str">
            <v>Treasury Seized Assets</v>
          </cell>
          <cell r="I38" t="str">
            <v>MR</v>
          </cell>
          <cell r="J38" t="str">
            <v>MR Logistics &amp; Supply</v>
          </cell>
          <cell r="K38" t="str">
            <v>DOT</v>
          </cell>
          <cell r="L38" t="str">
            <v>DOT</v>
          </cell>
          <cell r="M38" t="str">
            <v>VA</v>
          </cell>
          <cell r="N38" t="str">
            <v>CONUS</v>
          </cell>
          <cell r="O38">
            <v>0</v>
          </cell>
          <cell r="P38">
            <v>0</v>
          </cell>
          <cell r="Q38">
            <v>0</v>
          </cell>
          <cell r="R38" t="str">
            <v>FPAF</v>
          </cell>
          <cell r="S38">
            <v>0</v>
          </cell>
          <cell r="T38">
            <v>1</v>
          </cell>
          <cell r="U38" t="str">
            <v>EBITA</v>
          </cell>
          <cell r="V38" t="str">
            <v>Identified - Recompete</v>
          </cell>
          <cell r="W38">
            <v>0</v>
          </cell>
          <cell r="X38">
            <v>0</v>
          </cell>
          <cell r="Y38">
            <v>0</v>
          </cell>
          <cell r="Z38">
            <v>0</v>
          </cell>
          <cell r="AA38">
            <v>0</v>
          </cell>
          <cell r="AB38">
            <v>0</v>
          </cell>
          <cell r="AC38">
            <v>0</v>
          </cell>
          <cell r="AD38">
            <v>0</v>
          </cell>
          <cell r="AX38">
            <v>0.22519301618111165</v>
          </cell>
          <cell r="AY38">
            <v>0.22619301618111165</v>
          </cell>
          <cell r="AZ38">
            <v>0.22719301618111165</v>
          </cell>
          <cell r="BA38">
            <v>0.22819301618111165</v>
          </cell>
          <cell r="BI38">
            <v>0</v>
          </cell>
          <cell r="BJ38">
            <v>0</v>
          </cell>
          <cell r="BK38">
            <v>0</v>
          </cell>
          <cell r="BL38">
            <v>0</v>
          </cell>
          <cell r="BM38">
            <v>0</v>
          </cell>
          <cell r="BN38">
            <v>0</v>
          </cell>
          <cell r="BO38">
            <v>0</v>
          </cell>
          <cell r="BP38">
            <v>0</v>
          </cell>
          <cell r="BQ38">
            <v>0</v>
          </cell>
          <cell r="BR38">
            <v>0</v>
          </cell>
          <cell r="BT38">
            <v>7</v>
          </cell>
          <cell r="CA38" t="str">
            <v>USTRSY - EBITA - Identified - Recompete</v>
          </cell>
          <cell r="CC38" t="str">
            <v>USTRSY - EBITA - Identified - Recompete - MR</v>
          </cell>
          <cell r="CD38" t="str">
            <v/>
          </cell>
          <cell r="CF38" t="str">
            <v>USTRSY - Identified - Recompete - MR</v>
          </cell>
        </row>
        <row r="39">
          <cell r="D39">
            <v>25</v>
          </cell>
          <cell r="E39">
            <v>1</v>
          </cell>
          <cell r="F39">
            <v>1</v>
          </cell>
          <cell r="G39" t="str">
            <v>APS5KU</v>
          </cell>
          <cell r="H39" t="str">
            <v>EAGLE APS5 Kuwait</v>
          </cell>
          <cell r="I39" t="str">
            <v>MR</v>
          </cell>
          <cell r="J39" t="str">
            <v>MR Maintenance &amp; Sustainment</v>
          </cell>
          <cell r="K39" t="str">
            <v>Army</v>
          </cell>
          <cell r="L39" t="str">
            <v>DOD</v>
          </cell>
          <cell r="M39" t="str">
            <v>Kuwait</v>
          </cell>
          <cell r="N39" t="str">
            <v>OCONUS</v>
          </cell>
          <cell r="O39">
            <v>42738</v>
          </cell>
          <cell r="P39">
            <v>44255</v>
          </cell>
          <cell r="Q39" t="str">
            <v>Prime</v>
          </cell>
          <cell r="R39" t="str">
            <v>CPFF</v>
          </cell>
          <cell r="S39">
            <v>0</v>
          </cell>
          <cell r="T39">
            <v>1</v>
          </cell>
          <cell r="U39" t="str">
            <v>REVTOT</v>
          </cell>
          <cell r="V39" t="str">
            <v>Base</v>
          </cell>
          <cell r="W39" t="str">
            <v>05 Won</v>
          </cell>
          <cell r="X39" t="str">
            <v>Active</v>
          </cell>
          <cell r="Y39">
            <v>1</v>
          </cell>
          <cell r="Z39">
            <v>0</v>
          </cell>
          <cell r="AA39">
            <v>49937037.199999981</v>
          </cell>
          <cell r="AB39">
            <v>135805335.62999994</v>
          </cell>
          <cell r="AC39">
            <v>130000000</v>
          </cell>
          <cell r="AD39">
            <v>315742372.82999992</v>
          </cell>
          <cell r="AE39">
            <v>0</v>
          </cell>
          <cell r="AF39">
            <v>1.7686883409997534</v>
          </cell>
          <cell r="AG39">
            <v>-1.667795239319303E-2</v>
          </cell>
          <cell r="AH39">
            <v>5.3664595731543363E-2</v>
          </cell>
          <cell r="AI39">
            <v>0</v>
          </cell>
          <cell r="AJ39">
            <v>0</v>
          </cell>
          <cell r="AK39">
            <v>0</v>
          </cell>
          <cell r="BB39">
            <v>191782535.94999999</v>
          </cell>
          <cell r="BC39">
            <v>191782535.94999999</v>
          </cell>
          <cell r="BD39">
            <v>191782535.94999999</v>
          </cell>
          <cell r="BE39">
            <v>191782535.94999999</v>
          </cell>
          <cell r="BF39">
            <v>0</v>
          </cell>
          <cell r="BG39">
            <v>66855450.679999992</v>
          </cell>
          <cell r="BH39">
            <v>185101906.83000001</v>
          </cell>
          <cell r="BI39">
            <v>43976432.099999994</v>
          </cell>
          <cell r="BJ39">
            <v>46059449.560000002</v>
          </cell>
          <cell r="BK39">
            <v>46761045.010000005</v>
          </cell>
          <cell r="BL39">
            <v>45217859.369999997</v>
          </cell>
          <cell r="BM39">
            <v>182014786.04000002</v>
          </cell>
          <cell r="BN39">
            <v>191782535.94999999</v>
          </cell>
          <cell r="BO39">
            <v>123959836.87999994</v>
          </cell>
          <cell r="BP39">
            <v>0</v>
          </cell>
          <cell r="BQ39">
            <v>0</v>
          </cell>
          <cell r="BR39">
            <v>497757158.86999995</v>
          </cell>
          <cell r="BT39">
            <v>8</v>
          </cell>
          <cell r="CA39" t="str">
            <v>APS5KU - REVTOT - Base</v>
          </cell>
          <cell r="CC39" t="str">
            <v>APS5KU - REVTOT - Base - MR</v>
          </cell>
          <cell r="CD39" t="str">
            <v>APS5KU - REVTOT - Base - MR</v>
          </cell>
          <cell r="CF39" t="str">
            <v>APS5KU - Base - MR</v>
          </cell>
        </row>
        <row r="40">
          <cell r="D40">
            <v>26</v>
          </cell>
          <cell r="E40">
            <v>1</v>
          </cell>
          <cell r="F40">
            <v>2</v>
          </cell>
          <cell r="G40" t="str">
            <v>APS5KU</v>
          </cell>
          <cell r="H40" t="str">
            <v>EAGLE APS5 Kuwait</v>
          </cell>
          <cell r="I40" t="str">
            <v>MR</v>
          </cell>
          <cell r="J40" t="str">
            <v>MR Maintenance &amp; Sustainment</v>
          </cell>
          <cell r="K40" t="str">
            <v>Army</v>
          </cell>
          <cell r="L40" t="str">
            <v>DOD</v>
          </cell>
          <cell r="M40" t="str">
            <v>Kuwait</v>
          </cell>
          <cell r="N40" t="str">
            <v>OCONUS</v>
          </cell>
          <cell r="O40">
            <v>44256</v>
          </cell>
          <cell r="P40">
            <v>46081</v>
          </cell>
          <cell r="Q40" t="str">
            <v>Prime</v>
          </cell>
          <cell r="R40" t="str">
            <v>CPFF</v>
          </cell>
          <cell r="S40">
            <v>0</v>
          </cell>
          <cell r="T40">
            <v>1</v>
          </cell>
          <cell r="U40" t="str">
            <v>REVTOT</v>
          </cell>
          <cell r="V40" t="str">
            <v>Identified - Recompete</v>
          </cell>
          <cell r="W40" t="str">
            <v>01 Prospect</v>
          </cell>
          <cell r="X40" t="str">
            <v>Priority 1</v>
          </cell>
          <cell r="Y40">
            <v>0.7</v>
          </cell>
          <cell r="Z40">
            <v>900000000</v>
          </cell>
          <cell r="AA40">
            <v>0</v>
          </cell>
          <cell r="AB40">
            <v>0</v>
          </cell>
          <cell r="AC40">
            <v>0</v>
          </cell>
          <cell r="AD40">
            <v>0</v>
          </cell>
          <cell r="AI40">
            <v>0</v>
          </cell>
          <cell r="AJ40">
            <v>0</v>
          </cell>
          <cell r="AK40">
            <v>0</v>
          </cell>
          <cell r="BB40">
            <v>180000000</v>
          </cell>
          <cell r="BC40">
            <v>180000000</v>
          </cell>
          <cell r="BD40">
            <v>180000000</v>
          </cell>
          <cell r="BE40">
            <v>180000000</v>
          </cell>
          <cell r="BI40">
            <v>0</v>
          </cell>
          <cell r="BJ40">
            <v>0</v>
          </cell>
          <cell r="BK40">
            <v>0</v>
          </cell>
          <cell r="BL40">
            <v>0</v>
          </cell>
          <cell r="BM40">
            <v>0</v>
          </cell>
          <cell r="BN40">
            <v>0</v>
          </cell>
          <cell r="BO40">
            <v>73150000</v>
          </cell>
          <cell r="BP40">
            <v>125999999.99999999</v>
          </cell>
          <cell r="BQ40">
            <v>125999999.99999999</v>
          </cell>
          <cell r="BR40">
            <v>325150000</v>
          </cell>
          <cell r="BT40">
            <v>8</v>
          </cell>
          <cell r="CA40" t="str">
            <v>APS5KU - REVTOT - Identified - Recompete</v>
          </cell>
          <cell r="CC40" t="str">
            <v>APS5KU - REVTOT - Identified - Recompete - MR</v>
          </cell>
          <cell r="CD40" t="str">
            <v/>
          </cell>
          <cell r="CF40" t="str">
            <v>APS5KU - Identified - Recompete - MR</v>
          </cell>
        </row>
        <row r="41">
          <cell r="D41">
            <v>27</v>
          </cell>
          <cell r="E41">
            <v>2</v>
          </cell>
          <cell r="F41">
            <v>3</v>
          </cell>
          <cell r="G41" t="str">
            <v>APS5KU</v>
          </cell>
          <cell r="H41" t="str">
            <v>EAGLE APS5 Kuwait</v>
          </cell>
          <cell r="I41" t="str">
            <v>MR</v>
          </cell>
          <cell r="J41" t="str">
            <v>MR Maintenance &amp; Sustainment</v>
          </cell>
          <cell r="K41" t="str">
            <v>Army</v>
          </cell>
          <cell r="L41" t="str">
            <v>DOD</v>
          </cell>
          <cell r="M41" t="str">
            <v>Kuwait</v>
          </cell>
          <cell r="N41" t="str">
            <v>OCONUS</v>
          </cell>
          <cell r="O41">
            <v>42738</v>
          </cell>
          <cell r="P41">
            <v>44255</v>
          </cell>
          <cell r="Q41" t="str">
            <v>Prime</v>
          </cell>
          <cell r="R41" t="str">
            <v>CPFF</v>
          </cell>
          <cell r="S41">
            <v>0</v>
          </cell>
          <cell r="T41">
            <v>1</v>
          </cell>
          <cell r="U41" t="str">
            <v>CONTRACT</v>
          </cell>
          <cell r="V41" t="str">
            <v>Base</v>
          </cell>
          <cell r="W41" t="str">
            <v>05 Won</v>
          </cell>
          <cell r="X41" t="str">
            <v>Active</v>
          </cell>
          <cell r="Y41">
            <v>1</v>
          </cell>
          <cell r="Z41">
            <v>0</v>
          </cell>
          <cell r="AA41">
            <v>49937037.199999981</v>
          </cell>
          <cell r="AB41">
            <v>135805335.62999994</v>
          </cell>
          <cell r="AC41">
            <v>130000000</v>
          </cell>
          <cell r="AD41">
            <v>315742372.82999992</v>
          </cell>
          <cell r="AL41">
            <v>0</v>
          </cell>
          <cell r="AM41">
            <v>9.3085808213117308E-2</v>
          </cell>
          <cell r="AN41">
            <v>0.11251333298866155</v>
          </cell>
          <cell r="AO41">
            <v>0.12842784695822945</v>
          </cell>
          <cell r="AP41">
            <v>0.12930098655172517</v>
          </cell>
          <cell r="AQ41">
            <v>0.12930098655172517</v>
          </cell>
          <cell r="AR41">
            <v>0.12930098655172517</v>
          </cell>
          <cell r="AS41">
            <v>0.12930098655172517</v>
          </cell>
          <cell r="BF41">
            <v>0</v>
          </cell>
          <cell r="BG41">
            <v>6223293.660000002</v>
          </cell>
          <cell r="BH41">
            <v>20826432.479999997</v>
          </cell>
          <cell r="BI41">
            <v>5810974.0099999998</v>
          </cell>
          <cell r="BJ41">
            <v>6159035.1899999976</v>
          </cell>
          <cell r="BK41">
            <v>6296595.1900000032</v>
          </cell>
          <cell r="BL41">
            <v>5109162.6956799999</v>
          </cell>
          <cell r="BM41">
            <v>23375767.08568</v>
          </cell>
          <cell r="BN41">
            <v>24797671.1017267</v>
          </cell>
          <cell r="BO41">
            <v>16028129.201374918</v>
          </cell>
          <cell r="BP41">
            <v>0</v>
          </cell>
          <cell r="BQ41">
            <v>0</v>
          </cell>
          <cell r="BR41">
            <v>64201567.388781622</v>
          </cell>
          <cell r="BT41">
            <v>8</v>
          </cell>
          <cell r="CA41" t="str">
            <v>APS5KU - CONTRACT - Base</v>
          </cell>
          <cell r="CC41" t="str">
            <v>APS5KU - CONTRACT - Base - MR</v>
          </cell>
          <cell r="CD41" t="str">
            <v/>
          </cell>
          <cell r="CF41" t="str">
            <v>APS5KU - Base - MR</v>
          </cell>
        </row>
        <row r="42">
          <cell r="D42">
            <v>28</v>
          </cell>
          <cell r="E42">
            <v>2</v>
          </cell>
          <cell r="F42">
            <v>4</v>
          </cell>
          <cell r="G42" t="str">
            <v>APS5KU</v>
          </cell>
          <cell r="H42" t="str">
            <v>EAGLE APS5 Kuwait</v>
          </cell>
          <cell r="I42" t="str">
            <v>MR</v>
          </cell>
          <cell r="J42" t="str">
            <v>MR Maintenance &amp; Sustainment</v>
          </cell>
          <cell r="K42" t="str">
            <v>Army</v>
          </cell>
          <cell r="L42" t="str">
            <v>DOD</v>
          </cell>
          <cell r="M42" t="str">
            <v>Kuwait</v>
          </cell>
          <cell r="N42" t="str">
            <v>OCONUS</v>
          </cell>
          <cell r="O42">
            <v>44256</v>
          </cell>
          <cell r="P42">
            <v>46081</v>
          </cell>
          <cell r="Q42" t="str">
            <v>Prime</v>
          </cell>
          <cell r="R42" t="str">
            <v>CPFF</v>
          </cell>
          <cell r="S42">
            <v>0</v>
          </cell>
          <cell r="T42">
            <v>1</v>
          </cell>
          <cell r="U42" t="str">
            <v>CONTRACT</v>
          </cell>
          <cell r="V42" t="str">
            <v>Identified - Recompete</v>
          </cell>
          <cell r="W42" t="str">
            <v>01 Prospect</v>
          </cell>
          <cell r="X42" t="str">
            <v>Priority 1</v>
          </cell>
          <cell r="Y42">
            <v>0.7</v>
          </cell>
          <cell r="Z42">
            <v>900000000</v>
          </cell>
          <cell r="AA42">
            <v>0</v>
          </cell>
          <cell r="AB42">
            <v>0</v>
          </cell>
          <cell r="AC42">
            <v>0</v>
          </cell>
          <cell r="AD42">
            <v>0</v>
          </cell>
          <cell r="AP42">
            <v>0.13342784695822946</v>
          </cell>
          <cell r="AQ42">
            <v>0.13430098655172518</v>
          </cell>
          <cell r="AR42">
            <v>0.13430098655172518</v>
          </cell>
          <cell r="AS42">
            <v>0.13430098655172518</v>
          </cell>
          <cell r="BI42">
            <v>0</v>
          </cell>
          <cell r="BJ42">
            <v>0</v>
          </cell>
          <cell r="BK42">
            <v>0</v>
          </cell>
          <cell r="BL42">
            <v>0</v>
          </cell>
          <cell r="BM42">
            <v>0</v>
          </cell>
          <cell r="BN42">
            <v>0</v>
          </cell>
          <cell r="BO42">
            <v>9824117.1662586965</v>
          </cell>
          <cell r="BP42">
            <v>16921924.305517372</v>
          </cell>
          <cell r="BQ42">
            <v>16921924.305517372</v>
          </cell>
          <cell r="BR42">
            <v>43667965.777293444</v>
          </cell>
          <cell r="BT42">
            <v>8</v>
          </cell>
          <cell r="CA42" t="str">
            <v>APS5KU - CONTRACT - Identified - Recompete</v>
          </cell>
          <cell r="CC42" t="str">
            <v>APS5KU - CONTRACT - Identified - Recompete - MR</v>
          </cell>
          <cell r="CD42" t="str">
            <v/>
          </cell>
          <cell r="CF42" t="str">
            <v>APS5KU - Identified - Recompete - MR</v>
          </cell>
        </row>
        <row r="43">
          <cell r="D43">
            <v>29</v>
          </cell>
          <cell r="E43">
            <v>0</v>
          </cell>
          <cell r="F43">
            <v>5</v>
          </cell>
          <cell r="G43" t="str">
            <v>APS5KU</v>
          </cell>
          <cell r="H43" t="str">
            <v>EAGLE APS5 Kuwait</v>
          </cell>
          <cell r="I43" t="str">
            <v>MR</v>
          </cell>
          <cell r="J43" t="str">
            <v>MR Maintenance &amp; Sustainment</v>
          </cell>
          <cell r="K43" t="str">
            <v>Army</v>
          </cell>
          <cell r="L43" t="str">
            <v>DOD</v>
          </cell>
          <cell r="M43" t="str">
            <v>Kuwait</v>
          </cell>
          <cell r="N43" t="str">
            <v>OCONUS</v>
          </cell>
          <cell r="O43">
            <v>42738</v>
          </cell>
          <cell r="P43">
            <v>44255</v>
          </cell>
          <cell r="Q43" t="str">
            <v>Prime</v>
          </cell>
          <cell r="R43" t="str">
            <v>CPFF</v>
          </cell>
          <cell r="S43">
            <v>0</v>
          </cell>
          <cell r="T43">
            <v>1</v>
          </cell>
          <cell r="U43" t="str">
            <v>EBITA</v>
          </cell>
          <cell r="V43" t="str">
            <v>Base</v>
          </cell>
          <cell r="W43" t="str">
            <v>05 Won</v>
          </cell>
          <cell r="X43" t="str">
            <v>Active</v>
          </cell>
          <cell r="Y43">
            <v>1</v>
          </cell>
          <cell r="Z43">
            <v>0</v>
          </cell>
          <cell r="AA43">
            <v>49937037.199999981</v>
          </cell>
          <cell r="AB43">
            <v>135805335.62999994</v>
          </cell>
          <cell r="AC43">
            <v>130000000</v>
          </cell>
          <cell r="AD43">
            <v>315742372.82999992</v>
          </cell>
          <cell r="AT43">
            <v>0</v>
          </cell>
          <cell r="AU43">
            <v>1.3788639828521484E-2</v>
          </cell>
          <cell r="AV43">
            <v>2.3963612077069579E-2</v>
          </cell>
          <cell r="AW43">
            <v>3.3939471165888802E-2</v>
          </cell>
          <cell r="AX43">
            <v>3.174899495273225E-2</v>
          </cell>
          <cell r="AY43">
            <v>3.174899495273225E-2</v>
          </cell>
          <cell r="AZ43">
            <v>3.174899495273225E-2</v>
          </cell>
          <cell r="BA43">
            <v>3.174899495273225E-2</v>
          </cell>
          <cell r="BF43">
            <v>0</v>
          </cell>
          <cell r="BG43">
            <v>921845.73000000161</v>
          </cell>
          <cell r="BH43">
            <v>4435710.2899999963</v>
          </cell>
          <cell r="BI43">
            <v>1368387.3099999996</v>
          </cell>
          <cell r="BJ43">
            <v>1690275.7699999977</v>
          </cell>
          <cell r="BK43">
            <v>1696019.9700000035</v>
          </cell>
          <cell r="BL43">
            <v>1422802.5325699998</v>
          </cell>
          <cell r="BM43">
            <v>6177485.5825700006</v>
          </cell>
          <cell r="BN43">
            <v>6088902.7658987409</v>
          </cell>
          <cell r="BO43">
            <v>3935600.235444631</v>
          </cell>
          <cell r="BP43">
            <v>0</v>
          </cell>
          <cell r="BQ43">
            <v>0</v>
          </cell>
          <cell r="BR43">
            <v>16201988.583913373</v>
          </cell>
          <cell r="BT43">
            <v>8</v>
          </cell>
          <cell r="CA43" t="str">
            <v>APS5KU - EBITA - Base</v>
          </cell>
          <cell r="CC43" t="str">
            <v>APS5KU - EBITA - Base - MR</v>
          </cell>
          <cell r="CD43" t="str">
            <v/>
          </cell>
          <cell r="CF43" t="str">
            <v>APS5KU - Base - MR</v>
          </cell>
        </row>
        <row r="44">
          <cell r="D44">
            <v>30</v>
          </cell>
          <cell r="E44">
            <v>0</v>
          </cell>
          <cell r="F44">
            <v>0</v>
          </cell>
          <cell r="G44" t="str">
            <v>APS5KU</v>
          </cell>
          <cell r="H44" t="str">
            <v>EAGLE APS5 Kuwait</v>
          </cell>
          <cell r="I44" t="str">
            <v>MR</v>
          </cell>
          <cell r="J44" t="str">
            <v>MR Maintenance &amp; Sustainment</v>
          </cell>
          <cell r="K44" t="str">
            <v>Army</v>
          </cell>
          <cell r="L44" t="str">
            <v>DOD</v>
          </cell>
          <cell r="M44" t="str">
            <v>Kuwait</v>
          </cell>
          <cell r="N44" t="str">
            <v>OCONUS</v>
          </cell>
          <cell r="O44">
            <v>44256</v>
          </cell>
          <cell r="P44">
            <v>46081</v>
          </cell>
          <cell r="Q44" t="str">
            <v>Prime</v>
          </cell>
          <cell r="R44" t="str">
            <v>CPFF</v>
          </cell>
          <cell r="S44">
            <v>0</v>
          </cell>
          <cell r="T44">
            <v>1</v>
          </cell>
          <cell r="U44" t="str">
            <v>EBITA</v>
          </cell>
          <cell r="V44" t="str">
            <v>Identified - Recompete</v>
          </cell>
          <cell r="W44" t="str">
            <v>01 Prospect</v>
          </cell>
          <cell r="X44" t="str">
            <v>Priority 1</v>
          </cell>
          <cell r="Y44">
            <v>0.7</v>
          </cell>
          <cell r="Z44">
            <v>900000000</v>
          </cell>
          <cell r="AA44">
            <v>0</v>
          </cell>
          <cell r="AB44">
            <v>0</v>
          </cell>
          <cell r="AC44">
            <v>0</v>
          </cell>
          <cell r="AD44">
            <v>0</v>
          </cell>
          <cell r="AX44">
            <v>3.6748994952732247E-2</v>
          </cell>
          <cell r="AY44">
            <v>3.6748994952732247E-2</v>
          </cell>
          <cell r="AZ44">
            <v>3.6748994952732247E-2</v>
          </cell>
          <cell r="BA44">
            <v>3.6748994952732247E-2</v>
          </cell>
          <cell r="BI44">
            <v>0</v>
          </cell>
          <cell r="BJ44">
            <v>0</v>
          </cell>
          <cell r="BK44">
            <v>0</v>
          </cell>
          <cell r="BL44">
            <v>0</v>
          </cell>
          <cell r="BM44">
            <v>0</v>
          </cell>
          <cell r="BN44">
            <v>0</v>
          </cell>
          <cell r="BO44">
            <v>2688188.9807923641</v>
          </cell>
          <cell r="BP44">
            <v>4630373.364044263</v>
          </cell>
          <cell r="BQ44">
            <v>4630373.364044263</v>
          </cell>
          <cell r="BR44">
            <v>11948935.70888089</v>
          </cell>
          <cell r="BT44">
            <v>8</v>
          </cell>
          <cell r="CA44" t="str">
            <v>APS5KU - EBITA - Identified - Recompete</v>
          </cell>
          <cell r="CC44" t="str">
            <v>APS5KU - EBITA - Identified - Recompete - MR</v>
          </cell>
          <cell r="CD44" t="str">
            <v/>
          </cell>
          <cell r="CF44" t="str">
            <v>APS5KU - Identified - Recompete - MR</v>
          </cell>
        </row>
        <row r="45">
          <cell r="D45">
            <v>31</v>
          </cell>
          <cell r="E45">
            <v>1</v>
          </cell>
          <cell r="F45">
            <v>1</v>
          </cell>
          <cell r="G45" t="str">
            <v>FTRWFT</v>
          </cell>
          <cell r="H45" t="str">
            <v>FT-RWFT</v>
          </cell>
          <cell r="I45" t="str">
            <v>MR</v>
          </cell>
          <cell r="J45" t="str">
            <v>MR Warfighter Support</v>
          </cell>
          <cell r="K45" t="str">
            <v>Army</v>
          </cell>
          <cell r="L45" t="str">
            <v>DOD</v>
          </cell>
          <cell r="M45" t="str">
            <v>AL</v>
          </cell>
          <cell r="N45" t="str">
            <v>CONUS</v>
          </cell>
          <cell r="O45">
            <v>43110</v>
          </cell>
          <cell r="P45">
            <v>46396</v>
          </cell>
          <cell r="Q45" t="str">
            <v>Other</v>
          </cell>
          <cell r="R45" t="str">
            <v>CPFF</v>
          </cell>
          <cell r="S45">
            <v>0</v>
          </cell>
          <cell r="T45">
            <v>1</v>
          </cell>
          <cell r="U45" t="str">
            <v>REVTOT</v>
          </cell>
          <cell r="V45" t="str">
            <v>Base</v>
          </cell>
          <cell r="W45" t="str">
            <v>05 Won</v>
          </cell>
          <cell r="X45" t="str">
            <v>Active</v>
          </cell>
          <cell r="Y45">
            <v>1</v>
          </cell>
          <cell r="Z45">
            <v>0</v>
          </cell>
          <cell r="AA45">
            <v>6883378.2099999916</v>
          </cell>
          <cell r="AB45">
            <v>332249371</v>
          </cell>
          <cell r="AC45">
            <v>0</v>
          </cell>
          <cell r="AD45">
            <v>339132749.20999998</v>
          </cell>
          <cell r="AE45">
            <v>0</v>
          </cell>
          <cell r="AF45">
            <v>0</v>
          </cell>
          <cell r="AG45">
            <v>0.44138446665677633</v>
          </cell>
          <cell r="AH45">
            <v>-1.5871115624348286E-2</v>
          </cell>
          <cell r="AI45">
            <v>0</v>
          </cell>
          <cell r="AJ45">
            <v>0</v>
          </cell>
          <cell r="AK45">
            <v>0</v>
          </cell>
          <cell r="BB45">
            <v>60109993.120000005</v>
          </cell>
          <cell r="BC45">
            <v>60109993.120000005</v>
          </cell>
          <cell r="BD45">
            <v>60109993.120000005</v>
          </cell>
          <cell r="BE45">
            <v>60109993.120000005</v>
          </cell>
          <cell r="BF45">
            <v>0</v>
          </cell>
          <cell r="BG45">
            <v>0</v>
          </cell>
          <cell r="BH45">
            <v>42375502.590000004</v>
          </cell>
          <cell r="BI45">
            <v>14609550.490000002</v>
          </cell>
          <cell r="BJ45">
            <v>15491681.879999999</v>
          </cell>
          <cell r="BK45">
            <v>15837969.290000001</v>
          </cell>
          <cell r="BL45">
            <v>15140189.540000001</v>
          </cell>
          <cell r="BM45">
            <v>61079391.200000003</v>
          </cell>
          <cell r="BN45">
            <v>60109993.120000005</v>
          </cell>
          <cell r="BO45">
            <v>60109993.120000005</v>
          </cell>
          <cell r="BP45">
            <v>60109993.120000005</v>
          </cell>
          <cell r="BQ45">
            <v>60109993.120000005</v>
          </cell>
          <cell r="BR45">
            <v>301519363.68000001</v>
          </cell>
          <cell r="BT45">
            <v>9</v>
          </cell>
          <cell r="CA45" t="str">
            <v>FTRWFT - REVTOT - Base</v>
          </cell>
          <cell r="CC45" t="str">
            <v>FTRWFT - REVTOT - Base - MR</v>
          </cell>
          <cell r="CD45" t="str">
            <v>FTRWFT - REVTOT - Base - MR</v>
          </cell>
          <cell r="CF45" t="str">
            <v>FTRWFT - Base - MR</v>
          </cell>
        </row>
        <row r="46">
          <cell r="D46">
            <v>32</v>
          </cell>
          <cell r="E46">
            <v>1</v>
          </cell>
          <cell r="F46">
            <v>2</v>
          </cell>
          <cell r="G46" t="str">
            <v>FTRWFT</v>
          </cell>
          <cell r="H46" t="str">
            <v>FT-RWFT</v>
          </cell>
          <cell r="I46" t="str">
            <v>MR</v>
          </cell>
          <cell r="J46" t="str">
            <v>MR Warfighter Support</v>
          </cell>
          <cell r="K46" t="str">
            <v>Army</v>
          </cell>
          <cell r="L46" t="str">
            <v>DOD</v>
          </cell>
          <cell r="M46" t="str">
            <v>AL</v>
          </cell>
          <cell r="N46" t="str">
            <v>CONUS</v>
          </cell>
          <cell r="O46">
            <v>0</v>
          </cell>
          <cell r="P46">
            <v>0</v>
          </cell>
          <cell r="Q46">
            <v>0</v>
          </cell>
          <cell r="R46" t="str">
            <v>CPFF</v>
          </cell>
          <cell r="S46">
            <v>0</v>
          </cell>
          <cell r="T46">
            <v>1</v>
          </cell>
          <cell r="U46" t="str">
            <v>REVTOT</v>
          </cell>
          <cell r="V46" t="str">
            <v>Identified - Recompete</v>
          </cell>
          <cell r="W46">
            <v>0</v>
          </cell>
          <cell r="X46">
            <v>0</v>
          </cell>
          <cell r="Y46">
            <v>0</v>
          </cell>
          <cell r="Z46">
            <v>0</v>
          </cell>
          <cell r="AA46">
            <v>0</v>
          </cell>
          <cell r="AB46">
            <v>0</v>
          </cell>
          <cell r="AC46">
            <v>0</v>
          </cell>
          <cell r="AD46">
            <v>0</v>
          </cell>
          <cell r="AI46">
            <v>0</v>
          </cell>
          <cell r="AJ46">
            <v>0</v>
          </cell>
          <cell r="AK46">
            <v>0</v>
          </cell>
          <cell r="BB46">
            <v>0</v>
          </cell>
          <cell r="BC46">
            <v>0</v>
          </cell>
          <cell r="BD46">
            <v>0</v>
          </cell>
          <cell r="BE46">
            <v>0</v>
          </cell>
          <cell r="BI46">
            <v>0</v>
          </cell>
          <cell r="BJ46">
            <v>0</v>
          </cell>
          <cell r="BK46">
            <v>0</v>
          </cell>
          <cell r="BL46">
            <v>0</v>
          </cell>
          <cell r="BM46">
            <v>0</v>
          </cell>
          <cell r="BN46">
            <v>0</v>
          </cell>
          <cell r="BO46">
            <v>0</v>
          </cell>
          <cell r="BP46">
            <v>0</v>
          </cell>
          <cell r="BQ46">
            <v>0</v>
          </cell>
          <cell r="BR46">
            <v>0</v>
          </cell>
          <cell r="BT46">
            <v>9</v>
          </cell>
          <cell r="CA46" t="str">
            <v>FTRWFT - REVTOT - Identified - Recompete</v>
          </cell>
          <cell r="CC46" t="str">
            <v>FTRWFT - REVTOT - Identified - Recompete - MR</v>
          </cell>
          <cell r="CD46" t="str">
            <v/>
          </cell>
          <cell r="CF46" t="str">
            <v>FTRWFT - Identified - Recompete - MR</v>
          </cell>
        </row>
        <row r="47">
          <cell r="D47">
            <v>33</v>
          </cell>
          <cell r="E47">
            <v>2</v>
          </cell>
          <cell r="F47">
            <v>3</v>
          </cell>
          <cell r="G47" t="str">
            <v>FTRWFT</v>
          </cell>
          <cell r="H47" t="str">
            <v>FT-RWFT</v>
          </cell>
          <cell r="I47" t="str">
            <v>MR</v>
          </cell>
          <cell r="J47" t="str">
            <v>MR Warfighter Support</v>
          </cell>
          <cell r="K47" t="str">
            <v>Army</v>
          </cell>
          <cell r="L47" t="str">
            <v>DOD</v>
          </cell>
          <cell r="M47" t="str">
            <v>AL</v>
          </cell>
          <cell r="N47" t="str">
            <v>CONUS</v>
          </cell>
          <cell r="O47">
            <v>43110</v>
          </cell>
          <cell r="P47">
            <v>46396</v>
          </cell>
          <cell r="Q47" t="str">
            <v>Other</v>
          </cell>
          <cell r="R47" t="str">
            <v>CPFF</v>
          </cell>
          <cell r="S47">
            <v>0</v>
          </cell>
          <cell r="T47">
            <v>1</v>
          </cell>
          <cell r="U47" t="str">
            <v>CONTRACT</v>
          </cell>
          <cell r="V47" t="str">
            <v>Base</v>
          </cell>
          <cell r="W47" t="str">
            <v>05 Won</v>
          </cell>
          <cell r="X47" t="str">
            <v>Active</v>
          </cell>
          <cell r="Y47">
            <v>1</v>
          </cell>
          <cell r="Z47">
            <v>0</v>
          </cell>
          <cell r="AA47">
            <v>6883378.2099999916</v>
          </cell>
          <cell r="AB47">
            <v>332249371</v>
          </cell>
          <cell r="AC47">
            <v>0</v>
          </cell>
          <cell r="AD47">
            <v>339132749.20999998</v>
          </cell>
          <cell r="AL47">
            <v>0</v>
          </cell>
          <cell r="AM47">
            <v>0</v>
          </cell>
          <cell r="AN47">
            <v>9.485878194512759E-2</v>
          </cell>
          <cell r="AO47">
            <v>9.6026814412870393E-2</v>
          </cell>
          <cell r="AP47">
            <v>0.13</v>
          </cell>
          <cell r="AQ47">
            <v>0.13</v>
          </cell>
          <cell r="AR47">
            <v>0.13</v>
          </cell>
          <cell r="AS47">
            <v>0.13</v>
          </cell>
          <cell r="BF47">
            <v>0</v>
          </cell>
          <cell r="BG47">
            <v>0</v>
          </cell>
          <cell r="BH47">
            <v>4019688.5599999996</v>
          </cell>
          <cell r="BI47">
            <v>1473129.9500000002</v>
          </cell>
          <cell r="BJ47">
            <v>1420857.2299999995</v>
          </cell>
          <cell r="BK47">
            <v>1526270.4200000009</v>
          </cell>
          <cell r="BL47">
            <v>1445001.7632135092</v>
          </cell>
          <cell r="BM47">
            <v>5865259.3632135093</v>
          </cell>
          <cell r="BN47">
            <v>7814299.1056000013</v>
          </cell>
          <cell r="BO47">
            <v>7814299.1056000013</v>
          </cell>
          <cell r="BP47">
            <v>7814299.1056000013</v>
          </cell>
          <cell r="BQ47">
            <v>7814299.1056000013</v>
          </cell>
          <cell r="BR47">
            <v>37122455.785613514</v>
          </cell>
          <cell r="BT47">
            <v>9</v>
          </cell>
          <cell r="CA47" t="str">
            <v>FTRWFT - CONTRACT - Base</v>
          </cell>
          <cell r="CC47" t="str">
            <v>FTRWFT - CONTRACT - Base - MR</v>
          </cell>
          <cell r="CD47" t="str">
            <v/>
          </cell>
          <cell r="CF47" t="str">
            <v>FTRWFT - Base - MR</v>
          </cell>
        </row>
        <row r="48">
          <cell r="D48">
            <v>34</v>
          </cell>
          <cell r="E48">
            <v>2</v>
          </cell>
          <cell r="F48">
            <v>4</v>
          </cell>
          <cell r="G48" t="str">
            <v>FTRWFT</v>
          </cell>
          <cell r="H48" t="str">
            <v>FT-RWFT</v>
          </cell>
          <cell r="I48" t="str">
            <v>MR</v>
          </cell>
          <cell r="J48" t="str">
            <v>MR Warfighter Support</v>
          </cell>
          <cell r="K48" t="str">
            <v>Army</v>
          </cell>
          <cell r="L48" t="str">
            <v>DOD</v>
          </cell>
          <cell r="M48" t="str">
            <v>AL</v>
          </cell>
          <cell r="N48" t="str">
            <v>CONUS</v>
          </cell>
          <cell r="O48">
            <v>0</v>
          </cell>
          <cell r="P48">
            <v>0</v>
          </cell>
          <cell r="Q48">
            <v>0</v>
          </cell>
          <cell r="R48" t="str">
            <v>CPFF</v>
          </cell>
          <cell r="S48">
            <v>0</v>
          </cell>
          <cell r="T48">
            <v>1</v>
          </cell>
          <cell r="U48" t="str">
            <v>CONTRACT</v>
          </cell>
          <cell r="V48" t="str">
            <v>Identified - Recompete</v>
          </cell>
          <cell r="W48">
            <v>0</v>
          </cell>
          <cell r="X48">
            <v>0</v>
          </cell>
          <cell r="Y48">
            <v>0</v>
          </cell>
          <cell r="Z48">
            <v>0</v>
          </cell>
          <cell r="AA48">
            <v>0</v>
          </cell>
          <cell r="AB48">
            <v>0</v>
          </cell>
          <cell r="AC48">
            <v>0</v>
          </cell>
          <cell r="AD48">
            <v>0</v>
          </cell>
          <cell r="AP48">
            <v>0.13</v>
          </cell>
          <cell r="AQ48">
            <v>0.13</v>
          </cell>
          <cell r="AR48">
            <v>0.13</v>
          </cell>
          <cell r="AS48">
            <v>0.13</v>
          </cell>
          <cell r="BI48">
            <v>0</v>
          </cell>
          <cell r="BJ48">
            <v>0</v>
          </cell>
          <cell r="BK48">
            <v>0</v>
          </cell>
          <cell r="BL48">
            <v>0</v>
          </cell>
          <cell r="BM48">
            <v>0</v>
          </cell>
          <cell r="BN48">
            <v>0</v>
          </cell>
          <cell r="BO48">
            <v>0</v>
          </cell>
          <cell r="BP48">
            <v>0</v>
          </cell>
          <cell r="BQ48">
            <v>0</v>
          </cell>
          <cell r="BR48">
            <v>0</v>
          </cell>
          <cell r="BT48">
            <v>9</v>
          </cell>
          <cell r="CA48" t="str">
            <v>FTRWFT - CONTRACT - Identified - Recompete</v>
          </cell>
          <cell r="CC48" t="str">
            <v>FTRWFT - CONTRACT - Identified - Recompete - MR</v>
          </cell>
          <cell r="CD48" t="str">
            <v/>
          </cell>
          <cell r="CF48" t="str">
            <v>FTRWFT - Identified - Recompete - MR</v>
          </cell>
        </row>
        <row r="49">
          <cell r="D49">
            <v>35</v>
          </cell>
          <cell r="E49">
            <v>0</v>
          </cell>
          <cell r="F49">
            <v>5</v>
          </cell>
          <cell r="G49" t="str">
            <v>FTRWFT</v>
          </cell>
          <cell r="H49" t="str">
            <v>FT-RWFT</v>
          </cell>
          <cell r="I49" t="str">
            <v>MR</v>
          </cell>
          <cell r="J49" t="str">
            <v>MR Warfighter Support</v>
          </cell>
          <cell r="K49" t="str">
            <v>Army</v>
          </cell>
          <cell r="L49" t="str">
            <v>DOD</v>
          </cell>
          <cell r="M49" t="str">
            <v>AL</v>
          </cell>
          <cell r="N49" t="str">
            <v>CONUS</v>
          </cell>
          <cell r="O49">
            <v>43110</v>
          </cell>
          <cell r="P49">
            <v>46396</v>
          </cell>
          <cell r="Q49" t="str">
            <v>Other</v>
          </cell>
          <cell r="R49" t="str">
            <v>CPFF</v>
          </cell>
          <cell r="S49">
            <v>0</v>
          </cell>
          <cell r="T49">
            <v>1</v>
          </cell>
          <cell r="U49" t="str">
            <v>EBITA</v>
          </cell>
          <cell r="V49" t="str">
            <v>Base</v>
          </cell>
          <cell r="W49" t="str">
            <v>05 Won</v>
          </cell>
          <cell r="X49" t="str">
            <v>Active</v>
          </cell>
          <cell r="Y49">
            <v>1</v>
          </cell>
          <cell r="Z49">
            <v>0</v>
          </cell>
          <cell r="AA49">
            <v>6883378.2099999916</v>
          </cell>
          <cell r="AB49">
            <v>332249371</v>
          </cell>
          <cell r="AC49">
            <v>0</v>
          </cell>
          <cell r="AD49">
            <v>339132749.20999998</v>
          </cell>
          <cell r="AT49">
            <v>0</v>
          </cell>
          <cell r="AU49">
            <v>0</v>
          </cell>
          <cell r="AV49">
            <v>3.1808827686166198E-2</v>
          </cell>
          <cell r="AW49">
            <v>3.1754324140950752E-2</v>
          </cell>
          <cell r="AX49">
            <v>4.124672494712734E-2</v>
          </cell>
          <cell r="AY49">
            <v>4.124672494712734E-2</v>
          </cell>
          <cell r="AZ49">
            <v>4.124672494712734E-2</v>
          </cell>
          <cell r="BA49">
            <v>4.124672494712734E-2</v>
          </cell>
          <cell r="BF49">
            <v>0</v>
          </cell>
          <cell r="BG49">
            <v>0</v>
          </cell>
          <cell r="BH49">
            <v>1347915.0599999996</v>
          </cell>
          <cell r="BI49">
            <v>509808.26000000018</v>
          </cell>
          <cell r="BJ49">
            <v>444331.16999999952</v>
          </cell>
          <cell r="BK49">
            <v>506540.93000000087</v>
          </cell>
          <cell r="BL49">
            <v>478854.42649673467</v>
          </cell>
          <cell r="BM49">
            <v>1939534.7864967352</v>
          </cell>
          <cell r="BN49">
            <v>2479340.3527943571</v>
          </cell>
          <cell r="BO49">
            <v>2479340.3527943571</v>
          </cell>
          <cell r="BP49">
            <v>2479340.3527943571</v>
          </cell>
          <cell r="BQ49">
            <v>2479340.3527943571</v>
          </cell>
          <cell r="BR49">
            <v>11856896.197674163</v>
          </cell>
          <cell r="BT49">
            <v>9</v>
          </cell>
          <cell r="CA49" t="str">
            <v>FTRWFT - EBITA - Base</v>
          </cell>
          <cell r="CC49" t="str">
            <v>FTRWFT - EBITA - Base - MR</v>
          </cell>
          <cell r="CD49" t="str">
            <v/>
          </cell>
          <cell r="CF49" t="str">
            <v>FTRWFT - Base - MR</v>
          </cell>
        </row>
        <row r="50">
          <cell r="D50">
            <v>36</v>
          </cell>
          <cell r="E50">
            <v>0</v>
          </cell>
          <cell r="F50">
            <v>0</v>
          </cell>
          <cell r="G50" t="str">
            <v>FTRWFT</v>
          </cell>
          <cell r="H50" t="str">
            <v>FT-RWFT</v>
          </cell>
          <cell r="I50" t="str">
            <v>MR</v>
          </cell>
          <cell r="J50" t="str">
            <v>MR Warfighter Support</v>
          </cell>
          <cell r="K50" t="str">
            <v>Army</v>
          </cell>
          <cell r="L50" t="str">
            <v>DOD</v>
          </cell>
          <cell r="M50" t="str">
            <v>AL</v>
          </cell>
          <cell r="N50" t="str">
            <v>CONUS</v>
          </cell>
          <cell r="O50">
            <v>0</v>
          </cell>
          <cell r="P50">
            <v>0</v>
          </cell>
          <cell r="Q50">
            <v>0</v>
          </cell>
          <cell r="R50" t="str">
            <v>CPFF</v>
          </cell>
          <cell r="S50">
            <v>0</v>
          </cell>
          <cell r="T50">
            <v>1</v>
          </cell>
          <cell r="U50" t="str">
            <v>EBITA</v>
          </cell>
          <cell r="V50" t="str">
            <v>Identified - Recompete</v>
          </cell>
          <cell r="W50">
            <v>0</v>
          </cell>
          <cell r="X50">
            <v>0</v>
          </cell>
          <cell r="Y50">
            <v>0</v>
          </cell>
          <cell r="Z50">
            <v>0</v>
          </cell>
          <cell r="AA50">
            <v>0</v>
          </cell>
          <cell r="AB50">
            <v>0</v>
          </cell>
          <cell r="AC50">
            <v>0</v>
          </cell>
          <cell r="AD50">
            <v>0</v>
          </cell>
          <cell r="AX50">
            <v>4.124672494712734E-2</v>
          </cell>
          <cell r="AY50">
            <v>4.124672494712734E-2</v>
          </cell>
          <cell r="AZ50">
            <v>4.124672494712734E-2</v>
          </cell>
          <cell r="BA50">
            <v>4.124672494712734E-2</v>
          </cell>
          <cell r="BI50">
            <v>0</v>
          </cell>
          <cell r="BJ50">
            <v>0</v>
          </cell>
          <cell r="BK50">
            <v>0</v>
          </cell>
          <cell r="BL50">
            <v>0</v>
          </cell>
          <cell r="BM50">
            <v>0</v>
          </cell>
          <cell r="BN50">
            <v>0</v>
          </cell>
          <cell r="BO50">
            <v>0</v>
          </cell>
          <cell r="BP50">
            <v>0</v>
          </cell>
          <cell r="BQ50">
            <v>0</v>
          </cell>
          <cell r="BR50">
            <v>0</v>
          </cell>
          <cell r="BT50">
            <v>9</v>
          </cell>
          <cell r="CA50" t="str">
            <v>FTRWFT - EBITA - Identified - Recompete</v>
          </cell>
          <cell r="CC50" t="str">
            <v>FTRWFT - EBITA - Identified - Recompete - MR</v>
          </cell>
          <cell r="CD50" t="str">
            <v/>
          </cell>
          <cell r="CF50" t="str">
            <v>FTRWFT - Identified - Recompete - MR</v>
          </cell>
        </row>
        <row r="51">
          <cell r="D51">
            <v>37</v>
          </cell>
          <cell r="E51">
            <v>1</v>
          </cell>
          <cell r="F51">
            <v>1</v>
          </cell>
          <cell r="G51" t="str">
            <v>RPAMXX</v>
          </cell>
          <cell r="H51" t="str">
            <v>RPA Maintenance</v>
          </cell>
          <cell r="I51" t="str">
            <v>MR</v>
          </cell>
          <cell r="J51" t="str">
            <v>MR Warfighter Support</v>
          </cell>
          <cell r="K51" t="str">
            <v>Air Force</v>
          </cell>
          <cell r="L51" t="str">
            <v>DOD</v>
          </cell>
          <cell r="M51" t="str">
            <v>US_State</v>
          </cell>
          <cell r="N51" t="str">
            <v>CONUS</v>
          </cell>
          <cell r="O51">
            <v>43187</v>
          </cell>
          <cell r="P51">
            <v>46203</v>
          </cell>
          <cell r="Q51" t="str">
            <v>Prime</v>
          </cell>
          <cell r="R51" t="str">
            <v>FFP</v>
          </cell>
          <cell r="S51">
            <v>0</v>
          </cell>
          <cell r="T51">
            <v>1</v>
          </cell>
          <cell r="U51" t="str">
            <v>REVTOT</v>
          </cell>
          <cell r="V51" t="str">
            <v>Base</v>
          </cell>
          <cell r="W51" t="str">
            <v>05 Won</v>
          </cell>
          <cell r="X51" t="str">
            <v>Active</v>
          </cell>
          <cell r="Y51">
            <v>1</v>
          </cell>
          <cell r="Z51">
            <v>0</v>
          </cell>
          <cell r="AA51">
            <v>41985958.833999999</v>
          </cell>
          <cell r="AB51">
            <v>832045668.15999997</v>
          </cell>
          <cell r="AC51">
            <v>0</v>
          </cell>
          <cell r="AD51">
            <v>874031626.99399996</v>
          </cell>
          <cell r="AE51">
            <v>0</v>
          </cell>
          <cell r="AF51">
            <v>0</v>
          </cell>
          <cell r="AG51">
            <v>5.6739703473844418</v>
          </cell>
          <cell r="AH51">
            <v>8.841538342159172E-2</v>
          </cell>
          <cell r="AI51">
            <v>0.03</v>
          </cell>
          <cell r="AJ51">
            <v>0.03</v>
          </cell>
          <cell r="AK51">
            <v>0.03</v>
          </cell>
          <cell r="BB51">
            <v>82322807.465113878</v>
          </cell>
          <cell r="BC51">
            <v>84792491.689067304</v>
          </cell>
          <cell r="BD51">
            <v>87336266.439739332</v>
          </cell>
          <cell r="BE51">
            <v>89956354.432931513</v>
          </cell>
          <cell r="BF51">
            <v>0</v>
          </cell>
          <cell r="BG51">
            <v>0</v>
          </cell>
          <cell r="BH51">
            <v>11332904.49</v>
          </cell>
          <cell r="BI51">
            <v>16013288.560000001</v>
          </cell>
          <cell r="BJ51">
            <v>21195060.649999999</v>
          </cell>
          <cell r="BK51">
            <v>18617001.509999998</v>
          </cell>
          <cell r="BL51">
            <v>19810117.796</v>
          </cell>
          <cell r="BM51">
            <v>75635468.516000003</v>
          </cell>
          <cell r="BN51">
            <v>82322807.465113878</v>
          </cell>
          <cell r="BO51">
            <v>84792491.689067304</v>
          </cell>
          <cell r="BP51">
            <v>87336266.439739332</v>
          </cell>
          <cell r="BQ51">
            <v>89956354.432931513</v>
          </cell>
          <cell r="BR51">
            <v>420043388.54285204</v>
          </cell>
          <cell r="BT51">
            <v>10</v>
          </cell>
          <cell r="CA51" t="str">
            <v>RPAMXX - REVTOT - Base</v>
          </cell>
          <cell r="CC51" t="str">
            <v>RPAMXX - REVTOT - Base - MR</v>
          </cell>
          <cell r="CD51" t="str">
            <v>RPAMXX - REVTOT - Base - MR</v>
          </cell>
          <cell r="CF51" t="str">
            <v>RPAMXX - Base - MR</v>
          </cell>
        </row>
        <row r="52">
          <cell r="D52">
            <v>38</v>
          </cell>
          <cell r="E52">
            <v>1</v>
          </cell>
          <cell r="F52">
            <v>2</v>
          </cell>
          <cell r="G52" t="str">
            <v>RPAMXX</v>
          </cell>
          <cell r="H52" t="str">
            <v>RPA Maintenance</v>
          </cell>
          <cell r="I52" t="str">
            <v>MR</v>
          </cell>
          <cell r="J52" t="str">
            <v>MR Warfighter Support</v>
          </cell>
          <cell r="K52" t="str">
            <v>Air Force</v>
          </cell>
          <cell r="L52" t="str">
            <v>DOD</v>
          </cell>
          <cell r="M52" t="str">
            <v>US_State</v>
          </cell>
          <cell r="N52" t="str">
            <v>CONUS</v>
          </cell>
          <cell r="O52">
            <v>0</v>
          </cell>
          <cell r="P52">
            <v>0</v>
          </cell>
          <cell r="Q52">
            <v>0</v>
          </cell>
          <cell r="R52" t="str">
            <v>FFP</v>
          </cell>
          <cell r="S52">
            <v>0</v>
          </cell>
          <cell r="T52">
            <v>1</v>
          </cell>
          <cell r="U52" t="str">
            <v>REVTOT</v>
          </cell>
          <cell r="V52" t="str">
            <v>Identified - Recompete</v>
          </cell>
          <cell r="W52">
            <v>0</v>
          </cell>
          <cell r="X52">
            <v>0</v>
          </cell>
          <cell r="Y52">
            <v>0</v>
          </cell>
          <cell r="Z52">
            <v>0</v>
          </cell>
          <cell r="AA52">
            <v>0</v>
          </cell>
          <cell r="AB52">
            <v>0</v>
          </cell>
          <cell r="AC52">
            <v>0</v>
          </cell>
          <cell r="AD52">
            <v>0</v>
          </cell>
          <cell r="AI52">
            <v>0</v>
          </cell>
          <cell r="AJ52">
            <v>0</v>
          </cell>
          <cell r="AK52">
            <v>0</v>
          </cell>
          <cell r="BB52">
            <v>0</v>
          </cell>
          <cell r="BC52">
            <v>0</v>
          </cell>
          <cell r="BD52">
            <v>0</v>
          </cell>
          <cell r="BE52">
            <v>0</v>
          </cell>
          <cell r="BI52">
            <v>0</v>
          </cell>
          <cell r="BJ52">
            <v>0</v>
          </cell>
          <cell r="BK52">
            <v>0</v>
          </cell>
          <cell r="BL52">
            <v>0</v>
          </cell>
          <cell r="BM52">
            <v>0</v>
          </cell>
          <cell r="BN52">
            <v>0</v>
          </cell>
          <cell r="BO52">
            <v>0</v>
          </cell>
          <cell r="BP52">
            <v>0</v>
          </cell>
          <cell r="BQ52">
            <v>0</v>
          </cell>
          <cell r="BR52">
            <v>0</v>
          </cell>
          <cell r="BT52">
            <v>10</v>
          </cell>
          <cell r="CA52" t="str">
            <v>RPAMXX - REVTOT - Identified - Recompete</v>
          </cell>
          <cell r="CC52" t="str">
            <v>RPAMXX - REVTOT - Identified - Recompete - MR</v>
          </cell>
          <cell r="CD52" t="str">
            <v/>
          </cell>
          <cell r="CF52" t="str">
            <v>RPAMXX - Identified - Recompete - MR</v>
          </cell>
        </row>
        <row r="53">
          <cell r="D53">
            <v>39</v>
          </cell>
          <cell r="E53">
            <v>2</v>
          </cell>
          <cell r="F53">
            <v>3</v>
          </cell>
          <cell r="G53" t="str">
            <v>RPAMXX</v>
          </cell>
          <cell r="H53" t="str">
            <v>RPA Maintenance</v>
          </cell>
          <cell r="I53" t="str">
            <v>MR</v>
          </cell>
          <cell r="J53" t="str">
            <v>MR Warfighter Support</v>
          </cell>
          <cell r="K53" t="str">
            <v>Air Force</v>
          </cell>
          <cell r="L53" t="str">
            <v>DOD</v>
          </cell>
          <cell r="M53" t="str">
            <v>US_State</v>
          </cell>
          <cell r="N53" t="str">
            <v>CONUS</v>
          </cell>
          <cell r="O53">
            <v>43187</v>
          </cell>
          <cell r="P53">
            <v>46203</v>
          </cell>
          <cell r="Q53" t="str">
            <v>Prime</v>
          </cell>
          <cell r="R53" t="str">
            <v>FFP</v>
          </cell>
          <cell r="S53">
            <v>0</v>
          </cell>
          <cell r="T53">
            <v>1</v>
          </cell>
          <cell r="U53" t="str">
            <v>CONTRACT</v>
          </cell>
          <cell r="V53" t="str">
            <v>Base</v>
          </cell>
          <cell r="W53" t="str">
            <v>05 Won</v>
          </cell>
          <cell r="X53" t="str">
            <v>Active</v>
          </cell>
          <cell r="Y53">
            <v>1</v>
          </cell>
          <cell r="Z53">
            <v>0</v>
          </cell>
          <cell r="AA53">
            <v>41985958.833999999</v>
          </cell>
          <cell r="AB53">
            <v>832045668.15999997</v>
          </cell>
          <cell r="AC53">
            <v>0</v>
          </cell>
          <cell r="AD53">
            <v>874031626.99399996</v>
          </cell>
          <cell r="AL53">
            <v>0</v>
          </cell>
          <cell r="AM53">
            <v>0</v>
          </cell>
          <cell r="AN53">
            <v>5.3461399991027399E-2</v>
          </cell>
          <cell r="AO53">
            <v>0.12147917962663686</v>
          </cell>
          <cell r="AP53">
            <v>0.13707127691641599</v>
          </cell>
          <cell r="AQ53">
            <v>0.13707127691641599</v>
          </cell>
          <cell r="AR53">
            <v>0.13707127691641599</v>
          </cell>
          <cell r="AS53">
            <v>0.13707127691641599</v>
          </cell>
          <cell r="BF53">
            <v>0</v>
          </cell>
          <cell r="BG53">
            <v>0</v>
          </cell>
          <cell r="BH53">
            <v>605872.94000000041</v>
          </cell>
          <cell r="BI53">
            <v>1869642.1700000009</v>
          </cell>
          <cell r="BJ53">
            <v>2980259.580000001</v>
          </cell>
          <cell r="BK53">
            <v>2238941.5399999991</v>
          </cell>
          <cell r="BL53">
            <v>2099291.3760000011</v>
          </cell>
          <cell r="BM53">
            <v>9188134.6660000011</v>
          </cell>
          <cell r="BN53">
            <v>11284092.338587422</v>
          </cell>
          <cell r="BO53">
            <v>11622615.108745046</v>
          </cell>
          <cell r="BP53">
            <v>11971293.562007399</v>
          </cell>
          <cell r="BQ53">
            <v>12330432.368867621</v>
          </cell>
          <cell r="BR53">
            <v>56396568.044207491</v>
          </cell>
          <cell r="BT53">
            <v>10</v>
          </cell>
          <cell r="CA53" t="str">
            <v>RPAMXX - CONTRACT - Base</v>
          </cell>
          <cell r="CC53" t="str">
            <v>RPAMXX - CONTRACT - Base - MR</v>
          </cell>
          <cell r="CD53" t="str">
            <v/>
          </cell>
          <cell r="CF53" t="str">
            <v>RPAMXX - Base - MR</v>
          </cell>
        </row>
        <row r="54">
          <cell r="D54">
            <v>40</v>
          </cell>
          <cell r="E54">
            <v>2</v>
          </cell>
          <cell r="F54">
            <v>4</v>
          </cell>
          <cell r="G54" t="str">
            <v>RPAMXX</v>
          </cell>
          <cell r="H54" t="str">
            <v>RPA Maintenance</v>
          </cell>
          <cell r="I54" t="str">
            <v>MR</v>
          </cell>
          <cell r="J54" t="str">
            <v>MR Warfighter Support</v>
          </cell>
          <cell r="K54" t="str">
            <v>Air Force</v>
          </cell>
          <cell r="L54" t="str">
            <v>DOD</v>
          </cell>
          <cell r="M54" t="str">
            <v>US_State</v>
          </cell>
          <cell r="N54" t="str">
            <v>CONUS</v>
          </cell>
          <cell r="O54">
            <v>0</v>
          </cell>
          <cell r="P54">
            <v>0</v>
          </cell>
          <cell r="Q54">
            <v>0</v>
          </cell>
          <cell r="R54" t="str">
            <v>FFP</v>
          </cell>
          <cell r="S54">
            <v>0</v>
          </cell>
          <cell r="T54">
            <v>1</v>
          </cell>
          <cell r="U54" t="str">
            <v>CONTRACT</v>
          </cell>
          <cell r="V54" t="str">
            <v>Identified - Recompete</v>
          </cell>
          <cell r="W54">
            <v>0</v>
          </cell>
          <cell r="X54">
            <v>0</v>
          </cell>
          <cell r="Y54">
            <v>0</v>
          </cell>
          <cell r="Z54">
            <v>0</v>
          </cell>
          <cell r="AA54">
            <v>0</v>
          </cell>
          <cell r="AB54">
            <v>0</v>
          </cell>
          <cell r="AC54">
            <v>0</v>
          </cell>
          <cell r="AD54">
            <v>0</v>
          </cell>
          <cell r="AP54">
            <v>0.13707127691641599</v>
          </cell>
          <cell r="AQ54">
            <v>0.13707127691641599</v>
          </cell>
          <cell r="AR54">
            <v>0.13707127691641599</v>
          </cell>
          <cell r="AS54">
            <v>0.13707127691641599</v>
          </cell>
          <cell r="BI54">
            <v>0</v>
          </cell>
          <cell r="BJ54">
            <v>0</v>
          </cell>
          <cell r="BK54">
            <v>0</v>
          </cell>
          <cell r="BL54">
            <v>0</v>
          </cell>
          <cell r="BM54">
            <v>0</v>
          </cell>
          <cell r="BN54">
            <v>0</v>
          </cell>
          <cell r="BO54">
            <v>0</v>
          </cell>
          <cell r="BP54">
            <v>0</v>
          </cell>
          <cell r="BQ54">
            <v>0</v>
          </cell>
          <cell r="BR54">
            <v>0</v>
          </cell>
          <cell r="BT54">
            <v>10</v>
          </cell>
          <cell r="CA54" t="str">
            <v>RPAMXX - CONTRACT - Identified - Recompete</v>
          </cell>
          <cell r="CC54" t="str">
            <v>RPAMXX - CONTRACT - Identified - Recompete - MR</v>
          </cell>
          <cell r="CD54" t="str">
            <v/>
          </cell>
          <cell r="CF54" t="str">
            <v>RPAMXX - Identified - Recompete - MR</v>
          </cell>
        </row>
        <row r="55">
          <cell r="D55">
            <v>41</v>
          </cell>
          <cell r="E55">
            <v>0</v>
          </cell>
          <cell r="F55">
            <v>5</v>
          </cell>
          <cell r="G55" t="str">
            <v>RPAMXX</v>
          </cell>
          <cell r="H55" t="str">
            <v>RPA Maintenance</v>
          </cell>
          <cell r="I55" t="str">
            <v>MR</v>
          </cell>
          <cell r="J55" t="str">
            <v>MR Warfighter Support</v>
          </cell>
          <cell r="K55" t="str">
            <v>Air Force</v>
          </cell>
          <cell r="L55" t="str">
            <v>DOD</v>
          </cell>
          <cell r="M55" t="str">
            <v>US_State</v>
          </cell>
          <cell r="N55" t="str">
            <v>CONUS</v>
          </cell>
          <cell r="O55">
            <v>43187</v>
          </cell>
          <cell r="P55">
            <v>46203</v>
          </cell>
          <cell r="Q55" t="str">
            <v>Prime</v>
          </cell>
          <cell r="R55" t="str">
            <v>FFP</v>
          </cell>
          <cell r="S55">
            <v>0</v>
          </cell>
          <cell r="T55">
            <v>1</v>
          </cell>
          <cell r="U55" t="str">
            <v>EBITA</v>
          </cell>
          <cell r="V55" t="str">
            <v>Base</v>
          </cell>
          <cell r="W55" t="str">
            <v>05 Won</v>
          </cell>
          <cell r="X55" t="str">
            <v>Active</v>
          </cell>
          <cell r="Y55">
            <v>1</v>
          </cell>
          <cell r="Z55">
            <v>0</v>
          </cell>
          <cell r="AA55">
            <v>41985958.833999999</v>
          </cell>
          <cell r="AB55">
            <v>832045668.15999997</v>
          </cell>
          <cell r="AC55">
            <v>0</v>
          </cell>
          <cell r="AD55">
            <v>874031626.99399996</v>
          </cell>
          <cell r="AT55">
            <v>0</v>
          </cell>
          <cell r="AU55">
            <v>0</v>
          </cell>
          <cell r="AV55">
            <v>-5.0328212904580782E-2</v>
          </cell>
          <cell r="AW55">
            <v>1.1102016322175223E-2</v>
          </cell>
          <cell r="AX55">
            <v>3.5000000000000003E-2</v>
          </cell>
          <cell r="AY55">
            <v>3.5000000000000003E-2</v>
          </cell>
          <cell r="AZ55">
            <v>3.5000000000000003E-2</v>
          </cell>
          <cell r="BA55">
            <v>3.5000000000000003E-2</v>
          </cell>
          <cell r="BF55">
            <v>0</v>
          </cell>
          <cell r="BG55">
            <v>0</v>
          </cell>
          <cell r="BH55">
            <v>-570364.82999999949</v>
          </cell>
          <cell r="BI55">
            <v>9.0000000898726285E-2</v>
          </cell>
          <cell r="BJ55">
            <v>720650.09000000102</v>
          </cell>
          <cell r="BK55">
            <v>57644.659999999218</v>
          </cell>
          <cell r="BL55">
            <v>61411.366000001086</v>
          </cell>
          <cell r="BM55">
            <v>839706.20600000222</v>
          </cell>
          <cell r="BN55">
            <v>2881298.261278986</v>
          </cell>
          <cell r="BO55">
            <v>2967737.2091173558</v>
          </cell>
          <cell r="BP55">
            <v>3056769.3253908767</v>
          </cell>
          <cell r="BQ55">
            <v>3148472.4051526031</v>
          </cell>
          <cell r="BR55">
            <v>12893983.406939823</v>
          </cell>
          <cell r="BT55">
            <v>10</v>
          </cell>
          <cell r="CA55" t="str">
            <v>RPAMXX - EBITA - Base</v>
          </cell>
          <cell r="CC55" t="str">
            <v>RPAMXX - EBITA - Base - MR</v>
          </cell>
          <cell r="CD55" t="str">
            <v/>
          </cell>
          <cell r="CF55" t="str">
            <v>RPAMXX - Base - MR</v>
          </cell>
        </row>
        <row r="56">
          <cell r="D56">
            <v>42</v>
          </cell>
          <cell r="E56">
            <v>0</v>
          </cell>
          <cell r="F56">
            <v>0</v>
          </cell>
          <cell r="G56" t="str">
            <v>RPAMXX</v>
          </cell>
          <cell r="H56" t="str">
            <v>RPA Maintenance</v>
          </cell>
          <cell r="I56" t="str">
            <v>MR</v>
          </cell>
          <cell r="J56" t="str">
            <v>MR Warfighter Support</v>
          </cell>
          <cell r="K56" t="str">
            <v>Air Force</v>
          </cell>
          <cell r="L56" t="str">
            <v>DOD</v>
          </cell>
          <cell r="M56" t="str">
            <v>US_State</v>
          </cell>
          <cell r="N56" t="str">
            <v>CONUS</v>
          </cell>
          <cell r="O56">
            <v>0</v>
          </cell>
          <cell r="P56">
            <v>0</v>
          </cell>
          <cell r="Q56">
            <v>0</v>
          </cell>
          <cell r="R56" t="str">
            <v>FFP</v>
          </cell>
          <cell r="S56">
            <v>0</v>
          </cell>
          <cell r="T56">
            <v>1</v>
          </cell>
          <cell r="U56" t="str">
            <v>EBITA</v>
          </cell>
          <cell r="V56" t="str">
            <v>Identified - Recompete</v>
          </cell>
          <cell r="W56">
            <v>0</v>
          </cell>
          <cell r="X56">
            <v>0</v>
          </cell>
          <cell r="Y56">
            <v>0</v>
          </cell>
          <cell r="Z56">
            <v>0</v>
          </cell>
          <cell r="AA56">
            <v>0</v>
          </cell>
          <cell r="AB56">
            <v>0</v>
          </cell>
          <cell r="AC56">
            <v>0</v>
          </cell>
          <cell r="AD56">
            <v>0</v>
          </cell>
          <cell r="AX56">
            <v>3.5000000000000003E-2</v>
          </cell>
          <cell r="AY56">
            <v>3.5000000000000003E-2</v>
          </cell>
          <cell r="AZ56">
            <v>3.5000000000000003E-2</v>
          </cell>
          <cell r="BA56">
            <v>3.5000000000000003E-2</v>
          </cell>
          <cell r="BI56">
            <v>0</v>
          </cell>
          <cell r="BJ56">
            <v>0</v>
          </cell>
          <cell r="BK56">
            <v>0</v>
          </cell>
          <cell r="BL56">
            <v>0</v>
          </cell>
          <cell r="BM56">
            <v>0</v>
          </cell>
          <cell r="BN56">
            <v>0</v>
          </cell>
          <cell r="BO56">
            <v>0</v>
          </cell>
          <cell r="BP56">
            <v>0</v>
          </cell>
          <cell r="BQ56">
            <v>0</v>
          </cell>
          <cell r="BR56">
            <v>0</v>
          </cell>
          <cell r="BT56">
            <v>10</v>
          </cell>
          <cell r="CA56" t="str">
            <v>RPAMXX - EBITA - Identified - Recompete</v>
          </cell>
          <cell r="CC56" t="str">
            <v>RPAMXX - EBITA - Identified - Recompete - MR</v>
          </cell>
          <cell r="CD56" t="str">
            <v/>
          </cell>
          <cell r="CF56" t="str">
            <v>RPAMXX - Identified - Recompete - MR</v>
          </cell>
        </row>
        <row r="57">
          <cell r="D57">
            <v>43</v>
          </cell>
          <cell r="E57">
            <v>1</v>
          </cell>
          <cell r="F57">
            <v>1</v>
          </cell>
          <cell r="G57" t="str">
            <v>K_FFPX</v>
          </cell>
          <cell r="H57" t="str">
            <v>KFFPX</v>
          </cell>
          <cell r="I57" t="str">
            <v>MR</v>
          </cell>
          <cell r="J57" t="str">
            <v>MR NASA</v>
          </cell>
          <cell r="K57" t="str">
            <v>NASA</v>
          </cell>
          <cell r="L57" t="str">
            <v>NASA</v>
          </cell>
          <cell r="M57" t="str">
            <v>FL</v>
          </cell>
          <cell r="N57" t="str">
            <v>CONUS</v>
          </cell>
          <cell r="O57">
            <v>39722</v>
          </cell>
          <cell r="P57">
            <v>43555</v>
          </cell>
          <cell r="Q57" t="str">
            <v>Prime</v>
          </cell>
          <cell r="R57" t="str">
            <v>FFP</v>
          </cell>
          <cell r="S57">
            <v>0</v>
          </cell>
          <cell r="T57">
            <v>1</v>
          </cell>
          <cell r="U57" t="str">
            <v>REVTOT</v>
          </cell>
          <cell r="V57" t="str">
            <v>Base</v>
          </cell>
          <cell r="W57" t="str">
            <v>05 Won</v>
          </cell>
          <cell r="X57" t="str">
            <v>Active</v>
          </cell>
          <cell r="Y57">
            <v>1</v>
          </cell>
          <cell r="Z57">
            <v>0</v>
          </cell>
          <cell r="AA57">
            <v>2306514.190000046</v>
          </cell>
          <cell r="AB57">
            <v>1520000</v>
          </cell>
          <cell r="AC57">
            <v>0</v>
          </cell>
          <cell r="AD57">
            <v>3826514.190000046</v>
          </cell>
          <cell r="AE57">
            <v>0.12672332080997117</v>
          </cell>
          <cell r="AF57">
            <v>-3.3613122031756704E-2</v>
          </cell>
          <cell r="AG57">
            <v>-0.53952557511596866</v>
          </cell>
          <cell r="AH57">
            <v>-1</v>
          </cell>
          <cell r="AI57">
            <v>0</v>
          </cell>
          <cell r="AJ57">
            <v>0</v>
          </cell>
          <cell r="AK57">
            <v>0</v>
          </cell>
          <cell r="BB57">
            <v>0</v>
          </cell>
          <cell r="BC57">
            <v>0</v>
          </cell>
          <cell r="BD57">
            <v>0</v>
          </cell>
          <cell r="BE57">
            <v>0</v>
          </cell>
          <cell r="BF57">
            <v>104290902.46000001</v>
          </cell>
          <cell r="BG57">
            <v>117506991.95</v>
          </cell>
          <cell r="BH57">
            <v>113557215.09</v>
          </cell>
          <cell r="BI57">
            <v>25079466.969999999</v>
          </cell>
          <cell r="BJ57">
            <v>24369290.489999995</v>
          </cell>
          <cell r="BK57">
            <v>2841435.85</v>
          </cell>
          <cell r="BL57">
            <v>0</v>
          </cell>
          <cell r="BM57">
            <v>52290193.309999995</v>
          </cell>
          <cell r="BN57">
            <v>0</v>
          </cell>
          <cell r="BO57">
            <v>0</v>
          </cell>
          <cell r="BP57">
            <v>0</v>
          </cell>
          <cell r="BQ57">
            <v>0</v>
          </cell>
          <cell r="BR57">
            <v>52290193.309999995</v>
          </cell>
          <cell r="BT57">
            <v>11</v>
          </cell>
          <cell r="CA57" t="str">
            <v>K_FFPX - REVTOT - Base</v>
          </cell>
          <cell r="CC57" t="str">
            <v>K_FFPX - REVTOT - Base - MR</v>
          </cell>
          <cell r="CD57" t="str">
            <v>K_FFPX - REVTOT - Base - MR</v>
          </cell>
          <cell r="CF57" t="str">
            <v>K_FFPX - Base - MR</v>
          </cell>
        </row>
        <row r="58">
          <cell r="D58">
            <v>44</v>
          </cell>
          <cell r="E58">
            <v>1</v>
          </cell>
          <cell r="F58">
            <v>2</v>
          </cell>
          <cell r="G58" t="str">
            <v>K_FFPX</v>
          </cell>
          <cell r="H58" t="str">
            <v>KFFPX</v>
          </cell>
          <cell r="I58" t="str">
            <v>MR</v>
          </cell>
          <cell r="J58" t="str">
            <v>MR NASA</v>
          </cell>
          <cell r="K58" t="str">
            <v>NASA</v>
          </cell>
          <cell r="L58" t="str">
            <v>NASA</v>
          </cell>
          <cell r="M58" t="str">
            <v>FL</v>
          </cell>
          <cell r="N58" t="str">
            <v>CONUS</v>
          </cell>
          <cell r="O58">
            <v>0</v>
          </cell>
          <cell r="P58">
            <v>0</v>
          </cell>
          <cell r="Q58">
            <v>0</v>
          </cell>
          <cell r="R58" t="str">
            <v>FFP</v>
          </cell>
          <cell r="S58">
            <v>0</v>
          </cell>
          <cell r="T58">
            <v>1</v>
          </cell>
          <cell r="U58" t="str">
            <v>REVTOT</v>
          </cell>
          <cell r="V58" t="str">
            <v>Identified - Recompete</v>
          </cell>
          <cell r="W58">
            <v>0</v>
          </cell>
          <cell r="X58">
            <v>0</v>
          </cell>
          <cell r="Y58">
            <v>0</v>
          </cell>
          <cell r="Z58">
            <v>0</v>
          </cell>
          <cell r="AA58">
            <v>0</v>
          </cell>
          <cell r="AB58">
            <v>0</v>
          </cell>
          <cell r="AC58">
            <v>0</v>
          </cell>
          <cell r="AD58">
            <v>0</v>
          </cell>
          <cell r="AI58">
            <v>0</v>
          </cell>
          <cell r="AJ58">
            <v>0</v>
          </cell>
          <cell r="AK58">
            <v>0</v>
          </cell>
          <cell r="BB58">
            <v>0</v>
          </cell>
          <cell r="BC58">
            <v>0</v>
          </cell>
          <cell r="BD58">
            <v>0</v>
          </cell>
          <cell r="BE58">
            <v>0</v>
          </cell>
          <cell r="BI58">
            <v>0</v>
          </cell>
          <cell r="BJ58">
            <v>0</v>
          </cell>
          <cell r="BK58">
            <v>0</v>
          </cell>
          <cell r="BL58">
            <v>0</v>
          </cell>
          <cell r="BM58">
            <v>0</v>
          </cell>
          <cell r="BN58">
            <v>0</v>
          </cell>
          <cell r="BO58">
            <v>0</v>
          </cell>
          <cell r="BP58">
            <v>0</v>
          </cell>
          <cell r="BQ58">
            <v>0</v>
          </cell>
          <cell r="BR58">
            <v>0</v>
          </cell>
          <cell r="BT58">
            <v>11</v>
          </cell>
          <cell r="CA58" t="str">
            <v>K_FFPX - REVTOT - Identified - Recompete</v>
          </cell>
          <cell r="CC58" t="str">
            <v>K_FFPX - REVTOT - Identified - Recompete - MR</v>
          </cell>
          <cell r="CD58" t="str">
            <v/>
          </cell>
          <cell r="CF58" t="str">
            <v>K_FFPX - Identified - Recompete - MR</v>
          </cell>
        </row>
        <row r="59">
          <cell r="D59">
            <v>45</v>
          </cell>
          <cell r="E59">
            <v>2</v>
          </cell>
          <cell r="F59">
            <v>3</v>
          </cell>
          <cell r="G59" t="str">
            <v>K_FFPX</v>
          </cell>
          <cell r="H59" t="str">
            <v>KFFPX</v>
          </cell>
          <cell r="I59" t="str">
            <v>MR</v>
          </cell>
          <cell r="J59" t="str">
            <v>MR NASA</v>
          </cell>
          <cell r="K59" t="str">
            <v>NASA</v>
          </cell>
          <cell r="L59" t="str">
            <v>NASA</v>
          </cell>
          <cell r="M59" t="str">
            <v>FL</v>
          </cell>
          <cell r="N59" t="str">
            <v>CONUS</v>
          </cell>
          <cell r="O59">
            <v>39722</v>
          </cell>
          <cell r="P59">
            <v>43555</v>
          </cell>
          <cell r="Q59" t="str">
            <v>Prime</v>
          </cell>
          <cell r="R59" t="str">
            <v>FFP</v>
          </cell>
          <cell r="S59">
            <v>0</v>
          </cell>
          <cell r="T59">
            <v>1</v>
          </cell>
          <cell r="U59" t="str">
            <v>CONTRACT</v>
          </cell>
          <cell r="V59" t="str">
            <v>Base</v>
          </cell>
          <cell r="W59" t="str">
            <v>05 Won</v>
          </cell>
          <cell r="X59" t="str">
            <v>Active</v>
          </cell>
          <cell r="Y59">
            <v>1</v>
          </cell>
          <cell r="Z59">
            <v>0</v>
          </cell>
          <cell r="AA59">
            <v>2306514.190000046</v>
          </cell>
          <cell r="AB59">
            <v>1520000</v>
          </cell>
          <cell r="AC59">
            <v>0</v>
          </cell>
          <cell r="AD59">
            <v>3826514.190000046</v>
          </cell>
          <cell r="AL59">
            <v>0.22926739241872698</v>
          </cell>
          <cell r="AM59">
            <v>0.22094651313214905</v>
          </cell>
          <cell r="AN59">
            <v>0.24407117053754429</v>
          </cell>
          <cell r="AO59">
            <v>0.23414653695033352</v>
          </cell>
          <cell r="AP59">
            <v>0.23173987363915144</v>
          </cell>
          <cell r="AQ59">
            <v>0.23173987363915144</v>
          </cell>
          <cell r="AR59">
            <v>0.23173987363915144</v>
          </cell>
          <cell r="AS59">
            <v>0.23173987363915144</v>
          </cell>
          <cell r="BF59">
            <v>23910503.260000002</v>
          </cell>
          <cell r="BG59">
            <v>25962760.140000008</v>
          </cell>
          <cell r="BH59">
            <v>27716042.409999989</v>
          </cell>
          <cell r="BI59">
            <v>6172337.8100000005</v>
          </cell>
          <cell r="BJ59">
            <v>4461441.5699999938</v>
          </cell>
          <cell r="BK59">
            <v>1609788.3</v>
          </cell>
          <cell r="BL59">
            <v>0</v>
          </cell>
          <cell r="BM59">
            <v>12243567.679999996</v>
          </cell>
          <cell r="BN59">
            <v>0</v>
          </cell>
          <cell r="BO59">
            <v>0</v>
          </cell>
          <cell r="BP59">
            <v>0</v>
          </cell>
          <cell r="BQ59">
            <v>0</v>
          </cell>
          <cell r="BR59">
            <v>12243567.679999996</v>
          </cell>
          <cell r="BT59">
            <v>11</v>
          </cell>
          <cell r="CA59" t="str">
            <v>K_FFPX - CONTRACT - Base</v>
          </cell>
          <cell r="CC59" t="str">
            <v>K_FFPX - CONTRACT - Base - MR</v>
          </cell>
          <cell r="CD59" t="str">
            <v/>
          </cell>
          <cell r="CF59" t="str">
            <v>K_FFPX - Base - MR</v>
          </cell>
        </row>
        <row r="60">
          <cell r="D60">
            <v>46</v>
          </cell>
          <cell r="E60">
            <v>2</v>
          </cell>
          <cell r="F60">
            <v>4</v>
          </cell>
          <cell r="G60" t="str">
            <v>K_FFPX</v>
          </cell>
          <cell r="H60" t="str">
            <v>KFFPX</v>
          </cell>
          <cell r="I60" t="str">
            <v>MR</v>
          </cell>
          <cell r="J60" t="str">
            <v>MR NASA</v>
          </cell>
          <cell r="K60" t="str">
            <v>NASA</v>
          </cell>
          <cell r="L60" t="str">
            <v>NASA</v>
          </cell>
          <cell r="M60" t="str">
            <v>FL</v>
          </cell>
          <cell r="N60" t="str">
            <v>CONUS</v>
          </cell>
          <cell r="O60">
            <v>0</v>
          </cell>
          <cell r="P60">
            <v>0</v>
          </cell>
          <cell r="Q60">
            <v>0</v>
          </cell>
          <cell r="R60" t="str">
            <v>FFP</v>
          </cell>
          <cell r="S60">
            <v>0</v>
          </cell>
          <cell r="T60">
            <v>1</v>
          </cell>
          <cell r="U60" t="str">
            <v>CONTRACT</v>
          </cell>
          <cell r="V60" t="str">
            <v>Identified - Recompete</v>
          </cell>
          <cell r="W60">
            <v>0</v>
          </cell>
          <cell r="X60">
            <v>0</v>
          </cell>
          <cell r="Y60">
            <v>0</v>
          </cell>
          <cell r="Z60">
            <v>0</v>
          </cell>
          <cell r="AA60">
            <v>0</v>
          </cell>
          <cell r="AB60">
            <v>0</v>
          </cell>
          <cell r="AC60">
            <v>0</v>
          </cell>
          <cell r="AD60">
            <v>0</v>
          </cell>
          <cell r="AP60">
            <v>0.23173987363915144</v>
          </cell>
          <cell r="AQ60">
            <v>0.23173987363915144</v>
          </cell>
          <cell r="AR60">
            <v>0.23173987363915144</v>
          </cell>
          <cell r="AS60">
            <v>0.23173987363915144</v>
          </cell>
          <cell r="BI60">
            <v>0</v>
          </cell>
          <cell r="BJ60">
            <v>0</v>
          </cell>
          <cell r="BK60">
            <v>0</v>
          </cell>
          <cell r="BL60">
            <v>0</v>
          </cell>
          <cell r="BM60">
            <v>0</v>
          </cell>
          <cell r="BN60">
            <v>0</v>
          </cell>
          <cell r="BO60">
            <v>0</v>
          </cell>
          <cell r="BP60">
            <v>0</v>
          </cell>
          <cell r="BQ60">
            <v>0</v>
          </cell>
          <cell r="BR60">
            <v>0</v>
          </cell>
          <cell r="BT60">
            <v>11</v>
          </cell>
          <cell r="CA60" t="str">
            <v>K_FFPX - CONTRACT - Identified - Recompete</v>
          </cell>
          <cell r="CC60" t="str">
            <v>K_FFPX - CONTRACT - Identified - Recompete - MR</v>
          </cell>
          <cell r="CD60" t="str">
            <v/>
          </cell>
          <cell r="CF60" t="str">
            <v>K_FFPX - Identified - Recompete - MR</v>
          </cell>
        </row>
        <row r="61">
          <cell r="D61">
            <v>47</v>
          </cell>
          <cell r="E61">
            <v>0</v>
          </cell>
          <cell r="F61">
            <v>5</v>
          </cell>
          <cell r="G61" t="str">
            <v>K_FFPX</v>
          </cell>
          <cell r="H61" t="str">
            <v>KFFPX</v>
          </cell>
          <cell r="I61" t="str">
            <v>MR</v>
          </cell>
          <cell r="J61" t="str">
            <v>MR NASA</v>
          </cell>
          <cell r="K61" t="str">
            <v>NASA</v>
          </cell>
          <cell r="L61" t="str">
            <v>NASA</v>
          </cell>
          <cell r="M61" t="str">
            <v>FL</v>
          </cell>
          <cell r="N61" t="str">
            <v>CONUS</v>
          </cell>
          <cell r="O61">
            <v>39722</v>
          </cell>
          <cell r="P61">
            <v>43555</v>
          </cell>
          <cell r="Q61" t="str">
            <v>Prime</v>
          </cell>
          <cell r="R61" t="str">
            <v>FFP</v>
          </cell>
          <cell r="S61">
            <v>0</v>
          </cell>
          <cell r="T61">
            <v>1</v>
          </cell>
          <cell r="U61" t="str">
            <v>EBITA</v>
          </cell>
          <cell r="V61" t="str">
            <v>Base</v>
          </cell>
          <cell r="W61" t="str">
            <v>05 Won</v>
          </cell>
          <cell r="X61" t="str">
            <v>Active</v>
          </cell>
          <cell r="Y61">
            <v>1</v>
          </cell>
          <cell r="Z61">
            <v>0</v>
          </cell>
          <cell r="AA61">
            <v>2306514.190000046</v>
          </cell>
          <cell r="AB61">
            <v>1520000</v>
          </cell>
          <cell r="AC61">
            <v>0</v>
          </cell>
          <cell r="AD61">
            <v>3826514.190000046</v>
          </cell>
          <cell r="AT61">
            <v>0.12531043611414155</v>
          </cell>
          <cell r="AU61">
            <v>0.11509888259036492</v>
          </cell>
          <cell r="AV61">
            <v>0.18211320323072205</v>
          </cell>
          <cell r="AW61">
            <v>0.17076636716683033</v>
          </cell>
          <cell r="AX61">
            <v>0.14598650202282323</v>
          </cell>
          <cell r="AY61">
            <v>0.14698650202282323</v>
          </cell>
          <cell r="AZ61">
            <v>0.14798650202282324</v>
          </cell>
          <cell r="BA61">
            <v>0.14898650202282324</v>
          </cell>
          <cell r="BF61">
            <v>13068738.469999999</v>
          </cell>
          <cell r="BG61">
            <v>13524923.470000006</v>
          </cell>
          <cell r="BH61">
            <v>20680268.189999986</v>
          </cell>
          <cell r="BI61">
            <v>4438803.74</v>
          </cell>
          <cell r="BJ61">
            <v>2958981.4799999939</v>
          </cell>
          <cell r="BK61">
            <v>1531621.13</v>
          </cell>
          <cell r="BL61">
            <v>0</v>
          </cell>
          <cell r="BM61">
            <v>8929406.349999994</v>
          </cell>
          <cell r="BN61">
            <v>0</v>
          </cell>
          <cell r="BO61">
            <v>0</v>
          </cell>
          <cell r="BP61">
            <v>0</v>
          </cell>
          <cell r="BQ61">
            <v>0</v>
          </cell>
          <cell r="BR61">
            <v>8929406.349999994</v>
          </cell>
          <cell r="BT61">
            <v>11</v>
          </cell>
          <cell r="CA61" t="str">
            <v>K_FFPX - EBITA - Base</v>
          </cell>
          <cell r="CC61" t="str">
            <v>K_FFPX - EBITA - Base - MR</v>
          </cell>
          <cell r="CD61" t="str">
            <v/>
          </cell>
          <cell r="CF61" t="str">
            <v>K_FFPX - Base - MR</v>
          </cell>
        </row>
        <row r="62">
          <cell r="D62">
            <v>48</v>
          </cell>
          <cell r="E62">
            <v>0</v>
          </cell>
          <cell r="F62">
            <v>0</v>
          </cell>
          <cell r="G62" t="str">
            <v>K_FFPX</v>
          </cell>
          <cell r="H62" t="str">
            <v>KFFPX</v>
          </cell>
          <cell r="I62" t="str">
            <v>MR</v>
          </cell>
          <cell r="J62" t="str">
            <v>MR NASA</v>
          </cell>
          <cell r="K62" t="str">
            <v>NASA</v>
          </cell>
          <cell r="L62" t="str">
            <v>NASA</v>
          </cell>
          <cell r="M62" t="str">
            <v>FL</v>
          </cell>
          <cell r="N62" t="str">
            <v>CONUS</v>
          </cell>
          <cell r="O62">
            <v>0</v>
          </cell>
          <cell r="P62">
            <v>0</v>
          </cell>
          <cell r="Q62">
            <v>0</v>
          </cell>
          <cell r="R62" t="str">
            <v>FFP</v>
          </cell>
          <cell r="S62">
            <v>0</v>
          </cell>
          <cell r="T62">
            <v>1</v>
          </cell>
          <cell r="U62" t="str">
            <v>EBITA</v>
          </cell>
          <cell r="V62" t="str">
            <v>Identified - Recompete</v>
          </cell>
          <cell r="W62">
            <v>0</v>
          </cell>
          <cell r="X62">
            <v>0</v>
          </cell>
          <cell r="Y62">
            <v>0</v>
          </cell>
          <cell r="Z62">
            <v>0</v>
          </cell>
          <cell r="AA62">
            <v>0</v>
          </cell>
          <cell r="AB62">
            <v>0</v>
          </cell>
          <cell r="AC62">
            <v>0</v>
          </cell>
          <cell r="AD62">
            <v>0</v>
          </cell>
          <cell r="AX62">
            <v>0.14598650202282323</v>
          </cell>
          <cell r="AY62">
            <v>0.14698650202282323</v>
          </cell>
          <cell r="AZ62">
            <v>0.14798650202282324</v>
          </cell>
          <cell r="BA62">
            <v>0.14898650202282324</v>
          </cell>
          <cell r="BI62">
            <v>0</v>
          </cell>
          <cell r="BJ62">
            <v>0</v>
          </cell>
          <cell r="BK62">
            <v>0</v>
          </cell>
          <cell r="BL62">
            <v>0</v>
          </cell>
          <cell r="BM62">
            <v>0</v>
          </cell>
          <cell r="BN62">
            <v>0</v>
          </cell>
          <cell r="BO62">
            <v>0</v>
          </cell>
          <cell r="BP62">
            <v>0</v>
          </cell>
          <cell r="BQ62">
            <v>0</v>
          </cell>
          <cell r="BR62">
            <v>0</v>
          </cell>
          <cell r="BT62">
            <v>11</v>
          </cell>
          <cell r="CA62" t="str">
            <v>K_FFPX - EBITA - Identified - Recompete</v>
          </cell>
          <cell r="CC62" t="str">
            <v>K_FFPX - EBITA - Identified - Recompete - MR</v>
          </cell>
          <cell r="CD62" t="str">
            <v/>
          </cell>
          <cell r="CF62" t="str">
            <v>K_FFPX - Identified - Recompete - MR</v>
          </cell>
        </row>
        <row r="63">
          <cell r="D63">
            <v>49</v>
          </cell>
          <cell r="E63">
            <v>1</v>
          </cell>
          <cell r="F63">
            <v>1</v>
          </cell>
          <cell r="G63" t="str">
            <v>PLCICH</v>
          </cell>
          <cell r="H63" t="str">
            <v>Pueblo Life Cycle Incentive</v>
          </cell>
          <cell r="I63" t="str">
            <v>MR</v>
          </cell>
          <cell r="J63" t="str">
            <v>MR Non-Proliferation and Security Services</v>
          </cell>
          <cell r="K63" t="str">
            <v>Army</v>
          </cell>
          <cell r="L63" t="str">
            <v>DOD</v>
          </cell>
          <cell r="M63" t="str">
            <v>CO</v>
          </cell>
          <cell r="N63" t="str">
            <v>CONUS</v>
          </cell>
          <cell r="O63">
            <v>0</v>
          </cell>
          <cell r="P63">
            <v>0</v>
          </cell>
          <cell r="Q63" t="str">
            <v>Sub</v>
          </cell>
          <cell r="R63" t="str">
            <v>CPFF</v>
          </cell>
          <cell r="S63">
            <v>0</v>
          </cell>
          <cell r="T63">
            <v>1</v>
          </cell>
          <cell r="U63" t="str">
            <v>REVTOT</v>
          </cell>
          <cell r="V63" t="str">
            <v>Base</v>
          </cell>
          <cell r="W63" t="str">
            <v>05 Won</v>
          </cell>
          <cell r="X63" t="str">
            <v>Active</v>
          </cell>
          <cell r="Y63">
            <v>1</v>
          </cell>
          <cell r="Z63">
            <v>0</v>
          </cell>
          <cell r="AA63">
            <v>0</v>
          </cell>
          <cell r="AB63">
            <v>0</v>
          </cell>
          <cell r="AC63">
            <v>0</v>
          </cell>
          <cell r="AD63">
            <v>0</v>
          </cell>
          <cell r="AE63">
            <v>0</v>
          </cell>
          <cell r="AF63">
            <v>0</v>
          </cell>
          <cell r="AG63">
            <v>0</v>
          </cell>
          <cell r="AH63">
            <v>0</v>
          </cell>
          <cell r="AI63">
            <v>0</v>
          </cell>
          <cell r="AJ63">
            <v>0</v>
          </cell>
          <cell r="AK63">
            <v>0</v>
          </cell>
          <cell r="BB63">
            <v>0</v>
          </cell>
          <cell r="BC63">
            <v>0</v>
          </cell>
          <cell r="BD63">
            <v>0</v>
          </cell>
          <cell r="BE63">
            <v>0</v>
          </cell>
          <cell r="BF63">
            <v>0</v>
          </cell>
          <cell r="BG63">
            <v>0</v>
          </cell>
          <cell r="BH63">
            <v>0</v>
          </cell>
          <cell r="BI63">
            <v>0</v>
          </cell>
          <cell r="BJ63">
            <v>0</v>
          </cell>
          <cell r="BK63">
            <v>0</v>
          </cell>
          <cell r="BL63">
            <v>0</v>
          </cell>
          <cell r="BM63">
            <v>0</v>
          </cell>
          <cell r="BN63">
            <v>6700000</v>
          </cell>
          <cell r="BO63">
            <v>3600000</v>
          </cell>
          <cell r="BP63">
            <v>1400000</v>
          </cell>
          <cell r="BQ63">
            <v>1100000</v>
          </cell>
          <cell r="BR63">
            <v>12800000</v>
          </cell>
          <cell r="BT63">
            <v>12</v>
          </cell>
          <cell r="CA63" t="str">
            <v>PLCICH - REVTOT - Base</v>
          </cell>
          <cell r="CC63" t="str">
            <v>PLCICH - REVTOT - Base - MR</v>
          </cell>
          <cell r="CD63" t="str">
            <v>PLCICH - REVTOT - Base - MR</v>
          </cell>
          <cell r="CF63" t="str">
            <v>PLCICH - Base - MR</v>
          </cell>
        </row>
        <row r="64">
          <cell r="D64">
            <v>50</v>
          </cell>
          <cell r="E64">
            <v>1</v>
          </cell>
          <cell r="F64">
            <v>2</v>
          </cell>
          <cell r="G64" t="str">
            <v>PLCICH</v>
          </cell>
          <cell r="H64" t="str">
            <v>Pueblo Life Cycle Incentive</v>
          </cell>
          <cell r="I64" t="str">
            <v>MR</v>
          </cell>
          <cell r="J64" t="str">
            <v>MR Non-Proliferation and Security Services</v>
          </cell>
          <cell r="K64" t="str">
            <v>Army</v>
          </cell>
          <cell r="L64" t="str">
            <v>DOD</v>
          </cell>
          <cell r="M64" t="str">
            <v>CO</v>
          </cell>
          <cell r="N64" t="str">
            <v>CONUS</v>
          </cell>
          <cell r="O64">
            <v>0</v>
          </cell>
          <cell r="P64">
            <v>0</v>
          </cell>
          <cell r="Q64">
            <v>0</v>
          </cell>
          <cell r="R64" t="str">
            <v>CPFF</v>
          </cell>
          <cell r="S64">
            <v>0</v>
          </cell>
          <cell r="T64">
            <v>1</v>
          </cell>
          <cell r="U64" t="str">
            <v>REVTOT</v>
          </cell>
          <cell r="V64" t="str">
            <v>Identified - Recompete</v>
          </cell>
          <cell r="W64">
            <v>0</v>
          </cell>
          <cell r="X64">
            <v>0</v>
          </cell>
          <cell r="Y64">
            <v>0</v>
          </cell>
          <cell r="Z64">
            <v>0</v>
          </cell>
          <cell r="AA64">
            <v>0</v>
          </cell>
          <cell r="AB64">
            <v>0</v>
          </cell>
          <cell r="AC64">
            <v>0</v>
          </cell>
          <cell r="AD64">
            <v>0</v>
          </cell>
          <cell r="AI64">
            <v>0</v>
          </cell>
          <cell r="AJ64">
            <v>0</v>
          </cell>
          <cell r="AK64">
            <v>0</v>
          </cell>
          <cell r="BB64">
            <v>0</v>
          </cell>
          <cell r="BC64">
            <v>0</v>
          </cell>
          <cell r="BD64">
            <v>0</v>
          </cell>
          <cell r="BE64">
            <v>0</v>
          </cell>
          <cell r="BI64">
            <v>0</v>
          </cell>
          <cell r="BJ64">
            <v>0</v>
          </cell>
          <cell r="BK64">
            <v>0</v>
          </cell>
          <cell r="BL64">
            <v>0</v>
          </cell>
          <cell r="BM64">
            <v>0</v>
          </cell>
          <cell r="BN64">
            <v>0</v>
          </cell>
          <cell r="BO64">
            <v>0</v>
          </cell>
          <cell r="BP64">
            <v>0</v>
          </cell>
          <cell r="BQ64">
            <v>0</v>
          </cell>
          <cell r="BR64">
            <v>0</v>
          </cell>
          <cell r="BT64">
            <v>12</v>
          </cell>
          <cell r="CA64" t="str">
            <v>PLCICH - REVTOT - Identified - Recompete</v>
          </cell>
          <cell r="CC64" t="str">
            <v>PLCICH - REVTOT - Identified - Recompete - MR</v>
          </cell>
          <cell r="CD64" t="str">
            <v/>
          </cell>
          <cell r="CF64" t="str">
            <v>PLCICH - Identified - Recompete - MR</v>
          </cell>
        </row>
        <row r="65">
          <cell r="D65">
            <v>51</v>
          </cell>
          <cell r="E65">
            <v>2</v>
          </cell>
          <cell r="F65">
            <v>3</v>
          </cell>
          <cell r="G65" t="str">
            <v>PLCICH</v>
          </cell>
          <cell r="H65" t="str">
            <v>Pueblo Life Cycle Incentive</v>
          </cell>
          <cell r="I65" t="str">
            <v>MR</v>
          </cell>
          <cell r="J65" t="str">
            <v>MR Non-Proliferation and Security Services</v>
          </cell>
          <cell r="K65" t="str">
            <v>Army</v>
          </cell>
          <cell r="L65" t="str">
            <v>DOD</v>
          </cell>
          <cell r="M65" t="str">
            <v>CO</v>
          </cell>
          <cell r="N65" t="str">
            <v>CONUS</v>
          </cell>
          <cell r="O65">
            <v>0</v>
          </cell>
          <cell r="P65">
            <v>0</v>
          </cell>
          <cell r="Q65" t="str">
            <v>Sub</v>
          </cell>
          <cell r="R65" t="str">
            <v>CPFF</v>
          </cell>
          <cell r="S65">
            <v>0</v>
          </cell>
          <cell r="T65">
            <v>1</v>
          </cell>
          <cell r="U65" t="str">
            <v>CONTRACT</v>
          </cell>
          <cell r="V65" t="str">
            <v>Base</v>
          </cell>
          <cell r="W65" t="str">
            <v>05 Won</v>
          </cell>
          <cell r="X65" t="str">
            <v>Active</v>
          </cell>
          <cell r="Y65">
            <v>1</v>
          </cell>
          <cell r="Z65">
            <v>0</v>
          </cell>
          <cell r="AA65">
            <v>0</v>
          </cell>
          <cell r="AB65">
            <v>0</v>
          </cell>
          <cell r="AC65">
            <v>0</v>
          </cell>
          <cell r="AD65">
            <v>0</v>
          </cell>
          <cell r="AL65">
            <v>0</v>
          </cell>
          <cell r="AM65">
            <v>0</v>
          </cell>
          <cell r="AN65">
            <v>0</v>
          </cell>
          <cell r="AO65">
            <v>0</v>
          </cell>
          <cell r="AP65">
            <v>0</v>
          </cell>
          <cell r="AQ65">
            <v>0</v>
          </cell>
          <cell r="AR65">
            <v>0</v>
          </cell>
          <cell r="AS65">
            <v>0</v>
          </cell>
          <cell r="BF65">
            <v>0</v>
          </cell>
          <cell r="BG65">
            <v>0</v>
          </cell>
          <cell r="BH65">
            <v>0</v>
          </cell>
          <cell r="BI65">
            <v>0</v>
          </cell>
          <cell r="BJ65">
            <v>0</v>
          </cell>
          <cell r="BK65">
            <v>0</v>
          </cell>
          <cell r="BL65">
            <v>0</v>
          </cell>
          <cell r="BM65">
            <v>0</v>
          </cell>
          <cell r="BN65">
            <v>6700000</v>
          </cell>
          <cell r="BO65">
            <v>3600000</v>
          </cell>
          <cell r="BP65">
            <v>1400000</v>
          </cell>
          <cell r="BQ65">
            <v>1100000</v>
          </cell>
          <cell r="BR65">
            <v>12800000</v>
          </cell>
          <cell r="BT65">
            <v>12</v>
          </cell>
          <cell r="CA65" t="str">
            <v>PLCICH - CONTRACT - Base</v>
          </cell>
          <cell r="CC65" t="str">
            <v>PLCICH - CONTRACT - Base - MR</v>
          </cell>
          <cell r="CD65" t="str">
            <v/>
          </cell>
          <cell r="CF65" t="str">
            <v>PLCICH - Base - MR</v>
          </cell>
        </row>
        <row r="66">
          <cell r="D66">
            <v>52</v>
          </cell>
          <cell r="E66">
            <v>2</v>
          </cell>
          <cell r="F66">
            <v>4</v>
          </cell>
          <cell r="G66" t="str">
            <v>PLCICH</v>
          </cell>
          <cell r="H66" t="str">
            <v>Pueblo Life Cycle Incentive</v>
          </cell>
          <cell r="I66" t="str">
            <v>MR</v>
          </cell>
          <cell r="J66" t="str">
            <v>MR Non-Proliferation and Security Services</v>
          </cell>
          <cell r="K66" t="str">
            <v>Army</v>
          </cell>
          <cell r="L66" t="str">
            <v>DOD</v>
          </cell>
          <cell r="M66" t="str">
            <v>CO</v>
          </cell>
          <cell r="N66" t="str">
            <v>CONUS</v>
          </cell>
          <cell r="O66">
            <v>0</v>
          </cell>
          <cell r="P66">
            <v>0</v>
          </cell>
          <cell r="Q66">
            <v>0</v>
          </cell>
          <cell r="R66" t="str">
            <v>CPFF</v>
          </cell>
          <cell r="S66">
            <v>0</v>
          </cell>
          <cell r="T66">
            <v>1</v>
          </cell>
          <cell r="U66" t="str">
            <v>CONTRACT</v>
          </cell>
          <cell r="V66" t="str">
            <v>Identified - Recompete</v>
          </cell>
          <cell r="W66">
            <v>0</v>
          </cell>
          <cell r="X66">
            <v>0</v>
          </cell>
          <cell r="Y66">
            <v>0</v>
          </cell>
          <cell r="Z66">
            <v>0</v>
          </cell>
          <cell r="AA66">
            <v>0</v>
          </cell>
          <cell r="AB66">
            <v>0</v>
          </cell>
          <cell r="AC66">
            <v>0</v>
          </cell>
          <cell r="AD66">
            <v>0</v>
          </cell>
          <cell r="AP66">
            <v>0</v>
          </cell>
          <cell r="AQ66">
            <v>0</v>
          </cell>
          <cell r="AR66">
            <v>0</v>
          </cell>
          <cell r="AS66">
            <v>0</v>
          </cell>
          <cell r="BI66">
            <v>0</v>
          </cell>
          <cell r="BJ66">
            <v>0</v>
          </cell>
          <cell r="BK66">
            <v>0</v>
          </cell>
          <cell r="BL66">
            <v>0</v>
          </cell>
          <cell r="BM66">
            <v>0</v>
          </cell>
          <cell r="BN66">
            <v>0</v>
          </cell>
          <cell r="BO66">
            <v>0</v>
          </cell>
          <cell r="BP66">
            <v>0</v>
          </cell>
          <cell r="BQ66">
            <v>0</v>
          </cell>
          <cell r="BR66">
            <v>0</v>
          </cell>
          <cell r="BT66">
            <v>12</v>
          </cell>
          <cell r="CA66" t="str">
            <v>PLCICH - CONTRACT - Identified - Recompete</v>
          </cell>
          <cell r="CC66" t="str">
            <v>PLCICH - CONTRACT - Identified - Recompete - MR</v>
          </cell>
          <cell r="CD66" t="str">
            <v/>
          </cell>
          <cell r="CF66" t="str">
            <v>PLCICH - Identified - Recompete - MR</v>
          </cell>
        </row>
        <row r="67">
          <cell r="D67">
            <v>53</v>
          </cell>
          <cell r="E67">
            <v>0</v>
          </cell>
          <cell r="F67">
            <v>5</v>
          </cell>
          <cell r="G67" t="str">
            <v>PLCICH</v>
          </cell>
          <cell r="H67" t="str">
            <v>Pueblo Life Cycle Incentive</v>
          </cell>
          <cell r="I67" t="str">
            <v>MR</v>
          </cell>
          <cell r="J67" t="str">
            <v>MR Non-Proliferation and Security Services</v>
          </cell>
          <cell r="K67" t="str">
            <v>Army</v>
          </cell>
          <cell r="L67" t="str">
            <v>DOD</v>
          </cell>
          <cell r="M67" t="str">
            <v>CO</v>
          </cell>
          <cell r="N67" t="str">
            <v>CONUS</v>
          </cell>
          <cell r="O67">
            <v>0</v>
          </cell>
          <cell r="P67">
            <v>0</v>
          </cell>
          <cell r="Q67" t="str">
            <v>Sub</v>
          </cell>
          <cell r="R67" t="str">
            <v>CPFF</v>
          </cell>
          <cell r="S67">
            <v>0</v>
          </cell>
          <cell r="T67">
            <v>1</v>
          </cell>
          <cell r="U67" t="str">
            <v>EBITA</v>
          </cell>
          <cell r="V67" t="str">
            <v>Base</v>
          </cell>
          <cell r="W67" t="str">
            <v>05 Won</v>
          </cell>
          <cell r="X67" t="str">
            <v>Active</v>
          </cell>
          <cell r="Y67">
            <v>1</v>
          </cell>
          <cell r="Z67">
            <v>0</v>
          </cell>
          <cell r="AA67">
            <v>0</v>
          </cell>
          <cell r="AB67">
            <v>0</v>
          </cell>
          <cell r="AC67">
            <v>0</v>
          </cell>
          <cell r="AD67">
            <v>0</v>
          </cell>
          <cell r="AT67">
            <v>0</v>
          </cell>
          <cell r="AU67">
            <v>0</v>
          </cell>
          <cell r="AV67">
            <v>0</v>
          </cell>
          <cell r="AW67">
            <v>0</v>
          </cell>
          <cell r="AX67">
            <v>0</v>
          </cell>
          <cell r="AY67">
            <v>0</v>
          </cell>
          <cell r="AZ67">
            <v>0</v>
          </cell>
          <cell r="BA67">
            <v>0</v>
          </cell>
          <cell r="BF67">
            <v>0</v>
          </cell>
          <cell r="BG67">
            <v>0</v>
          </cell>
          <cell r="BH67">
            <v>0</v>
          </cell>
          <cell r="BI67">
            <v>0</v>
          </cell>
          <cell r="BJ67">
            <v>0</v>
          </cell>
          <cell r="BK67">
            <v>0</v>
          </cell>
          <cell r="BL67">
            <v>0</v>
          </cell>
          <cell r="BM67">
            <v>0</v>
          </cell>
          <cell r="BN67">
            <v>6700000</v>
          </cell>
          <cell r="BO67">
            <v>3600000</v>
          </cell>
          <cell r="BP67">
            <v>1400000</v>
          </cell>
          <cell r="BQ67">
            <v>1100000</v>
          </cell>
          <cell r="BR67">
            <v>12800000</v>
          </cell>
          <cell r="BT67">
            <v>12</v>
          </cell>
          <cell r="CA67" t="str">
            <v>PLCICH - EBITA - Base</v>
          </cell>
          <cell r="CC67" t="str">
            <v>PLCICH - EBITA - Base - MR</v>
          </cell>
          <cell r="CD67" t="str">
            <v/>
          </cell>
          <cell r="CF67" t="str">
            <v>PLCICH - Base - MR</v>
          </cell>
        </row>
        <row r="68">
          <cell r="D68">
            <v>54</v>
          </cell>
          <cell r="E68">
            <v>0</v>
          </cell>
          <cell r="F68">
            <v>0</v>
          </cell>
          <cell r="G68" t="str">
            <v>PLCICH</v>
          </cell>
          <cell r="H68" t="str">
            <v>Pueblo Life Cycle Incentive</v>
          </cell>
          <cell r="I68" t="str">
            <v>MR</v>
          </cell>
          <cell r="J68" t="str">
            <v>MR Non-Proliferation and Security Services</v>
          </cell>
          <cell r="K68" t="str">
            <v>Army</v>
          </cell>
          <cell r="L68" t="str">
            <v>DOD</v>
          </cell>
          <cell r="M68" t="str">
            <v>CO</v>
          </cell>
          <cell r="N68" t="str">
            <v>CONUS</v>
          </cell>
          <cell r="O68">
            <v>0</v>
          </cell>
          <cell r="P68">
            <v>0</v>
          </cell>
          <cell r="Q68">
            <v>0</v>
          </cell>
          <cell r="R68" t="str">
            <v>CPFF</v>
          </cell>
          <cell r="S68">
            <v>0</v>
          </cell>
          <cell r="T68">
            <v>1</v>
          </cell>
          <cell r="U68" t="str">
            <v>EBITA</v>
          </cell>
          <cell r="V68" t="str">
            <v>Identified - Recompete</v>
          </cell>
          <cell r="W68">
            <v>0</v>
          </cell>
          <cell r="X68">
            <v>0</v>
          </cell>
          <cell r="Y68">
            <v>0</v>
          </cell>
          <cell r="Z68">
            <v>0</v>
          </cell>
          <cell r="AA68">
            <v>0</v>
          </cell>
          <cell r="AB68">
            <v>0</v>
          </cell>
          <cell r="AC68">
            <v>0</v>
          </cell>
          <cell r="AD68">
            <v>0</v>
          </cell>
          <cell r="AX68">
            <v>0</v>
          </cell>
          <cell r="AY68">
            <v>0</v>
          </cell>
          <cell r="AZ68">
            <v>0</v>
          </cell>
          <cell r="BA68">
            <v>0</v>
          </cell>
          <cell r="BI68">
            <v>0</v>
          </cell>
          <cell r="BJ68">
            <v>0</v>
          </cell>
          <cell r="BK68">
            <v>0</v>
          </cell>
          <cell r="BL68">
            <v>0</v>
          </cell>
          <cell r="BM68">
            <v>0</v>
          </cell>
          <cell r="BN68">
            <v>0</v>
          </cell>
          <cell r="BO68">
            <v>0</v>
          </cell>
          <cell r="BP68">
            <v>0</v>
          </cell>
          <cell r="BQ68">
            <v>0</v>
          </cell>
          <cell r="BR68">
            <v>0</v>
          </cell>
          <cell r="BT68">
            <v>12</v>
          </cell>
          <cell r="CA68" t="str">
            <v>PLCICH - EBITA - Identified - Recompete</v>
          </cell>
          <cell r="CC68" t="str">
            <v>PLCICH - EBITA - Identified - Recompete - MR</v>
          </cell>
          <cell r="CD68" t="str">
            <v/>
          </cell>
          <cell r="CF68" t="str">
            <v>PLCICH - Identified - Recompete - MR</v>
          </cell>
        </row>
        <row r="69">
          <cell r="D69">
            <v>55</v>
          </cell>
          <cell r="E69">
            <v>1</v>
          </cell>
          <cell r="F69">
            <v>1</v>
          </cell>
          <cell r="G69" t="str">
            <v>BLCICH</v>
          </cell>
          <cell r="H69" t="str">
            <v>Blue Grass Life Cycle Incentive</v>
          </cell>
          <cell r="I69" t="str">
            <v>MR</v>
          </cell>
          <cell r="J69" t="str">
            <v>MR Non-Proliferation and Security Services</v>
          </cell>
          <cell r="K69" t="str">
            <v>Army</v>
          </cell>
          <cell r="L69" t="str">
            <v>DOD</v>
          </cell>
          <cell r="M69" t="str">
            <v>KY</v>
          </cell>
          <cell r="N69" t="str">
            <v>CONUS</v>
          </cell>
          <cell r="O69">
            <v>0</v>
          </cell>
          <cell r="P69">
            <v>0</v>
          </cell>
          <cell r="Q69" t="str">
            <v>Sub</v>
          </cell>
          <cell r="R69" t="str">
            <v>CPFF</v>
          </cell>
          <cell r="S69">
            <v>0</v>
          </cell>
          <cell r="T69">
            <v>1</v>
          </cell>
          <cell r="U69" t="str">
            <v>REVTOT</v>
          </cell>
          <cell r="V69" t="str">
            <v>Base</v>
          </cell>
          <cell r="W69" t="str">
            <v>05 Won</v>
          </cell>
          <cell r="X69" t="str">
            <v>Active</v>
          </cell>
          <cell r="Y69">
            <v>1</v>
          </cell>
          <cell r="Z69">
            <v>0</v>
          </cell>
          <cell r="AA69">
            <v>0</v>
          </cell>
          <cell r="AB69">
            <v>0</v>
          </cell>
          <cell r="AC69">
            <v>0</v>
          </cell>
          <cell r="AD69">
            <v>0</v>
          </cell>
          <cell r="AE69">
            <v>0</v>
          </cell>
          <cell r="AF69">
            <v>0</v>
          </cell>
          <cell r="AG69">
            <v>0</v>
          </cell>
          <cell r="AH69">
            <v>0</v>
          </cell>
          <cell r="AI69">
            <v>0</v>
          </cell>
          <cell r="AJ69">
            <v>0</v>
          </cell>
          <cell r="AK69">
            <v>0</v>
          </cell>
          <cell r="BB69">
            <v>0</v>
          </cell>
          <cell r="BC69">
            <v>0</v>
          </cell>
          <cell r="BD69">
            <v>0</v>
          </cell>
          <cell r="BE69">
            <v>0</v>
          </cell>
          <cell r="BF69">
            <v>0</v>
          </cell>
          <cell r="BG69">
            <v>0</v>
          </cell>
          <cell r="BH69">
            <v>0</v>
          </cell>
          <cell r="BI69">
            <v>0</v>
          </cell>
          <cell r="BJ69">
            <v>0</v>
          </cell>
          <cell r="BK69">
            <v>0</v>
          </cell>
          <cell r="BL69">
            <v>0</v>
          </cell>
          <cell r="BM69">
            <v>0</v>
          </cell>
          <cell r="BN69">
            <v>4700000</v>
          </cell>
          <cell r="BO69">
            <v>3300000</v>
          </cell>
          <cell r="BP69">
            <v>1100000</v>
          </cell>
          <cell r="BQ69">
            <v>800000</v>
          </cell>
          <cell r="BR69">
            <v>9900000</v>
          </cell>
          <cell r="BT69">
            <v>13</v>
          </cell>
          <cell r="CA69" t="str">
            <v>BLCICH - REVTOT - Base</v>
          </cell>
          <cell r="CC69" t="str">
            <v>BLCICH - REVTOT - Base - MR</v>
          </cell>
          <cell r="CD69" t="str">
            <v>BLCICH - REVTOT - Base - MR</v>
          </cell>
          <cell r="CF69" t="str">
            <v>BLCICH - Base - MR</v>
          </cell>
        </row>
        <row r="70">
          <cell r="D70">
            <v>56</v>
          </cell>
          <cell r="E70">
            <v>1</v>
          </cell>
          <cell r="F70">
            <v>2</v>
          </cell>
          <cell r="G70" t="str">
            <v>BLCICH</v>
          </cell>
          <cell r="H70" t="str">
            <v>Blue Grass Life Cycle Incentive</v>
          </cell>
          <cell r="I70" t="str">
            <v>MR</v>
          </cell>
          <cell r="J70" t="str">
            <v>MR Non-Proliferation and Security Services</v>
          </cell>
          <cell r="K70" t="str">
            <v>Army</v>
          </cell>
          <cell r="L70" t="str">
            <v>DOD</v>
          </cell>
          <cell r="M70" t="str">
            <v>KY</v>
          </cell>
          <cell r="N70" t="str">
            <v>CONUS</v>
          </cell>
          <cell r="O70">
            <v>0</v>
          </cell>
          <cell r="P70">
            <v>0</v>
          </cell>
          <cell r="Q70">
            <v>0</v>
          </cell>
          <cell r="R70" t="str">
            <v>CPFF</v>
          </cell>
          <cell r="S70">
            <v>0</v>
          </cell>
          <cell r="T70">
            <v>1</v>
          </cell>
          <cell r="U70" t="str">
            <v>REVTOT</v>
          </cell>
          <cell r="V70" t="str">
            <v>Identified - Recompete</v>
          </cell>
          <cell r="W70">
            <v>0</v>
          </cell>
          <cell r="X70">
            <v>0</v>
          </cell>
          <cell r="Y70">
            <v>0</v>
          </cell>
          <cell r="Z70">
            <v>0</v>
          </cell>
          <cell r="AA70">
            <v>0</v>
          </cell>
          <cell r="AB70">
            <v>0</v>
          </cell>
          <cell r="AC70">
            <v>0</v>
          </cell>
          <cell r="AD70">
            <v>0</v>
          </cell>
          <cell r="AI70">
            <v>0</v>
          </cell>
          <cell r="AJ70">
            <v>0</v>
          </cell>
          <cell r="AK70">
            <v>0</v>
          </cell>
          <cell r="BB70">
            <v>0</v>
          </cell>
          <cell r="BC70">
            <v>0</v>
          </cell>
          <cell r="BD70">
            <v>0</v>
          </cell>
          <cell r="BE70">
            <v>0</v>
          </cell>
          <cell r="BI70">
            <v>0</v>
          </cell>
          <cell r="BJ70">
            <v>0</v>
          </cell>
          <cell r="BK70">
            <v>0</v>
          </cell>
          <cell r="BL70">
            <v>0</v>
          </cell>
          <cell r="BM70">
            <v>0</v>
          </cell>
          <cell r="BN70">
            <v>0</v>
          </cell>
          <cell r="BO70">
            <v>0</v>
          </cell>
          <cell r="BP70">
            <v>0</v>
          </cell>
          <cell r="BQ70">
            <v>0</v>
          </cell>
          <cell r="BR70">
            <v>0</v>
          </cell>
          <cell r="BT70">
            <v>13</v>
          </cell>
          <cell r="CA70" t="str">
            <v>BLCICH - REVTOT - Identified - Recompete</v>
          </cell>
          <cell r="CC70" t="str">
            <v>BLCICH - REVTOT - Identified - Recompete - MR</v>
          </cell>
          <cell r="CD70" t="str">
            <v/>
          </cell>
          <cell r="CF70" t="str">
            <v>BLCICH - Identified - Recompete - MR</v>
          </cell>
        </row>
        <row r="71">
          <cell r="D71">
            <v>57</v>
          </cell>
          <cell r="E71">
            <v>2</v>
          </cell>
          <cell r="F71">
            <v>3</v>
          </cell>
          <cell r="G71" t="str">
            <v>BLCICH</v>
          </cell>
          <cell r="H71" t="str">
            <v>Blue Grass Life Cycle Incentive</v>
          </cell>
          <cell r="I71" t="str">
            <v>MR</v>
          </cell>
          <cell r="J71" t="str">
            <v>MR Non-Proliferation and Security Services</v>
          </cell>
          <cell r="K71" t="str">
            <v>Army</v>
          </cell>
          <cell r="L71" t="str">
            <v>DOD</v>
          </cell>
          <cell r="M71" t="str">
            <v>KY</v>
          </cell>
          <cell r="N71" t="str">
            <v>CONUS</v>
          </cell>
          <cell r="O71">
            <v>0</v>
          </cell>
          <cell r="P71">
            <v>0</v>
          </cell>
          <cell r="Q71" t="str">
            <v>Sub</v>
          </cell>
          <cell r="R71" t="str">
            <v>CPFF</v>
          </cell>
          <cell r="S71">
            <v>0</v>
          </cell>
          <cell r="T71">
            <v>1</v>
          </cell>
          <cell r="U71" t="str">
            <v>CONTRACT</v>
          </cell>
          <cell r="V71" t="str">
            <v>Base</v>
          </cell>
          <cell r="W71" t="str">
            <v>05 Won</v>
          </cell>
          <cell r="X71" t="str">
            <v>Active</v>
          </cell>
          <cell r="Y71">
            <v>1</v>
          </cell>
          <cell r="Z71">
            <v>0</v>
          </cell>
          <cell r="AA71">
            <v>0</v>
          </cell>
          <cell r="AB71">
            <v>0</v>
          </cell>
          <cell r="AC71">
            <v>0</v>
          </cell>
          <cell r="AD71">
            <v>0</v>
          </cell>
          <cell r="AL71">
            <v>0</v>
          </cell>
          <cell r="AM71">
            <v>0</v>
          </cell>
          <cell r="AN71">
            <v>0</v>
          </cell>
          <cell r="AO71">
            <v>0</v>
          </cell>
          <cell r="AP71">
            <v>0</v>
          </cell>
          <cell r="AQ71">
            <v>0</v>
          </cell>
          <cell r="AR71">
            <v>0</v>
          </cell>
          <cell r="AS71">
            <v>0</v>
          </cell>
          <cell r="BF71">
            <v>0</v>
          </cell>
          <cell r="BG71">
            <v>0</v>
          </cell>
          <cell r="BH71">
            <v>0</v>
          </cell>
          <cell r="BI71">
            <v>0</v>
          </cell>
          <cell r="BJ71">
            <v>0</v>
          </cell>
          <cell r="BK71">
            <v>0</v>
          </cell>
          <cell r="BL71">
            <v>0</v>
          </cell>
          <cell r="BM71">
            <v>0</v>
          </cell>
          <cell r="BN71">
            <v>4700000</v>
          </cell>
          <cell r="BO71">
            <v>3300000</v>
          </cell>
          <cell r="BP71">
            <v>1100000</v>
          </cell>
          <cell r="BQ71">
            <v>800000</v>
          </cell>
          <cell r="BR71">
            <v>9900000</v>
          </cell>
          <cell r="BT71">
            <v>13</v>
          </cell>
          <cell r="CA71" t="str">
            <v>BLCICH - CONTRACT - Base</v>
          </cell>
          <cell r="CC71" t="str">
            <v>BLCICH - CONTRACT - Base - MR</v>
          </cell>
          <cell r="CD71" t="str">
            <v/>
          </cell>
          <cell r="CF71" t="str">
            <v>BLCICH - Base - MR</v>
          </cell>
        </row>
        <row r="72">
          <cell r="D72">
            <v>58</v>
          </cell>
          <cell r="E72">
            <v>2</v>
          </cell>
          <cell r="F72">
            <v>4</v>
          </cell>
          <cell r="G72" t="str">
            <v>BLCICH</v>
          </cell>
          <cell r="H72" t="str">
            <v>Blue Grass Life Cycle Incentive</v>
          </cell>
          <cell r="I72" t="str">
            <v>MR</v>
          </cell>
          <cell r="J72" t="str">
            <v>MR Non-Proliferation and Security Services</v>
          </cell>
          <cell r="K72" t="str">
            <v>Army</v>
          </cell>
          <cell r="L72" t="str">
            <v>DOD</v>
          </cell>
          <cell r="M72" t="str">
            <v>KY</v>
          </cell>
          <cell r="N72" t="str">
            <v>CONUS</v>
          </cell>
          <cell r="O72">
            <v>0</v>
          </cell>
          <cell r="P72">
            <v>0</v>
          </cell>
          <cell r="Q72">
            <v>0</v>
          </cell>
          <cell r="R72" t="str">
            <v>CPFF</v>
          </cell>
          <cell r="S72">
            <v>0</v>
          </cell>
          <cell r="T72">
            <v>1</v>
          </cell>
          <cell r="U72" t="str">
            <v>CONTRACT</v>
          </cell>
          <cell r="V72" t="str">
            <v>Identified - Recompete</v>
          </cell>
          <cell r="W72">
            <v>0</v>
          </cell>
          <cell r="X72">
            <v>0</v>
          </cell>
          <cell r="Y72">
            <v>0</v>
          </cell>
          <cell r="Z72">
            <v>0</v>
          </cell>
          <cell r="AA72">
            <v>0</v>
          </cell>
          <cell r="AB72">
            <v>0</v>
          </cell>
          <cell r="AC72">
            <v>0</v>
          </cell>
          <cell r="AD72">
            <v>0</v>
          </cell>
          <cell r="AP72">
            <v>0</v>
          </cell>
          <cell r="AQ72">
            <v>0</v>
          </cell>
          <cell r="AR72">
            <v>0</v>
          </cell>
          <cell r="AS72">
            <v>0</v>
          </cell>
          <cell r="BI72">
            <v>0</v>
          </cell>
          <cell r="BJ72">
            <v>0</v>
          </cell>
          <cell r="BK72">
            <v>0</v>
          </cell>
          <cell r="BL72">
            <v>0</v>
          </cell>
          <cell r="BM72">
            <v>0</v>
          </cell>
          <cell r="BN72">
            <v>0</v>
          </cell>
          <cell r="BO72">
            <v>0</v>
          </cell>
          <cell r="BP72">
            <v>0</v>
          </cell>
          <cell r="BQ72">
            <v>0</v>
          </cell>
          <cell r="BR72">
            <v>0</v>
          </cell>
          <cell r="BT72">
            <v>13</v>
          </cell>
          <cell r="CA72" t="str">
            <v>BLCICH - CONTRACT - Identified - Recompete</v>
          </cell>
          <cell r="CC72" t="str">
            <v>BLCICH - CONTRACT - Identified - Recompete - MR</v>
          </cell>
          <cell r="CD72" t="str">
            <v/>
          </cell>
          <cell r="CF72" t="str">
            <v>BLCICH - Identified - Recompete - MR</v>
          </cell>
        </row>
        <row r="73">
          <cell r="D73">
            <v>59</v>
          </cell>
          <cell r="E73">
            <v>0</v>
          </cell>
          <cell r="F73">
            <v>5</v>
          </cell>
          <cell r="G73" t="str">
            <v>BLCICH</v>
          </cell>
          <cell r="H73" t="str">
            <v>Blue Grass Life Cycle Incentive</v>
          </cell>
          <cell r="I73" t="str">
            <v>MR</v>
          </cell>
          <cell r="J73" t="str">
            <v>MR Non-Proliferation and Security Services</v>
          </cell>
          <cell r="K73" t="str">
            <v>Army</v>
          </cell>
          <cell r="L73" t="str">
            <v>DOD</v>
          </cell>
          <cell r="M73" t="str">
            <v>KY</v>
          </cell>
          <cell r="N73" t="str">
            <v>CONUS</v>
          </cell>
          <cell r="O73">
            <v>0</v>
          </cell>
          <cell r="P73">
            <v>0</v>
          </cell>
          <cell r="Q73" t="str">
            <v>Sub</v>
          </cell>
          <cell r="R73" t="str">
            <v>CPFF</v>
          </cell>
          <cell r="S73">
            <v>0</v>
          </cell>
          <cell r="T73">
            <v>1</v>
          </cell>
          <cell r="U73" t="str">
            <v>EBITA</v>
          </cell>
          <cell r="V73" t="str">
            <v>Base</v>
          </cell>
          <cell r="W73" t="str">
            <v>05 Won</v>
          </cell>
          <cell r="X73" t="str">
            <v>Active</v>
          </cell>
          <cell r="Y73">
            <v>1</v>
          </cell>
          <cell r="Z73">
            <v>0</v>
          </cell>
          <cell r="AA73">
            <v>0</v>
          </cell>
          <cell r="AB73">
            <v>0</v>
          </cell>
          <cell r="AC73">
            <v>0</v>
          </cell>
          <cell r="AD73">
            <v>0</v>
          </cell>
          <cell r="AT73">
            <v>0</v>
          </cell>
          <cell r="AU73">
            <v>0</v>
          </cell>
          <cell r="AV73">
            <v>0</v>
          </cell>
          <cell r="AW73">
            <v>0</v>
          </cell>
          <cell r="AX73">
            <v>0</v>
          </cell>
          <cell r="AY73">
            <v>0</v>
          </cell>
          <cell r="AZ73">
            <v>0</v>
          </cell>
          <cell r="BA73">
            <v>0</v>
          </cell>
          <cell r="BF73">
            <v>0</v>
          </cell>
          <cell r="BG73">
            <v>0</v>
          </cell>
          <cell r="BH73">
            <v>0</v>
          </cell>
          <cell r="BI73">
            <v>0</v>
          </cell>
          <cell r="BJ73">
            <v>0</v>
          </cell>
          <cell r="BK73">
            <v>0</v>
          </cell>
          <cell r="BL73">
            <v>0</v>
          </cell>
          <cell r="BM73">
            <v>0</v>
          </cell>
          <cell r="BN73">
            <v>4700000</v>
          </cell>
          <cell r="BO73">
            <v>3300000</v>
          </cell>
          <cell r="BP73">
            <v>1100000</v>
          </cell>
          <cell r="BQ73">
            <v>800000</v>
          </cell>
          <cell r="BR73">
            <v>9900000</v>
          </cell>
          <cell r="BT73">
            <v>13</v>
          </cell>
          <cell r="CA73" t="str">
            <v>BLCICH - EBITA - Base</v>
          </cell>
          <cell r="CC73" t="str">
            <v>BLCICH - EBITA - Base - MR</v>
          </cell>
          <cell r="CD73" t="str">
            <v/>
          </cell>
          <cell r="CF73" t="str">
            <v>BLCICH - Base - MR</v>
          </cell>
        </row>
        <row r="74">
          <cell r="D74">
            <v>60</v>
          </cell>
          <cell r="E74">
            <v>0</v>
          </cell>
          <cell r="F74">
            <v>0</v>
          </cell>
          <cell r="G74" t="str">
            <v>BLCICH</v>
          </cell>
          <cell r="H74" t="str">
            <v>Blue Grass Life Cycle Incentive</v>
          </cell>
          <cell r="I74" t="str">
            <v>MR</v>
          </cell>
          <cell r="J74" t="str">
            <v>MR Non-Proliferation and Security Services</v>
          </cell>
          <cell r="K74" t="str">
            <v>Army</v>
          </cell>
          <cell r="L74" t="str">
            <v>DOD</v>
          </cell>
          <cell r="M74" t="str">
            <v>KY</v>
          </cell>
          <cell r="N74" t="str">
            <v>CONUS</v>
          </cell>
          <cell r="O74">
            <v>0</v>
          </cell>
          <cell r="P74">
            <v>0</v>
          </cell>
          <cell r="Q74">
            <v>0</v>
          </cell>
          <cell r="R74" t="str">
            <v>CPFF</v>
          </cell>
          <cell r="S74">
            <v>0</v>
          </cell>
          <cell r="T74">
            <v>1</v>
          </cell>
          <cell r="U74" t="str">
            <v>EBITA</v>
          </cell>
          <cell r="V74" t="str">
            <v>Identified - Recompete</v>
          </cell>
          <cell r="W74">
            <v>0</v>
          </cell>
          <cell r="X74">
            <v>0</v>
          </cell>
          <cell r="Y74">
            <v>0</v>
          </cell>
          <cell r="Z74">
            <v>0</v>
          </cell>
          <cell r="AA74">
            <v>0</v>
          </cell>
          <cell r="AB74">
            <v>0</v>
          </cell>
          <cell r="AC74">
            <v>0</v>
          </cell>
          <cell r="AD74">
            <v>0</v>
          </cell>
          <cell r="AX74">
            <v>0</v>
          </cell>
          <cell r="AY74">
            <v>0</v>
          </cell>
          <cell r="AZ74">
            <v>0</v>
          </cell>
          <cell r="BA74">
            <v>0</v>
          </cell>
          <cell r="BI74">
            <v>0</v>
          </cell>
          <cell r="BJ74">
            <v>0</v>
          </cell>
          <cell r="BK74">
            <v>0</v>
          </cell>
          <cell r="BL74">
            <v>0</v>
          </cell>
          <cell r="BM74">
            <v>0</v>
          </cell>
          <cell r="BN74">
            <v>0</v>
          </cell>
          <cell r="BO74">
            <v>0</v>
          </cell>
          <cell r="BP74">
            <v>0</v>
          </cell>
          <cell r="BQ74">
            <v>0</v>
          </cell>
          <cell r="BR74">
            <v>0</v>
          </cell>
          <cell r="BT74">
            <v>13</v>
          </cell>
          <cell r="CA74" t="str">
            <v>BLCICH - EBITA - Identified - Recompete</v>
          </cell>
          <cell r="CC74" t="str">
            <v>BLCICH - EBITA - Identified - Recompete - MR</v>
          </cell>
          <cell r="CD74" t="str">
            <v/>
          </cell>
          <cell r="CF74" t="str">
            <v>BLCICH - Identified - Recompete - MR</v>
          </cell>
        </row>
        <row r="75">
          <cell r="D75">
            <v>61</v>
          </cell>
          <cell r="E75">
            <v>1</v>
          </cell>
          <cell r="F75">
            <v>1</v>
          </cell>
          <cell r="G75" t="str">
            <v>RASMCX</v>
          </cell>
          <cell r="H75" t="str">
            <v>RASM-C Ft. Campbell</v>
          </cell>
          <cell r="I75" t="str">
            <v>MR</v>
          </cell>
          <cell r="J75" t="str">
            <v>MR Maintenance &amp; Sustainment</v>
          </cell>
          <cell r="K75" t="str">
            <v>Army</v>
          </cell>
          <cell r="L75" t="str">
            <v>DOD</v>
          </cell>
          <cell r="M75" t="str">
            <v>KY</v>
          </cell>
          <cell r="N75" t="str">
            <v>CONUS</v>
          </cell>
          <cell r="O75">
            <v>42551</v>
          </cell>
          <cell r="P75">
            <v>43781</v>
          </cell>
          <cell r="Q75" t="str">
            <v>Prime</v>
          </cell>
          <cell r="R75" t="str">
            <v>T&amp;M</v>
          </cell>
          <cell r="S75">
            <v>0</v>
          </cell>
          <cell r="T75">
            <v>1</v>
          </cell>
          <cell r="U75" t="str">
            <v>REVTOT</v>
          </cell>
          <cell r="V75" t="str">
            <v>Base</v>
          </cell>
          <cell r="W75" t="str">
            <v>05 Won</v>
          </cell>
          <cell r="X75" t="str">
            <v>Active</v>
          </cell>
          <cell r="Y75">
            <v>1</v>
          </cell>
          <cell r="Z75">
            <v>0</v>
          </cell>
          <cell r="AA75">
            <v>15737048.490000002</v>
          </cell>
          <cell r="AB75">
            <v>0</v>
          </cell>
          <cell r="AC75">
            <v>0</v>
          </cell>
          <cell r="AD75">
            <v>15737048.490000002</v>
          </cell>
          <cell r="AE75">
            <v>3.5771642824509708</v>
          </cell>
          <cell r="AF75">
            <v>0.10327642975469264</v>
          </cell>
          <cell r="AG75">
            <v>-6.617869820569855E-2</v>
          </cell>
          <cell r="AH75">
            <v>-0.75539647771094842</v>
          </cell>
          <cell r="AI75">
            <v>0</v>
          </cell>
          <cell r="AJ75">
            <v>0</v>
          </cell>
          <cell r="AK75">
            <v>0</v>
          </cell>
          <cell r="BB75">
            <v>10080512</v>
          </cell>
          <cell r="BC75">
            <v>10080512</v>
          </cell>
          <cell r="BD75">
            <v>10080512</v>
          </cell>
          <cell r="BE75">
            <v>10080512</v>
          </cell>
          <cell r="BF75">
            <v>8739272.2199999988</v>
          </cell>
          <cell r="BG75">
            <v>40001084.659999996</v>
          </cell>
          <cell r="BH75">
            <v>44132253.869999997</v>
          </cell>
          <cell r="BI75">
            <v>10825907.470000001</v>
          </cell>
          <cell r="BJ75">
            <v>9722093.1400000006</v>
          </cell>
          <cell r="BK75">
            <v>9024047.7300000004</v>
          </cell>
          <cell r="BL75">
            <v>11639590.42</v>
          </cell>
          <cell r="BM75">
            <v>41211638.759999998</v>
          </cell>
          <cell r="BN75">
            <v>10080512</v>
          </cell>
          <cell r="BO75">
            <v>0</v>
          </cell>
          <cell r="BP75">
            <v>0</v>
          </cell>
          <cell r="BQ75">
            <v>0</v>
          </cell>
          <cell r="BR75">
            <v>51292150.759999998</v>
          </cell>
          <cell r="BT75">
            <v>14</v>
          </cell>
          <cell r="CA75" t="str">
            <v>RASMCX - REVTOT - Base</v>
          </cell>
          <cell r="CC75" t="str">
            <v>RASMCX - REVTOT - Base - MR</v>
          </cell>
          <cell r="CD75" t="str">
            <v>RASMCX - REVTOT - Base - MR</v>
          </cell>
          <cell r="CF75" t="str">
            <v>RASMCX - Base - MR</v>
          </cell>
        </row>
        <row r="76">
          <cell r="D76">
            <v>62</v>
          </cell>
          <cell r="E76">
            <v>1</v>
          </cell>
          <cell r="F76">
            <v>2</v>
          </cell>
          <cell r="G76" t="str">
            <v>RASMCX</v>
          </cell>
          <cell r="H76" t="str">
            <v>RASM-C Ft. Campbell</v>
          </cell>
          <cell r="I76" t="str">
            <v>MR</v>
          </cell>
          <cell r="J76" t="str">
            <v>MR Maintenance &amp; Sustainment</v>
          </cell>
          <cell r="K76" t="str">
            <v>Army</v>
          </cell>
          <cell r="L76" t="str">
            <v>DOD</v>
          </cell>
          <cell r="M76" t="str">
            <v>KY</v>
          </cell>
          <cell r="N76" t="str">
            <v>CONUS</v>
          </cell>
          <cell r="O76">
            <v>43782</v>
          </cell>
          <cell r="P76">
            <v>46704</v>
          </cell>
          <cell r="Q76" t="str">
            <v>Prime</v>
          </cell>
          <cell r="R76" t="str">
            <v>T&amp;M</v>
          </cell>
          <cell r="S76">
            <v>0</v>
          </cell>
          <cell r="T76">
            <v>1</v>
          </cell>
          <cell r="U76" t="str">
            <v>REVTOT</v>
          </cell>
          <cell r="V76" t="str">
            <v>Identified - Recompete</v>
          </cell>
          <cell r="W76" t="str">
            <v>04 Submitted</v>
          </cell>
          <cell r="X76" t="str">
            <v>Priority 1</v>
          </cell>
          <cell r="Y76">
            <v>0.2</v>
          </cell>
          <cell r="Z76">
            <v>320000000</v>
          </cell>
          <cell r="AA76">
            <v>0</v>
          </cell>
          <cell r="AB76">
            <v>0</v>
          </cell>
          <cell r="AC76">
            <v>0</v>
          </cell>
          <cell r="AD76">
            <v>0</v>
          </cell>
          <cell r="AI76">
            <v>0</v>
          </cell>
          <cell r="AJ76">
            <v>0</v>
          </cell>
          <cell r="AK76">
            <v>0</v>
          </cell>
          <cell r="BB76">
            <v>41211638.759999998</v>
          </cell>
          <cell r="BC76">
            <v>41211638.759999998</v>
          </cell>
          <cell r="BD76">
            <v>41211638.759999998</v>
          </cell>
          <cell r="BE76">
            <v>41211638.759999998</v>
          </cell>
          <cell r="BI76">
            <v>0</v>
          </cell>
          <cell r="BJ76">
            <v>0</v>
          </cell>
          <cell r="BK76">
            <v>0</v>
          </cell>
          <cell r="BL76">
            <v>0</v>
          </cell>
          <cell r="BM76">
            <v>0</v>
          </cell>
          <cell r="BN76">
            <v>7257827.4927333333</v>
          </cell>
          <cell r="BO76">
            <v>8242327.7520000003</v>
          </cell>
          <cell r="BP76">
            <v>8242327.7520000003</v>
          </cell>
          <cell r="BQ76">
            <v>8242327.7520000003</v>
          </cell>
          <cell r="BR76">
            <v>31984810.748733334</v>
          </cell>
          <cell r="BT76">
            <v>14</v>
          </cell>
          <cell r="CA76" t="str">
            <v>RASMCX - REVTOT - Identified - Recompete</v>
          </cell>
          <cell r="CC76" t="str">
            <v>RASMCX - REVTOT - Identified - Recompete - MR</v>
          </cell>
          <cell r="CD76" t="str">
            <v/>
          </cell>
          <cell r="CF76" t="str">
            <v>RASMCX - Identified - Recompete - MR</v>
          </cell>
        </row>
        <row r="77">
          <cell r="D77">
            <v>63</v>
          </cell>
          <cell r="E77">
            <v>2</v>
          </cell>
          <cell r="F77">
            <v>3</v>
          </cell>
          <cell r="G77" t="str">
            <v>RASMCX</v>
          </cell>
          <cell r="H77" t="str">
            <v>RASM-C Ft. Campbell</v>
          </cell>
          <cell r="I77" t="str">
            <v>MR</v>
          </cell>
          <cell r="J77" t="str">
            <v>MR Maintenance &amp; Sustainment</v>
          </cell>
          <cell r="K77" t="str">
            <v>Army</v>
          </cell>
          <cell r="L77" t="str">
            <v>DOD</v>
          </cell>
          <cell r="M77" t="str">
            <v>KY</v>
          </cell>
          <cell r="N77" t="str">
            <v>CONUS</v>
          </cell>
          <cell r="O77">
            <v>42551</v>
          </cell>
          <cell r="P77">
            <v>43781</v>
          </cell>
          <cell r="Q77" t="str">
            <v>Prime</v>
          </cell>
          <cell r="R77" t="str">
            <v>T&amp;M</v>
          </cell>
          <cell r="S77">
            <v>0</v>
          </cell>
          <cell r="T77">
            <v>1</v>
          </cell>
          <cell r="U77" t="str">
            <v>CONTRACT</v>
          </cell>
          <cell r="V77" t="str">
            <v>Base</v>
          </cell>
          <cell r="W77" t="str">
            <v>05 Won</v>
          </cell>
          <cell r="X77" t="str">
            <v>Active</v>
          </cell>
          <cell r="Y77">
            <v>1</v>
          </cell>
          <cell r="Z77">
            <v>0</v>
          </cell>
          <cell r="AA77">
            <v>15737048.490000002</v>
          </cell>
          <cell r="AB77">
            <v>0</v>
          </cell>
          <cell r="AC77">
            <v>0</v>
          </cell>
          <cell r="AD77">
            <v>15737048.490000002</v>
          </cell>
          <cell r="AL77">
            <v>7.1411087135125284E-2</v>
          </cell>
          <cell r="AM77">
            <v>6.9411237560176725E-2</v>
          </cell>
          <cell r="AN77">
            <v>0.11109465141849098</v>
          </cell>
          <cell r="AO77">
            <v>0.11503811186954119</v>
          </cell>
          <cell r="AP77">
            <v>0.11260687393656196</v>
          </cell>
          <cell r="AQ77">
            <v>0.11260687393656196</v>
          </cell>
          <cell r="AR77">
            <v>0.11260687393656196</v>
          </cell>
          <cell r="AS77">
            <v>0.11260687393656196</v>
          </cell>
          <cell r="BF77">
            <v>624080.9299999997</v>
          </cell>
          <cell r="BG77">
            <v>2776524.7900000005</v>
          </cell>
          <cell r="BH77">
            <v>4902857.3599999994</v>
          </cell>
          <cell r="BI77">
            <v>1230772.3300000005</v>
          </cell>
          <cell r="BJ77">
            <v>1094585.4899999993</v>
          </cell>
          <cell r="BK77">
            <v>1124787.8700000001</v>
          </cell>
          <cell r="BL77">
            <v>1290763.42</v>
          </cell>
          <cell r="BM77">
            <v>4740909.1099999994</v>
          </cell>
          <cell r="BN77">
            <v>1135134.9440000001</v>
          </cell>
          <cell r="BO77">
            <v>0</v>
          </cell>
          <cell r="BP77">
            <v>0</v>
          </cell>
          <cell r="BQ77">
            <v>0</v>
          </cell>
          <cell r="BR77">
            <v>5876044.0539999995</v>
          </cell>
          <cell r="BT77">
            <v>14</v>
          </cell>
          <cell r="CA77" t="str">
            <v>RASMCX - CONTRACT - Base</v>
          </cell>
          <cell r="CC77" t="str">
            <v>RASMCX - CONTRACT - Base - MR</v>
          </cell>
          <cell r="CD77" t="str">
            <v/>
          </cell>
          <cell r="CF77" t="str">
            <v>RASMCX - Base - MR</v>
          </cell>
        </row>
        <row r="78">
          <cell r="D78">
            <v>64</v>
          </cell>
          <cell r="E78">
            <v>2</v>
          </cell>
          <cell r="F78">
            <v>4</v>
          </cell>
          <cell r="G78" t="str">
            <v>RASMCX</v>
          </cell>
          <cell r="H78" t="str">
            <v>RASM-C Ft. Campbell</v>
          </cell>
          <cell r="I78" t="str">
            <v>MR</v>
          </cell>
          <cell r="J78" t="str">
            <v>MR Maintenance &amp; Sustainment</v>
          </cell>
          <cell r="K78" t="str">
            <v>Army</v>
          </cell>
          <cell r="L78" t="str">
            <v>DOD</v>
          </cell>
          <cell r="M78" t="str">
            <v>KY</v>
          </cell>
          <cell r="N78" t="str">
            <v>CONUS</v>
          </cell>
          <cell r="O78">
            <v>43782</v>
          </cell>
          <cell r="P78">
            <v>46704</v>
          </cell>
          <cell r="Q78" t="str">
            <v>Prime</v>
          </cell>
          <cell r="R78" t="str">
            <v>T&amp;M</v>
          </cell>
          <cell r="S78">
            <v>0</v>
          </cell>
          <cell r="T78">
            <v>1</v>
          </cell>
          <cell r="U78" t="str">
            <v>CONTRACT</v>
          </cell>
          <cell r="V78" t="str">
            <v>Identified - Recompete</v>
          </cell>
          <cell r="W78" t="str">
            <v>04 Submitted</v>
          </cell>
          <cell r="X78" t="str">
            <v>Priority 1</v>
          </cell>
          <cell r="Y78">
            <v>0.2</v>
          </cell>
          <cell r="Z78">
            <v>320000000</v>
          </cell>
          <cell r="AA78">
            <v>0</v>
          </cell>
          <cell r="AB78">
            <v>0</v>
          </cell>
          <cell r="AC78">
            <v>0</v>
          </cell>
          <cell r="AD78">
            <v>0</v>
          </cell>
          <cell r="AP78">
            <v>0.11260687393656196</v>
          </cell>
          <cell r="AQ78">
            <v>0.11260687393656196</v>
          </cell>
          <cell r="AR78">
            <v>0.11260687393656196</v>
          </cell>
          <cell r="AS78">
            <v>0.11260687393656196</v>
          </cell>
          <cell r="BI78">
            <v>0</v>
          </cell>
          <cell r="BJ78">
            <v>0</v>
          </cell>
          <cell r="BK78">
            <v>0</v>
          </cell>
          <cell r="BL78">
            <v>0</v>
          </cell>
          <cell r="BM78">
            <v>0</v>
          </cell>
          <cell r="BN78">
            <v>817281.26552753604</v>
          </cell>
          <cell r="BO78">
            <v>928142.76211329014</v>
          </cell>
          <cell r="BP78">
            <v>928142.76211329014</v>
          </cell>
          <cell r="BQ78">
            <v>928142.76211329014</v>
          </cell>
          <cell r="BR78">
            <v>3601709.5518674059</v>
          </cell>
          <cell r="BT78">
            <v>14</v>
          </cell>
          <cell r="CA78" t="str">
            <v>RASMCX - CONTRACT - Identified - Recompete</v>
          </cell>
          <cell r="CC78" t="str">
            <v>RASMCX - CONTRACT - Identified - Recompete - MR</v>
          </cell>
          <cell r="CD78" t="str">
            <v/>
          </cell>
          <cell r="CF78" t="str">
            <v>RASMCX - Identified - Recompete - MR</v>
          </cell>
        </row>
        <row r="79">
          <cell r="D79">
            <v>65</v>
          </cell>
          <cell r="E79">
            <v>0</v>
          </cell>
          <cell r="F79">
            <v>5</v>
          </cell>
          <cell r="G79" t="str">
            <v>RASMCX</v>
          </cell>
          <cell r="H79" t="str">
            <v>RASM-C Ft. Campbell</v>
          </cell>
          <cell r="I79" t="str">
            <v>MR</v>
          </cell>
          <cell r="J79" t="str">
            <v>MR Maintenance &amp; Sustainment</v>
          </cell>
          <cell r="K79" t="str">
            <v>Army</v>
          </cell>
          <cell r="L79" t="str">
            <v>DOD</v>
          </cell>
          <cell r="M79" t="str">
            <v>KY</v>
          </cell>
          <cell r="N79" t="str">
            <v>CONUS</v>
          </cell>
          <cell r="O79">
            <v>42551</v>
          </cell>
          <cell r="P79">
            <v>43781</v>
          </cell>
          <cell r="Q79" t="str">
            <v>Prime</v>
          </cell>
          <cell r="R79" t="str">
            <v>T&amp;M</v>
          </cell>
          <cell r="S79">
            <v>0</v>
          </cell>
          <cell r="T79">
            <v>1</v>
          </cell>
          <cell r="U79" t="str">
            <v>EBITA</v>
          </cell>
          <cell r="V79" t="str">
            <v>Base</v>
          </cell>
          <cell r="W79" t="str">
            <v>05 Won</v>
          </cell>
          <cell r="X79" t="str">
            <v>Active</v>
          </cell>
          <cell r="Y79">
            <v>1</v>
          </cell>
          <cell r="Z79">
            <v>0</v>
          </cell>
          <cell r="AA79">
            <v>15737048.490000002</v>
          </cell>
          <cell r="AB79">
            <v>0</v>
          </cell>
          <cell r="AC79">
            <v>0</v>
          </cell>
          <cell r="AD79">
            <v>15737048.490000002</v>
          </cell>
          <cell r="AT79">
            <v>-1.0951446252122844E-2</v>
          </cell>
          <cell r="AU79">
            <v>-1.1672863972784067E-2</v>
          </cell>
          <cell r="AV79">
            <v>3.6701669141377118E-2</v>
          </cell>
          <cell r="AW79">
            <v>4.007572617090463E-2</v>
          </cell>
          <cell r="AX79">
            <v>3.9363358410258946E-2</v>
          </cell>
          <cell r="AY79">
            <v>4.0363358410258947E-2</v>
          </cell>
          <cell r="AZ79">
            <v>4.1363358410258948E-2</v>
          </cell>
          <cell r="BA79">
            <v>4.2363358410258949E-2</v>
          </cell>
          <cell r="BF79">
            <v>-95707.670000000275</v>
          </cell>
          <cell r="BG79">
            <v>-466927.21999999939</v>
          </cell>
          <cell r="BH79">
            <v>1619727.38</v>
          </cell>
          <cell r="BI79">
            <v>397693.89000000048</v>
          </cell>
          <cell r="BJ79">
            <v>383110.46999999927</v>
          </cell>
          <cell r="BK79">
            <v>455311.57000000007</v>
          </cell>
          <cell r="BL79">
            <v>415470.41999999993</v>
          </cell>
          <cell r="BM79">
            <v>1651586.3499999996</v>
          </cell>
          <cell r="BN79">
            <v>396802.8068149162</v>
          </cell>
          <cell r="BO79">
            <v>0</v>
          </cell>
          <cell r="BP79">
            <v>0</v>
          </cell>
          <cell r="BQ79">
            <v>0</v>
          </cell>
          <cell r="BR79">
            <v>2048389.1568149158</v>
          </cell>
          <cell r="BT79">
            <v>14</v>
          </cell>
          <cell r="CA79" t="str">
            <v>RASMCX - EBITA - Base</v>
          </cell>
          <cell r="CC79" t="str">
            <v>RASMCX - EBITA - Base - MR</v>
          </cell>
          <cell r="CD79" t="str">
            <v/>
          </cell>
          <cell r="CF79" t="str">
            <v>RASMCX - Base - MR</v>
          </cell>
        </row>
        <row r="80">
          <cell r="D80">
            <v>66</v>
          </cell>
          <cell r="E80">
            <v>0</v>
          </cell>
          <cell r="F80">
            <v>0</v>
          </cell>
          <cell r="G80" t="str">
            <v>RASMCX</v>
          </cell>
          <cell r="H80" t="str">
            <v>RASM-C Ft. Campbell</v>
          </cell>
          <cell r="I80" t="str">
            <v>MR</v>
          </cell>
          <cell r="J80" t="str">
            <v>MR Maintenance &amp; Sustainment</v>
          </cell>
          <cell r="K80" t="str">
            <v>Army</v>
          </cell>
          <cell r="L80" t="str">
            <v>DOD</v>
          </cell>
          <cell r="M80" t="str">
            <v>KY</v>
          </cell>
          <cell r="N80" t="str">
            <v>CONUS</v>
          </cell>
          <cell r="O80">
            <v>43782</v>
          </cell>
          <cell r="P80">
            <v>46704</v>
          </cell>
          <cell r="Q80" t="str">
            <v>Prime</v>
          </cell>
          <cell r="R80" t="str">
            <v>T&amp;M</v>
          </cell>
          <cell r="S80">
            <v>0</v>
          </cell>
          <cell r="T80">
            <v>1</v>
          </cell>
          <cell r="U80" t="str">
            <v>EBITA</v>
          </cell>
          <cell r="V80" t="str">
            <v>Identified - Recompete</v>
          </cell>
          <cell r="W80" t="str">
            <v>04 Submitted</v>
          </cell>
          <cell r="X80" t="str">
            <v>Priority 1</v>
          </cell>
          <cell r="Y80">
            <v>0.2</v>
          </cell>
          <cell r="Z80">
            <v>320000000</v>
          </cell>
          <cell r="AA80">
            <v>0</v>
          </cell>
          <cell r="AB80">
            <v>0</v>
          </cell>
          <cell r="AC80">
            <v>0</v>
          </cell>
          <cell r="AD80">
            <v>0</v>
          </cell>
          <cell r="AX80">
            <v>3.9363358410258946E-2</v>
          </cell>
          <cell r="AY80">
            <v>4.0363358410258947E-2</v>
          </cell>
          <cell r="AZ80">
            <v>4.1363358410258948E-2</v>
          </cell>
          <cell r="BA80">
            <v>4.2363358410258949E-2</v>
          </cell>
          <cell r="BI80">
            <v>0</v>
          </cell>
          <cell r="BJ80">
            <v>0</v>
          </cell>
          <cell r="BK80">
            <v>0</v>
          </cell>
          <cell r="BL80">
            <v>0</v>
          </cell>
          <cell r="BM80">
            <v>0</v>
          </cell>
          <cell r="BN80">
            <v>285692.46487629326</v>
          </cell>
          <cell r="BO80">
            <v>332688.0291887999</v>
          </cell>
          <cell r="BP80">
            <v>340930.35694079992</v>
          </cell>
          <cell r="BQ80">
            <v>349172.68469279993</v>
          </cell>
          <cell r="BR80">
            <v>1308483.5356986928</v>
          </cell>
          <cell r="BT80">
            <v>14</v>
          </cell>
          <cell r="CA80" t="str">
            <v>RASMCX - EBITA - Identified - Recompete</v>
          </cell>
          <cell r="CC80" t="str">
            <v>RASMCX - EBITA - Identified - Recompete - MR</v>
          </cell>
          <cell r="CD80" t="str">
            <v/>
          </cell>
          <cell r="CF80" t="str">
            <v>RASMCX - Identified - Recompete - MR</v>
          </cell>
        </row>
        <row r="81">
          <cell r="D81">
            <v>67</v>
          </cell>
          <cell r="E81">
            <v>1</v>
          </cell>
          <cell r="F81">
            <v>1</v>
          </cell>
          <cell r="G81" t="str">
            <v>000042</v>
          </cell>
          <cell r="H81" t="str">
            <v>EAGLE Afghanistan</v>
          </cell>
          <cell r="I81" t="str">
            <v>MR</v>
          </cell>
          <cell r="J81" t="str">
            <v>MR Maintenance &amp; Sustainment</v>
          </cell>
          <cell r="K81" t="str">
            <v>Army</v>
          </cell>
          <cell r="L81" t="str">
            <v>DOD</v>
          </cell>
          <cell r="M81" t="str">
            <v>AFG</v>
          </cell>
          <cell r="N81" t="str">
            <v>OCONUS</v>
          </cell>
          <cell r="O81">
            <v>42817</v>
          </cell>
          <cell r="P81">
            <v>44552</v>
          </cell>
          <cell r="Q81" t="str">
            <v>Prime</v>
          </cell>
          <cell r="R81" t="str">
            <v>CPFF</v>
          </cell>
          <cell r="S81">
            <v>0</v>
          </cell>
          <cell r="T81">
            <v>1</v>
          </cell>
          <cell r="U81" t="str">
            <v>REVTOT</v>
          </cell>
          <cell r="V81" t="str">
            <v>Base</v>
          </cell>
          <cell r="W81" t="str">
            <v>05 Won</v>
          </cell>
          <cell r="X81" t="str">
            <v>Active</v>
          </cell>
          <cell r="Y81">
            <v>1</v>
          </cell>
          <cell r="Z81">
            <v>0</v>
          </cell>
          <cell r="AA81">
            <v>27467143.630000018</v>
          </cell>
          <cell r="AB81">
            <v>215949414.04999998</v>
          </cell>
          <cell r="AC81">
            <v>60000000</v>
          </cell>
          <cell r="AD81">
            <v>303416557.68000001</v>
          </cell>
          <cell r="AE81">
            <v>0</v>
          </cell>
          <cell r="AF81">
            <v>0</v>
          </cell>
          <cell r="AG81">
            <v>0.16242157173910043</v>
          </cell>
          <cell r="AH81">
            <v>8.8809501035875815E-3</v>
          </cell>
          <cell r="AI81">
            <v>0</v>
          </cell>
          <cell r="AJ81">
            <v>0</v>
          </cell>
          <cell r="AK81">
            <v>0</v>
          </cell>
          <cell r="BB81">
            <v>104130129</v>
          </cell>
          <cell r="BC81">
            <v>104130129</v>
          </cell>
          <cell r="BD81">
            <v>104130129</v>
          </cell>
          <cell r="BE81">
            <v>104130129</v>
          </cell>
          <cell r="BF81">
            <v>0</v>
          </cell>
          <cell r="BG81">
            <v>0</v>
          </cell>
          <cell r="BH81">
            <v>88791792.590000004</v>
          </cell>
          <cell r="BI81">
            <v>25259715.380000003</v>
          </cell>
          <cell r="BJ81">
            <v>26472115.57</v>
          </cell>
          <cell r="BK81">
            <v>26358007.32</v>
          </cell>
          <cell r="BL81">
            <v>25123656.829999998</v>
          </cell>
          <cell r="BM81">
            <v>103213495.10000001</v>
          </cell>
          <cell r="BN81">
            <v>104130129</v>
          </cell>
          <cell r="BO81">
            <v>104130129</v>
          </cell>
          <cell r="BP81">
            <v>23718529.383333333</v>
          </cell>
          <cell r="BQ81">
            <v>0</v>
          </cell>
          <cell r="BR81">
            <v>335192282.48333335</v>
          </cell>
          <cell r="BT81">
            <v>15</v>
          </cell>
          <cell r="CA81" t="str">
            <v>000042 - REVTOT - Base</v>
          </cell>
          <cell r="CC81" t="str">
            <v>000042 - REVTOT - Base - MR</v>
          </cell>
          <cell r="CD81" t="str">
            <v>000042 - REVTOT - Base - MR</v>
          </cell>
          <cell r="CF81" t="str">
            <v>000042 - Base - MR</v>
          </cell>
        </row>
        <row r="82">
          <cell r="D82">
            <v>68</v>
          </cell>
          <cell r="E82">
            <v>1</v>
          </cell>
          <cell r="F82">
            <v>2</v>
          </cell>
          <cell r="G82" t="str">
            <v>000042</v>
          </cell>
          <cell r="H82" t="str">
            <v>EAGLE Afghanistan</v>
          </cell>
          <cell r="I82" t="str">
            <v>MR</v>
          </cell>
          <cell r="J82" t="str">
            <v>MR Maintenance &amp; Sustainment</v>
          </cell>
          <cell r="K82" t="str">
            <v>Army</v>
          </cell>
          <cell r="L82" t="str">
            <v>DOD</v>
          </cell>
          <cell r="M82" t="str">
            <v>AFG</v>
          </cell>
          <cell r="N82" t="str">
            <v>OCONUS</v>
          </cell>
          <cell r="O82">
            <v>44553</v>
          </cell>
          <cell r="P82">
            <v>46378</v>
          </cell>
          <cell r="Q82" t="str">
            <v>Prime</v>
          </cell>
          <cell r="R82" t="str">
            <v>CPFF</v>
          </cell>
          <cell r="S82">
            <v>0</v>
          </cell>
          <cell r="T82">
            <v>1</v>
          </cell>
          <cell r="U82" t="str">
            <v>REVTOT</v>
          </cell>
          <cell r="V82" t="str">
            <v>Identified - Recompete</v>
          </cell>
          <cell r="W82" t="str">
            <v>00 Investigate</v>
          </cell>
          <cell r="X82" t="str">
            <v>Priority 1</v>
          </cell>
          <cell r="Y82">
            <v>0.7</v>
          </cell>
          <cell r="Z82">
            <v>500000000</v>
          </cell>
          <cell r="AA82">
            <v>0</v>
          </cell>
          <cell r="AB82">
            <v>0</v>
          </cell>
          <cell r="AC82">
            <v>0</v>
          </cell>
          <cell r="AD82">
            <v>0</v>
          </cell>
          <cell r="AI82">
            <v>0</v>
          </cell>
          <cell r="AJ82">
            <v>0</v>
          </cell>
          <cell r="AK82">
            <v>0</v>
          </cell>
          <cell r="BB82">
            <v>100000000</v>
          </cell>
          <cell r="BC82">
            <v>100000000</v>
          </cell>
          <cell r="BD82">
            <v>100000000</v>
          </cell>
          <cell r="BE82">
            <v>100000000</v>
          </cell>
          <cell r="BI82">
            <v>0</v>
          </cell>
          <cell r="BJ82">
            <v>0</v>
          </cell>
          <cell r="BK82">
            <v>0</v>
          </cell>
          <cell r="BL82">
            <v>0</v>
          </cell>
          <cell r="BM82">
            <v>0</v>
          </cell>
          <cell r="BN82">
            <v>0</v>
          </cell>
          <cell r="BO82">
            <v>0</v>
          </cell>
          <cell r="BP82">
            <v>53861111.111111112</v>
          </cell>
          <cell r="BQ82">
            <v>70000000</v>
          </cell>
          <cell r="BR82">
            <v>123861111.1111111</v>
          </cell>
          <cell r="BT82">
            <v>15</v>
          </cell>
          <cell r="CA82" t="str">
            <v>000042 - REVTOT - Identified - Recompete</v>
          </cell>
          <cell r="CC82" t="str">
            <v>000042 - REVTOT - Identified - Recompete - MR</v>
          </cell>
          <cell r="CD82" t="str">
            <v/>
          </cell>
          <cell r="CF82" t="str">
            <v>000042 - Identified - Recompete - MR</v>
          </cell>
        </row>
        <row r="83">
          <cell r="D83">
            <v>69</v>
          </cell>
          <cell r="E83">
            <v>2</v>
          </cell>
          <cell r="F83">
            <v>3</v>
          </cell>
          <cell r="G83" t="str">
            <v>000042</v>
          </cell>
          <cell r="H83" t="str">
            <v>EAGLE Afghanistan</v>
          </cell>
          <cell r="I83" t="str">
            <v>MR</v>
          </cell>
          <cell r="J83" t="str">
            <v>MR Maintenance &amp; Sustainment</v>
          </cell>
          <cell r="K83" t="str">
            <v>Army</v>
          </cell>
          <cell r="L83" t="str">
            <v>DOD</v>
          </cell>
          <cell r="M83" t="str">
            <v>AFG</v>
          </cell>
          <cell r="N83" t="str">
            <v>OCONUS</v>
          </cell>
          <cell r="O83">
            <v>42817</v>
          </cell>
          <cell r="P83">
            <v>44552</v>
          </cell>
          <cell r="Q83" t="str">
            <v>Prime</v>
          </cell>
          <cell r="R83" t="str">
            <v>CPFF</v>
          </cell>
          <cell r="S83">
            <v>0</v>
          </cell>
          <cell r="T83">
            <v>1</v>
          </cell>
          <cell r="U83" t="str">
            <v>CONTRACT</v>
          </cell>
          <cell r="V83" t="str">
            <v>Base</v>
          </cell>
          <cell r="W83" t="str">
            <v>05 Won</v>
          </cell>
          <cell r="X83" t="str">
            <v>Active</v>
          </cell>
          <cell r="Y83">
            <v>1</v>
          </cell>
          <cell r="Z83">
            <v>0</v>
          </cell>
          <cell r="AA83">
            <v>27467143.630000018</v>
          </cell>
          <cell r="AB83">
            <v>215949414.04999998</v>
          </cell>
          <cell r="AC83">
            <v>60000000</v>
          </cell>
          <cell r="AD83">
            <v>303416557.68000001</v>
          </cell>
          <cell r="AL83">
            <v>0</v>
          </cell>
          <cell r="AM83">
            <v>0</v>
          </cell>
          <cell r="AN83">
            <v>9.1704562578197604E-2</v>
          </cell>
          <cell r="AO83">
            <v>8.1685710205157025E-2</v>
          </cell>
          <cell r="AP83">
            <v>0.1277164421355898</v>
          </cell>
          <cell r="AQ83">
            <v>0.1277164421355898</v>
          </cell>
          <cell r="AR83">
            <v>0.1277164421355898</v>
          </cell>
          <cell r="AS83">
            <v>0.1277164421355898</v>
          </cell>
          <cell r="BF83">
            <v>0</v>
          </cell>
          <cell r="BG83">
            <v>0</v>
          </cell>
          <cell r="BH83">
            <v>8142612.4999999981</v>
          </cell>
          <cell r="BI83">
            <v>1763906.7899999991</v>
          </cell>
          <cell r="BJ83">
            <v>1811577.8199999975</v>
          </cell>
          <cell r="BK83">
            <v>1990950.129999998</v>
          </cell>
          <cell r="BL83">
            <v>2864632.91</v>
          </cell>
          <cell r="BM83">
            <v>8431067.6499999948</v>
          </cell>
          <cell r="BN83">
            <v>13299129.595000003</v>
          </cell>
          <cell r="BO83">
            <v>13299129.595000003</v>
          </cell>
          <cell r="BP83">
            <v>3029246.1855277782</v>
          </cell>
          <cell r="BQ83">
            <v>0</v>
          </cell>
          <cell r="BR83">
            <v>38058573.025527783</v>
          </cell>
          <cell r="BT83">
            <v>15</v>
          </cell>
          <cell r="CA83" t="str">
            <v>000042 - CONTRACT - Base</v>
          </cell>
          <cell r="CC83" t="str">
            <v>000042 - CONTRACT - Base - MR</v>
          </cell>
          <cell r="CD83" t="str">
            <v/>
          </cell>
          <cell r="CF83" t="str">
            <v>000042 - Base - MR</v>
          </cell>
        </row>
        <row r="84">
          <cell r="D84">
            <v>70</v>
          </cell>
          <cell r="E84">
            <v>2</v>
          </cell>
          <cell r="F84">
            <v>4</v>
          </cell>
          <cell r="G84" t="str">
            <v>000042</v>
          </cell>
          <cell r="H84" t="str">
            <v>EAGLE Afghanistan</v>
          </cell>
          <cell r="I84" t="str">
            <v>MR</v>
          </cell>
          <cell r="J84" t="str">
            <v>MR Maintenance &amp; Sustainment</v>
          </cell>
          <cell r="K84" t="str">
            <v>Army</v>
          </cell>
          <cell r="L84" t="str">
            <v>DOD</v>
          </cell>
          <cell r="M84" t="str">
            <v>AFG</v>
          </cell>
          <cell r="N84" t="str">
            <v>OCONUS</v>
          </cell>
          <cell r="O84">
            <v>44553</v>
          </cell>
          <cell r="P84">
            <v>46378</v>
          </cell>
          <cell r="Q84" t="str">
            <v>Prime</v>
          </cell>
          <cell r="R84" t="str">
            <v>CPFF</v>
          </cell>
          <cell r="S84">
            <v>0</v>
          </cell>
          <cell r="T84">
            <v>1</v>
          </cell>
          <cell r="U84" t="str">
            <v>CONTRACT</v>
          </cell>
          <cell r="V84" t="str">
            <v>Identified - Recompete</v>
          </cell>
          <cell r="W84" t="str">
            <v>00 Investigate</v>
          </cell>
          <cell r="X84" t="str">
            <v>Priority 1</v>
          </cell>
          <cell r="Y84">
            <v>0.7</v>
          </cell>
          <cell r="Z84">
            <v>500000000</v>
          </cell>
          <cell r="AA84">
            <v>0</v>
          </cell>
          <cell r="AB84">
            <v>0</v>
          </cell>
          <cell r="AC84">
            <v>0</v>
          </cell>
          <cell r="AD84">
            <v>0</v>
          </cell>
          <cell r="AP84">
            <v>0.13342784695822946</v>
          </cell>
          <cell r="AQ84">
            <v>0.13430098655172518</v>
          </cell>
          <cell r="AR84">
            <v>0.13430098655172518</v>
          </cell>
          <cell r="AS84">
            <v>0.13430098655172518</v>
          </cell>
          <cell r="BI84">
            <v>0</v>
          </cell>
          <cell r="BJ84">
            <v>0</v>
          </cell>
          <cell r="BK84">
            <v>0</v>
          </cell>
          <cell r="BL84">
            <v>0</v>
          </cell>
          <cell r="BM84">
            <v>0</v>
          </cell>
          <cell r="BN84">
            <v>0</v>
          </cell>
          <cell r="BO84">
            <v>0</v>
          </cell>
          <cell r="BP84">
            <v>7233600.3589943089</v>
          </cell>
          <cell r="BQ84">
            <v>9401069.0586207621</v>
          </cell>
          <cell r="BR84">
            <v>16634669.417615071</v>
          </cell>
          <cell r="BT84">
            <v>15</v>
          </cell>
          <cell r="CA84" t="str">
            <v>000042 - CONTRACT - Identified - Recompete</v>
          </cell>
          <cell r="CC84" t="str">
            <v>000042 - CONTRACT - Identified - Recompete - MR</v>
          </cell>
          <cell r="CD84" t="str">
            <v/>
          </cell>
          <cell r="CF84" t="str">
            <v>000042 - Identified - Recompete - MR</v>
          </cell>
        </row>
        <row r="85">
          <cell r="D85">
            <v>71</v>
          </cell>
          <cell r="E85">
            <v>0</v>
          </cell>
          <cell r="F85">
            <v>5</v>
          </cell>
          <cell r="G85" t="str">
            <v>000042</v>
          </cell>
          <cell r="H85" t="str">
            <v>EAGLE Afghanistan</v>
          </cell>
          <cell r="I85" t="str">
            <v>MR</v>
          </cell>
          <cell r="J85" t="str">
            <v>MR Maintenance &amp; Sustainment</v>
          </cell>
          <cell r="K85" t="str">
            <v>Army</v>
          </cell>
          <cell r="L85" t="str">
            <v>DOD</v>
          </cell>
          <cell r="M85" t="str">
            <v>AFG</v>
          </cell>
          <cell r="N85" t="str">
            <v>OCONUS</v>
          </cell>
          <cell r="O85">
            <v>42817</v>
          </cell>
          <cell r="P85">
            <v>44552</v>
          </cell>
          <cell r="Q85" t="str">
            <v>Prime</v>
          </cell>
          <cell r="R85" t="str">
            <v>CPFF</v>
          </cell>
          <cell r="S85">
            <v>0</v>
          </cell>
          <cell r="T85">
            <v>1</v>
          </cell>
          <cell r="U85" t="str">
            <v>EBITA</v>
          </cell>
          <cell r="V85" t="str">
            <v>Base</v>
          </cell>
          <cell r="W85" t="str">
            <v>05 Won</v>
          </cell>
          <cell r="X85" t="str">
            <v>Active</v>
          </cell>
          <cell r="Y85">
            <v>1</v>
          </cell>
          <cell r="Z85">
            <v>0</v>
          </cell>
          <cell r="AA85">
            <v>27467143.630000018</v>
          </cell>
          <cell r="AB85">
            <v>215949414.04999998</v>
          </cell>
          <cell r="AC85">
            <v>60000000</v>
          </cell>
          <cell r="AD85">
            <v>303416557.68000001</v>
          </cell>
          <cell r="AT85">
            <v>0</v>
          </cell>
          <cell r="AU85">
            <v>0</v>
          </cell>
          <cell r="AV85">
            <v>2.7257094483669302E-2</v>
          </cell>
          <cell r="AW85">
            <v>2.5569755654946277E-2</v>
          </cell>
          <cell r="AX85">
            <v>3.174899495273225E-2</v>
          </cell>
          <cell r="AY85">
            <v>2.4222322978293406E-2</v>
          </cell>
          <cell r="AZ85">
            <v>2.4222322978293406E-2</v>
          </cell>
          <cell r="BA85">
            <v>2.4222322978293406E-2</v>
          </cell>
          <cell r="BF85">
            <v>0</v>
          </cell>
          <cell r="BG85">
            <v>0</v>
          </cell>
          <cell r="BH85">
            <v>2420206.2799999979</v>
          </cell>
          <cell r="BI85">
            <v>522567.70999999932</v>
          </cell>
          <cell r="BJ85">
            <v>757318.9399999975</v>
          </cell>
          <cell r="BK85">
            <v>772008.52999999817</v>
          </cell>
          <cell r="BL85">
            <v>587248.67000000016</v>
          </cell>
          <cell r="BM85">
            <v>2639143.849999995</v>
          </cell>
          <cell r="BN85">
            <v>3306026.9400483579</v>
          </cell>
          <cell r="BO85">
            <v>2522273.6164093567</v>
          </cell>
          <cell r="BP85">
            <v>574517.87929324235</v>
          </cell>
          <cell r="BQ85">
            <v>0</v>
          </cell>
          <cell r="BR85">
            <v>9041962.2857509535</v>
          </cell>
          <cell r="BT85">
            <v>15</v>
          </cell>
          <cell r="CA85" t="str">
            <v>000042 - EBITA - Base</v>
          </cell>
          <cell r="CC85" t="str">
            <v>000042 - EBITA - Base - MR</v>
          </cell>
          <cell r="CD85" t="str">
            <v/>
          </cell>
          <cell r="CF85" t="str">
            <v>000042 - Base - MR</v>
          </cell>
        </row>
        <row r="86">
          <cell r="D86">
            <v>72</v>
          </cell>
          <cell r="E86">
            <v>0</v>
          </cell>
          <cell r="F86">
            <v>0</v>
          </cell>
          <cell r="G86" t="str">
            <v>000042</v>
          </cell>
          <cell r="H86" t="str">
            <v>EAGLE Afghanistan</v>
          </cell>
          <cell r="I86" t="str">
            <v>MR</v>
          </cell>
          <cell r="J86" t="str">
            <v>MR Maintenance &amp; Sustainment</v>
          </cell>
          <cell r="K86" t="str">
            <v>Army</v>
          </cell>
          <cell r="L86" t="str">
            <v>DOD</v>
          </cell>
          <cell r="M86" t="str">
            <v>AFG</v>
          </cell>
          <cell r="N86" t="str">
            <v>OCONUS</v>
          </cell>
          <cell r="O86">
            <v>44553</v>
          </cell>
          <cell r="P86">
            <v>46378</v>
          </cell>
          <cell r="Q86" t="str">
            <v>Prime</v>
          </cell>
          <cell r="R86" t="str">
            <v>CPFF</v>
          </cell>
          <cell r="S86">
            <v>0</v>
          </cell>
          <cell r="T86">
            <v>1</v>
          </cell>
          <cell r="U86" t="str">
            <v>EBITA</v>
          </cell>
          <cell r="V86" t="str">
            <v>Identified - Recompete</v>
          </cell>
          <cell r="W86" t="str">
            <v>00 Investigate</v>
          </cell>
          <cell r="X86" t="str">
            <v>Priority 1</v>
          </cell>
          <cell r="Y86">
            <v>0.7</v>
          </cell>
          <cell r="Z86">
            <v>500000000</v>
          </cell>
          <cell r="AA86">
            <v>0</v>
          </cell>
          <cell r="AB86">
            <v>0</v>
          </cell>
          <cell r="AC86">
            <v>0</v>
          </cell>
          <cell r="AD86">
            <v>0</v>
          </cell>
          <cell r="AX86">
            <v>3.6748994952732247E-2</v>
          </cell>
          <cell r="AY86">
            <v>3.6748994952732247E-2</v>
          </cell>
          <cell r="AZ86">
            <v>3.6748994952732247E-2</v>
          </cell>
          <cell r="BA86">
            <v>3.6748994952732247E-2</v>
          </cell>
          <cell r="BI86">
            <v>0</v>
          </cell>
          <cell r="BJ86">
            <v>0</v>
          </cell>
          <cell r="BK86">
            <v>0</v>
          </cell>
          <cell r="BL86">
            <v>0</v>
          </cell>
          <cell r="BM86">
            <v>0</v>
          </cell>
          <cell r="BN86">
            <v>0</v>
          </cell>
          <cell r="BO86">
            <v>0</v>
          </cell>
          <cell r="BP86">
            <v>1979341.700370773</v>
          </cell>
          <cell r="BQ86">
            <v>2572429.6466912571</v>
          </cell>
          <cell r="BR86">
            <v>4551771.3470620299</v>
          </cell>
          <cell r="BT86">
            <v>15</v>
          </cell>
          <cell r="CA86" t="str">
            <v>000042 - EBITA - Identified - Recompete</v>
          </cell>
          <cell r="CC86" t="str">
            <v>000042 - EBITA - Identified - Recompete - MR</v>
          </cell>
          <cell r="CD86" t="str">
            <v/>
          </cell>
          <cell r="CF86" t="str">
            <v>000042 - Identified - Recompete - MR</v>
          </cell>
        </row>
        <row r="87">
          <cell r="D87">
            <v>73</v>
          </cell>
          <cell r="E87">
            <v>1</v>
          </cell>
          <cell r="F87">
            <v>1</v>
          </cell>
          <cell r="G87" t="str">
            <v>CFTALL</v>
          </cell>
          <cell r="H87" t="str">
            <v>CFTALL</v>
          </cell>
          <cell r="I87" t="str">
            <v>MR</v>
          </cell>
          <cell r="J87" t="str">
            <v>MR Maintenance &amp; Sustainment</v>
          </cell>
          <cell r="K87" t="str">
            <v>Air Force</v>
          </cell>
          <cell r="L87" t="str">
            <v>DOD</v>
          </cell>
          <cell r="M87" t="str">
            <v>AK</v>
          </cell>
          <cell r="N87" t="str">
            <v>CONUS</v>
          </cell>
          <cell r="O87">
            <v>42710</v>
          </cell>
          <cell r="P87">
            <v>45230</v>
          </cell>
          <cell r="Q87" t="str">
            <v>Prime</v>
          </cell>
          <cell r="R87" t="str">
            <v>FFP</v>
          </cell>
          <cell r="S87">
            <v>0</v>
          </cell>
          <cell r="T87">
            <v>1</v>
          </cell>
          <cell r="U87" t="str">
            <v>REVTOT</v>
          </cell>
          <cell r="V87" t="str">
            <v>Base</v>
          </cell>
          <cell r="W87" t="str">
            <v>05 Won</v>
          </cell>
          <cell r="X87" t="str">
            <v>Active</v>
          </cell>
          <cell r="Y87">
            <v>1</v>
          </cell>
          <cell r="Z87">
            <v>0</v>
          </cell>
          <cell r="AA87">
            <v>130732418.60640004</v>
          </cell>
          <cell r="AB87">
            <v>65110560.450000003</v>
          </cell>
          <cell r="AC87">
            <v>525000000</v>
          </cell>
          <cell r="AD87">
            <v>720842979.05640006</v>
          </cell>
          <cell r="AE87">
            <v>8.552535227188085E-2</v>
          </cell>
          <cell r="AF87">
            <v>-0.18891541273503976</v>
          </cell>
          <cell r="AG87">
            <v>-0.20625490978594097</v>
          </cell>
          <cell r="AH87">
            <v>6.8133855399419296E-3</v>
          </cell>
          <cell r="AI87">
            <v>2.5000000000000001E-2</v>
          </cell>
          <cell r="AJ87">
            <v>2.5000000000000001E-2</v>
          </cell>
          <cell r="AK87">
            <v>2.5000000000000001E-2</v>
          </cell>
          <cell r="BB87">
            <v>171413627.52310002</v>
          </cell>
          <cell r="BC87">
            <v>175698968.2111775</v>
          </cell>
          <cell r="BD87">
            <v>180091442.41645691</v>
          </cell>
          <cell r="BE87">
            <v>184593728.4768683</v>
          </cell>
          <cell r="BF87">
            <v>243617898.98000002</v>
          </cell>
          <cell r="BG87">
            <v>264453405.61000001</v>
          </cell>
          <cell r="BH87">
            <v>214494081.33999997</v>
          </cell>
          <cell r="BI87">
            <v>37874742.890000001</v>
          </cell>
          <cell r="BJ87">
            <v>41819177.859999999</v>
          </cell>
          <cell r="BK87">
            <v>44087079.920000002</v>
          </cell>
          <cell r="BL87">
            <v>46472623.273599997</v>
          </cell>
          <cell r="BM87">
            <v>170253623.9436</v>
          </cell>
          <cell r="BN87">
            <v>171413627.52310002</v>
          </cell>
          <cell r="BO87">
            <v>175698968.2111775</v>
          </cell>
          <cell r="BP87">
            <v>180091442.41645691</v>
          </cell>
          <cell r="BQ87">
            <v>184593728.4768683</v>
          </cell>
          <cell r="BR87">
            <v>882051390.57120275</v>
          </cell>
          <cell r="BT87">
            <v>16</v>
          </cell>
          <cell r="CA87" t="str">
            <v>CFTALL - REVTOT - Base</v>
          </cell>
          <cell r="CC87" t="str">
            <v>CFTALL - REVTOT - Base - MR</v>
          </cell>
          <cell r="CD87" t="str">
            <v>CFTALL - REVTOT - Base - MR</v>
          </cell>
          <cell r="CF87" t="str">
            <v>CFTALL - Base - MR</v>
          </cell>
        </row>
        <row r="88">
          <cell r="D88">
            <v>74</v>
          </cell>
          <cell r="E88">
            <v>1</v>
          </cell>
          <cell r="F88">
            <v>2</v>
          </cell>
          <cell r="G88" t="str">
            <v>CFTALL</v>
          </cell>
          <cell r="H88" t="str">
            <v>CFTALL</v>
          </cell>
          <cell r="I88" t="str">
            <v>MR</v>
          </cell>
          <cell r="J88" t="str">
            <v>MR Maintenance &amp; Sustainment</v>
          </cell>
          <cell r="K88" t="str">
            <v>Air Force</v>
          </cell>
          <cell r="L88" t="str">
            <v>DOD</v>
          </cell>
          <cell r="M88" t="str">
            <v>AK</v>
          </cell>
          <cell r="N88" t="str">
            <v>CONUS</v>
          </cell>
          <cell r="O88">
            <v>0</v>
          </cell>
          <cell r="P88">
            <v>0</v>
          </cell>
          <cell r="Q88">
            <v>0</v>
          </cell>
          <cell r="R88" t="str">
            <v>FFP</v>
          </cell>
          <cell r="S88">
            <v>0</v>
          </cell>
          <cell r="T88">
            <v>1</v>
          </cell>
          <cell r="U88" t="str">
            <v>REVTOT</v>
          </cell>
          <cell r="V88" t="str">
            <v>Identified - Recompete</v>
          </cell>
          <cell r="W88">
            <v>0</v>
          </cell>
          <cell r="X88">
            <v>0</v>
          </cell>
          <cell r="Y88">
            <v>0</v>
          </cell>
          <cell r="Z88">
            <v>0</v>
          </cell>
          <cell r="AA88">
            <v>0</v>
          </cell>
          <cell r="AB88">
            <v>0</v>
          </cell>
          <cell r="AC88">
            <v>0</v>
          </cell>
          <cell r="AD88">
            <v>0</v>
          </cell>
          <cell r="AI88">
            <v>0</v>
          </cell>
          <cell r="AJ88">
            <v>0</v>
          </cell>
          <cell r="AK88">
            <v>0</v>
          </cell>
          <cell r="BB88">
            <v>0</v>
          </cell>
          <cell r="BC88">
            <v>0</v>
          </cell>
          <cell r="BD88">
            <v>0</v>
          </cell>
          <cell r="BE88">
            <v>0</v>
          </cell>
          <cell r="BI88">
            <v>0</v>
          </cell>
          <cell r="BJ88">
            <v>0</v>
          </cell>
          <cell r="BK88">
            <v>0</v>
          </cell>
          <cell r="BL88">
            <v>0</v>
          </cell>
          <cell r="BM88">
            <v>0</v>
          </cell>
          <cell r="BN88">
            <v>0</v>
          </cell>
          <cell r="BO88">
            <v>0</v>
          </cell>
          <cell r="BP88">
            <v>0</v>
          </cell>
          <cell r="BQ88">
            <v>0</v>
          </cell>
          <cell r="BR88">
            <v>0</v>
          </cell>
          <cell r="BT88">
            <v>16</v>
          </cell>
          <cell r="CA88" t="str">
            <v>CFTALL - REVTOT - Identified - Recompete</v>
          </cell>
          <cell r="CC88" t="str">
            <v>CFTALL - REVTOT - Identified - Recompete - MR</v>
          </cell>
          <cell r="CD88" t="str">
            <v/>
          </cell>
          <cell r="CF88" t="str">
            <v>CFTALL - Identified - Recompete - MR</v>
          </cell>
        </row>
        <row r="89">
          <cell r="D89">
            <v>75</v>
          </cell>
          <cell r="E89">
            <v>2</v>
          </cell>
          <cell r="F89">
            <v>3</v>
          </cell>
          <cell r="G89" t="str">
            <v>CFTALL</v>
          </cell>
          <cell r="H89" t="str">
            <v>CFTALL</v>
          </cell>
          <cell r="I89" t="str">
            <v>MR</v>
          </cell>
          <cell r="J89" t="str">
            <v>MR Maintenance &amp; Sustainment</v>
          </cell>
          <cell r="K89" t="str">
            <v>Air Force</v>
          </cell>
          <cell r="L89" t="str">
            <v>DOD</v>
          </cell>
          <cell r="M89" t="str">
            <v>AK</v>
          </cell>
          <cell r="N89" t="str">
            <v>CONUS</v>
          </cell>
          <cell r="O89">
            <v>42710</v>
          </cell>
          <cell r="P89">
            <v>45230</v>
          </cell>
          <cell r="Q89" t="str">
            <v>Prime</v>
          </cell>
          <cell r="R89" t="str">
            <v>FFP</v>
          </cell>
          <cell r="S89">
            <v>0</v>
          </cell>
          <cell r="T89">
            <v>1</v>
          </cell>
          <cell r="U89" t="str">
            <v>CONTRACT</v>
          </cell>
          <cell r="V89" t="str">
            <v>Base</v>
          </cell>
          <cell r="W89" t="str">
            <v>05 Won</v>
          </cell>
          <cell r="X89" t="str">
            <v>Active</v>
          </cell>
          <cell r="Y89">
            <v>1</v>
          </cell>
          <cell r="Z89">
            <v>0</v>
          </cell>
          <cell r="AA89">
            <v>130732418.60640004</v>
          </cell>
          <cell r="AB89">
            <v>65110560.450000003</v>
          </cell>
          <cell r="AC89">
            <v>525000000</v>
          </cell>
          <cell r="AD89">
            <v>720842979.05640006</v>
          </cell>
          <cell r="AL89">
            <v>0.10092573346599018</v>
          </cell>
          <cell r="AM89">
            <v>0.11981604111662778</v>
          </cell>
          <cell r="AN89">
            <v>0.13512008372883347</v>
          </cell>
          <cell r="AO89">
            <v>0.13673879084084611</v>
          </cell>
          <cell r="AP89">
            <v>0.12985644571870647</v>
          </cell>
          <cell r="AQ89">
            <v>0.12985644571870647</v>
          </cell>
          <cell r="AR89">
            <v>0.12985644571870647</v>
          </cell>
          <cell r="AS89">
            <v>0.12985644571870647</v>
          </cell>
          <cell r="BF89">
            <v>24587315.140000004</v>
          </cell>
          <cell r="BG89">
            <v>31685760.120000005</v>
          </cell>
          <cell r="BH89">
            <v>28982458.230000012</v>
          </cell>
          <cell r="BI89">
            <v>5048840.8000000007</v>
          </cell>
          <cell r="BJ89">
            <v>5354544.0900000017</v>
          </cell>
          <cell r="BK89">
            <v>6692134.9499999937</v>
          </cell>
          <cell r="BL89">
            <v>6184754.8343199957</v>
          </cell>
          <cell r="BM89">
            <v>23280274.67431999</v>
          </cell>
          <cell r="BN89">
            <v>22259164.417900007</v>
          </cell>
          <cell r="BO89">
            <v>22815643.528347503</v>
          </cell>
          <cell r="BP89">
            <v>23386034.61655619</v>
          </cell>
          <cell r="BQ89">
            <v>23970685.48197009</v>
          </cell>
          <cell r="BR89">
            <v>115711802.71909378</v>
          </cell>
          <cell r="BT89">
            <v>16</v>
          </cell>
          <cell r="CA89" t="str">
            <v>CFTALL - CONTRACT - Base</v>
          </cell>
          <cell r="CC89" t="str">
            <v>CFTALL - CONTRACT - Base - MR</v>
          </cell>
          <cell r="CD89" t="str">
            <v/>
          </cell>
          <cell r="CF89" t="str">
            <v>CFTALL - Base - MR</v>
          </cell>
        </row>
        <row r="90">
          <cell r="D90">
            <v>76</v>
          </cell>
          <cell r="E90">
            <v>2</v>
          </cell>
          <cell r="F90">
            <v>4</v>
          </cell>
          <cell r="G90" t="str">
            <v>CFTALL</v>
          </cell>
          <cell r="H90" t="str">
            <v>CFTALL</v>
          </cell>
          <cell r="I90" t="str">
            <v>MR</v>
          </cell>
          <cell r="J90" t="str">
            <v>MR Maintenance &amp; Sustainment</v>
          </cell>
          <cell r="K90" t="str">
            <v>Air Force</v>
          </cell>
          <cell r="L90" t="str">
            <v>DOD</v>
          </cell>
          <cell r="M90" t="str">
            <v>AK</v>
          </cell>
          <cell r="N90" t="str">
            <v>CONUS</v>
          </cell>
          <cell r="O90">
            <v>0</v>
          </cell>
          <cell r="P90">
            <v>0</v>
          </cell>
          <cell r="Q90">
            <v>0</v>
          </cell>
          <cell r="R90" t="str">
            <v>FFP</v>
          </cell>
          <cell r="S90">
            <v>0</v>
          </cell>
          <cell r="T90">
            <v>1</v>
          </cell>
          <cell r="U90" t="str">
            <v>CONTRACT</v>
          </cell>
          <cell r="V90" t="str">
            <v>Identified - Recompete</v>
          </cell>
          <cell r="W90">
            <v>0</v>
          </cell>
          <cell r="X90">
            <v>0</v>
          </cell>
          <cell r="Y90">
            <v>0</v>
          </cell>
          <cell r="Z90">
            <v>0</v>
          </cell>
          <cell r="AA90">
            <v>0</v>
          </cell>
          <cell r="AB90">
            <v>0</v>
          </cell>
          <cell r="AC90">
            <v>0</v>
          </cell>
          <cell r="AD90">
            <v>0</v>
          </cell>
          <cell r="AP90">
            <v>0.12985644571870647</v>
          </cell>
          <cell r="AQ90">
            <v>0.12985644571870647</v>
          </cell>
          <cell r="AR90">
            <v>0.12985644571870647</v>
          </cell>
          <cell r="AS90">
            <v>0.12985644571870647</v>
          </cell>
          <cell r="BI90">
            <v>0</v>
          </cell>
          <cell r="BJ90">
            <v>0</v>
          </cell>
          <cell r="BK90">
            <v>0</v>
          </cell>
          <cell r="BL90">
            <v>0</v>
          </cell>
          <cell r="BM90">
            <v>0</v>
          </cell>
          <cell r="BN90">
            <v>0</v>
          </cell>
          <cell r="BO90">
            <v>0</v>
          </cell>
          <cell r="BP90">
            <v>0</v>
          </cell>
          <cell r="BQ90">
            <v>0</v>
          </cell>
          <cell r="BR90">
            <v>0</v>
          </cell>
          <cell r="BT90">
            <v>16</v>
          </cell>
          <cell r="CA90" t="str">
            <v>CFTALL - CONTRACT - Identified - Recompete</v>
          </cell>
          <cell r="CC90" t="str">
            <v>CFTALL - CONTRACT - Identified - Recompete - MR</v>
          </cell>
          <cell r="CD90" t="str">
            <v/>
          </cell>
          <cell r="CF90" t="str">
            <v>CFTALL - Identified - Recompete - MR</v>
          </cell>
        </row>
        <row r="91">
          <cell r="D91">
            <v>77</v>
          </cell>
          <cell r="E91">
            <v>0</v>
          </cell>
          <cell r="F91">
            <v>5</v>
          </cell>
          <cell r="G91" t="str">
            <v>CFTALL</v>
          </cell>
          <cell r="H91" t="str">
            <v>CFTALL</v>
          </cell>
          <cell r="I91" t="str">
            <v>MR</v>
          </cell>
          <cell r="J91" t="str">
            <v>MR Maintenance &amp; Sustainment</v>
          </cell>
          <cell r="K91" t="str">
            <v>Air Force</v>
          </cell>
          <cell r="L91" t="str">
            <v>DOD</v>
          </cell>
          <cell r="M91" t="str">
            <v>AK</v>
          </cell>
          <cell r="N91" t="str">
            <v>CONUS</v>
          </cell>
          <cell r="O91">
            <v>42710</v>
          </cell>
          <cell r="P91">
            <v>45230</v>
          </cell>
          <cell r="Q91" t="str">
            <v>Prime</v>
          </cell>
          <cell r="R91" t="str">
            <v>FFP</v>
          </cell>
          <cell r="S91">
            <v>0</v>
          </cell>
          <cell r="T91">
            <v>1</v>
          </cell>
          <cell r="U91" t="str">
            <v>EBITA</v>
          </cell>
          <cell r="V91" t="str">
            <v>Base</v>
          </cell>
          <cell r="W91" t="str">
            <v>05 Won</v>
          </cell>
          <cell r="X91" t="str">
            <v>Active</v>
          </cell>
          <cell r="Y91">
            <v>1</v>
          </cell>
          <cell r="Z91">
            <v>0</v>
          </cell>
          <cell r="AA91">
            <v>130732418.60640004</v>
          </cell>
          <cell r="AB91">
            <v>65110560.450000003</v>
          </cell>
          <cell r="AC91">
            <v>525000000</v>
          </cell>
          <cell r="AD91">
            <v>720842979.05640006</v>
          </cell>
          <cell r="AT91">
            <v>-1.7247153339685198E-2</v>
          </cell>
          <cell r="AU91">
            <v>4.6821172415757494E-3</v>
          </cell>
          <cell r="AV91">
            <v>1.971594933333657E-2</v>
          </cell>
          <cell r="AW91">
            <v>2.255076929490708E-2</v>
          </cell>
          <cell r="AX91">
            <v>2.3699508198508287E-2</v>
          </cell>
          <cell r="AY91">
            <v>2.4699508198508288E-2</v>
          </cell>
          <cell r="AZ91">
            <v>2.5699508198508289E-2</v>
          </cell>
          <cell r="BA91">
            <v>2.669950819850829E-2</v>
          </cell>
          <cell r="BF91">
            <v>-4201715.2599999988</v>
          </cell>
          <cell r="BG91">
            <v>1238201.8500000061</v>
          </cell>
          <cell r="BH91">
            <v>4228954.4400000125</v>
          </cell>
          <cell r="BI91">
            <v>859057.31000000075</v>
          </cell>
          <cell r="BJ91">
            <v>889489.46000000206</v>
          </cell>
          <cell r="BK91">
            <v>1211247.9599999932</v>
          </cell>
          <cell r="BL91">
            <v>879555.46517399582</v>
          </cell>
          <cell r="BM91">
            <v>3839350.1951739918</v>
          </cell>
          <cell r="BN91">
            <v>4062418.6708197547</v>
          </cell>
          <cell r="BO91">
            <v>4339678.1058014259</v>
          </cell>
          <cell r="BP91">
            <v>4628261.5008629179</v>
          </cell>
          <cell r="BQ91">
            <v>4928561.7668613587</v>
          </cell>
          <cell r="BR91">
            <v>21798270.239519447</v>
          </cell>
          <cell r="BT91">
            <v>16</v>
          </cell>
          <cell r="CA91" t="str">
            <v>CFTALL - EBITA - Base</v>
          </cell>
          <cell r="CC91" t="str">
            <v>CFTALL - EBITA - Base - MR</v>
          </cell>
          <cell r="CD91" t="str">
            <v/>
          </cell>
          <cell r="CF91" t="str">
            <v>CFTALL - Base - MR</v>
          </cell>
        </row>
        <row r="92">
          <cell r="D92">
            <v>78</v>
          </cell>
          <cell r="E92">
            <v>0</v>
          </cell>
          <cell r="F92">
            <v>0</v>
          </cell>
          <cell r="G92" t="str">
            <v>CFTALL</v>
          </cell>
          <cell r="H92" t="str">
            <v>CFTALL</v>
          </cell>
          <cell r="I92" t="str">
            <v>MR</v>
          </cell>
          <cell r="J92" t="str">
            <v>MR Maintenance &amp; Sustainment</v>
          </cell>
          <cell r="K92" t="str">
            <v>Air Force</v>
          </cell>
          <cell r="L92" t="str">
            <v>DOD</v>
          </cell>
          <cell r="M92" t="str">
            <v>AK</v>
          </cell>
          <cell r="N92" t="str">
            <v>CONUS</v>
          </cell>
          <cell r="O92">
            <v>0</v>
          </cell>
          <cell r="P92">
            <v>0</v>
          </cell>
          <cell r="Q92">
            <v>0</v>
          </cell>
          <cell r="R92" t="str">
            <v>FFP</v>
          </cell>
          <cell r="S92">
            <v>0</v>
          </cell>
          <cell r="T92">
            <v>1</v>
          </cell>
          <cell r="U92" t="str">
            <v>EBITA</v>
          </cell>
          <cell r="V92" t="str">
            <v>Identified - Recompete</v>
          </cell>
          <cell r="W92">
            <v>0</v>
          </cell>
          <cell r="X92">
            <v>0</v>
          </cell>
          <cell r="Y92">
            <v>0</v>
          </cell>
          <cell r="Z92">
            <v>0</v>
          </cell>
          <cell r="AA92">
            <v>0</v>
          </cell>
          <cell r="AB92">
            <v>0</v>
          </cell>
          <cell r="AC92">
            <v>0</v>
          </cell>
          <cell r="AD92">
            <v>0</v>
          </cell>
          <cell r="AX92">
            <v>2.3699508198508287E-2</v>
          </cell>
          <cell r="AY92">
            <v>2.4699508198508288E-2</v>
          </cell>
          <cell r="AZ92">
            <v>2.5699508198508289E-2</v>
          </cell>
          <cell r="BA92">
            <v>2.669950819850829E-2</v>
          </cell>
          <cell r="BI92">
            <v>0</v>
          </cell>
          <cell r="BJ92">
            <v>0</v>
          </cell>
          <cell r="BK92">
            <v>0</v>
          </cell>
          <cell r="BL92">
            <v>0</v>
          </cell>
          <cell r="BM92">
            <v>0</v>
          </cell>
          <cell r="BN92">
            <v>0</v>
          </cell>
          <cell r="BO92">
            <v>0</v>
          </cell>
          <cell r="BP92">
            <v>0</v>
          </cell>
          <cell r="BQ92">
            <v>0</v>
          </cell>
          <cell r="BR92">
            <v>0</v>
          </cell>
          <cell r="BT92">
            <v>16</v>
          </cell>
          <cell r="CA92" t="str">
            <v>CFTALL - EBITA - Identified - Recompete</v>
          </cell>
          <cell r="CC92" t="str">
            <v>CFTALL - EBITA - Identified - Recompete - MR</v>
          </cell>
          <cell r="CD92" t="str">
            <v/>
          </cell>
          <cell r="CF92" t="str">
            <v>CFTALL - Identified - Recompete - MR</v>
          </cell>
        </row>
        <row r="93">
          <cell r="D93">
            <v>79</v>
          </cell>
          <cell r="E93">
            <v>1</v>
          </cell>
          <cell r="F93">
            <v>1</v>
          </cell>
          <cell r="G93" t="str">
            <v>UA7022</v>
          </cell>
          <cell r="H93" t="str">
            <v>UASOCS II</v>
          </cell>
          <cell r="I93" t="str">
            <v>MR</v>
          </cell>
          <cell r="J93" t="str">
            <v>MR Warfighter Support</v>
          </cell>
          <cell r="K93" t="str">
            <v>Air Force</v>
          </cell>
          <cell r="L93" t="str">
            <v>DOD</v>
          </cell>
          <cell r="M93" t="str">
            <v>NV</v>
          </cell>
          <cell r="N93" t="str">
            <v>CONUS</v>
          </cell>
          <cell r="O93">
            <v>42461</v>
          </cell>
          <cell r="P93">
            <v>45016</v>
          </cell>
          <cell r="Q93" t="str">
            <v>Prime</v>
          </cell>
          <cell r="R93" t="str">
            <v>FFP</v>
          </cell>
          <cell r="S93">
            <v>0</v>
          </cell>
          <cell r="T93">
            <v>1</v>
          </cell>
          <cell r="U93" t="str">
            <v>REVTOT</v>
          </cell>
          <cell r="V93" t="str">
            <v>Base</v>
          </cell>
          <cell r="W93" t="str">
            <v>05 Won</v>
          </cell>
          <cell r="X93" t="str">
            <v>Active</v>
          </cell>
          <cell r="Y93">
            <v>1</v>
          </cell>
          <cell r="Z93">
            <v>0</v>
          </cell>
          <cell r="AA93">
            <v>18301808.072999999</v>
          </cell>
          <cell r="AB93">
            <v>45364614.039999992</v>
          </cell>
          <cell r="AC93">
            <v>0</v>
          </cell>
          <cell r="AD93">
            <v>63666422.112999991</v>
          </cell>
          <cell r="AE93">
            <v>1.1901363293598766</v>
          </cell>
          <cell r="AF93">
            <v>0.37466739644942071</v>
          </cell>
          <cell r="AG93">
            <v>9.6225765484780457E-2</v>
          </cell>
          <cell r="AH93">
            <v>-3.3986636521234681E-2</v>
          </cell>
          <cell r="AI93">
            <v>0</v>
          </cell>
          <cell r="AJ93">
            <v>0</v>
          </cell>
          <cell r="AK93">
            <v>0</v>
          </cell>
          <cell r="BB93">
            <v>20536102.65986345</v>
          </cell>
          <cell r="BC93">
            <v>20536102.65986345</v>
          </cell>
          <cell r="BD93">
            <v>20536102.65986345</v>
          </cell>
          <cell r="BE93">
            <v>20536102.65986345</v>
          </cell>
          <cell r="BF93">
            <v>6441189.9299999997</v>
          </cell>
          <cell r="BG93">
            <v>14107084.07</v>
          </cell>
          <cell r="BH93">
            <v>19392548.529999997</v>
          </cell>
          <cell r="BI93">
            <v>7338225.79</v>
          </cell>
          <cell r="BJ93">
            <v>5013066.42</v>
          </cell>
          <cell r="BK93">
            <v>4567280.3099999996</v>
          </cell>
          <cell r="BL93">
            <v>4340038.8369999994</v>
          </cell>
          <cell r="BM93">
            <v>21258611.357000001</v>
          </cell>
          <cell r="BN93">
            <v>20536102.65986345</v>
          </cell>
          <cell r="BO93">
            <v>20536102.65986345</v>
          </cell>
          <cell r="BP93">
            <v>20536102.65986345</v>
          </cell>
          <cell r="BQ93">
            <v>2058114.1334096417</v>
          </cell>
          <cell r="BR93">
            <v>84925033.469999999</v>
          </cell>
          <cell r="BT93">
            <v>17</v>
          </cell>
          <cell r="CA93" t="str">
            <v>UA7022 - REVTOT - Base</v>
          </cell>
          <cell r="CC93" t="str">
            <v>UA7022 - REVTOT - Base - MR</v>
          </cell>
          <cell r="CD93" t="str">
            <v>UA7022 - REVTOT - Base - MR</v>
          </cell>
          <cell r="CF93" t="str">
            <v>UA7022 - Base - MR</v>
          </cell>
        </row>
        <row r="94">
          <cell r="D94">
            <v>80</v>
          </cell>
          <cell r="E94">
            <v>1</v>
          </cell>
          <cell r="F94">
            <v>2</v>
          </cell>
          <cell r="G94" t="str">
            <v>UA7022</v>
          </cell>
          <cell r="H94" t="str">
            <v>UASOCS II</v>
          </cell>
          <cell r="I94" t="str">
            <v>MR</v>
          </cell>
          <cell r="J94" t="str">
            <v>MR Warfighter Support</v>
          </cell>
          <cell r="K94" t="str">
            <v>Air Force</v>
          </cell>
          <cell r="L94" t="str">
            <v>DOD</v>
          </cell>
          <cell r="M94" t="str">
            <v>NV</v>
          </cell>
          <cell r="N94" t="str">
            <v>CONUS</v>
          </cell>
          <cell r="O94">
            <v>45017</v>
          </cell>
          <cell r="P94">
            <v>47573</v>
          </cell>
          <cell r="Q94" t="str">
            <v>Prime</v>
          </cell>
          <cell r="R94" t="str">
            <v>FFP</v>
          </cell>
          <cell r="S94">
            <v>0</v>
          </cell>
          <cell r="T94">
            <v>1</v>
          </cell>
          <cell r="U94" t="str">
            <v>REVTOT</v>
          </cell>
          <cell r="V94" t="str">
            <v>Identified - Recompete</v>
          </cell>
          <cell r="W94" t="str">
            <v>00 Investigate</v>
          </cell>
          <cell r="X94" t="str">
            <v>Priority 1</v>
          </cell>
          <cell r="Y94">
            <v>0.45</v>
          </cell>
          <cell r="Z94">
            <v>105000000</v>
          </cell>
          <cell r="AA94">
            <v>0</v>
          </cell>
          <cell r="AB94">
            <v>0</v>
          </cell>
          <cell r="AC94">
            <v>0</v>
          </cell>
          <cell r="AD94">
            <v>0</v>
          </cell>
          <cell r="AI94">
            <v>0</v>
          </cell>
          <cell r="AJ94">
            <v>0</v>
          </cell>
          <cell r="AK94">
            <v>0</v>
          </cell>
          <cell r="BB94">
            <v>15000000</v>
          </cell>
          <cell r="BC94">
            <v>15000000</v>
          </cell>
          <cell r="BD94">
            <v>15000000</v>
          </cell>
          <cell r="BE94">
            <v>15000000</v>
          </cell>
          <cell r="BI94">
            <v>0</v>
          </cell>
          <cell r="BJ94">
            <v>0</v>
          </cell>
          <cell r="BK94">
            <v>0</v>
          </cell>
          <cell r="BL94">
            <v>0</v>
          </cell>
          <cell r="BM94">
            <v>0</v>
          </cell>
          <cell r="BN94">
            <v>0</v>
          </cell>
          <cell r="BO94">
            <v>0</v>
          </cell>
          <cell r="BP94">
            <v>0</v>
          </cell>
          <cell r="BQ94">
            <v>3356250</v>
          </cell>
          <cell r="BR94">
            <v>3356250</v>
          </cell>
          <cell r="BT94">
            <v>17</v>
          </cell>
          <cell r="CA94" t="str">
            <v>UA7022 - REVTOT - Identified - Recompete</v>
          </cell>
          <cell r="CC94" t="str">
            <v>UA7022 - REVTOT - Identified - Recompete - MR</v>
          </cell>
          <cell r="CD94" t="str">
            <v/>
          </cell>
          <cell r="CF94" t="str">
            <v>UA7022 - Identified - Recompete - MR</v>
          </cell>
        </row>
        <row r="95">
          <cell r="D95">
            <v>81</v>
          </cell>
          <cell r="E95">
            <v>2</v>
          </cell>
          <cell r="F95">
            <v>3</v>
          </cell>
          <cell r="G95" t="str">
            <v>UA7022</v>
          </cell>
          <cell r="H95" t="str">
            <v>UASOCS II</v>
          </cell>
          <cell r="I95" t="str">
            <v>MR</v>
          </cell>
          <cell r="J95" t="str">
            <v>MR Warfighter Support</v>
          </cell>
          <cell r="K95" t="str">
            <v>Air Force</v>
          </cell>
          <cell r="L95" t="str">
            <v>DOD</v>
          </cell>
          <cell r="M95" t="str">
            <v>NV</v>
          </cell>
          <cell r="N95" t="str">
            <v>CONUS</v>
          </cell>
          <cell r="O95">
            <v>42461</v>
          </cell>
          <cell r="P95">
            <v>45016</v>
          </cell>
          <cell r="Q95" t="str">
            <v>Prime</v>
          </cell>
          <cell r="R95" t="str">
            <v>FFP</v>
          </cell>
          <cell r="S95">
            <v>0</v>
          </cell>
          <cell r="T95">
            <v>1</v>
          </cell>
          <cell r="U95" t="str">
            <v>CONTRACT</v>
          </cell>
          <cell r="V95" t="str">
            <v>Base</v>
          </cell>
          <cell r="W95" t="str">
            <v>05 Won</v>
          </cell>
          <cell r="X95" t="str">
            <v>Active</v>
          </cell>
          <cell r="Y95">
            <v>1</v>
          </cell>
          <cell r="Z95">
            <v>0</v>
          </cell>
          <cell r="AA95">
            <v>18301808.072999999</v>
          </cell>
          <cell r="AB95">
            <v>45364614.039999992</v>
          </cell>
          <cell r="AC95">
            <v>0</v>
          </cell>
          <cell r="AD95">
            <v>63666422.112999991</v>
          </cell>
          <cell r="AL95">
            <v>1.5556291785980607E-2</v>
          </cell>
          <cell r="AM95">
            <v>5.7971457881869692E-2</v>
          </cell>
          <cell r="AN95">
            <v>0.1137250772681191</v>
          </cell>
          <cell r="AO95">
            <v>0.1086390076642474</v>
          </cell>
          <cell r="AP95">
            <v>9.5000000000000001E-2</v>
          </cell>
          <cell r="AQ95">
            <v>0.1</v>
          </cell>
          <cell r="AR95">
            <v>0.11</v>
          </cell>
          <cell r="AS95">
            <v>0.115</v>
          </cell>
          <cell r="BF95">
            <v>100201.03</v>
          </cell>
          <cell r="BG95">
            <v>817808.22999999986</v>
          </cell>
          <cell r="BH95">
            <v>2205419.0799999991</v>
          </cell>
          <cell r="BI95">
            <v>645836.19999999972</v>
          </cell>
          <cell r="BJ95">
            <v>472435.77000000048</v>
          </cell>
          <cell r="BK95">
            <v>716281.24000000022</v>
          </cell>
          <cell r="BL95">
            <v>474961.23214437976</v>
          </cell>
          <cell r="BM95">
            <v>2309514.44214438</v>
          </cell>
          <cell r="BN95">
            <v>1950929.7526870277</v>
          </cell>
          <cell r="BO95">
            <v>2053610.265986345</v>
          </cell>
          <cell r="BP95">
            <v>2258971.2925849794</v>
          </cell>
          <cell r="BQ95">
            <v>236683.1253421088</v>
          </cell>
          <cell r="BR95">
            <v>8809708.8787448406</v>
          </cell>
          <cell r="BT95">
            <v>17</v>
          </cell>
          <cell r="CA95" t="str">
            <v>UA7022 - CONTRACT - Base</v>
          </cell>
          <cell r="CC95" t="str">
            <v>UA7022 - CONTRACT - Base - MR</v>
          </cell>
          <cell r="CD95" t="str">
            <v/>
          </cell>
          <cell r="CF95" t="str">
            <v>UA7022 - Base - MR</v>
          </cell>
        </row>
        <row r="96">
          <cell r="D96">
            <v>82</v>
          </cell>
          <cell r="E96">
            <v>2</v>
          </cell>
          <cell r="F96">
            <v>4</v>
          </cell>
          <cell r="G96" t="str">
            <v>UA7022</v>
          </cell>
          <cell r="H96" t="str">
            <v>UASOCS II</v>
          </cell>
          <cell r="I96" t="str">
            <v>MR</v>
          </cell>
          <cell r="J96" t="str">
            <v>MR Warfighter Support</v>
          </cell>
          <cell r="K96" t="str">
            <v>Air Force</v>
          </cell>
          <cell r="L96" t="str">
            <v>DOD</v>
          </cell>
          <cell r="M96" t="str">
            <v>NV</v>
          </cell>
          <cell r="N96" t="str">
            <v>CONUS</v>
          </cell>
          <cell r="O96">
            <v>45017</v>
          </cell>
          <cell r="P96">
            <v>47573</v>
          </cell>
          <cell r="Q96" t="str">
            <v>Prime</v>
          </cell>
          <cell r="R96" t="str">
            <v>FFP</v>
          </cell>
          <cell r="S96">
            <v>0</v>
          </cell>
          <cell r="T96">
            <v>1</v>
          </cell>
          <cell r="U96" t="str">
            <v>CONTRACT</v>
          </cell>
          <cell r="V96" t="str">
            <v>Identified - Recompete</v>
          </cell>
          <cell r="W96" t="str">
            <v>00 Investigate</v>
          </cell>
          <cell r="X96" t="str">
            <v>Priority 1</v>
          </cell>
          <cell r="Y96">
            <v>0.45</v>
          </cell>
          <cell r="Z96">
            <v>105000000</v>
          </cell>
          <cell r="AA96">
            <v>0</v>
          </cell>
          <cell r="AB96">
            <v>0</v>
          </cell>
          <cell r="AC96">
            <v>0</v>
          </cell>
          <cell r="AD96">
            <v>0</v>
          </cell>
          <cell r="AP96">
            <v>0.14000000000000001</v>
          </cell>
          <cell r="AQ96">
            <v>0.15</v>
          </cell>
          <cell r="AR96">
            <v>0.16</v>
          </cell>
          <cell r="AS96">
            <v>0.17</v>
          </cell>
          <cell r="BI96">
            <v>0</v>
          </cell>
          <cell r="BJ96">
            <v>0</v>
          </cell>
          <cell r="BK96">
            <v>0</v>
          </cell>
          <cell r="BL96">
            <v>0</v>
          </cell>
          <cell r="BM96">
            <v>0</v>
          </cell>
          <cell r="BN96">
            <v>0</v>
          </cell>
          <cell r="BO96">
            <v>0</v>
          </cell>
          <cell r="BP96">
            <v>0</v>
          </cell>
          <cell r="BQ96">
            <v>570562.5</v>
          </cell>
          <cell r="BR96">
            <v>570562.5</v>
          </cell>
          <cell r="BT96">
            <v>17</v>
          </cell>
          <cell r="CA96" t="str">
            <v>UA7022 - CONTRACT - Identified - Recompete</v>
          </cell>
          <cell r="CC96" t="str">
            <v>UA7022 - CONTRACT - Identified - Recompete - MR</v>
          </cell>
          <cell r="CD96" t="str">
            <v/>
          </cell>
          <cell r="CF96" t="str">
            <v>UA7022 - Identified - Recompete - MR</v>
          </cell>
        </row>
        <row r="97">
          <cell r="D97">
            <v>83</v>
          </cell>
          <cell r="E97">
            <v>0</v>
          </cell>
          <cell r="F97">
            <v>5</v>
          </cell>
          <cell r="G97" t="str">
            <v>UA7022</v>
          </cell>
          <cell r="H97" t="str">
            <v>UASOCS II</v>
          </cell>
          <cell r="I97" t="str">
            <v>MR</v>
          </cell>
          <cell r="J97" t="str">
            <v>MR Warfighter Support</v>
          </cell>
          <cell r="K97" t="str">
            <v>Air Force</v>
          </cell>
          <cell r="L97" t="str">
            <v>DOD</v>
          </cell>
          <cell r="M97" t="str">
            <v>NV</v>
          </cell>
          <cell r="N97" t="str">
            <v>CONUS</v>
          </cell>
          <cell r="O97">
            <v>42461</v>
          </cell>
          <cell r="P97">
            <v>45016</v>
          </cell>
          <cell r="Q97" t="str">
            <v>Prime</v>
          </cell>
          <cell r="R97" t="str">
            <v>FFP</v>
          </cell>
          <cell r="S97">
            <v>0</v>
          </cell>
          <cell r="T97">
            <v>1</v>
          </cell>
          <cell r="U97" t="str">
            <v>EBITA</v>
          </cell>
          <cell r="V97" t="str">
            <v>Base</v>
          </cell>
          <cell r="W97" t="str">
            <v>05 Won</v>
          </cell>
          <cell r="X97" t="str">
            <v>Active</v>
          </cell>
          <cell r="Y97">
            <v>1</v>
          </cell>
          <cell r="Z97">
            <v>0</v>
          </cell>
          <cell r="AA97">
            <v>18301808.072999999</v>
          </cell>
          <cell r="AB97">
            <v>45364614.039999992</v>
          </cell>
          <cell r="AC97">
            <v>0</v>
          </cell>
          <cell r="AD97">
            <v>63666422.112999991</v>
          </cell>
          <cell r="AT97">
            <v>-7.6600065416794816E-2</v>
          </cell>
          <cell r="AU97">
            <v>-2.3725664236436367E-2</v>
          </cell>
          <cell r="AV97">
            <v>4.4264344558533349E-2</v>
          </cell>
          <cell r="AW97">
            <v>3.5561734377712206E-2</v>
          </cell>
          <cell r="AX97">
            <v>2.5000000000000001E-2</v>
          </cell>
          <cell r="AY97">
            <v>0.03</v>
          </cell>
          <cell r="AZ97">
            <v>3.2500000000000001E-2</v>
          </cell>
          <cell r="BA97">
            <v>3.5999999999999997E-2</v>
          </cell>
          <cell r="BF97">
            <v>-493395.57</v>
          </cell>
          <cell r="BG97">
            <v>-334699.94000000018</v>
          </cell>
          <cell r="BH97">
            <v>858398.44999999925</v>
          </cell>
          <cell r="BI97">
            <v>94948.219999999725</v>
          </cell>
          <cell r="BJ97">
            <v>121747.04000000049</v>
          </cell>
          <cell r="BK97">
            <v>407195.11000000016</v>
          </cell>
          <cell r="BL97">
            <v>132102.72031664971</v>
          </cell>
          <cell r="BM97">
            <v>755993.09031664999</v>
          </cell>
          <cell r="BN97">
            <v>513402.56649658625</v>
          </cell>
          <cell r="BO97">
            <v>616083.07979590341</v>
          </cell>
          <cell r="BP97">
            <v>667423.33644556219</v>
          </cell>
          <cell r="BQ97">
            <v>74092.108802747098</v>
          </cell>
          <cell r="BR97">
            <v>2626994.1818574485</v>
          </cell>
          <cell r="BT97">
            <v>17</v>
          </cell>
          <cell r="CA97" t="str">
            <v>UA7022 - EBITA - Base</v>
          </cell>
          <cell r="CC97" t="str">
            <v>UA7022 - EBITA - Base - MR</v>
          </cell>
          <cell r="CD97" t="str">
            <v/>
          </cell>
          <cell r="CF97" t="str">
            <v>UA7022 - Base - MR</v>
          </cell>
        </row>
        <row r="98">
          <cell r="D98">
            <v>84</v>
          </cell>
          <cell r="E98">
            <v>0</v>
          </cell>
          <cell r="F98">
            <v>0</v>
          </cell>
          <cell r="G98" t="str">
            <v>UA7022</v>
          </cell>
          <cell r="H98" t="str">
            <v>UASOCS II</v>
          </cell>
          <cell r="I98" t="str">
            <v>MR</v>
          </cell>
          <cell r="J98" t="str">
            <v>MR Warfighter Support</v>
          </cell>
          <cell r="K98" t="str">
            <v>Air Force</v>
          </cell>
          <cell r="L98" t="str">
            <v>DOD</v>
          </cell>
          <cell r="M98" t="str">
            <v>NV</v>
          </cell>
          <cell r="N98" t="str">
            <v>CONUS</v>
          </cell>
          <cell r="O98">
            <v>45017</v>
          </cell>
          <cell r="P98">
            <v>47573</v>
          </cell>
          <cell r="Q98" t="str">
            <v>Prime</v>
          </cell>
          <cell r="R98" t="str">
            <v>FFP</v>
          </cell>
          <cell r="S98">
            <v>0</v>
          </cell>
          <cell r="T98">
            <v>1</v>
          </cell>
          <cell r="U98" t="str">
            <v>EBITA</v>
          </cell>
          <cell r="V98" t="str">
            <v>Identified - Recompete</v>
          </cell>
          <cell r="W98" t="str">
            <v>00 Investigate</v>
          </cell>
          <cell r="X98" t="str">
            <v>Priority 1</v>
          </cell>
          <cell r="Y98">
            <v>0.45</v>
          </cell>
          <cell r="Z98">
            <v>105000000</v>
          </cell>
          <cell r="AA98">
            <v>0</v>
          </cell>
          <cell r="AB98">
            <v>0</v>
          </cell>
          <cell r="AC98">
            <v>0</v>
          </cell>
          <cell r="AD98">
            <v>0</v>
          </cell>
          <cell r="AX98">
            <v>0.04</v>
          </cell>
          <cell r="AY98">
            <v>0.04</v>
          </cell>
          <cell r="AZ98">
            <v>0.04</v>
          </cell>
          <cell r="BA98">
            <v>0.04</v>
          </cell>
          <cell r="BI98">
            <v>0</v>
          </cell>
          <cell r="BJ98">
            <v>0</v>
          </cell>
          <cell r="BK98">
            <v>0</v>
          </cell>
          <cell r="BL98">
            <v>0</v>
          </cell>
          <cell r="BM98">
            <v>0</v>
          </cell>
          <cell r="BN98">
            <v>0</v>
          </cell>
          <cell r="BO98">
            <v>0</v>
          </cell>
          <cell r="BP98">
            <v>0</v>
          </cell>
          <cell r="BQ98">
            <v>134250</v>
          </cell>
          <cell r="BR98">
            <v>134250</v>
          </cell>
          <cell r="BT98">
            <v>17</v>
          </cell>
          <cell r="CA98" t="str">
            <v>UA7022 - EBITA - Identified - Recompete</v>
          </cell>
          <cell r="CC98" t="str">
            <v>UA7022 - EBITA - Identified - Recompete - MR</v>
          </cell>
          <cell r="CD98" t="str">
            <v/>
          </cell>
          <cell r="CF98" t="str">
            <v>UA7022 - Identified - Recompete - MR</v>
          </cell>
        </row>
        <row r="99">
          <cell r="D99">
            <v>85</v>
          </cell>
          <cell r="E99">
            <v>1</v>
          </cell>
          <cell r="F99">
            <v>1</v>
          </cell>
          <cell r="G99" t="str">
            <v>IRS2XX</v>
          </cell>
          <cell r="H99" t="str">
            <v>IRS FMSS</v>
          </cell>
          <cell r="I99" t="str">
            <v>MR</v>
          </cell>
          <cell r="J99" t="str">
            <v>MR Logistics &amp; Supply</v>
          </cell>
          <cell r="K99" t="str">
            <v>Other Civilian</v>
          </cell>
          <cell r="L99" t="str">
            <v>Other</v>
          </cell>
          <cell r="M99" t="str">
            <v>US_State</v>
          </cell>
          <cell r="N99" t="str">
            <v>CONUS</v>
          </cell>
          <cell r="O99">
            <v>43282</v>
          </cell>
          <cell r="P99">
            <v>45107</v>
          </cell>
          <cell r="Q99" t="str">
            <v>Prime</v>
          </cell>
          <cell r="R99" t="str">
            <v>FFP</v>
          </cell>
          <cell r="S99">
            <v>0</v>
          </cell>
          <cell r="T99">
            <v>1</v>
          </cell>
          <cell r="U99" t="str">
            <v>REVTOT</v>
          </cell>
          <cell r="V99" t="str">
            <v>Base</v>
          </cell>
          <cell r="W99" t="str">
            <v>05 Won</v>
          </cell>
          <cell r="X99" t="str">
            <v>Active</v>
          </cell>
          <cell r="Y99">
            <v>1</v>
          </cell>
          <cell r="Z99">
            <v>0</v>
          </cell>
          <cell r="AA99">
            <v>5574433.0699999882</v>
          </cell>
          <cell r="AB99">
            <v>22385843.640000001</v>
          </cell>
          <cell r="AC99">
            <v>0</v>
          </cell>
          <cell r="AD99">
            <v>27960276.70999999</v>
          </cell>
          <cell r="AE99">
            <v>0</v>
          </cell>
          <cell r="AF99">
            <v>0</v>
          </cell>
          <cell r="AG99">
            <v>3.1026429197705792</v>
          </cell>
          <cell r="AH99">
            <v>-8.7948890664340529E-2</v>
          </cell>
          <cell r="AI99">
            <v>0</v>
          </cell>
          <cell r="AJ99">
            <v>0</v>
          </cell>
          <cell r="AK99">
            <v>0</v>
          </cell>
          <cell r="BB99">
            <v>7509006</v>
          </cell>
          <cell r="BC99">
            <v>7509006</v>
          </cell>
          <cell r="BD99">
            <v>7509006</v>
          </cell>
          <cell r="BE99">
            <v>7509006</v>
          </cell>
          <cell r="BF99">
            <v>0</v>
          </cell>
          <cell r="BG99">
            <v>0</v>
          </cell>
          <cell r="BH99">
            <v>2006779.04</v>
          </cell>
          <cell r="BI99">
            <v>2214896.5300000003</v>
          </cell>
          <cell r="BJ99">
            <v>1971962.2</v>
          </cell>
          <cell r="BK99">
            <v>2151886.11</v>
          </cell>
          <cell r="BL99">
            <v>1894352.98</v>
          </cell>
          <cell r="BM99">
            <v>8233097.8200000003</v>
          </cell>
          <cell r="BN99">
            <v>7509006</v>
          </cell>
          <cell r="BO99">
            <v>7509006</v>
          </cell>
          <cell r="BP99">
            <v>7509006</v>
          </cell>
          <cell r="BQ99">
            <v>5433258.7099999897</v>
          </cell>
          <cell r="BR99">
            <v>36193374.529999986</v>
          </cell>
          <cell r="BT99">
            <v>18</v>
          </cell>
          <cell r="CA99" t="str">
            <v>IRS2XX - REVTOT - Base</v>
          </cell>
          <cell r="CC99" t="str">
            <v>IRS2XX - REVTOT - Base - MR</v>
          </cell>
          <cell r="CD99" t="str">
            <v>IRS2XX - REVTOT - Base - MR</v>
          </cell>
          <cell r="CF99" t="str">
            <v>IRS2XX - Base - MR</v>
          </cell>
        </row>
        <row r="100">
          <cell r="D100">
            <v>86</v>
          </cell>
          <cell r="E100">
            <v>1</v>
          </cell>
          <cell r="F100">
            <v>2</v>
          </cell>
          <cell r="G100" t="str">
            <v>IRS2XX</v>
          </cell>
          <cell r="H100" t="str">
            <v>IRS FMSS</v>
          </cell>
          <cell r="I100" t="str">
            <v>MR</v>
          </cell>
          <cell r="J100" t="str">
            <v>MR Logistics &amp; Supply</v>
          </cell>
          <cell r="K100" t="str">
            <v>Other Civilian</v>
          </cell>
          <cell r="L100" t="str">
            <v>Other</v>
          </cell>
          <cell r="M100" t="str">
            <v>US_State</v>
          </cell>
          <cell r="N100" t="str">
            <v>CONUS</v>
          </cell>
          <cell r="O100">
            <v>45108</v>
          </cell>
          <cell r="P100">
            <v>46934</v>
          </cell>
          <cell r="Q100" t="str">
            <v>Prime</v>
          </cell>
          <cell r="R100" t="str">
            <v>FFP</v>
          </cell>
          <cell r="S100">
            <v>0</v>
          </cell>
          <cell r="T100">
            <v>1</v>
          </cell>
          <cell r="U100" t="str">
            <v>REVTOT</v>
          </cell>
          <cell r="V100" t="str">
            <v>Identified - Recompete</v>
          </cell>
          <cell r="W100" t="str">
            <v>01 Prospect</v>
          </cell>
          <cell r="X100" t="str">
            <v>Priority 3</v>
          </cell>
          <cell r="Y100">
            <v>0.45</v>
          </cell>
          <cell r="Z100">
            <v>38000000</v>
          </cell>
          <cell r="AA100">
            <v>0</v>
          </cell>
          <cell r="AB100">
            <v>0</v>
          </cell>
          <cell r="AC100">
            <v>0</v>
          </cell>
          <cell r="AD100">
            <v>0</v>
          </cell>
          <cell r="AI100">
            <v>0</v>
          </cell>
          <cell r="AJ100">
            <v>0</v>
          </cell>
          <cell r="AK100">
            <v>0</v>
          </cell>
          <cell r="BB100">
            <v>7600000</v>
          </cell>
          <cell r="BC100">
            <v>7600000</v>
          </cell>
          <cell r="BD100">
            <v>7600000</v>
          </cell>
          <cell r="BE100">
            <v>7600000</v>
          </cell>
          <cell r="BI100">
            <v>0</v>
          </cell>
          <cell r="BJ100">
            <v>0</v>
          </cell>
          <cell r="BK100">
            <v>0</v>
          </cell>
          <cell r="BL100">
            <v>0</v>
          </cell>
          <cell r="BM100">
            <v>0</v>
          </cell>
          <cell r="BN100">
            <v>0</v>
          </cell>
          <cell r="BO100">
            <v>0</v>
          </cell>
          <cell r="BP100">
            <v>0</v>
          </cell>
          <cell r="BQ100">
            <v>845500.00000000012</v>
          </cell>
          <cell r="BR100">
            <v>845500.00000000012</v>
          </cell>
          <cell r="BT100">
            <v>18</v>
          </cell>
          <cell r="CA100" t="str">
            <v>IRS2XX - REVTOT - Identified - Recompete</v>
          </cell>
          <cell r="CC100" t="str">
            <v>IRS2XX - REVTOT - Identified - Recompete - MR</v>
          </cell>
          <cell r="CD100" t="str">
            <v/>
          </cell>
          <cell r="CF100" t="str">
            <v>IRS2XX - Identified - Recompete - MR</v>
          </cell>
        </row>
        <row r="101">
          <cell r="D101">
            <v>87</v>
          </cell>
          <cell r="E101">
            <v>2</v>
          </cell>
          <cell r="F101">
            <v>3</v>
          </cell>
          <cell r="G101" t="str">
            <v>IRS2XX</v>
          </cell>
          <cell r="H101" t="str">
            <v>IRS FMSS</v>
          </cell>
          <cell r="I101" t="str">
            <v>MR</v>
          </cell>
          <cell r="J101" t="str">
            <v>MR Logistics &amp; Supply</v>
          </cell>
          <cell r="K101" t="str">
            <v>Other Civilian</v>
          </cell>
          <cell r="L101" t="str">
            <v>Other</v>
          </cell>
          <cell r="M101" t="str">
            <v>US_State</v>
          </cell>
          <cell r="N101" t="str">
            <v>CONUS</v>
          </cell>
          <cell r="O101">
            <v>43282</v>
          </cell>
          <cell r="P101">
            <v>45107</v>
          </cell>
          <cell r="Q101" t="str">
            <v>Prime</v>
          </cell>
          <cell r="R101" t="str">
            <v>FFP</v>
          </cell>
          <cell r="S101">
            <v>0</v>
          </cell>
          <cell r="T101">
            <v>1</v>
          </cell>
          <cell r="U101" t="str">
            <v>CONTRACT</v>
          </cell>
          <cell r="V101" t="str">
            <v>Base</v>
          </cell>
          <cell r="W101" t="str">
            <v>05 Won</v>
          </cell>
          <cell r="X101" t="str">
            <v>Active</v>
          </cell>
          <cell r="Y101">
            <v>1</v>
          </cell>
          <cell r="Z101">
            <v>0</v>
          </cell>
          <cell r="AA101">
            <v>5574433.0699999882</v>
          </cell>
          <cell r="AB101">
            <v>22385843.640000001</v>
          </cell>
          <cell r="AC101">
            <v>0</v>
          </cell>
          <cell r="AD101">
            <v>27960276.70999999</v>
          </cell>
          <cell r="AL101">
            <v>0</v>
          </cell>
          <cell r="AM101">
            <v>0</v>
          </cell>
          <cell r="AN101">
            <v>0.19522373026180295</v>
          </cell>
          <cell r="AO101">
            <v>0.16236043215140619</v>
          </cell>
          <cell r="AP101">
            <v>0.18709411871557968</v>
          </cell>
          <cell r="AQ101">
            <v>0.18709411871557968</v>
          </cell>
          <cell r="AR101">
            <v>0.18709411871557968</v>
          </cell>
          <cell r="AS101">
            <v>0.18709411871557968</v>
          </cell>
          <cell r="BF101">
            <v>0</v>
          </cell>
          <cell r="BG101">
            <v>0</v>
          </cell>
          <cell r="BH101">
            <v>391770.8899999999</v>
          </cell>
          <cell r="BI101">
            <v>376334.37</v>
          </cell>
          <cell r="BJ101">
            <v>326867.41000000003</v>
          </cell>
          <cell r="BK101">
            <v>335462.79000000015</v>
          </cell>
          <cell r="BL101">
            <v>298064.75</v>
          </cell>
          <cell r="BM101">
            <v>1336729.3200000003</v>
          </cell>
          <cell r="BN101">
            <v>1404890.86</v>
          </cell>
          <cell r="BO101">
            <v>1404890.86</v>
          </cell>
          <cell r="BP101">
            <v>1404890.86</v>
          </cell>
          <cell r="BQ101">
            <v>1016530.7501011954</v>
          </cell>
          <cell r="BR101">
            <v>6567932.650101197</v>
          </cell>
          <cell r="BT101">
            <v>18</v>
          </cell>
          <cell r="CA101" t="str">
            <v>IRS2XX - CONTRACT - Base</v>
          </cell>
          <cell r="CC101" t="str">
            <v>IRS2XX - CONTRACT - Base - MR</v>
          </cell>
          <cell r="CD101" t="str">
            <v/>
          </cell>
          <cell r="CF101" t="str">
            <v>IRS2XX - Base - MR</v>
          </cell>
        </row>
        <row r="102">
          <cell r="D102">
            <v>88</v>
          </cell>
          <cell r="E102">
            <v>2</v>
          </cell>
          <cell r="F102">
            <v>4</v>
          </cell>
          <cell r="G102" t="str">
            <v>IRS2XX</v>
          </cell>
          <cell r="H102" t="str">
            <v>IRS FMSS</v>
          </cell>
          <cell r="I102" t="str">
            <v>MR</v>
          </cell>
          <cell r="J102" t="str">
            <v>MR Logistics &amp; Supply</v>
          </cell>
          <cell r="K102" t="str">
            <v>Other Civilian</v>
          </cell>
          <cell r="L102" t="str">
            <v>Other</v>
          </cell>
          <cell r="M102" t="str">
            <v>US_State</v>
          </cell>
          <cell r="N102" t="str">
            <v>CONUS</v>
          </cell>
          <cell r="O102">
            <v>45108</v>
          </cell>
          <cell r="P102">
            <v>46934</v>
          </cell>
          <cell r="Q102" t="str">
            <v>Prime</v>
          </cell>
          <cell r="R102" t="str">
            <v>FFP</v>
          </cell>
          <cell r="S102">
            <v>0</v>
          </cell>
          <cell r="T102">
            <v>1</v>
          </cell>
          <cell r="U102" t="str">
            <v>CONTRACT</v>
          </cell>
          <cell r="V102" t="str">
            <v>Identified - Recompete</v>
          </cell>
          <cell r="W102" t="str">
            <v>01 Prospect</v>
          </cell>
          <cell r="X102" t="str">
            <v>Priority 3</v>
          </cell>
          <cell r="Y102">
            <v>0.45</v>
          </cell>
          <cell r="Z102">
            <v>38000000</v>
          </cell>
          <cell r="AA102">
            <v>0</v>
          </cell>
          <cell r="AB102">
            <v>0</v>
          </cell>
          <cell r="AC102">
            <v>0</v>
          </cell>
          <cell r="AD102">
            <v>0</v>
          </cell>
          <cell r="AP102">
            <v>0.18709411871557968</v>
          </cell>
          <cell r="AQ102">
            <v>0.18709411871557968</v>
          </cell>
          <cell r="AR102">
            <v>0.18709411871557968</v>
          </cell>
          <cell r="AS102">
            <v>0.18709411871557968</v>
          </cell>
          <cell r="BI102">
            <v>0</v>
          </cell>
          <cell r="BJ102">
            <v>0</v>
          </cell>
          <cell r="BK102">
            <v>0</v>
          </cell>
          <cell r="BL102">
            <v>0</v>
          </cell>
          <cell r="BM102">
            <v>0</v>
          </cell>
          <cell r="BN102">
            <v>0</v>
          </cell>
          <cell r="BO102">
            <v>0</v>
          </cell>
          <cell r="BP102">
            <v>0</v>
          </cell>
          <cell r="BQ102">
            <v>158188.07737402266</v>
          </cell>
          <cell r="BR102">
            <v>158188.07737402266</v>
          </cell>
          <cell r="BT102">
            <v>18</v>
          </cell>
          <cell r="CA102" t="str">
            <v>IRS2XX - CONTRACT - Identified - Recompete</v>
          </cell>
          <cell r="CC102" t="str">
            <v>IRS2XX - CONTRACT - Identified - Recompete - MR</v>
          </cell>
          <cell r="CD102" t="str">
            <v/>
          </cell>
          <cell r="CF102" t="str">
            <v>IRS2XX - Identified - Recompete - MR</v>
          </cell>
        </row>
        <row r="103">
          <cell r="D103">
            <v>89</v>
          </cell>
          <cell r="E103">
            <v>0</v>
          </cell>
          <cell r="F103">
            <v>5</v>
          </cell>
          <cell r="G103" t="str">
            <v>IRS2XX</v>
          </cell>
          <cell r="H103" t="str">
            <v>IRS FMSS</v>
          </cell>
          <cell r="I103" t="str">
            <v>MR</v>
          </cell>
          <cell r="J103" t="str">
            <v>MR Logistics &amp; Supply</v>
          </cell>
          <cell r="K103" t="str">
            <v>Other Civilian</v>
          </cell>
          <cell r="L103" t="str">
            <v>Other</v>
          </cell>
          <cell r="M103" t="str">
            <v>US_State</v>
          </cell>
          <cell r="N103" t="str">
            <v>CONUS</v>
          </cell>
          <cell r="O103">
            <v>43282</v>
          </cell>
          <cell r="P103">
            <v>45107</v>
          </cell>
          <cell r="Q103" t="str">
            <v>Prime</v>
          </cell>
          <cell r="R103" t="str">
            <v>FFP</v>
          </cell>
          <cell r="S103">
            <v>0</v>
          </cell>
          <cell r="T103">
            <v>1</v>
          </cell>
          <cell r="U103" t="str">
            <v>EBITA</v>
          </cell>
          <cell r="V103" t="str">
            <v>Base</v>
          </cell>
          <cell r="W103" t="str">
            <v>05 Won</v>
          </cell>
          <cell r="X103" t="str">
            <v>Active</v>
          </cell>
          <cell r="Y103">
            <v>1</v>
          </cell>
          <cell r="Z103">
            <v>0</v>
          </cell>
          <cell r="AA103">
            <v>5574433.0699999882</v>
          </cell>
          <cell r="AB103">
            <v>22385843.640000001</v>
          </cell>
          <cell r="AC103">
            <v>0</v>
          </cell>
          <cell r="AD103">
            <v>27960276.70999999</v>
          </cell>
          <cell r="AT103">
            <v>0</v>
          </cell>
          <cell r="AU103">
            <v>0</v>
          </cell>
          <cell r="AV103">
            <v>0.12644594394408259</v>
          </cell>
          <cell r="AW103">
            <v>9.0716840286491351E-2</v>
          </cell>
          <cell r="AX103">
            <v>0.11945836363570941</v>
          </cell>
          <cell r="AY103">
            <v>0.12045836363570941</v>
          </cell>
          <cell r="AZ103">
            <v>0.12145836363570942</v>
          </cell>
          <cell r="BA103">
            <v>0.12245836363570942</v>
          </cell>
          <cell r="BF103">
            <v>0</v>
          </cell>
          <cell r="BG103">
            <v>0</v>
          </cell>
          <cell r="BH103">
            <v>253749.06999999989</v>
          </cell>
          <cell r="BI103">
            <v>212169.55000000002</v>
          </cell>
          <cell r="BJ103">
            <v>187191.96000000002</v>
          </cell>
          <cell r="BK103">
            <v>177027.35000000015</v>
          </cell>
          <cell r="BL103">
            <v>170491.76</v>
          </cell>
          <cell r="BM103">
            <v>746880.62000000011</v>
          </cell>
          <cell r="BN103">
            <v>897013.56929072377</v>
          </cell>
          <cell r="BO103">
            <v>904522.57529072382</v>
          </cell>
          <cell r="BP103">
            <v>912031.58129072387</v>
          </cell>
          <cell r="BQ103">
            <v>665347.9708360642</v>
          </cell>
          <cell r="BR103">
            <v>4125796.3167082355</v>
          </cell>
          <cell r="BT103">
            <v>18</v>
          </cell>
          <cell r="CA103" t="str">
            <v>IRS2XX - EBITA - Base</v>
          </cell>
          <cell r="CC103" t="str">
            <v>IRS2XX - EBITA - Base - MR</v>
          </cell>
          <cell r="CD103" t="str">
            <v/>
          </cell>
          <cell r="CF103" t="str">
            <v>IRS2XX - Base - MR</v>
          </cell>
        </row>
        <row r="104">
          <cell r="D104">
            <v>90</v>
          </cell>
          <cell r="E104">
            <v>0</v>
          </cell>
          <cell r="F104">
            <v>0</v>
          </cell>
          <cell r="G104" t="str">
            <v>IRS2XX</v>
          </cell>
          <cell r="H104" t="str">
            <v>IRS FMSS</v>
          </cell>
          <cell r="I104" t="str">
            <v>MR</v>
          </cell>
          <cell r="J104" t="str">
            <v>MR Logistics &amp; Supply</v>
          </cell>
          <cell r="K104" t="str">
            <v>Other Civilian</v>
          </cell>
          <cell r="L104" t="str">
            <v>Other</v>
          </cell>
          <cell r="M104" t="str">
            <v>US_State</v>
          </cell>
          <cell r="N104" t="str">
            <v>CONUS</v>
          </cell>
          <cell r="O104">
            <v>45108</v>
          </cell>
          <cell r="P104">
            <v>46934</v>
          </cell>
          <cell r="Q104" t="str">
            <v>Prime</v>
          </cell>
          <cell r="R104" t="str">
            <v>FFP</v>
          </cell>
          <cell r="S104">
            <v>0</v>
          </cell>
          <cell r="T104">
            <v>1</v>
          </cell>
          <cell r="U104" t="str">
            <v>EBITA</v>
          </cell>
          <cell r="V104" t="str">
            <v>Identified - Recompete</v>
          </cell>
          <cell r="W104" t="str">
            <v>01 Prospect</v>
          </cell>
          <cell r="X104" t="str">
            <v>Priority 3</v>
          </cell>
          <cell r="Y104">
            <v>0.45</v>
          </cell>
          <cell r="Z104">
            <v>38000000</v>
          </cell>
          <cell r="AA104">
            <v>0</v>
          </cell>
          <cell r="AB104">
            <v>0</v>
          </cell>
          <cell r="AC104">
            <v>0</v>
          </cell>
          <cell r="AD104">
            <v>0</v>
          </cell>
          <cell r="AX104">
            <v>0.11945836363570941</v>
          </cell>
          <cell r="AY104">
            <v>0.12045836363570941</v>
          </cell>
          <cell r="AZ104">
            <v>0.12145836363570942</v>
          </cell>
          <cell r="BA104">
            <v>0.12245836363570942</v>
          </cell>
          <cell r="BI104">
            <v>0</v>
          </cell>
          <cell r="BJ104">
            <v>0</v>
          </cell>
          <cell r="BK104">
            <v>0</v>
          </cell>
          <cell r="BL104">
            <v>0</v>
          </cell>
          <cell r="BM104">
            <v>0</v>
          </cell>
          <cell r="BN104">
            <v>0</v>
          </cell>
          <cell r="BO104">
            <v>0</v>
          </cell>
          <cell r="BP104">
            <v>0</v>
          </cell>
          <cell r="BQ104">
            <v>103538.54645399233</v>
          </cell>
          <cell r="BR104">
            <v>103538.54645399233</v>
          </cell>
          <cell r="BT104">
            <v>18</v>
          </cell>
          <cell r="CA104" t="str">
            <v>IRS2XX - EBITA - Identified - Recompete</v>
          </cell>
          <cell r="CC104" t="str">
            <v>IRS2XX - EBITA - Identified - Recompete - MR</v>
          </cell>
          <cell r="CD104" t="str">
            <v/>
          </cell>
          <cell r="CF104" t="str">
            <v>IRS2XX - Identified - Recompete - MR</v>
          </cell>
        </row>
        <row r="105">
          <cell r="D105">
            <v>91</v>
          </cell>
          <cell r="E105">
            <v>1</v>
          </cell>
          <cell r="F105">
            <v>1</v>
          </cell>
          <cell r="G105" t="str">
            <v>CCADXX</v>
          </cell>
          <cell r="H105" t="str">
            <v>Corpus Christi Direct (2955)</v>
          </cell>
          <cell r="I105" t="str">
            <v>MR</v>
          </cell>
          <cell r="J105" t="str">
            <v>MR Maintenance &amp; Sustainment</v>
          </cell>
          <cell r="K105" t="str">
            <v>Army</v>
          </cell>
          <cell r="L105" t="str">
            <v>DOD</v>
          </cell>
          <cell r="M105" t="str">
            <v>TX</v>
          </cell>
          <cell r="N105" t="str">
            <v>CONUS</v>
          </cell>
          <cell r="O105">
            <v>42202</v>
          </cell>
          <cell r="P105">
            <v>44651</v>
          </cell>
          <cell r="Q105" t="str">
            <v>Prime</v>
          </cell>
          <cell r="R105" t="str">
            <v>FFP</v>
          </cell>
          <cell r="S105">
            <v>0</v>
          </cell>
          <cell r="T105">
            <v>1</v>
          </cell>
          <cell r="U105" t="str">
            <v>REVTOT</v>
          </cell>
          <cell r="V105" t="str">
            <v>Base</v>
          </cell>
          <cell r="W105" t="str">
            <v>05 Won</v>
          </cell>
          <cell r="X105" t="str">
            <v>Active</v>
          </cell>
          <cell r="Y105">
            <v>1</v>
          </cell>
          <cell r="Z105">
            <v>0</v>
          </cell>
          <cell r="AA105">
            <v>8157536.3300000047</v>
          </cell>
          <cell r="AB105">
            <v>45776101.519999996</v>
          </cell>
          <cell r="AC105">
            <v>0</v>
          </cell>
          <cell r="AD105">
            <v>53933637.850000001</v>
          </cell>
          <cell r="AE105">
            <v>-2.7797310965279598E-2</v>
          </cell>
          <cell r="AF105">
            <v>5.4014418582351453E-2</v>
          </cell>
          <cell r="AG105">
            <v>7.3625570081368163E-3</v>
          </cell>
          <cell r="AH105">
            <v>-3.4174896435441138E-2</v>
          </cell>
          <cell r="AI105">
            <v>0</v>
          </cell>
          <cell r="AJ105">
            <v>0</v>
          </cell>
          <cell r="AK105">
            <v>0</v>
          </cell>
          <cell r="BB105">
            <v>15259239</v>
          </cell>
          <cell r="BC105">
            <v>15259239</v>
          </cell>
          <cell r="BD105">
            <v>15259239</v>
          </cell>
          <cell r="BE105">
            <v>15259239</v>
          </cell>
          <cell r="BF105">
            <v>15305418.59</v>
          </cell>
          <cell r="BG105">
            <v>14879969.109999999</v>
          </cell>
          <cell r="BH105">
            <v>15683701.989999998</v>
          </cell>
          <cell r="BI105">
            <v>3157352.42</v>
          </cell>
          <cell r="BJ105">
            <v>4520824.4000000004</v>
          </cell>
          <cell r="BK105">
            <v>4195003.4700000007</v>
          </cell>
          <cell r="BL105">
            <v>3925993.85</v>
          </cell>
          <cell r="BM105">
            <v>15799174.140000001</v>
          </cell>
          <cell r="BN105">
            <v>15259239</v>
          </cell>
          <cell r="BO105">
            <v>15259239</v>
          </cell>
          <cell r="BP105">
            <v>7629619.5</v>
          </cell>
          <cell r="BQ105">
            <v>0</v>
          </cell>
          <cell r="BR105">
            <v>53947271.640000001</v>
          </cell>
          <cell r="BT105">
            <v>19</v>
          </cell>
          <cell r="CA105" t="str">
            <v>CCADXX - REVTOT - Base</v>
          </cell>
          <cell r="CC105" t="str">
            <v>CCADXX - REVTOT - Base - MR</v>
          </cell>
          <cell r="CD105" t="str">
            <v>CCADXX - REVTOT - Base - MR</v>
          </cell>
          <cell r="CF105" t="str">
            <v>CCADXX - Base - MR</v>
          </cell>
        </row>
        <row r="106">
          <cell r="D106">
            <v>92</v>
          </cell>
          <cell r="E106">
            <v>1</v>
          </cell>
          <cell r="F106">
            <v>2</v>
          </cell>
          <cell r="G106" t="str">
            <v>CCADXX</v>
          </cell>
          <cell r="H106" t="str">
            <v>Corpus Christi Direct (2955)</v>
          </cell>
          <cell r="I106" t="str">
            <v>MR</v>
          </cell>
          <cell r="J106" t="str">
            <v>MR Maintenance &amp; Sustainment</v>
          </cell>
          <cell r="K106" t="str">
            <v>Army</v>
          </cell>
          <cell r="L106" t="str">
            <v>DOD</v>
          </cell>
          <cell r="M106" t="str">
            <v>TX</v>
          </cell>
          <cell r="N106" t="str">
            <v>CONUS</v>
          </cell>
          <cell r="O106">
            <v>44652</v>
          </cell>
          <cell r="P106">
            <v>47208</v>
          </cell>
          <cell r="Q106" t="str">
            <v>Prime</v>
          </cell>
          <cell r="R106" t="str">
            <v>FFP</v>
          </cell>
          <cell r="S106">
            <v>0</v>
          </cell>
          <cell r="T106">
            <v>1</v>
          </cell>
          <cell r="U106" t="str">
            <v>REVTOT</v>
          </cell>
          <cell r="V106" t="str">
            <v>Identified - Recompete</v>
          </cell>
          <cell r="W106" t="str">
            <v>02 Capture</v>
          </cell>
          <cell r="X106" t="str">
            <v>Priority 2</v>
          </cell>
          <cell r="Y106">
            <v>0.3</v>
          </cell>
          <cell r="Z106">
            <v>100000000</v>
          </cell>
          <cell r="AA106">
            <v>0</v>
          </cell>
          <cell r="AB106">
            <v>0</v>
          </cell>
          <cell r="AC106">
            <v>0</v>
          </cell>
          <cell r="AD106">
            <v>0</v>
          </cell>
          <cell r="AI106">
            <v>0</v>
          </cell>
          <cell r="AJ106">
            <v>0</v>
          </cell>
          <cell r="AK106">
            <v>0</v>
          </cell>
          <cell r="BB106">
            <v>14285714.285714285</v>
          </cell>
          <cell r="BC106">
            <v>14285714.285714285</v>
          </cell>
          <cell r="BD106">
            <v>14285714.285714285</v>
          </cell>
          <cell r="BE106">
            <v>14285714.285714285</v>
          </cell>
          <cell r="BI106">
            <v>0</v>
          </cell>
          <cell r="BJ106">
            <v>0</v>
          </cell>
          <cell r="BK106">
            <v>0</v>
          </cell>
          <cell r="BL106">
            <v>0</v>
          </cell>
          <cell r="BM106">
            <v>0</v>
          </cell>
          <cell r="BN106">
            <v>0</v>
          </cell>
          <cell r="BO106">
            <v>0</v>
          </cell>
          <cell r="BP106">
            <v>2130952.3809523811</v>
          </cell>
          <cell r="BQ106">
            <v>4285714.2857142854</v>
          </cell>
          <cell r="BR106">
            <v>6416666.666666666</v>
          </cell>
          <cell r="BT106">
            <v>19</v>
          </cell>
          <cell r="CA106" t="str">
            <v>CCADXX - REVTOT - Identified - Recompete</v>
          </cell>
          <cell r="CC106" t="str">
            <v>CCADXX - REVTOT - Identified - Recompete - MR</v>
          </cell>
          <cell r="CD106" t="str">
            <v/>
          </cell>
          <cell r="CF106" t="str">
            <v>CCADXX - Identified - Recompete - MR</v>
          </cell>
        </row>
        <row r="107">
          <cell r="D107">
            <v>93</v>
          </cell>
          <cell r="E107">
            <v>2</v>
          </cell>
          <cell r="F107">
            <v>3</v>
          </cell>
          <cell r="G107" t="str">
            <v>CCADXX</v>
          </cell>
          <cell r="H107" t="str">
            <v>Corpus Christi Direct (2955)</v>
          </cell>
          <cell r="I107" t="str">
            <v>MR</v>
          </cell>
          <cell r="J107" t="str">
            <v>MR Maintenance &amp; Sustainment</v>
          </cell>
          <cell r="K107" t="str">
            <v>Army</v>
          </cell>
          <cell r="L107" t="str">
            <v>DOD</v>
          </cell>
          <cell r="M107" t="str">
            <v>TX</v>
          </cell>
          <cell r="N107" t="str">
            <v>CONUS</v>
          </cell>
          <cell r="O107">
            <v>42202</v>
          </cell>
          <cell r="P107">
            <v>44651</v>
          </cell>
          <cell r="Q107" t="str">
            <v>Prime</v>
          </cell>
          <cell r="R107" t="str">
            <v>FFP</v>
          </cell>
          <cell r="S107">
            <v>0</v>
          </cell>
          <cell r="T107">
            <v>1</v>
          </cell>
          <cell r="U107" t="str">
            <v>CONTRACT</v>
          </cell>
          <cell r="V107" t="str">
            <v>Base</v>
          </cell>
          <cell r="W107" t="str">
            <v>05 Won</v>
          </cell>
          <cell r="X107" t="str">
            <v>Active</v>
          </cell>
          <cell r="Y107">
            <v>1</v>
          </cell>
          <cell r="Z107">
            <v>0</v>
          </cell>
          <cell r="AA107">
            <v>8157536.3300000047</v>
          </cell>
          <cell r="AB107">
            <v>45776101.519999996</v>
          </cell>
          <cell r="AC107">
            <v>0</v>
          </cell>
          <cell r="AD107">
            <v>53933637.850000001</v>
          </cell>
          <cell r="AL107">
            <v>0.16404290057381563</v>
          </cell>
          <cell r="AM107">
            <v>0.12690687904257347</v>
          </cell>
          <cell r="AN107">
            <v>0.13125154770936831</v>
          </cell>
          <cell r="AO107">
            <v>0.15400016218822435</v>
          </cell>
          <cell r="AP107">
            <v>0.10837625842284794</v>
          </cell>
          <cell r="AQ107">
            <v>0.10837625842284794</v>
          </cell>
          <cell r="AR107">
            <v>0.10837625842284794</v>
          </cell>
          <cell r="AS107">
            <v>0.10837625842284794</v>
          </cell>
          <cell r="BF107">
            <v>2510745.2599999993</v>
          </cell>
          <cell r="BG107">
            <v>1888370.4399999995</v>
          </cell>
          <cell r="BH107">
            <v>2058510.1599999997</v>
          </cell>
          <cell r="BI107">
            <v>380967.0900000002</v>
          </cell>
          <cell r="BJ107">
            <v>1192292.3799999999</v>
          </cell>
          <cell r="BK107">
            <v>403986.2200000002</v>
          </cell>
          <cell r="BL107">
            <v>455829.68999999971</v>
          </cell>
          <cell r="BM107">
            <v>2433075.38</v>
          </cell>
          <cell r="BN107">
            <v>1653739.2291999997</v>
          </cell>
          <cell r="BO107">
            <v>1653739.2291999997</v>
          </cell>
          <cell r="BP107">
            <v>826869.61459999986</v>
          </cell>
          <cell r="BQ107">
            <v>0</v>
          </cell>
          <cell r="BR107">
            <v>6567423.4529999997</v>
          </cell>
          <cell r="BT107">
            <v>19</v>
          </cell>
          <cell r="CA107" t="str">
            <v>CCADXX - CONTRACT - Base</v>
          </cell>
          <cell r="CC107" t="str">
            <v>CCADXX - CONTRACT - Base - MR</v>
          </cell>
          <cell r="CD107" t="str">
            <v/>
          </cell>
          <cell r="CF107" t="str">
            <v>CCADXX - Base - MR</v>
          </cell>
        </row>
        <row r="108">
          <cell r="D108">
            <v>94</v>
          </cell>
          <cell r="E108">
            <v>2</v>
          </cell>
          <cell r="F108">
            <v>4</v>
          </cell>
          <cell r="G108" t="str">
            <v>CCADXX</v>
          </cell>
          <cell r="H108" t="str">
            <v>Corpus Christi Direct (2955)</v>
          </cell>
          <cell r="I108" t="str">
            <v>MR</v>
          </cell>
          <cell r="J108" t="str">
            <v>MR Maintenance &amp; Sustainment</v>
          </cell>
          <cell r="K108" t="str">
            <v>Army</v>
          </cell>
          <cell r="L108" t="str">
            <v>DOD</v>
          </cell>
          <cell r="M108" t="str">
            <v>TX</v>
          </cell>
          <cell r="N108" t="str">
            <v>CONUS</v>
          </cell>
          <cell r="O108">
            <v>44652</v>
          </cell>
          <cell r="P108">
            <v>47208</v>
          </cell>
          <cell r="Q108" t="str">
            <v>Prime</v>
          </cell>
          <cell r="R108" t="str">
            <v>FFP</v>
          </cell>
          <cell r="S108">
            <v>0</v>
          </cell>
          <cell r="T108">
            <v>1</v>
          </cell>
          <cell r="U108" t="str">
            <v>CONTRACT</v>
          </cell>
          <cell r="V108" t="str">
            <v>Identified - Recompete</v>
          </cell>
          <cell r="W108" t="str">
            <v>02 Capture</v>
          </cell>
          <cell r="X108" t="str">
            <v>Priority 2</v>
          </cell>
          <cell r="Y108">
            <v>0.3</v>
          </cell>
          <cell r="Z108">
            <v>100000000</v>
          </cell>
          <cell r="AA108">
            <v>0</v>
          </cell>
          <cell r="AB108">
            <v>0</v>
          </cell>
          <cell r="AC108">
            <v>0</v>
          </cell>
          <cell r="AD108">
            <v>0</v>
          </cell>
          <cell r="AP108">
            <v>0.10837625842284794</v>
          </cell>
          <cell r="AQ108">
            <v>0.10837625842284794</v>
          </cell>
          <cell r="AR108">
            <v>0.10837625842284794</v>
          </cell>
          <cell r="AS108">
            <v>0.10837625842284794</v>
          </cell>
          <cell r="BI108">
            <v>0</v>
          </cell>
          <cell r="BJ108">
            <v>0</v>
          </cell>
          <cell r="BK108">
            <v>0</v>
          </cell>
          <cell r="BL108">
            <v>0</v>
          </cell>
          <cell r="BM108">
            <v>0</v>
          </cell>
          <cell r="BN108">
            <v>0</v>
          </cell>
          <cell r="BO108">
            <v>0</v>
          </cell>
          <cell r="BP108">
            <v>230944.64592487836</v>
          </cell>
          <cell r="BQ108">
            <v>464469.67895506258</v>
          </cell>
          <cell r="BR108">
            <v>695414.32487994095</v>
          </cell>
          <cell r="BT108">
            <v>19</v>
          </cell>
          <cell r="CA108" t="str">
            <v>CCADXX - CONTRACT - Identified - Recompete</v>
          </cell>
          <cell r="CC108" t="str">
            <v>CCADXX - CONTRACT - Identified - Recompete - MR</v>
          </cell>
          <cell r="CD108" t="str">
            <v/>
          </cell>
          <cell r="CF108" t="str">
            <v>CCADXX - Identified - Recompete - MR</v>
          </cell>
        </row>
        <row r="109">
          <cell r="D109">
            <v>95</v>
          </cell>
          <cell r="E109">
            <v>0</v>
          </cell>
          <cell r="F109">
            <v>5</v>
          </cell>
          <cell r="G109" t="str">
            <v>CCADXX</v>
          </cell>
          <cell r="H109" t="str">
            <v>Corpus Christi Direct (2955)</v>
          </cell>
          <cell r="I109" t="str">
            <v>MR</v>
          </cell>
          <cell r="J109" t="str">
            <v>MR Maintenance &amp; Sustainment</v>
          </cell>
          <cell r="K109" t="str">
            <v>Army</v>
          </cell>
          <cell r="L109" t="str">
            <v>DOD</v>
          </cell>
          <cell r="M109" t="str">
            <v>TX</v>
          </cell>
          <cell r="N109" t="str">
            <v>CONUS</v>
          </cell>
          <cell r="O109">
            <v>42202</v>
          </cell>
          <cell r="P109">
            <v>44651</v>
          </cell>
          <cell r="Q109" t="str">
            <v>Prime</v>
          </cell>
          <cell r="R109" t="str">
            <v>FFP</v>
          </cell>
          <cell r="S109">
            <v>0</v>
          </cell>
          <cell r="T109">
            <v>1</v>
          </cell>
          <cell r="U109" t="str">
            <v>EBITA</v>
          </cell>
          <cell r="V109" t="str">
            <v>Base</v>
          </cell>
          <cell r="W109" t="str">
            <v>05 Won</v>
          </cell>
          <cell r="X109" t="str">
            <v>Active</v>
          </cell>
          <cell r="Y109">
            <v>1</v>
          </cell>
          <cell r="Z109">
            <v>0</v>
          </cell>
          <cell r="AA109">
            <v>8157536.3300000047</v>
          </cell>
          <cell r="AB109">
            <v>45776101.519999996</v>
          </cell>
          <cell r="AC109">
            <v>0</v>
          </cell>
          <cell r="AD109">
            <v>53933637.850000001</v>
          </cell>
          <cell r="AT109">
            <v>8.9784460445782505E-2</v>
          </cell>
          <cell r="AU109">
            <v>5.0867253446872221E-2</v>
          </cell>
          <cell r="AV109">
            <v>5.8313832447411854E-2</v>
          </cell>
          <cell r="AW109">
            <v>8.2212928251197831E-2</v>
          </cell>
          <cell r="AX109">
            <v>3.6317401145627565E-2</v>
          </cell>
          <cell r="AY109">
            <v>3.7317401145627566E-2</v>
          </cell>
          <cell r="AZ109">
            <v>3.8317401145627566E-2</v>
          </cell>
          <cell r="BA109">
            <v>3.9317401145627567E-2</v>
          </cell>
          <cell r="BF109">
            <v>1374188.7499999993</v>
          </cell>
          <cell r="BG109">
            <v>756903.15999999968</v>
          </cell>
          <cell r="BH109">
            <v>914576.76999999979</v>
          </cell>
          <cell r="BI109">
            <v>138828.35000000021</v>
          </cell>
          <cell r="BJ109">
            <v>915056.95</v>
          </cell>
          <cell r="BK109">
            <v>83845.770000000208</v>
          </cell>
          <cell r="BL109">
            <v>161165.29999999973</v>
          </cell>
          <cell r="BM109">
            <v>1298896.3700000003</v>
          </cell>
          <cell r="BN109">
            <v>554175.90394000476</v>
          </cell>
          <cell r="BO109">
            <v>569435.14294000482</v>
          </cell>
          <cell r="BP109">
            <v>292347.19097000244</v>
          </cell>
          <cell r="BQ109">
            <v>0</v>
          </cell>
          <cell r="BR109">
            <v>2714854.6078500124</v>
          </cell>
          <cell r="BT109">
            <v>19</v>
          </cell>
          <cell r="CA109" t="str">
            <v>CCADXX - EBITA - Base</v>
          </cell>
          <cell r="CC109" t="str">
            <v>CCADXX - EBITA - Base - MR</v>
          </cell>
          <cell r="CD109" t="str">
            <v/>
          </cell>
          <cell r="CF109" t="str">
            <v>CCADXX - Base - MR</v>
          </cell>
        </row>
        <row r="110">
          <cell r="D110">
            <v>96</v>
          </cell>
          <cell r="E110">
            <v>0</v>
          </cell>
          <cell r="F110">
            <v>0</v>
          </cell>
          <cell r="G110" t="str">
            <v>CCADXX</v>
          </cell>
          <cell r="H110" t="str">
            <v>Corpus Christi Direct (2955)</v>
          </cell>
          <cell r="I110" t="str">
            <v>MR</v>
          </cell>
          <cell r="J110" t="str">
            <v>MR Maintenance &amp; Sustainment</v>
          </cell>
          <cell r="K110" t="str">
            <v>Army</v>
          </cell>
          <cell r="L110" t="str">
            <v>DOD</v>
          </cell>
          <cell r="M110" t="str">
            <v>TX</v>
          </cell>
          <cell r="N110" t="str">
            <v>CONUS</v>
          </cell>
          <cell r="O110">
            <v>44652</v>
          </cell>
          <cell r="P110">
            <v>47208</v>
          </cell>
          <cell r="Q110" t="str">
            <v>Prime</v>
          </cell>
          <cell r="R110" t="str">
            <v>FFP</v>
          </cell>
          <cell r="S110">
            <v>0</v>
          </cell>
          <cell r="T110">
            <v>1</v>
          </cell>
          <cell r="U110" t="str">
            <v>EBITA</v>
          </cell>
          <cell r="V110" t="str">
            <v>Identified - Recompete</v>
          </cell>
          <cell r="W110" t="str">
            <v>02 Capture</v>
          </cell>
          <cell r="X110" t="str">
            <v>Priority 2</v>
          </cell>
          <cell r="Y110">
            <v>0.3</v>
          </cell>
          <cell r="Z110">
            <v>100000000</v>
          </cell>
          <cell r="AA110">
            <v>0</v>
          </cell>
          <cell r="AB110">
            <v>0</v>
          </cell>
          <cell r="AC110">
            <v>0</v>
          </cell>
          <cell r="AD110">
            <v>0</v>
          </cell>
          <cell r="AX110">
            <v>3.6317401145627565E-2</v>
          </cell>
          <cell r="AY110">
            <v>3.7317401145627566E-2</v>
          </cell>
          <cell r="AZ110">
            <v>3.8317401145627566E-2</v>
          </cell>
          <cell r="BA110">
            <v>3.9317401145627567E-2</v>
          </cell>
          <cell r="BI110">
            <v>0</v>
          </cell>
          <cell r="BJ110">
            <v>0</v>
          </cell>
          <cell r="BK110">
            <v>0</v>
          </cell>
          <cell r="BL110">
            <v>0</v>
          </cell>
          <cell r="BM110">
            <v>0</v>
          </cell>
          <cell r="BN110">
            <v>0</v>
          </cell>
          <cell r="BO110">
            <v>0</v>
          </cell>
          <cell r="BP110">
            <v>81652.557203182558</v>
          </cell>
          <cell r="BQ110">
            <v>168503.14776697528</v>
          </cell>
          <cell r="BR110">
            <v>250155.70497015782</v>
          </cell>
          <cell r="BT110">
            <v>19</v>
          </cell>
          <cell r="CA110" t="str">
            <v>CCADXX - EBITA - Identified - Recompete</v>
          </cell>
          <cell r="CC110" t="str">
            <v>CCADXX - EBITA - Identified - Recompete - MR</v>
          </cell>
          <cell r="CD110" t="str">
            <v/>
          </cell>
          <cell r="CF110" t="str">
            <v>CCADXX - Identified - Recompete - MR</v>
          </cell>
        </row>
        <row r="111">
          <cell r="D111">
            <v>97</v>
          </cell>
          <cell r="E111">
            <v>1</v>
          </cell>
          <cell r="F111">
            <v>1</v>
          </cell>
          <cell r="G111" t="str">
            <v>APS2GE</v>
          </cell>
          <cell r="H111" t="str">
            <v>EAGLE APS2 EAS Germany</v>
          </cell>
          <cell r="I111" t="str">
            <v>MR</v>
          </cell>
          <cell r="J111" t="str">
            <v>MR Maintenance &amp; Sustainment</v>
          </cell>
          <cell r="K111" t="str">
            <v>Army</v>
          </cell>
          <cell r="L111" t="str">
            <v>DOD</v>
          </cell>
          <cell r="M111" t="str">
            <v>Germany</v>
          </cell>
          <cell r="N111" t="str">
            <v>OCONUS</v>
          </cell>
          <cell r="O111">
            <v>42695</v>
          </cell>
          <cell r="P111">
            <v>44742</v>
          </cell>
          <cell r="Q111" t="str">
            <v>Prime</v>
          </cell>
          <cell r="R111" t="str">
            <v>CPFF</v>
          </cell>
          <cell r="S111">
            <v>0</v>
          </cell>
          <cell r="T111">
            <v>1</v>
          </cell>
          <cell r="U111" t="str">
            <v>REVTOT</v>
          </cell>
          <cell r="V111" t="str">
            <v>Base</v>
          </cell>
          <cell r="W111" t="str">
            <v>05 Won</v>
          </cell>
          <cell r="X111" t="str">
            <v>Active</v>
          </cell>
          <cell r="Y111">
            <v>1</v>
          </cell>
          <cell r="Z111">
            <v>0</v>
          </cell>
          <cell r="AA111">
            <v>18142715.660000004</v>
          </cell>
          <cell r="AB111">
            <v>129043433.56</v>
          </cell>
          <cell r="AC111">
            <v>55000000</v>
          </cell>
          <cell r="AD111">
            <v>202186149.22</v>
          </cell>
          <cell r="AE111">
            <v>0</v>
          </cell>
          <cell r="AF111">
            <v>0.85207738960435209</v>
          </cell>
          <cell r="AG111">
            <v>-5.1522642505100302E-2</v>
          </cell>
          <cell r="AH111">
            <v>0.2563291107614718</v>
          </cell>
          <cell r="AI111">
            <v>0.03</v>
          </cell>
          <cell r="AJ111">
            <v>0.03</v>
          </cell>
          <cell r="AK111">
            <v>0.03</v>
          </cell>
          <cell r="BB111">
            <v>70649859.359999999</v>
          </cell>
          <cell r="BC111">
            <v>72769355.140799999</v>
          </cell>
          <cell r="BD111">
            <v>74952435.795024008</v>
          </cell>
          <cell r="BE111">
            <v>77201008.868874729</v>
          </cell>
          <cell r="BF111">
            <v>0</v>
          </cell>
          <cell r="BG111">
            <v>32012661.399999999</v>
          </cell>
          <cell r="BH111">
            <v>59289926.359999999</v>
          </cell>
          <cell r="BI111">
            <v>13683557.100000001</v>
          </cell>
          <cell r="BJ111">
            <v>12619284.26</v>
          </cell>
          <cell r="BK111">
            <v>13581990.32</v>
          </cell>
          <cell r="BL111">
            <v>16350321</v>
          </cell>
          <cell r="BM111">
            <v>56235152.68</v>
          </cell>
          <cell r="BN111">
            <v>70649859.359999999</v>
          </cell>
          <cell r="BO111">
            <v>72769355.140799999</v>
          </cell>
          <cell r="BP111">
            <v>58766934.719199985</v>
          </cell>
          <cell r="BQ111">
            <v>0</v>
          </cell>
          <cell r="BR111">
            <v>258421301.89999998</v>
          </cell>
          <cell r="BT111">
            <v>20</v>
          </cell>
          <cell r="CA111" t="str">
            <v>APS2GE - REVTOT - Base</v>
          </cell>
          <cell r="CC111" t="str">
            <v>APS2GE - REVTOT - Base - MR</v>
          </cell>
          <cell r="CD111" t="str">
            <v>APS2GE - REVTOT - Base - MR</v>
          </cell>
          <cell r="CF111" t="str">
            <v>APS2GE - Base - MR</v>
          </cell>
        </row>
        <row r="112">
          <cell r="D112">
            <v>98</v>
          </cell>
          <cell r="E112">
            <v>1</v>
          </cell>
          <cell r="F112">
            <v>2</v>
          </cell>
          <cell r="G112" t="str">
            <v>APS2GE</v>
          </cell>
          <cell r="H112" t="str">
            <v>EAGLE APS2 EAS Germany</v>
          </cell>
          <cell r="I112" t="str">
            <v>MR</v>
          </cell>
          <cell r="J112" t="str">
            <v>MR Maintenance &amp; Sustainment</v>
          </cell>
          <cell r="K112" t="str">
            <v>Army</v>
          </cell>
          <cell r="L112" t="str">
            <v>DOD</v>
          </cell>
          <cell r="M112" t="str">
            <v>Germany</v>
          </cell>
          <cell r="N112" t="str">
            <v>OCONUS</v>
          </cell>
          <cell r="O112">
            <v>44743</v>
          </cell>
          <cell r="P112">
            <v>46569</v>
          </cell>
          <cell r="Q112" t="str">
            <v>Prime</v>
          </cell>
          <cell r="R112" t="str">
            <v>CPFF</v>
          </cell>
          <cell r="S112">
            <v>0</v>
          </cell>
          <cell r="T112">
            <v>1</v>
          </cell>
          <cell r="U112" t="str">
            <v>REVTOT</v>
          </cell>
          <cell r="V112" t="str">
            <v>Identified - Recompete</v>
          </cell>
          <cell r="W112" t="str">
            <v>01 Prospect</v>
          </cell>
          <cell r="X112" t="str">
            <v>Priority 1</v>
          </cell>
          <cell r="Y112">
            <v>0.7</v>
          </cell>
          <cell r="Z112">
            <v>360000000</v>
          </cell>
          <cell r="AA112">
            <v>0</v>
          </cell>
          <cell r="AB112">
            <v>0</v>
          </cell>
          <cell r="AC112">
            <v>0</v>
          </cell>
          <cell r="AD112">
            <v>0</v>
          </cell>
          <cell r="AI112">
            <v>0</v>
          </cell>
          <cell r="AJ112">
            <v>0</v>
          </cell>
          <cell r="AK112">
            <v>0</v>
          </cell>
          <cell r="BB112">
            <v>72000000</v>
          </cell>
          <cell r="BC112">
            <v>72000000</v>
          </cell>
          <cell r="BD112">
            <v>72000000</v>
          </cell>
          <cell r="BE112">
            <v>72000000</v>
          </cell>
          <cell r="BI112">
            <v>0</v>
          </cell>
          <cell r="BJ112">
            <v>0</v>
          </cell>
          <cell r="BK112">
            <v>0</v>
          </cell>
          <cell r="BL112">
            <v>0</v>
          </cell>
          <cell r="BM112">
            <v>0</v>
          </cell>
          <cell r="BN112">
            <v>0</v>
          </cell>
          <cell r="BO112">
            <v>0</v>
          </cell>
          <cell r="BP112">
            <v>12460000</v>
          </cell>
          <cell r="BQ112">
            <v>50400000</v>
          </cell>
          <cell r="BR112">
            <v>62860000</v>
          </cell>
          <cell r="BT112">
            <v>20</v>
          </cell>
          <cell r="CA112" t="str">
            <v>APS2GE - REVTOT - Identified - Recompete</v>
          </cell>
          <cell r="CC112" t="str">
            <v>APS2GE - REVTOT - Identified - Recompete - MR</v>
          </cell>
          <cell r="CD112" t="str">
            <v/>
          </cell>
          <cell r="CF112" t="str">
            <v>APS2GE - Identified - Recompete - MR</v>
          </cell>
        </row>
        <row r="113">
          <cell r="D113">
            <v>99</v>
          </cell>
          <cell r="E113">
            <v>2</v>
          </cell>
          <cell r="F113">
            <v>3</v>
          </cell>
          <cell r="G113" t="str">
            <v>APS2GE</v>
          </cell>
          <cell r="H113" t="str">
            <v>EAGLE APS2 EAS Germany</v>
          </cell>
          <cell r="I113" t="str">
            <v>MR</v>
          </cell>
          <cell r="J113" t="str">
            <v>MR Maintenance &amp; Sustainment</v>
          </cell>
          <cell r="K113" t="str">
            <v>Army</v>
          </cell>
          <cell r="L113" t="str">
            <v>DOD</v>
          </cell>
          <cell r="M113" t="str">
            <v>Germany</v>
          </cell>
          <cell r="N113" t="str">
            <v>OCONUS</v>
          </cell>
          <cell r="O113">
            <v>42695</v>
          </cell>
          <cell r="P113">
            <v>44742</v>
          </cell>
          <cell r="Q113" t="str">
            <v>Prime</v>
          </cell>
          <cell r="R113" t="str">
            <v>CPFF</v>
          </cell>
          <cell r="S113">
            <v>0</v>
          </cell>
          <cell r="T113">
            <v>1</v>
          </cell>
          <cell r="U113" t="str">
            <v>CONTRACT</v>
          </cell>
          <cell r="V113" t="str">
            <v>Base</v>
          </cell>
          <cell r="W113" t="str">
            <v>05 Won</v>
          </cell>
          <cell r="X113" t="str">
            <v>Active</v>
          </cell>
          <cell r="Y113">
            <v>1</v>
          </cell>
          <cell r="Z113">
            <v>0</v>
          </cell>
          <cell r="AA113">
            <v>18142715.660000004</v>
          </cell>
          <cell r="AB113">
            <v>129043433.56</v>
          </cell>
          <cell r="AC113">
            <v>55000000</v>
          </cell>
          <cell r="AD113">
            <v>202186149.22</v>
          </cell>
          <cell r="AL113">
            <v>0</v>
          </cell>
          <cell r="AM113">
            <v>9.4921333844489378E-2</v>
          </cell>
          <cell r="AN113">
            <v>9.4192353623290995E-2</v>
          </cell>
          <cell r="AO113">
            <v>9.3087019071288857E-2</v>
          </cell>
          <cell r="AP113">
            <v>8.9832891783169166E-2</v>
          </cell>
          <cell r="AQ113">
            <v>8.9832891783169166E-2</v>
          </cell>
          <cell r="AR113">
            <v>8.9832891783169166E-2</v>
          </cell>
          <cell r="AS113">
            <v>8.9832891783169166E-2</v>
          </cell>
          <cell r="BF113">
            <v>0</v>
          </cell>
          <cell r="BG113">
            <v>3038684.5199999986</v>
          </cell>
          <cell r="BH113">
            <v>5584657.7100000018</v>
          </cell>
          <cell r="BI113">
            <v>1251614.6100000008</v>
          </cell>
          <cell r="BJ113">
            <v>1305542.1999999997</v>
          </cell>
          <cell r="BK113">
            <v>1228577.92</v>
          </cell>
          <cell r="BL113">
            <v>1449028</v>
          </cell>
          <cell r="BM113">
            <v>5234762.7300000004</v>
          </cell>
          <cell r="BN113">
            <v>6346681.1703830007</v>
          </cell>
          <cell r="BO113">
            <v>6537081.6054944908</v>
          </cell>
          <cell r="BP113">
            <v>5279203.687058459</v>
          </cell>
          <cell r="BQ113">
            <v>0</v>
          </cell>
          <cell r="BR113">
            <v>23397729.192935951</v>
          </cell>
          <cell r="BT113">
            <v>20</v>
          </cell>
          <cell r="CA113" t="str">
            <v>APS2GE - CONTRACT - Base</v>
          </cell>
          <cell r="CC113" t="str">
            <v>APS2GE - CONTRACT - Base - MR</v>
          </cell>
          <cell r="CD113" t="str">
            <v/>
          </cell>
          <cell r="CF113" t="str">
            <v>APS2GE - Base - MR</v>
          </cell>
        </row>
        <row r="114">
          <cell r="D114">
            <v>100</v>
          </cell>
          <cell r="E114">
            <v>2</v>
          </cell>
          <cell r="F114">
            <v>4</v>
          </cell>
          <cell r="G114" t="str">
            <v>APS2GE</v>
          </cell>
          <cell r="H114" t="str">
            <v>EAGLE APS2 EAS Germany</v>
          </cell>
          <cell r="I114" t="str">
            <v>MR</v>
          </cell>
          <cell r="J114" t="str">
            <v>MR Maintenance &amp; Sustainment</v>
          </cell>
          <cell r="K114" t="str">
            <v>Army</v>
          </cell>
          <cell r="L114" t="str">
            <v>DOD</v>
          </cell>
          <cell r="M114" t="str">
            <v>Germany</v>
          </cell>
          <cell r="N114" t="str">
            <v>OCONUS</v>
          </cell>
          <cell r="O114">
            <v>44743</v>
          </cell>
          <cell r="P114">
            <v>46569</v>
          </cell>
          <cell r="Q114" t="str">
            <v>Prime</v>
          </cell>
          <cell r="R114" t="str">
            <v>CPFF</v>
          </cell>
          <cell r="S114">
            <v>0</v>
          </cell>
          <cell r="T114">
            <v>1</v>
          </cell>
          <cell r="U114" t="str">
            <v>CONTRACT</v>
          </cell>
          <cell r="V114" t="str">
            <v>Identified - Recompete</v>
          </cell>
          <cell r="W114" t="str">
            <v>01 Prospect</v>
          </cell>
          <cell r="X114" t="str">
            <v>Priority 1</v>
          </cell>
          <cell r="Y114">
            <v>0.7</v>
          </cell>
          <cell r="Z114">
            <v>360000000</v>
          </cell>
          <cell r="AA114">
            <v>0</v>
          </cell>
          <cell r="AB114">
            <v>0</v>
          </cell>
          <cell r="AC114">
            <v>0</v>
          </cell>
          <cell r="AD114">
            <v>0</v>
          </cell>
          <cell r="AP114">
            <v>0.12</v>
          </cell>
          <cell r="AQ114">
            <v>0.12</v>
          </cell>
          <cell r="AR114">
            <v>0.12</v>
          </cell>
          <cell r="AS114">
            <v>0.12</v>
          </cell>
          <cell r="BI114">
            <v>0</v>
          </cell>
          <cell r="BJ114">
            <v>0</v>
          </cell>
          <cell r="BK114">
            <v>0</v>
          </cell>
          <cell r="BL114">
            <v>0</v>
          </cell>
          <cell r="BM114">
            <v>0</v>
          </cell>
          <cell r="BN114">
            <v>0</v>
          </cell>
          <cell r="BO114">
            <v>0</v>
          </cell>
          <cell r="BP114">
            <v>1495200</v>
          </cell>
          <cell r="BQ114">
            <v>6048000</v>
          </cell>
          <cell r="BR114">
            <v>7543200</v>
          </cell>
          <cell r="BT114">
            <v>20</v>
          </cell>
          <cell r="CA114" t="str">
            <v>APS2GE - CONTRACT - Identified - Recompete</v>
          </cell>
          <cell r="CC114" t="str">
            <v>APS2GE - CONTRACT - Identified - Recompete - MR</v>
          </cell>
          <cell r="CD114" t="str">
            <v/>
          </cell>
          <cell r="CF114" t="str">
            <v>APS2GE - Identified - Recompete - MR</v>
          </cell>
        </row>
        <row r="115">
          <cell r="D115">
            <v>101</v>
          </cell>
          <cell r="E115">
            <v>0</v>
          </cell>
          <cell r="F115">
            <v>5</v>
          </cell>
          <cell r="G115" t="str">
            <v>APS2GE</v>
          </cell>
          <cell r="H115" t="str">
            <v>EAGLE APS2 EAS Germany</v>
          </cell>
          <cell r="I115" t="str">
            <v>MR</v>
          </cell>
          <cell r="J115" t="str">
            <v>MR Maintenance &amp; Sustainment</v>
          </cell>
          <cell r="K115" t="str">
            <v>Army</v>
          </cell>
          <cell r="L115" t="str">
            <v>DOD</v>
          </cell>
          <cell r="M115" t="str">
            <v>Germany</v>
          </cell>
          <cell r="N115" t="str">
            <v>OCONUS</v>
          </cell>
          <cell r="O115">
            <v>42695</v>
          </cell>
          <cell r="P115">
            <v>44742</v>
          </cell>
          <cell r="Q115" t="str">
            <v>Prime</v>
          </cell>
          <cell r="R115" t="str">
            <v>CPFF</v>
          </cell>
          <cell r="S115">
            <v>0</v>
          </cell>
          <cell r="T115">
            <v>1</v>
          </cell>
          <cell r="U115" t="str">
            <v>EBITA</v>
          </cell>
          <cell r="V115" t="str">
            <v>Base</v>
          </cell>
          <cell r="W115" t="str">
            <v>05 Won</v>
          </cell>
          <cell r="X115" t="str">
            <v>Active</v>
          </cell>
          <cell r="Y115">
            <v>1</v>
          </cell>
          <cell r="Z115">
            <v>0</v>
          </cell>
          <cell r="AA115">
            <v>18142715.660000004</v>
          </cell>
          <cell r="AB115">
            <v>129043433.56</v>
          </cell>
          <cell r="AC115">
            <v>55000000</v>
          </cell>
          <cell r="AD115">
            <v>202186149.22</v>
          </cell>
          <cell r="AT115">
            <v>0</v>
          </cell>
          <cell r="AU115">
            <v>1.6359826927729255E-2</v>
          </cell>
          <cell r="AV115">
            <v>1.8558185303166934E-2</v>
          </cell>
          <cell r="AW115">
            <v>1.7640948458788826E-2</v>
          </cell>
          <cell r="AX115">
            <v>1.5747930661382456E-2</v>
          </cell>
          <cell r="AY115">
            <v>1.5747930661382456E-2</v>
          </cell>
          <cell r="AZ115">
            <v>1.5747930661382456E-2</v>
          </cell>
          <cell r="BA115">
            <v>1.5747930661382456E-2</v>
          </cell>
          <cell r="BF115">
            <v>0</v>
          </cell>
          <cell r="BG115">
            <v>523721.59999999893</v>
          </cell>
          <cell r="BH115">
            <v>1100313.4400000018</v>
          </cell>
          <cell r="BI115">
            <v>170528.93000000081</v>
          </cell>
          <cell r="BJ115">
            <v>372892.45999999967</v>
          </cell>
          <cell r="BK115">
            <v>196092.03999999986</v>
          </cell>
          <cell r="BL115">
            <v>252528</v>
          </cell>
          <cell r="BM115">
            <v>992041.4300000004</v>
          </cell>
          <cell r="BN115">
            <v>1112589.0864377022</v>
          </cell>
          <cell r="BO115">
            <v>1145966.7590308334</v>
          </cell>
          <cell r="BP115">
            <v>925457.61313995067</v>
          </cell>
          <cell r="BQ115">
            <v>0</v>
          </cell>
          <cell r="BR115">
            <v>4176054.8886084869</v>
          </cell>
          <cell r="BT115">
            <v>20</v>
          </cell>
          <cell r="CA115" t="str">
            <v>APS2GE - EBITA - Base</v>
          </cell>
          <cell r="CC115" t="str">
            <v>APS2GE - EBITA - Base - MR</v>
          </cell>
          <cell r="CD115" t="str">
            <v/>
          </cell>
          <cell r="CF115" t="str">
            <v>APS2GE - Base - MR</v>
          </cell>
        </row>
        <row r="116">
          <cell r="D116">
            <v>102</v>
          </cell>
          <cell r="E116">
            <v>0</v>
          </cell>
          <cell r="F116">
            <v>0</v>
          </cell>
          <cell r="G116" t="str">
            <v>APS2GE</v>
          </cell>
          <cell r="H116" t="str">
            <v>EAGLE APS2 EAS Germany</v>
          </cell>
          <cell r="I116" t="str">
            <v>MR</v>
          </cell>
          <cell r="J116" t="str">
            <v>MR Maintenance &amp; Sustainment</v>
          </cell>
          <cell r="K116" t="str">
            <v>Army</v>
          </cell>
          <cell r="L116" t="str">
            <v>DOD</v>
          </cell>
          <cell r="M116" t="str">
            <v>Germany</v>
          </cell>
          <cell r="N116" t="str">
            <v>OCONUS</v>
          </cell>
          <cell r="O116">
            <v>44743</v>
          </cell>
          <cell r="P116">
            <v>46569</v>
          </cell>
          <cell r="Q116" t="str">
            <v>Prime</v>
          </cell>
          <cell r="R116" t="str">
            <v>CPFF</v>
          </cell>
          <cell r="S116">
            <v>0</v>
          </cell>
          <cell r="T116">
            <v>1</v>
          </cell>
          <cell r="U116" t="str">
            <v>EBITA</v>
          </cell>
          <cell r="V116" t="str">
            <v>Identified - Recompete</v>
          </cell>
          <cell r="W116" t="str">
            <v>01 Prospect</v>
          </cell>
          <cell r="X116" t="str">
            <v>Priority 1</v>
          </cell>
          <cell r="Y116">
            <v>0.7</v>
          </cell>
          <cell r="Z116">
            <v>360000000</v>
          </cell>
          <cell r="AA116">
            <v>0</v>
          </cell>
          <cell r="AB116">
            <v>0</v>
          </cell>
          <cell r="AC116">
            <v>0</v>
          </cell>
          <cell r="AD116">
            <v>0</v>
          </cell>
          <cell r="AX116">
            <v>2.5000000000000001E-2</v>
          </cell>
          <cell r="AY116">
            <v>2.5000000000000001E-2</v>
          </cell>
          <cell r="AZ116">
            <v>2.5000000000000001E-2</v>
          </cell>
          <cell r="BA116">
            <v>2.5000000000000001E-2</v>
          </cell>
          <cell r="BI116">
            <v>0</v>
          </cell>
          <cell r="BJ116">
            <v>0</v>
          </cell>
          <cell r="BK116">
            <v>0</v>
          </cell>
          <cell r="BL116">
            <v>0</v>
          </cell>
          <cell r="BM116">
            <v>0</v>
          </cell>
          <cell r="BN116">
            <v>0</v>
          </cell>
          <cell r="BO116">
            <v>0</v>
          </cell>
          <cell r="BP116">
            <v>311500</v>
          </cell>
          <cell r="BQ116">
            <v>1260000</v>
          </cell>
          <cell r="BR116">
            <v>1571500</v>
          </cell>
          <cell r="BT116">
            <v>20</v>
          </cell>
          <cell r="CA116" t="str">
            <v>APS2GE - EBITA - Identified - Recompete</v>
          </cell>
          <cell r="CC116" t="str">
            <v>APS2GE - EBITA - Identified - Recompete - MR</v>
          </cell>
          <cell r="CD116" t="str">
            <v/>
          </cell>
          <cell r="CF116" t="str">
            <v>APS2GE - Identified - Recompete - MR</v>
          </cell>
        </row>
        <row r="117">
          <cell r="D117">
            <v>103</v>
          </cell>
          <cell r="E117">
            <v>1</v>
          </cell>
          <cell r="F117">
            <v>1</v>
          </cell>
          <cell r="G117" t="str">
            <v>LASSOX</v>
          </cell>
          <cell r="H117" t="str">
            <v>LASSO</v>
          </cell>
          <cell r="I117" t="str">
            <v>MR</v>
          </cell>
          <cell r="J117" t="str">
            <v>MR NASA</v>
          </cell>
          <cell r="K117" t="str">
            <v>NASA</v>
          </cell>
          <cell r="L117" t="str">
            <v>NASA</v>
          </cell>
          <cell r="M117" t="str">
            <v>FL</v>
          </cell>
          <cell r="N117" t="str">
            <v>CONUS</v>
          </cell>
          <cell r="O117">
            <v>43009</v>
          </cell>
          <cell r="P117">
            <v>45199</v>
          </cell>
          <cell r="Q117" t="str">
            <v>Prime</v>
          </cell>
          <cell r="R117" t="str">
            <v>CPFF</v>
          </cell>
          <cell r="S117">
            <v>0</v>
          </cell>
          <cell r="T117">
            <v>1</v>
          </cell>
          <cell r="U117" t="str">
            <v>REVTOT</v>
          </cell>
          <cell r="V117" t="str">
            <v>Base</v>
          </cell>
          <cell r="W117" t="str">
            <v>05 Won</v>
          </cell>
          <cell r="X117" t="str">
            <v>Active</v>
          </cell>
          <cell r="Y117">
            <v>1</v>
          </cell>
          <cell r="Z117">
            <v>0</v>
          </cell>
          <cell r="AA117">
            <v>46061066.899999999</v>
          </cell>
          <cell r="AB117">
            <v>75885884</v>
          </cell>
          <cell r="AC117">
            <v>0</v>
          </cell>
          <cell r="AD117">
            <v>121946950.90000001</v>
          </cell>
          <cell r="AE117">
            <v>0</v>
          </cell>
          <cell r="AF117">
            <v>0</v>
          </cell>
          <cell r="AG117">
            <v>0.56072598366847792</v>
          </cell>
          <cell r="AH117">
            <v>-0.17682991802427928</v>
          </cell>
          <cell r="AI117">
            <v>0</v>
          </cell>
          <cell r="AJ117">
            <v>0</v>
          </cell>
          <cell r="AK117">
            <v>0</v>
          </cell>
          <cell r="BB117">
            <v>25169679.792307697</v>
          </cell>
          <cell r="BC117">
            <v>25169679.792307697</v>
          </cell>
          <cell r="BD117">
            <v>25169679.792307697</v>
          </cell>
          <cell r="BE117">
            <v>25169679.792307697</v>
          </cell>
          <cell r="BF117">
            <v>0</v>
          </cell>
          <cell r="BG117">
            <v>0</v>
          </cell>
          <cell r="BH117">
            <v>19591218.670000002</v>
          </cell>
          <cell r="BI117">
            <v>6986314.1600000001</v>
          </cell>
          <cell r="BJ117">
            <v>7731559.7299999995</v>
          </cell>
          <cell r="BK117">
            <v>8729237.1400000006</v>
          </cell>
          <cell r="BL117">
            <v>7129413</v>
          </cell>
          <cell r="BM117">
            <v>30576524.030000001</v>
          </cell>
          <cell r="BN117">
            <v>25169679.792307697</v>
          </cell>
          <cell r="BO117">
            <v>25169679.792307697</v>
          </cell>
          <cell r="BP117">
            <v>25169679.792307697</v>
          </cell>
          <cell r="BQ117">
            <v>25169679.792307697</v>
          </cell>
          <cell r="BR117">
            <v>131255243.19923079</v>
          </cell>
          <cell r="BT117">
            <v>21</v>
          </cell>
          <cell r="CA117" t="str">
            <v>LASSOX - REVTOT - Base</v>
          </cell>
          <cell r="CC117" t="str">
            <v>LASSOX - REVTOT - Base - MR</v>
          </cell>
          <cell r="CD117" t="str">
            <v>LASSOX - REVTOT - Base - MR</v>
          </cell>
          <cell r="CF117" t="str">
            <v>LASSOX - Base - MR</v>
          </cell>
        </row>
        <row r="118">
          <cell r="D118">
            <v>104</v>
          </cell>
          <cell r="E118">
            <v>1</v>
          </cell>
          <cell r="F118">
            <v>2</v>
          </cell>
          <cell r="G118" t="str">
            <v>LASSOX</v>
          </cell>
          <cell r="H118" t="str">
            <v>LASSO</v>
          </cell>
          <cell r="I118" t="str">
            <v>MR</v>
          </cell>
          <cell r="J118" t="str">
            <v>MR NASA</v>
          </cell>
          <cell r="K118" t="str">
            <v>NASA</v>
          </cell>
          <cell r="L118" t="str">
            <v>NASA</v>
          </cell>
          <cell r="M118" t="str">
            <v>FL</v>
          </cell>
          <cell r="N118" t="str">
            <v>CONUS</v>
          </cell>
          <cell r="O118">
            <v>0</v>
          </cell>
          <cell r="P118">
            <v>0</v>
          </cell>
          <cell r="Q118">
            <v>0</v>
          </cell>
          <cell r="R118" t="str">
            <v>CPFF</v>
          </cell>
          <cell r="S118">
            <v>0</v>
          </cell>
          <cell r="T118">
            <v>1</v>
          </cell>
          <cell r="U118" t="str">
            <v>REVTOT</v>
          </cell>
          <cell r="V118" t="str">
            <v>Identified - Recompete</v>
          </cell>
          <cell r="W118">
            <v>0</v>
          </cell>
          <cell r="X118">
            <v>0</v>
          </cell>
          <cell r="Y118">
            <v>0</v>
          </cell>
          <cell r="Z118">
            <v>0</v>
          </cell>
          <cell r="AA118">
            <v>0</v>
          </cell>
          <cell r="AB118">
            <v>0</v>
          </cell>
          <cell r="AC118">
            <v>0</v>
          </cell>
          <cell r="AD118">
            <v>0</v>
          </cell>
          <cell r="AI118">
            <v>0</v>
          </cell>
          <cell r="AJ118">
            <v>0</v>
          </cell>
          <cell r="AK118">
            <v>0</v>
          </cell>
          <cell r="BB118">
            <v>0</v>
          </cell>
          <cell r="BC118">
            <v>0</v>
          </cell>
          <cell r="BD118">
            <v>0</v>
          </cell>
          <cell r="BE118">
            <v>0</v>
          </cell>
          <cell r="BI118">
            <v>0</v>
          </cell>
          <cell r="BJ118">
            <v>0</v>
          </cell>
          <cell r="BK118">
            <v>0</v>
          </cell>
          <cell r="BL118">
            <v>0</v>
          </cell>
          <cell r="BM118">
            <v>0</v>
          </cell>
          <cell r="BN118">
            <v>0</v>
          </cell>
          <cell r="BO118">
            <v>0</v>
          </cell>
          <cell r="BP118">
            <v>0</v>
          </cell>
          <cell r="BQ118">
            <v>0</v>
          </cell>
          <cell r="BR118">
            <v>0</v>
          </cell>
          <cell r="BT118">
            <v>21</v>
          </cell>
          <cell r="CA118" t="str">
            <v>LASSOX - REVTOT - Identified - Recompete</v>
          </cell>
          <cell r="CC118" t="str">
            <v>LASSOX - REVTOT - Identified - Recompete - MR</v>
          </cell>
          <cell r="CD118" t="str">
            <v/>
          </cell>
          <cell r="CF118" t="str">
            <v>LASSOX - Identified - Recompete - MR</v>
          </cell>
        </row>
        <row r="119">
          <cell r="D119">
            <v>105</v>
          </cell>
          <cell r="E119">
            <v>2</v>
          </cell>
          <cell r="F119">
            <v>3</v>
          </cell>
          <cell r="G119" t="str">
            <v>LASSOX</v>
          </cell>
          <cell r="H119" t="str">
            <v>LASSO</v>
          </cell>
          <cell r="I119" t="str">
            <v>MR</v>
          </cell>
          <cell r="J119" t="str">
            <v>MR NASA</v>
          </cell>
          <cell r="K119" t="str">
            <v>NASA</v>
          </cell>
          <cell r="L119" t="str">
            <v>NASA</v>
          </cell>
          <cell r="M119" t="str">
            <v>FL</v>
          </cell>
          <cell r="N119" t="str">
            <v>CONUS</v>
          </cell>
          <cell r="O119">
            <v>43009</v>
          </cell>
          <cell r="P119">
            <v>45199</v>
          </cell>
          <cell r="Q119" t="str">
            <v>Prime</v>
          </cell>
          <cell r="R119" t="str">
            <v>CPFF</v>
          </cell>
          <cell r="S119">
            <v>0</v>
          </cell>
          <cell r="T119">
            <v>1</v>
          </cell>
          <cell r="U119" t="str">
            <v>CONTRACT</v>
          </cell>
          <cell r="V119" t="str">
            <v>Base</v>
          </cell>
          <cell r="W119" t="str">
            <v>05 Won</v>
          </cell>
          <cell r="X119" t="str">
            <v>Active</v>
          </cell>
          <cell r="Y119">
            <v>1</v>
          </cell>
          <cell r="Z119">
            <v>0</v>
          </cell>
          <cell r="AA119">
            <v>46061066.899999999</v>
          </cell>
          <cell r="AB119">
            <v>75885884</v>
          </cell>
          <cell r="AC119">
            <v>0</v>
          </cell>
          <cell r="AD119">
            <v>121946950.90000001</v>
          </cell>
          <cell r="AL119">
            <v>0</v>
          </cell>
          <cell r="AM119">
            <v>0</v>
          </cell>
          <cell r="AN119">
            <v>8.5044102567816457E-2</v>
          </cell>
          <cell r="AO119">
            <v>8.7671161946657625E-2</v>
          </cell>
          <cell r="AP119">
            <v>0.10443129188942563</v>
          </cell>
          <cell r="AQ119">
            <v>0.10443129188942563</v>
          </cell>
          <cell r="AR119">
            <v>0.10443129188942563</v>
          </cell>
          <cell r="AS119">
            <v>0.10443129188942563</v>
          </cell>
          <cell r="BF119">
            <v>0</v>
          </cell>
          <cell r="BG119">
            <v>-187482.63</v>
          </cell>
          <cell r="BH119">
            <v>1666117.6100000008</v>
          </cell>
          <cell r="BI119">
            <v>662534.91999999946</v>
          </cell>
          <cell r="BJ119">
            <v>744768.64999999967</v>
          </cell>
          <cell r="BK119">
            <v>876126.81999999983</v>
          </cell>
          <cell r="BL119">
            <v>397249</v>
          </cell>
          <cell r="BM119">
            <v>2680679.3899999987</v>
          </cell>
          <cell r="BN119">
            <v>2628502.177153863</v>
          </cell>
          <cell r="BO119">
            <v>2628502.177153863</v>
          </cell>
          <cell r="BP119">
            <v>2628502.177153863</v>
          </cell>
          <cell r="BQ119">
            <v>2628502.177153863</v>
          </cell>
          <cell r="BR119">
            <v>13194688.098615451</v>
          </cell>
          <cell r="BT119">
            <v>21</v>
          </cell>
          <cell r="CA119" t="str">
            <v>LASSOX - CONTRACT - Base</v>
          </cell>
          <cell r="CC119" t="str">
            <v>LASSOX - CONTRACT - Base - MR</v>
          </cell>
          <cell r="CD119" t="str">
            <v/>
          </cell>
          <cell r="CF119" t="str">
            <v>LASSOX - Base - MR</v>
          </cell>
        </row>
        <row r="120">
          <cell r="D120">
            <v>106</v>
          </cell>
          <cell r="E120">
            <v>2</v>
          </cell>
          <cell r="F120">
            <v>4</v>
          </cell>
          <cell r="G120" t="str">
            <v>LASSOX</v>
          </cell>
          <cell r="H120" t="str">
            <v>LASSO</v>
          </cell>
          <cell r="I120" t="str">
            <v>MR</v>
          </cell>
          <cell r="J120" t="str">
            <v>MR NASA</v>
          </cell>
          <cell r="K120" t="str">
            <v>NASA</v>
          </cell>
          <cell r="L120" t="str">
            <v>NASA</v>
          </cell>
          <cell r="M120" t="str">
            <v>FL</v>
          </cell>
          <cell r="N120" t="str">
            <v>CONUS</v>
          </cell>
          <cell r="O120">
            <v>0</v>
          </cell>
          <cell r="P120">
            <v>0</v>
          </cell>
          <cell r="Q120">
            <v>0</v>
          </cell>
          <cell r="R120" t="str">
            <v>CPFF</v>
          </cell>
          <cell r="S120">
            <v>0</v>
          </cell>
          <cell r="T120">
            <v>1</v>
          </cell>
          <cell r="U120" t="str">
            <v>CONTRACT</v>
          </cell>
          <cell r="V120" t="str">
            <v>Identified - Recompete</v>
          </cell>
          <cell r="W120">
            <v>0</v>
          </cell>
          <cell r="X120">
            <v>0</v>
          </cell>
          <cell r="Y120">
            <v>0</v>
          </cell>
          <cell r="Z120">
            <v>0</v>
          </cell>
          <cell r="AA120">
            <v>0</v>
          </cell>
          <cell r="AB120">
            <v>0</v>
          </cell>
          <cell r="AC120">
            <v>0</v>
          </cell>
          <cell r="AD120">
            <v>0</v>
          </cell>
          <cell r="AP120">
            <v>0.10443129188942563</v>
          </cell>
          <cell r="AQ120">
            <v>0.10443129188942563</v>
          </cell>
          <cell r="AR120">
            <v>0.10443129188942563</v>
          </cell>
          <cell r="AS120">
            <v>0.10443129188942563</v>
          </cell>
          <cell r="BI120">
            <v>0</v>
          </cell>
          <cell r="BJ120">
            <v>0</v>
          </cell>
          <cell r="BK120">
            <v>0</v>
          </cell>
          <cell r="BL120">
            <v>0</v>
          </cell>
          <cell r="BM120">
            <v>0</v>
          </cell>
          <cell r="BN120">
            <v>0</v>
          </cell>
          <cell r="BO120">
            <v>0</v>
          </cell>
          <cell r="BP120">
            <v>0</v>
          </cell>
          <cell r="BQ120">
            <v>0</v>
          </cell>
          <cell r="BR120">
            <v>0</v>
          </cell>
          <cell r="BT120">
            <v>21</v>
          </cell>
          <cell r="CA120" t="str">
            <v>LASSOX - CONTRACT - Identified - Recompete</v>
          </cell>
          <cell r="CC120" t="str">
            <v>LASSOX - CONTRACT - Identified - Recompete - MR</v>
          </cell>
          <cell r="CD120" t="str">
            <v/>
          </cell>
          <cell r="CF120" t="str">
            <v>LASSOX - Identified - Recompete - MR</v>
          </cell>
        </row>
        <row r="121">
          <cell r="D121">
            <v>107</v>
          </cell>
          <cell r="E121">
            <v>0</v>
          </cell>
          <cell r="F121">
            <v>5</v>
          </cell>
          <cell r="G121" t="str">
            <v>LASSOX</v>
          </cell>
          <cell r="H121" t="str">
            <v>LASSO</v>
          </cell>
          <cell r="I121" t="str">
            <v>MR</v>
          </cell>
          <cell r="J121" t="str">
            <v>MR NASA</v>
          </cell>
          <cell r="K121" t="str">
            <v>NASA</v>
          </cell>
          <cell r="L121" t="str">
            <v>NASA</v>
          </cell>
          <cell r="M121" t="str">
            <v>FL</v>
          </cell>
          <cell r="N121" t="str">
            <v>CONUS</v>
          </cell>
          <cell r="O121">
            <v>43009</v>
          </cell>
          <cell r="P121">
            <v>45199</v>
          </cell>
          <cell r="Q121" t="str">
            <v>Prime</v>
          </cell>
          <cell r="R121" t="str">
            <v>CPFF</v>
          </cell>
          <cell r="S121">
            <v>0</v>
          </cell>
          <cell r="T121">
            <v>1</v>
          </cell>
          <cell r="U121" t="str">
            <v>EBITA</v>
          </cell>
          <cell r="V121" t="str">
            <v>Base</v>
          </cell>
          <cell r="W121" t="str">
            <v>05 Won</v>
          </cell>
          <cell r="X121" t="str">
            <v>Active</v>
          </cell>
          <cell r="Y121">
            <v>1</v>
          </cell>
          <cell r="Z121">
            <v>0</v>
          </cell>
          <cell r="AA121">
            <v>46061066.899999999</v>
          </cell>
          <cell r="AB121">
            <v>75885884</v>
          </cell>
          <cell r="AC121">
            <v>0</v>
          </cell>
          <cell r="AD121">
            <v>121946950.90000001</v>
          </cell>
          <cell r="AT121">
            <v>0</v>
          </cell>
          <cell r="AU121">
            <v>0</v>
          </cell>
          <cell r="AV121">
            <v>1.5040376250366697E-3</v>
          </cell>
          <cell r="AW121">
            <v>1.3106939947797555E-2</v>
          </cell>
          <cell r="AX121">
            <v>2.3266477336067258E-2</v>
          </cell>
          <cell r="AY121">
            <v>2.3266477336067258E-2</v>
          </cell>
          <cell r="AZ121">
            <v>2.3266477336067258E-2</v>
          </cell>
          <cell r="BA121">
            <v>2.3266477336067258E-2</v>
          </cell>
          <cell r="BF121">
            <v>0</v>
          </cell>
          <cell r="BG121">
            <v>-221456.97</v>
          </cell>
          <cell r="BH121">
            <v>29465.930000000866</v>
          </cell>
          <cell r="BI121">
            <v>47926.089999999444</v>
          </cell>
          <cell r="BJ121">
            <v>95690.659999999625</v>
          </cell>
          <cell r="BK121">
            <v>141358.57999999987</v>
          </cell>
          <cell r="BL121">
            <v>115789.3342736</v>
          </cell>
          <cell r="BM121">
            <v>400764.66427359893</v>
          </cell>
          <cell r="BN121">
            <v>585609.78444379708</v>
          </cell>
          <cell r="BO121">
            <v>585609.78444379708</v>
          </cell>
          <cell r="BP121">
            <v>585609.78444379708</v>
          </cell>
          <cell r="BQ121">
            <v>585609.78444379708</v>
          </cell>
          <cell r="BR121">
            <v>2743203.802048787</v>
          </cell>
          <cell r="BT121">
            <v>21</v>
          </cell>
          <cell r="CA121" t="str">
            <v>LASSOX - EBITA - Base</v>
          </cell>
          <cell r="CC121" t="str">
            <v>LASSOX - EBITA - Base - MR</v>
          </cell>
          <cell r="CD121" t="str">
            <v/>
          </cell>
          <cell r="CF121" t="str">
            <v>LASSOX - Base - MR</v>
          </cell>
        </row>
        <row r="122">
          <cell r="D122">
            <v>108</v>
          </cell>
          <cell r="E122">
            <v>0</v>
          </cell>
          <cell r="F122">
            <v>0</v>
          </cell>
          <cell r="G122" t="str">
            <v>LASSOX</v>
          </cell>
          <cell r="H122" t="str">
            <v>LASSO</v>
          </cell>
          <cell r="I122" t="str">
            <v>MR</v>
          </cell>
          <cell r="J122" t="str">
            <v>MR NASA</v>
          </cell>
          <cell r="K122" t="str">
            <v>NASA</v>
          </cell>
          <cell r="L122" t="str">
            <v>NASA</v>
          </cell>
          <cell r="M122" t="str">
            <v>FL</v>
          </cell>
          <cell r="N122" t="str">
            <v>CONUS</v>
          </cell>
          <cell r="O122">
            <v>0</v>
          </cell>
          <cell r="P122">
            <v>0</v>
          </cell>
          <cell r="Q122">
            <v>0</v>
          </cell>
          <cell r="R122" t="str">
            <v>CPFF</v>
          </cell>
          <cell r="S122">
            <v>0</v>
          </cell>
          <cell r="T122">
            <v>1</v>
          </cell>
          <cell r="U122" t="str">
            <v>EBITA</v>
          </cell>
          <cell r="V122" t="str">
            <v>Identified - Recompete</v>
          </cell>
          <cell r="W122">
            <v>0</v>
          </cell>
          <cell r="X122">
            <v>0</v>
          </cell>
          <cell r="Y122">
            <v>0</v>
          </cell>
          <cell r="Z122">
            <v>0</v>
          </cell>
          <cell r="AA122">
            <v>0</v>
          </cell>
          <cell r="AB122">
            <v>0</v>
          </cell>
          <cell r="AC122">
            <v>0</v>
          </cell>
          <cell r="AD122">
            <v>0</v>
          </cell>
          <cell r="AX122">
            <v>0.04</v>
          </cell>
          <cell r="AY122">
            <v>0.04</v>
          </cell>
          <cell r="AZ122">
            <v>0.04</v>
          </cell>
          <cell r="BA122">
            <v>0.04</v>
          </cell>
          <cell r="BI122">
            <v>0</v>
          </cell>
          <cell r="BJ122">
            <v>0</v>
          </cell>
          <cell r="BK122">
            <v>0</v>
          </cell>
          <cell r="BL122">
            <v>0</v>
          </cell>
          <cell r="BM122">
            <v>0</v>
          </cell>
          <cell r="BN122">
            <v>0</v>
          </cell>
          <cell r="BO122">
            <v>0</v>
          </cell>
          <cell r="BP122">
            <v>0</v>
          </cell>
          <cell r="BQ122">
            <v>0</v>
          </cell>
          <cell r="BR122">
            <v>0</v>
          </cell>
          <cell r="BT122">
            <v>21</v>
          </cell>
          <cell r="CA122" t="str">
            <v>LASSOX - EBITA - Identified - Recompete</v>
          </cell>
          <cell r="CC122" t="str">
            <v>LASSOX - EBITA - Identified - Recompete - MR</v>
          </cell>
          <cell r="CD122" t="str">
            <v/>
          </cell>
          <cell r="CF122" t="str">
            <v>LASSOX - Identified - Recompete - MR</v>
          </cell>
        </row>
        <row r="123">
          <cell r="D123">
            <v>109</v>
          </cell>
          <cell r="E123">
            <v>1</v>
          </cell>
          <cell r="F123">
            <v>1</v>
          </cell>
          <cell r="G123" t="str">
            <v>520024</v>
          </cell>
          <cell r="H123" t="str">
            <v>NAVAIR Fleet Readiness</v>
          </cell>
          <cell r="I123" t="str">
            <v>MR</v>
          </cell>
          <cell r="J123" t="str">
            <v>MR Maintenance &amp; Sustainment</v>
          </cell>
          <cell r="K123" t="str">
            <v>Navy</v>
          </cell>
          <cell r="L123" t="str">
            <v>DOD</v>
          </cell>
          <cell r="M123" t="str">
            <v>MD</v>
          </cell>
          <cell r="N123" t="str">
            <v>CONUS</v>
          </cell>
          <cell r="O123">
            <v>42846</v>
          </cell>
          <cell r="P123">
            <v>44671</v>
          </cell>
          <cell r="Q123" t="str">
            <v>Prime</v>
          </cell>
          <cell r="R123" t="str">
            <v>CPFF</v>
          </cell>
          <cell r="S123">
            <v>0</v>
          </cell>
          <cell r="T123">
            <v>1</v>
          </cell>
          <cell r="U123" t="str">
            <v>REVTOT</v>
          </cell>
          <cell r="V123" t="str">
            <v>Base</v>
          </cell>
          <cell r="W123" t="str">
            <v>05 Won</v>
          </cell>
          <cell r="X123" t="str">
            <v>Active</v>
          </cell>
          <cell r="Y123">
            <v>1</v>
          </cell>
          <cell r="Z123">
            <v>0</v>
          </cell>
          <cell r="AA123">
            <v>19560115.606440391</v>
          </cell>
          <cell r="AB123">
            <v>81901679.050000012</v>
          </cell>
          <cell r="AC123">
            <v>0</v>
          </cell>
          <cell r="AD123">
            <v>101461794.65644041</v>
          </cell>
          <cell r="AE123">
            <v>0</v>
          </cell>
          <cell r="AF123">
            <v>1.2918041068578816</v>
          </cell>
          <cell r="AG123">
            <v>5.3161984908066451E-2</v>
          </cell>
          <cell r="AH123">
            <v>-1.0972854654455744E-2</v>
          </cell>
          <cell r="AI123">
            <v>0</v>
          </cell>
          <cell r="AJ123">
            <v>0</v>
          </cell>
          <cell r="AK123">
            <v>0</v>
          </cell>
          <cell r="BB123">
            <v>33498317.124637842</v>
          </cell>
          <cell r="BC123">
            <v>33498317.124637842</v>
          </cell>
          <cell r="BD123">
            <v>33498317.124637842</v>
          </cell>
          <cell r="BE123">
            <v>33498317.124637842</v>
          </cell>
          <cell r="BF123">
            <v>0</v>
          </cell>
          <cell r="BG123">
            <v>14032728.100000001</v>
          </cell>
          <cell r="BH123">
            <v>32160263.890000001</v>
          </cell>
          <cell r="BI123">
            <v>8069708.6400000006</v>
          </cell>
          <cell r="BJ123">
            <v>8512205.0199999996</v>
          </cell>
          <cell r="BK123">
            <v>8835825.2699999996</v>
          </cell>
          <cell r="BL123">
            <v>8452228.4235596135</v>
          </cell>
          <cell r="BM123">
            <v>33869967.353559613</v>
          </cell>
          <cell r="BN123">
            <v>33498317.124637842</v>
          </cell>
          <cell r="BO123">
            <v>33498317.124637842</v>
          </cell>
          <cell r="BP123">
            <v>18610176.180354357</v>
          </cell>
          <cell r="BQ123">
            <v>0</v>
          </cell>
          <cell r="BR123">
            <v>119476777.78318965</v>
          </cell>
          <cell r="BT123">
            <v>22</v>
          </cell>
          <cell r="CA123" t="str">
            <v>520024 - REVTOT - Base</v>
          </cell>
          <cell r="CC123" t="str">
            <v>520024 - REVTOT - Base - MR</v>
          </cell>
          <cell r="CD123" t="str">
            <v>520024 - REVTOT - Base - MR</v>
          </cell>
          <cell r="CF123" t="str">
            <v>520024 - Base - MR</v>
          </cell>
        </row>
        <row r="124">
          <cell r="D124">
            <v>110</v>
          </cell>
          <cell r="E124">
            <v>1</v>
          </cell>
          <cell r="F124">
            <v>2</v>
          </cell>
          <cell r="G124" t="str">
            <v>520024</v>
          </cell>
          <cell r="H124" t="str">
            <v>NAVAIR Fleet Readiness</v>
          </cell>
          <cell r="I124" t="str">
            <v>MR</v>
          </cell>
          <cell r="J124" t="str">
            <v>MR Maintenance &amp; Sustainment</v>
          </cell>
          <cell r="K124" t="str">
            <v>Navy</v>
          </cell>
          <cell r="L124" t="str">
            <v>DOD</v>
          </cell>
          <cell r="M124" t="str">
            <v>MD</v>
          </cell>
          <cell r="N124" t="str">
            <v>CONUS</v>
          </cell>
          <cell r="O124">
            <v>44672</v>
          </cell>
          <cell r="P124">
            <v>46499</v>
          </cell>
          <cell r="Q124" t="str">
            <v>Prime</v>
          </cell>
          <cell r="R124" t="str">
            <v>CPFF</v>
          </cell>
          <cell r="S124">
            <v>0</v>
          </cell>
          <cell r="T124">
            <v>1</v>
          </cell>
          <cell r="U124" t="str">
            <v>REVTOT</v>
          </cell>
          <cell r="V124" t="str">
            <v>Identified - Recompete</v>
          </cell>
          <cell r="W124" t="str">
            <v>02 Capture</v>
          </cell>
          <cell r="X124" t="str">
            <v>Priority 1</v>
          </cell>
          <cell r="Y124">
            <v>0.3</v>
          </cell>
          <cell r="Z124">
            <v>180000000</v>
          </cell>
          <cell r="AA124">
            <v>0</v>
          </cell>
          <cell r="AB124">
            <v>0</v>
          </cell>
          <cell r="AC124">
            <v>0</v>
          </cell>
          <cell r="AD124">
            <v>0</v>
          </cell>
          <cell r="AI124">
            <v>0</v>
          </cell>
          <cell r="AJ124">
            <v>0</v>
          </cell>
          <cell r="AK124">
            <v>0</v>
          </cell>
          <cell r="BB124">
            <v>36000000</v>
          </cell>
          <cell r="BC124">
            <v>36000000</v>
          </cell>
          <cell r="BD124">
            <v>36000000</v>
          </cell>
          <cell r="BE124">
            <v>36000000</v>
          </cell>
          <cell r="BI124">
            <v>0</v>
          </cell>
          <cell r="BJ124">
            <v>0</v>
          </cell>
          <cell r="BK124">
            <v>0</v>
          </cell>
          <cell r="BL124">
            <v>0</v>
          </cell>
          <cell r="BM124">
            <v>0</v>
          </cell>
          <cell r="BN124">
            <v>0</v>
          </cell>
          <cell r="BO124">
            <v>0</v>
          </cell>
          <cell r="BP124">
            <v>4770000</v>
          </cell>
          <cell r="BQ124">
            <v>10800000</v>
          </cell>
          <cell r="BR124">
            <v>15570000</v>
          </cell>
          <cell r="BT124">
            <v>22</v>
          </cell>
          <cell r="CA124" t="str">
            <v>520024 - REVTOT - Identified - Recompete</v>
          </cell>
          <cell r="CC124" t="str">
            <v>520024 - REVTOT - Identified - Recompete - MR</v>
          </cell>
          <cell r="CD124" t="str">
            <v/>
          </cell>
          <cell r="CF124" t="str">
            <v>520024 - Identified - Recompete - MR</v>
          </cell>
        </row>
        <row r="125">
          <cell r="D125">
            <v>111</v>
          </cell>
          <cell r="E125">
            <v>2</v>
          </cell>
          <cell r="F125">
            <v>3</v>
          </cell>
          <cell r="G125" t="str">
            <v>520024</v>
          </cell>
          <cell r="H125" t="str">
            <v>NAVAIR Fleet Readiness</v>
          </cell>
          <cell r="I125" t="str">
            <v>MR</v>
          </cell>
          <cell r="J125" t="str">
            <v>MR Maintenance &amp; Sustainment</v>
          </cell>
          <cell r="K125" t="str">
            <v>Navy</v>
          </cell>
          <cell r="L125" t="str">
            <v>DOD</v>
          </cell>
          <cell r="M125" t="str">
            <v>MD</v>
          </cell>
          <cell r="N125" t="str">
            <v>CONUS</v>
          </cell>
          <cell r="O125">
            <v>42846</v>
          </cell>
          <cell r="P125">
            <v>44671</v>
          </cell>
          <cell r="Q125" t="str">
            <v>Prime</v>
          </cell>
          <cell r="R125" t="str">
            <v>CPFF</v>
          </cell>
          <cell r="S125">
            <v>0</v>
          </cell>
          <cell r="T125">
            <v>1</v>
          </cell>
          <cell r="U125" t="str">
            <v>CONTRACT</v>
          </cell>
          <cell r="V125" t="str">
            <v>Base</v>
          </cell>
          <cell r="W125" t="str">
            <v>05 Won</v>
          </cell>
          <cell r="X125" t="str">
            <v>Active</v>
          </cell>
          <cell r="Y125">
            <v>1</v>
          </cell>
          <cell r="Z125">
            <v>0</v>
          </cell>
          <cell r="AA125">
            <v>19560115.606440391</v>
          </cell>
          <cell r="AB125">
            <v>81901679.050000012</v>
          </cell>
          <cell r="AC125">
            <v>0</v>
          </cell>
          <cell r="AD125">
            <v>101461794.65644041</v>
          </cell>
          <cell r="AL125">
            <v>0</v>
          </cell>
          <cell r="AM125">
            <v>0.10841249464528571</v>
          </cell>
          <cell r="AN125">
            <v>0.11374152191386139</v>
          </cell>
          <cell r="AO125">
            <v>0.1063427041659275</v>
          </cell>
          <cell r="AP125">
            <v>9.5031643908481261E-2</v>
          </cell>
          <cell r="AQ125">
            <v>9.5031643908481261E-2</v>
          </cell>
          <cell r="AR125">
            <v>9.5031643908481261E-2</v>
          </cell>
          <cell r="AS125">
            <v>9.5031643908481261E-2</v>
          </cell>
          <cell r="BF125">
            <v>0</v>
          </cell>
          <cell r="BG125">
            <v>1521323.0600000005</v>
          </cell>
          <cell r="BH125">
            <v>3657957.3600000003</v>
          </cell>
          <cell r="BI125">
            <v>928393.52000000048</v>
          </cell>
          <cell r="BJ125">
            <v>887974.3499999987</v>
          </cell>
          <cell r="BK125">
            <v>938755.39999999944</v>
          </cell>
          <cell r="BL125">
            <v>846700.64838921372</v>
          </cell>
          <cell r="BM125">
            <v>3601823.9183892123</v>
          </cell>
          <cell r="BN125">
            <v>3183400.1445219633</v>
          </cell>
          <cell r="BO125">
            <v>3183400.1445219633</v>
          </cell>
          <cell r="BP125">
            <v>1768555.6358455352</v>
          </cell>
          <cell r="BQ125">
            <v>0</v>
          </cell>
          <cell r="BR125">
            <v>11737179.843278673</v>
          </cell>
          <cell r="BT125">
            <v>22</v>
          </cell>
          <cell r="CA125" t="str">
            <v>520024 - CONTRACT - Base</v>
          </cell>
          <cell r="CC125" t="str">
            <v>520024 - CONTRACT - Base - MR</v>
          </cell>
          <cell r="CD125" t="str">
            <v/>
          </cell>
          <cell r="CF125" t="str">
            <v>520024 - Base - MR</v>
          </cell>
        </row>
        <row r="126">
          <cell r="D126">
            <v>112</v>
          </cell>
          <cell r="E126">
            <v>2</v>
          </cell>
          <cell r="F126">
            <v>4</v>
          </cell>
          <cell r="G126" t="str">
            <v>520024</v>
          </cell>
          <cell r="H126" t="str">
            <v>NAVAIR Fleet Readiness</v>
          </cell>
          <cell r="I126" t="str">
            <v>MR</v>
          </cell>
          <cell r="J126" t="str">
            <v>MR Maintenance &amp; Sustainment</v>
          </cell>
          <cell r="K126" t="str">
            <v>Navy</v>
          </cell>
          <cell r="L126" t="str">
            <v>DOD</v>
          </cell>
          <cell r="M126" t="str">
            <v>MD</v>
          </cell>
          <cell r="N126" t="str">
            <v>CONUS</v>
          </cell>
          <cell r="O126">
            <v>44672</v>
          </cell>
          <cell r="P126">
            <v>46499</v>
          </cell>
          <cell r="Q126" t="str">
            <v>Prime</v>
          </cell>
          <cell r="R126" t="str">
            <v>CPFF</v>
          </cell>
          <cell r="S126">
            <v>0</v>
          </cell>
          <cell r="T126">
            <v>1</v>
          </cell>
          <cell r="U126" t="str">
            <v>CONTRACT</v>
          </cell>
          <cell r="V126" t="str">
            <v>Identified - Recompete</v>
          </cell>
          <cell r="W126" t="str">
            <v>02 Capture</v>
          </cell>
          <cell r="X126" t="str">
            <v>Priority 1</v>
          </cell>
          <cell r="Y126">
            <v>0.3</v>
          </cell>
          <cell r="Z126">
            <v>180000000</v>
          </cell>
          <cell r="AA126">
            <v>0</v>
          </cell>
          <cell r="AB126">
            <v>0</v>
          </cell>
          <cell r="AC126">
            <v>0</v>
          </cell>
          <cell r="AD126">
            <v>0</v>
          </cell>
          <cell r="AP126">
            <v>9.5031643908481261E-2</v>
          </cell>
          <cell r="AQ126">
            <v>9.5031643908481261E-2</v>
          </cell>
          <cell r="AR126">
            <v>9.5031643908481261E-2</v>
          </cell>
          <cell r="AS126">
            <v>9.5031643908481261E-2</v>
          </cell>
          <cell r="BI126">
            <v>0</v>
          </cell>
          <cell r="BJ126">
            <v>0</v>
          </cell>
          <cell r="BK126">
            <v>0</v>
          </cell>
          <cell r="BL126">
            <v>0</v>
          </cell>
          <cell r="BM126">
            <v>0</v>
          </cell>
          <cell r="BN126">
            <v>0</v>
          </cell>
          <cell r="BO126">
            <v>0</v>
          </cell>
          <cell r="BP126">
            <v>453300.94144345564</v>
          </cell>
          <cell r="BQ126">
            <v>1026341.7542115976</v>
          </cell>
          <cell r="BR126">
            <v>1479642.6956550532</v>
          </cell>
          <cell r="BT126">
            <v>22</v>
          </cell>
          <cell r="CA126" t="str">
            <v>520024 - CONTRACT - Identified - Recompete</v>
          </cell>
          <cell r="CC126" t="str">
            <v>520024 - CONTRACT - Identified - Recompete - MR</v>
          </cell>
          <cell r="CD126" t="str">
            <v/>
          </cell>
          <cell r="CF126" t="str">
            <v>520024 - Identified - Recompete - MR</v>
          </cell>
        </row>
        <row r="127">
          <cell r="D127">
            <v>113</v>
          </cell>
          <cell r="E127">
            <v>0</v>
          </cell>
          <cell r="F127">
            <v>5</v>
          </cell>
          <cell r="G127" t="str">
            <v>520024</v>
          </cell>
          <cell r="H127" t="str">
            <v>NAVAIR Fleet Readiness</v>
          </cell>
          <cell r="I127" t="str">
            <v>MR</v>
          </cell>
          <cell r="J127" t="str">
            <v>MR Maintenance &amp; Sustainment</v>
          </cell>
          <cell r="K127" t="str">
            <v>Navy</v>
          </cell>
          <cell r="L127" t="str">
            <v>DOD</v>
          </cell>
          <cell r="M127" t="str">
            <v>MD</v>
          </cell>
          <cell r="N127" t="str">
            <v>CONUS</v>
          </cell>
          <cell r="O127">
            <v>42846</v>
          </cell>
          <cell r="P127">
            <v>44671</v>
          </cell>
          <cell r="Q127" t="str">
            <v>Prime</v>
          </cell>
          <cell r="R127" t="str">
            <v>CPFF</v>
          </cell>
          <cell r="S127">
            <v>0</v>
          </cell>
          <cell r="T127">
            <v>1</v>
          </cell>
          <cell r="U127" t="str">
            <v>EBITA</v>
          </cell>
          <cell r="V127" t="str">
            <v>Base</v>
          </cell>
          <cell r="W127" t="str">
            <v>05 Won</v>
          </cell>
          <cell r="X127" t="str">
            <v>Active</v>
          </cell>
          <cell r="Y127">
            <v>1</v>
          </cell>
          <cell r="Z127">
            <v>0</v>
          </cell>
          <cell r="AA127">
            <v>19560115.606440391</v>
          </cell>
          <cell r="AB127">
            <v>81901679.050000012</v>
          </cell>
          <cell r="AC127">
            <v>0</v>
          </cell>
          <cell r="AD127">
            <v>101461794.65644041</v>
          </cell>
          <cell r="AT127">
            <v>0</v>
          </cell>
          <cell r="AU127">
            <v>3.0726657491496643E-2</v>
          </cell>
          <cell r="AV127">
            <v>3.9572932745608774E-2</v>
          </cell>
          <cell r="AW127">
            <v>3.0591291454139552E-2</v>
          </cell>
          <cell r="AX127">
            <v>2.0846625318437118E-2</v>
          </cell>
          <cell r="AY127">
            <v>2.0846625318437118E-2</v>
          </cell>
          <cell r="AZ127">
            <v>2.0846625318437118E-2</v>
          </cell>
          <cell r="BA127">
            <v>2.0846625318437118E-2</v>
          </cell>
          <cell r="BF127">
            <v>0</v>
          </cell>
          <cell r="BG127">
            <v>431178.83000000048</v>
          </cell>
          <cell r="BH127">
            <v>1272675.9600000004</v>
          </cell>
          <cell r="BI127">
            <v>308219.84000000049</v>
          </cell>
          <cell r="BJ127">
            <v>256475.5699999987</v>
          </cell>
          <cell r="BK127">
            <v>269375.55999999942</v>
          </cell>
          <cell r="BL127">
            <v>202055.07285493525</v>
          </cell>
          <cell r="BM127">
            <v>1036126.0428549338</v>
          </cell>
          <cell r="BN127">
            <v>698326.86589551088</v>
          </cell>
          <cell r="BO127">
            <v>698326.86589551088</v>
          </cell>
          <cell r="BP127">
            <v>387959.36994195048</v>
          </cell>
          <cell r="BQ127">
            <v>0</v>
          </cell>
          <cell r="BR127">
            <v>2820739.1445879056</v>
          </cell>
          <cell r="BT127">
            <v>22</v>
          </cell>
          <cell r="CA127" t="str">
            <v>520024 - EBITA - Base</v>
          </cell>
          <cell r="CC127" t="str">
            <v>520024 - EBITA - Base - MR</v>
          </cell>
          <cell r="CD127" t="str">
            <v/>
          </cell>
          <cell r="CF127" t="str">
            <v>520024 - Base - MR</v>
          </cell>
        </row>
        <row r="128">
          <cell r="D128">
            <v>114</v>
          </cell>
          <cell r="E128">
            <v>0</v>
          </cell>
          <cell r="F128">
            <v>0</v>
          </cell>
          <cell r="G128" t="str">
            <v>520024</v>
          </cell>
          <cell r="H128" t="str">
            <v>NAVAIR Fleet Readiness</v>
          </cell>
          <cell r="I128" t="str">
            <v>MR</v>
          </cell>
          <cell r="J128" t="str">
            <v>MR Maintenance &amp; Sustainment</v>
          </cell>
          <cell r="K128" t="str">
            <v>Navy</v>
          </cell>
          <cell r="L128" t="str">
            <v>DOD</v>
          </cell>
          <cell r="M128" t="str">
            <v>MD</v>
          </cell>
          <cell r="N128" t="str">
            <v>CONUS</v>
          </cell>
          <cell r="O128">
            <v>44672</v>
          </cell>
          <cell r="P128">
            <v>46499</v>
          </cell>
          <cell r="Q128" t="str">
            <v>Prime</v>
          </cell>
          <cell r="R128" t="str">
            <v>CPFF</v>
          </cell>
          <cell r="S128">
            <v>0</v>
          </cell>
          <cell r="T128">
            <v>1</v>
          </cell>
          <cell r="U128" t="str">
            <v>EBITA</v>
          </cell>
          <cell r="V128" t="str">
            <v>Identified - Recompete</v>
          </cell>
          <cell r="W128" t="str">
            <v>02 Capture</v>
          </cell>
          <cell r="X128" t="str">
            <v>Priority 1</v>
          </cell>
          <cell r="Y128">
            <v>0.3</v>
          </cell>
          <cell r="Z128">
            <v>180000000</v>
          </cell>
          <cell r="AA128">
            <v>0</v>
          </cell>
          <cell r="AB128">
            <v>0</v>
          </cell>
          <cell r="AC128">
            <v>0</v>
          </cell>
          <cell r="AD128">
            <v>0</v>
          </cell>
          <cell r="AX128">
            <v>3.5000000000000003E-2</v>
          </cell>
          <cell r="AY128">
            <v>3.5000000000000003E-2</v>
          </cell>
          <cell r="AZ128">
            <v>3.5000000000000003E-2</v>
          </cell>
          <cell r="BA128">
            <v>3.5000000000000003E-2</v>
          </cell>
          <cell r="BI128">
            <v>0</v>
          </cell>
          <cell r="BJ128">
            <v>0</v>
          </cell>
          <cell r="BK128">
            <v>0</v>
          </cell>
          <cell r="BL128">
            <v>0</v>
          </cell>
          <cell r="BM128">
            <v>0</v>
          </cell>
          <cell r="BN128">
            <v>0</v>
          </cell>
          <cell r="BO128">
            <v>0</v>
          </cell>
          <cell r="BP128">
            <v>166950.00000000003</v>
          </cell>
          <cell r="BQ128">
            <v>378000.00000000006</v>
          </cell>
          <cell r="BR128">
            <v>544950.00000000012</v>
          </cell>
          <cell r="BT128">
            <v>22</v>
          </cell>
          <cell r="CA128" t="str">
            <v>520024 - EBITA - Identified - Recompete</v>
          </cell>
          <cell r="CC128" t="str">
            <v>520024 - EBITA - Identified - Recompete - MR</v>
          </cell>
          <cell r="CD128" t="str">
            <v/>
          </cell>
          <cell r="CF128" t="str">
            <v>520024 - Identified - Recompete - MR</v>
          </cell>
        </row>
        <row r="129">
          <cell r="D129">
            <v>115</v>
          </cell>
          <cell r="E129">
            <v>1</v>
          </cell>
          <cell r="F129">
            <v>1</v>
          </cell>
          <cell r="G129" t="str">
            <v>C26CLS</v>
          </cell>
          <cell r="H129" t="str">
            <v>C26 CLS</v>
          </cell>
          <cell r="I129" t="str">
            <v>MR</v>
          </cell>
          <cell r="J129" t="str">
            <v>MR Logistics &amp; Supply</v>
          </cell>
          <cell r="K129" t="str">
            <v>Air Force</v>
          </cell>
          <cell r="L129" t="str">
            <v>DOD</v>
          </cell>
          <cell r="M129" t="str">
            <v>US_State</v>
          </cell>
          <cell r="N129" t="str">
            <v>CONUS</v>
          </cell>
          <cell r="O129">
            <v>43466</v>
          </cell>
          <cell r="P129">
            <v>47026</v>
          </cell>
          <cell r="Q129" t="str">
            <v>Prime</v>
          </cell>
          <cell r="R129" t="str">
            <v>FFP</v>
          </cell>
          <cell r="S129">
            <v>0</v>
          </cell>
          <cell r="T129">
            <v>1</v>
          </cell>
          <cell r="U129" t="str">
            <v>REVTOT</v>
          </cell>
          <cell r="V129" t="str">
            <v>Base</v>
          </cell>
          <cell r="W129" t="str">
            <v>05 Won</v>
          </cell>
          <cell r="X129" t="str">
            <v>Active</v>
          </cell>
          <cell r="Y129">
            <v>1</v>
          </cell>
          <cell r="Z129">
            <v>0</v>
          </cell>
          <cell r="AA129">
            <v>4497367.4700000016</v>
          </cell>
          <cell r="AB129">
            <v>78661727.11999999</v>
          </cell>
          <cell r="AC129">
            <v>0</v>
          </cell>
          <cell r="AD129">
            <v>83159094.589999989</v>
          </cell>
          <cell r="AE129">
            <v>0</v>
          </cell>
          <cell r="AF129">
            <v>0</v>
          </cell>
          <cell r="AG129">
            <v>0</v>
          </cell>
          <cell r="AH129">
            <v>0.61302241935766077</v>
          </cell>
          <cell r="AI129">
            <v>0</v>
          </cell>
          <cell r="AJ129">
            <v>0</v>
          </cell>
          <cell r="AK129">
            <v>0</v>
          </cell>
          <cell r="BB129">
            <v>13000000</v>
          </cell>
          <cell r="BC129">
            <v>13000000</v>
          </cell>
          <cell r="BD129">
            <v>13000000</v>
          </cell>
          <cell r="BE129">
            <v>13000000</v>
          </cell>
          <cell r="BF129">
            <v>0</v>
          </cell>
          <cell r="BG129">
            <v>0</v>
          </cell>
          <cell r="BH129">
            <v>0</v>
          </cell>
          <cell r="BI129">
            <v>0</v>
          </cell>
          <cell r="BJ129">
            <v>1641283.35</v>
          </cell>
          <cell r="BK129">
            <v>1975781.5699999998</v>
          </cell>
          <cell r="BL129">
            <v>4442339.49</v>
          </cell>
          <cell r="BM129">
            <v>8059404.4100000001</v>
          </cell>
          <cell r="BN129">
            <v>13000000</v>
          </cell>
          <cell r="BO129">
            <v>13000000</v>
          </cell>
          <cell r="BP129">
            <v>13000000</v>
          </cell>
          <cell r="BQ129">
            <v>13000000</v>
          </cell>
          <cell r="BR129">
            <v>60059404.409999996</v>
          </cell>
          <cell r="BT129">
            <v>23</v>
          </cell>
          <cell r="CA129" t="str">
            <v>C26CLS - REVTOT - Base</v>
          </cell>
          <cell r="CC129" t="str">
            <v>C26CLS - REVTOT - Base - MR</v>
          </cell>
          <cell r="CD129" t="str">
            <v>C26CLS - REVTOT - Base - MR</v>
          </cell>
          <cell r="CF129" t="str">
            <v>C26CLS - Base - MR</v>
          </cell>
        </row>
        <row r="130">
          <cell r="D130">
            <v>116</v>
          </cell>
          <cell r="E130">
            <v>1</v>
          </cell>
          <cell r="F130">
            <v>2</v>
          </cell>
          <cell r="G130" t="str">
            <v>C26CLS</v>
          </cell>
          <cell r="H130" t="str">
            <v>C26 CLS</v>
          </cell>
          <cell r="I130" t="str">
            <v>MR</v>
          </cell>
          <cell r="J130" t="str">
            <v>MR Logistics &amp; Supply</v>
          </cell>
          <cell r="K130" t="str">
            <v>Air Force</v>
          </cell>
          <cell r="L130" t="str">
            <v>DOD</v>
          </cell>
          <cell r="M130" t="str">
            <v>US_State</v>
          </cell>
          <cell r="N130" t="str">
            <v>CONUS</v>
          </cell>
          <cell r="O130">
            <v>0</v>
          </cell>
          <cell r="P130">
            <v>0</v>
          </cell>
          <cell r="Q130">
            <v>0</v>
          </cell>
          <cell r="R130" t="str">
            <v>FFP</v>
          </cell>
          <cell r="S130">
            <v>0</v>
          </cell>
          <cell r="T130">
            <v>1</v>
          </cell>
          <cell r="U130" t="str">
            <v>REVTOT</v>
          </cell>
          <cell r="V130" t="str">
            <v>Identified - Recompete</v>
          </cell>
          <cell r="W130">
            <v>0</v>
          </cell>
          <cell r="X130">
            <v>0</v>
          </cell>
          <cell r="Y130">
            <v>0</v>
          </cell>
          <cell r="Z130">
            <v>0</v>
          </cell>
          <cell r="AA130">
            <v>0</v>
          </cell>
          <cell r="AB130">
            <v>0</v>
          </cell>
          <cell r="AC130">
            <v>0</v>
          </cell>
          <cell r="AD130">
            <v>0</v>
          </cell>
          <cell r="AI130">
            <v>0</v>
          </cell>
          <cell r="AJ130">
            <v>0</v>
          </cell>
          <cell r="AK130">
            <v>0</v>
          </cell>
          <cell r="BB130">
            <v>0</v>
          </cell>
          <cell r="BC130">
            <v>0</v>
          </cell>
          <cell r="BD130">
            <v>0</v>
          </cell>
          <cell r="BE130">
            <v>0</v>
          </cell>
          <cell r="BI130">
            <v>0</v>
          </cell>
          <cell r="BJ130">
            <v>0</v>
          </cell>
          <cell r="BK130">
            <v>0</v>
          </cell>
          <cell r="BL130">
            <v>0</v>
          </cell>
          <cell r="BM130">
            <v>0</v>
          </cell>
          <cell r="BN130">
            <v>0</v>
          </cell>
          <cell r="BO130">
            <v>0</v>
          </cell>
          <cell r="BP130">
            <v>0</v>
          </cell>
          <cell r="BQ130">
            <v>0</v>
          </cell>
          <cell r="BR130">
            <v>0</v>
          </cell>
          <cell r="BT130">
            <v>23</v>
          </cell>
          <cell r="CA130" t="str">
            <v>C26CLS - REVTOT - Identified - Recompete</v>
          </cell>
          <cell r="CC130" t="str">
            <v>C26CLS - REVTOT - Identified - Recompete - MR</v>
          </cell>
          <cell r="CD130" t="str">
            <v/>
          </cell>
          <cell r="CF130" t="str">
            <v>C26CLS - Identified - Recompete - MR</v>
          </cell>
        </row>
        <row r="131">
          <cell r="D131">
            <v>117</v>
          </cell>
          <cell r="E131">
            <v>2</v>
          </cell>
          <cell r="F131">
            <v>3</v>
          </cell>
          <cell r="G131" t="str">
            <v>C26CLS</v>
          </cell>
          <cell r="H131" t="str">
            <v>C26 CLS</v>
          </cell>
          <cell r="I131" t="str">
            <v>MR</v>
          </cell>
          <cell r="J131" t="str">
            <v>MR Logistics &amp; Supply</v>
          </cell>
          <cell r="K131" t="str">
            <v>Air Force</v>
          </cell>
          <cell r="L131" t="str">
            <v>DOD</v>
          </cell>
          <cell r="M131" t="str">
            <v>US_State</v>
          </cell>
          <cell r="N131" t="str">
            <v>CONUS</v>
          </cell>
          <cell r="O131">
            <v>43466</v>
          </cell>
          <cell r="P131">
            <v>47026</v>
          </cell>
          <cell r="Q131" t="str">
            <v>Prime</v>
          </cell>
          <cell r="R131" t="str">
            <v>FFP</v>
          </cell>
          <cell r="S131">
            <v>0</v>
          </cell>
          <cell r="T131">
            <v>1</v>
          </cell>
          <cell r="U131" t="str">
            <v>CONTRACT</v>
          </cell>
          <cell r="V131" t="str">
            <v>Base</v>
          </cell>
          <cell r="W131" t="str">
            <v>05 Won</v>
          </cell>
          <cell r="X131" t="str">
            <v>Active</v>
          </cell>
          <cell r="Y131">
            <v>1</v>
          </cell>
          <cell r="Z131">
            <v>0</v>
          </cell>
          <cell r="AA131">
            <v>4497367.4700000016</v>
          </cell>
          <cell r="AB131">
            <v>78661727.11999999</v>
          </cell>
          <cell r="AC131">
            <v>0</v>
          </cell>
          <cell r="AD131">
            <v>83159094.589999989</v>
          </cell>
          <cell r="AL131">
            <v>0</v>
          </cell>
          <cell r="AM131">
            <v>0</v>
          </cell>
          <cell r="AN131">
            <v>0</v>
          </cell>
          <cell r="AO131">
            <v>0.20144673817156172</v>
          </cell>
          <cell r="AP131">
            <v>0.17948729310274847</v>
          </cell>
          <cell r="AQ131">
            <v>0.17948729310274847</v>
          </cell>
          <cell r="AR131">
            <v>0.17948729310274847</v>
          </cell>
          <cell r="AS131">
            <v>0.17948729310274847</v>
          </cell>
          <cell r="BF131">
            <v>0</v>
          </cell>
          <cell r="BG131">
            <v>0</v>
          </cell>
          <cell r="BH131">
            <v>0</v>
          </cell>
          <cell r="BI131">
            <v>0</v>
          </cell>
          <cell r="BJ131">
            <v>129267.37999999995</v>
          </cell>
          <cell r="BK131">
            <v>646843.19999999995</v>
          </cell>
          <cell r="BL131">
            <v>847430.15000000026</v>
          </cell>
          <cell r="BM131">
            <v>1623540.73</v>
          </cell>
          <cell r="BN131">
            <v>2333334.8103357302</v>
          </cell>
          <cell r="BO131">
            <v>2333334.8103357302</v>
          </cell>
          <cell r="BP131">
            <v>2333334.8103357302</v>
          </cell>
          <cell r="BQ131">
            <v>2333334.8103357302</v>
          </cell>
          <cell r="BR131">
            <v>10956879.971342921</v>
          </cell>
          <cell r="BT131">
            <v>23</v>
          </cell>
          <cell r="CA131" t="str">
            <v>C26CLS - CONTRACT - Base</v>
          </cell>
          <cell r="CC131" t="str">
            <v>C26CLS - CONTRACT - Base - MR</v>
          </cell>
          <cell r="CD131" t="str">
            <v/>
          </cell>
          <cell r="CF131" t="str">
            <v>C26CLS - Base - MR</v>
          </cell>
        </row>
        <row r="132">
          <cell r="D132">
            <v>118</v>
          </cell>
          <cell r="E132">
            <v>2</v>
          </cell>
          <cell r="F132">
            <v>4</v>
          </cell>
          <cell r="G132" t="str">
            <v>C26CLS</v>
          </cell>
          <cell r="H132" t="str">
            <v>C26 CLS</v>
          </cell>
          <cell r="I132" t="str">
            <v>MR</v>
          </cell>
          <cell r="J132" t="str">
            <v>MR Logistics &amp; Supply</v>
          </cell>
          <cell r="K132" t="str">
            <v>Air Force</v>
          </cell>
          <cell r="L132" t="str">
            <v>DOD</v>
          </cell>
          <cell r="M132" t="str">
            <v>US_State</v>
          </cell>
          <cell r="N132" t="str">
            <v>CONUS</v>
          </cell>
          <cell r="O132">
            <v>0</v>
          </cell>
          <cell r="P132">
            <v>0</v>
          </cell>
          <cell r="Q132">
            <v>0</v>
          </cell>
          <cell r="R132" t="str">
            <v>FFP</v>
          </cell>
          <cell r="S132">
            <v>0</v>
          </cell>
          <cell r="T132">
            <v>1</v>
          </cell>
          <cell r="U132" t="str">
            <v>CONTRACT</v>
          </cell>
          <cell r="V132" t="str">
            <v>Identified - Recompete</v>
          </cell>
          <cell r="W132">
            <v>0</v>
          </cell>
          <cell r="X132">
            <v>0</v>
          </cell>
          <cell r="Y132">
            <v>0</v>
          </cell>
          <cell r="Z132">
            <v>0</v>
          </cell>
          <cell r="AA132">
            <v>0</v>
          </cell>
          <cell r="AB132">
            <v>0</v>
          </cell>
          <cell r="AC132">
            <v>0</v>
          </cell>
          <cell r="AD132">
            <v>0</v>
          </cell>
          <cell r="AP132">
            <v>0.17948729310274847</v>
          </cell>
          <cell r="AQ132">
            <v>0.17948729310274847</v>
          </cell>
          <cell r="AR132">
            <v>0.17948729310274847</v>
          </cell>
          <cell r="AS132">
            <v>0.17948729310274847</v>
          </cell>
          <cell r="BI132">
            <v>0</v>
          </cell>
          <cell r="BJ132">
            <v>0</v>
          </cell>
          <cell r="BK132">
            <v>0</v>
          </cell>
          <cell r="BL132">
            <v>0</v>
          </cell>
          <cell r="BM132">
            <v>0</v>
          </cell>
          <cell r="BN132">
            <v>0</v>
          </cell>
          <cell r="BO132">
            <v>0</v>
          </cell>
          <cell r="BP132">
            <v>0</v>
          </cell>
          <cell r="BQ132">
            <v>0</v>
          </cell>
          <cell r="BR132">
            <v>0</v>
          </cell>
          <cell r="BT132">
            <v>23</v>
          </cell>
          <cell r="CA132" t="str">
            <v>C26CLS - CONTRACT - Identified - Recompete</v>
          </cell>
          <cell r="CC132" t="str">
            <v>C26CLS - CONTRACT - Identified - Recompete - MR</v>
          </cell>
          <cell r="CD132" t="str">
            <v/>
          </cell>
          <cell r="CF132" t="str">
            <v>C26CLS - Identified - Recompete - MR</v>
          </cell>
        </row>
        <row r="133">
          <cell r="D133">
            <v>119</v>
          </cell>
          <cell r="E133">
            <v>0</v>
          </cell>
          <cell r="F133">
            <v>5</v>
          </cell>
          <cell r="G133" t="str">
            <v>C26CLS</v>
          </cell>
          <cell r="H133" t="str">
            <v>C26 CLS</v>
          </cell>
          <cell r="I133" t="str">
            <v>MR</v>
          </cell>
          <cell r="J133" t="str">
            <v>MR Logistics &amp; Supply</v>
          </cell>
          <cell r="K133" t="str">
            <v>Air Force</v>
          </cell>
          <cell r="L133" t="str">
            <v>DOD</v>
          </cell>
          <cell r="M133" t="str">
            <v>US_State</v>
          </cell>
          <cell r="N133" t="str">
            <v>CONUS</v>
          </cell>
          <cell r="O133">
            <v>43466</v>
          </cell>
          <cell r="P133">
            <v>47026</v>
          </cell>
          <cell r="Q133" t="str">
            <v>Prime</v>
          </cell>
          <cell r="R133" t="str">
            <v>FFP</v>
          </cell>
          <cell r="S133">
            <v>0</v>
          </cell>
          <cell r="T133">
            <v>1</v>
          </cell>
          <cell r="U133" t="str">
            <v>EBITA</v>
          </cell>
          <cell r="V133" t="str">
            <v>Base</v>
          </cell>
          <cell r="W133" t="str">
            <v>05 Won</v>
          </cell>
          <cell r="X133" t="str">
            <v>Active</v>
          </cell>
          <cell r="Y133">
            <v>1</v>
          </cell>
          <cell r="Z133">
            <v>0</v>
          </cell>
          <cell r="AA133">
            <v>4497367.4700000016</v>
          </cell>
          <cell r="AB133">
            <v>78661727.11999999</v>
          </cell>
          <cell r="AC133">
            <v>0</v>
          </cell>
          <cell r="AD133">
            <v>83159094.589999989</v>
          </cell>
          <cell r="AT133">
            <v>0</v>
          </cell>
          <cell r="AU133">
            <v>0</v>
          </cell>
          <cell r="AV133">
            <v>0</v>
          </cell>
          <cell r="AW133">
            <v>4.0834939315323428E-2</v>
          </cell>
          <cell r="AX133">
            <v>5.1173137447566727E-2</v>
          </cell>
          <cell r="AY133">
            <v>5.2173137447566728E-2</v>
          </cell>
          <cell r="AZ133">
            <v>5.3173137447566729E-2</v>
          </cell>
          <cell r="BA133">
            <v>5.417313744756673E-2</v>
          </cell>
          <cell r="BF133">
            <v>0</v>
          </cell>
          <cell r="BG133">
            <v>0</v>
          </cell>
          <cell r="BH133">
            <v>0</v>
          </cell>
          <cell r="BI133">
            <v>0</v>
          </cell>
          <cell r="BJ133">
            <v>-8756.6200000000536</v>
          </cell>
          <cell r="BK133">
            <v>29343.58999999988</v>
          </cell>
          <cell r="BL133">
            <v>308518.32000000024</v>
          </cell>
          <cell r="BM133">
            <v>329105.29000000004</v>
          </cell>
          <cell r="BN133">
            <v>665250.78681836743</v>
          </cell>
          <cell r="BO133">
            <v>678250.78681836743</v>
          </cell>
          <cell r="BP133">
            <v>691250.78681836743</v>
          </cell>
          <cell r="BQ133">
            <v>704250.78681836755</v>
          </cell>
          <cell r="BR133">
            <v>3068108.4372734698</v>
          </cell>
          <cell r="BT133">
            <v>23</v>
          </cell>
          <cell r="CA133" t="str">
            <v>C26CLS - EBITA - Base</v>
          </cell>
          <cell r="CC133" t="str">
            <v>C26CLS - EBITA - Base - MR</v>
          </cell>
          <cell r="CD133" t="str">
            <v/>
          </cell>
          <cell r="CF133" t="str">
            <v>C26CLS - Base - MR</v>
          </cell>
        </row>
        <row r="134">
          <cell r="D134">
            <v>120</v>
          </cell>
          <cell r="E134">
            <v>0</v>
          </cell>
          <cell r="F134">
            <v>0</v>
          </cell>
          <cell r="G134" t="str">
            <v>C26CLS</v>
          </cell>
          <cell r="H134" t="str">
            <v>C26 CLS</v>
          </cell>
          <cell r="I134" t="str">
            <v>MR</v>
          </cell>
          <cell r="J134" t="str">
            <v>MR Logistics &amp; Supply</v>
          </cell>
          <cell r="K134" t="str">
            <v>Air Force</v>
          </cell>
          <cell r="L134" t="str">
            <v>DOD</v>
          </cell>
          <cell r="M134" t="str">
            <v>US_State</v>
          </cell>
          <cell r="N134" t="str">
            <v>CONUS</v>
          </cell>
          <cell r="O134">
            <v>0</v>
          </cell>
          <cell r="P134">
            <v>0</v>
          </cell>
          <cell r="Q134">
            <v>0</v>
          </cell>
          <cell r="R134" t="str">
            <v>FFP</v>
          </cell>
          <cell r="S134">
            <v>0</v>
          </cell>
          <cell r="T134">
            <v>1</v>
          </cell>
          <cell r="U134" t="str">
            <v>EBITA</v>
          </cell>
          <cell r="V134" t="str">
            <v>Identified - Recompete</v>
          </cell>
          <cell r="W134">
            <v>0</v>
          </cell>
          <cell r="X134">
            <v>0</v>
          </cell>
          <cell r="Y134">
            <v>0</v>
          </cell>
          <cell r="Z134">
            <v>0</v>
          </cell>
          <cell r="AA134">
            <v>0</v>
          </cell>
          <cell r="AB134">
            <v>0</v>
          </cell>
          <cell r="AC134">
            <v>0</v>
          </cell>
          <cell r="AD134">
            <v>0</v>
          </cell>
          <cell r="AX134">
            <v>5.1173137447566727E-2</v>
          </cell>
          <cell r="AY134">
            <v>5.2173137447566728E-2</v>
          </cell>
          <cell r="AZ134">
            <v>5.3173137447566729E-2</v>
          </cell>
          <cell r="BA134">
            <v>5.417313744756673E-2</v>
          </cell>
          <cell r="BI134">
            <v>0</v>
          </cell>
          <cell r="BJ134">
            <v>0</v>
          </cell>
          <cell r="BK134">
            <v>0</v>
          </cell>
          <cell r="BL134">
            <v>0</v>
          </cell>
          <cell r="BM134">
            <v>0</v>
          </cell>
          <cell r="BN134">
            <v>0</v>
          </cell>
          <cell r="BO134">
            <v>0</v>
          </cell>
          <cell r="BP134">
            <v>0</v>
          </cell>
          <cell r="BQ134">
            <v>0</v>
          </cell>
          <cell r="BR134">
            <v>0</v>
          </cell>
          <cell r="BT134">
            <v>23</v>
          </cell>
          <cell r="CA134" t="str">
            <v>C26CLS - EBITA - Identified - Recompete</v>
          </cell>
          <cell r="CC134" t="str">
            <v>C26CLS - EBITA - Identified - Recompete - MR</v>
          </cell>
          <cell r="CD134" t="str">
            <v/>
          </cell>
          <cell r="CF134" t="str">
            <v>C26CLS - Identified - Recompete - MR</v>
          </cell>
        </row>
        <row r="135">
          <cell r="D135">
            <v>121</v>
          </cell>
          <cell r="E135">
            <v>1</v>
          </cell>
          <cell r="F135">
            <v>1</v>
          </cell>
          <cell r="G135" t="str">
            <v>PREDTR</v>
          </cell>
          <cell r="H135" t="str">
            <v>Predator UAS Ops</v>
          </cell>
          <cell r="I135" t="str">
            <v>MR</v>
          </cell>
          <cell r="J135" t="str">
            <v>MR Warfighter Support</v>
          </cell>
          <cell r="K135" t="str">
            <v>Air Force</v>
          </cell>
          <cell r="L135" t="str">
            <v>DOD</v>
          </cell>
          <cell r="M135" t="str">
            <v>US_State</v>
          </cell>
          <cell r="N135" t="str">
            <v>CONUS</v>
          </cell>
          <cell r="O135">
            <v>41290</v>
          </cell>
          <cell r="P135">
            <v>44469</v>
          </cell>
          <cell r="Q135" t="str">
            <v>Prime</v>
          </cell>
          <cell r="R135" t="str">
            <v>T&amp;M</v>
          </cell>
          <cell r="S135">
            <v>0</v>
          </cell>
          <cell r="T135">
            <v>1</v>
          </cell>
          <cell r="U135" t="str">
            <v>REVTOT</v>
          </cell>
          <cell r="V135" t="str">
            <v>Base</v>
          </cell>
          <cell r="W135" t="str">
            <v>05 Won</v>
          </cell>
          <cell r="X135" t="str">
            <v>Active</v>
          </cell>
          <cell r="Y135">
            <v>1</v>
          </cell>
          <cell r="Z135">
            <v>0</v>
          </cell>
          <cell r="AA135">
            <v>15754938.960000014</v>
          </cell>
          <cell r="AB135">
            <v>0</v>
          </cell>
          <cell r="AC135">
            <v>0</v>
          </cell>
          <cell r="AD135">
            <v>15754938.960000014</v>
          </cell>
          <cell r="AE135">
            <v>-2.3029408682357255E-2</v>
          </cell>
          <cell r="AF135">
            <v>-0.15533162127094668</v>
          </cell>
          <cell r="AG135">
            <v>-0.53793144522645076</v>
          </cell>
          <cell r="AH135">
            <v>0.27739380745452058</v>
          </cell>
          <cell r="AI135">
            <v>0</v>
          </cell>
          <cell r="AJ135">
            <v>0</v>
          </cell>
          <cell r="AK135">
            <v>0</v>
          </cell>
          <cell r="BB135">
            <v>11502040.228399381</v>
          </cell>
          <cell r="BC135">
            <v>11502040.228399381</v>
          </cell>
          <cell r="BD135">
            <v>11502040.228399381</v>
          </cell>
          <cell r="BE135">
            <v>11502040.228399381</v>
          </cell>
          <cell r="BF135">
            <v>23614346.659999996</v>
          </cell>
          <cell r="BG135">
            <v>23070522.219999999</v>
          </cell>
          <cell r="BH135">
            <v>19486940.599999998</v>
          </cell>
          <cell r="BI135">
            <v>3543243.9299999997</v>
          </cell>
          <cell r="BJ135">
            <v>2459129.19</v>
          </cell>
          <cell r="BK135">
            <v>1434715.01</v>
          </cell>
          <cell r="BL135">
            <v>1567214.35</v>
          </cell>
          <cell r="BM135">
            <v>9004302.4799999986</v>
          </cell>
          <cell r="BN135">
            <v>11502040.228399381</v>
          </cell>
          <cell r="BO135">
            <v>4252898.7316006329</v>
          </cell>
          <cell r="BP135">
            <v>0</v>
          </cell>
          <cell r="BQ135">
            <v>0</v>
          </cell>
          <cell r="BR135">
            <v>24759241.440000013</v>
          </cell>
          <cell r="BT135">
            <v>24</v>
          </cell>
          <cell r="CA135" t="str">
            <v>PREDTR - REVTOT - Base</v>
          </cell>
          <cell r="CC135" t="str">
            <v>PREDTR - REVTOT - Base - MR</v>
          </cell>
          <cell r="CD135" t="str">
            <v>PREDTR - REVTOT - Base - MR</v>
          </cell>
          <cell r="CF135" t="str">
            <v>PREDTR - Base - MR</v>
          </cell>
        </row>
        <row r="136">
          <cell r="D136">
            <v>122</v>
          </cell>
          <cell r="E136">
            <v>1</v>
          </cell>
          <cell r="F136">
            <v>2</v>
          </cell>
          <cell r="G136" t="str">
            <v>PREDTR</v>
          </cell>
          <cell r="H136" t="str">
            <v>Predator UAS Ops</v>
          </cell>
          <cell r="I136" t="str">
            <v>MR</v>
          </cell>
          <cell r="J136" t="str">
            <v>MR Warfighter Support</v>
          </cell>
          <cell r="K136" t="str">
            <v>Air Force</v>
          </cell>
          <cell r="L136" t="str">
            <v>DOD</v>
          </cell>
          <cell r="M136" t="str">
            <v>US_State</v>
          </cell>
          <cell r="N136" t="str">
            <v>CONUS</v>
          </cell>
          <cell r="O136">
            <v>0</v>
          </cell>
          <cell r="P136">
            <v>0</v>
          </cell>
          <cell r="Q136">
            <v>0</v>
          </cell>
          <cell r="R136" t="str">
            <v>T&amp;M</v>
          </cell>
          <cell r="S136">
            <v>0</v>
          </cell>
          <cell r="T136">
            <v>1</v>
          </cell>
          <cell r="U136" t="str">
            <v>REVTOT</v>
          </cell>
          <cell r="V136" t="str">
            <v>Identified - Recompete</v>
          </cell>
          <cell r="W136">
            <v>0</v>
          </cell>
          <cell r="X136">
            <v>0</v>
          </cell>
          <cell r="Y136">
            <v>0</v>
          </cell>
          <cell r="Z136">
            <v>0</v>
          </cell>
          <cell r="AA136">
            <v>0</v>
          </cell>
          <cell r="AB136">
            <v>0</v>
          </cell>
          <cell r="AC136">
            <v>0</v>
          </cell>
          <cell r="AD136">
            <v>0</v>
          </cell>
          <cell r="AI136">
            <v>0</v>
          </cell>
          <cell r="AJ136">
            <v>0</v>
          </cell>
          <cell r="AK136">
            <v>0</v>
          </cell>
          <cell r="BB136">
            <v>0</v>
          </cell>
          <cell r="BC136">
            <v>0</v>
          </cell>
          <cell r="BD136">
            <v>0</v>
          </cell>
          <cell r="BE136">
            <v>0</v>
          </cell>
          <cell r="BI136">
            <v>0</v>
          </cell>
          <cell r="BJ136">
            <v>0</v>
          </cell>
          <cell r="BK136">
            <v>0</v>
          </cell>
          <cell r="BL136">
            <v>0</v>
          </cell>
          <cell r="BM136">
            <v>0</v>
          </cell>
          <cell r="BN136">
            <v>0</v>
          </cell>
          <cell r="BO136">
            <v>0</v>
          </cell>
          <cell r="BP136">
            <v>0</v>
          </cell>
          <cell r="BQ136">
            <v>0</v>
          </cell>
          <cell r="BR136">
            <v>0</v>
          </cell>
          <cell r="BT136">
            <v>24</v>
          </cell>
          <cell r="CA136" t="str">
            <v>PREDTR - REVTOT - Identified - Recompete</v>
          </cell>
          <cell r="CC136" t="str">
            <v>PREDTR - REVTOT - Identified - Recompete - MR</v>
          </cell>
          <cell r="CD136" t="str">
            <v/>
          </cell>
          <cell r="CF136" t="str">
            <v>PREDTR - Identified - Recompete - MR</v>
          </cell>
        </row>
        <row r="137">
          <cell r="D137">
            <v>123</v>
          </cell>
          <cell r="E137">
            <v>2</v>
          </cell>
          <cell r="F137">
            <v>3</v>
          </cell>
          <cell r="G137" t="str">
            <v>PREDTR</v>
          </cell>
          <cell r="H137" t="str">
            <v>Predator UAS Ops</v>
          </cell>
          <cell r="I137" t="str">
            <v>MR</v>
          </cell>
          <cell r="J137" t="str">
            <v>MR Warfighter Support</v>
          </cell>
          <cell r="K137" t="str">
            <v>Air Force</v>
          </cell>
          <cell r="L137" t="str">
            <v>DOD</v>
          </cell>
          <cell r="M137" t="str">
            <v>US_State</v>
          </cell>
          <cell r="N137" t="str">
            <v>CONUS</v>
          </cell>
          <cell r="O137">
            <v>41290</v>
          </cell>
          <cell r="P137">
            <v>44469</v>
          </cell>
          <cell r="Q137" t="str">
            <v>Prime</v>
          </cell>
          <cell r="R137" t="str">
            <v>T&amp;M</v>
          </cell>
          <cell r="S137">
            <v>0</v>
          </cell>
          <cell r="T137">
            <v>1</v>
          </cell>
          <cell r="U137" t="str">
            <v>CONTRACT</v>
          </cell>
          <cell r="V137" t="str">
            <v>Base</v>
          </cell>
          <cell r="W137" t="str">
            <v>05 Won</v>
          </cell>
          <cell r="X137" t="str">
            <v>Active</v>
          </cell>
          <cell r="Y137">
            <v>1</v>
          </cell>
          <cell r="Z137">
            <v>0</v>
          </cell>
          <cell r="AA137">
            <v>15754938.960000014</v>
          </cell>
          <cell r="AB137">
            <v>0</v>
          </cell>
          <cell r="AC137">
            <v>0</v>
          </cell>
          <cell r="AD137">
            <v>15754938.960000014</v>
          </cell>
          <cell r="AL137">
            <v>0.1750213236684991</v>
          </cell>
          <cell r="AM137">
            <v>0.17936402264933213</v>
          </cell>
          <cell r="AN137">
            <v>0.19965364239884836</v>
          </cell>
          <cell r="AO137">
            <v>0.22688525202676224</v>
          </cell>
          <cell r="AP137">
            <v>0.22896545274610525</v>
          </cell>
          <cell r="AQ137">
            <v>0.22896545274610525</v>
          </cell>
          <cell r="AR137">
            <v>0.22896545274610525</v>
          </cell>
          <cell r="AS137">
            <v>0.22896545274610525</v>
          </cell>
          <cell r="BF137">
            <v>4133014.21</v>
          </cell>
          <cell r="BG137">
            <v>4138021.67</v>
          </cell>
          <cell r="BH137">
            <v>3890638.669999999</v>
          </cell>
          <cell r="BI137">
            <v>747374.44000000029</v>
          </cell>
          <cell r="BJ137">
            <v>574921.20999999985</v>
          </cell>
          <cell r="BK137">
            <v>312149.02999999997</v>
          </cell>
          <cell r="BL137">
            <v>408498.75749999989</v>
          </cell>
          <cell r="BM137">
            <v>2042943.4375</v>
          </cell>
          <cell r="BN137">
            <v>2633569.8483993802</v>
          </cell>
          <cell r="BO137">
            <v>973766.88356427569</v>
          </cell>
          <cell r="BP137">
            <v>0</v>
          </cell>
          <cell r="BQ137">
            <v>0</v>
          </cell>
          <cell r="BR137">
            <v>5650280.1694636559</v>
          </cell>
          <cell r="BT137">
            <v>24</v>
          </cell>
          <cell r="CA137" t="str">
            <v>PREDTR - CONTRACT - Base</v>
          </cell>
          <cell r="CC137" t="str">
            <v>PREDTR - CONTRACT - Base - MR</v>
          </cell>
          <cell r="CD137" t="str">
            <v/>
          </cell>
          <cell r="CF137" t="str">
            <v>PREDTR - Base - MR</v>
          </cell>
        </row>
        <row r="138">
          <cell r="D138">
            <v>124</v>
          </cell>
          <cell r="E138">
            <v>2</v>
          </cell>
          <cell r="F138">
            <v>4</v>
          </cell>
          <cell r="G138" t="str">
            <v>PREDTR</v>
          </cell>
          <cell r="H138" t="str">
            <v>Predator UAS Ops</v>
          </cell>
          <cell r="I138" t="str">
            <v>MR</v>
          </cell>
          <cell r="J138" t="str">
            <v>MR Warfighter Support</v>
          </cell>
          <cell r="K138" t="str">
            <v>Air Force</v>
          </cell>
          <cell r="L138" t="str">
            <v>DOD</v>
          </cell>
          <cell r="M138" t="str">
            <v>US_State</v>
          </cell>
          <cell r="N138" t="str">
            <v>CONUS</v>
          </cell>
          <cell r="O138">
            <v>0</v>
          </cell>
          <cell r="P138">
            <v>0</v>
          </cell>
          <cell r="Q138">
            <v>0</v>
          </cell>
          <cell r="R138" t="str">
            <v>T&amp;M</v>
          </cell>
          <cell r="S138">
            <v>0</v>
          </cell>
          <cell r="T138">
            <v>1</v>
          </cell>
          <cell r="U138" t="str">
            <v>CONTRACT</v>
          </cell>
          <cell r="V138" t="str">
            <v>Identified - Recompete</v>
          </cell>
          <cell r="W138">
            <v>0</v>
          </cell>
          <cell r="X138">
            <v>0</v>
          </cell>
          <cell r="Y138">
            <v>0</v>
          </cell>
          <cell r="Z138">
            <v>0</v>
          </cell>
          <cell r="AA138">
            <v>0</v>
          </cell>
          <cell r="AB138">
            <v>0</v>
          </cell>
          <cell r="AC138">
            <v>0</v>
          </cell>
          <cell r="AD138">
            <v>0</v>
          </cell>
          <cell r="AP138">
            <v>0.22896545274610525</v>
          </cell>
          <cell r="AQ138">
            <v>0.22896545274610525</v>
          </cell>
          <cell r="AR138">
            <v>0.22896545274610525</v>
          </cell>
          <cell r="AS138">
            <v>0.22896545274610525</v>
          </cell>
          <cell r="BI138">
            <v>0</v>
          </cell>
          <cell r="BJ138">
            <v>0</v>
          </cell>
          <cell r="BK138">
            <v>0</v>
          </cell>
          <cell r="BL138">
            <v>0</v>
          </cell>
          <cell r="BM138">
            <v>0</v>
          </cell>
          <cell r="BN138">
            <v>0</v>
          </cell>
          <cell r="BO138">
            <v>0</v>
          </cell>
          <cell r="BP138">
            <v>0</v>
          </cell>
          <cell r="BQ138">
            <v>0</v>
          </cell>
          <cell r="BR138">
            <v>0</v>
          </cell>
          <cell r="BT138">
            <v>24</v>
          </cell>
          <cell r="CA138" t="str">
            <v>PREDTR - CONTRACT - Identified - Recompete</v>
          </cell>
          <cell r="CC138" t="str">
            <v>PREDTR - CONTRACT - Identified - Recompete - MR</v>
          </cell>
          <cell r="CD138" t="str">
            <v/>
          </cell>
          <cell r="CF138" t="str">
            <v>PREDTR - Identified - Recompete - MR</v>
          </cell>
        </row>
        <row r="139">
          <cell r="D139">
            <v>125</v>
          </cell>
          <cell r="E139">
            <v>0</v>
          </cell>
          <cell r="F139">
            <v>5</v>
          </cell>
          <cell r="G139" t="str">
            <v>PREDTR</v>
          </cell>
          <cell r="H139" t="str">
            <v>Predator UAS Ops</v>
          </cell>
          <cell r="I139" t="str">
            <v>MR</v>
          </cell>
          <cell r="J139" t="str">
            <v>MR Warfighter Support</v>
          </cell>
          <cell r="K139" t="str">
            <v>Air Force</v>
          </cell>
          <cell r="L139" t="str">
            <v>DOD</v>
          </cell>
          <cell r="M139" t="str">
            <v>US_State</v>
          </cell>
          <cell r="N139" t="str">
            <v>CONUS</v>
          </cell>
          <cell r="O139">
            <v>41290</v>
          </cell>
          <cell r="P139">
            <v>44469</v>
          </cell>
          <cell r="Q139" t="str">
            <v>Prime</v>
          </cell>
          <cell r="R139" t="str">
            <v>T&amp;M</v>
          </cell>
          <cell r="S139">
            <v>0</v>
          </cell>
          <cell r="T139">
            <v>1</v>
          </cell>
          <cell r="U139" t="str">
            <v>EBITA</v>
          </cell>
          <cell r="V139" t="str">
            <v>Base</v>
          </cell>
          <cell r="W139" t="str">
            <v>05 Won</v>
          </cell>
          <cell r="X139" t="str">
            <v>Active</v>
          </cell>
          <cell r="Y139">
            <v>1</v>
          </cell>
          <cell r="Z139">
            <v>0</v>
          </cell>
          <cell r="AA139">
            <v>15754938.960000014</v>
          </cell>
          <cell r="AB139">
            <v>0</v>
          </cell>
          <cell r="AC139">
            <v>0</v>
          </cell>
          <cell r="AD139">
            <v>15754938.960000014</v>
          </cell>
          <cell r="AT139">
            <v>8.3752341679225628E-2</v>
          </cell>
          <cell r="AU139">
            <v>9.2990790999095144E-2</v>
          </cell>
          <cell r="AV139">
            <v>0.1206560577292466</v>
          </cell>
          <cell r="AW139">
            <v>0.13261791697939498</v>
          </cell>
          <cell r="AX139">
            <v>0.11099999999999989</v>
          </cell>
          <cell r="AY139">
            <v>0.11199999999999989</v>
          </cell>
          <cell r="AZ139">
            <v>0.11299999999999989</v>
          </cell>
          <cell r="BA139">
            <v>0.11399999999999989</v>
          </cell>
          <cell r="BF139">
            <v>1977756.8300000003</v>
          </cell>
          <cell r="BG139">
            <v>2145346.1100000003</v>
          </cell>
          <cell r="BH139">
            <v>2351217.4299999992</v>
          </cell>
          <cell r="BI139">
            <v>402658.80000000028</v>
          </cell>
          <cell r="BJ139">
            <v>352764.82999999984</v>
          </cell>
          <cell r="BK139">
            <v>176235.50999999998</v>
          </cell>
          <cell r="BL139">
            <v>262472.69874999986</v>
          </cell>
          <cell r="BM139">
            <v>1194131.8387500001</v>
          </cell>
          <cell r="BN139">
            <v>1276726.4653523301</v>
          </cell>
          <cell r="BO139">
            <v>476324.65793927043</v>
          </cell>
          <cell r="BP139">
            <v>0</v>
          </cell>
          <cell r="BQ139">
            <v>0</v>
          </cell>
          <cell r="BR139">
            <v>2947182.9620416011</v>
          </cell>
          <cell r="BT139">
            <v>24</v>
          </cell>
          <cell r="CA139" t="str">
            <v>PREDTR - EBITA - Base</v>
          </cell>
          <cell r="CC139" t="str">
            <v>PREDTR - EBITA - Base - MR</v>
          </cell>
          <cell r="CD139" t="str">
            <v/>
          </cell>
          <cell r="CF139" t="str">
            <v>PREDTR - Base - MR</v>
          </cell>
        </row>
        <row r="140">
          <cell r="D140">
            <v>126</v>
          </cell>
          <cell r="E140">
            <v>0</v>
          </cell>
          <cell r="F140">
            <v>0</v>
          </cell>
          <cell r="G140" t="str">
            <v>PREDTR</v>
          </cell>
          <cell r="H140" t="str">
            <v>Predator UAS Ops</v>
          </cell>
          <cell r="I140" t="str">
            <v>MR</v>
          </cell>
          <cell r="J140" t="str">
            <v>MR Warfighter Support</v>
          </cell>
          <cell r="K140" t="str">
            <v>Air Force</v>
          </cell>
          <cell r="L140" t="str">
            <v>DOD</v>
          </cell>
          <cell r="M140" t="str">
            <v>US_State</v>
          </cell>
          <cell r="N140" t="str">
            <v>CONUS</v>
          </cell>
          <cell r="O140">
            <v>0</v>
          </cell>
          <cell r="P140">
            <v>0</v>
          </cell>
          <cell r="Q140">
            <v>0</v>
          </cell>
          <cell r="R140" t="str">
            <v>T&amp;M</v>
          </cell>
          <cell r="S140">
            <v>0</v>
          </cell>
          <cell r="T140">
            <v>1</v>
          </cell>
          <cell r="U140" t="str">
            <v>EBITA</v>
          </cell>
          <cell r="V140" t="str">
            <v>Identified - Recompete</v>
          </cell>
          <cell r="W140">
            <v>0</v>
          </cell>
          <cell r="X140">
            <v>0</v>
          </cell>
          <cell r="Y140">
            <v>0</v>
          </cell>
          <cell r="Z140">
            <v>0</v>
          </cell>
          <cell r="AA140">
            <v>0</v>
          </cell>
          <cell r="AB140">
            <v>0</v>
          </cell>
          <cell r="AC140">
            <v>0</v>
          </cell>
          <cell r="AD140">
            <v>0</v>
          </cell>
          <cell r="AX140">
            <v>0.11099999999999989</v>
          </cell>
          <cell r="AY140">
            <v>0.11199999999999989</v>
          </cell>
          <cell r="AZ140">
            <v>0.11299999999999989</v>
          </cell>
          <cell r="BA140">
            <v>0.11399999999999989</v>
          </cell>
          <cell r="BI140">
            <v>0</v>
          </cell>
          <cell r="BJ140">
            <v>0</v>
          </cell>
          <cell r="BK140">
            <v>0</v>
          </cell>
          <cell r="BL140">
            <v>0</v>
          </cell>
          <cell r="BM140">
            <v>0</v>
          </cell>
          <cell r="BN140">
            <v>0</v>
          </cell>
          <cell r="BO140">
            <v>0</v>
          </cell>
          <cell r="BP140">
            <v>0</v>
          </cell>
          <cell r="BQ140">
            <v>0</v>
          </cell>
          <cell r="BR140">
            <v>0</v>
          </cell>
          <cell r="BT140">
            <v>24</v>
          </cell>
          <cell r="CA140" t="str">
            <v>PREDTR - EBITA - Identified - Recompete</v>
          </cell>
          <cell r="CC140" t="str">
            <v>PREDTR - EBITA - Identified - Recompete - MR</v>
          </cell>
          <cell r="CD140" t="str">
            <v/>
          </cell>
          <cell r="CF140" t="str">
            <v>PREDTR - Identified - Recompete - MR</v>
          </cell>
        </row>
        <row r="141">
          <cell r="D141">
            <v>127</v>
          </cell>
          <cell r="E141">
            <v>1</v>
          </cell>
          <cell r="F141">
            <v>1</v>
          </cell>
          <cell r="G141" t="str">
            <v>CP3118</v>
          </cell>
          <cell r="H141" t="str">
            <v>CTRICII Tunisia</v>
          </cell>
          <cell r="I141" t="str">
            <v>MR</v>
          </cell>
          <cell r="J141" t="str">
            <v>MR Non-Proliferation and Security Services</v>
          </cell>
          <cell r="K141" t="str">
            <v>DTRA</v>
          </cell>
          <cell r="L141" t="str">
            <v>DOD</v>
          </cell>
          <cell r="M141" t="str">
            <v>Tunisia</v>
          </cell>
          <cell r="N141" t="str">
            <v>OCONUS</v>
          </cell>
          <cell r="O141">
            <v>42461</v>
          </cell>
          <cell r="P141">
            <v>44255</v>
          </cell>
          <cell r="Q141" t="str">
            <v>Prime</v>
          </cell>
          <cell r="R141" t="str">
            <v>CPFF</v>
          </cell>
          <cell r="S141">
            <v>0</v>
          </cell>
          <cell r="T141">
            <v>1</v>
          </cell>
          <cell r="U141" t="str">
            <v>REVTOT</v>
          </cell>
          <cell r="V141" t="str">
            <v>Base</v>
          </cell>
          <cell r="W141" t="str">
            <v>05 Won</v>
          </cell>
          <cell r="X141" t="str">
            <v>Active</v>
          </cell>
          <cell r="Y141">
            <v>1</v>
          </cell>
          <cell r="Z141">
            <v>0</v>
          </cell>
          <cell r="AA141">
            <v>26961480.279999994</v>
          </cell>
          <cell r="AB141">
            <v>3149407.459999999</v>
          </cell>
          <cell r="AC141">
            <v>0</v>
          </cell>
          <cell r="AD141">
            <v>30110887.739999995</v>
          </cell>
          <cell r="AE141">
            <v>13.8597533214132</v>
          </cell>
          <cell r="AF141">
            <v>-0.25770339358745975</v>
          </cell>
          <cell r="AG141">
            <v>-0.23339273323435084</v>
          </cell>
          <cell r="AH141">
            <v>0.10041327016826074</v>
          </cell>
          <cell r="AI141">
            <v>0</v>
          </cell>
          <cell r="AJ141">
            <v>0</v>
          </cell>
          <cell r="AK141">
            <v>0</v>
          </cell>
          <cell r="BB141">
            <v>12017146</v>
          </cell>
          <cell r="BC141">
            <v>12017146</v>
          </cell>
          <cell r="BD141">
            <v>12017146</v>
          </cell>
          <cell r="BE141">
            <v>12017146</v>
          </cell>
          <cell r="BF141">
            <v>1291467.5900000001</v>
          </cell>
          <cell r="BG141">
            <v>19190889.810000002</v>
          </cell>
          <cell r="BH141">
            <v>14245332.380000001</v>
          </cell>
          <cell r="BI141">
            <v>2300190.67</v>
          </cell>
          <cell r="BJ141">
            <v>1403071.65</v>
          </cell>
          <cell r="BK141">
            <v>4903558</v>
          </cell>
          <cell r="BL141">
            <v>2313755</v>
          </cell>
          <cell r="BM141">
            <v>10920575.32</v>
          </cell>
          <cell r="BN141">
            <v>12017146</v>
          </cell>
          <cell r="BO141">
            <v>12017146</v>
          </cell>
          <cell r="BP141">
            <v>6076595.7399999946</v>
          </cell>
          <cell r="BQ141">
            <v>0</v>
          </cell>
          <cell r="BR141">
            <v>41031463.059999995</v>
          </cell>
          <cell r="BT141">
            <v>26</v>
          </cell>
          <cell r="CA141" t="str">
            <v>CP3118 - REVTOT - Base</v>
          </cell>
          <cell r="CC141" t="str">
            <v>CP3118 - REVTOT - Base - MR</v>
          </cell>
          <cell r="CD141" t="str">
            <v>CP3118 - REVTOT - Base - MR</v>
          </cell>
          <cell r="CF141" t="str">
            <v>CP3118 - Base - MR</v>
          </cell>
        </row>
        <row r="142">
          <cell r="D142">
            <v>128</v>
          </cell>
          <cell r="E142">
            <v>1</v>
          </cell>
          <cell r="F142">
            <v>2</v>
          </cell>
          <cell r="G142" t="str">
            <v>CP3118</v>
          </cell>
          <cell r="H142" t="str">
            <v>CTRICII Tunisia</v>
          </cell>
          <cell r="I142" t="str">
            <v>MR</v>
          </cell>
          <cell r="J142" t="str">
            <v>MR Non-Proliferation and Security Services</v>
          </cell>
          <cell r="K142" t="str">
            <v>DTRA</v>
          </cell>
          <cell r="L142" t="str">
            <v>DOD</v>
          </cell>
          <cell r="M142" t="str">
            <v>Tunisia</v>
          </cell>
          <cell r="N142" t="str">
            <v>OCONUS</v>
          </cell>
          <cell r="O142">
            <v>0</v>
          </cell>
          <cell r="P142">
            <v>0</v>
          </cell>
          <cell r="Q142">
            <v>0</v>
          </cell>
          <cell r="R142" t="str">
            <v>CPFF</v>
          </cell>
          <cell r="S142">
            <v>0</v>
          </cell>
          <cell r="T142">
            <v>1</v>
          </cell>
          <cell r="U142" t="str">
            <v>REVTOT</v>
          </cell>
          <cell r="V142" t="str">
            <v>Identified - Recompete</v>
          </cell>
          <cell r="W142">
            <v>0</v>
          </cell>
          <cell r="X142">
            <v>0</v>
          </cell>
          <cell r="Y142">
            <v>0</v>
          </cell>
          <cell r="Z142">
            <v>0</v>
          </cell>
          <cell r="AA142">
            <v>0</v>
          </cell>
          <cell r="AB142">
            <v>0</v>
          </cell>
          <cell r="AC142">
            <v>0</v>
          </cell>
          <cell r="AD142">
            <v>0</v>
          </cell>
          <cell r="AI142">
            <v>0</v>
          </cell>
          <cell r="AJ142">
            <v>0</v>
          </cell>
          <cell r="AK142">
            <v>0</v>
          </cell>
          <cell r="BB142">
            <v>0</v>
          </cell>
          <cell r="BC142">
            <v>0</v>
          </cell>
          <cell r="BD142">
            <v>0</v>
          </cell>
          <cell r="BE142">
            <v>0</v>
          </cell>
          <cell r="BI142">
            <v>0</v>
          </cell>
          <cell r="BJ142">
            <v>0</v>
          </cell>
          <cell r="BK142">
            <v>0</v>
          </cell>
          <cell r="BL142">
            <v>0</v>
          </cell>
          <cell r="BM142">
            <v>0</v>
          </cell>
          <cell r="BN142">
            <v>0</v>
          </cell>
          <cell r="BO142">
            <v>0</v>
          </cell>
          <cell r="BP142">
            <v>0</v>
          </cell>
          <cell r="BQ142">
            <v>0</v>
          </cell>
          <cell r="BR142">
            <v>0</v>
          </cell>
          <cell r="BT142">
            <v>26</v>
          </cell>
          <cell r="CA142" t="str">
            <v>CP3118 - REVTOT - Identified - Recompete</v>
          </cell>
          <cell r="CC142" t="str">
            <v>CP3118 - REVTOT - Identified - Recompete - MR</v>
          </cell>
          <cell r="CD142" t="str">
            <v/>
          </cell>
          <cell r="CF142" t="str">
            <v>CP3118 - Identified - Recompete - MR</v>
          </cell>
        </row>
        <row r="143">
          <cell r="D143">
            <v>129</v>
          </cell>
          <cell r="E143">
            <v>2</v>
          </cell>
          <cell r="F143">
            <v>3</v>
          </cell>
          <cell r="G143" t="str">
            <v>CP3118</v>
          </cell>
          <cell r="H143" t="str">
            <v>CTRICII Tunisia</v>
          </cell>
          <cell r="I143" t="str">
            <v>MR</v>
          </cell>
          <cell r="J143" t="str">
            <v>MR Non-Proliferation and Security Services</v>
          </cell>
          <cell r="K143" t="str">
            <v>DTRA</v>
          </cell>
          <cell r="L143" t="str">
            <v>DOD</v>
          </cell>
          <cell r="M143" t="str">
            <v>Tunisia</v>
          </cell>
          <cell r="N143" t="str">
            <v>OCONUS</v>
          </cell>
          <cell r="O143">
            <v>42461</v>
          </cell>
          <cell r="P143">
            <v>44255</v>
          </cell>
          <cell r="Q143" t="str">
            <v>Prime</v>
          </cell>
          <cell r="R143" t="str">
            <v>CPFF</v>
          </cell>
          <cell r="S143">
            <v>0</v>
          </cell>
          <cell r="T143">
            <v>1</v>
          </cell>
          <cell r="U143" t="str">
            <v>CONTRACT</v>
          </cell>
          <cell r="V143" t="str">
            <v>Base</v>
          </cell>
          <cell r="W143" t="str">
            <v>05 Won</v>
          </cell>
          <cell r="X143" t="str">
            <v>Active</v>
          </cell>
          <cell r="Y143">
            <v>1</v>
          </cell>
          <cell r="Z143">
            <v>0</v>
          </cell>
          <cell r="AA143">
            <v>26961480.279999994</v>
          </cell>
          <cell r="AB143">
            <v>3149407.459999999</v>
          </cell>
          <cell r="AC143">
            <v>0</v>
          </cell>
          <cell r="AD143">
            <v>30110887.739999995</v>
          </cell>
          <cell r="AL143">
            <v>0.2133531202281275</v>
          </cell>
          <cell r="AM143">
            <v>0.16119112248709216</v>
          </cell>
          <cell r="AN143">
            <v>0.15274834675356308</v>
          </cell>
          <cell r="AO143">
            <v>0.15248292614678841</v>
          </cell>
          <cell r="AP143">
            <v>0.15475810824799829</v>
          </cell>
          <cell r="AQ143">
            <v>0.15475810824799829</v>
          </cell>
          <cell r="AR143">
            <v>0.15475810824799829</v>
          </cell>
          <cell r="AS143">
            <v>0.15475810824799829</v>
          </cell>
          <cell r="BF143">
            <v>275538.64000000007</v>
          </cell>
          <cell r="BG143">
            <v>3093401.0699999994</v>
          </cell>
          <cell r="BH143">
            <v>2175950.9700000002</v>
          </cell>
          <cell r="BI143">
            <v>355287.58999999991</v>
          </cell>
          <cell r="BJ143">
            <v>227656.86999999979</v>
          </cell>
          <cell r="BK143">
            <v>723760.39000000036</v>
          </cell>
          <cell r="BL143">
            <v>358496.43000000005</v>
          </cell>
          <cell r="BM143">
            <v>1665201.2800000003</v>
          </cell>
          <cell r="BN143">
            <v>1859750.7814999998</v>
          </cell>
          <cell r="BO143">
            <v>1859750.7814999998</v>
          </cell>
          <cell r="BP143">
            <v>940402.46131024451</v>
          </cell>
          <cell r="BQ143">
            <v>0</v>
          </cell>
          <cell r="BR143">
            <v>6325105.3043102436</v>
          </cell>
          <cell r="BT143">
            <v>26</v>
          </cell>
          <cell r="CA143" t="str">
            <v>CP3118 - CONTRACT - Base</v>
          </cell>
          <cell r="CC143" t="str">
            <v>CP3118 - CONTRACT - Base - MR</v>
          </cell>
          <cell r="CD143" t="str">
            <v/>
          </cell>
          <cell r="CF143" t="str">
            <v>CP3118 - Base - MR</v>
          </cell>
        </row>
        <row r="144">
          <cell r="D144">
            <v>130</v>
          </cell>
          <cell r="E144">
            <v>2</v>
          </cell>
          <cell r="F144">
            <v>4</v>
          </cell>
          <cell r="G144" t="str">
            <v>CP3118</v>
          </cell>
          <cell r="H144" t="str">
            <v>CTRICII Tunisia</v>
          </cell>
          <cell r="I144" t="str">
            <v>MR</v>
          </cell>
          <cell r="J144" t="str">
            <v>MR Non-Proliferation and Security Services</v>
          </cell>
          <cell r="K144" t="str">
            <v>DTRA</v>
          </cell>
          <cell r="L144" t="str">
            <v>DOD</v>
          </cell>
          <cell r="M144" t="str">
            <v>Tunisia</v>
          </cell>
          <cell r="N144" t="str">
            <v>OCONUS</v>
          </cell>
          <cell r="O144">
            <v>0</v>
          </cell>
          <cell r="P144">
            <v>0</v>
          </cell>
          <cell r="Q144">
            <v>0</v>
          </cell>
          <cell r="R144" t="str">
            <v>CPFF</v>
          </cell>
          <cell r="S144">
            <v>0</v>
          </cell>
          <cell r="T144">
            <v>1</v>
          </cell>
          <cell r="U144" t="str">
            <v>CONTRACT</v>
          </cell>
          <cell r="V144" t="str">
            <v>Identified - Recompete</v>
          </cell>
          <cell r="W144">
            <v>0</v>
          </cell>
          <cell r="X144">
            <v>0</v>
          </cell>
          <cell r="Y144">
            <v>0</v>
          </cell>
          <cell r="Z144">
            <v>0</v>
          </cell>
          <cell r="AA144">
            <v>0</v>
          </cell>
          <cell r="AB144">
            <v>0</v>
          </cell>
          <cell r="AC144">
            <v>0</v>
          </cell>
          <cell r="AD144">
            <v>0</v>
          </cell>
          <cell r="AP144">
            <v>0.15475810824799829</v>
          </cell>
          <cell r="AQ144">
            <v>0.15475810824799829</v>
          </cell>
          <cell r="AR144">
            <v>0.15475810824799829</v>
          </cell>
          <cell r="AS144">
            <v>0.15475810824799829</v>
          </cell>
          <cell r="BI144">
            <v>0</v>
          </cell>
          <cell r="BJ144">
            <v>0</v>
          </cell>
          <cell r="BK144">
            <v>0</v>
          </cell>
          <cell r="BL144">
            <v>0</v>
          </cell>
          <cell r="BM144">
            <v>0</v>
          </cell>
          <cell r="BN144">
            <v>0</v>
          </cell>
          <cell r="BO144">
            <v>0</v>
          </cell>
          <cell r="BP144">
            <v>0</v>
          </cell>
          <cell r="BQ144">
            <v>0</v>
          </cell>
          <cell r="BR144">
            <v>0</v>
          </cell>
          <cell r="BT144">
            <v>26</v>
          </cell>
          <cell r="CA144" t="str">
            <v>CP3118 - CONTRACT - Identified - Recompete</v>
          </cell>
          <cell r="CC144" t="str">
            <v>CP3118 - CONTRACT - Identified - Recompete - MR</v>
          </cell>
          <cell r="CD144" t="str">
            <v/>
          </cell>
          <cell r="CF144" t="str">
            <v>CP3118 - Identified - Recompete - MR</v>
          </cell>
        </row>
        <row r="145">
          <cell r="D145">
            <v>131</v>
          </cell>
          <cell r="E145">
            <v>0</v>
          </cell>
          <cell r="F145">
            <v>5</v>
          </cell>
          <cell r="G145" t="str">
            <v>CP3118</v>
          </cell>
          <cell r="H145" t="str">
            <v>CTRICII Tunisia</v>
          </cell>
          <cell r="I145" t="str">
            <v>MR</v>
          </cell>
          <cell r="J145" t="str">
            <v>MR Non-Proliferation and Security Services</v>
          </cell>
          <cell r="K145" t="str">
            <v>DTRA</v>
          </cell>
          <cell r="L145" t="str">
            <v>DOD</v>
          </cell>
          <cell r="M145" t="str">
            <v>Tunisia</v>
          </cell>
          <cell r="N145" t="str">
            <v>OCONUS</v>
          </cell>
          <cell r="O145">
            <v>42461</v>
          </cell>
          <cell r="P145">
            <v>44255</v>
          </cell>
          <cell r="Q145" t="str">
            <v>Prime</v>
          </cell>
          <cell r="R145" t="str">
            <v>CPFF</v>
          </cell>
          <cell r="S145">
            <v>0</v>
          </cell>
          <cell r="T145">
            <v>1</v>
          </cell>
          <cell r="U145" t="str">
            <v>EBITA</v>
          </cell>
          <cell r="V145" t="str">
            <v>Base</v>
          </cell>
          <cell r="W145" t="str">
            <v>05 Won</v>
          </cell>
          <cell r="X145" t="str">
            <v>Active</v>
          </cell>
          <cell r="Y145">
            <v>1</v>
          </cell>
          <cell r="Z145">
            <v>0</v>
          </cell>
          <cell r="AA145">
            <v>26961480.279999994</v>
          </cell>
          <cell r="AB145">
            <v>3149407.459999999</v>
          </cell>
          <cell r="AC145">
            <v>0</v>
          </cell>
          <cell r="AD145">
            <v>30110887.739999995</v>
          </cell>
          <cell r="AT145">
            <v>6.0159992090858476E-2</v>
          </cell>
          <cell r="AU145">
            <v>6.4916492269724485E-2</v>
          </cell>
          <cell r="AV145">
            <v>6.4899959182279185E-2</v>
          </cell>
          <cell r="AW145">
            <v>6.2607405742429345E-2</v>
          </cell>
          <cell r="AX145">
            <v>5.9000740919560653E-2</v>
          </cell>
          <cell r="AY145">
            <v>5.9000740919560653E-2</v>
          </cell>
          <cell r="AZ145">
            <v>5.9000740919560653E-2</v>
          </cell>
          <cell r="BA145">
            <v>5.9000740919560653E-2</v>
          </cell>
          <cell r="BF145">
            <v>77694.680000000066</v>
          </cell>
          <cell r="BG145">
            <v>1245805.2499999995</v>
          </cell>
          <cell r="BH145">
            <v>924521.49000000011</v>
          </cell>
          <cell r="BI145">
            <v>135456.34999999989</v>
          </cell>
          <cell r="BJ145">
            <v>81016.629999999801</v>
          </cell>
          <cell r="BK145">
            <v>311999.14000000036</v>
          </cell>
          <cell r="BL145">
            <v>155236.77000000008</v>
          </cell>
          <cell r="BM145">
            <v>683708.89000000013</v>
          </cell>
          <cell r="BN145">
            <v>709020.5177385346</v>
          </cell>
          <cell r="BO145">
            <v>709020.5177385346</v>
          </cell>
          <cell r="BP145">
            <v>358523.65092864563</v>
          </cell>
          <cell r="BQ145">
            <v>0</v>
          </cell>
          <cell r="BR145">
            <v>2460273.5764057152</v>
          </cell>
          <cell r="BT145">
            <v>26</v>
          </cell>
          <cell r="CA145" t="str">
            <v>CP3118 - EBITA - Base</v>
          </cell>
          <cell r="CC145" t="str">
            <v>CP3118 - EBITA - Base - MR</v>
          </cell>
          <cell r="CD145" t="str">
            <v/>
          </cell>
          <cell r="CF145" t="str">
            <v>CP3118 - Base - MR</v>
          </cell>
        </row>
        <row r="146">
          <cell r="D146">
            <v>132</v>
          </cell>
          <cell r="E146">
            <v>0</v>
          </cell>
          <cell r="F146">
            <v>0</v>
          </cell>
          <cell r="G146" t="str">
            <v>CP3118</v>
          </cell>
          <cell r="H146" t="str">
            <v>CTRICII Tunisia</v>
          </cell>
          <cell r="I146" t="str">
            <v>MR</v>
          </cell>
          <cell r="J146" t="str">
            <v>MR Non-Proliferation and Security Services</v>
          </cell>
          <cell r="K146" t="str">
            <v>DTRA</v>
          </cell>
          <cell r="L146" t="str">
            <v>DOD</v>
          </cell>
          <cell r="M146" t="str">
            <v>Tunisia</v>
          </cell>
          <cell r="N146" t="str">
            <v>OCONUS</v>
          </cell>
          <cell r="O146">
            <v>0</v>
          </cell>
          <cell r="P146">
            <v>0</v>
          </cell>
          <cell r="Q146">
            <v>0</v>
          </cell>
          <cell r="R146" t="str">
            <v>CPFF</v>
          </cell>
          <cell r="S146">
            <v>0</v>
          </cell>
          <cell r="T146">
            <v>1</v>
          </cell>
          <cell r="U146" t="str">
            <v>EBITA</v>
          </cell>
          <cell r="V146" t="str">
            <v>Identified - Recompete</v>
          </cell>
          <cell r="W146">
            <v>0</v>
          </cell>
          <cell r="X146">
            <v>0</v>
          </cell>
          <cell r="Y146">
            <v>0</v>
          </cell>
          <cell r="Z146">
            <v>0</v>
          </cell>
          <cell r="AA146">
            <v>0</v>
          </cell>
          <cell r="AB146">
            <v>0</v>
          </cell>
          <cell r="AC146">
            <v>0</v>
          </cell>
          <cell r="AD146">
            <v>0</v>
          </cell>
          <cell r="AX146">
            <v>5.9000740919560653E-2</v>
          </cell>
          <cell r="AY146">
            <v>5.9000740919560653E-2</v>
          </cell>
          <cell r="AZ146">
            <v>5.9000740919560653E-2</v>
          </cell>
          <cell r="BA146">
            <v>5.9000740919560653E-2</v>
          </cell>
          <cell r="BI146">
            <v>0</v>
          </cell>
          <cell r="BJ146">
            <v>0</v>
          </cell>
          <cell r="BK146">
            <v>0</v>
          </cell>
          <cell r="BL146">
            <v>0</v>
          </cell>
          <cell r="BM146">
            <v>0</v>
          </cell>
          <cell r="BN146">
            <v>0</v>
          </cell>
          <cell r="BO146">
            <v>0</v>
          </cell>
          <cell r="BP146">
            <v>0</v>
          </cell>
          <cell r="BQ146">
            <v>0</v>
          </cell>
          <cell r="BR146">
            <v>0</v>
          </cell>
          <cell r="BT146">
            <v>26</v>
          </cell>
          <cell r="CA146" t="str">
            <v>CP3118 - EBITA - Identified - Recompete</v>
          </cell>
          <cell r="CC146" t="str">
            <v>CP3118 - EBITA - Identified - Recompete - MR</v>
          </cell>
          <cell r="CD146" t="str">
            <v/>
          </cell>
          <cell r="CF146" t="str">
            <v>CP3118 - Identified - Recompete - MR</v>
          </cell>
        </row>
        <row r="147">
          <cell r="D147">
            <v>133</v>
          </cell>
          <cell r="E147">
            <v>1</v>
          </cell>
          <cell r="F147">
            <v>1</v>
          </cell>
          <cell r="G147" t="str">
            <v>CAMPBL</v>
          </cell>
          <cell r="H147" t="str">
            <v>EAGLE Fort Campbell</v>
          </cell>
          <cell r="I147" t="str">
            <v>MR</v>
          </cell>
          <cell r="J147" t="str">
            <v>MR Maintenance &amp; Sustainment</v>
          </cell>
          <cell r="K147" t="str">
            <v>Army</v>
          </cell>
          <cell r="L147" t="str">
            <v>DOD</v>
          </cell>
          <cell r="M147" t="str">
            <v>US_State</v>
          </cell>
          <cell r="N147" t="str">
            <v>CONUS</v>
          </cell>
          <cell r="O147">
            <v>43326</v>
          </cell>
          <cell r="P147">
            <v>45151</v>
          </cell>
          <cell r="Q147" t="str">
            <v>Prime</v>
          </cell>
          <cell r="R147" t="str">
            <v>CPFF</v>
          </cell>
          <cell r="S147">
            <v>0</v>
          </cell>
          <cell r="T147">
            <v>1</v>
          </cell>
          <cell r="U147" t="str">
            <v>REVTOT</v>
          </cell>
          <cell r="V147" t="str">
            <v>Base</v>
          </cell>
          <cell r="W147" t="str">
            <v>05 Won</v>
          </cell>
          <cell r="X147" t="str">
            <v>Active</v>
          </cell>
          <cell r="Y147">
            <v>1</v>
          </cell>
          <cell r="Z147">
            <v>0</v>
          </cell>
          <cell r="AA147">
            <v>32081098.079999998</v>
          </cell>
          <cell r="AB147">
            <v>95400000</v>
          </cell>
          <cell r="AC147">
            <v>0</v>
          </cell>
          <cell r="AD147">
            <v>127481098.08</v>
          </cell>
          <cell r="AE147">
            <v>0</v>
          </cell>
          <cell r="AF147">
            <v>0</v>
          </cell>
          <cell r="AG147">
            <v>125.27983256020781</v>
          </cell>
          <cell r="AH147">
            <v>0.19580063552800331</v>
          </cell>
          <cell r="AI147">
            <v>2.5000000000000001E-2</v>
          </cell>
          <cell r="AJ147">
            <v>2.5000000000000001E-2</v>
          </cell>
          <cell r="AK147">
            <v>2.5000000000000001E-2</v>
          </cell>
          <cell r="BB147">
            <v>26718556</v>
          </cell>
          <cell r="BC147">
            <v>27386519.899999999</v>
          </cell>
          <cell r="BD147">
            <v>28071182.897499997</v>
          </cell>
          <cell r="BE147">
            <v>28772962.469937496</v>
          </cell>
          <cell r="BF147">
            <v>0</v>
          </cell>
          <cell r="BG147">
            <v>0</v>
          </cell>
          <cell r="BH147">
            <v>176937.63</v>
          </cell>
          <cell r="BI147">
            <v>2863308.85</v>
          </cell>
          <cell r="BJ147">
            <v>6390058.7600000007</v>
          </cell>
          <cell r="BK147">
            <v>6657145.6800000006</v>
          </cell>
          <cell r="BL147">
            <v>6433141</v>
          </cell>
          <cell r="BM147">
            <v>22343654.290000003</v>
          </cell>
          <cell r="BN147">
            <v>26718556</v>
          </cell>
          <cell r="BO147">
            <v>27386519.899999999</v>
          </cell>
          <cell r="BP147">
            <v>28071182.897499997</v>
          </cell>
          <cell r="BQ147">
            <v>28772962.469937496</v>
          </cell>
          <cell r="BR147">
            <v>133292875.55743748</v>
          </cell>
          <cell r="BT147">
            <v>27</v>
          </cell>
          <cell r="CA147" t="str">
            <v>CAMPBL - REVTOT - Base</v>
          </cell>
          <cell r="CC147" t="str">
            <v>CAMPBL - REVTOT - Base - MR</v>
          </cell>
          <cell r="CD147" t="str">
            <v>CAMPBL - REVTOT - Base - MR</v>
          </cell>
          <cell r="CF147" t="str">
            <v>CAMPBL - Base - MR</v>
          </cell>
        </row>
        <row r="148">
          <cell r="D148">
            <v>134</v>
          </cell>
          <cell r="E148">
            <v>1</v>
          </cell>
          <cell r="F148">
            <v>2</v>
          </cell>
          <cell r="G148" t="str">
            <v>CAMPBL</v>
          </cell>
          <cell r="H148" t="str">
            <v>EAGLE Fort Campbell</v>
          </cell>
          <cell r="I148" t="str">
            <v>MR</v>
          </cell>
          <cell r="J148" t="str">
            <v>MR Maintenance &amp; Sustainment</v>
          </cell>
          <cell r="K148" t="str">
            <v>Army</v>
          </cell>
          <cell r="L148" t="str">
            <v>DOD</v>
          </cell>
          <cell r="M148" t="str">
            <v>US_State</v>
          </cell>
          <cell r="N148" t="str">
            <v>CONUS</v>
          </cell>
          <cell r="O148">
            <v>0</v>
          </cell>
          <cell r="P148">
            <v>0</v>
          </cell>
          <cell r="Q148">
            <v>0</v>
          </cell>
          <cell r="R148" t="str">
            <v>CPFF</v>
          </cell>
          <cell r="S148">
            <v>0</v>
          </cell>
          <cell r="T148">
            <v>1</v>
          </cell>
          <cell r="U148" t="str">
            <v>REVTOT</v>
          </cell>
          <cell r="V148" t="str">
            <v>Identified - Recompete</v>
          </cell>
          <cell r="W148">
            <v>0</v>
          </cell>
          <cell r="X148">
            <v>0</v>
          </cell>
          <cell r="Y148">
            <v>0</v>
          </cell>
          <cell r="Z148">
            <v>0</v>
          </cell>
          <cell r="AA148">
            <v>0</v>
          </cell>
          <cell r="AB148">
            <v>0</v>
          </cell>
          <cell r="AC148">
            <v>0</v>
          </cell>
          <cell r="AD148">
            <v>0</v>
          </cell>
          <cell r="AI148">
            <v>0</v>
          </cell>
          <cell r="AJ148">
            <v>0</v>
          </cell>
          <cell r="AK148">
            <v>0</v>
          </cell>
          <cell r="BB148">
            <v>0</v>
          </cell>
          <cell r="BC148">
            <v>0</v>
          </cell>
          <cell r="BD148">
            <v>0</v>
          </cell>
          <cell r="BE148">
            <v>0</v>
          </cell>
          <cell r="BI148">
            <v>0</v>
          </cell>
          <cell r="BJ148">
            <v>0</v>
          </cell>
          <cell r="BK148">
            <v>0</v>
          </cell>
          <cell r="BL148">
            <v>0</v>
          </cell>
          <cell r="BM148">
            <v>0</v>
          </cell>
          <cell r="BN148">
            <v>0</v>
          </cell>
          <cell r="BO148">
            <v>0</v>
          </cell>
          <cell r="BP148">
            <v>0</v>
          </cell>
          <cell r="BQ148">
            <v>0</v>
          </cell>
          <cell r="BR148">
            <v>0</v>
          </cell>
          <cell r="BT148">
            <v>27</v>
          </cell>
          <cell r="CA148" t="str">
            <v>CAMPBL - REVTOT - Identified - Recompete</v>
          </cell>
          <cell r="CC148" t="str">
            <v>CAMPBL - REVTOT - Identified - Recompete - MR</v>
          </cell>
          <cell r="CD148" t="str">
            <v/>
          </cell>
          <cell r="CF148" t="str">
            <v>CAMPBL - Identified - Recompete - MR</v>
          </cell>
        </row>
        <row r="149">
          <cell r="D149">
            <v>135</v>
          </cell>
          <cell r="E149">
            <v>2</v>
          </cell>
          <cell r="F149">
            <v>3</v>
          </cell>
          <cell r="G149" t="str">
            <v>CAMPBL</v>
          </cell>
          <cell r="H149" t="str">
            <v>EAGLE Fort Campbell</v>
          </cell>
          <cell r="I149" t="str">
            <v>MR</v>
          </cell>
          <cell r="J149" t="str">
            <v>MR Maintenance &amp; Sustainment</v>
          </cell>
          <cell r="K149" t="str">
            <v>Army</v>
          </cell>
          <cell r="L149" t="str">
            <v>DOD</v>
          </cell>
          <cell r="M149" t="str">
            <v>US_State</v>
          </cell>
          <cell r="N149" t="str">
            <v>CONUS</v>
          </cell>
          <cell r="O149">
            <v>43326</v>
          </cell>
          <cell r="P149">
            <v>45151</v>
          </cell>
          <cell r="Q149" t="str">
            <v>Prime</v>
          </cell>
          <cell r="R149" t="str">
            <v>CPFF</v>
          </cell>
          <cell r="S149">
            <v>0</v>
          </cell>
          <cell r="T149">
            <v>1</v>
          </cell>
          <cell r="U149" t="str">
            <v>CONTRACT</v>
          </cell>
          <cell r="V149" t="str">
            <v>Base</v>
          </cell>
          <cell r="W149" t="str">
            <v>05 Won</v>
          </cell>
          <cell r="X149" t="str">
            <v>Active</v>
          </cell>
          <cell r="Y149">
            <v>1</v>
          </cell>
          <cell r="Z149">
            <v>0</v>
          </cell>
          <cell r="AA149">
            <v>32081098.079999998</v>
          </cell>
          <cell r="AB149">
            <v>95400000</v>
          </cell>
          <cell r="AC149">
            <v>0</v>
          </cell>
          <cell r="AD149">
            <v>127481098.08</v>
          </cell>
          <cell r="AL149">
            <v>0</v>
          </cell>
          <cell r="AM149">
            <v>0</v>
          </cell>
          <cell r="AN149">
            <v>1</v>
          </cell>
          <cell r="AO149">
            <v>6.617339360919737E-2</v>
          </cell>
          <cell r="AP149">
            <v>9.2106533302173957E-2</v>
          </cell>
          <cell r="AQ149">
            <v>0.11</v>
          </cell>
          <cell r="AR149">
            <v>0.12</v>
          </cell>
          <cell r="AS149">
            <v>0.13</v>
          </cell>
          <cell r="BF149">
            <v>0</v>
          </cell>
          <cell r="BG149">
            <v>0</v>
          </cell>
          <cell r="BH149">
            <v>176937.63</v>
          </cell>
          <cell r="BI149">
            <v>358642.99000000034</v>
          </cell>
          <cell r="BJ149">
            <v>654794.50000000093</v>
          </cell>
          <cell r="BK149">
            <v>280561.94000000041</v>
          </cell>
          <cell r="BL149">
            <v>184556</v>
          </cell>
          <cell r="BM149">
            <v>1478555.4300000016</v>
          </cell>
          <cell r="BN149">
            <v>2460953.568</v>
          </cell>
          <cell r="BO149">
            <v>3012517.1889999998</v>
          </cell>
          <cell r="BP149">
            <v>3368541.9476999994</v>
          </cell>
          <cell r="BQ149">
            <v>3740485.1210918748</v>
          </cell>
          <cell r="BR149">
            <v>14061053.255791875</v>
          </cell>
          <cell r="BT149">
            <v>27</v>
          </cell>
          <cell r="CA149" t="str">
            <v>CAMPBL - CONTRACT - Base</v>
          </cell>
          <cell r="CC149" t="str">
            <v>CAMPBL - CONTRACT - Base - MR</v>
          </cell>
          <cell r="CD149" t="str">
            <v/>
          </cell>
          <cell r="CF149" t="str">
            <v>CAMPBL - Base - MR</v>
          </cell>
        </row>
        <row r="150">
          <cell r="D150">
            <v>136</v>
          </cell>
          <cell r="E150">
            <v>2</v>
          </cell>
          <cell r="F150">
            <v>4</v>
          </cell>
          <cell r="G150" t="str">
            <v>CAMPBL</v>
          </cell>
          <cell r="H150" t="str">
            <v>EAGLE Fort Campbell</v>
          </cell>
          <cell r="I150" t="str">
            <v>MR</v>
          </cell>
          <cell r="J150" t="str">
            <v>MR Maintenance &amp; Sustainment</v>
          </cell>
          <cell r="K150" t="str">
            <v>Army</v>
          </cell>
          <cell r="L150" t="str">
            <v>DOD</v>
          </cell>
          <cell r="M150" t="str">
            <v>US_State</v>
          </cell>
          <cell r="N150" t="str">
            <v>CONUS</v>
          </cell>
          <cell r="O150">
            <v>0</v>
          </cell>
          <cell r="P150">
            <v>0</v>
          </cell>
          <cell r="Q150">
            <v>0</v>
          </cell>
          <cell r="R150" t="str">
            <v>CPFF</v>
          </cell>
          <cell r="S150">
            <v>0</v>
          </cell>
          <cell r="T150">
            <v>1</v>
          </cell>
          <cell r="U150" t="str">
            <v>CONTRACT</v>
          </cell>
          <cell r="V150" t="str">
            <v>Identified - Recompete</v>
          </cell>
          <cell r="W150">
            <v>0</v>
          </cell>
          <cell r="X150">
            <v>0</v>
          </cell>
          <cell r="Y150">
            <v>0</v>
          </cell>
          <cell r="Z150">
            <v>0</v>
          </cell>
          <cell r="AA150">
            <v>0</v>
          </cell>
          <cell r="AB150">
            <v>0</v>
          </cell>
          <cell r="AC150">
            <v>0</v>
          </cell>
          <cell r="AD150">
            <v>0</v>
          </cell>
          <cell r="AP150">
            <v>0.13</v>
          </cell>
          <cell r="AQ150">
            <v>0.13</v>
          </cell>
          <cell r="AR150">
            <v>0.13</v>
          </cell>
          <cell r="AS150">
            <v>0.13</v>
          </cell>
          <cell r="BI150">
            <v>0</v>
          </cell>
          <cell r="BJ150">
            <v>0</v>
          </cell>
          <cell r="BK150">
            <v>0</v>
          </cell>
          <cell r="BL150">
            <v>0</v>
          </cell>
          <cell r="BM150">
            <v>0</v>
          </cell>
          <cell r="BN150">
            <v>0</v>
          </cell>
          <cell r="BO150">
            <v>0</v>
          </cell>
          <cell r="BP150">
            <v>0</v>
          </cell>
          <cell r="BQ150">
            <v>0</v>
          </cell>
          <cell r="BR150">
            <v>0</v>
          </cell>
          <cell r="BT150">
            <v>27</v>
          </cell>
          <cell r="CA150" t="str">
            <v>CAMPBL - CONTRACT - Identified - Recompete</v>
          </cell>
          <cell r="CC150" t="str">
            <v>CAMPBL - CONTRACT - Identified - Recompete - MR</v>
          </cell>
          <cell r="CD150" t="str">
            <v/>
          </cell>
          <cell r="CF150" t="str">
            <v>CAMPBL - Identified - Recompete - MR</v>
          </cell>
        </row>
        <row r="151">
          <cell r="D151">
            <v>137</v>
          </cell>
          <cell r="E151">
            <v>0</v>
          </cell>
          <cell r="F151">
            <v>5</v>
          </cell>
          <cell r="G151" t="str">
            <v>CAMPBL</v>
          </cell>
          <cell r="H151" t="str">
            <v>EAGLE Fort Campbell</v>
          </cell>
          <cell r="I151" t="str">
            <v>MR</v>
          </cell>
          <cell r="J151" t="str">
            <v>MR Maintenance &amp; Sustainment</v>
          </cell>
          <cell r="K151" t="str">
            <v>Army</v>
          </cell>
          <cell r="L151" t="str">
            <v>DOD</v>
          </cell>
          <cell r="M151" t="str">
            <v>US_State</v>
          </cell>
          <cell r="N151" t="str">
            <v>CONUS</v>
          </cell>
          <cell r="O151">
            <v>43326</v>
          </cell>
          <cell r="P151">
            <v>45151</v>
          </cell>
          <cell r="Q151" t="str">
            <v>Prime</v>
          </cell>
          <cell r="R151" t="str">
            <v>CPFF</v>
          </cell>
          <cell r="S151">
            <v>0</v>
          </cell>
          <cell r="T151">
            <v>1</v>
          </cell>
          <cell r="U151" t="str">
            <v>EBITA</v>
          </cell>
          <cell r="V151" t="str">
            <v>Base</v>
          </cell>
          <cell r="W151" t="str">
            <v>05 Won</v>
          </cell>
          <cell r="X151" t="str">
            <v>Active</v>
          </cell>
          <cell r="Y151">
            <v>1</v>
          </cell>
          <cell r="Z151">
            <v>0</v>
          </cell>
          <cell r="AA151">
            <v>32081098.079999998</v>
          </cell>
          <cell r="AB151">
            <v>95400000</v>
          </cell>
          <cell r="AC151">
            <v>0</v>
          </cell>
          <cell r="AD151">
            <v>127481098.08</v>
          </cell>
          <cell r="AT151">
            <v>0</v>
          </cell>
          <cell r="AU151">
            <v>0</v>
          </cell>
          <cell r="AV151">
            <v>1</v>
          </cell>
          <cell r="AW151">
            <v>2.3414863263174913E-2</v>
          </cell>
          <cell r="AX151">
            <v>2.1000000000000001E-2</v>
          </cell>
          <cell r="AY151">
            <v>2.4E-2</v>
          </cell>
          <cell r="AZ151">
            <v>2.7E-2</v>
          </cell>
          <cell r="BA151">
            <v>0.03</v>
          </cell>
          <cell r="BF151">
            <v>0</v>
          </cell>
          <cell r="BG151">
            <v>0</v>
          </cell>
          <cell r="BH151">
            <v>176937.63</v>
          </cell>
          <cell r="BI151">
            <v>219421.58000000034</v>
          </cell>
          <cell r="BJ151">
            <v>394710.31000000087</v>
          </cell>
          <cell r="BK151">
            <v>-4958.2799999995914</v>
          </cell>
          <cell r="BL151">
            <v>-86000</v>
          </cell>
          <cell r="BM151">
            <v>523173.61000000162</v>
          </cell>
          <cell r="BN151">
            <v>561089.67599999998</v>
          </cell>
          <cell r="BO151">
            <v>657276.47759999998</v>
          </cell>
          <cell r="BP151">
            <v>757921.93823249987</v>
          </cell>
          <cell r="BQ151">
            <v>863188.8740981248</v>
          </cell>
          <cell r="BR151">
            <v>3362650.5759306261</v>
          </cell>
          <cell r="BT151">
            <v>27</v>
          </cell>
          <cell r="CA151" t="str">
            <v>CAMPBL - EBITA - Base</v>
          </cell>
          <cell r="CC151" t="str">
            <v>CAMPBL - EBITA - Base - MR</v>
          </cell>
          <cell r="CD151" t="str">
            <v/>
          </cell>
          <cell r="CF151" t="str">
            <v>CAMPBL - Base - MR</v>
          </cell>
        </row>
        <row r="152">
          <cell r="D152">
            <v>138</v>
          </cell>
          <cell r="E152">
            <v>0</v>
          </cell>
          <cell r="F152">
            <v>0</v>
          </cell>
          <cell r="G152" t="str">
            <v>CAMPBL</v>
          </cell>
          <cell r="H152" t="str">
            <v>EAGLE Fort Campbell</v>
          </cell>
          <cell r="I152" t="str">
            <v>MR</v>
          </cell>
          <cell r="J152" t="str">
            <v>MR Maintenance &amp; Sustainment</v>
          </cell>
          <cell r="K152" t="str">
            <v>Army</v>
          </cell>
          <cell r="L152" t="str">
            <v>DOD</v>
          </cell>
          <cell r="M152" t="str">
            <v>US_State</v>
          </cell>
          <cell r="N152" t="str">
            <v>CONUS</v>
          </cell>
          <cell r="O152">
            <v>0</v>
          </cell>
          <cell r="P152">
            <v>0</v>
          </cell>
          <cell r="Q152">
            <v>0</v>
          </cell>
          <cell r="R152" t="str">
            <v>CPFF</v>
          </cell>
          <cell r="S152">
            <v>0</v>
          </cell>
          <cell r="T152">
            <v>1</v>
          </cell>
          <cell r="U152" t="str">
            <v>EBITA</v>
          </cell>
          <cell r="V152" t="str">
            <v>Identified - Recompete</v>
          </cell>
          <cell r="W152">
            <v>0</v>
          </cell>
          <cell r="X152">
            <v>0</v>
          </cell>
          <cell r="Y152">
            <v>0</v>
          </cell>
          <cell r="Z152">
            <v>0</v>
          </cell>
          <cell r="AA152">
            <v>0</v>
          </cell>
          <cell r="AB152">
            <v>0</v>
          </cell>
          <cell r="AC152">
            <v>0</v>
          </cell>
          <cell r="AD152">
            <v>0</v>
          </cell>
          <cell r="AX152">
            <v>1.7681728002189992E-2</v>
          </cell>
          <cell r="AY152">
            <v>1.7681728002189992E-2</v>
          </cell>
          <cell r="AZ152">
            <v>1.7681728002189992E-2</v>
          </cell>
          <cell r="BA152">
            <v>1.7681728002189992E-2</v>
          </cell>
          <cell r="BI152">
            <v>0</v>
          </cell>
          <cell r="BJ152">
            <v>0</v>
          </cell>
          <cell r="BK152">
            <v>0</v>
          </cell>
          <cell r="BL152">
            <v>0</v>
          </cell>
          <cell r="BM152">
            <v>0</v>
          </cell>
          <cell r="BN152">
            <v>0</v>
          </cell>
          <cell r="BO152">
            <v>0</v>
          </cell>
          <cell r="BP152">
            <v>0</v>
          </cell>
          <cell r="BQ152">
            <v>0</v>
          </cell>
          <cell r="BR152">
            <v>0</v>
          </cell>
          <cell r="BT152">
            <v>27</v>
          </cell>
          <cell r="CA152" t="str">
            <v>CAMPBL - EBITA - Identified - Recompete</v>
          </cell>
          <cell r="CC152" t="str">
            <v>CAMPBL - EBITA - Identified - Recompete - MR</v>
          </cell>
          <cell r="CD152" t="str">
            <v/>
          </cell>
          <cell r="CF152" t="str">
            <v>CAMPBL - Identified - Recompete - MR</v>
          </cell>
        </row>
        <row r="153">
          <cell r="D153">
            <v>139</v>
          </cell>
          <cell r="E153">
            <v>1</v>
          </cell>
          <cell r="F153">
            <v>1</v>
          </cell>
          <cell r="G153" t="str">
            <v>FOMSS0</v>
          </cell>
          <cell r="H153" t="str">
            <v>MSFC FOMSS</v>
          </cell>
          <cell r="I153" t="str">
            <v>MR</v>
          </cell>
          <cell r="J153" t="str">
            <v>MR NASA</v>
          </cell>
          <cell r="K153" t="str">
            <v>NASA</v>
          </cell>
          <cell r="L153" t="str">
            <v>NASA</v>
          </cell>
          <cell r="M153" t="str">
            <v>AL</v>
          </cell>
          <cell r="N153" t="str">
            <v>CONUS</v>
          </cell>
          <cell r="O153">
            <v>42917</v>
          </cell>
          <cell r="P153">
            <v>46203</v>
          </cell>
          <cell r="Q153" t="str">
            <v>Prime</v>
          </cell>
          <cell r="R153" t="str">
            <v>FFP</v>
          </cell>
          <cell r="S153">
            <v>0</v>
          </cell>
          <cell r="T153">
            <v>1</v>
          </cell>
          <cell r="U153" t="str">
            <v>REVTOT</v>
          </cell>
          <cell r="V153" t="str">
            <v>Base</v>
          </cell>
          <cell r="W153" t="str">
            <v>05 Won</v>
          </cell>
          <cell r="X153" t="str">
            <v>Active</v>
          </cell>
          <cell r="Y153">
            <v>1</v>
          </cell>
          <cell r="Z153">
            <v>0</v>
          </cell>
          <cell r="AA153">
            <v>-813636.75000000186</v>
          </cell>
          <cell r="AB153">
            <v>220669710</v>
          </cell>
          <cell r="AC153">
            <v>0</v>
          </cell>
          <cell r="AD153">
            <v>219856073.25</v>
          </cell>
          <cell r="AE153">
            <v>0</v>
          </cell>
          <cell r="AF153">
            <v>3.7154706775786899</v>
          </cell>
          <cell r="AG153">
            <v>9.6668034435579475E-2</v>
          </cell>
          <cell r="AH153">
            <v>2.4976823598599207E-2</v>
          </cell>
          <cell r="AI153">
            <v>0</v>
          </cell>
          <cell r="AJ153">
            <v>0</v>
          </cell>
          <cell r="AK153">
            <v>0</v>
          </cell>
          <cell r="BB153">
            <v>26181145.710000001</v>
          </cell>
          <cell r="BC153">
            <v>26181145.710000001</v>
          </cell>
          <cell r="BD153">
            <v>26181145.710000001</v>
          </cell>
          <cell r="BE153">
            <v>26181145.710000001</v>
          </cell>
          <cell r="BF153">
            <v>0</v>
          </cell>
          <cell r="BG153">
            <v>4939401.95</v>
          </cell>
          <cell r="BH153">
            <v>23291605.060000002</v>
          </cell>
          <cell r="BI153">
            <v>6471471.1300000008</v>
          </cell>
          <cell r="BJ153">
            <v>6175401.1899999995</v>
          </cell>
          <cell r="BK153">
            <v>6765853.4199999999</v>
          </cell>
          <cell r="BL153">
            <v>6130433</v>
          </cell>
          <cell r="BM153">
            <v>25543158.740000002</v>
          </cell>
          <cell r="BN153">
            <v>26181145.710000001</v>
          </cell>
          <cell r="BO153">
            <v>26181145.710000001</v>
          </cell>
          <cell r="BP153">
            <v>26181145.710000001</v>
          </cell>
          <cell r="BQ153">
            <v>26181145.710000001</v>
          </cell>
          <cell r="BR153">
            <v>130267741.58000001</v>
          </cell>
          <cell r="BT153">
            <v>28</v>
          </cell>
          <cell r="CA153" t="str">
            <v>FOMSS0 - REVTOT - Base</v>
          </cell>
          <cell r="CC153" t="str">
            <v>FOMSS0 - REVTOT - Base - MR</v>
          </cell>
          <cell r="CD153" t="str">
            <v>FOMSS0 - REVTOT - Base - MR</v>
          </cell>
          <cell r="CF153" t="str">
            <v>FOMSS0 - Base - MR</v>
          </cell>
        </row>
        <row r="154">
          <cell r="D154">
            <v>140</v>
          </cell>
          <cell r="E154">
            <v>1</v>
          </cell>
          <cell r="F154">
            <v>2</v>
          </cell>
          <cell r="G154" t="str">
            <v>FOMSS0</v>
          </cell>
          <cell r="H154" t="str">
            <v>MSFC FOMSS</v>
          </cell>
          <cell r="I154" t="str">
            <v>MR</v>
          </cell>
          <cell r="J154" t="str">
            <v>MR NASA</v>
          </cell>
          <cell r="K154" t="str">
            <v>NASA</v>
          </cell>
          <cell r="L154" t="str">
            <v>NASA</v>
          </cell>
          <cell r="M154" t="str">
            <v>AL</v>
          </cell>
          <cell r="N154" t="str">
            <v>CONUS</v>
          </cell>
          <cell r="O154">
            <v>0</v>
          </cell>
          <cell r="P154">
            <v>0</v>
          </cell>
          <cell r="Q154">
            <v>0</v>
          </cell>
          <cell r="R154" t="str">
            <v>FFP</v>
          </cell>
          <cell r="S154">
            <v>0</v>
          </cell>
          <cell r="T154">
            <v>1</v>
          </cell>
          <cell r="U154" t="str">
            <v>REVTOT</v>
          </cell>
          <cell r="V154" t="str">
            <v>Identified - Recompete</v>
          </cell>
          <cell r="W154">
            <v>0</v>
          </cell>
          <cell r="X154">
            <v>0</v>
          </cell>
          <cell r="Y154">
            <v>0</v>
          </cell>
          <cell r="Z154">
            <v>0</v>
          </cell>
          <cell r="AA154">
            <v>0</v>
          </cell>
          <cell r="AB154">
            <v>0</v>
          </cell>
          <cell r="AC154">
            <v>0</v>
          </cell>
          <cell r="AD154">
            <v>0</v>
          </cell>
          <cell r="AI154">
            <v>0</v>
          </cell>
          <cell r="AJ154">
            <v>0</v>
          </cell>
          <cell r="AK154">
            <v>0</v>
          </cell>
          <cell r="BB154">
            <v>0</v>
          </cell>
          <cell r="BC154">
            <v>0</v>
          </cell>
          <cell r="BD154">
            <v>0</v>
          </cell>
          <cell r="BE154">
            <v>0</v>
          </cell>
          <cell r="BI154">
            <v>0</v>
          </cell>
          <cell r="BJ154">
            <v>0</v>
          </cell>
          <cell r="BK154">
            <v>0</v>
          </cell>
          <cell r="BL154">
            <v>0</v>
          </cell>
          <cell r="BM154">
            <v>0</v>
          </cell>
          <cell r="BN154">
            <v>0</v>
          </cell>
          <cell r="BO154">
            <v>0</v>
          </cell>
          <cell r="BP154">
            <v>0</v>
          </cell>
          <cell r="BQ154">
            <v>0</v>
          </cell>
          <cell r="BR154">
            <v>0</v>
          </cell>
          <cell r="BT154">
            <v>28</v>
          </cell>
          <cell r="CA154" t="str">
            <v>FOMSS0 - REVTOT - Identified - Recompete</v>
          </cell>
          <cell r="CC154" t="str">
            <v>FOMSS0 - REVTOT - Identified - Recompete - MR</v>
          </cell>
          <cell r="CD154" t="str">
            <v/>
          </cell>
          <cell r="CF154" t="str">
            <v>FOMSS0 - Identified - Recompete - MR</v>
          </cell>
        </row>
        <row r="155">
          <cell r="D155">
            <v>141</v>
          </cell>
          <cell r="E155">
            <v>2</v>
          </cell>
          <cell r="F155">
            <v>3</v>
          </cell>
          <cell r="G155" t="str">
            <v>FOMSS0</v>
          </cell>
          <cell r="H155" t="str">
            <v>MSFC FOMSS</v>
          </cell>
          <cell r="I155" t="str">
            <v>MR</v>
          </cell>
          <cell r="J155" t="str">
            <v>MR NASA</v>
          </cell>
          <cell r="K155" t="str">
            <v>NASA</v>
          </cell>
          <cell r="L155" t="str">
            <v>NASA</v>
          </cell>
          <cell r="M155" t="str">
            <v>AL</v>
          </cell>
          <cell r="N155" t="str">
            <v>CONUS</v>
          </cell>
          <cell r="O155">
            <v>42917</v>
          </cell>
          <cell r="P155">
            <v>46203</v>
          </cell>
          <cell r="Q155" t="str">
            <v>Prime</v>
          </cell>
          <cell r="R155" t="str">
            <v>FFP</v>
          </cell>
          <cell r="S155">
            <v>0</v>
          </cell>
          <cell r="T155">
            <v>1</v>
          </cell>
          <cell r="U155" t="str">
            <v>CONTRACT</v>
          </cell>
          <cell r="V155" t="str">
            <v>Base</v>
          </cell>
          <cell r="W155" t="str">
            <v>05 Won</v>
          </cell>
          <cell r="X155" t="str">
            <v>Active</v>
          </cell>
          <cell r="Y155">
            <v>1</v>
          </cell>
          <cell r="Z155">
            <v>0</v>
          </cell>
          <cell r="AA155">
            <v>-813636.75000000186</v>
          </cell>
          <cell r="AB155">
            <v>220669710</v>
          </cell>
          <cell r="AC155">
            <v>0</v>
          </cell>
          <cell r="AD155">
            <v>219856073.25</v>
          </cell>
          <cell r="AL155">
            <v>0</v>
          </cell>
          <cell r="AM155">
            <v>0.1024371685321135</v>
          </cell>
          <cell r="AN155">
            <v>0.10723950726305159</v>
          </cell>
          <cell r="AO155">
            <v>0.16467689348118578</v>
          </cell>
          <cell r="AP155">
            <v>0.12</v>
          </cell>
          <cell r="AQ155">
            <v>0.12</v>
          </cell>
          <cell r="AR155">
            <v>0.12</v>
          </cell>
          <cell r="AS155">
            <v>0.12</v>
          </cell>
          <cell r="BF155">
            <v>0</v>
          </cell>
          <cell r="BG155">
            <v>505978.35000000009</v>
          </cell>
          <cell r="BH155">
            <v>2497780.2499999995</v>
          </cell>
          <cell r="BI155">
            <v>1038840.8800000001</v>
          </cell>
          <cell r="BJ155">
            <v>1000586.56</v>
          </cell>
          <cell r="BK155">
            <v>1161489.18</v>
          </cell>
          <cell r="BL155">
            <v>1005451.4109999998</v>
          </cell>
          <cell r="BM155">
            <v>4206368.0309999995</v>
          </cell>
          <cell r="BN155">
            <v>3141737.4852</v>
          </cell>
          <cell r="BO155">
            <v>3141737.4852</v>
          </cell>
          <cell r="BP155">
            <v>3141737.4852</v>
          </cell>
          <cell r="BQ155">
            <v>3141737.4852</v>
          </cell>
          <cell r="BR155">
            <v>16773317.971799999</v>
          </cell>
          <cell r="BT155">
            <v>28</v>
          </cell>
          <cell r="CA155" t="str">
            <v>FOMSS0 - CONTRACT - Base</v>
          </cell>
          <cell r="CC155" t="str">
            <v>FOMSS0 - CONTRACT - Base - MR</v>
          </cell>
          <cell r="CD155" t="str">
            <v/>
          </cell>
          <cell r="CF155" t="str">
            <v>FOMSS0 - Base - MR</v>
          </cell>
        </row>
        <row r="156">
          <cell r="D156">
            <v>142</v>
          </cell>
          <cell r="E156">
            <v>2</v>
          </cell>
          <cell r="F156">
            <v>4</v>
          </cell>
          <cell r="G156" t="str">
            <v>FOMSS0</v>
          </cell>
          <cell r="H156" t="str">
            <v>MSFC FOMSS</v>
          </cell>
          <cell r="I156" t="str">
            <v>MR</v>
          </cell>
          <cell r="J156" t="str">
            <v>MR NASA</v>
          </cell>
          <cell r="K156" t="str">
            <v>NASA</v>
          </cell>
          <cell r="L156" t="str">
            <v>NASA</v>
          </cell>
          <cell r="M156" t="str">
            <v>AL</v>
          </cell>
          <cell r="N156" t="str">
            <v>CONUS</v>
          </cell>
          <cell r="O156">
            <v>0</v>
          </cell>
          <cell r="P156">
            <v>0</v>
          </cell>
          <cell r="Q156">
            <v>0</v>
          </cell>
          <cell r="R156" t="str">
            <v>FFP</v>
          </cell>
          <cell r="S156">
            <v>0</v>
          </cell>
          <cell r="T156">
            <v>1</v>
          </cell>
          <cell r="U156" t="str">
            <v>CONTRACT</v>
          </cell>
          <cell r="V156" t="str">
            <v>Identified - Recompete</v>
          </cell>
          <cell r="W156">
            <v>0</v>
          </cell>
          <cell r="X156">
            <v>0</v>
          </cell>
          <cell r="Y156">
            <v>0</v>
          </cell>
          <cell r="Z156">
            <v>0</v>
          </cell>
          <cell r="AA156">
            <v>0</v>
          </cell>
          <cell r="AB156">
            <v>0</v>
          </cell>
          <cell r="AC156">
            <v>0</v>
          </cell>
          <cell r="AD156">
            <v>0</v>
          </cell>
          <cell r="AP156">
            <v>0.12</v>
          </cell>
          <cell r="AQ156">
            <v>0.12</v>
          </cell>
          <cell r="AR156">
            <v>0.12</v>
          </cell>
          <cell r="AS156">
            <v>0.12</v>
          </cell>
          <cell r="BI156">
            <v>0</v>
          </cell>
          <cell r="BJ156">
            <v>0</v>
          </cell>
          <cell r="BK156">
            <v>0</v>
          </cell>
          <cell r="BL156">
            <v>0</v>
          </cell>
          <cell r="BM156">
            <v>0</v>
          </cell>
          <cell r="BN156">
            <v>0</v>
          </cell>
          <cell r="BO156">
            <v>0</v>
          </cell>
          <cell r="BP156">
            <v>0</v>
          </cell>
          <cell r="BQ156">
            <v>0</v>
          </cell>
          <cell r="BR156">
            <v>0</v>
          </cell>
          <cell r="BT156">
            <v>28</v>
          </cell>
          <cell r="CA156" t="str">
            <v>FOMSS0 - CONTRACT - Identified - Recompete</v>
          </cell>
          <cell r="CC156" t="str">
            <v>FOMSS0 - CONTRACT - Identified - Recompete - MR</v>
          </cell>
          <cell r="CD156" t="str">
            <v/>
          </cell>
          <cell r="CF156" t="str">
            <v>FOMSS0 - Identified - Recompete - MR</v>
          </cell>
        </row>
        <row r="157">
          <cell r="D157">
            <v>143</v>
          </cell>
          <cell r="E157">
            <v>0</v>
          </cell>
          <cell r="F157">
            <v>5</v>
          </cell>
          <cell r="G157" t="str">
            <v>FOMSS0</v>
          </cell>
          <cell r="H157" t="str">
            <v>MSFC FOMSS</v>
          </cell>
          <cell r="I157" t="str">
            <v>MR</v>
          </cell>
          <cell r="J157" t="str">
            <v>MR NASA</v>
          </cell>
          <cell r="K157" t="str">
            <v>NASA</v>
          </cell>
          <cell r="L157" t="str">
            <v>NASA</v>
          </cell>
          <cell r="M157" t="str">
            <v>AL</v>
          </cell>
          <cell r="N157" t="str">
            <v>CONUS</v>
          </cell>
          <cell r="O157">
            <v>42917</v>
          </cell>
          <cell r="P157">
            <v>46203</v>
          </cell>
          <cell r="Q157" t="str">
            <v>Prime</v>
          </cell>
          <cell r="R157" t="str">
            <v>FFP</v>
          </cell>
          <cell r="S157">
            <v>0</v>
          </cell>
          <cell r="T157">
            <v>1</v>
          </cell>
          <cell r="U157" t="str">
            <v>EBITA</v>
          </cell>
          <cell r="V157" t="str">
            <v>Base</v>
          </cell>
          <cell r="W157" t="str">
            <v>05 Won</v>
          </cell>
          <cell r="X157" t="str">
            <v>Active</v>
          </cell>
          <cell r="Y157">
            <v>1</v>
          </cell>
          <cell r="Z157">
            <v>0</v>
          </cell>
          <cell r="AA157">
            <v>-813636.75000000186</v>
          </cell>
          <cell r="AB157">
            <v>220669710</v>
          </cell>
          <cell r="AC157">
            <v>0</v>
          </cell>
          <cell r="AD157">
            <v>219856073.25</v>
          </cell>
          <cell r="AT157">
            <v>0</v>
          </cell>
          <cell r="AU157">
            <v>-6.5720966482592083E-2</v>
          </cell>
          <cell r="AV157">
            <v>-4.8474901025133584E-2</v>
          </cell>
          <cell r="AW157">
            <v>1.1093681076810641E-2</v>
          </cell>
          <cell r="AX157">
            <v>1.3158779243071378E-2</v>
          </cell>
          <cell r="AY157">
            <v>1.4158779243071377E-2</v>
          </cell>
          <cell r="AZ157">
            <v>1.5158779243071376E-2</v>
          </cell>
          <cell r="BA157">
            <v>1.6158779243071377E-2</v>
          </cell>
          <cell r="BF157">
            <v>0</v>
          </cell>
          <cell r="BG157">
            <v>-324622.27</v>
          </cell>
          <cell r="BH157">
            <v>-1129058.2500000007</v>
          </cell>
          <cell r="BI157">
            <v>67344.240000000107</v>
          </cell>
          <cell r="BJ157">
            <v>53222.850000000093</v>
          </cell>
          <cell r="BK157">
            <v>152779.48999999993</v>
          </cell>
          <cell r="BL157">
            <v>10021.076755908201</v>
          </cell>
          <cell r="BM157">
            <v>283367.65675590833</v>
          </cell>
          <cell r="BN157">
            <v>344511.91672857525</v>
          </cell>
          <cell r="BO157">
            <v>370693.06243857526</v>
          </cell>
          <cell r="BP157">
            <v>396874.20814857521</v>
          </cell>
          <cell r="BQ157">
            <v>423055.35385857522</v>
          </cell>
          <cell r="BR157">
            <v>1818502.1979302093</v>
          </cell>
          <cell r="BT157">
            <v>28</v>
          </cell>
          <cell r="CA157" t="str">
            <v>FOMSS0 - EBITA - Base</v>
          </cell>
          <cell r="CC157" t="str">
            <v>FOMSS0 - EBITA - Base - MR</v>
          </cell>
          <cell r="CD157" t="str">
            <v/>
          </cell>
          <cell r="CF157" t="str">
            <v>FOMSS0 - Base - MR</v>
          </cell>
        </row>
        <row r="158">
          <cell r="D158">
            <v>144</v>
          </cell>
          <cell r="E158">
            <v>0</v>
          </cell>
          <cell r="F158">
            <v>0</v>
          </cell>
          <cell r="G158" t="str">
            <v>FOMSS0</v>
          </cell>
          <cell r="H158" t="str">
            <v>MSFC FOMSS</v>
          </cell>
          <cell r="I158" t="str">
            <v>MR</v>
          </cell>
          <cell r="J158" t="str">
            <v>MR NASA</v>
          </cell>
          <cell r="K158" t="str">
            <v>NASA</v>
          </cell>
          <cell r="L158" t="str">
            <v>NASA</v>
          </cell>
          <cell r="M158" t="str">
            <v>AL</v>
          </cell>
          <cell r="N158" t="str">
            <v>CONUS</v>
          </cell>
          <cell r="O158">
            <v>0</v>
          </cell>
          <cell r="P158">
            <v>0</v>
          </cell>
          <cell r="Q158">
            <v>0</v>
          </cell>
          <cell r="R158" t="str">
            <v>FFP</v>
          </cell>
          <cell r="S158">
            <v>0</v>
          </cell>
          <cell r="T158">
            <v>1</v>
          </cell>
          <cell r="U158" t="str">
            <v>EBITA</v>
          </cell>
          <cell r="V158" t="str">
            <v>Identified - Recompete</v>
          </cell>
          <cell r="W158">
            <v>0</v>
          </cell>
          <cell r="X158">
            <v>0</v>
          </cell>
          <cell r="Y158">
            <v>0</v>
          </cell>
          <cell r="Z158">
            <v>0</v>
          </cell>
          <cell r="AA158">
            <v>0</v>
          </cell>
          <cell r="AB158">
            <v>0</v>
          </cell>
          <cell r="AC158">
            <v>0</v>
          </cell>
          <cell r="AD158">
            <v>0</v>
          </cell>
          <cell r="AX158">
            <v>1.3158779243071378E-2</v>
          </cell>
          <cell r="AY158">
            <v>1.4158779243071377E-2</v>
          </cell>
          <cell r="AZ158">
            <v>1.5158779243071376E-2</v>
          </cell>
          <cell r="BA158">
            <v>1.6158779243071377E-2</v>
          </cell>
          <cell r="BI158">
            <v>0</v>
          </cell>
          <cell r="BJ158">
            <v>0</v>
          </cell>
          <cell r="BK158">
            <v>0</v>
          </cell>
          <cell r="BL158">
            <v>0</v>
          </cell>
          <cell r="BM158">
            <v>0</v>
          </cell>
          <cell r="BN158">
            <v>0</v>
          </cell>
          <cell r="BO158">
            <v>0</v>
          </cell>
          <cell r="BP158">
            <v>0</v>
          </cell>
          <cell r="BQ158">
            <v>0</v>
          </cell>
          <cell r="BR158">
            <v>0</v>
          </cell>
          <cell r="BT158">
            <v>28</v>
          </cell>
          <cell r="CA158" t="str">
            <v>FOMSS0 - EBITA - Identified - Recompete</v>
          </cell>
          <cell r="CC158" t="str">
            <v>FOMSS0 - EBITA - Identified - Recompete - MR</v>
          </cell>
          <cell r="CD158" t="str">
            <v/>
          </cell>
          <cell r="CF158" t="str">
            <v>FOMSS0 - Identified - Recompete - MR</v>
          </cell>
        </row>
        <row r="159">
          <cell r="D159">
            <v>145</v>
          </cell>
          <cell r="E159">
            <v>1</v>
          </cell>
          <cell r="F159">
            <v>1</v>
          </cell>
          <cell r="G159" t="str">
            <v>OTATI2</v>
          </cell>
          <cell r="H159" t="str">
            <v>ATI_OTA Ph2 SDC</v>
          </cell>
          <cell r="I159" t="str">
            <v>MR</v>
          </cell>
          <cell r="J159" t="str">
            <v>MR Non-Proliferation and Security Services</v>
          </cell>
          <cell r="K159" t="str">
            <v>Army</v>
          </cell>
          <cell r="L159" t="str">
            <v>DOD</v>
          </cell>
          <cell r="M159" t="str">
            <v>KY</v>
          </cell>
          <cell r="N159" t="str">
            <v>CONUS</v>
          </cell>
          <cell r="O159">
            <v>43665</v>
          </cell>
          <cell r="P159">
            <v>44530</v>
          </cell>
          <cell r="Q159" t="str">
            <v>Prime</v>
          </cell>
          <cell r="R159" t="str">
            <v>CPFF</v>
          </cell>
          <cell r="S159">
            <v>0</v>
          </cell>
          <cell r="T159">
            <v>1</v>
          </cell>
          <cell r="U159" t="str">
            <v>REVTOT</v>
          </cell>
          <cell r="V159" t="str">
            <v>Base</v>
          </cell>
          <cell r="W159" t="str">
            <v>05 Won</v>
          </cell>
          <cell r="X159" t="str">
            <v>Active</v>
          </cell>
          <cell r="Y159">
            <v>1</v>
          </cell>
          <cell r="Z159">
            <v>0</v>
          </cell>
          <cell r="AA159">
            <v>68600000</v>
          </cell>
          <cell r="AB159">
            <v>0</v>
          </cell>
          <cell r="AC159">
            <v>0</v>
          </cell>
          <cell r="AD159">
            <v>68600000</v>
          </cell>
          <cell r="AE159">
            <v>0</v>
          </cell>
          <cell r="AF159">
            <v>0</v>
          </cell>
          <cell r="AG159">
            <v>0</v>
          </cell>
          <cell r="AH159">
            <v>-6.3268092853891567E-2</v>
          </cell>
          <cell r="AI159">
            <v>0</v>
          </cell>
          <cell r="AJ159">
            <v>0</v>
          </cell>
          <cell r="AK159">
            <v>0</v>
          </cell>
          <cell r="BB159">
            <v>31661538.461538464</v>
          </cell>
          <cell r="BC159">
            <v>31661538.461538464</v>
          </cell>
          <cell r="BD159">
            <v>31661538.461538464</v>
          </cell>
          <cell r="BE159">
            <v>31661538.461538464</v>
          </cell>
          <cell r="BF159">
            <v>0</v>
          </cell>
          <cell r="BG159">
            <v>0</v>
          </cell>
          <cell r="BH159">
            <v>0</v>
          </cell>
          <cell r="BI159">
            <v>0</v>
          </cell>
          <cell r="BJ159">
            <v>0</v>
          </cell>
          <cell r="BK159">
            <v>0</v>
          </cell>
          <cell r="BL159">
            <v>33800000</v>
          </cell>
          <cell r="BM159">
            <v>33800000</v>
          </cell>
          <cell r="BN159">
            <v>31661538.461538464</v>
          </cell>
          <cell r="BO159">
            <v>31661538.461538464</v>
          </cell>
          <cell r="BP159">
            <v>5276923.0769230723</v>
          </cell>
          <cell r="BQ159">
            <v>0</v>
          </cell>
          <cell r="BR159">
            <v>102400000</v>
          </cell>
          <cell r="BT159">
            <v>30</v>
          </cell>
          <cell r="CA159" t="str">
            <v>OTATI2 - REVTOT - Base</v>
          </cell>
          <cell r="CC159" t="str">
            <v>OTATI2 - REVTOT - Base - MR</v>
          </cell>
          <cell r="CD159" t="str">
            <v>OTATI2 - REVTOT - Base - MR</v>
          </cell>
          <cell r="CF159" t="str">
            <v>OTATI2 - Base - MR</v>
          </cell>
        </row>
        <row r="160">
          <cell r="D160">
            <v>146</v>
          </cell>
          <cell r="E160">
            <v>1</v>
          </cell>
          <cell r="F160">
            <v>2</v>
          </cell>
          <cell r="G160" t="str">
            <v>OTATI2</v>
          </cell>
          <cell r="H160" t="str">
            <v>ATI_OTA Ph2 SDC</v>
          </cell>
          <cell r="I160" t="str">
            <v>MR</v>
          </cell>
          <cell r="J160" t="str">
            <v>MR Non-Proliferation and Security Services</v>
          </cell>
          <cell r="K160" t="str">
            <v>Army</v>
          </cell>
          <cell r="L160" t="str">
            <v>DOD</v>
          </cell>
          <cell r="M160" t="str">
            <v>KY</v>
          </cell>
          <cell r="N160" t="str">
            <v>CONUS</v>
          </cell>
          <cell r="O160">
            <v>0</v>
          </cell>
          <cell r="P160">
            <v>0</v>
          </cell>
          <cell r="Q160">
            <v>0</v>
          </cell>
          <cell r="R160" t="str">
            <v>CPFF</v>
          </cell>
          <cell r="S160">
            <v>0</v>
          </cell>
          <cell r="T160">
            <v>1</v>
          </cell>
          <cell r="U160" t="str">
            <v>REVTOT</v>
          </cell>
          <cell r="V160" t="str">
            <v>Identified - Recompete</v>
          </cell>
          <cell r="W160">
            <v>0</v>
          </cell>
          <cell r="X160">
            <v>0</v>
          </cell>
          <cell r="Y160">
            <v>0</v>
          </cell>
          <cell r="Z160">
            <v>0</v>
          </cell>
          <cell r="AA160">
            <v>0</v>
          </cell>
          <cell r="AB160">
            <v>0</v>
          </cell>
          <cell r="AC160">
            <v>0</v>
          </cell>
          <cell r="AD160">
            <v>0</v>
          </cell>
          <cell r="AI160">
            <v>0</v>
          </cell>
          <cell r="AJ160">
            <v>0</v>
          </cell>
          <cell r="AK160">
            <v>0</v>
          </cell>
          <cell r="BB160">
            <v>0</v>
          </cell>
          <cell r="BC160">
            <v>0</v>
          </cell>
          <cell r="BD160">
            <v>0</v>
          </cell>
          <cell r="BE160">
            <v>0</v>
          </cell>
          <cell r="BI160">
            <v>0</v>
          </cell>
          <cell r="BJ160">
            <v>0</v>
          </cell>
          <cell r="BK160">
            <v>0</v>
          </cell>
          <cell r="BL160">
            <v>0</v>
          </cell>
          <cell r="BM160">
            <v>0</v>
          </cell>
          <cell r="BN160">
            <v>0</v>
          </cell>
          <cell r="BO160">
            <v>0</v>
          </cell>
          <cell r="BP160">
            <v>0</v>
          </cell>
          <cell r="BQ160">
            <v>0</v>
          </cell>
          <cell r="BR160">
            <v>0</v>
          </cell>
          <cell r="BT160">
            <v>30</v>
          </cell>
          <cell r="CA160" t="str">
            <v>OTATI2 - REVTOT - Identified - Recompete</v>
          </cell>
          <cell r="CC160" t="str">
            <v>OTATI2 - REVTOT - Identified - Recompete - MR</v>
          </cell>
          <cell r="CD160" t="str">
            <v/>
          </cell>
          <cell r="CF160" t="str">
            <v>OTATI2 - Identified - Recompete - MR</v>
          </cell>
        </row>
        <row r="161">
          <cell r="D161">
            <v>147</v>
          </cell>
          <cell r="E161">
            <v>2</v>
          </cell>
          <cell r="F161">
            <v>3</v>
          </cell>
          <cell r="G161" t="str">
            <v>OTATI2</v>
          </cell>
          <cell r="H161" t="str">
            <v>ATI_OTA Ph2 SDC</v>
          </cell>
          <cell r="I161" t="str">
            <v>MR</v>
          </cell>
          <cell r="J161" t="str">
            <v>MR Non-Proliferation and Security Services</v>
          </cell>
          <cell r="K161" t="str">
            <v>Army</v>
          </cell>
          <cell r="L161" t="str">
            <v>DOD</v>
          </cell>
          <cell r="M161" t="str">
            <v>KY</v>
          </cell>
          <cell r="N161" t="str">
            <v>CONUS</v>
          </cell>
          <cell r="O161">
            <v>43665</v>
          </cell>
          <cell r="P161">
            <v>44530</v>
          </cell>
          <cell r="Q161" t="str">
            <v>Prime</v>
          </cell>
          <cell r="R161" t="str">
            <v>CPFF</v>
          </cell>
          <cell r="S161">
            <v>0</v>
          </cell>
          <cell r="T161">
            <v>1</v>
          </cell>
          <cell r="U161" t="str">
            <v>CONTRACT</v>
          </cell>
          <cell r="V161" t="str">
            <v>Base</v>
          </cell>
          <cell r="W161" t="str">
            <v>05 Won</v>
          </cell>
          <cell r="X161" t="str">
            <v>Active</v>
          </cell>
          <cell r="Y161">
            <v>1</v>
          </cell>
          <cell r="Z161">
            <v>0</v>
          </cell>
          <cell r="AA161">
            <v>68600000</v>
          </cell>
          <cell r="AB161">
            <v>0</v>
          </cell>
          <cell r="AC161">
            <v>0</v>
          </cell>
          <cell r="AD161">
            <v>68600000</v>
          </cell>
          <cell r="AL161">
            <v>0</v>
          </cell>
          <cell r="AM161">
            <v>0</v>
          </cell>
          <cell r="AN161">
            <v>0</v>
          </cell>
          <cell r="AO161">
            <v>5.0295857988165681E-2</v>
          </cell>
          <cell r="AP161">
            <v>0.12805791894468344</v>
          </cell>
          <cell r="AQ161">
            <v>0.12805791894468344</v>
          </cell>
          <cell r="AR161">
            <v>0.12805791894468344</v>
          </cell>
          <cell r="AS161">
            <v>0.12805791894468344</v>
          </cell>
          <cell r="BF161">
            <v>0</v>
          </cell>
          <cell r="BG161">
            <v>0</v>
          </cell>
          <cell r="BH161">
            <v>0</v>
          </cell>
          <cell r="BI161">
            <v>0</v>
          </cell>
          <cell r="BJ161">
            <v>0</v>
          </cell>
          <cell r="BK161">
            <v>0</v>
          </cell>
          <cell r="BL161">
            <v>1700000</v>
          </cell>
          <cell r="BM161">
            <v>1700000</v>
          </cell>
          <cell r="BN161">
            <v>4054510.7259716699</v>
          </cell>
          <cell r="BO161">
            <v>4054510.7259716699</v>
          </cell>
          <cell r="BP161">
            <v>675751.78766194428</v>
          </cell>
          <cell r="BQ161">
            <v>0</v>
          </cell>
          <cell r="BR161">
            <v>10484773.239605283</v>
          </cell>
          <cell r="BT161">
            <v>30</v>
          </cell>
          <cell r="CA161" t="str">
            <v>OTATI2 - CONTRACT - Base</v>
          </cell>
          <cell r="CC161" t="str">
            <v>OTATI2 - CONTRACT - Base - MR</v>
          </cell>
          <cell r="CD161" t="str">
            <v/>
          </cell>
          <cell r="CF161" t="str">
            <v>OTATI2 - Base - MR</v>
          </cell>
        </row>
        <row r="162">
          <cell r="D162">
            <v>148</v>
          </cell>
          <cell r="E162">
            <v>2</v>
          </cell>
          <cell r="F162">
            <v>4</v>
          </cell>
          <cell r="G162" t="str">
            <v>OTATI2</v>
          </cell>
          <cell r="H162" t="str">
            <v>ATI_OTA Ph2 SDC</v>
          </cell>
          <cell r="I162" t="str">
            <v>MR</v>
          </cell>
          <cell r="J162" t="str">
            <v>MR Non-Proliferation and Security Services</v>
          </cell>
          <cell r="K162" t="str">
            <v>Army</v>
          </cell>
          <cell r="L162" t="str">
            <v>DOD</v>
          </cell>
          <cell r="M162" t="str">
            <v>KY</v>
          </cell>
          <cell r="N162" t="str">
            <v>CONUS</v>
          </cell>
          <cell r="O162">
            <v>0</v>
          </cell>
          <cell r="P162">
            <v>0</v>
          </cell>
          <cell r="Q162">
            <v>0</v>
          </cell>
          <cell r="R162" t="str">
            <v>CPFF</v>
          </cell>
          <cell r="S162">
            <v>0</v>
          </cell>
          <cell r="T162">
            <v>1</v>
          </cell>
          <cell r="U162" t="str">
            <v>CONTRACT</v>
          </cell>
          <cell r="V162" t="str">
            <v>Identified - Recompete</v>
          </cell>
          <cell r="W162">
            <v>0</v>
          </cell>
          <cell r="X162">
            <v>0</v>
          </cell>
          <cell r="Y162">
            <v>0</v>
          </cell>
          <cell r="Z162">
            <v>0</v>
          </cell>
          <cell r="AA162">
            <v>0</v>
          </cell>
          <cell r="AB162">
            <v>0</v>
          </cell>
          <cell r="AC162">
            <v>0</v>
          </cell>
          <cell r="AD162">
            <v>0</v>
          </cell>
          <cell r="AP162">
            <v>0.12805791894468344</v>
          </cell>
          <cell r="AQ162">
            <v>0.12805791894468344</v>
          </cell>
          <cell r="AR162">
            <v>0.12805791894468344</v>
          </cell>
          <cell r="AS162">
            <v>0.12805791894468344</v>
          </cell>
          <cell r="BI162">
            <v>0</v>
          </cell>
          <cell r="BJ162">
            <v>0</v>
          </cell>
          <cell r="BK162">
            <v>0</v>
          </cell>
          <cell r="BL162">
            <v>0</v>
          </cell>
          <cell r="BM162">
            <v>0</v>
          </cell>
          <cell r="BN162">
            <v>0</v>
          </cell>
          <cell r="BO162">
            <v>0</v>
          </cell>
          <cell r="BP162">
            <v>0</v>
          </cell>
          <cell r="BQ162">
            <v>0</v>
          </cell>
          <cell r="BR162">
            <v>0</v>
          </cell>
          <cell r="BT162">
            <v>30</v>
          </cell>
          <cell r="CA162" t="str">
            <v>OTATI2 - CONTRACT - Identified - Recompete</v>
          </cell>
          <cell r="CC162" t="str">
            <v>OTATI2 - CONTRACT - Identified - Recompete - MR</v>
          </cell>
          <cell r="CD162" t="str">
            <v/>
          </cell>
          <cell r="CF162" t="str">
            <v>OTATI2 - Identified - Recompete - MR</v>
          </cell>
        </row>
        <row r="163">
          <cell r="D163">
            <v>149</v>
          </cell>
          <cell r="E163">
            <v>0</v>
          </cell>
          <cell r="F163">
            <v>5</v>
          </cell>
          <cell r="G163" t="str">
            <v>OTATI2</v>
          </cell>
          <cell r="H163" t="str">
            <v>ATI_OTA Ph2 SDC</v>
          </cell>
          <cell r="I163" t="str">
            <v>MR</v>
          </cell>
          <cell r="J163" t="str">
            <v>MR Non-Proliferation and Security Services</v>
          </cell>
          <cell r="K163" t="str">
            <v>Army</v>
          </cell>
          <cell r="L163" t="str">
            <v>DOD</v>
          </cell>
          <cell r="M163" t="str">
            <v>KY</v>
          </cell>
          <cell r="N163" t="str">
            <v>CONUS</v>
          </cell>
          <cell r="O163">
            <v>43665</v>
          </cell>
          <cell r="P163">
            <v>44530</v>
          </cell>
          <cell r="Q163" t="str">
            <v>Prime</v>
          </cell>
          <cell r="R163" t="str">
            <v>CPFF</v>
          </cell>
          <cell r="S163">
            <v>0</v>
          </cell>
          <cell r="T163">
            <v>1</v>
          </cell>
          <cell r="U163" t="str">
            <v>EBITA</v>
          </cell>
          <cell r="V163" t="str">
            <v>Base</v>
          </cell>
          <cell r="W163" t="str">
            <v>05 Won</v>
          </cell>
          <cell r="X163" t="str">
            <v>Active</v>
          </cell>
          <cell r="Y163">
            <v>1</v>
          </cell>
          <cell r="Z163">
            <v>0</v>
          </cell>
          <cell r="AA163">
            <v>68600000</v>
          </cell>
          <cell r="AB163">
            <v>0</v>
          </cell>
          <cell r="AC163">
            <v>0</v>
          </cell>
          <cell r="AD163">
            <v>68600000</v>
          </cell>
          <cell r="AT163">
            <v>0</v>
          </cell>
          <cell r="AU163">
            <v>0</v>
          </cell>
          <cell r="AV163">
            <v>0</v>
          </cell>
          <cell r="AW163">
            <v>5.0295857988165681E-2</v>
          </cell>
          <cell r="AX163">
            <v>6.032700573579225E-2</v>
          </cell>
          <cell r="AY163">
            <v>6.032700573579225E-2</v>
          </cell>
          <cell r="AZ163">
            <v>6.032700573579225E-2</v>
          </cell>
          <cell r="BA163">
            <v>6.032700573579225E-2</v>
          </cell>
          <cell r="BF163">
            <v>0</v>
          </cell>
          <cell r="BG163">
            <v>0</v>
          </cell>
          <cell r="BH163">
            <v>0</v>
          </cell>
          <cell r="BI163">
            <v>0</v>
          </cell>
          <cell r="BJ163">
            <v>0</v>
          </cell>
          <cell r="BK163">
            <v>0</v>
          </cell>
          <cell r="BL163">
            <v>1700000</v>
          </cell>
          <cell r="BM163">
            <v>1700000</v>
          </cell>
          <cell r="BN163">
            <v>1910045.8123732379</v>
          </cell>
          <cell r="BO163">
            <v>1910045.8123732379</v>
          </cell>
          <cell r="BP163">
            <v>318340.96872887266</v>
          </cell>
          <cell r="BQ163">
            <v>0</v>
          </cell>
          <cell r="BR163">
            <v>5838432.5934753483</v>
          </cell>
          <cell r="BT163">
            <v>30</v>
          </cell>
          <cell r="CA163" t="str">
            <v>OTATI2 - EBITA - Base</v>
          </cell>
          <cell r="CC163" t="str">
            <v>OTATI2 - EBITA - Base - MR</v>
          </cell>
          <cell r="CD163" t="str">
            <v/>
          </cell>
          <cell r="CF163" t="str">
            <v>OTATI2 - Base - MR</v>
          </cell>
        </row>
        <row r="164">
          <cell r="D164">
            <v>150</v>
          </cell>
          <cell r="E164">
            <v>0</v>
          </cell>
          <cell r="F164">
            <v>0</v>
          </cell>
          <cell r="G164" t="str">
            <v>OTATI2</v>
          </cell>
          <cell r="H164" t="str">
            <v>ATI_OTA Ph2 SDC</v>
          </cell>
          <cell r="I164" t="str">
            <v>MR</v>
          </cell>
          <cell r="J164" t="str">
            <v>MR Non-Proliferation and Security Services</v>
          </cell>
          <cell r="K164" t="str">
            <v>Army</v>
          </cell>
          <cell r="L164" t="str">
            <v>DOD</v>
          </cell>
          <cell r="M164" t="str">
            <v>KY</v>
          </cell>
          <cell r="N164" t="str">
            <v>CONUS</v>
          </cell>
          <cell r="O164">
            <v>0</v>
          </cell>
          <cell r="P164">
            <v>0</v>
          </cell>
          <cell r="Q164">
            <v>0</v>
          </cell>
          <cell r="R164" t="str">
            <v>CPFF</v>
          </cell>
          <cell r="S164">
            <v>0</v>
          </cell>
          <cell r="T164">
            <v>1</v>
          </cell>
          <cell r="U164" t="str">
            <v>EBITA</v>
          </cell>
          <cell r="V164" t="str">
            <v>Identified - Recompete</v>
          </cell>
          <cell r="W164">
            <v>0</v>
          </cell>
          <cell r="X164">
            <v>0</v>
          </cell>
          <cell r="Y164">
            <v>0</v>
          </cell>
          <cell r="Z164">
            <v>0</v>
          </cell>
          <cell r="AA164">
            <v>0</v>
          </cell>
          <cell r="AB164">
            <v>0</v>
          </cell>
          <cell r="AC164">
            <v>0</v>
          </cell>
          <cell r="AD164">
            <v>0</v>
          </cell>
          <cell r="AX164">
            <v>6.032700573579225E-2</v>
          </cell>
          <cell r="AY164">
            <v>6.032700573579225E-2</v>
          </cell>
          <cell r="AZ164">
            <v>6.032700573579225E-2</v>
          </cell>
          <cell r="BA164">
            <v>6.032700573579225E-2</v>
          </cell>
          <cell r="BI164">
            <v>0</v>
          </cell>
          <cell r="BJ164">
            <v>0</v>
          </cell>
          <cell r="BK164">
            <v>0</v>
          </cell>
          <cell r="BL164">
            <v>0</v>
          </cell>
          <cell r="BM164">
            <v>0</v>
          </cell>
          <cell r="BN164">
            <v>0</v>
          </cell>
          <cell r="BO164">
            <v>0</v>
          </cell>
          <cell r="BP164">
            <v>0</v>
          </cell>
          <cell r="BQ164">
            <v>0</v>
          </cell>
          <cell r="BR164">
            <v>0</v>
          </cell>
          <cell r="BT164">
            <v>30</v>
          </cell>
          <cell r="CA164" t="str">
            <v>OTATI2 - EBITA - Identified - Recompete</v>
          </cell>
          <cell r="CC164" t="str">
            <v>OTATI2 - EBITA - Identified - Recompete - MR</v>
          </cell>
          <cell r="CD164" t="str">
            <v/>
          </cell>
          <cell r="CF164" t="str">
            <v>OTATI2 - Identified - Recompete - MR</v>
          </cell>
        </row>
        <row r="165">
          <cell r="D165">
            <v>151</v>
          </cell>
          <cell r="E165">
            <v>1</v>
          </cell>
          <cell r="F165">
            <v>1</v>
          </cell>
          <cell r="G165" t="str">
            <v>USVIXX</v>
          </cell>
          <cell r="H165" t="str">
            <v>USVI Home Repair</v>
          </cell>
          <cell r="I165" t="str">
            <v>MR</v>
          </cell>
          <cell r="J165" t="str">
            <v>MR Logistics &amp; Supply</v>
          </cell>
          <cell r="K165" t="str">
            <v>Intercompany</v>
          </cell>
          <cell r="L165" t="str">
            <v>Intercompany</v>
          </cell>
          <cell r="M165" t="str">
            <v>US_State</v>
          </cell>
          <cell r="N165" t="str">
            <v>CONUS</v>
          </cell>
          <cell r="O165">
            <v>43133</v>
          </cell>
          <cell r="P165">
            <v>43830</v>
          </cell>
          <cell r="Q165" t="str">
            <v>Sub</v>
          </cell>
          <cell r="R165" t="str">
            <v>T&amp;M</v>
          </cell>
          <cell r="S165">
            <v>0</v>
          </cell>
          <cell r="T165">
            <v>1</v>
          </cell>
          <cell r="U165" t="str">
            <v>REVTOT</v>
          </cell>
          <cell r="V165" t="str">
            <v>Base</v>
          </cell>
          <cell r="W165" t="str">
            <v>05 Won</v>
          </cell>
          <cell r="X165" t="str">
            <v>Active</v>
          </cell>
          <cell r="Y165">
            <v>1</v>
          </cell>
          <cell r="Z165">
            <v>0</v>
          </cell>
          <cell r="AA165">
            <v>0.20000000018626451</v>
          </cell>
          <cell r="AB165">
            <v>0</v>
          </cell>
          <cell r="AC165">
            <v>0</v>
          </cell>
          <cell r="AD165">
            <v>0.20000000018626451</v>
          </cell>
          <cell r="AE165">
            <v>0</v>
          </cell>
          <cell r="AF165">
            <v>0</v>
          </cell>
          <cell r="AG165">
            <v>2.5480080068856799</v>
          </cell>
          <cell r="AH165">
            <v>-1</v>
          </cell>
          <cell r="AI165">
            <v>0</v>
          </cell>
          <cell r="AJ165">
            <v>0</v>
          </cell>
          <cell r="AK165">
            <v>0</v>
          </cell>
          <cell r="BB165">
            <v>0</v>
          </cell>
          <cell r="BC165">
            <v>0</v>
          </cell>
          <cell r="BD165">
            <v>0</v>
          </cell>
          <cell r="BE165">
            <v>0</v>
          </cell>
          <cell r="BF165">
            <v>0</v>
          </cell>
          <cell r="BG165">
            <v>0</v>
          </cell>
          <cell r="BH165">
            <v>1826782.67</v>
          </cell>
          <cell r="BI165">
            <v>2142921.2600000002</v>
          </cell>
          <cell r="BJ165">
            <v>2483889.2199999997</v>
          </cell>
          <cell r="BK165">
            <v>868848.05999999982</v>
          </cell>
          <cell r="BL165">
            <v>985781</v>
          </cell>
          <cell r="BM165">
            <v>6481439.54</v>
          </cell>
          <cell r="BN165">
            <v>0</v>
          </cell>
          <cell r="BO165">
            <v>0</v>
          </cell>
          <cell r="BP165">
            <v>0</v>
          </cell>
          <cell r="BQ165">
            <v>0</v>
          </cell>
          <cell r="BR165">
            <v>6481439.54</v>
          </cell>
          <cell r="BT165">
            <v>31</v>
          </cell>
          <cell r="CA165" t="str">
            <v>USVIXX - REVTOT - Base</v>
          </cell>
          <cell r="CC165" t="str">
            <v>USVIXX - REVTOT - Base - MR</v>
          </cell>
          <cell r="CD165" t="str">
            <v>USVIXX - REVTOT - Base - MR</v>
          </cell>
          <cell r="CF165" t="str">
            <v>USVIXX - Base - MR</v>
          </cell>
        </row>
        <row r="166">
          <cell r="D166">
            <v>152</v>
          </cell>
          <cell r="E166">
            <v>1</v>
          </cell>
          <cell r="F166">
            <v>2</v>
          </cell>
          <cell r="G166" t="str">
            <v>USVIXX</v>
          </cell>
          <cell r="H166" t="str">
            <v>USVI Home Repair</v>
          </cell>
          <cell r="I166" t="str">
            <v>MR</v>
          </cell>
          <cell r="J166" t="str">
            <v>MR Logistics &amp; Supply</v>
          </cell>
          <cell r="K166" t="str">
            <v>Intercompany</v>
          </cell>
          <cell r="L166" t="str">
            <v>Intercompany</v>
          </cell>
          <cell r="M166" t="str">
            <v>US_State</v>
          </cell>
          <cell r="N166" t="str">
            <v>CONUS</v>
          </cell>
          <cell r="O166">
            <v>0</v>
          </cell>
          <cell r="P166">
            <v>0</v>
          </cell>
          <cell r="Q166">
            <v>0</v>
          </cell>
          <cell r="R166" t="str">
            <v>T&amp;M</v>
          </cell>
          <cell r="S166">
            <v>0</v>
          </cell>
          <cell r="T166">
            <v>1</v>
          </cell>
          <cell r="U166" t="str">
            <v>REVTOT</v>
          </cell>
          <cell r="V166" t="str">
            <v>Identified - Recompete</v>
          </cell>
          <cell r="W166">
            <v>0</v>
          </cell>
          <cell r="X166">
            <v>0</v>
          </cell>
          <cell r="Y166">
            <v>0</v>
          </cell>
          <cell r="Z166">
            <v>0</v>
          </cell>
          <cell r="AA166">
            <v>0</v>
          </cell>
          <cell r="AB166">
            <v>0</v>
          </cell>
          <cell r="AC166">
            <v>0</v>
          </cell>
          <cell r="AD166">
            <v>0</v>
          </cell>
          <cell r="AI166">
            <v>0</v>
          </cell>
          <cell r="AJ166">
            <v>0</v>
          </cell>
          <cell r="AK166">
            <v>0</v>
          </cell>
          <cell r="BB166">
            <v>0</v>
          </cell>
          <cell r="BC166">
            <v>0</v>
          </cell>
          <cell r="BD166">
            <v>0</v>
          </cell>
          <cell r="BE166">
            <v>0</v>
          </cell>
          <cell r="BI166">
            <v>0</v>
          </cell>
          <cell r="BJ166">
            <v>0</v>
          </cell>
          <cell r="BK166">
            <v>0</v>
          </cell>
          <cell r="BL166">
            <v>0</v>
          </cell>
          <cell r="BM166">
            <v>0</v>
          </cell>
          <cell r="BN166">
            <v>0</v>
          </cell>
          <cell r="BO166">
            <v>0</v>
          </cell>
          <cell r="BP166">
            <v>0</v>
          </cell>
          <cell r="BQ166">
            <v>0</v>
          </cell>
          <cell r="BR166">
            <v>0</v>
          </cell>
          <cell r="BT166">
            <v>31</v>
          </cell>
          <cell r="CA166" t="str">
            <v>USVIXX - REVTOT - Identified - Recompete</v>
          </cell>
          <cell r="CC166" t="str">
            <v>USVIXX - REVTOT - Identified - Recompete - MR</v>
          </cell>
          <cell r="CD166" t="str">
            <v/>
          </cell>
          <cell r="CF166" t="str">
            <v>USVIXX - Identified - Recompete - MR</v>
          </cell>
        </row>
        <row r="167">
          <cell r="D167">
            <v>153</v>
          </cell>
          <cell r="E167">
            <v>2</v>
          </cell>
          <cell r="F167">
            <v>3</v>
          </cell>
          <cell r="G167" t="str">
            <v>USVIXX</v>
          </cell>
          <cell r="H167" t="str">
            <v>USVI Home Repair</v>
          </cell>
          <cell r="I167" t="str">
            <v>MR</v>
          </cell>
          <cell r="J167" t="str">
            <v>MR Logistics &amp; Supply</v>
          </cell>
          <cell r="K167" t="str">
            <v>Intercompany</v>
          </cell>
          <cell r="L167" t="str">
            <v>Intercompany</v>
          </cell>
          <cell r="M167" t="str">
            <v>US_State</v>
          </cell>
          <cell r="N167" t="str">
            <v>CONUS</v>
          </cell>
          <cell r="O167">
            <v>43133</v>
          </cell>
          <cell r="P167">
            <v>43830</v>
          </cell>
          <cell r="Q167" t="str">
            <v>Sub</v>
          </cell>
          <cell r="R167" t="str">
            <v>T&amp;M</v>
          </cell>
          <cell r="S167">
            <v>0</v>
          </cell>
          <cell r="T167">
            <v>1</v>
          </cell>
          <cell r="U167" t="str">
            <v>CONTRACT</v>
          </cell>
          <cell r="V167" t="str">
            <v>Base</v>
          </cell>
          <cell r="W167" t="str">
            <v>05 Won</v>
          </cell>
          <cell r="X167" t="str">
            <v>Active</v>
          </cell>
          <cell r="Y167">
            <v>1</v>
          </cell>
          <cell r="Z167">
            <v>0</v>
          </cell>
          <cell r="AA167">
            <v>0.20000000018626451</v>
          </cell>
          <cell r="AB167">
            <v>0</v>
          </cell>
          <cell r="AC167">
            <v>0</v>
          </cell>
          <cell r="AD167">
            <v>0.20000000018626451</v>
          </cell>
          <cell r="AL167">
            <v>0</v>
          </cell>
          <cell r="AM167">
            <v>0</v>
          </cell>
          <cell r="AN167">
            <v>0.38210503715803262</v>
          </cell>
          <cell r="AO167">
            <v>0.30229768215966413</v>
          </cell>
          <cell r="AP167">
            <v>0.31984544260281644</v>
          </cell>
          <cell r="AQ167">
            <v>0.31984544260281644</v>
          </cell>
          <cell r="AR167">
            <v>0.31984544260281644</v>
          </cell>
          <cell r="AS167">
            <v>0.31984544260281644</v>
          </cell>
          <cell r="BF167">
            <v>0</v>
          </cell>
          <cell r="BG167">
            <v>0</v>
          </cell>
          <cell r="BH167">
            <v>698022.86</v>
          </cell>
          <cell r="BI167">
            <v>780803.08000000007</v>
          </cell>
          <cell r="BJ167">
            <v>893425.46999999986</v>
          </cell>
          <cell r="BK167">
            <v>245663.59999999986</v>
          </cell>
          <cell r="BL167">
            <v>39432</v>
          </cell>
          <cell r="BM167">
            <v>1959324.1499999997</v>
          </cell>
          <cell r="BN167">
            <v>0</v>
          </cell>
          <cell r="BO167">
            <v>0</v>
          </cell>
          <cell r="BP167">
            <v>0</v>
          </cell>
          <cell r="BQ167">
            <v>0</v>
          </cell>
          <cell r="BR167">
            <v>1959324.1499999997</v>
          </cell>
          <cell r="BT167">
            <v>31</v>
          </cell>
          <cell r="CA167" t="str">
            <v>USVIXX - CONTRACT - Base</v>
          </cell>
          <cell r="CC167" t="str">
            <v>USVIXX - CONTRACT - Base - MR</v>
          </cell>
          <cell r="CD167" t="str">
            <v/>
          </cell>
          <cell r="CF167" t="str">
            <v>USVIXX - Base - MR</v>
          </cell>
        </row>
        <row r="168">
          <cell r="D168">
            <v>154</v>
          </cell>
          <cell r="E168">
            <v>2</v>
          </cell>
          <cell r="F168">
            <v>4</v>
          </cell>
          <cell r="G168" t="str">
            <v>USVIXX</v>
          </cell>
          <cell r="H168" t="str">
            <v>USVI Home Repair</v>
          </cell>
          <cell r="I168" t="str">
            <v>MR</v>
          </cell>
          <cell r="J168" t="str">
            <v>MR Logistics &amp; Supply</v>
          </cell>
          <cell r="K168" t="str">
            <v>Intercompany</v>
          </cell>
          <cell r="L168" t="str">
            <v>Intercompany</v>
          </cell>
          <cell r="M168" t="str">
            <v>US_State</v>
          </cell>
          <cell r="N168" t="str">
            <v>CONUS</v>
          </cell>
          <cell r="O168">
            <v>0</v>
          </cell>
          <cell r="P168">
            <v>0</v>
          </cell>
          <cell r="Q168">
            <v>0</v>
          </cell>
          <cell r="R168" t="str">
            <v>T&amp;M</v>
          </cell>
          <cell r="S168">
            <v>0</v>
          </cell>
          <cell r="T168">
            <v>1</v>
          </cell>
          <cell r="U168" t="str">
            <v>CONTRACT</v>
          </cell>
          <cell r="V168" t="str">
            <v>Identified - Recompete</v>
          </cell>
          <cell r="W168">
            <v>0</v>
          </cell>
          <cell r="X168">
            <v>0</v>
          </cell>
          <cell r="Y168">
            <v>0</v>
          </cell>
          <cell r="Z168">
            <v>0</v>
          </cell>
          <cell r="AA168">
            <v>0</v>
          </cell>
          <cell r="AB168">
            <v>0</v>
          </cell>
          <cell r="AC168">
            <v>0</v>
          </cell>
          <cell r="AD168">
            <v>0</v>
          </cell>
          <cell r="AP168">
            <v>0.31984544260281644</v>
          </cell>
          <cell r="AQ168">
            <v>0.31984544260281644</v>
          </cell>
          <cell r="AR168">
            <v>0.31984544260281644</v>
          </cell>
          <cell r="AS168">
            <v>0.31984544260281644</v>
          </cell>
          <cell r="BI168">
            <v>0</v>
          </cell>
          <cell r="BJ168">
            <v>0</v>
          </cell>
          <cell r="BK168">
            <v>0</v>
          </cell>
          <cell r="BL168">
            <v>0</v>
          </cell>
          <cell r="BM168">
            <v>0</v>
          </cell>
          <cell r="BN168">
            <v>0</v>
          </cell>
          <cell r="BO168">
            <v>0</v>
          </cell>
          <cell r="BP168">
            <v>0</v>
          </cell>
          <cell r="BQ168">
            <v>0</v>
          </cell>
          <cell r="BR168">
            <v>0</v>
          </cell>
          <cell r="BT168">
            <v>31</v>
          </cell>
          <cell r="CA168" t="str">
            <v>USVIXX - CONTRACT - Identified - Recompete</v>
          </cell>
          <cell r="CC168" t="str">
            <v>USVIXX - CONTRACT - Identified - Recompete - MR</v>
          </cell>
          <cell r="CD168" t="str">
            <v/>
          </cell>
          <cell r="CF168" t="str">
            <v>USVIXX - Identified - Recompete - MR</v>
          </cell>
        </row>
        <row r="169">
          <cell r="D169">
            <v>155</v>
          </cell>
          <cell r="E169">
            <v>0</v>
          </cell>
          <cell r="F169">
            <v>5</v>
          </cell>
          <cell r="G169" t="str">
            <v>USVIXX</v>
          </cell>
          <cell r="H169" t="str">
            <v>USVI Home Repair</v>
          </cell>
          <cell r="I169" t="str">
            <v>MR</v>
          </cell>
          <cell r="J169" t="str">
            <v>MR Logistics &amp; Supply</v>
          </cell>
          <cell r="K169" t="str">
            <v>Intercompany</v>
          </cell>
          <cell r="L169" t="str">
            <v>Intercompany</v>
          </cell>
          <cell r="M169" t="str">
            <v>US_State</v>
          </cell>
          <cell r="N169" t="str">
            <v>CONUS</v>
          </cell>
          <cell r="O169">
            <v>43133</v>
          </cell>
          <cell r="P169">
            <v>43830</v>
          </cell>
          <cell r="Q169" t="str">
            <v>Sub</v>
          </cell>
          <cell r="R169" t="str">
            <v>T&amp;M</v>
          </cell>
          <cell r="S169">
            <v>0</v>
          </cell>
          <cell r="T169">
            <v>1</v>
          </cell>
          <cell r="U169" t="str">
            <v>EBITA</v>
          </cell>
          <cell r="V169" t="str">
            <v>Base</v>
          </cell>
          <cell r="W169" t="str">
            <v>05 Won</v>
          </cell>
          <cell r="X169" t="str">
            <v>Active</v>
          </cell>
          <cell r="Y169">
            <v>1</v>
          </cell>
          <cell r="Z169">
            <v>0</v>
          </cell>
          <cell r="AA169">
            <v>0.20000000018626451</v>
          </cell>
          <cell r="AB169">
            <v>0</v>
          </cell>
          <cell r="AC169">
            <v>0</v>
          </cell>
          <cell r="AD169">
            <v>0.20000000018626451</v>
          </cell>
          <cell r="AT169">
            <v>0</v>
          </cell>
          <cell r="AU169">
            <v>0</v>
          </cell>
          <cell r="AV169">
            <v>0.32259732352289067</v>
          </cell>
          <cell r="AW169">
            <v>0.2474639808180637</v>
          </cell>
          <cell r="AX169">
            <v>0.26498403588196751</v>
          </cell>
          <cell r="AY169">
            <v>0.26598403588196751</v>
          </cell>
          <cell r="AZ169">
            <v>0.26698403588196751</v>
          </cell>
          <cell r="BA169">
            <v>0.26798403588196751</v>
          </cell>
          <cell r="BF169">
            <v>0</v>
          </cell>
          <cell r="BG169">
            <v>0</v>
          </cell>
          <cell r="BH169">
            <v>589315.19999999995</v>
          </cell>
          <cell r="BI169">
            <v>644774.02</v>
          </cell>
          <cell r="BJ169">
            <v>748062.82999999984</v>
          </cell>
          <cell r="BK169">
            <v>171653.97999999984</v>
          </cell>
          <cell r="BL169">
            <v>39432</v>
          </cell>
          <cell r="BM169">
            <v>1603922.8299999996</v>
          </cell>
          <cell r="BN169">
            <v>0</v>
          </cell>
          <cell r="BO169">
            <v>0</v>
          </cell>
          <cell r="BP169">
            <v>0</v>
          </cell>
          <cell r="BQ169">
            <v>0</v>
          </cell>
          <cell r="BR169">
            <v>1603922.8299999996</v>
          </cell>
          <cell r="BT169">
            <v>31</v>
          </cell>
          <cell r="CA169" t="str">
            <v>USVIXX - EBITA - Base</v>
          </cell>
          <cell r="CC169" t="str">
            <v>USVIXX - EBITA - Base - MR</v>
          </cell>
          <cell r="CD169" t="str">
            <v/>
          </cell>
          <cell r="CF169" t="str">
            <v>USVIXX - Base - MR</v>
          </cell>
        </row>
        <row r="170">
          <cell r="D170">
            <v>156</v>
          </cell>
          <cell r="E170">
            <v>0</v>
          </cell>
          <cell r="F170">
            <v>0</v>
          </cell>
          <cell r="G170" t="str">
            <v>USVIXX</v>
          </cell>
          <cell r="H170" t="str">
            <v>USVI Home Repair</v>
          </cell>
          <cell r="I170" t="str">
            <v>MR</v>
          </cell>
          <cell r="J170" t="str">
            <v>MR Logistics &amp; Supply</v>
          </cell>
          <cell r="K170" t="str">
            <v>Intercompany</v>
          </cell>
          <cell r="L170" t="str">
            <v>Intercompany</v>
          </cell>
          <cell r="M170" t="str">
            <v>US_State</v>
          </cell>
          <cell r="N170" t="str">
            <v>CONUS</v>
          </cell>
          <cell r="O170">
            <v>0</v>
          </cell>
          <cell r="P170">
            <v>0</v>
          </cell>
          <cell r="Q170">
            <v>0</v>
          </cell>
          <cell r="R170" t="str">
            <v>T&amp;M</v>
          </cell>
          <cell r="S170">
            <v>0</v>
          </cell>
          <cell r="T170">
            <v>1</v>
          </cell>
          <cell r="U170" t="str">
            <v>EBITA</v>
          </cell>
          <cell r="V170" t="str">
            <v>Identified - Recompete</v>
          </cell>
          <cell r="W170">
            <v>0</v>
          </cell>
          <cell r="X170">
            <v>0</v>
          </cell>
          <cell r="Y170">
            <v>0</v>
          </cell>
          <cell r="Z170">
            <v>0</v>
          </cell>
          <cell r="AA170">
            <v>0</v>
          </cell>
          <cell r="AB170">
            <v>0</v>
          </cell>
          <cell r="AC170">
            <v>0</v>
          </cell>
          <cell r="AD170">
            <v>0</v>
          </cell>
          <cell r="AX170">
            <v>0.26498403588196751</v>
          </cell>
          <cell r="AY170">
            <v>0.26598403588196751</v>
          </cell>
          <cell r="AZ170">
            <v>0.26698403588196751</v>
          </cell>
          <cell r="BA170">
            <v>0.26798403588196751</v>
          </cell>
          <cell r="BI170">
            <v>0</v>
          </cell>
          <cell r="BJ170">
            <v>0</v>
          </cell>
          <cell r="BK170">
            <v>0</v>
          </cell>
          <cell r="BL170">
            <v>0</v>
          </cell>
          <cell r="BM170">
            <v>0</v>
          </cell>
          <cell r="BN170">
            <v>0</v>
          </cell>
          <cell r="BO170">
            <v>0</v>
          </cell>
          <cell r="BP170">
            <v>0</v>
          </cell>
          <cell r="BQ170">
            <v>0</v>
          </cell>
          <cell r="BR170">
            <v>0</v>
          </cell>
          <cell r="BT170">
            <v>31</v>
          </cell>
          <cell r="CA170" t="str">
            <v>USVIXX - EBITA - Identified - Recompete</v>
          </cell>
          <cell r="CC170" t="str">
            <v>USVIXX - EBITA - Identified - Recompete - MR</v>
          </cell>
          <cell r="CD170" t="str">
            <v/>
          </cell>
          <cell r="CF170" t="str">
            <v>USVIXX - Identified - Recompete - MR</v>
          </cell>
        </row>
        <row r="171">
          <cell r="D171">
            <v>157</v>
          </cell>
          <cell r="E171">
            <v>1</v>
          </cell>
          <cell r="F171">
            <v>1</v>
          </cell>
          <cell r="G171" t="str">
            <v>CP3591</v>
          </cell>
          <cell r="H171" t="str">
            <v>CTRIC III Vietnam (3591)</v>
          </cell>
          <cell r="I171" t="str">
            <v>MR</v>
          </cell>
          <cell r="J171" t="str">
            <v>MR Non-Proliferation and Security Services</v>
          </cell>
          <cell r="K171" t="str">
            <v>DTRA</v>
          </cell>
          <cell r="L171" t="str">
            <v>DOD</v>
          </cell>
          <cell r="M171" t="str">
            <v>Vietnam</v>
          </cell>
          <cell r="N171" t="str">
            <v>OCONUS</v>
          </cell>
          <cell r="O171">
            <v>43367</v>
          </cell>
          <cell r="P171">
            <v>44462</v>
          </cell>
          <cell r="Q171" t="str">
            <v>Prime</v>
          </cell>
          <cell r="R171" t="str">
            <v>CPFF</v>
          </cell>
          <cell r="S171">
            <v>0</v>
          </cell>
          <cell r="T171">
            <v>1</v>
          </cell>
          <cell r="U171" t="str">
            <v>REVTOT</v>
          </cell>
          <cell r="V171" t="str">
            <v>Base</v>
          </cell>
          <cell r="W171" t="str">
            <v>05 Won</v>
          </cell>
          <cell r="X171" t="str">
            <v>Active</v>
          </cell>
          <cell r="Y171">
            <v>1</v>
          </cell>
          <cell r="Z171">
            <v>0</v>
          </cell>
          <cell r="AA171">
            <v>18482029.920000006</v>
          </cell>
          <cell r="AB171">
            <v>12129890</v>
          </cell>
          <cell r="AC171">
            <v>0</v>
          </cell>
          <cell r="AD171">
            <v>30611919.920000006</v>
          </cell>
          <cell r="AE171">
            <v>0</v>
          </cell>
          <cell r="AF171">
            <v>0</v>
          </cell>
          <cell r="AG171">
            <v>572.52730137091328</v>
          </cell>
          <cell r="AH171">
            <v>6.240633874851409E-2</v>
          </cell>
          <cell r="AI171">
            <v>0</v>
          </cell>
          <cell r="AJ171">
            <v>0</v>
          </cell>
          <cell r="AK171">
            <v>0</v>
          </cell>
          <cell r="BB171">
            <v>12952959</v>
          </cell>
          <cell r="BC171">
            <v>12952959</v>
          </cell>
          <cell r="BD171">
            <v>12952959</v>
          </cell>
          <cell r="BE171">
            <v>12952959</v>
          </cell>
          <cell r="BF171">
            <v>0</v>
          </cell>
          <cell r="BG171">
            <v>0</v>
          </cell>
          <cell r="BH171">
            <v>21258.09</v>
          </cell>
          <cell r="BI171">
            <v>778007.91999999993</v>
          </cell>
          <cell r="BJ171">
            <v>3108043.4699999997</v>
          </cell>
          <cell r="BK171">
            <v>3313678.5999999996</v>
          </cell>
          <cell r="BL171">
            <v>4992365</v>
          </cell>
          <cell r="BM171">
            <v>12192094.989999998</v>
          </cell>
          <cell r="BN171">
            <v>12952959</v>
          </cell>
          <cell r="BO171">
            <v>12952959</v>
          </cell>
          <cell r="BP171">
            <v>4706001.9200000055</v>
          </cell>
          <cell r="BQ171">
            <v>0</v>
          </cell>
          <cell r="BR171">
            <v>42804014.909999996</v>
          </cell>
          <cell r="BT171">
            <v>32</v>
          </cell>
          <cell r="CA171" t="str">
            <v>CP3591 - REVTOT - Base</v>
          </cell>
          <cell r="CC171" t="str">
            <v>CP3591 - REVTOT - Base - MR</v>
          </cell>
          <cell r="CD171" t="str">
            <v>CP3591 - REVTOT - Base - MR</v>
          </cell>
          <cell r="CF171" t="str">
            <v>CP3591 - Base - MR</v>
          </cell>
        </row>
        <row r="172">
          <cell r="D172">
            <v>158</v>
          </cell>
          <cell r="E172">
            <v>1</v>
          </cell>
          <cell r="F172">
            <v>2</v>
          </cell>
          <cell r="G172" t="str">
            <v>CP3591</v>
          </cell>
          <cell r="H172" t="str">
            <v>CTRIC III Vietnam (3591)</v>
          </cell>
          <cell r="I172" t="str">
            <v>MR</v>
          </cell>
          <cell r="J172" t="str">
            <v>MR Non-Proliferation and Security Services</v>
          </cell>
          <cell r="K172" t="str">
            <v>DTRA</v>
          </cell>
          <cell r="L172" t="str">
            <v>DOD</v>
          </cell>
          <cell r="M172" t="str">
            <v>Vietnam</v>
          </cell>
          <cell r="N172" t="str">
            <v>OCONUS</v>
          </cell>
          <cell r="O172">
            <v>0</v>
          </cell>
          <cell r="P172">
            <v>0</v>
          </cell>
          <cell r="Q172">
            <v>0</v>
          </cell>
          <cell r="R172" t="str">
            <v>CPFF</v>
          </cell>
          <cell r="S172">
            <v>0</v>
          </cell>
          <cell r="T172">
            <v>1</v>
          </cell>
          <cell r="U172" t="str">
            <v>REVTOT</v>
          </cell>
          <cell r="V172" t="str">
            <v>Identified - Recompete</v>
          </cell>
          <cell r="W172">
            <v>0</v>
          </cell>
          <cell r="X172">
            <v>0</v>
          </cell>
          <cell r="Y172">
            <v>0</v>
          </cell>
          <cell r="Z172">
            <v>0</v>
          </cell>
          <cell r="AA172">
            <v>0</v>
          </cell>
          <cell r="AB172">
            <v>0</v>
          </cell>
          <cell r="AC172">
            <v>0</v>
          </cell>
          <cell r="AD172">
            <v>0</v>
          </cell>
          <cell r="AI172">
            <v>0</v>
          </cell>
          <cell r="AJ172">
            <v>0</v>
          </cell>
          <cell r="AK172">
            <v>0</v>
          </cell>
          <cell r="BB172">
            <v>0</v>
          </cell>
          <cell r="BC172">
            <v>0</v>
          </cell>
          <cell r="BD172">
            <v>0</v>
          </cell>
          <cell r="BE172">
            <v>0</v>
          </cell>
          <cell r="BI172">
            <v>0</v>
          </cell>
          <cell r="BJ172">
            <v>0</v>
          </cell>
          <cell r="BK172">
            <v>0</v>
          </cell>
          <cell r="BL172">
            <v>0</v>
          </cell>
          <cell r="BM172">
            <v>0</v>
          </cell>
          <cell r="BN172">
            <v>0</v>
          </cell>
          <cell r="BO172">
            <v>0</v>
          </cell>
          <cell r="BP172">
            <v>0</v>
          </cell>
          <cell r="BQ172">
            <v>0</v>
          </cell>
          <cell r="BR172">
            <v>0</v>
          </cell>
          <cell r="BT172">
            <v>32</v>
          </cell>
          <cell r="CA172" t="str">
            <v>CP3591 - REVTOT - Identified - Recompete</v>
          </cell>
          <cell r="CC172" t="str">
            <v>CP3591 - REVTOT - Identified - Recompete - MR</v>
          </cell>
          <cell r="CD172" t="str">
            <v/>
          </cell>
          <cell r="CF172" t="str">
            <v>CP3591 - Identified - Recompete - MR</v>
          </cell>
        </row>
        <row r="173">
          <cell r="D173">
            <v>159</v>
          </cell>
          <cell r="E173">
            <v>2</v>
          </cell>
          <cell r="F173">
            <v>3</v>
          </cell>
          <cell r="G173" t="str">
            <v>CP3591</v>
          </cell>
          <cell r="H173" t="str">
            <v>CTRIC III Vietnam (3591)</v>
          </cell>
          <cell r="I173" t="str">
            <v>MR</v>
          </cell>
          <cell r="J173" t="str">
            <v>MR Non-Proliferation and Security Services</v>
          </cell>
          <cell r="K173" t="str">
            <v>DTRA</v>
          </cell>
          <cell r="L173" t="str">
            <v>DOD</v>
          </cell>
          <cell r="M173" t="str">
            <v>Vietnam</v>
          </cell>
          <cell r="N173" t="str">
            <v>OCONUS</v>
          </cell>
          <cell r="O173">
            <v>43367</v>
          </cell>
          <cell r="P173">
            <v>44462</v>
          </cell>
          <cell r="Q173" t="str">
            <v>Prime</v>
          </cell>
          <cell r="R173" t="str">
            <v>CPFF</v>
          </cell>
          <cell r="S173">
            <v>0</v>
          </cell>
          <cell r="T173">
            <v>1</v>
          </cell>
          <cell r="U173" t="str">
            <v>CONTRACT</v>
          </cell>
          <cell r="V173" t="str">
            <v>Base</v>
          </cell>
          <cell r="W173" t="str">
            <v>05 Won</v>
          </cell>
          <cell r="X173" t="str">
            <v>Active</v>
          </cell>
          <cell r="Y173">
            <v>1</v>
          </cell>
          <cell r="Z173">
            <v>0</v>
          </cell>
          <cell r="AA173">
            <v>18482029.920000006</v>
          </cell>
          <cell r="AB173">
            <v>12129890</v>
          </cell>
          <cell r="AC173">
            <v>0</v>
          </cell>
          <cell r="AD173">
            <v>30611919.920000006</v>
          </cell>
          <cell r="AL173">
            <v>0</v>
          </cell>
          <cell r="AM173">
            <v>0</v>
          </cell>
          <cell r="AN173">
            <v>0.18284944696348554</v>
          </cell>
          <cell r="AO173">
            <v>0.12546627394673865</v>
          </cell>
          <cell r="AP173">
            <v>0.12504832007883293</v>
          </cell>
          <cell r="AQ173">
            <v>0.12504832007883293</v>
          </cell>
          <cell r="AR173">
            <v>0.12504832007883293</v>
          </cell>
          <cell r="AS173">
            <v>0.12504832007883293</v>
          </cell>
          <cell r="BF173">
            <v>0</v>
          </cell>
          <cell r="BG173">
            <v>0</v>
          </cell>
          <cell r="BH173">
            <v>3887.0300000000025</v>
          </cell>
          <cell r="BI173">
            <v>106187.23000000004</v>
          </cell>
          <cell r="BJ173">
            <v>401850.35999999987</v>
          </cell>
          <cell r="BK173">
            <v>425391.84999999986</v>
          </cell>
          <cell r="BL173">
            <v>596267.2899999998</v>
          </cell>
          <cell r="BM173">
            <v>1529696.7299999995</v>
          </cell>
          <cell r="BN173">
            <v>1619745.7629999998</v>
          </cell>
          <cell r="BO173">
            <v>1619745.7629999998</v>
          </cell>
          <cell r="BP173">
            <v>588477.63438376307</v>
          </cell>
          <cell r="BQ173">
            <v>0</v>
          </cell>
          <cell r="BR173">
            <v>5357665.8903837623</v>
          </cell>
          <cell r="BT173">
            <v>32</v>
          </cell>
          <cell r="CA173" t="str">
            <v>CP3591 - CONTRACT - Base</v>
          </cell>
          <cell r="CC173" t="str">
            <v>CP3591 - CONTRACT - Base - MR</v>
          </cell>
          <cell r="CD173" t="str">
            <v/>
          </cell>
          <cell r="CF173" t="str">
            <v>CP3591 - Base - MR</v>
          </cell>
        </row>
        <row r="174">
          <cell r="D174">
            <v>160</v>
          </cell>
          <cell r="E174">
            <v>2</v>
          </cell>
          <cell r="F174">
            <v>4</v>
          </cell>
          <cell r="G174" t="str">
            <v>CP3591</v>
          </cell>
          <cell r="H174" t="str">
            <v>CTRIC III Vietnam (3591)</v>
          </cell>
          <cell r="I174" t="str">
            <v>MR</v>
          </cell>
          <cell r="J174" t="str">
            <v>MR Non-Proliferation and Security Services</v>
          </cell>
          <cell r="K174" t="str">
            <v>DTRA</v>
          </cell>
          <cell r="L174" t="str">
            <v>DOD</v>
          </cell>
          <cell r="M174" t="str">
            <v>Vietnam</v>
          </cell>
          <cell r="N174" t="str">
            <v>OCONUS</v>
          </cell>
          <cell r="O174">
            <v>0</v>
          </cell>
          <cell r="P174">
            <v>0</v>
          </cell>
          <cell r="Q174">
            <v>0</v>
          </cell>
          <cell r="R174" t="str">
            <v>CPFF</v>
          </cell>
          <cell r="S174">
            <v>0</v>
          </cell>
          <cell r="T174">
            <v>1</v>
          </cell>
          <cell r="U174" t="str">
            <v>CONTRACT</v>
          </cell>
          <cell r="V174" t="str">
            <v>Identified - Recompete</v>
          </cell>
          <cell r="W174">
            <v>0</v>
          </cell>
          <cell r="X174">
            <v>0</v>
          </cell>
          <cell r="Y174">
            <v>0</v>
          </cell>
          <cell r="Z174">
            <v>0</v>
          </cell>
          <cell r="AA174">
            <v>0</v>
          </cell>
          <cell r="AB174">
            <v>0</v>
          </cell>
          <cell r="AC174">
            <v>0</v>
          </cell>
          <cell r="AD174">
            <v>0</v>
          </cell>
          <cell r="AP174">
            <v>0.12504832007883293</v>
          </cell>
          <cell r="AQ174">
            <v>0.12504832007883293</v>
          </cell>
          <cell r="AR174">
            <v>0.12504832007883293</v>
          </cell>
          <cell r="AS174">
            <v>0.12504832007883293</v>
          </cell>
          <cell r="BI174">
            <v>0</v>
          </cell>
          <cell r="BJ174">
            <v>0</v>
          </cell>
          <cell r="BK174">
            <v>0</v>
          </cell>
          <cell r="BL174">
            <v>0</v>
          </cell>
          <cell r="BM174">
            <v>0</v>
          </cell>
          <cell r="BN174">
            <v>0</v>
          </cell>
          <cell r="BO174">
            <v>0</v>
          </cell>
          <cell r="BP174">
            <v>0</v>
          </cell>
          <cell r="BQ174">
            <v>0</v>
          </cell>
          <cell r="BR174">
            <v>0</v>
          </cell>
          <cell r="BT174">
            <v>32</v>
          </cell>
          <cell r="CA174" t="str">
            <v>CP3591 - CONTRACT - Identified - Recompete</v>
          </cell>
          <cell r="CC174" t="str">
            <v>CP3591 - CONTRACT - Identified - Recompete - MR</v>
          </cell>
          <cell r="CD174" t="str">
            <v/>
          </cell>
          <cell r="CF174" t="str">
            <v>CP3591 - Identified - Recompete - MR</v>
          </cell>
        </row>
        <row r="175">
          <cell r="D175">
            <v>161</v>
          </cell>
          <cell r="E175">
            <v>0</v>
          </cell>
          <cell r="F175">
            <v>5</v>
          </cell>
          <cell r="G175" t="str">
            <v>CP3591</v>
          </cell>
          <cell r="H175" t="str">
            <v>CTRIC III Vietnam (3591)</v>
          </cell>
          <cell r="I175" t="str">
            <v>MR</v>
          </cell>
          <cell r="J175" t="str">
            <v>MR Non-Proliferation and Security Services</v>
          </cell>
          <cell r="K175" t="str">
            <v>DTRA</v>
          </cell>
          <cell r="L175" t="str">
            <v>DOD</v>
          </cell>
          <cell r="M175" t="str">
            <v>Vietnam</v>
          </cell>
          <cell r="N175" t="str">
            <v>OCONUS</v>
          </cell>
          <cell r="O175">
            <v>43367</v>
          </cell>
          <cell r="P175">
            <v>44462</v>
          </cell>
          <cell r="Q175" t="str">
            <v>Prime</v>
          </cell>
          <cell r="R175" t="str">
            <v>CPFF</v>
          </cell>
          <cell r="S175">
            <v>0</v>
          </cell>
          <cell r="T175">
            <v>1</v>
          </cell>
          <cell r="U175" t="str">
            <v>EBITA</v>
          </cell>
          <cell r="V175" t="str">
            <v>Base</v>
          </cell>
          <cell r="W175" t="str">
            <v>05 Won</v>
          </cell>
          <cell r="X175" t="str">
            <v>Active</v>
          </cell>
          <cell r="Y175">
            <v>1</v>
          </cell>
          <cell r="Z175">
            <v>0</v>
          </cell>
          <cell r="AA175">
            <v>18482029.920000006</v>
          </cell>
          <cell r="AB175">
            <v>12129890</v>
          </cell>
          <cell r="AC175">
            <v>0</v>
          </cell>
          <cell r="AD175">
            <v>30611919.920000006</v>
          </cell>
          <cell r="AT175">
            <v>0</v>
          </cell>
          <cell r="AU175">
            <v>0</v>
          </cell>
          <cell r="AV175">
            <v>4.7619047619047748E-2</v>
          </cell>
          <cell r="AW175">
            <v>4.1106504699238704E-2</v>
          </cell>
          <cell r="AX175">
            <v>3.2881926804262912E-2</v>
          </cell>
          <cell r="AY175">
            <v>3.2881926804262912E-2</v>
          </cell>
          <cell r="AZ175">
            <v>3.2881926804262912E-2</v>
          </cell>
          <cell r="BA175">
            <v>3.2881926804262912E-2</v>
          </cell>
          <cell r="BF175">
            <v>0</v>
          </cell>
          <cell r="BG175">
            <v>0</v>
          </cell>
          <cell r="BH175">
            <v>1012.2900000000027</v>
          </cell>
          <cell r="BI175">
            <v>32442.850000000035</v>
          </cell>
          <cell r="BJ175">
            <v>146244.43999999989</v>
          </cell>
          <cell r="BK175">
            <v>155954.50999999983</v>
          </cell>
          <cell r="BL175">
            <v>166532.60999999981</v>
          </cell>
          <cell r="BM175">
            <v>501174.40999999957</v>
          </cell>
          <cell r="BN175">
            <v>425918.24973661854</v>
          </cell>
          <cell r="BO175">
            <v>425918.24973661854</v>
          </cell>
          <cell r="BP175">
            <v>154742.4106741609</v>
          </cell>
          <cell r="BQ175">
            <v>0</v>
          </cell>
          <cell r="BR175">
            <v>1507753.3201473975</v>
          </cell>
          <cell r="BT175">
            <v>32</v>
          </cell>
          <cell r="CA175" t="str">
            <v>CP3591 - EBITA - Base</v>
          </cell>
          <cell r="CC175" t="str">
            <v>CP3591 - EBITA - Base - MR</v>
          </cell>
          <cell r="CD175" t="str">
            <v/>
          </cell>
          <cell r="CF175" t="str">
            <v>CP3591 - Base - MR</v>
          </cell>
        </row>
        <row r="176">
          <cell r="D176">
            <v>162</v>
          </cell>
          <cell r="E176">
            <v>0</v>
          </cell>
          <cell r="F176">
            <v>0</v>
          </cell>
          <cell r="G176" t="str">
            <v>CP3591</v>
          </cell>
          <cell r="H176" t="str">
            <v>CTRIC III Vietnam (3591)</v>
          </cell>
          <cell r="I176" t="str">
            <v>MR</v>
          </cell>
          <cell r="J176" t="str">
            <v>MR Non-Proliferation and Security Services</v>
          </cell>
          <cell r="K176" t="str">
            <v>DTRA</v>
          </cell>
          <cell r="L176" t="str">
            <v>DOD</v>
          </cell>
          <cell r="M176" t="str">
            <v>Vietnam</v>
          </cell>
          <cell r="N176" t="str">
            <v>OCONUS</v>
          </cell>
          <cell r="O176">
            <v>0</v>
          </cell>
          <cell r="P176">
            <v>0</v>
          </cell>
          <cell r="Q176">
            <v>0</v>
          </cell>
          <cell r="R176" t="str">
            <v>CPFF</v>
          </cell>
          <cell r="S176">
            <v>0</v>
          </cell>
          <cell r="T176">
            <v>1</v>
          </cell>
          <cell r="U176" t="str">
            <v>EBITA</v>
          </cell>
          <cell r="V176" t="str">
            <v>Identified - Recompete</v>
          </cell>
          <cell r="W176">
            <v>0</v>
          </cell>
          <cell r="X176">
            <v>0</v>
          </cell>
          <cell r="Y176">
            <v>0</v>
          </cell>
          <cell r="Z176">
            <v>0</v>
          </cell>
          <cell r="AA176">
            <v>0</v>
          </cell>
          <cell r="AB176">
            <v>0</v>
          </cell>
          <cell r="AC176">
            <v>0</v>
          </cell>
          <cell r="AD176">
            <v>0</v>
          </cell>
          <cell r="AX176">
            <v>3.2881926804262912E-2</v>
          </cell>
          <cell r="AY176">
            <v>3.2881926804262912E-2</v>
          </cell>
          <cell r="AZ176">
            <v>3.2881926804262912E-2</v>
          </cell>
          <cell r="BA176">
            <v>3.2881926804262912E-2</v>
          </cell>
          <cell r="BI176">
            <v>0</v>
          </cell>
          <cell r="BJ176">
            <v>0</v>
          </cell>
          <cell r="BK176">
            <v>0</v>
          </cell>
          <cell r="BL176">
            <v>0</v>
          </cell>
          <cell r="BM176">
            <v>0</v>
          </cell>
          <cell r="BN176">
            <v>0</v>
          </cell>
          <cell r="BO176">
            <v>0</v>
          </cell>
          <cell r="BP176">
            <v>0</v>
          </cell>
          <cell r="BQ176">
            <v>0</v>
          </cell>
          <cell r="BR176">
            <v>0</v>
          </cell>
          <cell r="BT176">
            <v>32</v>
          </cell>
          <cell r="CA176" t="str">
            <v>CP3591 - EBITA - Identified - Recompete</v>
          </cell>
          <cell r="CC176" t="str">
            <v>CP3591 - EBITA - Identified - Recompete - MR</v>
          </cell>
          <cell r="CD176" t="str">
            <v/>
          </cell>
          <cell r="CF176" t="str">
            <v>CP3591 - Identified - Recompete - MR</v>
          </cell>
        </row>
        <row r="177">
          <cell r="D177">
            <v>163</v>
          </cell>
          <cell r="E177">
            <v>1</v>
          </cell>
          <cell r="F177">
            <v>1</v>
          </cell>
          <cell r="G177" t="str">
            <v>CTTRXX</v>
          </cell>
          <cell r="H177" t="str">
            <v>CTTR</v>
          </cell>
          <cell r="I177" t="str">
            <v>MR</v>
          </cell>
          <cell r="J177" t="str">
            <v>MR Warfighter Support</v>
          </cell>
          <cell r="K177" t="str">
            <v>Navy</v>
          </cell>
          <cell r="L177" t="str">
            <v>DOD</v>
          </cell>
          <cell r="M177" t="str">
            <v>US_State</v>
          </cell>
          <cell r="N177" t="str">
            <v>CONUS</v>
          </cell>
          <cell r="O177">
            <v>41730</v>
          </cell>
          <cell r="P177">
            <v>43920</v>
          </cell>
          <cell r="Q177" t="str">
            <v>Prime</v>
          </cell>
          <cell r="R177" t="str">
            <v>CPFF</v>
          </cell>
          <cell r="S177">
            <v>0</v>
          </cell>
          <cell r="T177">
            <v>1</v>
          </cell>
          <cell r="U177" t="str">
            <v>REVTOT</v>
          </cell>
          <cell r="V177" t="str">
            <v>Base</v>
          </cell>
          <cell r="W177" t="str">
            <v>05 Won</v>
          </cell>
          <cell r="X177" t="str">
            <v>Active</v>
          </cell>
          <cell r="Y177">
            <v>1</v>
          </cell>
          <cell r="Z177">
            <v>0</v>
          </cell>
          <cell r="AA177">
            <v>-369014.55999997631</v>
          </cell>
          <cell r="AB177">
            <v>1916655.9099999964</v>
          </cell>
          <cell r="AC177">
            <v>70000000</v>
          </cell>
          <cell r="AD177">
            <v>71547641.350000024</v>
          </cell>
          <cell r="AE177">
            <v>1.8258591904612098E-2</v>
          </cell>
          <cell r="AF177">
            <v>8.1382136799596383E-2</v>
          </cell>
          <cell r="AG177">
            <v>0.13028460413199183</v>
          </cell>
          <cell r="AH177">
            <v>-0.5</v>
          </cell>
          <cell r="AI177">
            <v>0</v>
          </cell>
          <cell r="AJ177">
            <v>0</v>
          </cell>
          <cell r="AK177">
            <v>0</v>
          </cell>
          <cell r="BB177">
            <v>81614912.919999987</v>
          </cell>
          <cell r="BC177">
            <v>81614912.919999987</v>
          </cell>
          <cell r="BD177">
            <v>81614912.919999987</v>
          </cell>
          <cell r="BE177">
            <v>81614912.919999987</v>
          </cell>
          <cell r="BF177">
            <v>65575926.459999993</v>
          </cell>
          <cell r="BG177">
            <v>66773250.539999992</v>
          </cell>
          <cell r="BH177">
            <v>72207400.349999994</v>
          </cell>
          <cell r="BI177">
            <v>21749061.129999995</v>
          </cell>
          <cell r="BJ177">
            <v>20035480.259999998</v>
          </cell>
          <cell r="BK177">
            <v>20979637.530000001</v>
          </cell>
          <cell r="BL177">
            <v>18850734</v>
          </cell>
          <cell r="BM177">
            <v>81614912.919999987</v>
          </cell>
          <cell r="BN177">
            <v>40807456.459999993</v>
          </cell>
          <cell r="BO177">
            <v>0</v>
          </cell>
          <cell r="BP177">
            <v>0</v>
          </cell>
          <cell r="BQ177">
            <v>30740184.89000003</v>
          </cell>
          <cell r="BR177">
            <v>153162554.27000001</v>
          </cell>
          <cell r="BT177">
            <v>33</v>
          </cell>
          <cell r="CA177" t="str">
            <v>CTTRXX - REVTOT - Base</v>
          </cell>
          <cell r="CC177" t="str">
            <v>CTTRXX - REVTOT - Base - MR</v>
          </cell>
          <cell r="CD177" t="str">
            <v>CTTRXX - REVTOT - Base - MR</v>
          </cell>
          <cell r="CF177" t="str">
            <v>CTTRXX - Base - MR</v>
          </cell>
        </row>
        <row r="178">
          <cell r="D178">
            <v>164</v>
          </cell>
          <cell r="E178">
            <v>1</v>
          </cell>
          <cell r="F178">
            <v>2</v>
          </cell>
          <cell r="G178" t="str">
            <v>CTTRXX</v>
          </cell>
          <cell r="H178" t="str">
            <v>CTTR</v>
          </cell>
          <cell r="I178" t="str">
            <v>MR</v>
          </cell>
          <cell r="J178" t="str">
            <v>MR Warfighter Support</v>
          </cell>
          <cell r="K178" t="str">
            <v>Navy</v>
          </cell>
          <cell r="L178" t="str">
            <v>DOD</v>
          </cell>
          <cell r="M178" t="str">
            <v>US_State</v>
          </cell>
          <cell r="N178" t="str">
            <v>CONUS</v>
          </cell>
          <cell r="O178">
            <v>43922</v>
          </cell>
          <cell r="P178">
            <v>45746</v>
          </cell>
          <cell r="Q178" t="str">
            <v>Prime</v>
          </cell>
          <cell r="R178" t="str">
            <v>CPFF</v>
          </cell>
          <cell r="S178">
            <v>0</v>
          </cell>
          <cell r="T178">
            <v>1</v>
          </cell>
          <cell r="U178" t="str">
            <v>REVTOT</v>
          </cell>
          <cell r="V178" t="str">
            <v>Identified - Recompete</v>
          </cell>
          <cell r="W178" t="str">
            <v>04 Submitted</v>
          </cell>
          <cell r="X178" t="str">
            <v>Priority 1</v>
          </cell>
          <cell r="Y178">
            <v>0.6</v>
          </cell>
          <cell r="Z178">
            <v>730000000</v>
          </cell>
          <cell r="AA178">
            <v>0</v>
          </cell>
          <cell r="AB178">
            <v>0</v>
          </cell>
          <cell r="AC178">
            <v>0</v>
          </cell>
          <cell r="AD178">
            <v>0</v>
          </cell>
          <cell r="AI178">
            <v>0</v>
          </cell>
          <cell r="AJ178">
            <v>0</v>
          </cell>
          <cell r="AK178">
            <v>0</v>
          </cell>
          <cell r="BB178">
            <v>146000000</v>
          </cell>
          <cell r="BC178">
            <v>146000000</v>
          </cell>
          <cell r="BD178">
            <v>146000000</v>
          </cell>
          <cell r="BE178">
            <v>146000000</v>
          </cell>
          <cell r="BI178">
            <v>0</v>
          </cell>
          <cell r="BJ178">
            <v>0</v>
          </cell>
          <cell r="BK178">
            <v>0</v>
          </cell>
          <cell r="BL178">
            <v>0</v>
          </cell>
          <cell r="BM178">
            <v>0</v>
          </cell>
          <cell r="BN178">
            <v>43556666.666666664</v>
          </cell>
          <cell r="BO178">
            <v>87600000</v>
          </cell>
          <cell r="BP178">
            <v>87600000</v>
          </cell>
          <cell r="BQ178">
            <v>87600000</v>
          </cell>
          <cell r="BR178">
            <v>306356666.66666663</v>
          </cell>
          <cell r="BT178">
            <v>33</v>
          </cell>
          <cell r="CA178" t="str">
            <v>CTTRXX - REVTOT - Identified - Recompete</v>
          </cell>
          <cell r="CC178" t="str">
            <v>CTTRXX - REVTOT - Identified - Recompete - MR</v>
          </cell>
          <cell r="CD178" t="str">
            <v/>
          </cell>
          <cell r="CF178" t="str">
            <v>CTTRXX - Identified - Recompete - MR</v>
          </cell>
        </row>
        <row r="179">
          <cell r="D179">
            <v>165</v>
          </cell>
          <cell r="E179">
            <v>2</v>
          </cell>
          <cell r="F179">
            <v>3</v>
          </cell>
          <cell r="G179" t="str">
            <v>CTTRXX</v>
          </cell>
          <cell r="H179" t="str">
            <v>CTTR</v>
          </cell>
          <cell r="I179" t="str">
            <v>MR</v>
          </cell>
          <cell r="J179" t="str">
            <v>MR Warfighter Support</v>
          </cell>
          <cell r="K179" t="str">
            <v>Navy</v>
          </cell>
          <cell r="L179" t="str">
            <v>DOD</v>
          </cell>
          <cell r="M179" t="str">
            <v>US_State</v>
          </cell>
          <cell r="N179" t="str">
            <v>CONUS</v>
          </cell>
          <cell r="O179">
            <v>41730</v>
          </cell>
          <cell r="P179">
            <v>43920</v>
          </cell>
          <cell r="Q179" t="str">
            <v>Prime</v>
          </cell>
          <cell r="R179" t="str">
            <v>CPFF</v>
          </cell>
          <cell r="S179">
            <v>0</v>
          </cell>
          <cell r="T179">
            <v>1</v>
          </cell>
          <cell r="U179" t="str">
            <v>CONTRACT</v>
          </cell>
          <cell r="V179" t="str">
            <v>Base</v>
          </cell>
          <cell r="W179" t="str">
            <v>05 Won</v>
          </cell>
          <cell r="X179" t="str">
            <v>Active</v>
          </cell>
          <cell r="Y179">
            <v>1</v>
          </cell>
          <cell r="Z179">
            <v>0</v>
          </cell>
          <cell r="AA179">
            <v>-369014.55999997631</v>
          </cell>
          <cell r="AB179">
            <v>1916655.9099999964</v>
          </cell>
          <cell r="AC179">
            <v>70000000</v>
          </cell>
          <cell r="AD179">
            <v>71547641.350000024</v>
          </cell>
          <cell r="AL179">
            <v>8.8302666581952224E-2</v>
          </cell>
          <cell r="AM179">
            <v>9.2302981959937441E-2</v>
          </cell>
          <cell r="AN179">
            <v>7.5973158061492185E-2</v>
          </cell>
          <cell r="AO179">
            <v>8.0086521367815716E-2</v>
          </cell>
          <cell r="AP179">
            <v>0.11</v>
          </cell>
          <cell r="AQ179">
            <v>0.11</v>
          </cell>
          <cell r="AR179">
            <v>0.11</v>
          </cell>
          <cell r="AS179">
            <v>0.11</v>
          </cell>
          <cell r="BF179">
            <v>5790529.1699999981</v>
          </cell>
          <cell r="BG179">
            <v>6163370.1400000025</v>
          </cell>
          <cell r="BH179">
            <v>5485824.2399999956</v>
          </cell>
          <cell r="BI179">
            <v>1636856.9699999979</v>
          </cell>
          <cell r="BJ179">
            <v>1690992.6900000004</v>
          </cell>
          <cell r="BK179">
            <v>1726298.4099999992</v>
          </cell>
          <cell r="BL179">
            <v>1482106.3975000009</v>
          </cell>
          <cell r="BM179">
            <v>6536254.4674999984</v>
          </cell>
          <cell r="BN179">
            <v>4488820.2105999989</v>
          </cell>
          <cell r="BO179">
            <v>0</v>
          </cell>
          <cell r="BP179">
            <v>0</v>
          </cell>
          <cell r="BQ179">
            <v>3381420.3379000034</v>
          </cell>
          <cell r="BR179">
            <v>14406495.016000001</v>
          </cell>
          <cell r="BT179">
            <v>33</v>
          </cell>
          <cell r="CA179" t="str">
            <v>CTTRXX - CONTRACT - Base</v>
          </cell>
          <cell r="CC179" t="str">
            <v>CTTRXX - CONTRACT - Base - MR</v>
          </cell>
          <cell r="CD179" t="str">
            <v/>
          </cell>
          <cell r="CF179" t="str">
            <v>CTTRXX - Base - MR</v>
          </cell>
        </row>
        <row r="180">
          <cell r="D180">
            <v>166</v>
          </cell>
          <cell r="E180">
            <v>2</v>
          </cell>
          <cell r="F180">
            <v>4</v>
          </cell>
          <cell r="G180" t="str">
            <v>CTTRXX</v>
          </cell>
          <cell r="H180" t="str">
            <v>CTTR</v>
          </cell>
          <cell r="I180" t="str">
            <v>MR</v>
          </cell>
          <cell r="J180" t="str">
            <v>MR Warfighter Support</v>
          </cell>
          <cell r="K180" t="str">
            <v>Navy</v>
          </cell>
          <cell r="L180" t="str">
            <v>DOD</v>
          </cell>
          <cell r="M180" t="str">
            <v>US_State</v>
          </cell>
          <cell r="N180" t="str">
            <v>CONUS</v>
          </cell>
          <cell r="O180">
            <v>43922</v>
          </cell>
          <cell r="P180">
            <v>45746</v>
          </cell>
          <cell r="Q180" t="str">
            <v>Prime</v>
          </cell>
          <cell r="R180" t="str">
            <v>CPFF</v>
          </cell>
          <cell r="S180">
            <v>0</v>
          </cell>
          <cell r="T180">
            <v>1</v>
          </cell>
          <cell r="U180" t="str">
            <v>CONTRACT</v>
          </cell>
          <cell r="V180" t="str">
            <v>Identified - Recompete</v>
          </cell>
          <cell r="W180" t="str">
            <v>04 Submitted</v>
          </cell>
          <cell r="X180" t="str">
            <v>Priority 1</v>
          </cell>
          <cell r="Y180">
            <v>0.6</v>
          </cell>
          <cell r="Z180">
            <v>730000000</v>
          </cell>
          <cell r="AA180">
            <v>0</v>
          </cell>
          <cell r="AB180">
            <v>0</v>
          </cell>
          <cell r="AC180">
            <v>0</v>
          </cell>
          <cell r="AD180">
            <v>0</v>
          </cell>
          <cell r="AP180">
            <v>0.09</v>
          </cell>
          <cell r="AQ180">
            <v>0.09</v>
          </cell>
          <cell r="AR180">
            <v>0.09</v>
          </cell>
          <cell r="AS180">
            <v>0.09</v>
          </cell>
          <cell r="BI180">
            <v>0</v>
          </cell>
          <cell r="BJ180">
            <v>0</v>
          </cell>
          <cell r="BK180">
            <v>0</v>
          </cell>
          <cell r="BL180">
            <v>0</v>
          </cell>
          <cell r="BM180">
            <v>0</v>
          </cell>
          <cell r="BN180">
            <v>3920099.9999999995</v>
          </cell>
          <cell r="BO180">
            <v>7884000</v>
          </cell>
          <cell r="BP180">
            <v>7884000</v>
          </cell>
          <cell r="BQ180">
            <v>7884000</v>
          </cell>
          <cell r="BR180">
            <v>27572100</v>
          </cell>
          <cell r="BT180">
            <v>33</v>
          </cell>
          <cell r="CA180" t="str">
            <v>CTTRXX - CONTRACT - Identified - Recompete</v>
          </cell>
          <cell r="CC180" t="str">
            <v>CTTRXX - CONTRACT - Identified - Recompete - MR</v>
          </cell>
          <cell r="CD180" t="str">
            <v/>
          </cell>
          <cell r="CF180" t="str">
            <v>CTTRXX - Identified - Recompete - MR</v>
          </cell>
        </row>
        <row r="181">
          <cell r="D181">
            <v>167</v>
          </cell>
          <cell r="E181">
            <v>0</v>
          </cell>
          <cell r="F181">
            <v>5</v>
          </cell>
          <cell r="G181" t="str">
            <v>CTTRXX</v>
          </cell>
          <cell r="H181" t="str">
            <v>CTTR</v>
          </cell>
          <cell r="I181" t="str">
            <v>MR</v>
          </cell>
          <cell r="J181" t="str">
            <v>MR Warfighter Support</v>
          </cell>
          <cell r="K181" t="str">
            <v>Navy</v>
          </cell>
          <cell r="L181" t="str">
            <v>DOD</v>
          </cell>
          <cell r="M181" t="str">
            <v>US_State</v>
          </cell>
          <cell r="N181" t="str">
            <v>CONUS</v>
          </cell>
          <cell r="O181">
            <v>41730</v>
          </cell>
          <cell r="P181">
            <v>43920</v>
          </cell>
          <cell r="Q181" t="str">
            <v>Prime</v>
          </cell>
          <cell r="R181" t="str">
            <v>CPFF</v>
          </cell>
          <cell r="S181">
            <v>0</v>
          </cell>
          <cell r="T181">
            <v>1</v>
          </cell>
          <cell r="U181" t="str">
            <v>EBITA</v>
          </cell>
          <cell r="V181" t="str">
            <v>Base</v>
          </cell>
          <cell r="W181" t="str">
            <v>05 Won</v>
          </cell>
          <cell r="X181" t="str">
            <v>Active</v>
          </cell>
          <cell r="Y181">
            <v>1</v>
          </cell>
          <cell r="Z181">
            <v>0</v>
          </cell>
          <cell r="AA181">
            <v>-369014.55999997631</v>
          </cell>
          <cell r="AB181">
            <v>1916655.9099999964</v>
          </cell>
          <cell r="AC181">
            <v>70000000</v>
          </cell>
          <cell r="AD181">
            <v>71547641.350000024</v>
          </cell>
          <cell r="AT181">
            <v>4.4016971712334992E-3</v>
          </cell>
          <cell r="AU181">
            <v>9.3206678567666224E-3</v>
          </cell>
          <cell r="AV181">
            <v>-1.290796920374165E-3</v>
          </cell>
          <cell r="AW181">
            <v>3.0347329751215569E-3</v>
          </cell>
          <cell r="AX181">
            <v>0.02</v>
          </cell>
          <cell r="AY181">
            <v>0.02</v>
          </cell>
          <cell r="AZ181">
            <v>0.02</v>
          </cell>
          <cell r="BA181">
            <v>0.02</v>
          </cell>
          <cell r="BF181">
            <v>288645.36999999796</v>
          </cell>
          <cell r="BG181">
            <v>622371.29000000248</v>
          </cell>
          <cell r="BH181">
            <v>-93205.090000004391</v>
          </cell>
          <cell r="BI181">
            <v>55904.469999997818</v>
          </cell>
          <cell r="BJ181">
            <v>106275.57000000036</v>
          </cell>
          <cell r="BK181">
            <v>87019.029999999271</v>
          </cell>
          <cell r="BL181">
            <v>-1519.6024999991059</v>
          </cell>
          <cell r="BM181">
            <v>247679.46749999834</v>
          </cell>
          <cell r="BN181">
            <v>816149.12919999985</v>
          </cell>
          <cell r="BO181">
            <v>0</v>
          </cell>
          <cell r="BP181">
            <v>0</v>
          </cell>
          <cell r="BQ181">
            <v>614803.69780000066</v>
          </cell>
          <cell r="BR181">
            <v>1678632.2944999989</v>
          </cell>
          <cell r="BT181">
            <v>33</v>
          </cell>
          <cell r="CA181" t="str">
            <v>CTTRXX - EBITA - Base</v>
          </cell>
          <cell r="CC181" t="str">
            <v>CTTRXX - EBITA - Base - MR</v>
          </cell>
          <cell r="CD181" t="str">
            <v/>
          </cell>
          <cell r="CF181" t="str">
            <v>CTTRXX - Base - MR</v>
          </cell>
        </row>
        <row r="182">
          <cell r="D182">
            <v>168</v>
          </cell>
          <cell r="E182">
            <v>0</v>
          </cell>
          <cell r="F182">
            <v>0</v>
          </cell>
          <cell r="G182" t="str">
            <v>CTTRXX</v>
          </cell>
          <cell r="H182" t="str">
            <v>CTTR</v>
          </cell>
          <cell r="I182" t="str">
            <v>MR</v>
          </cell>
          <cell r="J182" t="str">
            <v>MR Warfighter Support</v>
          </cell>
          <cell r="K182" t="str">
            <v>Navy</v>
          </cell>
          <cell r="L182" t="str">
            <v>DOD</v>
          </cell>
          <cell r="M182" t="str">
            <v>US_State</v>
          </cell>
          <cell r="N182" t="str">
            <v>CONUS</v>
          </cell>
          <cell r="O182">
            <v>43922</v>
          </cell>
          <cell r="P182">
            <v>45746</v>
          </cell>
          <cell r="Q182" t="str">
            <v>Prime</v>
          </cell>
          <cell r="R182" t="str">
            <v>CPFF</v>
          </cell>
          <cell r="S182">
            <v>0</v>
          </cell>
          <cell r="T182">
            <v>1</v>
          </cell>
          <cell r="U182" t="str">
            <v>EBITA</v>
          </cell>
          <cell r="V182" t="str">
            <v>Identified - Recompete</v>
          </cell>
          <cell r="W182" t="str">
            <v>04 Submitted</v>
          </cell>
          <cell r="X182" t="str">
            <v>Priority 1</v>
          </cell>
          <cell r="Y182">
            <v>0.6</v>
          </cell>
          <cell r="Z182">
            <v>730000000</v>
          </cell>
          <cell r="AA182">
            <v>0</v>
          </cell>
          <cell r="AB182">
            <v>0</v>
          </cell>
          <cell r="AC182">
            <v>0</v>
          </cell>
          <cell r="AD182">
            <v>0</v>
          </cell>
          <cell r="AX182">
            <v>3.5000000000000003E-2</v>
          </cell>
          <cell r="AY182">
            <v>3.5000000000000003E-2</v>
          </cell>
          <cell r="AZ182">
            <v>3.5000000000000003E-2</v>
          </cell>
          <cell r="BA182">
            <v>3.5000000000000003E-2</v>
          </cell>
          <cell r="BI182">
            <v>0</v>
          </cell>
          <cell r="BJ182">
            <v>0</v>
          </cell>
          <cell r="BK182">
            <v>0</v>
          </cell>
          <cell r="BL182">
            <v>0</v>
          </cell>
          <cell r="BM182">
            <v>0</v>
          </cell>
          <cell r="BN182">
            <v>1524483.3333333335</v>
          </cell>
          <cell r="BO182">
            <v>3066000.0000000005</v>
          </cell>
          <cell r="BP182">
            <v>3066000.0000000005</v>
          </cell>
          <cell r="BQ182">
            <v>3066000.0000000005</v>
          </cell>
          <cell r="BR182">
            <v>10722483.333333334</v>
          </cell>
          <cell r="BT182">
            <v>33</v>
          </cell>
          <cell r="CA182" t="str">
            <v>CTTRXX - EBITA - Identified - Recompete</v>
          </cell>
          <cell r="CC182" t="str">
            <v>CTTRXX - EBITA - Identified - Recompete - MR</v>
          </cell>
          <cell r="CD182" t="str">
            <v/>
          </cell>
          <cell r="CF182" t="str">
            <v>CTTRXX - Identified - Recompete - MR</v>
          </cell>
        </row>
        <row r="183">
          <cell r="D183">
            <v>169</v>
          </cell>
          <cell r="E183">
            <v>1</v>
          </cell>
          <cell r="F183">
            <v>1</v>
          </cell>
          <cell r="G183" t="str">
            <v>POLKDO</v>
          </cell>
          <cell r="H183" t="str">
            <v>EAGLE Fort Polk DOL</v>
          </cell>
          <cell r="I183" t="str">
            <v>MR</v>
          </cell>
          <cell r="J183" t="str">
            <v>MR Maintenance &amp; Sustainment</v>
          </cell>
          <cell r="K183" t="str">
            <v>Army</v>
          </cell>
          <cell r="L183" t="str">
            <v>DOD</v>
          </cell>
          <cell r="M183" t="str">
            <v>LA</v>
          </cell>
          <cell r="N183" t="str">
            <v>CONUS</v>
          </cell>
          <cell r="O183">
            <v>42142</v>
          </cell>
          <cell r="P183">
            <v>43968</v>
          </cell>
          <cell r="Q183" t="str">
            <v>Prime</v>
          </cell>
          <cell r="R183" t="str">
            <v>CPFF</v>
          </cell>
          <cell r="S183">
            <v>0</v>
          </cell>
          <cell r="T183">
            <v>1</v>
          </cell>
          <cell r="U183" t="str">
            <v>REVTOT</v>
          </cell>
          <cell r="V183" t="str">
            <v>Base</v>
          </cell>
          <cell r="W183" t="str">
            <v>05 Won</v>
          </cell>
          <cell r="X183" t="str">
            <v>Active</v>
          </cell>
          <cell r="Y183">
            <v>1</v>
          </cell>
          <cell r="Z183">
            <v>0</v>
          </cell>
          <cell r="AA183">
            <v>10951610.780000012</v>
          </cell>
          <cell r="AB183">
            <v>0</v>
          </cell>
          <cell r="AC183">
            <v>0</v>
          </cell>
          <cell r="AD183">
            <v>10951610.780000012</v>
          </cell>
          <cell r="AE183">
            <v>0.18043989204438016</v>
          </cell>
          <cell r="AF183">
            <v>8.6699122332318801E-2</v>
          </cell>
          <cell r="AG183">
            <v>-1.9431340211969683E-2</v>
          </cell>
          <cell r="AH183">
            <v>-0.78243634230935366</v>
          </cell>
          <cell r="AI183">
            <v>0</v>
          </cell>
          <cell r="AJ183">
            <v>0</v>
          </cell>
          <cell r="AK183">
            <v>0</v>
          </cell>
          <cell r="BB183">
            <v>46265383</v>
          </cell>
          <cell r="BC183">
            <v>46265383</v>
          </cell>
          <cell r="BD183">
            <v>46265383</v>
          </cell>
          <cell r="BE183">
            <v>46265383</v>
          </cell>
          <cell r="BF183">
            <v>40018466.859999999</v>
          </cell>
          <cell r="BG183">
            <v>47239394.700000003</v>
          </cell>
          <cell r="BH183">
            <v>51335008.759999998</v>
          </cell>
          <cell r="BI183">
            <v>11989128.379999999</v>
          </cell>
          <cell r="BJ183">
            <v>13134208.02</v>
          </cell>
          <cell r="BK183">
            <v>13347707.34</v>
          </cell>
          <cell r="BL183">
            <v>11866457</v>
          </cell>
          <cell r="BM183">
            <v>50337500.739999995</v>
          </cell>
          <cell r="BN183">
            <v>10951610.780000012</v>
          </cell>
          <cell r="BO183">
            <v>0</v>
          </cell>
          <cell r="BP183">
            <v>0</v>
          </cell>
          <cell r="BQ183">
            <v>0</v>
          </cell>
          <cell r="BR183">
            <v>61289111.520000011</v>
          </cell>
          <cell r="BT183">
            <v>0</v>
          </cell>
          <cell r="CA183" t="str">
            <v>POLKDO - REVTOT - Base</v>
          </cell>
          <cell r="CC183" t="str">
            <v>POLKDO - REVTOT - Base - MR</v>
          </cell>
          <cell r="CD183" t="str">
            <v>POLKDO - REVTOT - Base - MR</v>
          </cell>
          <cell r="CF183" t="str">
            <v>POLKDO - Base - MR</v>
          </cell>
        </row>
        <row r="184">
          <cell r="D184">
            <v>170</v>
          </cell>
          <cell r="E184">
            <v>1</v>
          </cell>
          <cell r="F184">
            <v>2</v>
          </cell>
          <cell r="G184" t="str">
            <v>POLKDO</v>
          </cell>
          <cell r="H184" t="str">
            <v>EAGLE Fort Polk DOL</v>
          </cell>
          <cell r="I184" t="str">
            <v>MR</v>
          </cell>
          <cell r="J184" t="str">
            <v>MR Maintenance &amp; Sustainment</v>
          </cell>
          <cell r="K184" t="str">
            <v>Army</v>
          </cell>
          <cell r="L184" t="str">
            <v>DOD</v>
          </cell>
          <cell r="M184" t="str">
            <v>LA</v>
          </cell>
          <cell r="N184" t="str">
            <v>CONUS</v>
          </cell>
          <cell r="O184">
            <v>44109</v>
          </cell>
          <cell r="P184">
            <v>45935</v>
          </cell>
          <cell r="Q184" t="str">
            <v>Prime</v>
          </cell>
          <cell r="R184" t="str">
            <v>CPFF</v>
          </cell>
          <cell r="S184">
            <v>0</v>
          </cell>
          <cell r="T184">
            <v>1</v>
          </cell>
          <cell r="U184" t="str">
            <v>REVTOT</v>
          </cell>
          <cell r="V184" t="str">
            <v>Identified - Recompete</v>
          </cell>
          <cell r="W184" t="str">
            <v>03 Proposal</v>
          </cell>
          <cell r="X184" t="str">
            <v>Priority 2</v>
          </cell>
          <cell r="Y184">
            <v>0.33</v>
          </cell>
          <cell r="Z184">
            <v>146000000</v>
          </cell>
          <cell r="AA184">
            <v>0</v>
          </cell>
          <cell r="AB184">
            <v>0</v>
          </cell>
          <cell r="AC184">
            <v>0</v>
          </cell>
          <cell r="AD184">
            <v>0</v>
          </cell>
          <cell r="AI184">
            <v>0</v>
          </cell>
          <cell r="AJ184">
            <v>0</v>
          </cell>
          <cell r="AK184">
            <v>0</v>
          </cell>
          <cell r="BB184">
            <v>29200000</v>
          </cell>
          <cell r="BC184">
            <v>29200000</v>
          </cell>
          <cell r="BD184">
            <v>29200000</v>
          </cell>
          <cell r="BE184">
            <v>29200000</v>
          </cell>
          <cell r="BI184">
            <v>0</v>
          </cell>
          <cell r="BJ184">
            <v>0</v>
          </cell>
          <cell r="BK184">
            <v>0</v>
          </cell>
          <cell r="BL184">
            <v>0</v>
          </cell>
          <cell r="BM184">
            <v>0</v>
          </cell>
          <cell r="BN184">
            <v>0</v>
          </cell>
          <cell r="BO184">
            <v>9636000</v>
          </cell>
          <cell r="BP184">
            <v>9636000</v>
          </cell>
          <cell r="BQ184">
            <v>9636000</v>
          </cell>
          <cell r="BR184">
            <v>28908000</v>
          </cell>
          <cell r="BT184">
            <v>0</v>
          </cell>
          <cell r="CA184" t="str">
            <v>POLKDO - REVTOT - Identified - Recompete</v>
          </cell>
          <cell r="CC184" t="str">
            <v>POLKDO - REVTOT - Identified - Recompete - MR</v>
          </cell>
          <cell r="CD184" t="str">
            <v/>
          </cell>
          <cell r="CF184" t="str">
            <v>POLKDO - Identified - Recompete - MR</v>
          </cell>
        </row>
        <row r="185">
          <cell r="D185">
            <v>171</v>
          </cell>
          <cell r="E185">
            <v>2</v>
          </cell>
          <cell r="F185">
            <v>3</v>
          </cell>
          <cell r="G185" t="str">
            <v>POLKDO</v>
          </cell>
          <cell r="H185" t="str">
            <v>EAGLE Fort Polk DOL</v>
          </cell>
          <cell r="I185" t="str">
            <v>MR</v>
          </cell>
          <cell r="J185" t="str">
            <v>MR Maintenance &amp; Sustainment</v>
          </cell>
          <cell r="K185" t="str">
            <v>Army</v>
          </cell>
          <cell r="L185" t="str">
            <v>DOD</v>
          </cell>
          <cell r="M185" t="str">
            <v>LA</v>
          </cell>
          <cell r="N185" t="str">
            <v>CONUS</v>
          </cell>
          <cell r="O185">
            <v>42142</v>
          </cell>
          <cell r="P185">
            <v>43968</v>
          </cell>
          <cell r="Q185" t="str">
            <v>Prime</v>
          </cell>
          <cell r="R185" t="str">
            <v>CPFF</v>
          </cell>
          <cell r="S185">
            <v>0</v>
          </cell>
          <cell r="T185">
            <v>1</v>
          </cell>
          <cell r="U185" t="str">
            <v>CONTRACT</v>
          </cell>
          <cell r="V185" t="str">
            <v>Base</v>
          </cell>
          <cell r="W185" t="str">
            <v>05 Won</v>
          </cell>
          <cell r="X185" t="str">
            <v>Active</v>
          </cell>
          <cell r="Y185">
            <v>1</v>
          </cell>
          <cell r="Z185">
            <v>0</v>
          </cell>
          <cell r="AA185">
            <v>10951610.780000012</v>
          </cell>
          <cell r="AB185">
            <v>0</v>
          </cell>
          <cell r="AC185">
            <v>0</v>
          </cell>
          <cell r="AD185">
            <v>10951610.780000012</v>
          </cell>
          <cell r="AL185">
            <v>9.0371427837353191E-2</v>
          </cell>
          <cell r="AM185">
            <v>8.7682637897983015E-2</v>
          </cell>
          <cell r="AN185">
            <v>8.3761717078939465E-2</v>
          </cell>
          <cell r="AO185">
            <v>8.0140097356768331E-2</v>
          </cell>
          <cell r="AP185">
            <v>8.0362625334799445E-2</v>
          </cell>
          <cell r="AQ185">
            <v>8.0362625334799445E-2</v>
          </cell>
          <cell r="AR185">
            <v>8.0362625334799445E-2</v>
          </cell>
          <cell r="AS185">
            <v>8.0362625334799445E-2</v>
          </cell>
          <cell r="BF185">
            <v>3616525.99</v>
          </cell>
          <cell r="BG185">
            <v>4142074.7399999984</v>
          </cell>
          <cell r="BH185">
            <v>4299908.4799999986</v>
          </cell>
          <cell r="BI185">
            <v>968361.4999999986</v>
          </cell>
          <cell r="BJ185">
            <v>1031418.4299999997</v>
          </cell>
          <cell r="BK185">
            <v>1075331.1999999993</v>
          </cell>
          <cell r="BL185">
            <v>958941.08000000007</v>
          </cell>
          <cell r="BM185">
            <v>4034052.2099999976</v>
          </cell>
          <cell r="BN185">
            <v>880100.19392569165</v>
          </cell>
          <cell r="BO185">
            <v>0</v>
          </cell>
          <cell r="BP185">
            <v>0</v>
          </cell>
          <cell r="BQ185">
            <v>0</v>
          </cell>
          <cell r="BR185">
            <v>4914152.4039256889</v>
          </cell>
          <cell r="BT185">
            <v>0</v>
          </cell>
          <cell r="CA185" t="str">
            <v>POLKDO - CONTRACT - Base</v>
          </cell>
          <cell r="CC185" t="str">
            <v>POLKDO - CONTRACT - Base - MR</v>
          </cell>
          <cell r="CD185" t="str">
            <v/>
          </cell>
          <cell r="CF185" t="str">
            <v>POLKDO - Base - MR</v>
          </cell>
        </row>
        <row r="186">
          <cell r="D186">
            <v>172</v>
          </cell>
          <cell r="E186">
            <v>2</v>
          </cell>
          <cell r="F186">
            <v>4</v>
          </cell>
          <cell r="G186" t="str">
            <v>POLKDO</v>
          </cell>
          <cell r="H186" t="str">
            <v>EAGLE Fort Polk DOL</v>
          </cell>
          <cell r="I186" t="str">
            <v>MR</v>
          </cell>
          <cell r="J186" t="str">
            <v>MR Maintenance &amp; Sustainment</v>
          </cell>
          <cell r="K186" t="str">
            <v>Army</v>
          </cell>
          <cell r="L186" t="str">
            <v>DOD</v>
          </cell>
          <cell r="M186" t="str">
            <v>LA</v>
          </cell>
          <cell r="N186" t="str">
            <v>CONUS</v>
          </cell>
          <cell r="O186">
            <v>44109</v>
          </cell>
          <cell r="P186">
            <v>45935</v>
          </cell>
          <cell r="Q186" t="str">
            <v>Prime</v>
          </cell>
          <cell r="R186" t="str">
            <v>CPFF</v>
          </cell>
          <cell r="S186">
            <v>0</v>
          </cell>
          <cell r="T186">
            <v>1</v>
          </cell>
          <cell r="U186" t="str">
            <v>CONTRACT</v>
          </cell>
          <cell r="V186" t="str">
            <v>Identified - Recompete</v>
          </cell>
          <cell r="W186" t="str">
            <v>03 Proposal</v>
          </cell>
          <cell r="X186" t="str">
            <v>Priority 2</v>
          </cell>
          <cell r="Y186">
            <v>0.33</v>
          </cell>
          <cell r="Z186">
            <v>146000000</v>
          </cell>
          <cell r="AA186">
            <v>0</v>
          </cell>
          <cell r="AB186">
            <v>0</v>
          </cell>
          <cell r="AC186">
            <v>0</v>
          </cell>
          <cell r="AD186">
            <v>0</v>
          </cell>
          <cell r="AP186">
            <v>0.12</v>
          </cell>
          <cell r="AQ186">
            <v>0.12</v>
          </cell>
          <cell r="AR186">
            <v>0.12</v>
          </cell>
          <cell r="AS186">
            <v>0.12</v>
          </cell>
          <cell r="BI186">
            <v>0</v>
          </cell>
          <cell r="BJ186">
            <v>0</v>
          </cell>
          <cell r="BK186">
            <v>0</v>
          </cell>
          <cell r="BL186">
            <v>0</v>
          </cell>
          <cell r="BM186">
            <v>0</v>
          </cell>
          <cell r="BN186">
            <v>0</v>
          </cell>
          <cell r="BO186">
            <v>1156320</v>
          </cell>
          <cell r="BP186">
            <v>1156320</v>
          </cell>
          <cell r="BQ186">
            <v>1156320</v>
          </cell>
          <cell r="BR186">
            <v>3468960</v>
          </cell>
          <cell r="BT186">
            <v>0</v>
          </cell>
          <cell r="CA186" t="str">
            <v>POLKDO - CONTRACT - Identified - Recompete</v>
          </cell>
          <cell r="CC186" t="str">
            <v>POLKDO - CONTRACT - Identified - Recompete - MR</v>
          </cell>
          <cell r="CD186" t="str">
            <v/>
          </cell>
          <cell r="CF186" t="str">
            <v>POLKDO - Identified - Recompete - MR</v>
          </cell>
        </row>
        <row r="187">
          <cell r="D187">
            <v>173</v>
          </cell>
          <cell r="E187">
            <v>0</v>
          </cell>
          <cell r="F187">
            <v>5</v>
          </cell>
          <cell r="G187" t="str">
            <v>POLKDO</v>
          </cell>
          <cell r="H187" t="str">
            <v>EAGLE Fort Polk DOL</v>
          </cell>
          <cell r="I187" t="str">
            <v>MR</v>
          </cell>
          <cell r="J187" t="str">
            <v>MR Maintenance &amp; Sustainment</v>
          </cell>
          <cell r="K187" t="str">
            <v>Army</v>
          </cell>
          <cell r="L187" t="str">
            <v>DOD</v>
          </cell>
          <cell r="M187" t="str">
            <v>LA</v>
          </cell>
          <cell r="N187" t="str">
            <v>CONUS</v>
          </cell>
          <cell r="O187">
            <v>42142</v>
          </cell>
          <cell r="P187">
            <v>43968</v>
          </cell>
          <cell r="Q187" t="str">
            <v>Prime</v>
          </cell>
          <cell r="R187" t="str">
            <v>CPFF</v>
          </cell>
          <cell r="S187">
            <v>0</v>
          </cell>
          <cell r="T187">
            <v>1</v>
          </cell>
          <cell r="U187" t="str">
            <v>EBITA</v>
          </cell>
          <cell r="V187" t="str">
            <v>Base</v>
          </cell>
          <cell r="W187" t="str">
            <v>05 Won</v>
          </cell>
          <cell r="X187" t="str">
            <v>Active</v>
          </cell>
          <cell r="Y187">
            <v>1</v>
          </cell>
          <cell r="Z187">
            <v>0</v>
          </cell>
          <cell r="AA187">
            <v>10951610.780000012</v>
          </cell>
          <cell r="AB187">
            <v>0</v>
          </cell>
          <cell r="AC187">
            <v>0</v>
          </cell>
          <cell r="AD187">
            <v>10951610.780000012</v>
          </cell>
          <cell r="AT187">
            <v>9.6914474849024781E-3</v>
          </cell>
          <cell r="AU187">
            <v>8.1905630344581513E-3</v>
          </cell>
          <cell r="AV187">
            <v>7.0841957327835679E-3</v>
          </cell>
          <cell r="AW187">
            <v>2.9785159683856804E-3</v>
          </cell>
          <cell r="AX187">
            <v>4.9751100958269076E-3</v>
          </cell>
          <cell r="AY187">
            <v>4.9751100958269076E-3</v>
          </cell>
          <cell r="AZ187">
            <v>4.9751100958269076E-3</v>
          </cell>
          <cell r="BA187">
            <v>4.9751100958269076E-3</v>
          </cell>
          <cell r="BF187">
            <v>387836.87000000017</v>
          </cell>
          <cell r="BG187">
            <v>386917.2399999983</v>
          </cell>
          <cell r="BH187">
            <v>363667.24999999907</v>
          </cell>
          <cell r="BI187">
            <v>11505.509999998671</v>
          </cell>
          <cell r="BJ187">
            <v>28318.519999999728</v>
          </cell>
          <cell r="BK187">
            <v>35122.929999999236</v>
          </cell>
          <cell r="BL187">
            <v>74984.089762718359</v>
          </cell>
          <cell r="BM187">
            <v>149931.04976271599</v>
          </cell>
          <cell r="BN187">
            <v>54485.469357144859</v>
          </cell>
          <cell r="BO187">
            <v>0</v>
          </cell>
          <cell r="BP187">
            <v>0</v>
          </cell>
          <cell r="BQ187">
            <v>0</v>
          </cell>
          <cell r="BR187">
            <v>204416.51911986084</v>
          </cell>
          <cell r="BT187">
            <v>0</v>
          </cell>
          <cell r="CA187" t="str">
            <v>POLKDO - EBITA - Base</v>
          </cell>
          <cell r="CC187" t="str">
            <v>POLKDO - EBITA - Base - MR</v>
          </cell>
          <cell r="CD187" t="str">
            <v/>
          </cell>
          <cell r="CF187" t="str">
            <v>POLKDO - Base - MR</v>
          </cell>
        </row>
        <row r="188">
          <cell r="D188">
            <v>174</v>
          </cell>
          <cell r="E188">
            <v>0</v>
          </cell>
          <cell r="F188">
            <v>0</v>
          </cell>
          <cell r="G188" t="str">
            <v>POLKDO</v>
          </cell>
          <cell r="H188" t="str">
            <v>EAGLE Fort Polk DOL</v>
          </cell>
          <cell r="I188" t="str">
            <v>MR</v>
          </cell>
          <cell r="J188" t="str">
            <v>MR Maintenance &amp; Sustainment</v>
          </cell>
          <cell r="K188" t="str">
            <v>Army</v>
          </cell>
          <cell r="L188" t="str">
            <v>DOD</v>
          </cell>
          <cell r="M188" t="str">
            <v>LA</v>
          </cell>
          <cell r="N188" t="str">
            <v>CONUS</v>
          </cell>
          <cell r="O188">
            <v>44109</v>
          </cell>
          <cell r="P188">
            <v>45935</v>
          </cell>
          <cell r="Q188" t="str">
            <v>Prime</v>
          </cell>
          <cell r="R188" t="str">
            <v>CPFF</v>
          </cell>
          <cell r="S188">
            <v>0</v>
          </cell>
          <cell r="T188">
            <v>1</v>
          </cell>
          <cell r="U188" t="str">
            <v>EBITA</v>
          </cell>
          <cell r="V188" t="str">
            <v>Identified - Recompete</v>
          </cell>
          <cell r="W188" t="str">
            <v>03 Proposal</v>
          </cell>
          <cell r="X188" t="str">
            <v>Priority 2</v>
          </cell>
          <cell r="Y188">
            <v>0.33</v>
          </cell>
          <cell r="Z188">
            <v>146000000</v>
          </cell>
          <cell r="AA188">
            <v>0</v>
          </cell>
          <cell r="AB188">
            <v>0</v>
          </cell>
          <cell r="AC188">
            <v>0</v>
          </cell>
          <cell r="AD188">
            <v>0</v>
          </cell>
          <cell r="AX188">
            <v>2.5000000000000001E-2</v>
          </cell>
          <cell r="AY188">
            <v>2.5000000000000001E-2</v>
          </cell>
          <cell r="AZ188">
            <v>2.5000000000000001E-2</v>
          </cell>
          <cell r="BA188">
            <v>2.5000000000000001E-2</v>
          </cell>
          <cell r="BI188">
            <v>0</v>
          </cell>
          <cell r="BJ188">
            <v>0</v>
          </cell>
          <cell r="BK188">
            <v>0</v>
          </cell>
          <cell r="BL188">
            <v>0</v>
          </cell>
          <cell r="BM188">
            <v>0</v>
          </cell>
          <cell r="BN188">
            <v>0</v>
          </cell>
          <cell r="BO188">
            <v>240900</v>
          </cell>
          <cell r="BP188">
            <v>240900</v>
          </cell>
          <cell r="BQ188">
            <v>240900</v>
          </cell>
          <cell r="BR188">
            <v>722700</v>
          </cell>
          <cell r="BT188">
            <v>0</v>
          </cell>
          <cell r="CA188" t="str">
            <v>POLKDO - EBITA - Identified - Recompete</v>
          </cell>
          <cell r="CC188" t="str">
            <v>POLKDO - EBITA - Identified - Recompete - MR</v>
          </cell>
          <cell r="CD188" t="str">
            <v/>
          </cell>
          <cell r="CF188" t="str">
            <v>POLKDO - Identified - Recompete - MR</v>
          </cell>
        </row>
        <row r="189">
          <cell r="D189">
            <v>175</v>
          </cell>
          <cell r="E189">
            <v>1</v>
          </cell>
          <cell r="F189">
            <v>1</v>
          </cell>
          <cell r="G189" t="str">
            <v>MR Other</v>
          </cell>
          <cell r="H189" t="str">
            <v>MR Other</v>
          </cell>
          <cell r="I189" t="str">
            <v>MR</v>
          </cell>
          <cell r="J189" t="str">
            <v>MR MRD Other</v>
          </cell>
          <cell r="K189" t="str">
            <v>Multiple</v>
          </cell>
          <cell r="L189" t="str">
            <v>Other</v>
          </cell>
          <cell r="M189" t="str">
            <v>NV</v>
          </cell>
          <cell r="N189" t="str">
            <v>CONUS</v>
          </cell>
          <cell r="O189">
            <v>0</v>
          </cell>
          <cell r="P189">
            <v>0</v>
          </cell>
          <cell r="Q189" t="str">
            <v>Other</v>
          </cell>
          <cell r="R189" t="str">
            <v>Multi</v>
          </cell>
          <cell r="S189">
            <v>0</v>
          </cell>
          <cell r="T189">
            <v>1</v>
          </cell>
          <cell r="U189" t="str">
            <v>REVTOT</v>
          </cell>
          <cell r="V189" t="str">
            <v>Base</v>
          </cell>
          <cell r="W189" t="str">
            <v>05 Won</v>
          </cell>
          <cell r="X189" t="str">
            <v>Active</v>
          </cell>
          <cell r="Y189">
            <v>1</v>
          </cell>
          <cell r="Z189">
            <v>0</v>
          </cell>
          <cell r="AA189">
            <v>0</v>
          </cell>
          <cell r="AB189">
            <v>2866997299</v>
          </cell>
          <cell r="AC189">
            <v>0</v>
          </cell>
          <cell r="AD189">
            <v>2866997299</v>
          </cell>
          <cell r="AE189">
            <v>0</v>
          </cell>
          <cell r="AF189">
            <v>0</v>
          </cell>
          <cell r="AG189">
            <v>0</v>
          </cell>
          <cell r="AH189">
            <v>0</v>
          </cell>
          <cell r="AI189">
            <v>0</v>
          </cell>
          <cell r="AJ189">
            <v>0</v>
          </cell>
          <cell r="AK189">
            <v>0</v>
          </cell>
          <cell r="BB189">
            <v>0</v>
          </cell>
          <cell r="BC189">
            <v>0</v>
          </cell>
          <cell r="BD189">
            <v>0</v>
          </cell>
          <cell r="BE189">
            <v>0</v>
          </cell>
          <cell r="BF189">
            <v>0</v>
          </cell>
          <cell r="BG189">
            <v>0</v>
          </cell>
          <cell r="BH189">
            <v>0</v>
          </cell>
          <cell r="BI189">
            <v>0</v>
          </cell>
          <cell r="BJ189">
            <v>0</v>
          </cell>
          <cell r="BK189">
            <v>0</v>
          </cell>
          <cell r="BL189">
            <v>0</v>
          </cell>
          <cell r="BM189">
            <v>0</v>
          </cell>
          <cell r="BN189">
            <v>0</v>
          </cell>
          <cell r="BO189">
            <v>0</v>
          </cell>
          <cell r="BP189">
            <v>0</v>
          </cell>
          <cell r="BQ189">
            <v>0</v>
          </cell>
          <cell r="BR189">
            <v>0</v>
          </cell>
          <cell r="BT189">
            <v>0</v>
          </cell>
          <cell r="CA189" t="str">
            <v>MR Other - REVTOT - Base</v>
          </cell>
          <cell r="CC189" t="str">
            <v>MR Other - REVTOT - Base - MR</v>
          </cell>
          <cell r="CD189" t="str">
            <v>MR Other - REVTOT - Base - MR</v>
          </cell>
          <cell r="CF189" t="str">
            <v>MR Other - Base - MR</v>
          </cell>
        </row>
        <row r="190">
          <cell r="D190">
            <v>176</v>
          </cell>
          <cell r="E190">
            <v>1</v>
          </cell>
          <cell r="F190">
            <v>2</v>
          </cell>
          <cell r="G190" t="str">
            <v>MR Other</v>
          </cell>
          <cell r="H190" t="str">
            <v>MR Other</v>
          </cell>
          <cell r="I190" t="str">
            <v>MR</v>
          </cell>
          <cell r="J190" t="str">
            <v>MR MRD Other</v>
          </cell>
          <cell r="K190" t="str">
            <v>Multiple</v>
          </cell>
          <cell r="L190" t="str">
            <v>Other</v>
          </cell>
          <cell r="M190" t="str">
            <v>NV</v>
          </cell>
          <cell r="N190" t="str">
            <v>CONUS</v>
          </cell>
          <cell r="O190">
            <v>0</v>
          </cell>
          <cell r="P190">
            <v>0</v>
          </cell>
          <cell r="Q190">
            <v>0</v>
          </cell>
          <cell r="R190" t="str">
            <v>Multi</v>
          </cell>
          <cell r="S190">
            <v>0</v>
          </cell>
          <cell r="T190">
            <v>1</v>
          </cell>
          <cell r="U190" t="str">
            <v>REVTOT</v>
          </cell>
          <cell r="V190" t="str">
            <v>Identified - Recompete</v>
          </cell>
          <cell r="W190">
            <v>0</v>
          </cell>
          <cell r="X190">
            <v>0</v>
          </cell>
          <cell r="Y190">
            <v>0</v>
          </cell>
          <cell r="Z190">
            <v>0</v>
          </cell>
          <cell r="AA190">
            <v>0</v>
          </cell>
          <cell r="AB190">
            <v>0</v>
          </cell>
          <cell r="AC190">
            <v>0</v>
          </cell>
          <cell r="AD190">
            <v>0</v>
          </cell>
          <cell r="AI190">
            <v>0</v>
          </cell>
          <cell r="AJ190">
            <v>0</v>
          </cell>
          <cell r="AK190">
            <v>0</v>
          </cell>
          <cell r="BB190">
            <v>0</v>
          </cell>
          <cell r="BC190">
            <v>0</v>
          </cell>
          <cell r="BD190">
            <v>0</v>
          </cell>
          <cell r="BE190">
            <v>0</v>
          </cell>
          <cell r="BI190">
            <v>0</v>
          </cell>
          <cell r="BJ190">
            <v>0</v>
          </cell>
          <cell r="BK190">
            <v>0</v>
          </cell>
          <cell r="BL190">
            <v>0</v>
          </cell>
          <cell r="BM190">
            <v>0</v>
          </cell>
          <cell r="BN190">
            <v>0</v>
          </cell>
          <cell r="BO190">
            <v>0</v>
          </cell>
          <cell r="BP190">
            <v>0</v>
          </cell>
          <cell r="BQ190">
            <v>0</v>
          </cell>
          <cell r="BR190">
            <v>0</v>
          </cell>
          <cell r="BT190">
            <v>0</v>
          </cell>
          <cell r="CA190" t="str">
            <v>MR Other - REVTOT - Identified - Recompete</v>
          </cell>
          <cell r="CC190" t="str">
            <v>MR Other - REVTOT - Identified - Recompete - MR</v>
          </cell>
          <cell r="CD190" t="str">
            <v/>
          </cell>
          <cell r="CF190" t="str">
            <v>MR Other - Identified - Recompete - MR</v>
          </cell>
        </row>
        <row r="191">
          <cell r="D191">
            <v>177</v>
          </cell>
          <cell r="E191">
            <v>2</v>
          </cell>
          <cell r="F191">
            <v>3</v>
          </cell>
          <cell r="G191" t="str">
            <v>MR Other</v>
          </cell>
          <cell r="H191" t="str">
            <v>MR Other</v>
          </cell>
          <cell r="I191" t="str">
            <v>MR</v>
          </cell>
          <cell r="J191" t="str">
            <v>MR MRD Other</v>
          </cell>
          <cell r="K191" t="str">
            <v>Multiple</v>
          </cell>
          <cell r="L191" t="str">
            <v>Other</v>
          </cell>
          <cell r="M191" t="str">
            <v>NV</v>
          </cell>
          <cell r="N191" t="str">
            <v>CONUS</v>
          </cell>
          <cell r="O191">
            <v>0</v>
          </cell>
          <cell r="P191">
            <v>0</v>
          </cell>
          <cell r="Q191" t="str">
            <v>Other</v>
          </cell>
          <cell r="R191" t="str">
            <v>Multi</v>
          </cell>
          <cell r="S191">
            <v>0</v>
          </cell>
          <cell r="T191">
            <v>1</v>
          </cell>
          <cell r="U191" t="str">
            <v>CONTRACT</v>
          </cell>
          <cell r="V191" t="str">
            <v>Base</v>
          </cell>
          <cell r="W191" t="str">
            <v>05 Won</v>
          </cell>
          <cell r="X191" t="str">
            <v>Active</v>
          </cell>
          <cell r="Y191">
            <v>1</v>
          </cell>
          <cell r="Z191">
            <v>0</v>
          </cell>
          <cell r="AA191">
            <v>0</v>
          </cell>
          <cell r="AB191">
            <v>2866997299</v>
          </cell>
          <cell r="AC191">
            <v>0</v>
          </cell>
          <cell r="AD191">
            <v>2866997299</v>
          </cell>
          <cell r="AL191">
            <v>0</v>
          </cell>
          <cell r="AM191">
            <v>0</v>
          </cell>
          <cell r="AN191">
            <v>0</v>
          </cell>
          <cell r="AO191">
            <v>0</v>
          </cell>
          <cell r="AP191">
            <v>0</v>
          </cell>
          <cell r="AQ191">
            <v>0</v>
          </cell>
          <cell r="AR191">
            <v>0</v>
          </cell>
          <cell r="AS191">
            <v>0</v>
          </cell>
          <cell r="BF191">
            <v>0</v>
          </cell>
          <cell r="BG191">
            <v>0</v>
          </cell>
          <cell r="BH191">
            <v>0</v>
          </cell>
          <cell r="BI191">
            <v>0</v>
          </cell>
          <cell r="BJ191">
            <v>0</v>
          </cell>
          <cell r="BK191">
            <v>0</v>
          </cell>
          <cell r="BL191">
            <v>0</v>
          </cell>
          <cell r="BM191">
            <v>0</v>
          </cell>
          <cell r="BN191">
            <v>0</v>
          </cell>
          <cell r="BO191">
            <v>0</v>
          </cell>
          <cell r="BP191">
            <v>0</v>
          </cell>
          <cell r="BQ191">
            <v>0</v>
          </cell>
          <cell r="BR191">
            <v>0</v>
          </cell>
          <cell r="BT191">
            <v>0</v>
          </cell>
          <cell r="CA191" t="str">
            <v>MR Other - CONTRACT - Base</v>
          </cell>
          <cell r="CC191" t="str">
            <v>MR Other - CONTRACT - Base - MR</v>
          </cell>
          <cell r="CD191" t="str">
            <v/>
          </cell>
          <cell r="CF191" t="str">
            <v>MR Other - Base - MR</v>
          </cell>
        </row>
        <row r="192">
          <cell r="D192">
            <v>178</v>
          </cell>
          <cell r="E192">
            <v>2</v>
          </cell>
          <cell r="F192">
            <v>4</v>
          </cell>
          <cell r="G192" t="str">
            <v>MR Other</v>
          </cell>
          <cell r="H192" t="str">
            <v>MR Other</v>
          </cell>
          <cell r="I192" t="str">
            <v>MR</v>
          </cell>
          <cell r="J192" t="str">
            <v>MR MRD Other</v>
          </cell>
          <cell r="K192" t="str">
            <v>Multiple</v>
          </cell>
          <cell r="L192" t="str">
            <v>Other</v>
          </cell>
          <cell r="M192" t="str">
            <v>NV</v>
          </cell>
          <cell r="N192" t="str">
            <v>CONUS</v>
          </cell>
          <cell r="O192">
            <v>0</v>
          </cell>
          <cell r="P192">
            <v>0</v>
          </cell>
          <cell r="Q192">
            <v>0</v>
          </cell>
          <cell r="R192" t="str">
            <v>Multi</v>
          </cell>
          <cell r="S192">
            <v>0</v>
          </cell>
          <cell r="T192">
            <v>1</v>
          </cell>
          <cell r="U192" t="str">
            <v>CONTRACT</v>
          </cell>
          <cell r="V192" t="str">
            <v>Identified - Recompete</v>
          </cell>
          <cell r="W192">
            <v>0</v>
          </cell>
          <cell r="X192">
            <v>0</v>
          </cell>
          <cell r="Y192">
            <v>0</v>
          </cell>
          <cell r="Z192">
            <v>0</v>
          </cell>
          <cell r="AA192">
            <v>0</v>
          </cell>
          <cell r="AB192">
            <v>0</v>
          </cell>
          <cell r="AC192">
            <v>0</v>
          </cell>
          <cell r="AD192">
            <v>0</v>
          </cell>
          <cell r="AP192">
            <v>0</v>
          </cell>
          <cell r="AQ192">
            <v>0</v>
          </cell>
          <cell r="AR192">
            <v>0</v>
          </cell>
          <cell r="AS192">
            <v>0</v>
          </cell>
          <cell r="BI192">
            <v>0</v>
          </cell>
          <cell r="BJ192">
            <v>0</v>
          </cell>
          <cell r="BK192">
            <v>0</v>
          </cell>
          <cell r="BL192">
            <v>0</v>
          </cell>
          <cell r="BM192">
            <v>0</v>
          </cell>
          <cell r="BN192">
            <v>0</v>
          </cell>
          <cell r="BO192">
            <v>0</v>
          </cell>
          <cell r="BP192">
            <v>0</v>
          </cell>
          <cell r="BQ192">
            <v>0</v>
          </cell>
          <cell r="BR192">
            <v>0</v>
          </cell>
          <cell r="BT192">
            <v>0</v>
          </cell>
          <cell r="CA192" t="str">
            <v>MR Other - CONTRACT - Identified - Recompete</v>
          </cell>
          <cell r="CC192" t="str">
            <v>MR Other - CONTRACT - Identified - Recompete - MR</v>
          </cell>
          <cell r="CD192" t="str">
            <v/>
          </cell>
          <cell r="CF192" t="str">
            <v>MR Other - Identified - Recompete - MR</v>
          </cell>
        </row>
        <row r="193">
          <cell r="D193">
            <v>179</v>
          </cell>
          <cell r="E193">
            <v>0</v>
          </cell>
          <cell r="F193">
            <v>5</v>
          </cell>
          <cell r="G193" t="str">
            <v>MR Other</v>
          </cell>
          <cell r="H193" t="str">
            <v>MR Other</v>
          </cell>
          <cell r="I193" t="str">
            <v>MR</v>
          </cell>
          <cell r="J193" t="str">
            <v>MR MRD Other</v>
          </cell>
          <cell r="K193" t="str">
            <v>Multiple</v>
          </cell>
          <cell r="L193" t="str">
            <v>Other</v>
          </cell>
          <cell r="M193" t="str">
            <v>NV</v>
          </cell>
          <cell r="N193" t="str">
            <v>CONUS</v>
          </cell>
          <cell r="O193">
            <v>0</v>
          </cell>
          <cell r="P193">
            <v>0</v>
          </cell>
          <cell r="Q193" t="str">
            <v>Other</v>
          </cell>
          <cell r="R193" t="str">
            <v>Multi</v>
          </cell>
          <cell r="S193">
            <v>0</v>
          </cell>
          <cell r="T193">
            <v>1</v>
          </cell>
          <cell r="U193" t="str">
            <v>EBITA</v>
          </cell>
          <cell r="V193" t="str">
            <v>Base</v>
          </cell>
          <cell r="W193" t="str">
            <v>05 Won</v>
          </cell>
          <cell r="X193" t="str">
            <v>Active</v>
          </cell>
          <cell r="Y193">
            <v>1</v>
          </cell>
          <cell r="Z193">
            <v>0</v>
          </cell>
          <cell r="AA193">
            <v>0</v>
          </cell>
          <cell r="AB193">
            <v>2866997299</v>
          </cell>
          <cell r="AC193">
            <v>0</v>
          </cell>
          <cell r="AD193">
            <v>2866997299</v>
          </cell>
          <cell r="AT193">
            <v>0</v>
          </cell>
          <cell r="AU193">
            <v>0</v>
          </cell>
          <cell r="AV193">
            <v>0</v>
          </cell>
          <cell r="AW193">
            <v>0</v>
          </cell>
          <cell r="AX193">
            <v>0</v>
          </cell>
          <cell r="AY193">
            <v>0</v>
          </cell>
          <cell r="AZ193">
            <v>0</v>
          </cell>
          <cell r="BA193">
            <v>0</v>
          </cell>
          <cell r="BF193">
            <v>0</v>
          </cell>
          <cell r="BG193">
            <v>0</v>
          </cell>
          <cell r="BH193">
            <v>0</v>
          </cell>
          <cell r="BI193">
            <v>0</v>
          </cell>
          <cell r="BJ193">
            <v>0</v>
          </cell>
          <cell r="BK193">
            <v>0</v>
          </cell>
          <cell r="BL193">
            <v>0</v>
          </cell>
          <cell r="BM193">
            <v>0</v>
          </cell>
          <cell r="BN193">
            <v>0</v>
          </cell>
          <cell r="BO193">
            <v>0</v>
          </cell>
          <cell r="BP193">
            <v>0</v>
          </cell>
          <cell r="BQ193">
            <v>0</v>
          </cell>
          <cell r="BR193">
            <v>0</v>
          </cell>
          <cell r="BT193">
            <v>0</v>
          </cell>
          <cell r="CA193" t="str">
            <v>MR Other - EBITA - Base</v>
          </cell>
          <cell r="CC193" t="str">
            <v>MR Other - EBITA - Base - MR</v>
          </cell>
          <cell r="CD193" t="str">
            <v/>
          </cell>
          <cell r="CF193" t="str">
            <v>MR Other - Base - MR</v>
          </cell>
        </row>
        <row r="194">
          <cell r="D194">
            <v>180</v>
          </cell>
          <cell r="E194">
            <v>0</v>
          </cell>
          <cell r="F194">
            <v>0</v>
          </cell>
          <cell r="G194" t="str">
            <v>MR Other</v>
          </cell>
          <cell r="H194" t="str">
            <v>MR Other</v>
          </cell>
          <cell r="I194" t="str">
            <v>MR</v>
          </cell>
          <cell r="J194" t="str">
            <v>MR MRD Other</v>
          </cell>
          <cell r="K194" t="str">
            <v>Multiple</v>
          </cell>
          <cell r="L194" t="str">
            <v>Other</v>
          </cell>
          <cell r="M194" t="str">
            <v>NV</v>
          </cell>
          <cell r="N194" t="str">
            <v>CONUS</v>
          </cell>
          <cell r="O194">
            <v>0</v>
          </cell>
          <cell r="P194">
            <v>0</v>
          </cell>
          <cell r="Q194">
            <v>0</v>
          </cell>
          <cell r="R194" t="str">
            <v>Multi</v>
          </cell>
          <cell r="S194">
            <v>0</v>
          </cell>
          <cell r="T194">
            <v>1</v>
          </cell>
          <cell r="U194" t="str">
            <v>EBITA</v>
          </cell>
          <cell r="V194" t="str">
            <v>Identified - Recompete</v>
          </cell>
          <cell r="W194">
            <v>0</v>
          </cell>
          <cell r="X194">
            <v>0</v>
          </cell>
          <cell r="Y194">
            <v>0</v>
          </cell>
          <cell r="Z194">
            <v>0</v>
          </cell>
          <cell r="AA194">
            <v>0</v>
          </cell>
          <cell r="AB194">
            <v>0</v>
          </cell>
          <cell r="AC194">
            <v>0</v>
          </cell>
          <cell r="AD194">
            <v>0</v>
          </cell>
          <cell r="AX194">
            <v>0</v>
          </cell>
          <cell r="AY194">
            <v>0</v>
          </cell>
          <cell r="AZ194">
            <v>0</v>
          </cell>
          <cell r="BA194">
            <v>0</v>
          </cell>
          <cell r="BI194">
            <v>0</v>
          </cell>
          <cell r="BJ194">
            <v>0</v>
          </cell>
          <cell r="BK194">
            <v>0</v>
          </cell>
          <cell r="BL194">
            <v>0</v>
          </cell>
          <cell r="BM194">
            <v>0</v>
          </cell>
          <cell r="BN194">
            <v>0</v>
          </cell>
          <cell r="BO194">
            <v>0</v>
          </cell>
          <cell r="BP194">
            <v>0</v>
          </cell>
          <cell r="BQ194">
            <v>0</v>
          </cell>
          <cell r="BR194">
            <v>0</v>
          </cell>
          <cell r="BT194">
            <v>0</v>
          </cell>
          <cell r="CA194" t="str">
            <v>MR Other - EBITA - Identified - Recompete</v>
          </cell>
          <cell r="CC194" t="str">
            <v>MR Other - EBITA - Identified - Recompete - MR</v>
          </cell>
          <cell r="CD194" t="str">
            <v/>
          </cell>
          <cell r="CF194" t="str">
            <v>MR Other - Identified - Recompete - MR</v>
          </cell>
        </row>
        <row r="195">
          <cell r="D195">
            <v>181</v>
          </cell>
          <cell r="E195">
            <v>1</v>
          </cell>
          <cell r="F195">
            <v>1</v>
          </cell>
          <cell r="G195" t="str">
            <v>DDHU00</v>
          </cell>
          <cell r="H195" t="str">
            <v>DDHU New</v>
          </cell>
          <cell r="I195" t="str">
            <v>MR</v>
          </cell>
          <cell r="J195" t="str">
            <v>MR Logistics &amp; Supply</v>
          </cell>
          <cell r="K195" t="str">
            <v>D L A</v>
          </cell>
          <cell r="L195" t="str">
            <v>DOD</v>
          </cell>
          <cell r="M195" t="str">
            <v>UT</v>
          </cell>
          <cell r="N195" t="str">
            <v>CONUS</v>
          </cell>
          <cell r="O195">
            <v>42948</v>
          </cell>
          <cell r="P195">
            <v>44681</v>
          </cell>
          <cell r="Q195" t="str">
            <v>Prime</v>
          </cell>
          <cell r="R195" t="str">
            <v>FFP</v>
          </cell>
          <cell r="S195">
            <v>0</v>
          </cell>
          <cell r="T195">
            <v>1</v>
          </cell>
          <cell r="U195" t="str">
            <v>REVTOT</v>
          </cell>
          <cell r="V195" t="str">
            <v>Base</v>
          </cell>
          <cell r="W195" t="str">
            <v>05 Won</v>
          </cell>
          <cell r="X195" t="str">
            <v>Active</v>
          </cell>
          <cell r="Y195">
            <v>1</v>
          </cell>
          <cell r="Z195">
            <v>0</v>
          </cell>
          <cell r="AA195">
            <v>10682742</v>
          </cell>
          <cell r="AB195">
            <v>17035475.100000001</v>
          </cell>
          <cell r="AC195">
            <v>0</v>
          </cell>
          <cell r="AD195">
            <v>27718217.100000001</v>
          </cell>
          <cell r="AE195">
            <v>0</v>
          </cell>
          <cell r="AF195">
            <v>5.5593385091033785</v>
          </cell>
          <cell r="AG195">
            <v>0.26366827569660423</v>
          </cell>
          <cell r="AH195">
            <v>-9.295550633905969E-3</v>
          </cell>
          <cell r="AI195">
            <v>0</v>
          </cell>
          <cell r="AJ195">
            <v>0</v>
          </cell>
          <cell r="AK195">
            <v>0</v>
          </cell>
          <cell r="BB195">
            <v>16830547.16</v>
          </cell>
          <cell r="BC195">
            <v>16830547.16</v>
          </cell>
          <cell r="BD195">
            <v>16830547.16</v>
          </cell>
          <cell r="BE195">
            <v>16830547.16</v>
          </cell>
          <cell r="BF195">
            <v>0</v>
          </cell>
          <cell r="BG195">
            <v>2049561.69</v>
          </cell>
          <cell r="BH195">
            <v>13443768.92</v>
          </cell>
          <cell r="BI195">
            <v>3853287.71</v>
          </cell>
          <cell r="BJ195">
            <v>4100450.3999999994</v>
          </cell>
          <cell r="BK195">
            <v>4692961.9400000004</v>
          </cell>
          <cell r="BL195">
            <v>4341764.24</v>
          </cell>
          <cell r="BM195">
            <v>16988464.289999999</v>
          </cell>
          <cell r="BN195">
            <v>16830547.16</v>
          </cell>
          <cell r="BO195">
            <v>10887669.940000001</v>
          </cell>
          <cell r="BP195">
            <v>0</v>
          </cell>
          <cell r="BQ195">
            <v>0</v>
          </cell>
          <cell r="BR195">
            <v>44706681.390000001</v>
          </cell>
          <cell r="BT195">
            <v>0</v>
          </cell>
          <cell r="CA195" t="str">
            <v>DDHU00 - REVTOT - Base</v>
          </cell>
          <cell r="CC195" t="str">
            <v>DDHU00 - REVTOT - Base - MR</v>
          </cell>
          <cell r="CD195" t="str">
            <v>DDHU00 - REVTOT - Base - MR</v>
          </cell>
          <cell r="CF195" t="str">
            <v>DDHU00 - Base - MR</v>
          </cell>
        </row>
        <row r="196">
          <cell r="D196">
            <v>182</v>
          </cell>
          <cell r="E196">
            <v>1</v>
          </cell>
          <cell r="F196">
            <v>2</v>
          </cell>
          <cell r="G196" t="str">
            <v>DDHU00</v>
          </cell>
          <cell r="H196" t="str">
            <v>DDHU New</v>
          </cell>
          <cell r="I196" t="str">
            <v>MR</v>
          </cell>
          <cell r="J196" t="str">
            <v>MR Logistics &amp; Supply</v>
          </cell>
          <cell r="K196" t="str">
            <v>D L A</v>
          </cell>
          <cell r="L196" t="str">
            <v>DOD</v>
          </cell>
          <cell r="M196" t="str">
            <v>UT</v>
          </cell>
          <cell r="N196" t="str">
            <v>CONUS</v>
          </cell>
          <cell r="O196">
            <v>44682</v>
          </cell>
          <cell r="P196">
            <v>46507</v>
          </cell>
          <cell r="Q196" t="str">
            <v>Prime</v>
          </cell>
          <cell r="R196" t="str">
            <v>FFP</v>
          </cell>
          <cell r="S196">
            <v>0</v>
          </cell>
          <cell r="T196">
            <v>1</v>
          </cell>
          <cell r="U196" t="str">
            <v>REVTOT</v>
          </cell>
          <cell r="V196" t="str">
            <v>Identified - Recompete</v>
          </cell>
          <cell r="W196" t="str">
            <v>01 Prospect</v>
          </cell>
          <cell r="X196" t="str">
            <v>Priority 2</v>
          </cell>
          <cell r="Y196">
            <v>0.3</v>
          </cell>
          <cell r="Z196">
            <v>60000000</v>
          </cell>
          <cell r="AA196">
            <v>0</v>
          </cell>
          <cell r="AB196">
            <v>0</v>
          </cell>
          <cell r="AC196">
            <v>0</v>
          </cell>
          <cell r="AD196">
            <v>0</v>
          </cell>
          <cell r="AI196">
            <v>0</v>
          </cell>
          <cell r="AJ196">
            <v>0</v>
          </cell>
          <cell r="AK196">
            <v>0</v>
          </cell>
          <cell r="BB196">
            <v>12000000</v>
          </cell>
          <cell r="BC196">
            <v>12000000</v>
          </cell>
          <cell r="BD196">
            <v>12000000</v>
          </cell>
          <cell r="BE196">
            <v>12000000</v>
          </cell>
          <cell r="BI196">
            <v>0</v>
          </cell>
          <cell r="BJ196">
            <v>0</v>
          </cell>
          <cell r="BK196">
            <v>0</v>
          </cell>
          <cell r="BL196">
            <v>0</v>
          </cell>
          <cell r="BM196">
            <v>0</v>
          </cell>
          <cell r="BN196">
            <v>0</v>
          </cell>
          <cell r="BO196">
            <v>0</v>
          </cell>
          <cell r="BP196">
            <v>1489999.9999999998</v>
          </cell>
          <cell r="BQ196">
            <v>3600000</v>
          </cell>
          <cell r="BR196">
            <v>5090000</v>
          </cell>
          <cell r="BT196">
            <v>0</v>
          </cell>
          <cell r="CA196" t="str">
            <v>DDHU00 - REVTOT - Identified - Recompete</v>
          </cell>
          <cell r="CC196" t="str">
            <v>DDHU00 - REVTOT - Identified - Recompete - MR</v>
          </cell>
          <cell r="CD196" t="str">
            <v/>
          </cell>
          <cell r="CF196" t="str">
            <v>DDHU00 - Identified - Recompete - MR</v>
          </cell>
        </row>
        <row r="197">
          <cell r="D197">
            <v>183</v>
          </cell>
          <cell r="E197">
            <v>2</v>
          </cell>
          <cell r="F197">
            <v>3</v>
          </cell>
          <cell r="G197" t="str">
            <v>DDHU00</v>
          </cell>
          <cell r="H197" t="str">
            <v>DDHU New</v>
          </cell>
          <cell r="I197" t="str">
            <v>MR</v>
          </cell>
          <cell r="J197" t="str">
            <v>MR Logistics &amp; Supply</v>
          </cell>
          <cell r="K197" t="str">
            <v>D L A</v>
          </cell>
          <cell r="L197" t="str">
            <v>DOD</v>
          </cell>
          <cell r="M197" t="str">
            <v>UT</v>
          </cell>
          <cell r="N197" t="str">
            <v>CONUS</v>
          </cell>
          <cell r="O197">
            <v>42948</v>
          </cell>
          <cell r="P197">
            <v>44681</v>
          </cell>
          <cell r="Q197" t="str">
            <v>Prime</v>
          </cell>
          <cell r="R197" t="str">
            <v>FFP</v>
          </cell>
          <cell r="S197">
            <v>0</v>
          </cell>
          <cell r="T197">
            <v>1</v>
          </cell>
          <cell r="U197" t="str">
            <v>CONTRACT</v>
          </cell>
          <cell r="V197" t="str">
            <v>Base</v>
          </cell>
          <cell r="W197" t="str">
            <v>05 Won</v>
          </cell>
          <cell r="X197" t="str">
            <v>Active</v>
          </cell>
          <cell r="Y197">
            <v>1</v>
          </cell>
          <cell r="Z197">
            <v>0</v>
          </cell>
          <cell r="AA197">
            <v>10682742</v>
          </cell>
          <cell r="AB197">
            <v>17035475.100000001</v>
          </cell>
          <cell r="AC197">
            <v>0</v>
          </cell>
          <cell r="AD197">
            <v>27718217.100000001</v>
          </cell>
          <cell r="AL197">
            <v>0</v>
          </cell>
          <cell r="AM197">
            <v>0.24160661882785284</v>
          </cell>
          <cell r="AN197">
            <v>5.9346643396485856E-2</v>
          </cell>
          <cell r="AO197">
            <v>8.8742163815679426E-2</v>
          </cell>
          <cell r="AP197">
            <v>0.12397843931046625</v>
          </cell>
          <cell r="AQ197">
            <v>0.12397843931046625</v>
          </cell>
          <cell r="AR197">
            <v>0.12397843931046625</v>
          </cell>
          <cell r="AS197">
            <v>0.12397843931046625</v>
          </cell>
          <cell r="BF197">
            <v>0</v>
          </cell>
          <cell r="BG197">
            <v>495187.66999999987</v>
          </cell>
          <cell r="BH197">
            <v>797842.55999999982</v>
          </cell>
          <cell r="BI197">
            <v>196464.02000000014</v>
          </cell>
          <cell r="BJ197">
            <v>270985.62</v>
          </cell>
          <cell r="BK197">
            <v>730786.52</v>
          </cell>
          <cell r="BL197">
            <v>309356.92099999986</v>
          </cell>
          <cell r="BM197">
            <v>1507593.081</v>
          </cell>
          <cell r="BN197">
            <v>2086624.969638</v>
          </cell>
          <cell r="BO197">
            <v>1349836.3268886779</v>
          </cell>
          <cell r="BP197">
            <v>0</v>
          </cell>
          <cell r="BQ197">
            <v>0</v>
          </cell>
          <cell r="BR197">
            <v>4944054.3775266781</v>
          </cell>
          <cell r="BT197">
            <v>0</v>
          </cell>
          <cell r="CA197" t="str">
            <v>DDHU00 - CONTRACT - Base</v>
          </cell>
          <cell r="CC197" t="str">
            <v>DDHU00 - CONTRACT - Base - MR</v>
          </cell>
          <cell r="CD197" t="str">
            <v/>
          </cell>
          <cell r="CF197" t="str">
            <v>DDHU00 - Base - MR</v>
          </cell>
        </row>
        <row r="198">
          <cell r="D198">
            <v>184</v>
          </cell>
          <cell r="E198">
            <v>2</v>
          </cell>
          <cell r="F198">
            <v>4</v>
          </cell>
          <cell r="G198" t="str">
            <v>DDHU00</v>
          </cell>
          <cell r="H198" t="str">
            <v>DDHU New</v>
          </cell>
          <cell r="I198" t="str">
            <v>MR</v>
          </cell>
          <cell r="J198" t="str">
            <v>MR Logistics &amp; Supply</v>
          </cell>
          <cell r="K198" t="str">
            <v>D L A</v>
          </cell>
          <cell r="L198" t="str">
            <v>DOD</v>
          </cell>
          <cell r="M198" t="str">
            <v>UT</v>
          </cell>
          <cell r="N198" t="str">
            <v>CONUS</v>
          </cell>
          <cell r="O198">
            <v>44682</v>
          </cell>
          <cell r="P198">
            <v>46507</v>
          </cell>
          <cell r="Q198" t="str">
            <v>Prime</v>
          </cell>
          <cell r="R198" t="str">
            <v>FFP</v>
          </cell>
          <cell r="S198">
            <v>0</v>
          </cell>
          <cell r="T198">
            <v>1</v>
          </cell>
          <cell r="U198" t="str">
            <v>CONTRACT</v>
          </cell>
          <cell r="V198" t="str">
            <v>Identified - Recompete</v>
          </cell>
          <cell r="W198" t="str">
            <v>01 Prospect</v>
          </cell>
          <cell r="X198" t="str">
            <v>Priority 2</v>
          </cell>
          <cell r="Y198">
            <v>0.3</v>
          </cell>
          <cell r="Z198">
            <v>60000000</v>
          </cell>
          <cell r="AA198">
            <v>0</v>
          </cell>
          <cell r="AB198">
            <v>0</v>
          </cell>
          <cell r="AC198">
            <v>0</v>
          </cell>
          <cell r="AD198">
            <v>0</v>
          </cell>
          <cell r="AP198">
            <v>0.12397843931046625</v>
          </cell>
          <cell r="AQ198">
            <v>0.12397843931046625</v>
          </cell>
          <cell r="AR198">
            <v>0.12397843931046625</v>
          </cell>
          <cell r="AS198">
            <v>0.12397843931046625</v>
          </cell>
          <cell r="BI198">
            <v>0</v>
          </cell>
          <cell r="BJ198">
            <v>0</v>
          </cell>
          <cell r="BK198">
            <v>0</v>
          </cell>
          <cell r="BL198">
            <v>0</v>
          </cell>
          <cell r="BM198">
            <v>0</v>
          </cell>
          <cell r="BN198">
            <v>0</v>
          </cell>
          <cell r="BO198">
            <v>0</v>
          </cell>
          <cell r="BP198">
            <v>184727.87457259468</v>
          </cell>
          <cell r="BQ198">
            <v>446322.3815176785</v>
          </cell>
          <cell r="BR198">
            <v>631050.25609027315</v>
          </cell>
          <cell r="BT198">
            <v>0</v>
          </cell>
          <cell r="CA198" t="str">
            <v>DDHU00 - CONTRACT - Identified - Recompete</v>
          </cell>
          <cell r="CC198" t="str">
            <v>DDHU00 - CONTRACT - Identified - Recompete - MR</v>
          </cell>
          <cell r="CD198" t="str">
            <v/>
          </cell>
          <cell r="CF198" t="str">
            <v>DDHU00 - Identified - Recompete - MR</v>
          </cell>
        </row>
        <row r="199">
          <cell r="D199">
            <v>185</v>
          </cell>
          <cell r="E199">
            <v>0</v>
          </cell>
          <cell r="F199">
            <v>5</v>
          </cell>
          <cell r="G199" t="str">
            <v>DDHU00</v>
          </cell>
          <cell r="H199" t="str">
            <v>DDHU New</v>
          </cell>
          <cell r="I199" t="str">
            <v>MR</v>
          </cell>
          <cell r="J199" t="str">
            <v>MR Logistics &amp; Supply</v>
          </cell>
          <cell r="K199" t="str">
            <v>D L A</v>
          </cell>
          <cell r="L199" t="str">
            <v>DOD</v>
          </cell>
          <cell r="M199" t="str">
            <v>UT</v>
          </cell>
          <cell r="N199" t="str">
            <v>CONUS</v>
          </cell>
          <cell r="O199">
            <v>42948</v>
          </cell>
          <cell r="P199">
            <v>44681</v>
          </cell>
          <cell r="Q199" t="str">
            <v>Prime</v>
          </cell>
          <cell r="R199" t="str">
            <v>FFP</v>
          </cell>
          <cell r="S199">
            <v>0</v>
          </cell>
          <cell r="T199">
            <v>1</v>
          </cell>
          <cell r="U199" t="str">
            <v>EBITA</v>
          </cell>
          <cell r="V199" t="str">
            <v>Base</v>
          </cell>
          <cell r="W199" t="str">
            <v>05 Won</v>
          </cell>
          <cell r="X199" t="str">
            <v>Active</v>
          </cell>
          <cell r="Y199">
            <v>1</v>
          </cell>
          <cell r="Z199">
            <v>0</v>
          </cell>
          <cell r="AA199">
            <v>10682742</v>
          </cell>
          <cell r="AB199">
            <v>17035475.100000001</v>
          </cell>
          <cell r="AC199">
            <v>0</v>
          </cell>
          <cell r="AD199">
            <v>27718217.100000001</v>
          </cell>
          <cell r="AT199">
            <v>0</v>
          </cell>
          <cell r="AU199">
            <v>0.11723085534449069</v>
          </cell>
          <cell r="AV199">
            <v>-3.8873490991245048E-2</v>
          </cell>
          <cell r="AW199">
            <v>-1.0729050566941609E-2</v>
          </cell>
          <cell r="AX199">
            <v>2.0335326721516413E-2</v>
          </cell>
          <cell r="AY199">
            <v>0.03</v>
          </cell>
          <cell r="AZ199">
            <v>3.5000000000000003E-2</v>
          </cell>
          <cell r="BA199">
            <v>0.04</v>
          </cell>
          <cell r="BF199">
            <v>0</v>
          </cell>
          <cell r="BG199">
            <v>240271.86999999988</v>
          </cell>
          <cell r="BH199">
            <v>-522606.23000000016</v>
          </cell>
          <cell r="BI199">
            <v>-259065.4199999999</v>
          </cell>
          <cell r="BJ199">
            <v>-188167.67000000004</v>
          </cell>
          <cell r="BK199">
            <v>249039.77000000005</v>
          </cell>
          <cell r="BL199">
            <v>15923.227577908183</v>
          </cell>
          <cell r="BM199">
            <v>-182270.09242209175</v>
          </cell>
          <cell r="BN199">
            <v>342254.67540049017</v>
          </cell>
          <cell r="BO199">
            <v>326630.09820000001</v>
          </cell>
          <cell r="BP199">
            <v>0</v>
          </cell>
          <cell r="BQ199">
            <v>0</v>
          </cell>
          <cell r="BR199">
            <v>486614.68117839843</v>
          </cell>
          <cell r="BT199">
            <v>0</v>
          </cell>
          <cell r="CA199" t="str">
            <v>DDHU00 - EBITA - Base</v>
          </cell>
          <cell r="CC199" t="str">
            <v>DDHU00 - EBITA - Base - MR</v>
          </cell>
          <cell r="CD199" t="str">
            <v/>
          </cell>
          <cell r="CF199" t="str">
            <v>DDHU00 - Base - MR</v>
          </cell>
        </row>
        <row r="200">
          <cell r="D200">
            <v>186</v>
          </cell>
          <cell r="E200">
            <v>0</v>
          </cell>
          <cell r="F200">
            <v>0</v>
          </cell>
          <cell r="G200" t="str">
            <v>DDHU00</v>
          </cell>
          <cell r="H200" t="str">
            <v>DDHU New</v>
          </cell>
          <cell r="I200" t="str">
            <v>MR</v>
          </cell>
          <cell r="J200" t="str">
            <v>MR Logistics &amp; Supply</v>
          </cell>
          <cell r="K200" t="str">
            <v>D L A</v>
          </cell>
          <cell r="L200" t="str">
            <v>DOD</v>
          </cell>
          <cell r="M200" t="str">
            <v>UT</v>
          </cell>
          <cell r="N200" t="str">
            <v>CONUS</v>
          </cell>
          <cell r="O200">
            <v>44682</v>
          </cell>
          <cell r="P200">
            <v>46507</v>
          </cell>
          <cell r="Q200" t="str">
            <v>Prime</v>
          </cell>
          <cell r="R200" t="str">
            <v>FFP</v>
          </cell>
          <cell r="S200">
            <v>0</v>
          </cell>
          <cell r="T200">
            <v>1</v>
          </cell>
          <cell r="U200" t="str">
            <v>EBITA</v>
          </cell>
          <cell r="V200" t="str">
            <v>Identified - Recompete</v>
          </cell>
          <cell r="W200" t="str">
            <v>01 Prospect</v>
          </cell>
          <cell r="X200" t="str">
            <v>Priority 2</v>
          </cell>
          <cell r="Y200">
            <v>0.3</v>
          </cell>
          <cell r="Z200">
            <v>60000000</v>
          </cell>
          <cell r="AA200">
            <v>0</v>
          </cell>
          <cell r="AB200">
            <v>0</v>
          </cell>
          <cell r="AC200">
            <v>0</v>
          </cell>
          <cell r="AD200">
            <v>0</v>
          </cell>
          <cell r="AX200">
            <v>0.04</v>
          </cell>
          <cell r="AY200">
            <v>0.04</v>
          </cell>
          <cell r="AZ200">
            <v>0.04</v>
          </cell>
          <cell r="BA200">
            <v>0.04</v>
          </cell>
          <cell r="BI200">
            <v>0</v>
          </cell>
          <cell r="BJ200">
            <v>0</v>
          </cell>
          <cell r="BK200">
            <v>0</v>
          </cell>
          <cell r="BL200">
            <v>0</v>
          </cell>
          <cell r="BM200">
            <v>0</v>
          </cell>
          <cell r="BN200">
            <v>0</v>
          </cell>
          <cell r="BO200">
            <v>0</v>
          </cell>
          <cell r="BP200">
            <v>59599.999999999993</v>
          </cell>
          <cell r="BQ200">
            <v>144000</v>
          </cell>
          <cell r="BR200">
            <v>203600</v>
          </cell>
          <cell r="BT200">
            <v>0</v>
          </cell>
          <cell r="CA200" t="str">
            <v>DDHU00 - EBITA - Identified - Recompete</v>
          </cell>
          <cell r="CC200" t="str">
            <v>DDHU00 - EBITA - Identified - Recompete - MR</v>
          </cell>
          <cell r="CD200" t="str">
            <v/>
          </cell>
          <cell r="CF200" t="str">
            <v>DDHU00 - Identified - Recompete - MR</v>
          </cell>
        </row>
        <row r="201">
          <cell r="D201">
            <v>187</v>
          </cell>
          <cell r="E201">
            <v>1</v>
          </cell>
          <cell r="F201">
            <v>1</v>
          </cell>
          <cell r="G201" t="str">
            <v>CFAGSAAIMS</v>
          </cell>
          <cell r="H201" t="str">
            <v>CFA GSA AIMS Total</v>
          </cell>
          <cell r="I201" t="str">
            <v>MR</v>
          </cell>
          <cell r="J201" t="str">
            <v>MR Maintenance &amp; Sustainment</v>
          </cell>
          <cell r="K201" t="str">
            <v>Army</v>
          </cell>
          <cell r="L201" t="str">
            <v>DOD</v>
          </cell>
          <cell r="M201" t="str">
            <v>NJ</v>
          </cell>
          <cell r="N201" t="str">
            <v>CONUS</v>
          </cell>
          <cell r="O201">
            <v>41722</v>
          </cell>
          <cell r="P201">
            <v>43738</v>
          </cell>
          <cell r="Q201" t="str">
            <v>Sub</v>
          </cell>
          <cell r="R201" t="str">
            <v>CPFF</v>
          </cell>
          <cell r="S201">
            <v>0</v>
          </cell>
          <cell r="T201">
            <v>1</v>
          </cell>
          <cell r="U201" t="str">
            <v>REVTOT</v>
          </cell>
          <cell r="V201" t="str">
            <v>Base</v>
          </cell>
          <cell r="W201" t="str">
            <v>05 Won</v>
          </cell>
          <cell r="X201" t="str">
            <v>Active</v>
          </cell>
          <cell r="Y201">
            <v>1</v>
          </cell>
          <cell r="Z201">
            <v>0</v>
          </cell>
          <cell r="AA201">
            <v>0</v>
          </cell>
          <cell r="AB201">
            <v>0</v>
          </cell>
          <cell r="AC201">
            <v>0</v>
          </cell>
          <cell r="AD201">
            <v>0</v>
          </cell>
          <cell r="AE201">
            <v>0.26942336000409361</v>
          </cell>
          <cell r="AF201">
            <v>-0.32167374290293727</v>
          </cell>
          <cell r="AG201">
            <v>-0.21453315197514633</v>
          </cell>
          <cell r="AH201">
            <v>-1</v>
          </cell>
          <cell r="AI201">
            <v>0</v>
          </cell>
          <cell r="AJ201">
            <v>0</v>
          </cell>
          <cell r="AK201">
            <v>0</v>
          </cell>
          <cell r="BB201">
            <v>0</v>
          </cell>
          <cell r="BC201">
            <v>0</v>
          </cell>
          <cell r="BD201">
            <v>0</v>
          </cell>
          <cell r="BE201">
            <v>0</v>
          </cell>
          <cell r="BF201">
            <v>37561950.009999998</v>
          </cell>
          <cell r="BG201">
            <v>47682016.789999992</v>
          </cell>
          <cell r="BH201">
            <v>32343963.979999997</v>
          </cell>
          <cell r="BI201">
            <v>11150984.42</v>
          </cell>
          <cell r="BJ201">
            <v>4563489.0999999996</v>
          </cell>
          <cell r="BK201">
            <v>4594200.92</v>
          </cell>
          <cell r="BL201">
            <v>5096437</v>
          </cell>
          <cell r="BM201">
            <v>25405111.439999998</v>
          </cell>
          <cell r="BN201">
            <v>0</v>
          </cell>
          <cell r="BO201">
            <v>0</v>
          </cell>
          <cell r="BP201">
            <v>0</v>
          </cell>
          <cell r="BQ201">
            <v>0</v>
          </cell>
          <cell r="BR201">
            <v>25405111.439999998</v>
          </cell>
          <cell r="BT201">
            <v>0</v>
          </cell>
          <cell r="CA201" t="str">
            <v>CFAGSAAIMS - REVTOT - Base</v>
          </cell>
          <cell r="CC201" t="str">
            <v>CFAGSAAIMS - REVTOT - Base - MR</v>
          </cell>
          <cell r="CD201" t="str">
            <v>CFAGSAAIMS - REVTOT - Base - MR</v>
          </cell>
          <cell r="CF201" t="str">
            <v>CFAGSAAIMS - Base - MR</v>
          </cell>
        </row>
        <row r="202">
          <cell r="D202">
            <v>188</v>
          </cell>
          <cell r="E202">
            <v>1</v>
          </cell>
          <cell r="F202">
            <v>2</v>
          </cell>
          <cell r="G202" t="str">
            <v>CFAGSAAIMS</v>
          </cell>
          <cell r="H202" t="str">
            <v>CFA GSA AIMS Total</v>
          </cell>
          <cell r="I202" t="str">
            <v>MR</v>
          </cell>
          <cell r="J202" t="str">
            <v>MR Maintenance &amp; Sustainment</v>
          </cell>
          <cell r="K202" t="str">
            <v>Army</v>
          </cell>
          <cell r="L202" t="str">
            <v>DOD</v>
          </cell>
          <cell r="M202" t="str">
            <v>NJ</v>
          </cell>
          <cell r="N202" t="str">
            <v>CONUS</v>
          </cell>
          <cell r="O202">
            <v>0</v>
          </cell>
          <cell r="P202">
            <v>0</v>
          </cell>
          <cell r="Q202">
            <v>0</v>
          </cell>
          <cell r="R202" t="str">
            <v>CPFF</v>
          </cell>
          <cell r="S202">
            <v>0</v>
          </cell>
          <cell r="T202">
            <v>1</v>
          </cell>
          <cell r="U202" t="str">
            <v>REVTOT</v>
          </cell>
          <cell r="V202" t="str">
            <v>Identified - Recompete</v>
          </cell>
          <cell r="W202">
            <v>0</v>
          </cell>
          <cell r="X202">
            <v>0</v>
          </cell>
          <cell r="Y202">
            <v>0</v>
          </cell>
          <cell r="Z202">
            <v>0</v>
          </cell>
          <cell r="AA202">
            <v>0</v>
          </cell>
          <cell r="AB202">
            <v>0</v>
          </cell>
          <cell r="AC202">
            <v>0</v>
          </cell>
          <cell r="AD202">
            <v>0</v>
          </cell>
          <cell r="AI202">
            <v>0</v>
          </cell>
          <cell r="AJ202">
            <v>0</v>
          </cell>
          <cell r="AK202">
            <v>0</v>
          </cell>
          <cell r="BB202">
            <v>0</v>
          </cell>
          <cell r="BC202">
            <v>0</v>
          </cell>
          <cell r="BD202">
            <v>0</v>
          </cell>
          <cell r="BE202">
            <v>0</v>
          </cell>
          <cell r="BI202">
            <v>0</v>
          </cell>
          <cell r="BJ202">
            <v>0</v>
          </cell>
          <cell r="BK202">
            <v>0</v>
          </cell>
          <cell r="BL202">
            <v>0</v>
          </cell>
          <cell r="BM202">
            <v>0</v>
          </cell>
          <cell r="BN202">
            <v>0</v>
          </cell>
          <cell r="BO202">
            <v>0</v>
          </cell>
          <cell r="BP202">
            <v>0</v>
          </cell>
          <cell r="BQ202">
            <v>0</v>
          </cell>
          <cell r="BR202">
            <v>0</v>
          </cell>
          <cell r="BT202">
            <v>0</v>
          </cell>
          <cell r="CA202" t="str">
            <v>CFAGSAAIMS - REVTOT - Identified - Recompete</v>
          </cell>
          <cell r="CC202" t="str">
            <v>CFAGSAAIMS - REVTOT - Identified - Recompete - MR</v>
          </cell>
          <cell r="CD202" t="str">
            <v/>
          </cell>
          <cell r="CF202" t="str">
            <v>CFAGSAAIMS - Identified - Recompete - MR</v>
          </cell>
        </row>
        <row r="203">
          <cell r="D203">
            <v>189</v>
          </cell>
          <cell r="E203">
            <v>2</v>
          </cell>
          <cell r="F203">
            <v>3</v>
          </cell>
          <cell r="G203" t="str">
            <v>CFAGSAAIMS</v>
          </cell>
          <cell r="H203" t="str">
            <v>CFA GSA AIMS Total</v>
          </cell>
          <cell r="I203" t="str">
            <v>MR</v>
          </cell>
          <cell r="J203" t="str">
            <v>MR Maintenance &amp; Sustainment</v>
          </cell>
          <cell r="K203" t="str">
            <v>Army</v>
          </cell>
          <cell r="L203" t="str">
            <v>DOD</v>
          </cell>
          <cell r="M203" t="str">
            <v>NJ</v>
          </cell>
          <cell r="N203" t="str">
            <v>CONUS</v>
          </cell>
          <cell r="O203">
            <v>41722</v>
          </cell>
          <cell r="P203">
            <v>43738</v>
          </cell>
          <cell r="Q203" t="str">
            <v>Sub</v>
          </cell>
          <cell r="R203" t="str">
            <v>CPFF</v>
          </cell>
          <cell r="S203">
            <v>0</v>
          </cell>
          <cell r="T203">
            <v>1</v>
          </cell>
          <cell r="U203" t="str">
            <v>CONTRACT</v>
          </cell>
          <cell r="V203" t="str">
            <v>Base</v>
          </cell>
          <cell r="W203" t="str">
            <v>05 Won</v>
          </cell>
          <cell r="X203" t="str">
            <v>Active</v>
          </cell>
          <cell r="Y203">
            <v>1</v>
          </cell>
          <cell r="Z203">
            <v>0</v>
          </cell>
          <cell r="AA203">
            <v>0</v>
          </cell>
          <cell r="AB203">
            <v>0</v>
          </cell>
          <cell r="AC203">
            <v>0</v>
          </cell>
          <cell r="AD203">
            <v>0</v>
          </cell>
          <cell r="AL203">
            <v>9.9604194910114005E-2</v>
          </cell>
          <cell r="AM203">
            <v>0.10674233186100097</v>
          </cell>
          <cell r="AN203">
            <v>0.10725709137399309</v>
          </cell>
          <cell r="AO203">
            <v>0.12860178545711479</v>
          </cell>
          <cell r="AP203">
            <v>0</v>
          </cell>
          <cell r="AQ203">
            <v>0</v>
          </cell>
          <cell r="AR203">
            <v>0</v>
          </cell>
          <cell r="AS203">
            <v>0</v>
          </cell>
          <cell r="BF203">
            <v>3741327.7899999986</v>
          </cell>
          <cell r="BG203">
            <v>5089689.6599999992</v>
          </cell>
          <cell r="BH203">
            <v>3469119.5000000009</v>
          </cell>
          <cell r="BI203">
            <v>1154926.179999999</v>
          </cell>
          <cell r="BJ203">
            <v>730981.25</v>
          </cell>
          <cell r="BK203">
            <v>720501.16999999969</v>
          </cell>
          <cell r="BL203">
            <v>660734.09092097334</v>
          </cell>
          <cell r="BM203">
            <v>3267142.6909209723</v>
          </cell>
          <cell r="BN203">
            <v>0</v>
          </cell>
          <cell r="BO203">
            <v>0</v>
          </cell>
          <cell r="BP203">
            <v>0</v>
          </cell>
          <cell r="BQ203">
            <v>0</v>
          </cell>
          <cell r="BR203">
            <v>3267142.6909209723</v>
          </cell>
          <cell r="BT203">
            <v>0</v>
          </cell>
          <cell r="CA203" t="str">
            <v>CFAGSAAIMS - CONTRACT - Base</v>
          </cell>
          <cell r="CC203" t="str">
            <v>CFAGSAAIMS - CONTRACT - Base - MR</v>
          </cell>
          <cell r="CD203" t="str">
            <v/>
          </cell>
          <cell r="CF203" t="str">
            <v>CFAGSAAIMS - Base - MR</v>
          </cell>
        </row>
        <row r="204">
          <cell r="D204">
            <v>190</v>
          </cell>
          <cell r="E204">
            <v>2</v>
          </cell>
          <cell r="F204">
            <v>4</v>
          </cell>
          <cell r="G204" t="str">
            <v>CFAGSAAIMS</v>
          </cell>
          <cell r="H204" t="str">
            <v>CFA GSA AIMS Total</v>
          </cell>
          <cell r="I204" t="str">
            <v>MR</v>
          </cell>
          <cell r="J204" t="str">
            <v>MR Maintenance &amp; Sustainment</v>
          </cell>
          <cell r="K204" t="str">
            <v>Army</v>
          </cell>
          <cell r="L204" t="str">
            <v>DOD</v>
          </cell>
          <cell r="M204" t="str">
            <v>NJ</v>
          </cell>
          <cell r="N204" t="str">
            <v>CONUS</v>
          </cell>
          <cell r="O204">
            <v>0</v>
          </cell>
          <cell r="P204">
            <v>0</v>
          </cell>
          <cell r="Q204">
            <v>0</v>
          </cell>
          <cell r="R204" t="str">
            <v>CPFF</v>
          </cell>
          <cell r="S204">
            <v>0</v>
          </cell>
          <cell r="T204">
            <v>1</v>
          </cell>
          <cell r="U204" t="str">
            <v>CONTRACT</v>
          </cell>
          <cell r="V204" t="str">
            <v>Identified - Recompete</v>
          </cell>
          <cell r="W204">
            <v>0</v>
          </cell>
          <cell r="X204">
            <v>0</v>
          </cell>
          <cell r="Y204">
            <v>0</v>
          </cell>
          <cell r="Z204">
            <v>0</v>
          </cell>
          <cell r="AA204">
            <v>0</v>
          </cell>
          <cell r="AB204">
            <v>0</v>
          </cell>
          <cell r="AC204">
            <v>0</v>
          </cell>
          <cell r="AD204">
            <v>0</v>
          </cell>
          <cell r="AP204">
            <v>0</v>
          </cell>
          <cell r="AQ204">
            <v>0</v>
          </cell>
          <cell r="AR204">
            <v>0</v>
          </cell>
          <cell r="AS204">
            <v>0</v>
          </cell>
          <cell r="BI204">
            <v>0</v>
          </cell>
          <cell r="BJ204">
            <v>0</v>
          </cell>
          <cell r="BK204">
            <v>0</v>
          </cell>
          <cell r="BL204">
            <v>0</v>
          </cell>
          <cell r="BM204">
            <v>0</v>
          </cell>
          <cell r="BN204">
            <v>0</v>
          </cell>
          <cell r="BO204">
            <v>0</v>
          </cell>
          <cell r="BP204">
            <v>0</v>
          </cell>
          <cell r="BQ204">
            <v>0</v>
          </cell>
          <cell r="BR204">
            <v>0</v>
          </cell>
          <cell r="BT204">
            <v>0</v>
          </cell>
          <cell r="CA204" t="str">
            <v>CFAGSAAIMS - CONTRACT - Identified - Recompete</v>
          </cell>
          <cell r="CC204" t="str">
            <v>CFAGSAAIMS - CONTRACT - Identified - Recompete - MR</v>
          </cell>
          <cell r="CD204" t="str">
            <v/>
          </cell>
          <cell r="CF204" t="str">
            <v>CFAGSAAIMS - Identified - Recompete - MR</v>
          </cell>
        </row>
        <row r="205">
          <cell r="D205">
            <v>191</v>
          </cell>
          <cell r="E205">
            <v>0</v>
          </cell>
          <cell r="F205">
            <v>5</v>
          </cell>
          <cell r="G205" t="str">
            <v>CFAGSAAIMS</v>
          </cell>
          <cell r="H205" t="str">
            <v>CFA GSA AIMS Total</v>
          </cell>
          <cell r="I205" t="str">
            <v>MR</v>
          </cell>
          <cell r="J205" t="str">
            <v>MR Maintenance &amp; Sustainment</v>
          </cell>
          <cell r="K205" t="str">
            <v>Army</v>
          </cell>
          <cell r="L205" t="str">
            <v>DOD</v>
          </cell>
          <cell r="M205" t="str">
            <v>NJ</v>
          </cell>
          <cell r="N205" t="str">
            <v>CONUS</v>
          </cell>
          <cell r="O205">
            <v>41722</v>
          </cell>
          <cell r="P205">
            <v>43738</v>
          </cell>
          <cell r="Q205" t="str">
            <v>Sub</v>
          </cell>
          <cell r="R205" t="str">
            <v>CPFF</v>
          </cell>
          <cell r="S205">
            <v>0</v>
          </cell>
          <cell r="T205">
            <v>1</v>
          </cell>
          <cell r="U205" t="str">
            <v>EBITA</v>
          </cell>
          <cell r="V205" t="str">
            <v>Base</v>
          </cell>
          <cell r="W205" t="str">
            <v>05 Won</v>
          </cell>
          <cell r="X205" t="str">
            <v>Active</v>
          </cell>
          <cell r="Y205">
            <v>1</v>
          </cell>
          <cell r="Z205">
            <v>0</v>
          </cell>
          <cell r="AA205">
            <v>0</v>
          </cell>
          <cell r="AB205">
            <v>0</v>
          </cell>
          <cell r="AC205">
            <v>0</v>
          </cell>
          <cell r="AD205">
            <v>0</v>
          </cell>
          <cell r="AT205">
            <v>5.7347193088391766E-3</v>
          </cell>
          <cell r="AU205">
            <v>1.6093307952547275E-2</v>
          </cell>
          <cell r="AV205">
            <v>1.2647218202844432E-2</v>
          </cell>
          <cell r="AW205">
            <v>2.2665035001318518E-2</v>
          </cell>
          <cell r="AX205">
            <v>0</v>
          </cell>
          <cell r="AY205">
            <v>0</v>
          </cell>
          <cell r="AZ205">
            <v>0</v>
          </cell>
          <cell r="BA205">
            <v>0</v>
          </cell>
          <cell r="BF205">
            <v>215407.23999999888</v>
          </cell>
          <cell r="BG205">
            <v>767361.37999999954</v>
          </cell>
          <cell r="BH205">
            <v>409061.17000000062</v>
          </cell>
          <cell r="BI205">
            <v>126886.22999999899</v>
          </cell>
          <cell r="BJ205">
            <v>203487.65</v>
          </cell>
          <cell r="BK205">
            <v>150476.40999999968</v>
          </cell>
          <cell r="BL205">
            <v>94957.449999998847</v>
          </cell>
          <cell r="BM205">
            <v>575807.73999999743</v>
          </cell>
          <cell r="BN205">
            <v>0</v>
          </cell>
          <cell r="BO205">
            <v>0</v>
          </cell>
          <cell r="BP205">
            <v>0</v>
          </cell>
          <cell r="BQ205">
            <v>0</v>
          </cell>
          <cell r="BR205">
            <v>575807.73999999743</v>
          </cell>
          <cell r="BT205">
            <v>0</v>
          </cell>
          <cell r="CA205" t="str">
            <v>CFAGSAAIMS - EBITA - Base</v>
          </cell>
          <cell r="CC205" t="str">
            <v>CFAGSAAIMS - EBITA - Base - MR</v>
          </cell>
          <cell r="CD205" t="str">
            <v/>
          </cell>
          <cell r="CF205" t="str">
            <v>CFAGSAAIMS - Base - MR</v>
          </cell>
        </row>
        <row r="206">
          <cell r="D206">
            <v>192</v>
          </cell>
          <cell r="E206">
            <v>0</v>
          </cell>
          <cell r="F206">
            <v>0</v>
          </cell>
          <cell r="G206" t="str">
            <v>CFAGSAAIMS</v>
          </cell>
          <cell r="H206" t="str">
            <v>CFA GSA AIMS Total</v>
          </cell>
          <cell r="I206" t="str">
            <v>MR</v>
          </cell>
          <cell r="J206" t="str">
            <v>MR Maintenance &amp; Sustainment</v>
          </cell>
          <cell r="K206" t="str">
            <v>Army</v>
          </cell>
          <cell r="L206" t="str">
            <v>DOD</v>
          </cell>
          <cell r="M206" t="str">
            <v>NJ</v>
          </cell>
          <cell r="N206" t="str">
            <v>CONUS</v>
          </cell>
          <cell r="O206">
            <v>0</v>
          </cell>
          <cell r="P206">
            <v>0</v>
          </cell>
          <cell r="Q206">
            <v>0</v>
          </cell>
          <cell r="R206" t="str">
            <v>CPFF</v>
          </cell>
          <cell r="S206">
            <v>0</v>
          </cell>
          <cell r="T206">
            <v>1</v>
          </cell>
          <cell r="U206" t="str">
            <v>EBITA</v>
          </cell>
          <cell r="V206" t="str">
            <v>Identified - Recompete</v>
          </cell>
          <cell r="W206">
            <v>0</v>
          </cell>
          <cell r="X206">
            <v>0</v>
          </cell>
          <cell r="Y206">
            <v>0</v>
          </cell>
          <cell r="Z206">
            <v>0</v>
          </cell>
          <cell r="AA206">
            <v>0</v>
          </cell>
          <cell r="AB206">
            <v>0</v>
          </cell>
          <cell r="AC206">
            <v>0</v>
          </cell>
          <cell r="AD206">
            <v>0</v>
          </cell>
          <cell r="AX206">
            <v>0</v>
          </cell>
          <cell r="AY206">
            <v>0</v>
          </cell>
          <cell r="AZ206">
            <v>0</v>
          </cell>
          <cell r="BA206">
            <v>0</v>
          </cell>
          <cell r="BI206">
            <v>0</v>
          </cell>
          <cell r="BJ206">
            <v>0</v>
          </cell>
          <cell r="BK206">
            <v>0</v>
          </cell>
          <cell r="BL206">
            <v>0</v>
          </cell>
          <cell r="BM206">
            <v>0</v>
          </cell>
          <cell r="BN206">
            <v>0</v>
          </cell>
          <cell r="BO206">
            <v>0</v>
          </cell>
          <cell r="BP206">
            <v>0</v>
          </cell>
          <cell r="BQ206">
            <v>0</v>
          </cell>
          <cell r="BR206">
            <v>0</v>
          </cell>
          <cell r="BT206">
            <v>0</v>
          </cell>
          <cell r="CA206" t="str">
            <v>CFAGSAAIMS - EBITA - Identified - Recompete</v>
          </cell>
          <cell r="CC206" t="str">
            <v>CFAGSAAIMS - EBITA - Identified - Recompete - MR</v>
          </cell>
          <cell r="CD206" t="str">
            <v/>
          </cell>
          <cell r="CF206" t="str">
            <v>CFAGSAAIMS - Identified - Recompete - MR</v>
          </cell>
        </row>
        <row r="207">
          <cell r="D207">
            <v>193</v>
          </cell>
          <cell r="E207">
            <v>1</v>
          </cell>
          <cell r="F207">
            <v>1</v>
          </cell>
          <cell r="G207" t="str">
            <v>KPLSS0</v>
          </cell>
          <cell r="H207" t="str">
            <v>KPLSS</v>
          </cell>
          <cell r="I207" t="str">
            <v>MR</v>
          </cell>
          <cell r="J207" t="str">
            <v>MR NASA</v>
          </cell>
          <cell r="K207" t="str">
            <v>NASA</v>
          </cell>
          <cell r="L207" t="str">
            <v>NASA</v>
          </cell>
          <cell r="M207" t="str">
            <v>FL</v>
          </cell>
          <cell r="N207" t="str">
            <v>CONUS</v>
          </cell>
          <cell r="O207">
            <v>42278</v>
          </cell>
          <cell r="P207">
            <v>44104</v>
          </cell>
          <cell r="Q207" t="str">
            <v>Prime</v>
          </cell>
          <cell r="R207" t="str">
            <v>FFP</v>
          </cell>
          <cell r="S207">
            <v>0</v>
          </cell>
          <cell r="T207">
            <v>1</v>
          </cell>
          <cell r="U207" t="str">
            <v>REVTOT</v>
          </cell>
          <cell r="V207" t="str">
            <v>Base</v>
          </cell>
          <cell r="W207" t="str">
            <v>05 Won</v>
          </cell>
          <cell r="X207" t="str">
            <v>Active</v>
          </cell>
          <cell r="Y207">
            <v>1</v>
          </cell>
          <cell r="Z207">
            <v>0</v>
          </cell>
          <cell r="AA207">
            <v>4281530.4599999981</v>
          </cell>
          <cell r="AB207">
            <v>12600259</v>
          </cell>
          <cell r="AC207">
            <v>0</v>
          </cell>
          <cell r="AD207">
            <v>16881789.459999997</v>
          </cell>
          <cell r="AE207">
            <v>0.16916193793708301</v>
          </cell>
          <cell r="AF207">
            <v>0.13724711235947873</v>
          </cell>
          <cell r="AG207">
            <v>-6.1373793118040809E-2</v>
          </cell>
          <cell r="AH207">
            <v>0.21379447886171921</v>
          </cell>
          <cell r="AI207">
            <v>0</v>
          </cell>
          <cell r="AJ207">
            <v>0</v>
          </cell>
          <cell r="AK207">
            <v>0</v>
          </cell>
          <cell r="BB207">
            <v>12121636.950000001</v>
          </cell>
          <cell r="BC207">
            <v>12121636.950000001</v>
          </cell>
          <cell r="BD207">
            <v>12121636.950000001</v>
          </cell>
          <cell r="BE207">
            <v>12121636.950000001</v>
          </cell>
          <cell r="BF207">
            <v>8001914.8899999997</v>
          </cell>
          <cell r="BG207">
            <v>9355534.3200000003</v>
          </cell>
          <cell r="BH207">
            <v>10639554.390000001</v>
          </cell>
          <cell r="BI207">
            <v>2525297.38</v>
          </cell>
          <cell r="BJ207">
            <v>2426356.73</v>
          </cell>
          <cell r="BK207">
            <v>2438264.4699999997</v>
          </cell>
          <cell r="BL207">
            <v>2596646</v>
          </cell>
          <cell r="BM207">
            <v>9986564.5799999982</v>
          </cell>
          <cell r="BN207">
            <v>12121636.950000001</v>
          </cell>
          <cell r="BO207">
            <v>0</v>
          </cell>
          <cell r="BP207">
            <v>0</v>
          </cell>
          <cell r="BQ207">
            <v>0</v>
          </cell>
          <cell r="BR207">
            <v>22108201.530000001</v>
          </cell>
          <cell r="BT207">
            <v>0</v>
          </cell>
          <cell r="CA207" t="str">
            <v>KPLSS0 - REVTOT - Base</v>
          </cell>
          <cell r="CC207" t="str">
            <v>KPLSS0 - REVTOT - Base - MR</v>
          </cell>
          <cell r="CD207" t="str">
            <v>KPLSS0 - REVTOT - Base - MR</v>
          </cell>
          <cell r="CF207" t="str">
            <v>KPLSS0 - Base - MR</v>
          </cell>
        </row>
        <row r="208">
          <cell r="D208">
            <v>194</v>
          </cell>
          <cell r="E208">
            <v>1</v>
          </cell>
          <cell r="F208">
            <v>2</v>
          </cell>
          <cell r="G208" t="str">
            <v>KPLSS0</v>
          </cell>
          <cell r="H208" t="str">
            <v>KPLSS</v>
          </cell>
          <cell r="I208" t="str">
            <v>MR</v>
          </cell>
          <cell r="J208" t="str">
            <v>MR NASA</v>
          </cell>
          <cell r="K208" t="str">
            <v>NASA</v>
          </cell>
          <cell r="L208" t="str">
            <v>NASA</v>
          </cell>
          <cell r="M208" t="str">
            <v>FL</v>
          </cell>
          <cell r="N208" t="str">
            <v>CONUS</v>
          </cell>
          <cell r="O208">
            <v>44105</v>
          </cell>
          <cell r="P208">
            <v>45930</v>
          </cell>
          <cell r="Q208" t="str">
            <v>Prime</v>
          </cell>
          <cell r="R208" t="str">
            <v>FFP</v>
          </cell>
          <cell r="S208">
            <v>0</v>
          </cell>
          <cell r="T208">
            <v>1</v>
          </cell>
          <cell r="U208" t="str">
            <v>REVTOT</v>
          </cell>
          <cell r="V208" t="str">
            <v>Identified - Recompete</v>
          </cell>
          <cell r="W208" t="str">
            <v>01 Prospect</v>
          </cell>
          <cell r="X208" t="str">
            <v>Priority 1</v>
          </cell>
          <cell r="Y208">
            <v>0.35</v>
          </cell>
          <cell r="Z208">
            <v>35000000</v>
          </cell>
          <cell r="AA208">
            <v>0</v>
          </cell>
          <cell r="AB208">
            <v>0</v>
          </cell>
          <cell r="AC208">
            <v>0</v>
          </cell>
          <cell r="AD208">
            <v>0</v>
          </cell>
          <cell r="AI208">
            <v>0</v>
          </cell>
          <cell r="AJ208">
            <v>0</v>
          </cell>
          <cell r="AK208">
            <v>0</v>
          </cell>
          <cell r="BB208">
            <v>7000000</v>
          </cell>
          <cell r="BC208">
            <v>7000000</v>
          </cell>
          <cell r="BD208">
            <v>7000000</v>
          </cell>
          <cell r="BE208">
            <v>7000000</v>
          </cell>
          <cell r="BI208">
            <v>0</v>
          </cell>
          <cell r="BJ208">
            <v>0</v>
          </cell>
          <cell r="BK208">
            <v>0</v>
          </cell>
          <cell r="BL208">
            <v>0</v>
          </cell>
          <cell r="BM208">
            <v>0</v>
          </cell>
          <cell r="BN208">
            <v>0</v>
          </cell>
          <cell r="BO208">
            <v>2450000</v>
          </cell>
          <cell r="BP208">
            <v>2450000</v>
          </cell>
          <cell r="BQ208">
            <v>2450000</v>
          </cell>
          <cell r="BR208">
            <v>7350000</v>
          </cell>
          <cell r="BT208">
            <v>0</v>
          </cell>
          <cell r="CA208" t="str">
            <v>KPLSS0 - REVTOT - Identified - Recompete</v>
          </cell>
          <cell r="CC208" t="str">
            <v>KPLSS0 - REVTOT - Identified - Recompete - MR</v>
          </cell>
          <cell r="CD208" t="str">
            <v/>
          </cell>
          <cell r="CF208" t="str">
            <v>KPLSS0 - Identified - Recompete - MR</v>
          </cell>
        </row>
        <row r="209">
          <cell r="D209">
            <v>195</v>
          </cell>
          <cell r="E209">
            <v>2</v>
          </cell>
          <cell r="F209">
            <v>3</v>
          </cell>
          <cell r="G209" t="str">
            <v>KPLSS0</v>
          </cell>
          <cell r="H209" t="str">
            <v>KPLSS</v>
          </cell>
          <cell r="I209" t="str">
            <v>MR</v>
          </cell>
          <cell r="J209" t="str">
            <v>MR NASA</v>
          </cell>
          <cell r="K209" t="str">
            <v>NASA</v>
          </cell>
          <cell r="L209" t="str">
            <v>NASA</v>
          </cell>
          <cell r="M209" t="str">
            <v>FL</v>
          </cell>
          <cell r="N209" t="str">
            <v>CONUS</v>
          </cell>
          <cell r="O209">
            <v>42278</v>
          </cell>
          <cell r="P209">
            <v>44104</v>
          </cell>
          <cell r="Q209" t="str">
            <v>Prime</v>
          </cell>
          <cell r="R209" t="str">
            <v>FFP</v>
          </cell>
          <cell r="S209">
            <v>0</v>
          </cell>
          <cell r="T209">
            <v>1</v>
          </cell>
          <cell r="U209" t="str">
            <v>CONTRACT</v>
          </cell>
          <cell r="V209" t="str">
            <v>Base</v>
          </cell>
          <cell r="W209" t="str">
            <v>05 Won</v>
          </cell>
          <cell r="X209" t="str">
            <v>Active</v>
          </cell>
          <cell r="Y209">
            <v>1</v>
          </cell>
          <cell r="Z209">
            <v>0</v>
          </cell>
          <cell r="AA209">
            <v>4281530.4599999981</v>
          </cell>
          <cell r="AB209">
            <v>12600259</v>
          </cell>
          <cell r="AC209">
            <v>0</v>
          </cell>
          <cell r="AD209">
            <v>16881789.459999997</v>
          </cell>
          <cell r="AL209">
            <v>0.11214506056812103</v>
          </cell>
          <cell r="AM209">
            <v>0.1078956492994833</v>
          </cell>
          <cell r="AN209">
            <v>-2.7077219537574918E-2</v>
          </cell>
          <cell r="AO209">
            <v>0.10509539167271879</v>
          </cell>
          <cell r="AP209">
            <v>0.105</v>
          </cell>
          <cell r="AQ209">
            <v>0.105</v>
          </cell>
          <cell r="AR209">
            <v>0.105</v>
          </cell>
          <cell r="AS209">
            <v>0.105</v>
          </cell>
          <cell r="BF209">
            <v>897375.22999999952</v>
          </cell>
          <cell r="BG209">
            <v>1009421.45</v>
          </cell>
          <cell r="BH209">
            <v>-288089.549999999</v>
          </cell>
          <cell r="BI209">
            <v>505448.23000000027</v>
          </cell>
          <cell r="BJ209">
            <v>45312.290000000154</v>
          </cell>
          <cell r="BK209">
            <v>-62894.85000000021</v>
          </cell>
          <cell r="BL209">
            <v>561676.24600000004</v>
          </cell>
          <cell r="BM209">
            <v>1049541.9160000002</v>
          </cell>
          <cell r="BN209">
            <v>1272771.8797500001</v>
          </cell>
          <cell r="BO209">
            <v>0</v>
          </cell>
          <cell r="BP209">
            <v>0</v>
          </cell>
          <cell r="BQ209">
            <v>0</v>
          </cell>
          <cell r="BR209">
            <v>2322313.7957500005</v>
          </cell>
          <cell r="BT209">
            <v>0</v>
          </cell>
          <cell r="CA209" t="str">
            <v>KPLSS0 - CONTRACT - Base</v>
          </cell>
          <cell r="CC209" t="str">
            <v>KPLSS0 - CONTRACT - Base - MR</v>
          </cell>
          <cell r="CD209" t="str">
            <v/>
          </cell>
          <cell r="CF209" t="str">
            <v>KPLSS0 - Base - MR</v>
          </cell>
        </row>
        <row r="210">
          <cell r="D210">
            <v>196</v>
          </cell>
          <cell r="E210">
            <v>2</v>
          </cell>
          <cell r="F210">
            <v>4</v>
          </cell>
          <cell r="G210" t="str">
            <v>KPLSS0</v>
          </cell>
          <cell r="H210" t="str">
            <v>KPLSS</v>
          </cell>
          <cell r="I210" t="str">
            <v>MR</v>
          </cell>
          <cell r="J210" t="str">
            <v>MR NASA</v>
          </cell>
          <cell r="K210" t="str">
            <v>NASA</v>
          </cell>
          <cell r="L210" t="str">
            <v>NASA</v>
          </cell>
          <cell r="M210" t="str">
            <v>FL</v>
          </cell>
          <cell r="N210" t="str">
            <v>CONUS</v>
          </cell>
          <cell r="O210">
            <v>44105</v>
          </cell>
          <cell r="P210">
            <v>45930</v>
          </cell>
          <cell r="Q210" t="str">
            <v>Prime</v>
          </cell>
          <cell r="R210" t="str">
            <v>FFP</v>
          </cell>
          <cell r="S210">
            <v>0</v>
          </cell>
          <cell r="T210">
            <v>1</v>
          </cell>
          <cell r="U210" t="str">
            <v>CONTRACT</v>
          </cell>
          <cell r="V210" t="str">
            <v>Identified - Recompete</v>
          </cell>
          <cell r="W210" t="str">
            <v>01 Prospect</v>
          </cell>
          <cell r="X210" t="str">
            <v>Priority 1</v>
          </cell>
          <cell r="Y210">
            <v>0.35</v>
          </cell>
          <cell r="Z210">
            <v>35000000</v>
          </cell>
          <cell r="AA210">
            <v>0</v>
          </cell>
          <cell r="AB210">
            <v>0</v>
          </cell>
          <cell r="AC210">
            <v>0</v>
          </cell>
          <cell r="AD210">
            <v>0</v>
          </cell>
          <cell r="AP210">
            <v>0.105</v>
          </cell>
          <cell r="AQ210">
            <v>0.105</v>
          </cell>
          <cell r="AR210">
            <v>0.105</v>
          </cell>
          <cell r="AS210">
            <v>0.105</v>
          </cell>
          <cell r="BI210">
            <v>0</v>
          </cell>
          <cell r="BJ210">
            <v>0</v>
          </cell>
          <cell r="BK210">
            <v>0</v>
          </cell>
          <cell r="BL210">
            <v>0</v>
          </cell>
          <cell r="BM210">
            <v>0</v>
          </cell>
          <cell r="BN210">
            <v>0</v>
          </cell>
          <cell r="BO210">
            <v>257250</v>
          </cell>
          <cell r="BP210">
            <v>257250</v>
          </cell>
          <cell r="BQ210">
            <v>257250</v>
          </cell>
          <cell r="BR210">
            <v>771750</v>
          </cell>
          <cell r="BT210">
            <v>0</v>
          </cell>
          <cell r="CA210" t="str">
            <v>KPLSS0 - CONTRACT - Identified - Recompete</v>
          </cell>
          <cell r="CC210" t="str">
            <v>KPLSS0 - CONTRACT - Identified - Recompete - MR</v>
          </cell>
          <cell r="CD210" t="str">
            <v/>
          </cell>
          <cell r="CF210" t="str">
            <v>KPLSS0 - Identified - Recompete - MR</v>
          </cell>
        </row>
        <row r="211">
          <cell r="D211">
            <v>197</v>
          </cell>
          <cell r="E211">
            <v>0</v>
          </cell>
          <cell r="F211">
            <v>5</v>
          </cell>
          <cell r="G211" t="str">
            <v>KPLSS0</v>
          </cell>
          <cell r="H211" t="str">
            <v>KPLSS</v>
          </cell>
          <cell r="I211" t="str">
            <v>MR</v>
          </cell>
          <cell r="J211" t="str">
            <v>MR NASA</v>
          </cell>
          <cell r="K211" t="str">
            <v>NASA</v>
          </cell>
          <cell r="L211" t="str">
            <v>NASA</v>
          </cell>
          <cell r="M211" t="str">
            <v>FL</v>
          </cell>
          <cell r="N211" t="str">
            <v>CONUS</v>
          </cell>
          <cell r="O211">
            <v>42278</v>
          </cell>
          <cell r="P211">
            <v>44104</v>
          </cell>
          <cell r="Q211" t="str">
            <v>Prime</v>
          </cell>
          <cell r="R211" t="str">
            <v>FFP</v>
          </cell>
          <cell r="S211">
            <v>0</v>
          </cell>
          <cell r="T211">
            <v>1</v>
          </cell>
          <cell r="U211" t="str">
            <v>EBITA</v>
          </cell>
          <cell r="V211" t="str">
            <v>Base</v>
          </cell>
          <cell r="W211" t="str">
            <v>05 Won</v>
          </cell>
          <cell r="X211" t="str">
            <v>Active</v>
          </cell>
          <cell r="Y211">
            <v>1</v>
          </cell>
          <cell r="Z211">
            <v>0</v>
          </cell>
          <cell r="AA211">
            <v>4281530.4599999981</v>
          </cell>
          <cell r="AB211">
            <v>12600259</v>
          </cell>
          <cell r="AC211">
            <v>0</v>
          </cell>
          <cell r="AD211">
            <v>16881789.459999997</v>
          </cell>
          <cell r="AT211">
            <v>-5.4008781140635252E-2</v>
          </cell>
          <cell r="AU211">
            <v>-6.1901748226390975E-2</v>
          </cell>
          <cell r="AV211">
            <v>-0.20918256145124131</v>
          </cell>
          <cell r="AW211">
            <v>-8.6356577243602572E-2</v>
          </cell>
          <cell r="AX211">
            <v>2.1493198315850552E-2</v>
          </cell>
          <cell r="AY211">
            <v>2.2493198315850553E-2</v>
          </cell>
          <cell r="AZ211">
            <v>2.3493198315850554E-2</v>
          </cell>
          <cell r="BA211">
            <v>2.4493198315850555E-2</v>
          </cell>
          <cell r="BF211">
            <v>-432173.67000000039</v>
          </cell>
          <cell r="BG211">
            <v>-579123.92999999993</v>
          </cell>
          <cell r="BH211">
            <v>-2225609.2399999993</v>
          </cell>
          <cell r="BI211">
            <v>57564.800000000279</v>
          </cell>
          <cell r="BJ211">
            <v>-398045.88999999984</v>
          </cell>
          <cell r="BK211">
            <v>-556572.07000000007</v>
          </cell>
          <cell r="BL211">
            <v>34647.624449004332</v>
          </cell>
          <cell r="BM211">
            <v>-862405.53555099538</v>
          </cell>
          <cell r="BN211">
            <v>260532.74687909184</v>
          </cell>
          <cell r="BO211">
            <v>0</v>
          </cell>
          <cell r="BP211">
            <v>0</v>
          </cell>
          <cell r="BQ211">
            <v>0</v>
          </cell>
          <cell r="BR211">
            <v>-601872.78867190355</v>
          </cell>
          <cell r="BT211">
            <v>0</v>
          </cell>
          <cell r="CA211" t="str">
            <v>KPLSS0 - EBITA - Base</v>
          </cell>
          <cell r="CC211" t="str">
            <v>KPLSS0 - EBITA - Base - MR</v>
          </cell>
          <cell r="CD211" t="str">
            <v/>
          </cell>
          <cell r="CF211" t="str">
            <v>KPLSS0 - Base - MR</v>
          </cell>
        </row>
        <row r="212">
          <cell r="D212">
            <v>198</v>
          </cell>
          <cell r="E212">
            <v>0</v>
          </cell>
          <cell r="F212">
            <v>0</v>
          </cell>
          <cell r="G212" t="str">
            <v>KPLSS0</v>
          </cell>
          <cell r="H212" t="str">
            <v>KPLSS</v>
          </cell>
          <cell r="I212" t="str">
            <v>MR</v>
          </cell>
          <cell r="J212" t="str">
            <v>MR NASA</v>
          </cell>
          <cell r="K212" t="str">
            <v>NASA</v>
          </cell>
          <cell r="L212" t="str">
            <v>NASA</v>
          </cell>
          <cell r="M212" t="str">
            <v>FL</v>
          </cell>
          <cell r="N212" t="str">
            <v>CONUS</v>
          </cell>
          <cell r="O212">
            <v>44105</v>
          </cell>
          <cell r="P212">
            <v>45930</v>
          </cell>
          <cell r="Q212" t="str">
            <v>Prime</v>
          </cell>
          <cell r="R212" t="str">
            <v>FFP</v>
          </cell>
          <cell r="S212">
            <v>0</v>
          </cell>
          <cell r="T212">
            <v>1</v>
          </cell>
          <cell r="U212" t="str">
            <v>EBITA</v>
          </cell>
          <cell r="V212" t="str">
            <v>Identified - Recompete</v>
          </cell>
          <cell r="W212" t="str">
            <v>01 Prospect</v>
          </cell>
          <cell r="X212" t="str">
            <v>Priority 1</v>
          </cell>
          <cell r="Y212">
            <v>0.35</v>
          </cell>
          <cell r="Z212">
            <v>35000000</v>
          </cell>
          <cell r="AA212">
            <v>0</v>
          </cell>
          <cell r="AB212">
            <v>0</v>
          </cell>
          <cell r="AC212">
            <v>0</v>
          </cell>
          <cell r="AD212">
            <v>0</v>
          </cell>
          <cell r="AX212">
            <v>2.1493198315850552E-2</v>
          </cell>
          <cell r="AY212">
            <v>2.2493198315850553E-2</v>
          </cell>
          <cell r="AZ212">
            <v>2.3493198315850554E-2</v>
          </cell>
          <cell r="BA212">
            <v>2.4493198315850555E-2</v>
          </cell>
          <cell r="BI212">
            <v>0</v>
          </cell>
          <cell r="BJ212">
            <v>0</v>
          </cell>
          <cell r="BK212">
            <v>0</v>
          </cell>
          <cell r="BL212">
            <v>0</v>
          </cell>
          <cell r="BM212">
            <v>0</v>
          </cell>
          <cell r="BN212">
            <v>0</v>
          </cell>
          <cell r="BO212">
            <v>55108.335873833857</v>
          </cell>
          <cell r="BP212">
            <v>57558.335873833857</v>
          </cell>
          <cell r="BQ212">
            <v>60008.335873833857</v>
          </cell>
          <cell r="BR212">
            <v>172675.00762150157</v>
          </cell>
          <cell r="BT212">
            <v>0</v>
          </cell>
          <cell r="CA212" t="str">
            <v>KPLSS0 - EBITA - Identified - Recompete</v>
          </cell>
          <cell r="CC212" t="str">
            <v>KPLSS0 - EBITA - Identified - Recompete - MR</v>
          </cell>
          <cell r="CD212" t="str">
            <v/>
          </cell>
          <cell r="CF212" t="str">
            <v>KPLSS0 - Identified - Recompete - MR</v>
          </cell>
        </row>
        <row r="213">
          <cell r="D213">
            <v>199</v>
          </cell>
          <cell r="E213">
            <v>1</v>
          </cell>
          <cell r="F213">
            <v>1</v>
          </cell>
          <cell r="G213" t="str">
            <v>LUKAFB</v>
          </cell>
          <cell r="H213" t="str">
            <v>Luke AFB F-16 AC Maint</v>
          </cell>
          <cell r="I213" t="str">
            <v>MR</v>
          </cell>
          <cell r="J213" t="str">
            <v>MR Maintenance &amp; Sustainment</v>
          </cell>
          <cell r="K213" t="str">
            <v>Air Force</v>
          </cell>
          <cell r="L213" t="str">
            <v>DOD</v>
          </cell>
          <cell r="M213" t="str">
            <v>AZ</v>
          </cell>
          <cell r="N213" t="str">
            <v>CONUS</v>
          </cell>
          <cell r="O213">
            <v>42887</v>
          </cell>
          <cell r="P213">
            <v>45138</v>
          </cell>
          <cell r="Q213" t="str">
            <v>Prime</v>
          </cell>
          <cell r="R213" t="str">
            <v>FFP</v>
          </cell>
          <cell r="S213">
            <v>0</v>
          </cell>
          <cell r="T213">
            <v>1</v>
          </cell>
          <cell r="U213" t="str">
            <v>REVTOT</v>
          </cell>
          <cell r="V213" t="str">
            <v>Base</v>
          </cell>
          <cell r="W213" t="str">
            <v>05 Won</v>
          </cell>
          <cell r="X213" t="str">
            <v>Active</v>
          </cell>
          <cell r="Y213">
            <v>1</v>
          </cell>
          <cell r="Z213">
            <v>0</v>
          </cell>
          <cell r="AA213">
            <v>4935740.0399999991</v>
          </cell>
          <cell r="AB213">
            <v>7435228</v>
          </cell>
          <cell r="AC213">
            <v>35000000</v>
          </cell>
          <cell r="AD213">
            <v>47370968.039999999</v>
          </cell>
          <cell r="AE213">
            <v>0</v>
          </cell>
          <cell r="AF213">
            <v>1.9924299314612122</v>
          </cell>
          <cell r="AG213">
            <v>-2.3149236620368607E-2</v>
          </cell>
          <cell r="AH213">
            <v>-4.5821120843585139E-2</v>
          </cell>
          <cell r="AI213">
            <v>0</v>
          </cell>
          <cell r="AJ213">
            <v>0</v>
          </cell>
          <cell r="AK213">
            <v>0</v>
          </cell>
          <cell r="BB213">
            <v>6840840</v>
          </cell>
          <cell r="BC213">
            <v>6840840</v>
          </cell>
          <cell r="BD213">
            <v>6840840</v>
          </cell>
          <cell r="BE213">
            <v>6840840</v>
          </cell>
          <cell r="BF213">
            <v>0</v>
          </cell>
          <cell r="BG213">
            <v>2452603.9500000002</v>
          </cell>
          <cell r="BH213">
            <v>7339245.4699999988</v>
          </cell>
          <cell r="BI213">
            <v>2008402.8299999998</v>
          </cell>
          <cell r="BJ213">
            <v>1585657.83</v>
          </cell>
          <cell r="BK213">
            <v>1962834.88</v>
          </cell>
          <cell r="BL213">
            <v>1612452</v>
          </cell>
          <cell r="BM213">
            <v>7169347.54</v>
          </cell>
          <cell r="BN213">
            <v>6840840</v>
          </cell>
          <cell r="BO213">
            <v>6840840</v>
          </cell>
          <cell r="BP213">
            <v>6840840</v>
          </cell>
          <cell r="BQ213">
            <v>5700700</v>
          </cell>
          <cell r="BR213">
            <v>33392567.539999999</v>
          </cell>
          <cell r="BT213">
            <v>0</v>
          </cell>
          <cell r="CA213" t="str">
            <v>LUKAFB - REVTOT - Base</v>
          </cell>
          <cell r="CC213" t="str">
            <v>LUKAFB - REVTOT - Base - MR</v>
          </cell>
          <cell r="CD213" t="str">
            <v>LUKAFB - REVTOT - Base - MR</v>
          </cell>
          <cell r="CF213" t="str">
            <v>LUKAFB - Base - MR</v>
          </cell>
        </row>
        <row r="214">
          <cell r="D214">
            <v>200</v>
          </cell>
          <cell r="E214">
            <v>1</v>
          </cell>
          <cell r="F214">
            <v>2</v>
          </cell>
          <cell r="G214" t="str">
            <v>LUKAFB</v>
          </cell>
          <cell r="H214" t="str">
            <v>Luke AFB F-16 AC Maint</v>
          </cell>
          <cell r="I214" t="str">
            <v>MR</v>
          </cell>
          <cell r="J214" t="str">
            <v>MR Maintenance &amp; Sustainment</v>
          </cell>
          <cell r="K214" t="str">
            <v>Air Force</v>
          </cell>
          <cell r="L214" t="str">
            <v>DOD</v>
          </cell>
          <cell r="M214" t="str">
            <v>AZ</v>
          </cell>
          <cell r="N214" t="str">
            <v>CONUS</v>
          </cell>
          <cell r="O214">
            <v>45139</v>
          </cell>
          <cell r="P214">
            <v>46965</v>
          </cell>
          <cell r="Q214" t="str">
            <v>Prime</v>
          </cell>
          <cell r="R214" t="str">
            <v>FFP</v>
          </cell>
          <cell r="S214">
            <v>0</v>
          </cell>
          <cell r="T214">
            <v>1</v>
          </cell>
          <cell r="U214" t="str">
            <v>REVTOT</v>
          </cell>
          <cell r="V214" t="str">
            <v>Identified - Recompete</v>
          </cell>
          <cell r="W214" t="str">
            <v>02 Capture</v>
          </cell>
          <cell r="X214" t="str">
            <v>Priority 1</v>
          </cell>
          <cell r="Y214">
            <v>0.3</v>
          </cell>
          <cell r="Z214">
            <v>50000000</v>
          </cell>
          <cell r="AA214">
            <v>0</v>
          </cell>
          <cell r="AB214">
            <v>0</v>
          </cell>
          <cell r="AC214">
            <v>0</v>
          </cell>
          <cell r="AD214">
            <v>0</v>
          </cell>
          <cell r="AI214">
            <v>0</v>
          </cell>
          <cell r="AJ214">
            <v>0</v>
          </cell>
          <cell r="AK214">
            <v>0</v>
          </cell>
          <cell r="BB214">
            <v>10000000</v>
          </cell>
          <cell r="BC214">
            <v>10000000</v>
          </cell>
          <cell r="BD214">
            <v>10000000</v>
          </cell>
          <cell r="BE214">
            <v>10000000</v>
          </cell>
          <cell r="BI214">
            <v>0</v>
          </cell>
          <cell r="BJ214">
            <v>0</v>
          </cell>
          <cell r="BK214">
            <v>0</v>
          </cell>
          <cell r="BL214">
            <v>0</v>
          </cell>
          <cell r="BM214">
            <v>0</v>
          </cell>
          <cell r="BN214">
            <v>0</v>
          </cell>
          <cell r="BO214">
            <v>0</v>
          </cell>
          <cell r="BP214">
            <v>0</v>
          </cell>
          <cell r="BQ214">
            <v>491666.66666666669</v>
          </cell>
          <cell r="BR214">
            <v>491666.66666666669</v>
          </cell>
          <cell r="BT214">
            <v>0</v>
          </cell>
          <cell r="CA214" t="str">
            <v>LUKAFB - REVTOT - Identified - Recompete</v>
          </cell>
          <cell r="CC214" t="str">
            <v>LUKAFB - REVTOT - Identified - Recompete - MR</v>
          </cell>
          <cell r="CD214" t="str">
            <v/>
          </cell>
          <cell r="CF214" t="str">
            <v>LUKAFB - Identified - Recompete - MR</v>
          </cell>
        </row>
        <row r="215">
          <cell r="D215">
            <v>201</v>
          </cell>
          <cell r="E215">
            <v>2</v>
          </cell>
          <cell r="F215">
            <v>3</v>
          </cell>
          <cell r="G215" t="str">
            <v>LUKAFB</v>
          </cell>
          <cell r="H215" t="str">
            <v>Luke AFB F-16 AC Maint</v>
          </cell>
          <cell r="I215" t="str">
            <v>MR</v>
          </cell>
          <cell r="J215" t="str">
            <v>MR Maintenance &amp; Sustainment</v>
          </cell>
          <cell r="K215" t="str">
            <v>Air Force</v>
          </cell>
          <cell r="L215" t="str">
            <v>DOD</v>
          </cell>
          <cell r="M215" t="str">
            <v>AZ</v>
          </cell>
          <cell r="N215" t="str">
            <v>CONUS</v>
          </cell>
          <cell r="O215">
            <v>42887</v>
          </cell>
          <cell r="P215">
            <v>45138</v>
          </cell>
          <cell r="Q215" t="str">
            <v>Prime</v>
          </cell>
          <cell r="R215" t="str">
            <v>FFP</v>
          </cell>
          <cell r="S215">
            <v>0</v>
          </cell>
          <cell r="T215">
            <v>1</v>
          </cell>
          <cell r="U215" t="str">
            <v>CONTRACT</v>
          </cell>
          <cell r="V215" t="str">
            <v>Base</v>
          </cell>
          <cell r="W215" t="str">
            <v>05 Won</v>
          </cell>
          <cell r="X215" t="str">
            <v>Active</v>
          </cell>
          <cell r="Y215">
            <v>1</v>
          </cell>
          <cell r="Z215">
            <v>0</v>
          </cell>
          <cell r="AA215">
            <v>4935740.0399999991</v>
          </cell>
          <cell r="AB215">
            <v>7435228</v>
          </cell>
          <cell r="AC215">
            <v>35000000</v>
          </cell>
          <cell r="AD215">
            <v>47370968.039999999</v>
          </cell>
          <cell r="AL215">
            <v>0</v>
          </cell>
          <cell r="AM215">
            <v>0.10435750949516331</v>
          </cell>
          <cell r="AN215">
            <v>6.1726707718361716E-2</v>
          </cell>
          <cell r="AO215">
            <v>8.9828170436273724E-2</v>
          </cell>
          <cell r="AP215">
            <v>8.7770201905029196E-2</v>
          </cell>
          <cell r="AQ215">
            <v>8.7770201905029196E-2</v>
          </cell>
          <cell r="AR215">
            <v>8.7770201905029196E-2</v>
          </cell>
          <cell r="AS215">
            <v>8.7770201905029196E-2</v>
          </cell>
          <cell r="BF215">
            <v>0</v>
          </cell>
          <cell r="BG215">
            <v>255947.64000000007</v>
          </cell>
          <cell r="BH215">
            <v>453027.4600000002</v>
          </cell>
          <cell r="BI215">
            <v>229783.49999999977</v>
          </cell>
          <cell r="BJ215">
            <v>122844.2300000001</v>
          </cell>
          <cell r="BK215">
            <v>155297.05999999994</v>
          </cell>
          <cell r="BL215">
            <v>136084.58273999998</v>
          </cell>
          <cell r="BM215">
            <v>644009.37273999979</v>
          </cell>
          <cell r="BN215">
            <v>600421.90799999994</v>
          </cell>
          <cell r="BO215">
            <v>600421.90799999994</v>
          </cell>
          <cell r="BP215">
            <v>600421.90799999994</v>
          </cell>
          <cell r="BQ215">
            <v>500351.58999999997</v>
          </cell>
          <cell r="BR215">
            <v>2945626.6867399993</v>
          </cell>
          <cell r="BT215">
            <v>0</v>
          </cell>
          <cell r="CA215" t="str">
            <v>LUKAFB - CONTRACT - Base</v>
          </cell>
          <cell r="CC215" t="str">
            <v>LUKAFB - CONTRACT - Base - MR</v>
          </cell>
          <cell r="CD215" t="str">
            <v/>
          </cell>
          <cell r="CF215" t="str">
            <v>LUKAFB - Base - MR</v>
          </cell>
        </row>
        <row r="216">
          <cell r="D216">
            <v>202</v>
          </cell>
          <cell r="E216">
            <v>2</v>
          </cell>
          <cell r="F216">
            <v>4</v>
          </cell>
          <cell r="G216" t="str">
            <v>LUKAFB</v>
          </cell>
          <cell r="H216" t="str">
            <v>Luke AFB F-16 AC Maint</v>
          </cell>
          <cell r="I216" t="str">
            <v>MR</v>
          </cell>
          <cell r="J216" t="str">
            <v>MR Maintenance &amp; Sustainment</v>
          </cell>
          <cell r="K216" t="str">
            <v>Air Force</v>
          </cell>
          <cell r="L216" t="str">
            <v>DOD</v>
          </cell>
          <cell r="M216" t="str">
            <v>AZ</v>
          </cell>
          <cell r="N216" t="str">
            <v>CONUS</v>
          </cell>
          <cell r="O216">
            <v>45139</v>
          </cell>
          <cell r="P216">
            <v>46965</v>
          </cell>
          <cell r="Q216" t="str">
            <v>Prime</v>
          </cell>
          <cell r="R216" t="str">
            <v>FFP</v>
          </cell>
          <cell r="S216">
            <v>0</v>
          </cell>
          <cell r="T216">
            <v>1</v>
          </cell>
          <cell r="U216" t="str">
            <v>CONTRACT</v>
          </cell>
          <cell r="V216" t="str">
            <v>Identified - Recompete</v>
          </cell>
          <cell r="W216" t="str">
            <v>02 Capture</v>
          </cell>
          <cell r="X216" t="str">
            <v>Priority 1</v>
          </cell>
          <cell r="Y216">
            <v>0.3</v>
          </cell>
          <cell r="Z216">
            <v>50000000</v>
          </cell>
          <cell r="AA216">
            <v>0</v>
          </cell>
          <cell r="AB216">
            <v>0</v>
          </cell>
          <cell r="AC216">
            <v>0</v>
          </cell>
          <cell r="AD216">
            <v>0</v>
          </cell>
          <cell r="AP216">
            <v>8.7770201905029196E-2</v>
          </cell>
          <cell r="AQ216">
            <v>8.7770201905029196E-2</v>
          </cell>
          <cell r="AR216">
            <v>8.7770201905029196E-2</v>
          </cell>
          <cell r="AS216">
            <v>8.7770201905029196E-2</v>
          </cell>
          <cell r="BI216">
            <v>0</v>
          </cell>
          <cell r="BJ216">
            <v>0</v>
          </cell>
          <cell r="BK216">
            <v>0</v>
          </cell>
          <cell r="BL216">
            <v>0</v>
          </cell>
          <cell r="BM216">
            <v>0</v>
          </cell>
          <cell r="BN216">
            <v>0</v>
          </cell>
          <cell r="BO216">
            <v>0</v>
          </cell>
          <cell r="BP216">
            <v>0</v>
          </cell>
          <cell r="BQ216">
            <v>43153.682603306021</v>
          </cell>
          <cell r="BR216">
            <v>43153.682603306021</v>
          </cell>
          <cell r="BT216">
            <v>0</v>
          </cell>
          <cell r="CA216" t="str">
            <v>LUKAFB - CONTRACT - Identified - Recompete</v>
          </cell>
          <cell r="CC216" t="str">
            <v>LUKAFB - CONTRACT - Identified - Recompete - MR</v>
          </cell>
          <cell r="CD216" t="str">
            <v/>
          </cell>
          <cell r="CF216" t="str">
            <v>LUKAFB - Identified - Recompete - MR</v>
          </cell>
        </row>
        <row r="217">
          <cell r="D217">
            <v>203</v>
          </cell>
          <cell r="E217">
            <v>0</v>
          </cell>
          <cell r="F217">
            <v>5</v>
          </cell>
          <cell r="G217" t="str">
            <v>LUKAFB</v>
          </cell>
          <cell r="H217" t="str">
            <v>Luke AFB F-16 AC Maint</v>
          </cell>
          <cell r="I217" t="str">
            <v>MR</v>
          </cell>
          <cell r="J217" t="str">
            <v>MR Maintenance &amp; Sustainment</v>
          </cell>
          <cell r="K217" t="str">
            <v>Air Force</v>
          </cell>
          <cell r="L217" t="str">
            <v>DOD</v>
          </cell>
          <cell r="M217" t="str">
            <v>AZ</v>
          </cell>
          <cell r="N217" t="str">
            <v>CONUS</v>
          </cell>
          <cell r="O217">
            <v>42887</v>
          </cell>
          <cell r="P217">
            <v>45138</v>
          </cell>
          <cell r="Q217" t="str">
            <v>Prime</v>
          </cell>
          <cell r="R217" t="str">
            <v>FFP</v>
          </cell>
          <cell r="S217">
            <v>0</v>
          </cell>
          <cell r="T217">
            <v>1</v>
          </cell>
          <cell r="U217" t="str">
            <v>EBITA</v>
          </cell>
          <cell r="V217" t="str">
            <v>Base</v>
          </cell>
          <cell r="W217" t="str">
            <v>05 Won</v>
          </cell>
          <cell r="X217" t="str">
            <v>Active</v>
          </cell>
          <cell r="Y217">
            <v>1</v>
          </cell>
          <cell r="Z217">
            <v>0</v>
          </cell>
          <cell r="AA217">
            <v>4935740.0399999991</v>
          </cell>
          <cell r="AB217">
            <v>7435228</v>
          </cell>
          <cell r="AC217">
            <v>35000000</v>
          </cell>
          <cell r="AD217">
            <v>47370968.039999999</v>
          </cell>
          <cell r="AT217">
            <v>0</v>
          </cell>
          <cell r="AU217">
            <v>2.631777136296307E-2</v>
          </cell>
          <cell r="AV217">
            <v>-1.6848097056494801E-2</v>
          </cell>
          <cell r="AW217">
            <v>1.3324652671550327E-2</v>
          </cell>
          <cell r="AX217">
            <v>1.3989924700260479E-2</v>
          </cell>
          <cell r="AY217">
            <v>1.4989924700260478E-2</v>
          </cell>
          <cell r="AZ217">
            <v>1.5989924700260477E-2</v>
          </cell>
          <cell r="BA217">
            <v>1.6989924700260478E-2</v>
          </cell>
          <cell r="BF217">
            <v>0</v>
          </cell>
          <cell r="BG217">
            <v>64547.070000000109</v>
          </cell>
          <cell r="BH217">
            <v>-123652.31999999977</v>
          </cell>
          <cell r="BI217">
            <v>74884.17999999976</v>
          </cell>
          <cell r="BJ217">
            <v>2510.7900000001027</v>
          </cell>
          <cell r="BK217">
            <v>1959.7799999999406</v>
          </cell>
          <cell r="BL217">
            <v>16174.315852133957</v>
          </cell>
          <cell r="BM217">
            <v>95529.065852133761</v>
          </cell>
          <cell r="BN217">
            <v>95702.836486529894</v>
          </cell>
          <cell r="BO217">
            <v>102543.67648652989</v>
          </cell>
          <cell r="BP217">
            <v>109384.51648652989</v>
          </cell>
          <cell r="BQ217">
            <v>96854.46373877491</v>
          </cell>
          <cell r="BR217">
            <v>500014.5590504983</v>
          </cell>
          <cell r="BT217">
            <v>0</v>
          </cell>
          <cell r="CA217" t="str">
            <v>LUKAFB - EBITA - Base</v>
          </cell>
          <cell r="CC217" t="str">
            <v>LUKAFB - EBITA - Base - MR</v>
          </cell>
          <cell r="CD217" t="str">
            <v/>
          </cell>
          <cell r="CF217" t="str">
            <v>LUKAFB - Base - MR</v>
          </cell>
        </row>
        <row r="218">
          <cell r="D218">
            <v>204</v>
          </cell>
          <cell r="E218">
            <v>0</v>
          </cell>
          <cell r="F218">
            <v>0</v>
          </cell>
          <cell r="G218" t="str">
            <v>LUKAFB</v>
          </cell>
          <cell r="H218" t="str">
            <v>Luke AFB F-16 AC Maint</v>
          </cell>
          <cell r="I218" t="str">
            <v>MR</v>
          </cell>
          <cell r="J218" t="str">
            <v>MR Maintenance &amp; Sustainment</v>
          </cell>
          <cell r="K218" t="str">
            <v>Air Force</v>
          </cell>
          <cell r="L218" t="str">
            <v>DOD</v>
          </cell>
          <cell r="M218" t="str">
            <v>AZ</v>
          </cell>
          <cell r="N218" t="str">
            <v>CONUS</v>
          </cell>
          <cell r="O218">
            <v>45139</v>
          </cell>
          <cell r="P218">
            <v>46965</v>
          </cell>
          <cell r="Q218" t="str">
            <v>Prime</v>
          </cell>
          <cell r="R218" t="str">
            <v>FFP</v>
          </cell>
          <cell r="S218">
            <v>0</v>
          </cell>
          <cell r="T218">
            <v>1</v>
          </cell>
          <cell r="U218" t="str">
            <v>EBITA</v>
          </cell>
          <cell r="V218" t="str">
            <v>Identified - Recompete</v>
          </cell>
          <cell r="W218" t="str">
            <v>02 Capture</v>
          </cell>
          <cell r="X218" t="str">
            <v>Priority 1</v>
          </cell>
          <cell r="Y218">
            <v>0.3</v>
          </cell>
          <cell r="Z218">
            <v>50000000</v>
          </cell>
          <cell r="AA218">
            <v>0</v>
          </cell>
          <cell r="AB218">
            <v>0</v>
          </cell>
          <cell r="AC218">
            <v>0</v>
          </cell>
          <cell r="AD218">
            <v>0</v>
          </cell>
          <cell r="AX218">
            <v>1.3989924700260479E-2</v>
          </cell>
          <cell r="AY218">
            <v>1.4989924700260478E-2</v>
          </cell>
          <cell r="AZ218">
            <v>1.5989924700260477E-2</v>
          </cell>
          <cell r="BA218">
            <v>1.6989924700260478E-2</v>
          </cell>
          <cell r="BI218">
            <v>0</v>
          </cell>
          <cell r="BJ218">
            <v>0</v>
          </cell>
          <cell r="BK218">
            <v>0</v>
          </cell>
          <cell r="BL218">
            <v>0</v>
          </cell>
          <cell r="BM218">
            <v>0</v>
          </cell>
          <cell r="BN218">
            <v>0</v>
          </cell>
          <cell r="BO218">
            <v>0</v>
          </cell>
          <cell r="BP218">
            <v>0</v>
          </cell>
          <cell r="BQ218">
            <v>8353.379644294735</v>
          </cell>
          <cell r="BR218">
            <v>8353.379644294735</v>
          </cell>
          <cell r="BT218">
            <v>0</v>
          </cell>
          <cell r="CA218" t="str">
            <v>LUKAFB - EBITA - Identified - Recompete</v>
          </cell>
          <cell r="CC218" t="str">
            <v>LUKAFB - EBITA - Identified - Recompete - MR</v>
          </cell>
          <cell r="CD218" t="str">
            <v/>
          </cell>
          <cell r="CF218" t="str">
            <v>LUKAFB - Identified - Recompete - MR</v>
          </cell>
        </row>
        <row r="219">
          <cell r="D219">
            <v>205</v>
          </cell>
          <cell r="E219">
            <v>1</v>
          </cell>
          <cell r="F219">
            <v>1</v>
          </cell>
          <cell r="G219" t="str">
            <v>C13958</v>
          </cell>
          <cell r="H219" t="str">
            <v>NSDD DICCE II Belarus (13958)</v>
          </cell>
          <cell r="I219" t="str">
            <v>MR</v>
          </cell>
          <cell r="J219" t="str">
            <v>MR Non-Proliferation and Security Services</v>
          </cell>
          <cell r="K219" t="str">
            <v>DOE</v>
          </cell>
          <cell r="L219" t="str">
            <v>DOE</v>
          </cell>
          <cell r="M219" t="str">
            <v>Belarus</v>
          </cell>
          <cell r="N219" t="str">
            <v>OCONUS</v>
          </cell>
          <cell r="O219">
            <v>43003</v>
          </cell>
          <cell r="P219">
            <v>43861</v>
          </cell>
          <cell r="Q219" t="str">
            <v>Sub</v>
          </cell>
          <cell r="R219" t="str">
            <v>CPFF</v>
          </cell>
          <cell r="S219">
            <v>0</v>
          </cell>
          <cell r="T219">
            <v>1</v>
          </cell>
          <cell r="U219" t="str">
            <v>REVTOT</v>
          </cell>
          <cell r="V219" t="str">
            <v>Base</v>
          </cell>
          <cell r="W219" t="str">
            <v>05 Won</v>
          </cell>
          <cell r="X219" t="str">
            <v>Active</v>
          </cell>
          <cell r="Y219">
            <v>1</v>
          </cell>
          <cell r="Z219">
            <v>0</v>
          </cell>
          <cell r="AA219">
            <v>3977126.439999999</v>
          </cell>
          <cell r="AB219">
            <v>0</v>
          </cell>
          <cell r="AC219">
            <v>0</v>
          </cell>
          <cell r="AD219">
            <v>3977126.439999999</v>
          </cell>
          <cell r="AE219">
            <v>0</v>
          </cell>
          <cell r="AF219">
            <v>0</v>
          </cell>
          <cell r="AG219">
            <v>0.85825650203037385</v>
          </cell>
          <cell r="AH219">
            <v>-0.23537939667069507</v>
          </cell>
          <cell r="AI219">
            <v>0</v>
          </cell>
          <cell r="AJ219">
            <v>0</v>
          </cell>
          <cell r="AK219">
            <v>0</v>
          </cell>
          <cell r="BB219">
            <v>6389075</v>
          </cell>
          <cell r="BC219">
            <v>6389075</v>
          </cell>
          <cell r="BD219">
            <v>6389075</v>
          </cell>
          <cell r="BE219">
            <v>6389075</v>
          </cell>
          <cell r="BF219">
            <v>0</v>
          </cell>
          <cell r="BG219">
            <v>0</v>
          </cell>
          <cell r="BH219">
            <v>2799095.66</v>
          </cell>
          <cell r="BI219">
            <v>1699618.5100000002</v>
          </cell>
          <cell r="BJ219">
            <v>1722180.08</v>
          </cell>
          <cell r="BK219">
            <v>598712.77</v>
          </cell>
          <cell r="BL219">
            <v>1180926.3500000001</v>
          </cell>
          <cell r="BM219">
            <v>5201437.7100000009</v>
          </cell>
          <cell r="BN219">
            <v>3977126.439999999</v>
          </cell>
          <cell r="BO219">
            <v>0</v>
          </cell>
          <cell r="BP219">
            <v>0</v>
          </cell>
          <cell r="BQ219">
            <v>0</v>
          </cell>
          <cell r="BR219">
            <v>9178564.1500000004</v>
          </cell>
          <cell r="BT219">
            <v>0</v>
          </cell>
          <cell r="CA219" t="str">
            <v>C13958 - REVTOT - Base</v>
          </cell>
          <cell r="CC219" t="str">
            <v>C13958 - REVTOT - Base - MR</v>
          </cell>
          <cell r="CD219" t="str">
            <v>C13958 - REVTOT - Base - MR</v>
          </cell>
          <cell r="CF219" t="str">
            <v>C13958 - Base - MR</v>
          </cell>
        </row>
        <row r="220">
          <cell r="D220">
            <v>206</v>
          </cell>
          <cell r="E220">
            <v>1</v>
          </cell>
          <cell r="F220">
            <v>2</v>
          </cell>
          <cell r="G220" t="str">
            <v>C13958</v>
          </cell>
          <cell r="H220" t="str">
            <v>NSDD DICCE II Belarus (13958)</v>
          </cell>
          <cell r="I220" t="str">
            <v>MR</v>
          </cell>
          <cell r="J220" t="str">
            <v>MR Non-Proliferation and Security Services</v>
          </cell>
          <cell r="K220" t="str">
            <v>DOE</v>
          </cell>
          <cell r="L220" t="str">
            <v>DOE</v>
          </cell>
          <cell r="M220" t="str">
            <v>Belarus</v>
          </cell>
          <cell r="N220" t="str">
            <v>OCONUS</v>
          </cell>
          <cell r="O220">
            <v>0</v>
          </cell>
          <cell r="P220">
            <v>0</v>
          </cell>
          <cell r="Q220">
            <v>0</v>
          </cell>
          <cell r="R220" t="str">
            <v>CPFF</v>
          </cell>
          <cell r="S220">
            <v>0</v>
          </cell>
          <cell r="T220">
            <v>1</v>
          </cell>
          <cell r="U220" t="str">
            <v>REVTOT</v>
          </cell>
          <cell r="V220" t="str">
            <v>Identified - Recompete</v>
          </cell>
          <cell r="W220">
            <v>0</v>
          </cell>
          <cell r="X220">
            <v>0</v>
          </cell>
          <cell r="Y220">
            <v>0</v>
          </cell>
          <cell r="Z220">
            <v>0</v>
          </cell>
          <cell r="AA220">
            <v>0</v>
          </cell>
          <cell r="AB220">
            <v>0</v>
          </cell>
          <cell r="AC220">
            <v>0</v>
          </cell>
          <cell r="AD220">
            <v>0</v>
          </cell>
          <cell r="AI220">
            <v>0</v>
          </cell>
          <cell r="AJ220">
            <v>0</v>
          </cell>
          <cell r="AK220">
            <v>0</v>
          </cell>
          <cell r="BB220">
            <v>0</v>
          </cell>
          <cell r="BC220">
            <v>0</v>
          </cell>
          <cell r="BD220">
            <v>0</v>
          </cell>
          <cell r="BE220">
            <v>0</v>
          </cell>
          <cell r="BI220">
            <v>0</v>
          </cell>
          <cell r="BJ220">
            <v>0</v>
          </cell>
          <cell r="BK220">
            <v>0</v>
          </cell>
          <cell r="BL220">
            <v>0</v>
          </cell>
          <cell r="BM220">
            <v>0</v>
          </cell>
          <cell r="BN220">
            <v>0</v>
          </cell>
          <cell r="BO220">
            <v>0</v>
          </cell>
          <cell r="BP220">
            <v>0</v>
          </cell>
          <cell r="BQ220">
            <v>0</v>
          </cell>
          <cell r="BR220">
            <v>0</v>
          </cell>
          <cell r="BT220">
            <v>0</v>
          </cell>
          <cell r="CA220" t="str">
            <v>C13958 - REVTOT - Identified - Recompete</v>
          </cell>
          <cell r="CC220" t="str">
            <v>C13958 - REVTOT - Identified - Recompete - MR</v>
          </cell>
          <cell r="CD220" t="str">
            <v/>
          </cell>
          <cell r="CF220" t="str">
            <v>C13958 - Identified - Recompete - MR</v>
          </cell>
        </row>
        <row r="221">
          <cell r="D221">
            <v>207</v>
          </cell>
          <cell r="E221">
            <v>2</v>
          </cell>
          <cell r="F221">
            <v>3</v>
          </cell>
          <cell r="G221" t="str">
            <v>C13958</v>
          </cell>
          <cell r="H221" t="str">
            <v>NSDD DICCE II Belarus (13958)</v>
          </cell>
          <cell r="I221" t="str">
            <v>MR</v>
          </cell>
          <cell r="J221" t="str">
            <v>MR Non-Proliferation and Security Services</v>
          </cell>
          <cell r="K221" t="str">
            <v>DOE</v>
          </cell>
          <cell r="L221" t="str">
            <v>DOE</v>
          </cell>
          <cell r="M221" t="str">
            <v>Belarus</v>
          </cell>
          <cell r="N221" t="str">
            <v>OCONUS</v>
          </cell>
          <cell r="O221">
            <v>43003</v>
          </cell>
          <cell r="P221">
            <v>43861</v>
          </cell>
          <cell r="Q221" t="str">
            <v>Sub</v>
          </cell>
          <cell r="R221" t="str">
            <v>CPFF</v>
          </cell>
          <cell r="S221">
            <v>0</v>
          </cell>
          <cell r="T221">
            <v>1</v>
          </cell>
          <cell r="U221" t="str">
            <v>CONTRACT</v>
          </cell>
          <cell r="V221" t="str">
            <v>Base</v>
          </cell>
          <cell r="W221" t="str">
            <v>05 Won</v>
          </cell>
          <cell r="X221" t="str">
            <v>Active</v>
          </cell>
          <cell r="Y221">
            <v>1</v>
          </cell>
          <cell r="Z221">
            <v>0</v>
          </cell>
          <cell r="AA221">
            <v>3977126.439999999</v>
          </cell>
          <cell r="AB221">
            <v>0</v>
          </cell>
          <cell r="AC221">
            <v>0</v>
          </cell>
          <cell r="AD221">
            <v>3977126.439999999</v>
          </cell>
          <cell r="AL221">
            <v>0</v>
          </cell>
          <cell r="AM221">
            <v>0</v>
          </cell>
          <cell r="AN221">
            <v>0.18105756700005032</v>
          </cell>
          <cell r="AO221">
            <v>0.16521337520737139</v>
          </cell>
          <cell r="AP221">
            <v>0.15115469243982896</v>
          </cell>
          <cell r="AQ221">
            <v>0.15115469243982896</v>
          </cell>
          <cell r="AR221">
            <v>0.15115469243982896</v>
          </cell>
          <cell r="AS221">
            <v>0.15115469243982896</v>
          </cell>
          <cell r="BF221">
            <v>0</v>
          </cell>
          <cell r="BG221">
            <v>0</v>
          </cell>
          <cell r="BH221">
            <v>506797.45000000007</v>
          </cell>
          <cell r="BI221">
            <v>292164.5100000003</v>
          </cell>
          <cell r="BJ221">
            <v>267683.90000000026</v>
          </cell>
          <cell r="BK221">
            <v>100417.78000000003</v>
          </cell>
          <cell r="BL221">
            <v>199080.89000000007</v>
          </cell>
          <cell r="BM221">
            <v>859347.08000000077</v>
          </cell>
          <cell r="BN221">
            <v>601161.32383251167</v>
          </cell>
          <cell r="BO221">
            <v>0</v>
          </cell>
          <cell r="BP221">
            <v>0</v>
          </cell>
          <cell r="BQ221">
            <v>0</v>
          </cell>
          <cell r="BR221">
            <v>1460508.4038325124</v>
          </cell>
          <cell r="BT221">
            <v>0</v>
          </cell>
          <cell r="CA221" t="str">
            <v>C13958 - CONTRACT - Base</v>
          </cell>
          <cell r="CC221" t="str">
            <v>C13958 - CONTRACT - Base - MR</v>
          </cell>
          <cell r="CD221" t="str">
            <v/>
          </cell>
          <cell r="CF221" t="str">
            <v>C13958 - Base - MR</v>
          </cell>
        </row>
        <row r="222">
          <cell r="D222">
            <v>208</v>
          </cell>
          <cell r="E222">
            <v>2</v>
          </cell>
          <cell r="F222">
            <v>4</v>
          </cell>
          <cell r="G222" t="str">
            <v>C13958</v>
          </cell>
          <cell r="H222" t="str">
            <v>NSDD DICCE II Belarus (13958)</v>
          </cell>
          <cell r="I222" t="str">
            <v>MR</v>
          </cell>
          <cell r="J222" t="str">
            <v>MR Non-Proliferation and Security Services</v>
          </cell>
          <cell r="K222" t="str">
            <v>DOE</v>
          </cell>
          <cell r="L222" t="str">
            <v>DOE</v>
          </cell>
          <cell r="M222" t="str">
            <v>Belarus</v>
          </cell>
          <cell r="N222" t="str">
            <v>OCONUS</v>
          </cell>
          <cell r="O222">
            <v>0</v>
          </cell>
          <cell r="P222">
            <v>0</v>
          </cell>
          <cell r="Q222">
            <v>0</v>
          </cell>
          <cell r="R222" t="str">
            <v>CPFF</v>
          </cell>
          <cell r="S222">
            <v>0</v>
          </cell>
          <cell r="T222">
            <v>1</v>
          </cell>
          <cell r="U222" t="str">
            <v>CONTRACT</v>
          </cell>
          <cell r="V222" t="str">
            <v>Identified - Recompete</v>
          </cell>
          <cell r="W222">
            <v>0</v>
          </cell>
          <cell r="X222">
            <v>0</v>
          </cell>
          <cell r="Y222">
            <v>0</v>
          </cell>
          <cell r="Z222">
            <v>0</v>
          </cell>
          <cell r="AA222">
            <v>0</v>
          </cell>
          <cell r="AB222">
            <v>0</v>
          </cell>
          <cell r="AC222">
            <v>0</v>
          </cell>
          <cell r="AD222">
            <v>0</v>
          </cell>
          <cell r="AP222">
            <v>0</v>
          </cell>
          <cell r="AQ222">
            <v>0</v>
          </cell>
          <cell r="AR222">
            <v>0</v>
          </cell>
          <cell r="AS222">
            <v>0</v>
          </cell>
          <cell r="BI222">
            <v>0</v>
          </cell>
          <cell r="BJ222">
            <v>0</v>
          </cell>
          <cell r="BK222">
            <v>0</v>
          </cell>
          <cell r="BL222">
            <v>0</v>
          </cell>
          <cell r="BM222">
            <v>0</v>
          </cell>
          <cell r="BN222">
            <v>0</v>
          </cell>
          <cell r="BO222">
            <v>0</v>
          </cell>
          <cell r="BP222">
            <v>0</v>
          </cell>
          <cell r="BQ222">
            <v>0</v>
          </cell>
          <cell r="BR222">
            <v>0</v>
          </cell>
          <cell r="BT222">
            <v>0</v>
          </cell>
          <cell r="CA222" t="str">
            <v>C13958 - CONTRACT - Identified - Recompete</v>
          </cell>
          <cell r="CC222" t="str">
            <v>C13958 - CONTRACT - Identified - Recompete - MR</v>
          </cell>
          <cell r="CD222" t="str">
            <v/>
          </cell>
          <cell r="CF222" t="str">
            <v>C13958 - Identified - Recompete - MR</v>
          </cell>
        </row>
        <row r="223">
          <cell r="D223">
            <v>209</v>
          </cell>
          <cell r="E223">
            <v>0</v>
          </cell>
          <cell r="F223">
            <v>5</v>
          </cell>
          <cell r="G223" t="str">
            <v>C13958</v>
          </cell>
          <cell r="H223" t="str">
            <v>NSDD DICCE II Belarus (13958)</v>
          </cell>
          <cell r="I223" t="str">
            <v>MR</v>
          </cell>
          <cell r="J223" t="str">
            <v>MR Non-Proliferation and Security Services</v>
          </cell>
          <cell r="K223" t="str">
            <v>DOE</v>
          </cell>
          <cell r="L223" t="str">
            <v>DOE</v>
          </cell>
          <cell r="M223" t="str">
            <v>Belarus</v>
          </cell>
          <cell r="N223" t="str">
            <v>OCONUS</v>
          </cell>
          <cell r="O223">
            <v>43003</v>
          </cell>
          <cell r="P223">
            <v>43861</v>
          </cell>
          <cell r="Q223" t="str">
            <v>Sub</v>
          </cell>
          <cell r="R223" t="str">
            <v>CPFF</v>
          </cell>
          <cell r="S223">
            <v>0</v>
          </cell>
          <cell r="T223">
            <v>1</v>
          </cell>
          <cell r="U223" t="str">
            <v>EBITA</v>
          </cell>
          <cell r="V223" t="str">
            <v>Base</v>
          </cell>
          <cell r="W223" t="str">
            <v>05 Won</v>
          </cell>
          <cell r="X223" t="str">
            <v>Active</v>
          </cell>
          <cell r="Y223">
            <v>1</v>
          </cell>
          <cell r="Z223">
            <v>0</v>
          </cell>
          <cell r="AA223">
            <v>3977126.439999999</v>
          </cell>
          <cell r="AB223">
            <v>0</v>
          </cell>
          <cell r="AC223">
            <v>0</v>
          </cell>
          <cell r="AD223">
            <v>3977126.439999999</v>
          </cell>
          <cell r="AT223">
            <v>0</v>
          </cell>
          <cell r="AU223">
            <v>0</v>
          </cell>
          <cell r="AV223">
            <v>8.810226585825226E-2</v>
          </cell>
          <cell r="AW223">
            <v>7.5463718280306111E-2</v>
          </cell>
          <cell r="AX223">
            <v>5.6603585175783198E-2</v>
          </cell>
          <cell r="AY223">
            <v>5.6603585175783198E-2</v>
          </cell>
          <cell r="AZ223">
            <v>5.6603585175783198E-2</v>
          </cell>
          <cell r="BA223">
            <v>5.6603585175783198E-2</v>
          </cell>
          <cell r="BF223">
            <v>0</v>
          </cell>
          <cell r="BG223">
            <v>0</v>
          </cell>
          <cell r="BH223">
            <v>246606.67000000007</v>
          </cell>
          <cell r="BI223">
            <v>142534.50000000029</v>
          </cell>
          <cell r="BJ223">
            <v>124989.16000000022</v>
          </cell>
          <cell r="BK223">
            <v>35688.650000000031</v>
          </cell>
          <cell r="BL223">
            <v>89307.520000000077</v>
          </cell>
          <cell r="BM223">
            <v>392519.8300000006</v>
          </cell>
          <cell r="BN223">
            <v>225119.61520139934</v>
          </cell>
          <cell r="BO223">
            <v>0</v>
          </cell>
          <cell r="BP223">
            <v>0</v>
          </cell>
          <cell r="BQ223">
            <v>0</v>
          </cell>
          <cell r="BR223">
            <v>617639.44520139997</v>
          </cell>
          <cell r="BT223">
            <v>0</v>
          </cell>
          <cell r="CA223" t="str">
            <v>C13958 - EBITA - Base</v>
          </cell>
          <cell r="CC223" t="str">
            <v>C13958 - EBITA - Base - MR</v>
          </cell>
          <cell r="CD223" t="str">
            <v/>
          </cell>
          <cell r="CF223" t="str">
            <v>C13958 - Base - MR</v>
          </cell>
        </row>
        <row r="224">
          <cell r="D224">
            <v>210</v>
          </cell>
          <cell r="E224">
            <v>0</v>
          </cell>
          <cell r="F224">
            <v>0</v>
          </cell>
          <cell r="G224" t="str">
            <v>C13958</v>
          </cell>
          <cell r="H224" t="str">
            <v>NSDD DICCE II Belarus (13958)</v>
          </cell>
          <cell r="I224" t="str">
            <v>MR</v>
          </cell>
          <cell r="J224" t="str">
            <v>MR Non-Proliferation and Security Services</v>
          </cell>
          <cell r="K224" t="str">
            <v>DOE</v>
          </cell>
          <cell r="L224" t="str">
            <v>DOE</v>
          </cell>
          <cell r="M224" t="str">
            <v>Belarus</v>
          </cell>
          <cell r="N224" t="str">
            <v>OCONUS</v>
          </cell>
          <cell r="O224">
            <v>0</v>
          </cell>
          <cell r="P224">
            <v>0</v>
          </cell>
          <cell r="Q224">
            <v>0</v>
          </cell>
          <cell r="R224" t="str">
            <v>CPFF</v>
          </cell>
          <cell r="S224">
            <v>0</v>
          </cell>
          <cell r="T224">
            <v>1</v>
          </cell>
          <cell r="U224" t="str">
            <v>EBITA</v>
          </cell>
          <cell r="V224" t="str">
            <v>Identified - Recompete</v>
          </cell>
          <cell r="W224">
            <v>0</v>
          </cell>
          <cell r="X224">
            <v>0</v>
          </cell>
          <cell r="Y224">
            <v>0</v>
          </cell>
          <cell r="Z224">
            <v>0</v>
          </cell>
          <cell r="AA224">
            <v>0</v>
          </cell>
          <cell r="AB224">
            <v>0</v>
          </cell>
          <cell r="AC224">
            <v>0</v>
          </cell>
          <cell r="AD224">
            <v>0</v>
          </cell>
          <cell r="AX224">
            <v>0</v>
          </cell>
          <cell r="AY224">
            <v>0</v>
          </cell>
          <cell r="AZ224">
            <v>0</v>
          </cell>
          <cell r="BA224">
            <v>0</v>
          </cell>
          <cell r="BI224">
            <v>0</v>
          </cell>
          <cell r="BJ224">
            <v>0</v>
          </cell>
          <cell r="BK224">
            <v>0</v>
          </cell>
          <cell r="BL224">
            <v>0</v>
          </cell>
          <cell r="BM224">
            <v>0</v>
          </cell>
          <cell r="BN224">
            <v>0</v>
          </cell>
          <cell r="BO224">
            <v>0</v>
          </cell>
          <cell r="BP224">
            <v>0</v>
          </cell>
          <cell r="BQ224">
            <v>0</v>
          </cell>
          <cell r="BR224">
            <v>0</v>
          </cell>
          <cell r="BT224">
            <v>0</v>
          </cell>
          <cell r="CA224" t="str">
            <v>C13958 - EBITA - Identified - Recompete</v>
          </cell>
          <cell r="CC224" t="str">
            <v>C13958 - EBITA - Identified - Recompete - MR</v>
          </cell>
          <cell r="CD224" t="str">
            <v/>
          </cell>
          <cell r="CF224" t="str">
            <v>C13958 - Identified - Recompete - MR</v>
          </cell>
        </row>
        <row r="225">
          <cell r="D225">
            <v>211</v>
          </cell>
          <cell r="E225">
            <v>1</v>
          </cell>
          <cell r="F225">
            <v>1</v>
          </cell>
          <cell r="G225" t="str">
            <v>TS3006</v>
          </cell>
          <cell r="H225" t="str">
            <v>TS3 Robotics Task Order 6</v>
          </cell>
          <cell r="I225" t="str">
            <v>MR</v>
          </cell>
          <cell r="J225" t="str">
            <v>MR Maintenance &amp; Sustainment</v>
          </cell>
          <cell r="K225" t="str">
            <v>Army</v>
          </cell>
          <cell r="L225" t="str">
            <v>DOD</v>
          </cell>
          <cell r="M225" t="str">
            <v>MI</v>
          </cell>
          <cell r="N225" t="str">
            <v>CONUS</v>
          </cell>
          <cell r="O225">
            <v>43362</v>
          </cell>
          <cell r="P225">
            <v>45126</v>
          </cell>
          <cell r="Q225" t="str">
            <v>Prime</v>
          </cell>
          <cell r="R225" t="str">
            <v>T&amp;M</v>
          </cell>
          <cell r="S225">
            <v>0</v>
          </cell>
          <cell r="T225">
            <v>1</v>
          </cell>
          <cell r="U225" t="str">
            <v>REVTOT</v>
          </cell>
          <cell r="V225" t="str">
            <v>Base</v>
          </cell>
          <cell r="W225" t="str">
            <v>05 Won</v>
          </cell>
          <cell r="X225" t="str">
            <v>Active</v>
          </cell>
          <cell r="Y225">
            <v>1</v>
          </cell>
          <cell r="Z225">
            <v>0</v>
          </cell>
          <cell r="AA225">
            <v>6568183.8399999999</v>
          </cell>
          <cell r="AB225">
            <v>28408939</v>
          </cell>
          <cell r="AC225">
            <v>0</v>
          </cell>
          <cell r="AD225">
            <v>34977122.840000004</v>
          </cell>
          <cell r="AE225">
            <v>0</v>
          </cell>
          <cell r="AF225">
            <v>0</v>
          </cell>
          <cell r="AG225">
            <v>39.988533380988819</v>
          </cell>
          <cell r="AH225">
            <v>3.2870354835153215E-2</v>
          </cell>
          <cell r="AI225">
            <v>0</v>
          </cell>
          <cell r="AJ225">
            <v>0</v>
          </cell>
          <cell r="AK225">
            <v>0</v>
          </cell>
          <cell r="BB225">
            <v>5837201.409</v>
          </cell>
          <cell r="BC225">
            <v>5837201.409</v>
          </cell>
          <cell r="BD225">
            <v>5837201.409</v>
          </cell>
          <cell r="BE225">
            <v>5837201.409</v>
          </cell>
          <cell r="BF225">
            <v>0</v>
          </cell>
          <cell r="BG225">
            <v>0</v>
          </cell>
          <cell r="BH225">
            <v>137878.48000000001</v>
          </cell>
          <cell r="BI225">
            <v>1339572.02</v>
          </cell>
          <cell r="BJ225">
            <v>1441322.5499999998</v>
          </cell>
          <cell r="BK225">
            <v>1451493.1099999999</v>
          </cell>
          <cell r="BL225">
            <v>1419049</v>
          </cell>
          <cell r="BM225">
            <v>5651436.6799999997</v>
          </cell>
          <cell r="BN225">
            <v>5837201.409</v>
          </cell>
          <cell r="BO225">
            <v>5837201.409</v>
          </cell>
          <cell r="BP225">
            <v>5837201.409</v>
          </cell>
          <cell r="BQ225">
            <v>5837201.409</v>
          </cell>
          <cell r="BR225">
            <v>29000242.316</v>
          </cell>
          <cell r="BT225">
            <v>0</v>
          </cell>
          <cell r="CA225" t="str">
            <v>TS3006 - REVTOT - Base</v>
          </cell>
          <cell r="CC225" t="str">
            <v>TS3006 - REVTOT - Base - MR</v>
          </cell>
          <cell r="CD225" t="str">
            <v>TS3006 - REVTOT - Base - MR</v>
          </cell>
          <cell r="CF225" t="str">
            <v>TS3006 - Base - MR</v>
          </cell>
        </row>
        <row r="226">
          <cell r="D226">
            <v>212</v>
          </cell>
          <cell r="E226">
            <v>1</v>
          </cell>
          <cell r="F226">
            <v>2</v>
          </cell>
          <cell r="G226" t="str">
            <v>TS3006</v>
          </cell>
          <cell r="H226" t="str">
            <v>TS3 Robotics Task Order 6</v>
          </cell>
          <cell r="I226" t="str">
            <v>MR</v>
          </cell>
          <cell r="J226" t="str">
            <v>MR Maintenance &amp; Sustainment</v>
          </cell>
          <cell r="K226" t="str">
            <v>Army</v>
          </cell>
          <cell r="L226" t="str">
            <v>DOD</v>
          </cell>
          <cell r="M226" t="str">
            <v>MI</v>
          </cell>
          <cell r="N226" t="str">
            <v>CONUS</v>
          </cell>
          <cell r="O226">
            <v>0</v>
          </cell>
          <cell r="P226">
            <v>0</v>
          </cell>
          <cell r="Q226">
            <v>0</v>
          </cell>
          <cell r="R226" t="str">
            <v>T&amp;M</v>
          </cell>
          <cell r="S226">
            <v>0</v>
          </cell>
          <cell r="T226">
            <v>1</v>
          </cell>
          <cell r="U226" t="str">
            <v>REVTOT</v>
          </cell>
          <cell r="V226" t="str">
            <v>Identified - Recompete</v>
          </cell>
          <cell r="W226">
            <v>0</v>
          </cell>
          <cell r="X226">
            <v>0</v>
          </cell>
          <cell r="Y226">
            <v>0</v>
          </cell>
          <cell r="Z226">
            <v>0</v>
          </cell>
          <cell r="AA226">
            <v>0</v>
          </cell>
          <cell r="AB226">
            <v>0</v>
          </cell>
          <cell r="AC226">
            <v>0</v>
          </cell>
          <cell r="AD226">
            <v>0</v>
          </cell>
          <cell r="AI226">
            <v>0</v>
          </cell>
          <cell r="AJ226">
            <v>0</v>
          </cell>
          <cell r="AK226">
            <v>0</v>
          </cell>
          <cell r="BB226">
            <v>0</v>
          </cell>
          <cell r="BC226">
            <v>0</v>
          </cell>
          <cell r="BD226">
            <v>0</v>
          </cell>
          <cell r="BE226">
            <v>0</v>
          </cell>
          <cell r="BI226">
            <v>0</v>
          </cell>
          <cell r="BJ226">
            <v>0</v>
          </cell>
          <cell r="BK226">
            <v>0</v>
          </cell>
          <cell r="BL226">
            <v>0</v>
          </cell>
          <cell r="BM226">
            <v>0</v>
          </cell>
          <cell r="BN226">
            <v>0</v>
          </cell>
          <cell r="BO226">
            <v>0</v>
          </cell>
          <cell r="BP226">
            <v>0</v>
          </cell>
          <cell r="BQ226">
            <v>0</v>
          </cell>
          <cell r="BR226">
            <v>0</v>
          </cell>
          <cell r="BT226">
            <v>0</v>
          </cell>
          <cell r="CA226" t="str">
            <v>TS3006 - REVTOT - Identified - Recompete</v>
          </cell>
          <cell r="CC226" t="str">
            <v>TS3006 - REVTOT - Identified - Recompete - MR</v>
          </cell>
          <cell r="CD226" t="str">
            <v/>
          </cell>
          <cell r="CF226" t="str">
            <v>TS3006 - Identified - Recompete - MR</v>
          </cell>
        </row>
        <row r="227">
          <cell r="D227">
            <v>213</v>
          </cell>
          <cell r="E227">
            <v>2</v>
          </cell>
          <cell r="F227">
            <v>3</v>
          </cell>
          <cell r="G227" t="str">
            <v>TS3006</v>
          </cell>
          <cell r="H227" t="str">
            <v>TS3 Robotics Task Order 6</v>
          </cell>
          <cell r="I227" t="str">
            <v>MR</v>
          </cell>
          <cell r="J227" t="str">
            <v>MR Maintenance &amp; Sustainment</v>
          </cell>
          <cell r="K227" t="str">
            <v>Army</v>
          </cell>
          <cell r="L227" t="str">
            <v>DOD</v>
          </cell>
          <cell r="M227" t="str">
            <v>MI</v>
          </cell>
          <cell r="N227" t="str">
            <v>CONUS</v>
          </cell>
          <cell r="O227">
            <v>43362</v>
          </cell>
          <cell r="P227">
            <v>45126</v>
          </cell>
          <cell r="Q227" t="str">
            <v>Prime</v>
          </cell>
          <cell r="R227" t="str">
            <v>T&amp;M</v>
          </cell>
          <cell r="S227">
            <v>0</v>
          </cell>
          <cell r="T227">
            <v>1</v>
          </cell>
          <cell r="U227" t="str">
            <v>CONTRACT</v>
          </cell>
          <cell r="V227" t="str">
            <v>Base</v>
          </cell>
          <cell r="W227" t="str">
            <v>05 Won</v>
          </cell>
          <cell r="X227" t="str">
            <v>Active</v>
          </cell>
          <cell r="Y227">
            <v>1</v>
          </cell>
          <cell r="Z227">
            <v>0</v>
          </cell>
          <cell r="AA227">
            <v>6568183.8399999999</v>
          </cell>
          <cell r="AB227">
            <v>28408939</v>
          </cell>
          <cell r="AC227">
            <v>0</v>
          </cell>
          <cell r="AD227">
            <v>34977122.840000004</v>
          </cell>
          <cell r="AL227">
            <v>0</v>
          </cell>
          <cell r="AM227">
            <v>0</v>
          </cell>
          <cell r="AN227">
            <v>9.6909612000364367E-2</v>
          </cell>
          <cell r="AO227">
            <v>0.10302642261931877</v>
          </cell>
          <cell r="AP227">
            <v>0.10827812862949991</v>
          </cell>
          <cell r="AQ227">
            <v>0.10827812862949991</v>
          </cell>
          <cell r="AR227">
            <v>0.10827812862949991</v>
          </cell>
          <cell r="AS227">
            <v>0.10827812862949991</v>
          </cell>
          <cell r="BF227">
            <v>0</v>
          </cell>
          <cell r="BG227">
            <v>0</v>
          </cell>
          <cell r="BH227">
            <v>13361.75</v>
          </cell>
          <cell r="BI227">
            <v>144894.65000000002</v>
          </cell>
          <cell r="BJ227">
            <v>133681.5999999998</v>
          </cell>
          <cell r="BK227">
            <v>160253.78999999992</v>
          </cell>
          <cell r="BL227">
            <v>143417.26380000002</v>
          </cell>
          <cell r="BM227">
            <v>582247.30379999976</v>
          </cell>
          <cell r="BN227">
            <v>632041.24500000011</v>
          </cell>
          <cell r="BO227">
            <v>632041.24500000011</v>
          </cell>
          <cell r="BP227">
            <v>632041.24500000011</v>
          </cell>
          <cell r="BQ227">
            <v>632041.24500000011</v>
          </cell>
          <cell r="BR227">
            <v>3110412.2838000003</v>
          </cell>
          <cell r="BT227">
            <v>0</v>
          </cell>
          <cell r="CA227" t="str">
            <v>TS3006 - CONTRACT - Base</v>
          </cell>
          <cell r="CC227" t="str">
            <v>TS3006 - CONTRACT - Base - MR</v>
          </cell>
          <cell r="CD227" t="str">
            <v/>
          </cell>
          <cell r="CF227" t="str">
            <v>TS3006 - Base - MR</v>
          </cell>
        </row>
        <row r="228">
          <cell r="D228">
            <v>214</v>
          </cell>
          <cell r="E228">
            <v>2</v>
          </cell>
          <cell r="F228">
            <v>4</v>
          </cell>
          <cell r="G228" t="str">
            <v>TS3006</v>
          </cell>
          <cell r="H228" t="str">
            <v>TS3 Robotics Task Order 6</v>
          </cell>
          <cell r="I228" t="str">
            <v>MR</v>
          </cell>
          <cell r="J228" t="str">
            <v>MR Maintenance &amp; Sustainment</v>
          </cell>
          <cell r="K228" t="str">
            <v>Army</v>
          </cell>
          <cell r="L228" t="str">
            <v>DOD</v>
          </cell>
          <cell r="M228" t="str">
            <v>MI</v>
          </cell>
          <cell r="N228" t="str">
            <v>CONUS</v>
          </cell>
          <cell r="O228">
            <v>0</v>
          </cell>
          <cell r="P228">
            <v>0</v>
          </cell>
          <cell r="Q228">
            <v>0</v>
          </cell>
          <cell r="R228" t="str">
            <v>T&amp;M</v>
          </cell>
          <cell r="S228">
            <v>0</v>
          </cell>
          <cell r="T228">
            <v>1</v>
          </cell>
          <cell r="U228" t="str">
            <v>CONTRACT</v>
          </cell>
          <cell r="V228" t="str">
            <v>Identified - Recompete</v>
          </cell>
          <cell r="W228">
            <v>0</v>
          </cell>
          <cell r="X228">
            <v>0</v>
          </cell>
          <cell r="Y228">
            <v>0</v>
          </cell>
          <cell r="Z228">
            <v>0</v>
          </cell>
          <cell r="AA228">
            <v>0</v>
          </cell>
          <cell r="AB228">
            <v>0</v>
          </cell>
          <cell r="AC228">
            <v>0</v>
          </cell>
          <cell r="AD228">
            <v>0</v>
          </cell>
          <cell r="AP228">
            <v>0</v>
          </cell>
          <cell r="AQ228">
            <v>0</v>
          </cell>
          <cell r="AR228">
            <v>0</v>
          </cell>
          <cell r="AS228">
            <v>0</v>
          </cell>
          <cell r="BI228">
            <v>0</v>
          </cell>
          <cell r="BJ228">
            <v>0</v>
          </cell>
          <cell r="BK228">
            <v>0</v>
          </cell>
          <cell r="BL228">
            <v>0</v>
          </cell>
          <cell r="BM228">
            <v>0</v>
          </cell>
          <cell r="BN228">
            <v>0</v>
          </cell>
          <cell r="BO228">
            <v>0</v>
          </cell>
          <cell r="BP228">
            <v>0</v>
          </cell>
          <cell r="BQ228">
            <v>0</v>
          </cell>
          <cell r="BR228">
            <v>0</v>
          </cell>
          <cell r="BT228">
            <v>0</v>
          </cell>
          <cell r="CA228" t="str">
            <v>TS3006 - CONTRACT - Identified - Recompete</v>
          </cell>
          <cell r="CC228" t="str">
            <v>TS3006 - CONTRACT - Identified - Recompete - MR</v>
          </cell>
          <cell r="CD228" t="str">
            <v/>
          </cell>
          <cell r="CF228" t="str">
            <v>TS3006 - Identified - Recompete - MR</v>
          </cell>
        </row>
        <row r="229">
          <cell r="D229">
            <v>215</v>
          </cell>
          <cell r="E229">
            <v>0</v>
          </cell>
          <cell r="F229">
            <v>5</v>
          </cell>
          <cell r="G229" t="str">
            <v>TS3006</v>
          </cell>
          <cell r="H229" t="str">
            <v>TS3 Robotics Task Order 6</v>
          </cell>
          <cell r="I229" t="str">
            <v>MR</v>
          </cell>
          <cell r="J229" t="str">
            <v>MR Maintenance &amp; Sustainment</v>
          </cell>
          <cell r="K229" t="str">
            <v>Army</v>
          </cell>
          <cell r="L229" t="str">
            <v>DOD</v>
          </cell>
          <cell r="M229" t="str">
            <v>MI</v>
          </cell>
          <cell r="N229" t="str">
            <v>CONUS</v>
          </cell>
          <cell r="O229">
            <v>43362</v>
          </cell>
          <cell r="P229">
            <v>45126</v>
          </cell>
          <cell r="Q229" t="str">
            <v>Prime</v>
          </cell>
          <cell r="R229" t="str">
            <v>T&amp;M</v>
          </cell>
          <cell r="S229">
            <v>0</v>
          </cell>
          <cell r="T229">
            <v>1</v>
          </cell>
          <cell r="U229" t="str">
            <v>EBITA</v>
          </cell>
          <cell r="V229" t="str">
            <v>Base</v>
          </cell>
          <cell r="W229" t="str">
            <v>05 Won</v>
          </cell>
          <cell r="X229" t="str">
            <v>Active</v>
          </cell>
          <cell r="Y229">
            <v>1</v>
          </cell>
          <cell r="Z229">
            <v>0</v>
          </cell>
          <cell r="AA229">
            <v>6568183.8399999999</v>
          </cell>
          <cell r="AB229">
            <v>28408939</v>
          </cell>
          <cell r="AC229">
            <v>0</v>
          </cell>
          <cell r="AD229">
            <v>34977122.840000004</v>
          </cell>
          <cell r="AT229">
            <v>0</v>
          </cell>
          <cell r="AU229">
            <v>0</v>
          </cell>
          <cell r="AV229">
            <v>2.1332480601758887E-2</v>
          </cell>
          <cell r="AW229">
            <v>2.7031150267399776E-2</v>
          </cell>
          <cell r="AX229">
            <v>3.617899410232582E-2</v>
          </cell>
          <cell r="AY229">
            <v>3.7178994102325821E-2</v>
          </cell>
          <cell r="AZ229">
            <v>3.8178994102325822E-2</v>
          </cell>
          <cell r="BA229">
            <v>3.9178994102325823E-2</v>
          </cell>
          <cell r="BF229">
            <v>0</v>
          </cell>
          <cell r="BG229">
            <v>0</v>
          </cell>
          <cell r="BH229">
            <v>2941.2900000000009</v>
          </cell>
          <cell r="BI229">
            <v>41169.150000000023</v>
          </cell>
          <cell r="BJ229">
            <v>25310.199999999808</v>
          </cell>
          <cell r="BK229">
            <v>50808.169999999925</v>
          </cell>
          <cell r="BL229">
            <v>35477.314123775126</v>
          </cell>
          <cell r="BM229">
            <v>152764.8341237749</v>
          </cell>
          <cell r="BN229">
            <v>211184.07535029898</v>
          </cell>
          <cell r="BO229">
            <v>217021.27675929898</v>
          </cell>
          <cell r="BP229">
            <v>222858.47816829899</v>
          </cell>
          <cell r="BQ229">
            <v>228695.67957729899</v>
          </cell>
          <cell r="BR229">
            <v>1032524.3439789708</v>
          </cell>
          <cell r="BT229">
            <v>0</v>
          </cell>
          <cell r="CA229" t="str">
            <v>TS3006 - EBITA - Base</v>
          </cell>
          <cell r="CC229" t="str">
            <v>TS3006 - EBITA - Base - MR</v>
          </cell>
          <cell r="CD229" t="str">
            <v/>
          </cell>
          <cell r="CF229" t="str">
            <v>TS3006 - Base - MR</v>
          </cell>
        </row>
        <row r="230">
          <cell r="D230">
            <v>216</v>
          </cell>
          <cell r="E230">
            <v>0</v>
          </cell>
          <cell r="F230">
            <v>0</v>
          </cell>
          <cell r="G230" t="str">
            <v>TS3006</v>
          </cell>
          <cell r="H230" t="str">
            <v>TS3 Robotics Task Order 6</v>
          </cell>
          <cell r="I230" t="str">
            <v>MR</v>
          </cell>
          <cell r="J230" t="str">
            <v>MR Maintenance &amp; Sustainment</v>
          </cell>
          <cell r="K230" t="str">
            <v>Army</v>
          </cell>
          <cell r="L230" t="str">
            <v>DOD</v>
          </cell>
          <cell r="M230" t="str">
            <v>MI</v>
          </cell>
          <cell r="N230" t="str">
            <v>CONUS</v>
          </cell>
          <cell r="O230">
            <v>0</v>
          </cell>
          <cell r="P230">
            <v>0</v>
          </cell>
          <cell r="Q230">
            <v>0</v>
          </cell>
          <cell r="R230" t="str">
            <v>T&amp;M</v>
          </cell>
          <cell r="S230">
            <v>0</v>
          </cell>
          <cell r="T230">
            <v>1</v>
          </cell>
          <cell r="U230" t="str">
            <v>EBITA</v>
          </cell>
          <cell r="V230" t="str">
            <v>Identified - Recompete</v>
          </cell>
          <cell r="W230">
            <v>0</v>
          </cell>
          <cell r="X230">
            <v>0</v>
          </cell>
          <cell r="Y230">
            <v>0</v>
          </cell>
          <cell r="Z230">
            <v>0</v>
          </cell>
          <cell r="AA230">
            <v>0</v>
          </cell>
          <cell r="AB230">
            <v>0</v>
          </cell>
          <cell r="AC230">
            <v>0</v>
          </cell>
          <cell r="AD230">
            <v>0</v>
          </cell>
          <cell r="AX230">
            <v>0</v>
          </cell>
          <cell r="AY230">
            <v>0</v>
          </cell>
          <cell r="AZ230">
            <v>0</v>
          </cell>
          <cell r="BA230">
            <v>0</v>
          </cell>
          <cell r="BI230">
            <v>0</v>
          </cell>
          <cell r="BJ230">
            <v>0</v>
          </cell>
          <cell r="BK230">
            <v>0</v>
          </cell>
          <cell r="BL230">
            <v>0</v>
          </cell>
          <cell r="BM230">
            <v>0</v>
          </cell>
          <cell r="BN230">
            <v>0</v>
          </cell>
          <cell r="BO230">
            <v>0</v>
          </cell>
          <cell r="BP230">
            <v>0</v>
          </cell>
          <cell r="BQ230">
            <v>0</v>
          </cell>
          <cell r="BR230">
            <v>0</v>
          </cell>
          <cell r="BT230">
            <v>0</v>
          </cell>
          <cell r="CA230" t="str">
            <v>TS3006 - EBITA - Identified - Recompete</v>
          </cell>
          <cell r="CC230" t="str">
            <v>TS3006 - EBITA - Identified - Recompete - MR</v>
          </cell>
          <cell r="CD230" t="str">
            <v/>
          </cell>
          <cell r="CF230" t="str">
            <v>TS3006 - Identified - Recompete - MR</v>
          </cell>
        </row>
        <row r="231">
          <cell r="D231">
            <v>217</v>
          </cell>
          <cell r="E231">
            <v>1</v>
          </cell>
          <cell r="F231">
            <v>1</v>
          </cell>
          <cell r="G231" t="str">
            <v>DDDCXX</v>
          </cell>
          <cell r="H231" t="str">
            <v>DDDC San Diego</v>
          </cell>
          <cell r="I231" t="str">
            <v>MR</v>
          </cell>
          <cell r="J231" t="str">
            <v>MR Logistics &amp; Supply</v>
          </cell>
          <cell r="K231" t="str">
            <v>D L A</v>
          </cell>
          <cell r="L231" t="str">
            <v>DOD</v>
          </cell>
          <cell r="M231" t="str">
            <v>CA</v>
          </cell>
          <cell r="N231" t="str">
            <v>CONUS</v>
          </cell>
          <cell r="O231">
            <v>42293</v>
          </cell>
          <cell r="P231">
            <v>44119</v>
          </cell>
          <cell r="Q231" t="str">
            <v>Other</v>
          </cell>
          <cell r="R231" t="str">
            <v>FFP</v>
          </cell>
          <cell r="S231">
            <v>0</v>
          </cell>
          <cell r="T231">
            <v>1</v>
          </cell>
          <cell r="U231" t="str">
            <v>REVTOT</v>
          </cell>
          <cell r="V231" t="str">
            <v>Base</v>
          </cell>
          <cell r="W231" t="str">
            <v>05 Won</v>
          </cell>
          <cell r="X231" t="str">
            <v>Active</v>
          </cell>
          <cell r="Y231">
            <v>1</v>
          </cell>
          <cell r="Z231">
            <v>0</v>
          </cell>
          <cell r="AA231">
            <v>5729653.8400000026</v>
          </cell>
          <cell r="AB231">
            <v>0</v>
          </cell>
          <cell r="AC231">
            <v>0</v>
          </cell>
          <cell r="AD231">
            <v>5729653.8400000026</v>
          </cell>
          <cell r="AE231">
            <v>-3.5424655290465901E-2</v>
          </cell>
          <cell r="AF231">
            <v>-9.9641710768078595E-2</v>
          </cell>
          <cell r="AG231">
            <v>7.2849952358953862E-2</v>
          </cell>
          <cell r="AH231">
            <v>-1.7959818318857068E-2</v>
          </cell>
          <cell r="AI231">
            <v>0</v>
          </cell>
          <cell r="AJ231">
            <v>0</v>
          </cell>
          <cell r="AK231">
            <v>0</v>
          </cell>
          <cell r="BB231">
            <v>5822178.7299999995</v>
          </cell>
          <cell r="BC231">
            <v>5822178.7299999995</v>
          </cell>
          <cell r="BD231">
            <v>5822178.7299999995</v>
          </cell>
          <cell r="BE231">
            <v>5822178.7299999995</v>
          </cell>
          <cell r="BF231">
            <v>6261935.8799999999</v>
          </cell>
          <cell r="BG231">
            <v>6040108.96</v>
          </cell>
          <cell r="BH231">
            <v>5438262.1699999999</v>
          </cell>
          <cell r="BI231">
            <v>1617457.98</v>
          </cell>
          <cell r="BJ231">
            <v>1469332.9900000002</v>
          </cell>
          <cell r="BK231">
            <v>1248204.9700000002</v>
          </cell>
          <cell r="BL231">
            <v>1499443.37</v>
          </cell>
          <cell r="BM231">
            <v>5834439.3100000005</v>
          </cell>
          <cell r="BN231">
            <v>5729653.8400000026</v>
          </cell>
          <cell r="BO231">
            <v>0</v>
          </cell>
          <cell r="BP231">
            <v>0</v>
          </cell>
          <cell r="BQ231">
            <v>0</v>
          </cell>
          <cell r="BR231">
            <v>11564093.150000002</v>
          </cell>
          <cell r="BT231">
            <v>0</v>
          </cell>
          <cell r="CA231" t="str">
            <v>DDDCXX - REVTOT - Base</v>
          </cell>
          <cell r="CC231" t="str">
            <v>DDDCXX - REVTOT - Base - MR</v>
          </cell>
          <cell r="CD231" t="str">
            <v>DDDCXX - REVTOT - Base - MR</v>
          </cell>
          <cell r="CF231" t="str">
            <v>DDDCXX - Base - MR</v>
          </cell>
        </row>
        <row r="232">
          <cell r="D232">
            <v>218</v>
          </cell>
          <cell r="E232">
            <v>1</v>
          </cell>
          <cell r="F232">
            <v>2</v>
          </cell>
          <cell r="G232" t="str">
            <v>DDDCXX</v>
          </cell>
          <cell r="H232" t="str">
            <v>DDDC San Diego</v>
          </cell>
          <cell r="I232" t="str">
            <v>MR</v>
          </cell>
          <cell r="J232" t="str">
            <v>MR Logistics &amp; Supply</v>
          </cell>
          <cell r="K232" t="str">
            <v>D L A</v>
          </cell>
          <cell r="L232" t="str">
            <v>DOD</v>
          </cell>
          <cell r="M232" t="str">
            <v>CA</v>
          </cell>
          <cell r="N232" t="str">
            <v>CONUS</v>
          </cell>
          <cell r="O232">
            <v>44120</v>
          </cell>
          <cell r="P232">
            <v>45945</v>
          </cell>
          <cell r="Q232" t="str">
            <v>Sub</v>
          </cell>
          <cell r="R232" t="str">
            <v>FFP</v>
          </cell>
          <cell r="S232">
            <v>0</v>
          </cell>
          <cell r="T232">
            <v>1</v>
          </cell>
          <cell r="U232" t="str">
            <v>REVTOT</v>
          </cell>
          <cell r="V232" t="str">
            <v>Identified - Recompete</v>
          </cell>
          <cell r="W232" t="str">
            <v>01 Prospect</v>
          </cell>
          <cell r="X232" t="str">
            <v>Priority 3</v>
          </cell>
          <cell r="Y232">
            <v>0.25</v>
          </cell>
          <cell r="Z232">
            <v>24000000</v>
          </cell>
          <cell r="AA232">
            <v>0</v>
          </cell>
          <cell r="AB232">
            <v>0</v>
          </cell>
          <cell r="AC232">
            <v>0</v>
          </cell>
          <cell r="AD232">
            <v>0</v>
          </cell>
          <cell r="AI232">
            <v>0</v>
          </cell>
          <cell r="AJ232">
            <v>0</v>
          </cell>
          <cell r="AK232">
            <v>0</v>
          </cell>
          <cell r="BB232">
            <v>4800000</v>
          </cell>
          <cell r="BC232">
            <v>4800000</v>
          </cell>
          <cell r="BD232">
            <v>4800000</v>
          </cell>
          <cell r="BE232">
            <v>4800000</v>
          </cell>
          <cell r="BI232">
            <v>0</v>
          </cell>
          <cell r="BJ232">
            <v>0</v>
          </cell>
          <cell r="BK232">
            <v>0</v>
          </cell>
          <cell r="BL232">
            <v>0</v>
          </cell>
          <cell r="BM232">
            <v>0</v>
          </cell>
          <cell r="BN232">
            <v>0</v>
          </cell>
          <cell r="BO232">
            <v>1200000</v>
          </cell>
          <cell r="BP232">
            <v>1200000</v>
          </cell>
          <cell r="BQ232">
            <v>1200000</v>
          </cell>
          <cell r="BR232">
            <v>3600000</v>
          </cell>
          <cell r="BT232">
            <v>0</v>
          </cell>
          <cell r="CA232" t="str">
            <v>DDDCXX - REVTOT - Identified - Recompete</v>
          </cell>
          <cell r="CC232" t="str">
            <v>DDDCXX - REVTOT - Identified - Recompete - MR</v>
          </cell>
          <cell r="CD232" t="str">
            <v/>
          </cell>
          <cell r="CF232" t="str">
            <v>DDDCXX - Identified - Recompete - MR</v>
          </cell>
        </row>
        <row r="233">
          <cell r="D233">
            <v>219</v>
          </cell>
          <cell r="E233">
            <v>2</v>
          </cell>
          <cell r="F233">
            <v>3</v>
          </cell>
          <cell r="G233" t="str">
            <v>DDDCXX</v>
          </cell>
          <cell r="H233" t="str">
            <v>DDDC San Diego</v>
          </cell>
          <cell r="I233" t="str">
            <v>MR</v>
          </cell>
          <cell r="J233" t="str">
            <v>MR Logistics &amp; Supply</v>
          </cell>
          <cell r="K233" t="str">
            <v>D L A</v>
          </cell>
          <cell r="L233" t="str">
            <v>DOD</v>
          </cell>
          <cell r="M233" t="str">
            <v>CA</v>
          </cell>
          <cell r="N233" t="str">
            <v>CONUS</v>
          </cell>
          <cell r="O233">
            <v>42293</v>
          </cell>
          <cell r="P233">
            <v>44119</v>
          </cell>
          <cell r="Q233" t="str">
            <v>Other</v>
          </cell>
          <cell r="R233" t="str">
            <v>FFP</v>
          </cell>
          <cell r="S233">
            <v>0</v>
          </cell>
          <cell r="T233">
            <v>1</v>
          </cell>
          <cell r="U233" t="str">
            <v>CONTRACT</v>
          </cell>
          <cell r="V233" t="str">
            <v>Base</v>
          </cell>
          <cell r="W233" t="str">
            <v>05 Won</v>
          </cell>
          <cell r="X233" t="str">
            <v>Active</v>
          </cell>
          <cell r="Y233">
            <v>1</v>
          </cell>
          <cell r="Z233">
            <v>0</v>
          </cell>
          <cell r="AA233">
            <v>5729653.8400000026</v>
          </cell>
          <cell r="AB233">
            <v>0</v>
          </cell>
          <cell r="AC233">
            <v>0</v>
          </cell>
          <cell r="AD233">
            <v>5729653.8400000026</v>
          </cell>
          <cell r="AL233">
            <v>9.9274157690672493E-2</v>
          </cell>
          <cell r="AM233">
            <v>0.11220054050150777</v>
          </cell>
          <cell r="AN233">
            <v>-2.9857650279482548E-2</v>
          </cell>
          <cell r="AO233">
            <v>9.6205961425966047E-2</v>
          </cell>
          <cell r="AP233">
            <v>8.6219639369264078E-2</v>
          </cell>
          <cell r="AQ233">
            <v>8.6219639369264078E-2</v>
          </cell>
          <cell r="AR233">
            <v>8.6219639369264078E-2</v>
          </cell>
          <cell r="AS233">
            <v>8.6219639369264078E-2</v>
          </cell>
          <cell r="BF233">
            <v>621648.41</v>
          </cell>
          <cell r="BG233">
            <v>677703.49</v>
          </cell>
          <cell r="BH233">
            <v>-162373.72999999986</v>
          </cell>
          <cell r="BI233">
            <v>216084.96999999974</v>
          </cell>
          <cell r="BJ233">
            <v>131787.73000000004</v>
          </cell>
          <cell r="BK233">
            <v>92420.840000000084</v>
          </cell>
          <cell r="BL233">
            <v>121014.30320000008</v>
          </cell>
          <cell r="BM233">
            <v>561307.8432</v>
          </cell>
          <cell r="BN233">
            <v>494008.6877955193</v>
          </cell>
          <cell r="BO233">
            <v>0</v>
          </cell>
          <cell r="BP233">
            <v>0</v>
          </cell>
          <cell r="BQ233">
            <v>0</v>
          </cell>
          <cell r="BR233">
            <v>1055316.5309955194</v>
          </cell>
          <cell r="BT233">
            <v>0</v>
          </cell>
          <cell r="CA233" t="str">
            <v>DDDCXX - CONTRACT - Base</v>
          </cell>
          <cell r="CC233" t="str">
            <v>DDDCXX - CONTRACT - Base - MR</v>
          </cell>
          <cell r="CD233" t="str">
            <v/>
          </cell>
          <cell r="CF233" t="str">
            <v>DDDCXX - Base - MR</v>
          </cell>
        </row>
        <row r="234">
          <cell r="D234">
            <v>220</v>
          </cell>
          <cell r="E234">
            <v>2</v>
          </cell>
          <cell r="F234">
            <v>4</v>
          </cell>
          <cell r="G234" t="str">
            <v>DDDCXX</v>
          </cell>
          <cell r="H234" t="str">
            <v>DDDC San Diego</v>
          </cell>
          <cell r="I234" t="str">
            <v>MR</v>
          </cell>
          <cell r="J234" t="str">
            <v>MR Logistics &amp; Supply</v>
          </cell>
          <cell r="K234" t="str">
            <v>D L A</v>
          </cell>
          <cell r="L234" t="str">
            <v>DOD</v>
          </cell>
          <cell r="M234" t="str">
            <v>CA</v>
          </cell>
          <cell r="N234" t="str">
            <v>CONUS</v>
          </cell>
          <cell r="O234">
            <v>44120</v>
          </cell>
          <cell r="P234">
            <v>45945</v>
          </cell>
          <cell r="Q234" t="str">
            <v>Sub</v>
          </cell>
          <cell r="R234" t="str">
            <v>FFP</v>
          </cell>
          <cell r="S234">
            <v>0</v>
          </cell>
          <cell r="T234">
            <v>1</v>
          </cell>
          <cell r="U234" t="str">
            <v>CONTRACT</v>
          </cell>
          <cell r="V234" t="str">
            <v>Identified - Recompete</v>
          </cell>
          <cell r="W234" t="str">
            <v>01 Prospect</v>
          </cell>
          <cell r="X234" t="str">
            <v>Priority 3</v>
          </cell>
          <cell r="Y234">
            <v>0.25</v>
          </cell>
          <cell r="Z234">
            <v>24000000</v>
          </cell>
          <cell r="AA234">
            <v>0</v>
          </cell>
          <cell r="AB234">
            <v>0</v>
          </cell>
          <cell r="AC234">
            <v>0</v>
          </cell>
          <cell r="AD234">
            <v>0</v>
          </cell>
          <cell r="AP234">
            <v>8.6219639369264078E-2</v>
          </cell>
          <cell r="AQ234">
            <v>8.6219639369264078E-2</v>
          </cell>
          <cell r="AR234">
            <v>8.6219639369264078E-2</v>
          </cell>
          <cell r="AS234">
            <v>8.6219639369264078E-2</v>
          </cell>
          <cell r="BI234">
            <v>0</v>
          </cell>
          <cell r="BJ234">
            <v>0</v>
          </cell>
          <cell r="BK234">
            <v>0</v>
          </cell>
          <cell r="BL234">
            <v>0</v>
          </cell>
          <cell r="BM234">
            <v>0</v>
          </cell>
          <cell r="BN234">
            <v>0</v>
          </cell>
          <cell r="BO234">
            <v>103463.56724311689</v>
          </cell>
          <cell r="BP234">
            <v>103463.56724311689</v>
          </cell>
          <cell r="BQ234">
            <v>103463.56724311689</v>
          </cell>
          <cell r="BR234">
            <v>310390.70172935067</v>
          </cell>
          <cell r="BT234">
            <v>0</v>
          </cell>
          <cell r="CA234" t="str">
            <v>DDDCXX - CONTRACT - Identified - Recompete</v>
          </cell>
          <cell r="CC234" t="str">
            <v>DDDCXX - CONTRACT - Identified - Recompete - MR</v>
          </cell>
          <cell r="CD234" t="str">
            <v/>
          </cell>
          <cell r="CF234" t="str">
            <v>DDDCXX - Identified - Recompete - MR</v>
          </cell>
        </row>
        <row r="235">
          <cell r="D235">
            <v>221</v>
          </cell>
          <cell r="E235">
            <v>0</v>
          </cell>
          <cell r="F235">
            <v>5</v>
          </cell>
          <cell r="G235" t="str">
            <v>DDDCXX</v>
          </cell>
          <cell r="H235" t="str">
            <v>DDDC San Diego</v>
          </cell>
          <cell r="I235" t="str">
            <v>MR</v>
          </cell>
          <cell r="J235" t="str">
            <v>MR Logistics &amp; Supply</v>
          </cell>
          <cell r="K235" t="str">
            <v>D L A</v>
          </cell>
          <cell r="L235" t="str">
            <v>DOD</v>
          </cell>
          <cell r="M235" t="str">
            <v>CA</v>
          </cell>
          <cell r="N235" t="str">
            <v>CONUS</v>
          </cell>
          <cell r="O235">
            <v>42293</v>
          </cell>
          <cell r="P235">
            <v>44119</v>
          </cell>
          <cell r="Q235" t="str">
            <v>Other</v>
          </cell>
          <cell r="R235" t="str">
            <v>FFP</v>
          </cell>
          <cell r="S235">
            <v>0</v>
          </cell>
          <cell r="T235">
            <v>1</v>
          </cell>
          <cell r="U235" t="str">
            <v>EBITA</v>
          </cell>
          <cell r="V235" t="str">
            <v>Base</v>
          </cell>
          <cell r="W235" t="str">
            <v>05 Won</v>
          </cell>
          <cell r="X235" t="str">
            <v>Active</v>
          </cell>
          <cell r="Y235">
            <v>1</v>
          </cell>
          <cell r="Z235">
            <v>0</v>
          </cell>
          <cell r="AA235">
            <v>5729653.8400000026</v>
          </cell>
          <cell r="AB235">
            <v>0</v>
          </cell>
          <cell r="AC235">
            <v>0</v>
          </cell>
          <cell r="AD235">
            <v>5729653.8400000026</v>
          </cell>
          <cell r="AT235">
            <v>2.1284272556300918E-2</v>
          </cell>
          <cell r="AU235">
            <v>3.3808507653146712E-2</v>
          </cell>
          <cell r="AV235">
            <v>-0.11799234570553994</v>
          </cell>
          <cell r="AW235">
            <v>1.6603942221827643E-2</v>
          </cell>
          <cell r="AX235">
            <v>9.7525051279523448E-3</v>
          </cell>
          <cell r="AY235">
            <v>1.0752505127952344E-2</v>
          </cell>
          <cell r="AZ235">
            <v>1.1752505127952343E-2</v>
          </cell>
          <cell r="BA235">
            <v>1.2752505127952344E-2</v>
          </cell>
          <cell r="BF235">
            <v>133280.75000000003</v>
          </cell>
          <cell r="BG235">
            <v>204207.07</v>
          </cell>
          <cell r="BH235">
            <v>-641673.30999999982</v>
          </cell>
          <cell r="BI235">
            <v>90592.069999999745</v>
          </cell>
          <cell r="BJ235">
            <v>17618.380000000037</v>
          </cell>
          <cell r="BK235">
            <v>-8875.5899999999092</v>
          </cell>
          <cell r="BL235">
            <v>-2460.1667999999263</v>
          </cell>
          <cell r="BM235">
            <v>96874.693199999951</v>
          </cell>
          <cell r="BN235">
            <v>55878.47845599187</v>
          </cell>
          <cell r="BO235">
            <v>0</v>
          </cell>
          <cell r="BP235">
            <v>0</v>
          </cell>
          <cell r="BQ235">
            <v>0</v>
          </cell>
          <cell r="BR235">
            <v>152753.17165599181</v>
          </cell>
          <cell r="BT235">
            <v>0</v>
          </cell>
          <cell r="CA235" t="str">
            <v>DDDCXX - EBITA - Base</v>
          </cell>
          <cell r="CC235" t="str">
            <v>DDDCXX - EBITA - Base - MR</v>
          </cell>
          <cell r="CD235" t="str">
            <v/>
          </cell>
          <cell r="CF235" t="str">
            <v>DDDCXX - Base - MR</v>
          </cell>
        </row>
        <row r="236">
          <cell r="D236">
            <v>222</v>
          </cell>
          <cell r="E236">
            <v>0</v>
          </cell>
          <cell r="F236">
            <v>0</v>
          </cell>
          <cell r="G236" t="str">
            <v>DDDCXX</v>
          </cell>
          <cell r="H236" t="str">
            <v>DDDC San Diego</v>
          </cell>
          <cell r="I236" t="str">
            <v>MR</v>
          </cell>
          <cell r="J236" t="str">
            <v>MR Logistics &amp; Supply</v>
          </cell>
          <cell r="K236" t="str">
            <v>D L A</v>
          </cell>
          <cell r="L236" t="str">
            <v>DOD</v>
          </cell>
          <cell r="M236" t="str">
            <v>CA</v>
          </cell>
          <cell r="N236" t="str">
            <v>CONUS</v>
          </cell>
          <cell r="O236">
            <v>44120</v>
          </cell>
          <cell r="P236">
            <v>45945</v>
          </cell>
          <cell r="Q236" t="str">
            <v>Sub</v>
          </cell>
          <cell r="R236" t="str">
            <v>FFP</v>
          </cell>
          <cell r="S236">
            <v>0</v>
          </cell>
          <cell r="T236">
            <v>1</v>
          </cell>
          <cell r="U236" t="str">
            <v>EBITA</v>
          </cell>
          <cell r="V236" t="str">
            <v>Identified - Recompete</v>
          </cell>
          <cell r="W236" t="str">
            <v>01 Prospect</v>
          </cell>
          <cell r="X236" t="str">
            <v>Priority 3</v>
          </cell>
          <cell r="Y236">
            <v>0.25</v>
          </cell>
          <cell r="Z236">
            <v>24000000</v>
          </cell>
          <cell r="AA236">
            <v>0</v>
          </cell>
          <cell r="AB236">
            <v>0</v>
          </cell>
          <cell r="AC236">
            <v>0</v>
          </cell>
          <cell r="AD236">
            <v>0</v>
          </cell>
          <cell r="AX236">
            <v>9.7525051279523448E-3</v>
          </cell>
          <cell r="AY236">
            <v>1.0752505127952344E-2</v>
          </cell>
          <cell r="AZ236">
            <v>1.1752505127952343E-2</v>
          </cell>
          <cell r="BA236">
            <v>1.2752505127952344E-2</v>
          </cell>
          <cell r="BI236">
            <v>0</v>
          </cell>
          <cell r="BJ236">
            <v>0</v>
          </cell>
          <cell r="BK236">
            <v>0</v>
          </cell>
          <cell r="BL236">
            <v>0</v>
          </cell>
          <cell r="BM236">
            <v>0</v>
          </cell>
          <cell r="BN236">
            <v>0</v>
          </cell>
          <cell r="BO236">
            <v>12903.006153542812</v>
          </cell>
          <cell r="BP236">
            <v>14103.006153542812</v>
          </cell>
          <cell r="BQ236">
            <v>15303.006153542812</v>
          </cell>
          <cell r="BR236">
            <v>42309.018460628438</v>
          </cell>
          <cell r="BT236">
            <v>0</v>
          </cell>
          <cell r="CA236" t="str">
            <v>DDDCXX - EBITA - Identified - Recompete</v>
          </cell>
          <cell r="CC236" t="str">
            <v>DDDCXX - EBITA - Identified - Recompete - MR</v>
          </cell>
          <cell r="CD236" t="str">
            <v/>
          </cell>
          <cell r="CF236" t="str">
            <v>DDDCXX - Identified - Recompete - MR</v>
          </cell>
        </row>
        <row r="237">
          <cell r="D237">
            <v>223</v>
          </cell>
          <cell r="E237">
            <v>1</v>
          </cell>
          <cell r="F237">
            <v>1</v>
          </cell>
          <cell r="G237" t="str">
            <v>CCADDI</v>
          </cell>
          <cell r="H237" t="str">
            <v>Corpus Christi Direct</v>
          </cell>
          <cell r="I237" t="str">
            <v>MR</v>
          </cell>
          <cell r="J237" t="str">
            <v>MR Maintenance &amp; Sustainment</v>
          </cell>
          <cell r="K237" t="str">
            <v>Army</v>
          </cell>
          <cell r="L237" t="str">
            <v>DOD</v>
          </cell>
          <cell r="M237" t="str">
            <v>TX</v>
          </cell>
          <cell r="N237" t="str">
            <v>CONUS</v>
          </cell>
          <cell r="O237">
            <v>43556</v>
          </cell>
          <cell r="P237">
            <v>44651</v>
          </cell>
          <cell r="Q237" t="str">
            <v>Prime</v>
          </cell>
          <cell r="R237" t="str">
            <v>Multi</v>
          </cell>
          <cell r="S237">
            <v>0</v>
          </cell>
          <cell r="T237">
            <v>1</v>
          </cell>
          <cell r="U237" t="str">
            <v>REVTOT</v>
          </cell>
          <cell r="V237" t="str">
            <v>Base</v>
          </cell>
          <cell r="W237" t="str">
            <v>05 Won</v>
          </cell>
          <cell r="X237" t="str">
            <v>Active</v>
          </cell>
          <cell r="Y237">
            <v>1</v>
          </cell>
          <cell r="Z237">
            <v>0</v>
          </cell>
          <cell r="AA237">
            <v>4946584.0199999996</v>
          </cell>
          <cell r="AB237">
            <v>18600000</v>
          </cell>
          <cell r="AC237">
            <v>0</v>
          </cell>
          <cell r="AD237">
            <v>23546584.02</v>
          </cell>
          <cell r="AE237">
            <v>0</v>
          </cell>
          <cell r="AF237">
            <v>0</v>
          </cell>
          <cell r="AG237">
            <v>0</v>
          </cell>
          <cell r="AH237">
            <v>0.88296045549215996</v>
          </cell>
          <cell r="AI237">
            <v>0</v>
          </cell>
          <cell r="AJ237">
            <v>0</v>
          </cell>
          <cell r="AK237">
            <v>0</v>
          </cell>
          <cell r="BB237">
            <v>7632422</v>
          </cell>
          <cell r="BC237">
            <v>7632422</v>
          </cell>
          <cell r="BD237">
            <v>7632422</v>
          </cell>
          <cell r="BE237">
            <v>7632422</v>
          </cell>
          <cell r="BF237">
            <v>0</v>
          </cell>
          <cell r="BG237">
            <v>0</v>
          </cell>
          <cell r="BH237">
            <v>0</v>
          </cell>
          <cell r="BI237">
            <v>0</v>
          </cell>
          <cell r="BJ237">
            <v>0</v>
          </cell>
          <cell r="BK237">
            <v>2057320.98</v>
          </cell>
          <cell r="BL237">
            <v>1996095</v>
          </cell>
          <cell r="BM237">
            <v>4053415.98</v>
          </cell>
          <cell r="BN237">
            <v>7632422</v>
          </cell>
          <cell r="BO237">
            <v>7632422</v>
          </cell>
          <cell r="BP237">
            <v>7632422</v>
          </cell>
          <cell r="BQ237">
            <v>649318.01999999955</v>
          </cell>
          <cell r="BR237">
            <v>27600000</v>
          </cell>
          <cell r="BT237">
            <v>0</v>
          </cell>
          <cell r="CA237" t="str">
            <v>CCADDI - REVTOT - Base</v>
          </cell>
          <cell r="CC237" t="str">
            <v>CCADDI - REVTOT - Base - MR</v>
          </cell>
          <cell r="CD237" t="str">
            <v>CCADDI - REVTOT - Base - MR</v>
          </cell>
          <cell r="CF237" t="str">
            <v>CCADDI - Base - MR</v>
          </cell>
        </row>
        <row r="238">
          <cell r="D238">
            <v>224</v>
          </cell>
          <cell r="E238">
            <v>1</v>
          </cell>
          <cell r="F238">
            <v>2</v>
          </cell>
          <cell r="G238" t="str">
            <v>CCADDI</v>
          </cell>
          <cell r="H238" t="str">
            <v>Corpus Christi Direct</v>
          </cell>
          <cell r="I238" t="str">
            <v>MR</v>
          </cell>
          <cell r="J238" t="str">
            <v>MR Maintenance &amp; Sustainment</v>
          </cell>
          <cell r="K238" t="str">
            <v>Army</v>
          </cell>
          <cell r="L238" t="str">
            <v>DOD</v>
          </cell>
          <cell r="M238" t="str">
            <v>TX</v>
          </cell>
          <cell r="N238" t="str">
            <v>CONUS</v>
          </cell>
          <cell r="O238">
            <v>0</v>
          </cell>
          <cell r="P238">
            <v>0</v>
          </cell>
          <cell r="Q238">
            <v>0</v>
          </cell>
          <cell r="R238" t="str">
            <v>Multi</v>
          </cell>
          <cell r="S238">
            <v>0</v>
          </cell>
          <cell r="T238">
            <v>1</v>
          </cell>
          <cell r="U238" t="str">
            <v>REVTOT</v>
          </cell>
          <cell r="V238" t="str">
            <v>Identified - Recompete</v>
          </cell>
          <cell r="W238">
            <v>0</v>
          </cell>
          <cell r="X238">
            <v>0</v>
          </cell>
          <cell r="Y238">
            <v>0</v>
          </cell>
          <cell r="Z238">
            <v>0</v>
          </cell>
          <cell r="AA238">
            <v>0</v>
          </cell>
          <cell r="AB238">
            <v>0</v>
          </cell>
          <cell r="AC238">
            <v>0</v>
          </cell>
          <cell r="AD238">
            <v>0</v>
          </cell>
          <cell r="AI238">
            <v>0</v>
          </cell>
          <cell r="AJ238">
            <v>0</v>
          </cell>
          <cell r="AK238">
            <v>0</v>
          </cell>
          <cell r="BB238">
            <v>0</v>
          </cell>
          <cell r="BC238">
            <v>0</v>
          </cell>
          <cell r="BD238">
            <v>0</v>
          </cell>
          <cell r="BE238">
            <v>0</v>
          </cell>
          <cell r="BI238">
            <v>0</v>
          </cell>
          <cell r="BJ238">
            <v>0</v>
          </cell>
          <cell r="BK238">
            <v>0</v>
          </cell>
          <cell r="BL238">
            <v>0</v>
          </cell>
          <cell r="BM238">
            <v>0</v>
          </cell>
          <cell r="BN238">
            <v>0</v>
          </cell>
          <cell r="BO238">
            <v>0</v>
          </cell>
          <cell r="BP238">
            <v>0</v>
          </cell>
          <cell r="BQ238">
            <v>0</v>
          </cell>
          <cell r="BR238">
            <v>0</v>
          </cell>
          <cell r="BT238">
            <v>0</v>
          </cell>
          <cell r="CA238" t="str">
            <v>CCADDI - REVTOT - Identified - Recompete</v>
          </cell>
          <cell r="CC238" t="str">
            <v>CCADDI - REVTOT - Identified - Recompete - MR</v>
          </cell>
          <cell r="CD238" t="str">
            <v/>
          </cell>
          <cell r="CF238" t="str">
            <v>CCADDI - Identified - Recompete - MR</v>
          </cell>
        </row>
        <row r="239">
          <cell r="D239">
            <v>225</v>
          </cell>
          <cell r="E239">
            <v>2</v>
          </cell>
          <cell r="F239">
            <v>3</v>
          </cell>
          <cell r="G239" t="str">
            <v>CCADDI</v>
          </cell>
          <cell r="H239" t="str">
            <v>Corpus Christi Direct</v>
          </cell>
          <cell r="I239" t="str">
            <v>MR</v>
          </cell>
          <cell r="J239" t="str">
            <v>MR Maintenance &amp; Sustainment</v>
          </cell>
          <cell r="K239" t="str">
            <v>Army</v>
          </cell>
          <cell r="L239" t="str">
            <v>DOD</v>
          </cell>
          <cell r="M239" t="str">
            <v>TX</v>
          </cell>
          <cell r="N239" t="str">
            <v>CONUS</v>
          </cell>
          <cell r="O239">
            <v>43556</v>
          </cell>
          <cell r="P239">
            <v>44651</v>
          </cell>
          <cell r="Q239" t="str">
            <v>Prime</v>
          </cell>
          <cell r="R239" t="str">
            <v>Multi</v>
          </cell>
          <cell r="S239">
            <v>0</v>
          </cell>
          <cell r="T239">
            <v>1</v>
          </cell>
          <cell r="U239" t="str">
            <v>CONTRACT</v>
          </cell>
          <cell r="V239" t="str">
            <v>Base</v>
          </cell>
          <cell r="W239" t="str">
            <v>05 Won</v>
          </cell>
          <cell r="X239" t="str">
            <v>Active</v>
          </cell>
          <cell r="Y239">
            <v>1</v>
          </cell>
          <cell r="Z239">
            <v>0</v>
          </cell>
          <cell r="AA239">
            <v>4946584.0199999996</v>
          </cell>
          <cell r="AB239">
            <v>18600000</v>
          </cell>
          <cell r="AC239">
            <v>0</v>
          </cell>
          <cell r="AD239">
            <v>23546584.02</v>
          </cell>
          <cell r="AL239">
            <v>0</v>
          </cell>
          <cell r="AM239">
            <v>0</v>
          </cell>
          <cell r="AN239">
            <v>0</v>
          </cell>
          <cell r="AO239">
            <v>9.2351027342621711E-2</v>
          </cell>
          <cell r="AP239">
            <v>8.4956349321355665E-2</v>
          </cell>
          <cell r="AQ239">
            <v>8.4956349321355665E-2</v>
          </cell>
          <cell r="AR239">
            <v>8.4956349321355665E-2</v>
          </cell>
          <cell r="AS239">
            <v>8.4956349321355665E-2</v>
          </cell>
          <cell r="BF239">
            <v>0</v>
          </cell>
          <cell r="BG239">
            <v>0</v>
          </cell>
          <cell r="BH239">
            <v>0</v>
          </cell>
          <cell r="BI239">
            <v>0</v>
          </cell>
          <cell r="BJ239">
            <v>0</v>
          </cell>
          <cell r="BK239">
            <v>199536.12999999977</v>
          </cell>
          <cell r="BL239">
            <v>174801</v>
          </cell>
          <cell r="BM239">
            <v>374337.12999999977</v>
          </cell>
          <cell r="BN239">
            <v>648422.70960000006</v>
          </cell>
          <cell r="BO239">
            <v>648422.70960000006</v>
          </cell>
          <cell r="BP239">
            <v>648422.70960000006</v>
          </cell>
          <cell r="BQ239">
            <v>55163.688527770966</v>
          </cell>
          <cell r="BR239">
            <v>2374768.9473277708</v>
          </cell>
          <cell r="BT239">
            <v>0</v>
          </cell>
          <cell r="CA239" t="str">
            <v>CCADDI - CONTRACT - Base</v>
          </cell>
          <cell r="CC239" t="str">
            <v>CCADDI - CONTRACT - Base - MR</v>
          </cell>
          <cell r="CD239" t="str">
            <v/>
          </cell>
          <cell r="CF239" t="str">
            <v>CCADDI - Base - MR</v>
          </cell>
        </row>
        <row r="240">
          <cell r="D240">
            <v>226</v>
          </cell>
          <cell r="E240">
            <v>2</v>
          </cell>
          <cell r="F240">
            <v>4</v>
          </cell>
          <cell r="G240" t="str">
            <v>CCADDI</v>
          </cell>
          <cell r="H240" t="str">
            <v>Corpus Christi Direct</v>
          </cell>
          <cell r="I240" t="str">
            <v>MR</v>
          </cell>
          <cell r="J240" t="str">
            <v>MR Maintenance &amp; Sustainment</v>
          </cell>
          <cell r="K240" t="str">
            <v>Army</v>
          </cell>
          <cell r="L240" t="str">
            <v>DOD</v>
          </cell>
          <cell r="M240" t="str">
            <v>TX</v>
          </cell>
          <cell r="N240" t="str">
            <v>CONUS</v>
          </cell>
          <cell r="O240">
            <v>0</v>
          </cell>
          <cell r="P240">
            <v>0</v>
          </cell>
          <cell r="Q240">
            <v>0</v>
          </cell>
          <cell r="R240" t="str">
            <v>Multi</v>
          </cell>
          <cell r="S240">
            <v>0</v>
          </cell>
          <cell r="T240">
            <v>1</v>
          </cell>
          <cell r="U240" t="str">
            <v>CONTRACT</v>
          </cell>
          <cell r="V240" t="str">
            <v>Identified - Recompete</v>
          </cell>
          <cell r="W240">
            <v>0</v>
          </cell>
          <cell r="X240">
            <v>0</v>
          </cell>
          <cell r="Y240">
            <v>0</v>
          </cell>
          <cell r="Z240">
            <v>0</v>
          </cell>
          <cell r="AA240">
            <v>0</v>
          </cell>
          <cell r="AB240">
            <v>0</v>
          </cell>
          <cell r="AC240">
            <v>0</v>
          </cell>
          <cell r="AD240">
            <v>0</v>
          </cell>
          <cell r="AP240">
            <v>0</v>
          </cell>
          <cell r="AQ240">
            <v>0</v>
          </cell>
          <cell r="AR240">
            <v>0</v>
          </cell>
          <cell r="AS240">
            <v>0</v>
          </cell>
          <cell r="BI240">
            <v>0</v>
          </cell>
          <cell r="BJ240">
            <v>0</v>
          </cell>
          <cell r="BK240">
            <v>0</v>
          </cell>
          <cell r="BL240">
            <v>0</v>
          </cell>
          <cell r="BM240">
            <v>0</v>
          </cell>
          <cell r="BN240">
            <v>0</v>
          </cell>
          <cell r="BO240">
            <v>0</v>
          </cell>
          <cell r="BP240">
            <v>0</v>
          </cell>
          <cell r="BQ240">
            <v>0</v>
          </cell>
          <cell r="BR240">
            <v>0</v>
          </cell>
          <cell r="BT240">
            <v>0</v>
          </cell>
          <cell r="CA240" t="str">
            <v>CCADDI - CONTRACT - Identified - Recompete</v>
          </cell>
          <cell r="CC240" t="str">
            <v>CCADDI - CONTRACT - Identified - Recompete - MR</v>
          </cell>
          <cell r="CD240" t="str">
            <v/>
          </cell>
          <cell r="CF240" t="str">
            <v>CCADDI - Identified - Recompete - MR</v>
          </cell>
        </row>
        <row r="241">
          <cell r="D241">
            <v>227</v>
          </cell>
          <cell r="E241">
            <v>0</v>
          </cell>
          <cell r="F241">
            <v>5</v>
          </cell>
          <cell r="G241" t="str">
            <v>CCADDI</v>
          </cell>
          <cell r="H241" t="str">
            <v>Corpus Christi Direct</v>
          </cell>
          <cell r="I241" t="str">
            <v>MR</v>
          </cell>
          <cell r="J241" t="str">
            <v>MR Maintenance &amp; Sustainment</v>
          </cell>
          <cell r="K241" t="str">
            <v>Army</v>
          </cell>
          <cell r="L241" t="str">
            <v>DOD</v>
          </cell>
          <cell r="M241" t="str">
            <v>TX</v>
          </cell>
          <cell r="N241" t="str">
            <v>CONUS</v>
          </cell>
          <cell r="O241">
            <v>43556</v>
          </cell>
          <cell r="P241">
            <v>44651</v>
          </cell>
          <cell r="Q241" t="str">
            <v>Prime</v>
          </cell>
          <cell r="R241" t="str">
            <v>Multi</v>
          </cell>
          <cell r="S241">
            <v>0</v>
          </cell>
          <cell r="T241">
            <v>1</v>
          </cell>
          <cell r="U241" t="str">
            <v>EBITA</v>
          </cell>
          <cell r="V241" t="str">
            <v>Base</v>
          </cell>
          <cell r="W241" t="str">
            <v>05 Won</v>
          </cell>
          <cell r="X241" t="str">
            <v>Active</v>
          </cell>
          <cell r="Y241">
            <v>1</v>
          </cell>
          <cell r="Z241">
            <v>0</v>
          </cell>
          <cell r="AA241">
            <v>4946584.0199999996</v>
          </cell>
          <cell r="AB241">
            <v>18600000</v>
          </cell>
          <cell r="AC241">
            <v>0</v>
          </cell>
          <cell r="AD241">
            <v>23546584.02</v>
          </cell>
          <cell r="AT241">
            <v>0</v>
          </cell>
          <cell r="AU241">
            <v>0</v>
          </cell>
          <cell r="AV241">
            <v>0</v>
          </cell>
          <cell r="AW241">
            <v>1.5123451504229717E-2</v>
          </cell>
          <cell r="AX241">
            <v>9.9776270112025226E-3</v>
          </cell>
          <cell r="AY241">
            <v>9.9776270112025226E-3</v>
          </cell>
          <cell r="AZ241">
            <v>9.9776270112025226E-3</v>
          </cell>
          <cell r="BA241">
            <v>9.9776270112025226E-3</v>
          </cell>
          <cell r="BF241">
            <v>0</v>
          </cell>
          <cell r="BG241">
            <v>0</v>
          </cell>
          <cell r="BH241">
            <v>0</v>
          </cell>
          <cell r="BI241">
            <v>0</v>
          </cell>
          <cell r="BJ241">
            <v>0</v>
          </cell>
          <cell r="BK241">
            <v>41342.639999999774</v>
          </cell>
          <cell r="BL241">
            <v>19959</v>
          </cell>
          <cell r="BM241">
            <v>61301.639999999774</v>
          </cell>
          <cell r="BN241">
            <v>76153.459908096382</v>
          </cell>
          <cell r="BO241">
            <v>76153.459908096382</v>
          </cell>
          <cell r="BP241">
            <v>76153.459908096382</v>
          </cell>
          <cell r="BQ241">
            <v>6478.6530152125351</v>
          </cell>
          <cell r="BR241">
            <v>296240.67273950152</v>
          </cell>
          <cell r="BT241">
            <v>0</v>
          </cell>
          <cell r="CA241" t="str">
            <v>CCADDI - EBITA - Base</v>
          </cell>
          <cell r="CC241" t="str">
            <v>CCADDI - EBITA - Base - MR</v>
          </cell>
          <cell r="CD241" t="str">
            <v/>
          </cell>
          <cell r="CF241" t="str">
            <v>CCADDI - Base - MR</v>
          </cell>
        </row>
        <row r="242">
          <cell r="D242">
            <v>228</v>
          </cell>
          <cell r="E242">
            <v>0</v>
          </cell>
          <cell r="F242">
            <v>0</v>
          </cell>
          <cell r="G242" t="str">
            <v>CCADDI</v>
          </cell>
          <cell r="H242" t="str">
            <v>Corpus Christi Direct</v>
          </cell>
          <cell r="I242" t="str">
            <v>MR</v>
          </cell>
          <cell r="J242" t="str">
            <v>MR Maintenance &amp; Sustainment</v>
          </cell>
          <cell r="K242" t="str">
            <v>Army</v>
          </cell>
          <cell r="L242" t="str">
            <v>DOD</v>
          </cell>
          <cell r="M242" t="str">
            <v>TX</v>
          </cell>
          <cell r="N242" t="str">
            <v>CONUS</v>
          </cell>
          <cell r="O242">
            <v>0</v>
          </cell>
          <cell r="P242">
            <v>0</v>
          </cell>
          <cell r="Q242">
            <v>0</v>
          </cell>
          <cell r="R242" t="str">
            <v>Multi</v>
          </cell>
          <cell r="S242">
            <v>0</v>
          </cell>
          <cell r="T242">
            <v>1</v>
          </cell>
          <cell r="U242" t="str">
            <v>EBITA</v>
          </cell>
          <cell r="V242" t="str">
            <v>Identified - Recompete</v>
          </cell>
          <cell r="W242">
            <v>0</v>
          </cell>
          <cell r="X242">
            <v>0</v>
          </cell>
          <cell r="Y242">
            <v>0</v>
          </cell>
          <cell r="Z242">
            <v>0</v>
          </cell>
          <cell r="AA242">
            <v>0</v>
          </cell>
          <cell r="AB242">
            <v>0</v>
          </cell>
          <cell r="AC242">
            <v>0</v>
          </cell>
          <cell r="AD242">
            <v>0</v>
          </cell>
          <cell r="AX242">
            <v>0</v>
          </cell>
          <cell r="AY242">
            <v>0</v>
          </cell>
          <cell r="AZ242">
            <v>0</v>
          </cell>
          <cell r="BA242">
            <v>0</v>
          </cell>
          <cell r="BI242">
            <v>0</v>
          </cell>
          <cell r="BJ242">
            <v>0</v>
          </cell>
          <cell r="BK242">
            <v>0</v>
          </cell>
          <cell r="BL242">
            <v>0</v>
          </cell>
          <cell r="BM242">
            <v>0</v>
          </cell>
          <cell r="BN242">
            <v>0</v>
          </cell>
          <cell r="BO242">
            <v>0</v>
          </cell>
          <cell r="BP242">
            <v>0</v>
          </cell>
          <cell r="BQ242">
            <v>0</v>
          </cell>
          <cell r="BR242">
            <v>0</v>
          </cell>
          <cell r="BT242">
            <v>0</v>
          </cell>
          <cell r="CA242" t="str">
            <v>CCADDI - EBITA - Identified - Recompete</v>
          </cell>
          <cell r="CC242" t="str">
            <v>CCADDI - EBITA - Identified - Recompete - MR</v>
          </cell>
          <cell r="CD242" t="str">
            <v/>
          </cell>
          <cell r="CF242" t="str">
            <v>CCADDI - Identified - Recompete - MR</v>
          </cell>
        </row>
        <row r="243">
          <cell r="D243">
            <v>229</v>
          </cell>
          <cell r="E243">
            <v>1</v>
          </cell>
          <cell r="F243">
            <v>1</v>
          </cell>
          <cell r="G243" t="str">
            <v>TS3005</v>
          </cell>
          <cell r="H243" t="str">
            <v>TS3 005 SIAD</v>
          </cell>
          <cell r="I243" t="str">
            <v>MR</v>
          </cell>
          <cell r="J243" t="str">
            <v>MR Maintenance &amp; Sustainment</v>
          </cell>
          <cell r="K243" t="str">
            <v>Army</v>
          </cell>
          <cell r="L243" t="str">
            <v>DOD</v>
          </cell>
          <cell r="M243" t="str">
            <v>US_State</v>
          </cell>
          <cell r="N243" t="str">
            <v>CONUS</v>
          </cell>
          <cell r="O243">
            <v>42783</v>
          </cell>
          <cell r="P243">
            <v>43878</v>
          </cell>
          <cell r="Q243" t="str">
            <v>Prime</v>
          </cell>
          <cell r="R243" t="str">
            <v>T&amp;M</v>
          </cell>
          <cell r="S243">
            <v>0</v>
          </cell>
          <cell r="T243">
            <v>1</v>
          </cell>
          <cell r="U243" t="str">
            <v>REVTOT</v>
          </cell>
          <cell r="V243" t="str">
            <v>Base</v>
          </cell>
          <cell r="W243" t="str">
            <v>05 Won</v>
          </cell>
          <cell r="X243" t="str">
            <v>Active</v>
          </cell>
          <cell r="Y243">
            <v>1</v>
          </cell>
          <cell r="Z243">
            <v>0</v>
          </cell>
          <cell r="AA243">
            <v>10832906.700000007</v>
          </cell>
          <cell r="AB243">
            <v>0</v>
          </cell>
          <cell r="AC243">
            <v>0</v>
          </cell>
          <cell r="AD243">
            <v>10832906.700000007</v>
          </cell>
          <cell r="AE243">
            <v>0</v>
          </cell>
          <cell r="AF243">
            <v>0.602847312036348</v>
          </cell>
          <cell r="AG243">
            <v>4.2075826013285633E-2</v>
          </cell>
          <cell r="AH243">
            <v>-0.75024441473539993</v>
          </cell>
          <cell r="AI243">
            <v>0</v>
          </cell>
          <cell r="AJ243">
            <v>0</v>
          </cell>
          <cell r="AK243">
            <v>0</v>
          </cell>
          <cell r="BB243">
            <v>2261682</v>
          </cell>
          <cell r="BC243">
            <v>2261682</v>
          </cell>
          <cell r="BD243">
            <v>2261682</v>
          </cell>
          <cell r="BE243">
            <v>2261682</v>
          </cell>
          <cell r="BF243">
            <v>0</v>
          </cell>
          <cell r="BG243">
            <v>5421567.3600000003</v>
          </cell>
          <cell r="BH243">
            <v>8689944.6699999999</v>
          </cell>
          <cell r="BI243">
            <v>2417393.0499999998</v>
          </cell>
          <cell r="BJ243">
            <v>2383438.42</v>
          </cell>
          <cell r="BK243">
            <v>1975219.8</v>
          </cell>
          <cell r="BL243">
            <v>2279530</v>
          </cell>
          <cell r="BM243">
            <v>9055581.2699999996</v>
          </cell>
          <cell r="BN243">
            <v>2261682</v>
          </cell>
          <cell r="BO243">
            <v>0</v>
          </cell>
          <cell r="BP243">
            <v>0</v>
          </cell>
          <cell r="BQ243">
            <v>0</v>
          </cell>
          <cell r="BR243">
            <v>11317263.27</v>
          </cell>
          <cell r="BT243">
            <v>0</v>
          </cell>
          <cell r="CA243" t="str">
            <v>TS3005 - REVTOT - Base</v>
          </cell>
          <cell r="CC243" t="str">
            <v>TS3005 - REVTOT - Base - MR</v>
          </cell>
          <cell r="CD243" t="str">
            <v>TS3005 - REVTOT - Base - MR</v>
          </cell>
          <cell r="CF243" t="str">
            <v>TS3005 - Base - MR</v>
          </cell>
        </row>
        <row r="244">
          <cell r="D244">
            <v>230</v>
          </cell>
          <cell r="E244">
            <v>1</v>
          </cell>
          <cell r="F244">
            <v>2</v>
          </cell>
          <cell r="G244" t="str">
            <v>TS3005</v>
          </cell>
          <cell r="H244" t="str">
            <v>TS3 005 SIAD</v>
          </cell>
          <cell r="I244" t="str">
            <v>MR</v>
          </cell>
          <cell r="J244" t="str">
            <v>MR Maintenance &amp; Sustainment</v>
          </cell>
          <cell r="K244" t="str">
            <v>Army</v>
          </cell>
          <cell r="L244" t="str">
            <v>DOD</v>
          </cell>
          <cell r="M244" t="str">
            <v>US_State</v>
          </cell>
          <cell r="N244" t="str">
            <v>CONUS</v>
          </cell>
          <cell r="O244">
            <v>0</v>
          </cell>
          <cell r="P244">
            <v>0</v>
          </cell>
          <cell r="Q244">
            <v>0</v>
          </cell>
          <cell r="R244" t="str">
            <v>T&amp;M</v>
          </cell>
          <cell r="S244">
            <v>0</v>
          </cell>
          <cell r="T244">
            <v>1</v>
          </cell>
          <cell r="U244" t="str">
            <v>REVTOT</v>
          </cell>
          <cell r="V244" t="str">
            <v>Identified - Recompete</v>
          </cell>
          <cell r="W244">
            <v>0</v>
          </cell>
          <cell r="X244">
            <v>0</v>
          </cell>
          <cell r="Y244">
            <v>0</v>
          </cell>
          <cell r="Z244">
            <v>0</v>
          </cell>
          <cell r="AA244">
            <v>0</v>
          </cell>
          <cell r="AB244">
            <v>0</v>
          </cell>
          <cell r="AC244">
            <v>0</v>
          </cell>
          <cell r="AD244">
            <v>0</v>
          </cell>
          <cell r="AI244">
            <v>0</v>
          </cell>
          <cell r="AJ244">
            <v>0</v>
          </cell>
          <cell r="AK244">
            <v>0</v>
          </cell>
          <cell r="BB244">
            <v>0</v>
          </cell>
          <cell r="BC244">
            <v>0</v>
          </cell>
          <cell r="BD244">
            <v>0</v>
          </cell>
          <cell r="BE244">
            <v>0</v>
          </cell>
          <cell r="BI244">
            <v>0</v>
          </cell>
          <cell r="BJ244">
            <v>0</v>
          </cell>
          <cell r="BK244">
            <v>0</v>
          </cell>
          <cell r="BL244">
            <v>0</v>
          </cell>
          <cell r="BM244">
            <v>0</v>
          </cell>
          <cell r="BN244">
            <v>0</v>
          </cell>
          <cell r="BO244">
            <v>0</v>
          </cell>
          <cell r="BP244">
            <v>0</v>
          </cell>
          <cell r="BQ244">
            <v>0</v>
          </cell>
          <cell r="BR244">
            <v>0</v>
          </cell>
          <cell r="BT244">
            <v>0</v>
          </cell>
          <cell r="CA244" t="str">
            <v>TS3005 - REVTOT - Identified - Recompete</v>
          </cell>
          <cell r="CC244" t="str">
            <v>TS3005 - REVTOT - Identified - Recompete - MR</v>
          </cell>
          <cell r="CD244" t="str">
            <v/>
          </cell>
          <cell r="CF244" t="str">
            <v>TS3005 - Identified - Recompete - MR</v>
          </cell>
        </row>
        <row r="245">
          <cell r="D245">
            <v>231</v>
          </cell>
          <cell r="E245">
            <v>2</v>
          </cell>
          <cell r="F245">
            <v>3</v>
          </cell>
          <cell r="G245" t="str">
            <v>TS3005</v>
          </cell>
          <cell r="H245" t="str">
            <v>TS3 005 SIAD</v>
          </cell>
          <cell r="I245" t="str">
            <v>MR</v>
          </cell>
          <cell r="J245" t="str">
            <v>MR Maintenance &amp; Sustainment</v>
          </cell>
          <cell r="K245" t="str">
            <v>Army</v>
          </cell>
          <cell r="L245" t="str">
            <v>DOD</v>
          </cell>
          <cell r="M245" t="str">
            <v>US_State</v>
          </cell>
          <cell r="N245" t="str">
            <v>CONUS</v>
          </cell>
          <cell r="O245">
            <v>42783</v>
          </cell>
          <cell r="P245">
            <v>43878</v>
          </cell>
          <cell r="Q245" t="str">
            <v>Prime</v>
          </cell>
          <cell r="R245" t="str">
            <v>T&amp;M</v>
          </cell>
          <cell r="S245">
            <v>0</v>
          </cell>
          <cell r="T245">
            <v>1</v>
          </cell>
          <cell r="U245" t="str">
            <v>CONTRACT</v>
          </cell>
          <cell r="V245" t="str">
            <v>Base</v>
          </cell>
          <cell r="W245" t="str">
            <v>05 Won</v>
          </cell>
          <cell r="X245" t="str">
            <v>Active</v>
          </cell>
          <cell r="Y245">
            <v>1</v>
          </cell>
          <cell r="Z245">
            <v>0</v>
          </cell>
          <cell r="AA245">
            <v>10832906.700000007</v>
          </cell>
          <cell r="AB245">
            <v>0</v>
          </cell>
          <cell r="AC245">
            <v>0</v>
          </cell>
          <cell r="AD245">
            <v>10832906.700000007</v>
          </cell>
          <cell r="AL245">
            <v>0</v>
          </cell>
          <cell r="AM245">
            <v>0.16228802329221634</v>
          </cell>
          <cell r="AN245">
            <v>0.17084285532050458</v>
          </cell>
          <cell r="AO245">
            <v>6.7460440339021946E-2</v>
          </cell>
          <cell r="AP245">
            <v>0.10662763730710156</v>
          </cell>
          <cell r="AQ245">
            <v>0.10662763730710156</v>
          </cell>
          <cell r="AR245">
            <v>0.10662763730710156</v>
          </cell>
          <cell r="AS245">
            <v>0.10662763730710156</v>
          </cell>
          <cell r="BF245">
            <v>0</v>
          </cell>
          <cell r="BG245">
            <v>879855.45</v>
          </cell>
          <cell r="BH245">
            <v>1484614.96</v>
          </cell>
          <cell r="BI245">
            <v>474895.74</v>
          </cell>
          <cell r="BJ245">
            <v>-60293.940000000293</v>
          </cell>
          <cell r="BK245">
            <v>27888.699999999895</v>
          </cell>
          <cell r="BL245">
            <v>168403</v>
          </cell>
          <cell r="BM245">
            <v>610893.49999999953</v>
          </cell>
          <cell r="BN245">
            <v>241157.80800000008</v>
          </cell>
          <cell r="BO245">
            <v>0</v>
          </cell>
          <cell r="BP245">
            <v>0</v>
          </cell>
          <cell r="BQ245">
            <v>0</v>
          </cell>
          <cell r="BR245">
            <v>852051.30799999961</v>
          </cell>
          <cell r="BT245">
            <v>0</v>
          </cell>
          <cell r="CA245" t="str">
            <v>TS3005 - CONTRACT - Base</v>
          </cell>
          <cell r="CC245" t="str">
            <v>TS3005 - CONTRACT - Base - MR</v>
          </cell>
          <cell r="CD245" t="str">
            <v/>
          </cell>
          <cell r="CF245" t="str">
            <v>TS3005 - Base - MR</v>
          </cell>
        </row>
        <row r="246">
          <cell r="D246">
            <v>232</v>
          </cell>
          <cell r="E246">
            <v>2</v>
          </cell>
          <cell r="F246">
            <v>4</v>
          </cell>
          <cell r="G246" t="str">
            <v>TS3005</v>
          </cell>
          <cell r="H246" t="str">
            <v>TS3 005 SIAD</v>
          </cell>
          <cell r="I246" t="str">
            <v>MR</v>
          </cell>
          <cell r="J246" t="str">
            <v>MR Maintenance &amp; Sustainment</v>
          </cell>
          <cell r="K246" t="str">
            <v>Army</v>
          </cell>
          <cell r="L246" t="str">
            <v>DOD</v>
          </cell>
          <cell r="M246" t="str">
            <v>US_State</v>
          </cell>
          <cell r="N246" t="str">
            <v>CONUS</v>
          </cell>
          <cell r="O246">
            <v>0</v>
          </cell>
          <cell r="P246">
            <v>0</v>
          </cell>
          <cell r="Q246">
            <v>0</v>
          </cell>
          <cell r="R246" t="str">
            <v>T&amp;M</v>
          </cell>
          <cell r="S246">
            <v>0</v>
          </cell>
          <cell r="T246">
            <v>1</v>
          </cell>
          <cell r="U246" t="str">
            <v>CONTRACT</v>
          </cell>
          <cell r="V246" t="str">
            <v>Identified - Recompete</v>
          </cell>
          <cell r="W246">
            <v>0</v>
          </cell>
          <cell r="X246">
            <v>0</v>
          </cell>
          <cell r="Y246">
            <v>0</v>
          </cell>
          <cell r="Z246">
            <v>0</v>
          </cell>
          <cell r="AA246">
            <v>0</v>
          </cell>
          <cell r="AB246">
            <v>0</v>
          </cell>
          <cell r="AC246">
            <v>0</v>
          </cell>
          <cell r="AD246">
            <v>0</v>
          </cell>
          <cell r="AP246">
            <v>0</v>
          </cell>
          <cell r="AQ246">
            <v>0</v>
          </cell>
          <cell r="AR246">
            <v>0</v>
          </cell>
          <cell r="AS246">
            <v>0</v>
          </cell>
          <cell r="BI246">
            <v>0</v>
          </cell>
          <cell r="BJ246">
            <v>0</v>
          </cell>
          <cell r="BK246">
            <v>0</v>
          </cell>
          <cell r="BL246">
            <v>0</v>
          </cell>
          <cell r="BM246">
            <v>0</v>
          </cell>
          <cell r="BN246">
            <v>0</v>
          </cell>
          <cell r="BO246">
            <v>0</v>
          </cell>
          <cell r="BP246">
            <v>0</v>
          </cell>
          <cell r="BQ246">
            <v>0</v>
          </cell>
          <cell r="BR246">
            <v>0</v>
          </cell>
          <cell r="BT246">
            <v>0</v>
          </cell>
          <cell r="CA246" t="str">
            <v>TS3005 - CONTRACT - Identified - Recompete</v>
          </cell>
          <cell r="CC246" t="str">
            <v>TS3005 - CONTRACT - Identified - Recompete - MR</v>
          </cell>
          <cell r="CD246" t="str">
            <v/>
          </cell>
          <cell r="CF246" t="str">
            <v>TS3005 - Identified - Recompete - MR</v>
          </cell>
        </row>
        <row r="247">
          <cell r="D247">
            <v>233</v>
          </cell>
          <cell r="E247">
            <v>0</v>
          </cell>
          <cell r="F247">
            <v>5</v>
          </cell>
          <cell r="G247" t="str">
            <v>TS3005</v>
          </cell>
          <cell r="H247" t="str">
            <v>TS3 005 SIAD</v>
          </cell>
          <cell r="I247" t="str">
            <v>MR</v>
          </cell>
          <cell r="J247" t="str">
            <v>MR Maintenance &amp; Sustainment</v>
          </cell>
          <cell r="K247" t="str">
            <v>Army</v>
          </cell>
          <cell r="L247" t="str">
            <v>DOD</v>
          </cell>
          <cell r="M247" t="str">
            <v>US_State</v>
          </cell>
          <cell r="N247" t="str">
            <v>CONUS</v>
          </cell>
          <cell r="O247">
            <v>42783</v>
          </cell>
          <cell r="P247">
            <v>43878</v>
          </cell>
          <cell r="Q247" t="str">
            <v>Prime</v>
          </cell>
          <cell r="R247" t="str">
            <v>T&amp;M</v>
          </cell>
          <cell r="S247">
            <v>0</v>
          </cell>
          <cell r="T247">
            <v>1</v>
          </cell>
          <cell r="U247" t="str">
            <v>EBITA</v>
          </cell>
          <cell r="V247" t="str">
            <v>Base</v>
          </cell>
          <cell r="W247" t="str">
            <v>05 Won</v>
          </cell>
          <cell r="X247" t="str">
            <v>Active</v>
          </cell>
          <cell r="Y247">
            <v>1</v>
          </cell>
          <cell r="Z247">
            <v>0</v>
          </cell>
          <cell r="AA247">
            <v>10832906.700000007</v>
          </cell>
          <cell r="AB247">
            <v>0</v>
          </cell>
          <cell r="AC247">
            <v>0</v>
          </cell>
          <cell r="AD247">
            <v>10832906.700000007</v>
          </cell>
          <cell r="AT247">
            <v>0</v>
          </cell>
          <cell r="AU247">
            <v>8.9296476065548677E-2</v>
          </cell>
          <cell r="AV247">
            <v>0.10145291523472956</v>
          </cell>
          <cell r="AW247">
            <v>-1.041821581487507E-2</v>
          </cell>
          <cell r="AX247">
            <v>3.4393203320437389E-2</v>
          </cell>
          <cell r="AY247">
            <v>3.539320332043739E-2</v>
          </cell>
          <cell r="AZ247">
            <v>3.6393203320437391E-2</v>
          </cell>
          <cell r="BA247">
            <v>3.7393203320437392E-2</v>
          </cell>
          <cell r="BF247">
            <v>0</v>
          </cell>
          <cell r="BG247">
            <v>484126.85999999993</v>
          </cell>
          <cell r="BH247">
            <v>881620.22</v>
          </cell>
          <cell r="BI247">
            <v>306242.31</v>
          </cell>
          <cell r="BJ247">
            <v>-263417.87000000034</v>
          </cell>
          <cell r="BK247">
            <v>-137167.44000000012</v>
          </cell>
          <cell r="BL247">
            <v>0</v>
          </cell>
          <cell r="BM247">
            <v>-94343.000000000466</v>
          </cell>
          <cell r="BN247">
            <v>77786.488872173475</v>
          </cell>
          <cell r="BO247">
            <v>0</v>
          </cell>
          <cell r="BP247">
            <v>0</v>
          </cell>
          <cell r="BQ247">
            <v>0</v>
          </cell>
          <cell r="BR247">
            <v>-16556.511127826991</v>
          </cell>
          <cell r="BT247">
            <v>0</v>
          </cell>
          <cell r="CA247" t="str">
            <v>TS3005 - EBITA - Base</v>
          </cell>
          <cell r="CC247" t="str">
            <v>TS3005 - EBITA - Base - MR</v>
          </cell>
          <cell r="CD247" t="str">
            <v/>
          </cell>
          <cell r="CF247" t="str">
            <v>TS3005 - Base - MR</v>
          </cell>
        </row>
        <row r="248">
          <cell r="D248">
            <v>234</v>
          </cell>
          <cell r="E248">
            <v>0</v>
          </cell>
          <cell r="F248">
            <v>0</v>
          </cell>
          <cell r="G248" t="str">
            <v>TS3005</v>
          </cell>
          <cell r="H248" t="str">
            <v>TS3 005 SIAD</v>
          </cell>
          <cell r="I248" t="str">
            <v>MR</v>
          </cell>
          <cell r="J248" t="str">
            <v>MR Maintenance &amp; Sustainment</v>
          </cell>
          <cell r="K248" t="str">
            <v>Army</v>
          </cell>
          <cell r="L248" t="str">
            <v>DOD</v>
          </cell>
          <cell r="M248" t="str">
            <v>US_State</v>
          </cell>
          <cell r="N248" t="str">
            <v>CONUS</v>
          </cell>
          <cell r="O248">
            <v>0</v>
          </cell>
          <cell r="P248">
            <v>0</v>
          </cell>
          <cell r="Q248">
            <v>0</v>
          </cell>
          <cell r="R248" t="str">
            <v>T&amp;M</v>
          </cell>
          <cell r="S248">
            <v>0</v>
          </cell>
          <cell r="T248">
            <v>1</v>
          </cell>
          <cell r="U248" t="str">
            <v>EBITA</v>
          </cell>
          <cell r="V248" t="str">
            <v>Identified - Recompete</v>
          </cell>
          <cell r="W248">
            <v>0</v>
          </cell>
          <cell r="X248">
            <v>0</v>
          </cell>
          <cell r="Y248">
            <v>0</v>
          </cell>
          <cell r="Z248">
            <v>0</v>
          </cell>
          <cell r="AA248">
            <v>0</v>
          </cell>
          <cell r="AB248">
            <v>0</v>
          </cell>
          <cell r="AC248">
            <v>0</v>
          </cell>
          <cell r="AD248">
            <v>0</v>
          </cell>
          <cell r="AX248">
            <v>0</v>
          </cell>
          <cell r="AY248">
            <v>0</v>
          </cell>
          <cell r="AZ248">
            <v>0</v>
          </cell>
          <cell r="BA248">
            <v>0</v>
          </cell>
          <cell r="BI248">
            <v>0</v>
          </cell>
          <cell r="BJ248">
            <v>0</v>
          </cell>
          <cell r="BK248">
            <v>0</v>
          </cell>
          <cell r="BL248">
            <v>0</v>
          </cell>
          <cell r="BM248">
            <v>0</v>
          </cell>
          <cell r="BN248">
            <v>0</v>
          </cell>
          <cell r="BO248">
            <v>0</v>
          </cell>
          <cell r="BP248">
            <v>0</v>
          </cell>
          <cell r="BQ248">
            <v>0</v>
          </cell>
          <cell r="BR248">
            <v>0</v>
          </cell>
          <cell r="BT248">
            <v>0</v>
          </cell>
          <cell r="CA248" t="str">
            <v>TS3005 - EBITA - Identified - Recompete</v>
          </cell>
          <cell r="CC248" t="str">
            <v>TS3005 - EBITA - Identified - Recompete - MR</v>
          </cell>
          <cell r="CD248" t="str">
            <v/>
          </cell>
          <cell r="CF248" t="str">
            <v>TS3005 - Identified - Recompete - MR</v>
          </cell>
        </row>
        <row r="249">
          <cell r="D249">
            <v>235</v>
          </cell>
          <cell r="E249">
            <v>1</v>
          </cell>
          <cell r="F249">
            <v>1</v>
          </cell>
          <cell r="G249" t="str">
            <v>HMMCXX</v>
          </cell>
          <cell r="H249" t="str">
            <v>HMMC</v>
          </cell>
          <cell r="I249" t="str">
            <v>MR</v>
          </cell>
          <cell r="J249" t="str">
            <v>MR Logistics &amp; Supply</v>
          </cell>
          <cell r="K249" t="str">
            <v>Navy</v>
          </cell>
          <cell r="L249" t="str">
            <v>DOD</v>
          </cell>
          <cell r="M249" t="str">
            <v>Japan</v>
          </cell>
          <cell r="N249" t="str">
            <v>OCONUS</v>
          </cell>
          <cell r="O249">
            <v>43570</v>
          </cell>
          <cell r="P249">
            <v>45396</v>
          </cell>
          <cell r="Q249" t="str">
            <v>Prime</v>
          </cell>
          <cell r="R249" t="str">
            <v>Multi</v>
          </cell>
          <cell r="S249">
            <v>0</v>
          </cell>
          <cell r="T249">
            <v>1</v>
          </cell>
          <cell r="U249" t="str">
            <v>REVTOT</v>
          </cell>
          <cell r="V249" t="str">
            <v>Base</v>
          </cell>
          <cell r="W249" t="str">
            <v>05 Won</v>
          </cell>
          <cell r="X249" t="str">
            <v>Active</v>
          </cell>
          <cell r="Y249">
            <v>1</v>
          </cell>
          <cell r="Z249">
            <v>0</v>
          </cell>
          <cell r="AA249">
            <v>32341011.030000001</v>
          </cell>
          <cell r="AB249">
            <v>0</v>
          </cell>
          <cell r="AC249">
            <v>0</v>
          </cell>
          <cell r="AD249">
            <v>32341011.030000001</v>
          </cell>
          <cell r="AE249">
            <v>0</v>
          </cell>
          <cell r="AF249">
            <v>0</v>
          </cell>
          <cell r="AG249">
            <v>0</v>
          </cell>
          <cell r="AH249">
            <v>1.2100846111870873</v>
          </cell>
          <cell r="AI249">
            <v>0</v>
          </cell>
          <cell r="AJ249">
            <v>0</v>
          </cell>
          <cell r="AK249">
            <v>0</v>
          </cell>
          <cell r="BB249">
            <v>6235906.1600000001</v>
          </cell>
          <cell r="BC249">
            <v>6235906.1600000001</v>
          </cell>
          <cell r="BD249">
            <v>6235906.1600000001</v>
          </cell>
          <cell r="BE249">
            <v>6235906.1600000001</v>
          </cell>
          <cell r="BF249">
            <v>0</v>
          </cell>
          <cell r="BG249">
            <v>0</v>
          </cell>
          <cell r="BH249">
            <v>0</v>
          </cell>
          <cell r="BI249">
            <v>0</v>
          </cell>
          <cell r="BJ249">
            <v>95488.5</v>
          </cell>
          <cell r="BK249">
            <v>823945.47</v>
          </cell>
          <cell r="BL249">
            <v>1902135</v>
          </cell>
          <cell r="BM249">
            <v>2821568.9699999997</v>
          </cell>
          <cell r="BN249">
            <v>6235906.1600000001</v>
          </cell>
          <cell r="BO249">
            <v>6235906.1600000001</v>
          </cell>
          <cell r="BP249">
            <v>6235906.1600000001</v>
          </cell>
          <cell r="BQ249">
            <v>6235906.1600000001</v>
          </cell>
          <cell r="BR249">
            <v>27765193.609999999</v>
          </cell>
          <cell r="BT249">
            <v>0</v>
          </cell>
          <cell r="CA249" t="str">
            <v>HMMCXX - REVTOT - Base</v>
          </cell>
          <cell r="CC249" t="str">
            <v>HMMCXX - REVTOT - Base - MR</v>
          </cell>
          <cell r="CD249" t="str">
            <v>HMMCXX - REVTOT - Base - MR</v>
          </cell>
          <cell r="CF249" t="str">
            <v>HMMCXX - Base - MR</v>
          </cell>
        </row>
        <row r="250">
          <cell r="D250">
            <v>236</v>
          </cell>
          <cell r="E250">
            <v>1</v>
          </cell>
          <cell r="F250">
            <v>2</v>
          </cell>
          <cell r="G250" t="str">
            <v>HMMCXX</v>
          </cell>
          <cell r="H250" t="str">
            <v>HMMC</v>
          </cell>
          <cell r="I250" t="str">
            <v>MR</v>
          </cell>
          <cell r="J250" t="str">
            <v>MR Logistics &amp; Supply</v>
          </cell>
          <cell r="K250" t="str">
            <v>Navy</v>
          </cell>
          <cell r="L250" t="str">
            <v>DOD</v>
          </cell>
          <cell r="M250" t="str">
            <v>Japan</v>
          </cell>
          <cell r="N250" t="str">
            <v>OCONUS</v>
          </cell>
          <cell r="O250">
            <v>0</v>
          </cell>
          <cell r="P250">
            <v>0</v>
          </cell>
          <cell r="Q250">
            <v>0</v>
          </cell>
          <cell r="R250" t="str">
            <v>Multi</v>
          </cell>
          <cell r="S250">
            <v>0</v>
          </cell>
          <cell r="T250">
            <v>1</v>
          </cell>
          <cell r="U250" t="str">
            <v>REVTOT</v>
          </cell>
          <cell r="V250" t="str">
            <v>Identified - Recompete</v>
          </cell>
          <cell r="W250">
            <v>0</v>
          </cell>
          <cell r="X250">
            <v>0</v>
          </cell>
          <cell r="Y250">
            <v>0</v>
          </cell>
          <cell r="Z250">
            <v>0</v>
          </cell>
          <cell r="AA250">
            <v>0</v>
          </cell>
          <cell r="AB250">
            <v>0</v>
          </cell>
          <cell r="AC250">
            <v>0</v>
          </cell>
          <cell r="AD250">
            <v>0</v>
          </cell>
          <cell r="AI250">
            <v>0</v>
          </cell>
          <cell r="AJ250">
            <v>0</v>
          </cell>
          <cell r="AK250">
            <v>0</v>
          </cell>
          <cell r="BB250">
            <v>0</v>
          </cell>
          <cell r="BC250">
            <v>0</v>
          </cell>
          <cell r="BD250">
            <v>0</v>
          </cell>
          <cell r="BE250">
            <v>0</v>
          </cell>
          <cell r="BI250">
            <v>0</v>
          </cell>
          <cell r="BJ250">
            <v>0</v>
          </cell>
          <cell r="BK250">
            <v>0</v>
          </cell>
          <cell r="BL250">
            <v>0</v>
          </cell>
          <cell r="BM250">
            <v>0</v>
          </cell>
          <cell r="BN250">
            <v>0</v>
          </cell>
          <cell r="BO250">
            <v>0</v>
          </cell>
          <cell r="BP250">
            <v>0</v>
          </cell>
          <cell r="BQ250">
            <v>0</v>
          </cell>
          <cell r="BR250">
            <v>0</v>
          </cell>
          <cell r="BT250">
            <v>0</v>
          </cell>
          <cell r="CA250" t="str">
            <v>HMMCXX - REVTOT - Identified - Recompete</v>
          </cell>
          <cell r="CC250" t="str">
            <v>HMMCXX - REVTOT - Identified - Recompete - MR</v>
          </cell>
          <cell r="CD250" t="str">
            <v/>
          </cell>
          <cell r="CF250" t="str">
            <v>HMMCXX - Identified - Recompete - MR</v>
          </cell>
        </row>
        <row r="251">
          <cell r="D251">
            <v>237</v>
          </cell>
          <cell r="E251">
            <v>2</v>
          </cell>
          <cell r="F251">
            <v>3</v>
          </cell>
          <cell r="G251" t="str">
            <v>HMMCXX</v>
          </cell>
          <cell r="H251" t="str">
            <v>HMMC</v>
          </cell>
          <cell r="I251" t="str">
            <v>MR</v>
          </cell>
          <cell r="J251" t="str">
            <v>MR Logistics &amp; Supply</v>
          </cell>
          <cell r="K251" t="str">
            <v>Navy</v>
          </cell>
          <cell r="L251" t="str">
            <v>DOD</v>
          </cell>
          <cell r="M251" t="str">
            <v>Japan</v>
          </cell>
          <cell r="N251" t="str">
            <v>OCONUS</v>
          </cell>
          <cell r="O251">
            <v>43570</v>
          </cell>
          <cell r="P251">
            <v>45396</v>
          </cell>
          <cell r="Q251" t="str">
            <v>Prime</v>
          </cell>
          <cell r="R251" t="str">
            <v>Multi</v>
          </cell>
          <cell r="S251">
            <v>0</v>
          </cell>
          <cell r="T251">
            <v>1</v>
          </cell>
          <cell r="U251" t="str">
            <v>CONTRACT</v>
          </cell>
          <cell r="V251" t="str">
            <v>Base</v>
          </cell>
          <cell r="W251" t="str">
            <v>05 Won</v>
          </cell>
          <cell r="X251" t="str">
            <v>Active</v>
          </cell>
          <cell r="Y251">
            <v>1</v>
          </cell>
          <cell r="Z251">
            <v>0</v>
          </cell>
          <cell r="AA251">
            <v>32341011.030000001</v>
          </cell>
          <cell r="AB251">
            <v>0</v>
          </cell>
          <cell r="AC251">
            <v>0</v>
          </cell>
          <cell r="AD251">
            <v>32341011.030000001</v>
          </cell>
          <cell r="AL251">
            <v>0</v>
          </cell>
          <cell r="AM251">
            <v>0</v>
          </cell>
          <cell r="AN251">
            <v>0</v>
          </cell>
          <cell r="AO251">
            <v>0.20301344255285031</v>
          </cell>
          <cell r="AP251">
            <v>0.14894499063180255</v>
          </cell>
          <cell r="AQ251">
            <v>0.14894499063180255</v>
          </cell>
          <cell r="AR251">
            <v>0.14894499063180255</v>
          </cell>
          <cell r="AS251">
            <v>0.14894499063180255</v>
          </cell>
          <cell r="BF251">
            <v>0</v>
          </cell>
          <cell r="BG251">
            <v>0</v>
          </cell>
          <cell r="BH251">
            <v>0</v>
          </cell>
          <cell r="BI251">
            <v>0</v>
          </cell>
          <cell r="BJ251">
            <v>58492.84</v>
          </cell>
          <cell r="BK251">
            <v>251774.77000000005</v>
          </cell>
          <cell r="BL251">
            <v>262548.81999999995</v>
          </cell>
          <cell r="BM251">
            <v>572816.42999999993</v>
          </cell>
          <cell r="BN251">
            <v>928806.98458199983</v>
          </cell>
          <cell r="BO251">
            <v>928806.98458199983</v>
          </cell>
          <cell r="BP251">
            <v>928806.98458199983</v>
          </cell>
          <cell r="BQ251">
            <v>928806.98458199983</v>
          </cell>
          <cell r="BR251">
            <v>4288044.3683279995</v>
          </cell>
          <cell r="BT251">
            <v>0</v>
          </cell>
          <cell r="CA251" t="str">
            <v>HMMCXX - CONTRACT - Base</v>
          </cell>
          <cell r="CC251" t="str">
            <v>HMMCXX - CONTRACT - Base - MR</v>
          </cell>
          <cell r="CD251" t="str">
            <v/>
          </cell>
          <cell r="CF251" t="str">
            <v>HMMCXX - Base - MR</v>
          </cell>
        </row>
        <row r="252">
          <cell r="D252">
            <v>238</v>
          </cell>
          <cell r="E252">
            <v>2</v>
          </cell>
          <cell r="F252">
            <v>4</v>
          </cell>
          <cell r="G252" t="str">
            <v>HMMCXX</v>
          </cell>
          <cell r="H252" t="str">
            <v>HMMC</v>
          </cell>
          <cell r="I252" t="str">
            <v>MR</v>
          </cell>
          <cell r="J252" t="str">
            <v>MR Logistics &amp; Supply</v>
          </cell>
          <cell r="K252" t="str">
            <v>Navy</v>
          </cell>
          <cell r="L252" t="str">
            <v>DOD</v>
          </cell>
          <cell r="M252" t="str">
            <v>Japan</v>
          </cell>
          <cell r="N252" t="str">
            <v>OCONUS</v>
          </cell>
          <cell r="O252">
            <v>0</v>
          </cell>
          <cell r="P252">
            <v>0</v>
          </cell>
          <cell r="Q252">
            <v>0</v>
          </cell>
          <cell r="R252" t="str">
            <v>Multi</v>
          </cell>
          <cell r="S252">
            <v>0</v>
          </cell>
          <cell r="T252">
            <v>1</v>
          </cell>
          <cell r="U252" t="str">
            <v>CONTRACT</v>
          </cell>
          <cell r="V252" t="str">
            <v>Identified - Recompete</v>
          </cell>
          <cell r="W252">
            <v>0</v>
          </cell>
          <cell r="X252">
            <v>0</v>
          </cell>
          <cell r="Y252">
            <v>0</v>
          </cell>
          <cell r="Z252">
            <v>0</v>
          </cell>
          <cell r="AA252">
            <v>0</v>
          </cell>
          <cell r="AB252">
            <v>0</v>
          </cell>
          <cell r="AC252">
            <v>0</v>
          </cell>
          <cell r="AD252">
            <v>0</v>
          </cell>
          <cell r="AP252">
            <v>0</v>
          </cell>
          <cell r="AQ252">
            <v>0</v>
          </cell>
          <cell r="AR252">
            <v>0</v>
          </cell>
          <cell r="AS252">
            <v>0</v>
          </cell>
          <cell r="BI252">
            <v>0</v>
          </cell>
          <cell r="BJ252">
            <v>0</v>
          </cell>
          <cell r="BK252">
            <v>0</v>
          </cell>
          <cell r="BL252">
            <v>0</v>
          </cell>
          <cell r="BM252">
            <v>0</v>
          </cell>
          <cell r="BN252">
            <v>0</v>
          </cell>
          <cell r="BO252">
            <v>0</v>
          </cell>
          <cell r="BP252">
            <v>0</v>
          </cell>
          <cell r="BQ252">
            <v>0</v>
          </cell>
          <cell r="BR252">
            <v>0</v>
          </cell>
          <cell r="BT252">
            <v>0</v>
          </cell>
          <cell r="CA252" t="str">
            <v>HMMCXX - CONTRACT - Identified - Recompete</v>
          </cell>
          <cell r="CC252" t="str">
            <v>HMMCXX - CONTRACT - Identified - Recompete - MR</v>
          </cell>
          <cell r="CD252" t="str">
            <v/>
          </cell>
          <cell r="CF252" t="str">
            <v>HMMCXX - Identified - Recompete - MR</v>
          </cell>
        </row>
        <row r="253">
          <cell r="D253">
            <v>239</v>
          </cell>
          <cell r="E253">
            <v>0</v>
          </cell>
          <cell r="F253">
            <v>5</v>
          </cell>
          <cell r="G253" t="str">
            <v>HMMCXX</v>
          </cell>
          <cell r="H253" t="str">
            <v>HMMC</v>
          </cell>
          <cell r="I253" t="str">
            <v>MR</v>
          </cell>
          <cell r="J253" t="str">
            <v>MR Logistics &amp; Supply</v>
          </cell>
          <cell r="K253" t="str">
            <v>Navy</v>
          </cell>
          <cell r="L253" t="str">
            <v>DOD</v>
          </cell>
          <cell r="M253" t="str">
            <v>Japan</v>
          </cell>
          <cell r="N253" t="str">
            <v>OCONUS</v>
          </cell>
          <cell r="O253">
            <v>43570</v>
          </cell>
          <cell r="P253">
            <v>45396</v>
          </cell>
          <cell r="Q253" t="str">
            <v>Prime</v>
          </cell>
          <cell r="R253" t="str">
            <v>Multi</v>
          </cell>
          <cell r="S253">
            <v>0</v>
          </cell>
          <cell r="T253">
            <v>1</v>
          </cell>
          <cell r="U253" t="str">
            <v>EBITA</v>
          </cell>
          <cell r="V253" t="str">
            <v>Base</v>
          </cell>
          <cell r="W253" t="str">
            <v>05 Won</v>
          </cell>
          <cell r="X253" t="str">
            <v>Active</v>
          </cell>
          <cell r="Y253">
            <v>1</v>
          </cell>
          <cell r="Z253">
            <v>0</v>
          </cell>
          <cell r="AA253">
            <v>32341011.030000001</v>
          </cell>
          <cell r="AB253">
            <v>0</v>
          </cell>
          <cell r="AC253">
            <v>0</v>
          </cell>
          <cell r="AD253">
            <v>32341011.030000001</v>
          </cell>
          <cell r="AT253">
            <v>0</v>
          </cell>
          <cell r="AU253">
            <v>0</v>
          </cell>
          <cell r="AV253">
            <v>0</v>
          </cell>
          <cell r="AW253">
            <v>9.0483898396430118E-2</v>
          </cell>
          <cell r="AX253">
            <v>0.04</v>
          </cell>
          <cell r="AY253">
            <v>0.04</v>
          </cell>
          <cell r="AZ253">
            <v>0.04</v>
          </cell>
          <cell r="BA253">
            <v>0.04</v>
          </cell>
          <cell r="BF253">
            <v>0</v>
          </cell>
          <cell r="BG253">
            <v>0</v>
          </cell>
          <cell r="BH253">
            <v>0</v>
          </cell>
          <cell r="BI253">
            <v>0</v>
          </cell>
          <cell r="BJ253">
            <v>45911.24</v>
          </cell>
          <cell r="BK253">
            <v>175941.97000000003</v>
          </cell>
          <cell r="BL253">
            <v>33453.349999999948</v>
          </cell>
          <cell r="BM253">
            <v>255306.55999999997</v>
          </cell>
          <cell r="BN253">
            <v>249436.2464</v>
          </cell>
          <cell r="BO253">
            <v>249436.2464</v>
          </cell>
          <cell r="BP253">
            <v>249436.2464</v>
          </cell>
          <cell r="BQ253">
            <v>249436.2464</v>
          </cell>
          <cell r="BR253">
            <v>1253051.5456000001</v>
          </cell>
          <cell r="BT253">
            <v>0</v>
          </cell>
          <cell r="CA253" t="str">
            <v>HMMCXX - EBITA - Base</v>
          </cell>
          <cell r="CC253" t="str">
            <v>HMMCXX - EBITA - Base - MR</v>
          </cell>
          <cell r="CD253" t="str">
            <v/>
          </cell>
          <cell r="CF253" t="str">
            <v>HMMCXX - Base - MR</v>
          </cell>
        </row>
        <row r="254">
          <cell r="D254">
            <v>240</v>
          </cell>
          <cell r="E254">
            <v>0</v>
          </cell>
          <cell r="F254">
            <v>0</v>
          </cell>
          <cell r="G254" t="str">
            <v>HMMCXX</v>
          </cell>
          <cell r="H254" t="str">
            <v>HMMC</v>
          </cell>
          <cell r="I254" t="str">
            <v>MR</v>
          </cell>
          <cell r="J254" t="str">
            <v>MR Logistics &amp; Supply</v>
          </cell>
          <cell r="K254" t="str">
            <v>Navy</v>
          </cell>
          <cell r="L254" t="str">
            <v>DOD</v>
          </cell>
          <cell r="M254" t="str">
            <v>Japan</v>
          </cell>
          <cell r="N254" t="str">
            <v>OCONUS</v>
          </cell>
          <cell r="O254">
            <v>0</v>
          </cell>
          <cell r="P254">
            <v>0</v>
          </cell>
          <cell r="Q254">
            <v>0</v>
          </cell>
          <cell r="R254" t="str">
            <v>Multi</v>
          </cell>
          <cell r="S254">
            <v>0</v>
          </cell>
          <cell r="T254">
            <v>1</v>
          </cell>
          <cell r="U254" t="str">
            <v>EBITA</v>
          </cell>
          <cell r="V254" t="str">
            <v>Identified - Recompete</v>
          </cell>
          <cell r="W254">
            <v>0</v>
          </cell>
          <cell r="X254">
            <v>0</v>
          </cell>
          <cell r="Y254">
            <v>0</v>
          </cell>
          <cell r="Z254">
            <v>0</v>
          </cell>
          <cell r="AA254">
            <v>0</v>
          </cell>
          <cell r="AB254">
            <v>0</v>
          </cell>
          <cell r="AC254">
            <v>0</v>
          </cell>
          <cell r="AD254">
            <v>0</v>
          </cell>
          <cell r="AX254">
            <v>0</v>
          </cell>
          <cell r="AY254">
            <v>0</v>
          </cell>
          <cell r="AZ254">
            <v>0</v>
          </cell>
          <cell r="BA254">
            <v>0</v>
          </cell>
          <cell r="BI254">
            <v>0</v>
          </cell>
          <cell r="BJ254">
            <v>0</v>
          </cell>
          <cell r="BK254">
            <v>0</v>
          </cell>
          <cell r="BL254">
            <v>0</v>
          </cell>
          <cell r="BM254">
            <v>0</v>
          </cell>
          <cell r="BN254">
            <v>0</v>
          </cell>
          <cell r="BO254">
            <v>0</v>
          </cell>
          <cell r="BP254">
            <v>0</v>
          </cell>
          <cell r="BQ254">
            <v>0</v>
          </cell>
          <cell r="BR254">
            <v>0</v>
          </cell>
          <cell r="BT254">
            <v>0</v>
          </cell>
          <cell r="CA254" t="str">
            <v>HMMCXX - EBITA - Identified - Recompete</v>
          </cell>
          <cell r="CC254" t="str">
            <v>HMMCXX - EBITA - Identified - Recompete - MR</v>
          </cell>
          <cell r="CD254" t="str">
            <v/>
          </cell>
          <cell r="CF254" t="str">
            <v>HMMCXX - Identified - Recompete - MR</v>
          </cell>
        </row>
        <row r="255">
          <cell r="D255">
            <v>241</v>
          </cell>
          <cell r="E255">
            <v>1</v>
          </cell>
          <cell r="F255">
            <v>1</v>
          </cell>
          <cell r="G255" t="str">
            <v>360401</v>
          </cell>
          <cell r="H255" t="str">
            <v>AFRICAP III - JMEC</v>
          </cell>
          <cell r="I255" t="str">
            <v>MR</v>
          </cell>
          <cell r="J255" t="str">
            <v>MR Logistics &amp; Supply</v>
          </cell>
          <cell r="K255" t="str">
            <v>Dept. of State</v>
          </cell>
          <cell r="L255" t="str">
            <v>DOS</v>
          </cell>
          <cell r="M255" t="str">
            <v>South Sudan</v>
          </cell>
          <cell r="N255" t="str">
            <v>OCONUS</v>
          </cell>
          <cell r="O255">
            <v>43374</v>
          </cell>
          <cell r="P255">
            <v>43738</v>
          </cell>
          <cell r="Q255" t="str">
            <v>Other</v>
          </cell>
          <cell r="R255" t="str">
            <v>CPFF</v>
          </cell>
          <cell r="S255">
            <v>0</v>
          </cell>
          <cell r="T255">
            <v>1</v>
          </cell>
          <cell r="U255" t="str">
            <v>REVTOT</v>
          </cell>
          <cell r="V255" t="str">
            <v>Base</v>
          </cell>
          <cell r="W255" t="str">
            <v>05 Won</v>
          </cell>
          <cell r="X255" t="str">
            <v>Active</v>
          </cell>
          <cell r="Y255">
            <v>1</v>
          </cell>
          <cell r="Z255">
            <v>0</v>
          </cell>
          <cell r="AA255">
            <v>493991.71999999962</v>
          </cell>
          <cell r="AB255">
            <v>730184.26</v>
          </cell>
          <cell r="AC255">
            <v>0</v>
          </cell>
          <cell r="AD255">
            <v>1224175.9799999995</v>
          </cell>
          <cell r="AE255">
            <v>0</v>
          </cell>
          <cell r="AF255">
            <v>0</v>
          </cell>
          <cell r="AG255">
            <v>0</v>
          </cell>
          <cell r="AH255">
            <v>-0.65541862923381577</v>
          </cell>
          <cell r="AI255">
            <v>0</v>
          </cell>
          <cell r="AJ255">
            <v>0</v>
          </cell>
          <cell r="AK255">
            <v>0</v>
          </cell>
          <cell r="BB255">
            <v>4000000</v>
          </cell>
          <cell r="BC255">
            <v>4000000</v>
          </cell>
          <cell r="BD255">
            <v>4000000</v>
          </cell>
          <cell r="BE255">
            <v>4000000</v>
          </cell>
          <cell r="BF255">
            <v>0</v>
          </cell>
          <cell r="BG255">
            <v>0</v>
          </cell>
          <cell r="BH255">
            <v>0</v>
          </cell>
          <cell r="BI255">
            <v>778713.59000000008</v>
          </cell>
          <cell r="BJ255">
            <v>836751.82000000007</v>
          </cell>
          <cell r="BK255">
            <v>730475.85</v>
          </cell>
          <cell r="BL255">
            <v>1206705.76</v>
          </cell>
          <cell r="BM255">
            <v>3552647.0200000005</v>
          </cell>
          <cell r="BN255">
            <v>1224175.9799999995</v>
          </cell>
          <cell r="BO255">
            <v>0</v>
          </cell>
          <cell r="BP255">
            <v>0</v>
          </cell>
          <cell r="BQ255">
            <v>0</v>
          </cell>
          <cell r="BR255">
            <v>4776823</v>
          </cell>
          <cell r="BT255">
            <v>0</v>
          </cell>
          <cell r="CA255" t="str">
            <v>360401 - REVTOT - Base</v>
          </cell>
          <cell r="CC255" t="str">
            <v>360401 - REVTOT - Base - MR</v>
          </cell>
          <cell r="CD255" t="str">
            <v>360401 - REVTOT - Base - MR</v>
          </cell>
          <cell r="CF255" t="str">
            <v>360401 - Base - MR</v>
          </cell>
        </row>
        <row r="256">
          <cell r="D256">
            <v>242</v>
          </cell>
          <cell r="E256">
            <v>1</v>
          </cell>
          <cell r="F256">
            <v>2</v>
          </cell>
          <cell r="G256" t="str">
            <v>360401</v>
          </cell>
          <cell r="H256" t="str">
            <v>AFRICAP III - JMEC</v>
          </cell>
          <cell r="I256" t="str">
            <v>MR</v>
          </cell>
          <cell r="J256" t="str">
            <v>MR Logistics &amp; Supply</v>
          </cell>
          <cell r="K256" t="str">
            <v>Dept. of State</v>
          </cell>
          <cell r="L256" t="str">
            <v>DOS</v>
          </cell>
          <cell r="M256" t="str">
            <v>South Sudan</v>
          </cell>
          <cell r="N256" t="str">
            <v>OCONUS</v>
          </cell>
          <cell r="O256">
            <v>0</v>
          </cell>
          <cell r="P256">
            <v>0</v>
          </cell>
          <cell r="Q256">
            <v>0</v>
          </cell>
          <cell r="R256" t="str">
            <v>CPFF</v>
          </cell>
          <cell r="S256">
            <v>0</v>
          </cell>
          <cell r="T256">
            <v>1</v>
          </cell>
          <cell r="U256" t="str">
            <v>REVTOT</v>
          </cell>
          <cell r="V256" t="str">
            <v>Identified - Recompete</v>
          </cell>
          <cell r="W256">
            <v>0</v>
          </cell>
          <cell r="X256">
            <v>0</v>
          </cell>
          <cell r="Y256">
            <v>0</v>
          </cell>
          <cell r="Z256">
            <v>0</v>
          </cell>
          <cell r="AA256">
            <v>0</v>
          </cell>
          <cell r="AB256">
            <v>0</v>
          </cell>
          <cell r="AC256">
            <v>0</v>
          </cell>
          <cell r="AD256">
            <v>0</v>
          </cell>
          <cell r="AI256">
            <v>0</v>
          </cell>
          <cell r="AJ256">
            <v>0</v>
          </cell>
          <cell r="AK256">
            <v>0</v>
          </cell>
          <cell r="BB256">
            <v>0</v>
          </cell>
          <cell r="BC256">
            <v>0</v>
          </cell>
          <cell r="BD256">
            <v>0</v>
          </cell>
          <cell r="BE256">
            <v>0</v>
          </cell>
          <cell r="BI256">
            <v>0</v>
          </cell>
          <cell r="BJ256">
            <v>0</v>
          </cell>
          <cell r="BK256">
            <v>0</v>
          </cell>
          <cell r="BL256">
            <v>0</v>
          </cell>
          <cell r="BM256">
            <v>0</v>
          </cell>
          <cell r="BN256">
            <v>0</v>
          </cell>
          <cell r="BO256">
            <v>0</v>
          </cell>
          <cell r="BP256">
            <v>0</v>
          </cell>
          <cell r="BQ256">
            <v>0</v>
          </cell>
          <cell r="BR256">
            <v>0</v>
          </cell>
          <cell r="BT256">
            <v>0</v>
          </cell>
          <cell r="CA256" t="str">
            <v>360401 - REVTOT - Identified - Recompete</v>
          </cell>
          <cell r="CC256" t="str">
            <v>360401 - REVTOT - Identified - Recompete - MR</v>
          </cell>
          <cell r="CD256" t="str">
            <v/>
          </cell>
          <cell r="CF256" t="str">
            <v>360401 - Identified - Recompete - MR</v>
          </cell>
        </row>
        <row r="257">
          <cell r="D257">
            <v>243</v>
          </cell>
          <cell r="E257">
            <v>2</v>
          </cell>
          <cell r="F257">
            <v>3</v>
          </cell>
          <cell r="G257" t="str">
            <v>360401</v>
          </cell>
          <cell r="H257" t="str">
            <v>AFRICAP III - JMEC</v>
          </cell>
          <cell r="I257" t="str">
            <v>MR</v>
          </cell>
          <cell r="J257" t="str">
            <v>MR Logistics &amp; Supply</v>
          </cell>
          <cell r="K257" t="str">
            <v>Dept. of State</v>
          </cell>
          <cell r="L257" t="str">
            <v>DOS</v>
          </cell>
          <cell r="M257" t="str">
            <v>South Sudan</v>
          </cell>
          <cell r="N257" t="str">
            <v>OCONUS</v>
          </cell>
          <cell r="O257">
            <v>43374</v>
          </cell>
          <cell r="P257">
            <v>43738</v>
          </cell>
          <cell r="Q257" t="str">
            <v>Other</v>
          </cell>
          <cell r="R257" t="str">
            <v>CPFF</v>
          </cell>
          <cell r="S257">
            <v>0</v>
          </cell>
          <cell r="T257">
            <v>1</v>
          </cell>
          <cell r="U257" t="str">
            <v>CONTRACT</v>
          </cell>
          <cell r="V257" t="str">
            <v>Base</v>
          </cell>
          <cell r="W257" t="str">
            <v>05 Won</v>
          </cell>
          <cell r="X257" t="str">
            <v>Active</v>
          </cell>
          <cell r="Y257">
            <v>1</v>
          </cell>
          <cell r="Z257">
            <v>0</v>
          </cell>
          <cell r="AA257">
            <v>493991.71999999962</v>
          </cell>
          <cell r="AB257">
            <v>730184.26</v>
          </cell>
          <cell r="AC257">
            <v>0</v>
          </cell>
          <cell r="AD257">
            <v>1224175.9799999995</v>
          </cell>
          <cell r="AL257">
            <v>0</v>
          </cell>
          <cell r="AM257">
            <v>0</v>
          </cell>
          <cell r="AN257">
            <v>0</v>
          </cell>
          <cell r="AO257">
            <v>0.18196205994030892</v>
          </cell>
          <cell r="AP257">
            <v>0.18872880291550001</v>
          </cell>
          <cell r="AQ257">
            <v>0.18872880291550001</v>
          </cell>
          <cell r="AR257">
            <v>0.18872880291550001</v>
          </cell>
          <cell r="AS257">
            <v>0.18872880291550001</v>
          </cell>
          <cell r="BF257">
            <v>0</v>
          </cell>
          <cell r="BG257">
            <v>0</v>
          </cell>
          <cell r="BH257">
            <v>0</v>
          </cell>
          <cell r="BI257">
            <v>149409.37999999998</v>
          </cell>
          <cell r="BJ257">
            <v>136465.87999999998</v>
          </cell>
          <cell r="BK257">
            <v>160591.29</v>
          </cell>
          <cell r="BL257">
            <v>199980.41999999998</v>
          </cell>
          <cell r="BM257">
            <v>646446.97</v>
          </cell>
          <cell r="BN257">
            <v>231037.26726330898</v>
          </cell>
          <cell r="BO257">
            <v>0</v>
          </cell>
          <cell r="BP257">
            <v>0</v>
          </cell>
          <cell r="BQ257">
            <v>0</v>
          </cell>
          <cell r="BR257">
            <v>877484.23726330895</v>
          </cell>
          <cell r="BT257">
            <v>0</v>
          </cell>
          <cell r="CA257" t="str">
            <v>360401 - CONTRACT - Base</v>
          </cell>
          <cell r="CC257" t="str">
            <v>360401 - CONTRACT - Base - MR</v>
          </cell>
          <cell r="CD257" t="str">
            <v/>
          </cell>
          <cell r="CF257" t="str">
            <v>360401 - Base - MR</v>
          </cell>
        </row>
        <row r="258">
          <cell r="D258">
            <v>244</v>
          </cell>
          <cell r="E258">
            <v>2</v>
          </cell>
          <cell r="F258">
            <v>4</v>
          </cell>
          <cell r="G258" t="str">
            <v>360401</v>
          </cell>
          <cell r="H258" t="str">
            <v>AFRICAP III - JMEC</v>
          </cell>
          <cell r="I258" t="str">
            <v>MR</v>
          </cell>
          <cell r="J258" t="str">
            <v>MR Logistics &amp; Supply</v>
          </cell>
          <cell r="K258" t="str">
            <v>Dept. of State</v>
          </cell>
          <cell r="L258" t="str">
            <v>DOS</v>
          </cell>
          <cell r="M258" t="str">
            <v>South Sudan</v>
          </cell>
          <cell r="N258" t="str">
            <v>OCONUS</v>
          </cell>
          <cell r="O258">
            <v>0</v>
          </cell>
          <cell r="P258">
            <v>0</v>
          </cell>
          <cell r="Q258">
            <v>0</v>
          </cell>
          <cell r="R258" t="str">
            <v>CPFF</v>
          </cell>
          <cell r="S258">
            <v>0</v>
          </cell>
          <cell r="T258">
            <v>1</v>
          </cell>
          <cell r="U258" t="str">
            <v>CONTRACT</v>
          </cell>
          <cell r="V258" t="str">
            <v>Identified - Recompete</v>
          </cell>
          <cell r="W258">
            <v>0</v>
          </cell>
          <cell r="X258">
            <v>0</v>
          </cell>
          <cell r="Y258">
            <v>0</v>
          </cell>
          <cell r="Z258">
            <v>0</v>
          </cell>
          <cell r="AA258">
            <v>0</v>
          </cell>
          <cell r="AB258">
            <v>0</v>
          </cell>
          <cell r="AC258">
            <v>0</v>
          </cell>
          <cell r="AD258">
            <v>0</v>
          </cell>
          <cell r="AP258">
            <v>0</v>
          </cell>
          <cell r="AQ258">
            <v>0</v>
          </cell>
          <cell r="AR258">
            <v>0</v>
          </cell>
          <cell r="AS258">
            <v>0</v>
          </cell>
          <cell r="BI258">
            <v>0</v>
          </cell>
          <cell r="BJ258">
            <v>0</v>
          </cell>
          <cell r="BK258">
            <v>0</v>
          </cell>
          <cell r="BL258">
            <v>0</v>
          </cell>
          <cell r="BM258">
            <v>0</v>
          </cell>
          <cell r="BN258">
            <v>0</v>
          </cell>
          <cell r="BO258">
            <v>0</v>
          </cell>
          <cell r="BP258">
            <v>0</v>
          </cell>
          <cell r="BQ258">
            <v>0</v>
          </cell>
          <cell r="BR258">
            <v>0</v>
          </cell>
          <cell r="BT258">
            <v>0</v>
          </cell>
          <cell r="CA258" t="str">
            <v>360401 - CONTRACT - Identified - Recompete</v>
          </cell>
          <cell r="CC258" t="str">
            <v>360401 - CONTRACT - Identified - Recompete - MR</v>
          </cell>
          <cell r="CD258" t="str">
            <v/>
          </cell>
          <cell r="CF258" t="str">
            <v>360401 - Identified - Recompete - MR</v>
          </cell>
        </row>
        <row r="259">
          <cell r="D259">
            <v>245</v>
          </cell>
          <cell r="E259">
            <v>0</v>
          </cell>
          <cell r="F259">
            <v>5</v>
          </cell>
          <cell r="G259" t="str">
            <v>360401</v>
          </cell>
          <cell r="H259" t="str">
            <v>AFRICAP III - JMEC</v>
          </cell>
          <cell r="I259" t="str">
            <v>MR</v>
          </cell>
          <cell r="J259" t="str">
            <v>MR Logistics &amp; Supply</v>
          </cell>
          <cell r="K259" t="str">
            <v>Dept. of State</v>
          </cell>
          <cell r="L259" t="str">
            <v>DOS</v>
          </cell>
          <cell r="M259" t="str">
            <v>South Sudan</v>
          </cell>
          <cell r="N259" t="str">
            <v>OCONUS</v>
          </cell>
          <cell r="O259">
            <v>43374</v>
          </cell>
          <cell r="P259">
            <v>43738</v>
          </cell>
          <cell r="Q259" t="str">
            <v>Other</v>
          </cell>
          <cell r="R259" t="str">
            <v>CPFF</v>
          </cell>
          <cell r="S259">
            <v>0</v>
          </cell>
          <cell r="T259">
            <v>1</v>
          </cell>
          <cell r="U259" t="str">
            <v>EBITA</v>
          </cell>
          <cell r="V259" t="str">
            <v>Base</v>
          </cell>
          <cell r="W259" t="str">
            <v>05 Won</v>
          </cell>
          <cell r="X259" t="str">
            <v>Active</v>
          </cell>
          <cell r="Y259">
            <v>1</v>
          </cell>
          <cell r="Z259">
            <v>0</v>
          </cell>
          <cell r="AA259">
            <v>493991.71999999962</v>
          </cell>
          <cell r="AB259">
            <v>730184.26</v>
          </cell>
          <cell r="AC259">
            <v>0</v>
          </cell>
          <cell r="AD259">
            <v>1224175.9799999995</v>
          </cell>
          <cell r="AT259">
            <v>0</v>
          </cell>
          <cell r="AU259">
            <v>0</v>
          </cell>
          <cell r="AV259">
            <v>0</v>
          </cell>
          <cell r="AW259">
            <v>8.435428803168854E-2</v>
          </cell>
          <cell r="AX259">
            <v>6.4259303280947797E-2</v>
          </cell>
          <cell r="AY259">
            <v>6.4259303280947797E-2</v>
          </cell>
          <cell r="AZ259">
            <v>6.4259303280947797E-2</v>
          </cell>
          <cell r="BA259">
            <v>6.4259303280947797E-2</v>
          </cell>
          <cell r="BF259">
            <v>0</v>
          </cell>
          <cell r="BG259">
            <v>0</v>
          </cell>
          <cell r="BH259">
            <v>0</v>
          </cell>
          <cell r="BI259">
            <v>61273.229999999981</v>
          </cell>
          <cell r="BJ259">
            <v>52463.639999999985</v>
          </cell>
          <cell r="BK259">
            <v>93391.620000000024</v>
          </cell>
          <cell r="BL259">
            <v>92552.51999999999</v>
          </cell>
          <cell r="BM259">
            <v>299681.01</v>
          </cell>
          <cell r="BN259">
            <v>78664.69556807146</v>
          </cell>
          <cell r="BO259">
            <v>0</v>
          </cell>
          <cell r="BP259">
            <v>0</v>
          </cell>
          <cell r="BQ259">
            <v>0</v>
          </cell>
          <cell r="BR259">
            <v>378345.70556807145</v>
          </cell>
          <cell r="BT259">
            <v>0</v>
          </cell>
          <cell r="CA259" t="str">
            <v>360401 - EBITA - Base</v>
          </cell>
          <cell r="CC259" t="str">
            <v>360401 - EBITA - Base - MR</v>
          </cell>
          <cell r="CD259" t="str">
            <v/>
          </cell>
          <cell r="CF259" t="str">
            <v>360401 - Base - MR</v>
          </cell>
        </row>
        <row r="260">
          <cell r="D260">
            <v>246</v>
          </cell>
          <cell r="E260">
            <v>0</v>
          </cell>
          <cell r="F260">
            <v>0</v>
          </cell>
          <cell r="G260" t="str">
            <v>360401</v>
          </cell>
          <cell r="H260" t="str">
            <v>AFRICAP III - JMEC</v>
          </cell>
          <cell r="I260" t="str">
            <v>MR</v>
          </cell>
          <cell r="J260" t="str">
            <v>MR Logistics &amp; Supply</v>
          </cell>
          <cell r="K260" t="str">
            <v>Dept. of State</v>
          </cell>
          <cell r="L260" t="str">
            <v>DOS</v>
          </cell>
          <cell r="M260" t="str">
            <v>South Sudan</v>
          </cell>
          <cell r="N260" t="str">
            <v>OCONUS</v>
          </cell>
          <cell r="O260">
            <v>0</v>
          </cell>
          <cell r="P260">
            <v>0</v>
          </cell>
          <cell r="Q260">
            <v>0</v>
          </cell>
          <cell r="R260" t="str">
            <v>CPFF</v>
          </cell>
          <cell r="S260">
            <v>0</v>
          </cell>
          <cell r="T260">
            <v>1</v>
          </cell>
          <cell r="U260" t="str">
            <v>EBITA</v>
          </cell>
          <cell r="V260" t="str">
            <v>Identified - Recompete</v>
          </cell>
          <cell r="W260">
            <v>0</v>
          </cell>
          <cell r="X260">
            <v>0</v>
          </cell>
          <cell r="Y260">
            <v>0</v>
          </cell>
          <cell r="Z260">
            <v>0</v>
          </cell>
          <cell r="AA260">
            <v>0</v>
          </cell>
          <cell r="AB260">
            <v>0</v>
          </cell>
          <cell r="AC260">
            <v>0</v>
          </cell>
          <cell r="AD260">
            <v>0</v>
          </cell>
          <cell r="AX260">
            <v>0</v>
          </cell>
          <cell r="AY260">
            <v>0</v>
          </cell>
          <cell r="AZ260">
            <v>0</v>
          </cell>
          <cell r="BA260">
            <v>0</v>
          </cell>
          <cell r="BI260">
            <v>0</v>
          </cell>
          <cell r="BJ260">
            <v>0</v>
          </cell>
          <cell r="BK260">
            <v>0</v>
          </cell>
          <cell r="BL260">
            <v>0</v>
          </cell>
          <cell r="BM260">
            <v>0</v>
          </cell>
          <cell r="BN260">
            <v>0</v>
          </cell>
          <cell r="BO260">
            <v>0</v>
          </cell>
          <cell r="BP260">
            <v>0</v>
          </cell>
          <cell r="BQ260">
            <v>0</v>
          </cell>
          <cell r="BR260">
            <v>0</v>
          </cell>
          <cell r="BT260">
            <v>0</v>
          </cell>
          <cell r="CA260" t="str">
            <v>360401 - EBITA - Identified - Recompete</v>
          </cell>
          <cell r="CC260" t="str">
            <v>360401 - EBITA - Identified - Recompete - MR</v>
          </cell>
          <cell r="CD260" t="str">
            <v/>
          </cell>
          <cell r="CF260" t="str">
            <v>360401 - Identified - Recompete - MR</v>
          </cell>
        </row>
        <row r="261">
          <cell r="D261">
            <v>247</v>
          </cell>
          <cell r="E261">
            <v>1</v>
          </cell>
          <cell r="F261">
            <v>1</v>
          </cell>
          <cell r="G261" t="str">
            <v>CP2573</v>
          </cell>
          <cell r="H261" t="str">
            <v>CTRIC 2 Kazakhstan</v>
          </cell>
          <cell r="I261" t="str">
            <v>MR</v>
          </cell>
          <cell r="J261" t="str">
            <v>MR Non-Proliferation and Security Services</v>
          </cell>
          <cell r="K261" t="str">
            <v>DTRA</v>
          </cell>
          <cell r="L261" t="str">
            <v>DOD</v>
          </cell>
          <cell r="M261" t="str">
            <v>Khazakstan</v>
          </cell>
          <cell r="N261" t="str">
            <v>OCONUS</v>
          </cell>
          <cell r="O261">
            <v>41907</v>
          </cell>
          <cell r="P261">
            <v>43732</v>
          </cell>
          <cell r="Q261" t="str">
            <v>Prime</v>
          </cell>
          <cell r="R261" t="str">
            <v>CPFF</v>
          </cell>
          <cell r="S261">
            <v>0</v>
          </cell>
          <cell r="T261">
            <v>1</v>
          </cell>
          <cell r="U261" t="str">
            <v>REVTOT</v>
          </cell>
          <cell r="V261" t="str">
            <v>Base</v>
          </cell>
          <cell r="W261" t="str">
            <v>05 Won</v>
          </cell>
          <cell r="X261" t="str">
            <v>Active</v>
          </cell>
          <cell r="Y261">
            <v>1</v>
          </cell>
          <cell r="Z261">
            <v>0</v>
          </cell>
          <cell r="AA261">
            <v>1412972</v>
          </cell>
          <cell r="AB261">
            <v>0</v>
          </cell>
          <cell r="AC261">
            <v>0</v>
          </cell>
          <cell r="AD261">
            <v>1412972</v>
          </cell>
          <cell r="AE261">
            <v>1.6400921094196694</v>
          </cell>
          <cell r="AF261">
            <v>-0.130867104647856</v>
          </cell>
          <cell r="AG261">
            <v>0.20072408827284804</v>
          </cell>
          <cell r="AH261">
            <v>-1</v>
          </cell>
          <cell r="AI261">
            <v>0</v>
          </cell>
          <cell r="AJ261">
            <v>0</v>
          </cell>
          <cell r="AK261">
            <v>0</v>
          </cell>
          <cell r="BB261">
            <v>0</v>
          </cell>
          <cell r="BC261">
            <v>0</v>
          </cell>
          <cell r="BD261">
            <v>0</v>
          </cell>
          <cell r="BE261">
            <v>0</v>
          </cell>
          <cell r="BF261">
            <v>2703588.8500000006</v>
          </cell>
          <cell r="BG261">
            <v>7137723.5899999999</v>
          </cell>
          <cell r="BH261">
            <v>6203630.3699999992</v>
          </cell>
          <cell r="BI261">
            <v>686025.02</v>
          </cell>
          <cell r="BJ261">
            <v>1457912.4500000002</v>
          </cell>
          <cell r="BK261">
            <v>2838678.95</v>
          </cell>
          <cell r="BL261">
            <v>2466232</v>
          </cell>
          <cell r="BM261">
            <v>7448848.4199999999</v>
          </cell>
          <cell r="BN261">
            <v>0</v>
          </cell>
          <cell r="BO261">
            <v>0</v>
          </cell>
          <cell r="BP261">
            <v>0</v>
          </cell>
          <cell r="BQ261">
            <v>0</v>
          </cell>
          <cell r="BR261">
            <v>7448848.4199999999</v>
          </cell>
          <cell r="BT261">
            <v>0</v>
          </cell>
          <cell r="CA261" t="str">
            <v>CP2573 - REVTOT - Base</v>
          </cell>
          <cell r="CC261" t="str">
            <v>CP2573 - REVTOT - Base - MR</v>
          </cell>
          <cell r="CD261" t="str">
            <v>CP2573 - REVTOT - Base - MR</v>
          </cell>
          <cell r="CF261" t="str">
            <v>CP2573 - Base - MR</v>
          </cell>
        </row>
        <row r="262">
          <cell r="D262">
            <v>248</v>
          </cell>
          <cell r="E262">
            <v>1</v>
          </cell>
          <cell r="F262">
            <v>2</v>
          </cell>
          <cell r="G262" t="str">
            <v>CP2573</v>
          </cell>
          <cell r="H262" t="str">
            <v>CTRIC 2 Kazakhstan</v>
          </cell>
          <cell r="I262" t="str">
            <v>MR</v>
          </cell>
          <cell r="J262" t="str">
            <v>MR Non-Proliferation and Security Services</v>
          </cell>
          <cell r="K262" t="str">
            <v>DTRA</v>
          </cell>
          <cell r="L262" t="str">
            <v>DOD</v>
          </cell>
          <cell r="M262" t="str">
            <v>Khazakstan</v>
          </cell>
          <cell r="N262" t="str">
            <v>OCONUS</v>
          </cell>
          <cell r="O262">
            <v>0</v>
          </cell>
          <cell r="P262">
            <v>0</v>
          </cell>
          <cell r="Q262">
            <v>0</v>
          </cell>
          <cell r="R262" t="str">
            <v>CPFF</v>
          </cell>
          <cell r="S262">
            <v>0</v>
          </cell>
          <cell r="T262">
            <v>1</v>
          </cell>
          <cell r="U262" t="str">
            <v>REVTOT</v>
          </cell>
          <cell r="V262" t="str">
            <v>Identified - Recompete</v>
          </cell>
          <cell r="W262">
            <v>0</v>
          </cell>
          <cell r="X262">
            <v>0</v>
          </cell>
          <cell r="Y262">
            <v>0</v>
          </cell>
          <cell r="Z262">
            <v>0</v>
          </cell>
          <cell r="AA262">
            <v>0</v>
          </cell>
          <cell r="AB262">
            <v>0</v>
          </cell>
          <cell r="AC262">
            <v>0</v>
          </cell>
          <cell r="AD262">
            <v>0</v>
          </cell>
          <cell r="AI262">
            <v>0</v>
          </cell>
          <cell r="AJ262">
            <v>0</v>
          </cell>
          <cell r="AK262">
            <v>0</v>
          </cell>
          <cell r="BB262">
            <v>0</v>
          </cell>
          <cell r="BC262">
            <v>0</v>
          </cell>
          <cell r="BD262">
            <v>0</v>
          </cell>
          <cell r="BE262">
            <v>0</v>
          </cell>
          <cell r="BI262">
            <v>0</v>
          </cell>
          <cell r="BJ262">
            <v>0</v>
          </cell>
          <cell r="BK262">
            <v>0</v>
          </cell>
          <cell r="BL262">
            <v>0</v>
          </cell>
          <cell r="BM262">
            <v>0</v>
          </cell>
          <cell r="BN262">
            <v>0</v>
          </cell>
          <cell r="BO262">
            <v>0</v>
          </cell>
          <cell r="BP262">
            <v>0</v>
          </cell>
          <cell r="BQ262">
            <v>0</v>
          </cell>
          <cell r="BR262">
            <v>0</v>
          </cell>
          <cell r="BT262">
            <v>0</v>
          </cell>
          <cell r="CA262" t="str">
            <v>CP2573 - REVTOT - Identified - Recompete</v>
          </cell>
          <cell r="CC262" t="str">
            <v>CP2573 - REVTOT - Identified - Recompete - MR</v>
          </cell>
          <cell r="CD262" t="str">
            <v/>
          </cell>
          <cell r="CF262" t="str">
            <v>CP2573 - Identified - Recompete - MR</v>
          </cell>
        </row>
        <row r="263">
          <cell r="D263">
            <v>249</v>
          </cell>
          <cell r="E263">
            <v>2</v>
          </cell>
          <cell r="F263">
            <v>3</v>
          </cell>
          <cell r="G263" t="str">
            <v>CP2573</v>
          </cell>
          <cell r="H263" t="str">
            <v>CTRIC 2 Kazakhstan</v>
          </cell>
          <cell r="I263" t="str">
            <v>MR</v>
          </cell>
          <cell r="J263" t="str">
            <v>MR Non-Proliferation and Security Services</v>
          </cell>
          <cell r="K263" t="str">
            <v>DTRA</v>
          </cell>
          <cell r="L263" t="str">
            <v>DOD</v>
          </cell>
          <cell r="M263" t="str">
            <v>Khazakstan</v>
          </cell>
          <cell r="N263" t="str">
            <v>OCONUS</v>
          </cell>
          <cell r="O263">
            <v>41907</v>
          </cell>
          <cell r="P263">
            <v>43732</v>
          </cell>
          <cell r="Q263" t="str">
            <v>Prime</v>
          </cell>
          <cell r="R263" t="str">
            <v>CPFF</v>
          </cell>
          <cell r="S263">
            <v>0</v>
          </cell>
          <cell r="T263">
            <v>1</v>
          </cell>
          <cell r="U263" t="str">
            <v>CONTRACT</v>
          </cell>
          <cell r="V263" t="str">
            <v>Base</v>
          </cell>
          <cell r="W263" t="str">
            <v>05 Won</v>
          </cell>
          <cell r="X263" t="str">
            <v>Active</v>
          </cell>
          <cell r="Y263">
            <v>1</v>
          </cell>
          <cell r="Z263">
            <v>0</v>
          </cell>
          <cell r="AA263">
            <v>1412972</v>
          </cell>
          <cell r="AB263">
            <v>0</v>
          </cell>
          <cell r="AC263">
            <v>0</v>
          </cell>
          <cell r="AD263">
            <v>1412972</v>
          </cell>
          <cell r="AL263">
            <v>0.14161090359578896</v>
          </cell>
          <cell r="AM263">
            <v>0.14794332348193387</v>
          </cell>
          <cell r="AN263">
            <v>0.1521235250513483</v>
          </cell>
          <cell r="AO263">
            <v>0.13292424199981243</v>
          </cell>
          <cell r="AP263">
            <v>0.14355651784686441</v>
          </cell>
          <cell r="AQ263">
            <v>0.14355651784686441</v>
          </cell>
          <cell r="AR263">
            <v>0.14355651784686441</v>
          </cell>
          <cell r="AS263">
            <v>0.14355651784686441</v>
          </cell>
          <cell r="BF263">
            <v>382857.66000000003</v>
          </cell>
          <cell r="BG263">
            <v>1055978.5500000003</v>
          </cell>
          <cell r="BH263">
            <v>943718.12</v>
          </cell>
          <cell r="BI263">
            <v>94985.110000000044</v>
          </cell>
          <cell r="BJ263">
            <v>195032.52000000019</v>
          </cell>
          <cell r="BK263">
            <v>365603.50000000023</v>
          </cell>
          <cell r="BL263">
            <v>334511.40000000008</v>
          </cell>
          <cell r="BM263">
            <v>990132.53000000049</v>
          </cell>
          <cell r="BN263">
            <v>0</v>
          </cell>
          <cell r="BO263">
            <v>0</v>
          </cell>
          <cell r="BP263">
            <v>0</v>
          </cell>
          <cell r="BQ263">
            <v>0</v>
          </cell>
          <cell r="BR263">
            <v>990132.53000000049</v>
          </cell>
          <cell r="BT263">
            <v>0</v>
          </cell>
          <cell r="CA263" t="str">
            <v>CP2573 - CONTRACT - Base</v>
          </cell>
          <cell r="CC263" t="str">
            <v>CP2573 - CONTRACT - Base - MR</v>
          </cell>
          <cell r="CD263" t="str">
            <v/>
          </cell>
          <cell r="CF263" t="str">
            <v>CP2573 - Base - MR</v>
          </cell>
        </row>
        <row r="264">
          <cell r="D264">
            <v>250</v>
          </cell>
          <cell r="E264">
            <v>2</v>
          </cell>
          <cell r="F264">
            <v>4</v>
          </cell>
          <cell r="G264" t="str">
            <v>CP2573</v>
          </cell>
          <cell r="H264" t="str">
            <v>CTRIC 2 Kazakhstan</v>
          </cell>
          <cell r="I264" t="str">
            <v>MR</v>
          </cell>
          <cell r="J264" t="str">
            <v>MR Non-Proliferation and Security Services</v>
          </cell>
          <cell r="K264" t="str">
            <v>DTRA</v>
          </cell>
          <cell r="L264" t="str">
            <v>DOD</v>
          </cell>
          <cell r="M264" t="str">
            <v>Khazakstan</v>
          </cell>
          <cell r="N264" t="str">
            <v>OCONUS</v>
          </cell>
          <cell r="O264">
            <v>0</v>
          </cell>
          <cell r="P264">
            <v>0</v>
          </cell>
          <cell r="Q264">
            <v>0</v>
          </cell>
          <cell r="R264" t="str">
            <v>CPFF</v>
          </cell>
          <cell r="S264">
            <v>0</v>
          </cell>
          <cell r="T264">
            <v>1</v>
          </cell>
          <cell r="U264" t="str">
            <v>CONTRACT</v>
          </cell>
          <cell r="V264" t="str">
            <v>Identified - Recompete</v>
          </cell>
          <cell r="W264">
            <v>0</v>
          </cell>
          <cell r="X264">
            <v>0</v>
          </cell>
          <cell r="Y264">
            <v>0</v>
          </cell>
          <cell r="Z264">
            <v>0</v>
          </cell>
          <cell r="AA264">
            <v>0</v>
          </cell>
          <cell r="AB264">
            <v>0</v>
          </cell>
          <cell r="AC264">
            <v>0</v>
          </cell>
          <cell r="AD264">
            <v>0</v>
          </cell>
          <cell r="AP264">
            <v>0</v>
          </cell>
          <cell r="AQ264">
            <v>0</v>
          </cell>
          <cell r="AR264">
            <v>0</v>
          </cell>
          <cell r="AS264">
            <v>0</v>
          </cell>
          <cell r="BI264">
            <v>0</v>
          </cell>
          <cell r="BJ264">
            <v>0</v>
          </cell>
          <cell r="BK264">
            <v>0</v>
          </cell>
          <cell r="BL264">
            <v>0</v>
          </cell>
          <cell r="BM264">
            <v>0</v>
          </cell>
          <cell r="BN264">
            <v>0</v>
          </cell>
          <cell r="BO264">
            <v>0</v>
          </cell>
          <cell r="BP264">
            <v>0</v>
          </cell>
          <cell r="BQ264">
            <v>0</v>
          </cell>
          <cell r="BR264">
            <v>0</v>
          </cell>
          <cell r="BT264">
            <v>0</v>
          </cell>
          <cell r="CA264" t="str">
            <v>CP2573 - CONTRACT - Identified - Recompete</v>
          </cell>
          <cell r="CC264" t="str">
            <v>CP2573 - CONTRACT - Identified - Recompete - MR</v>
          </cell>
          <cell r="CD264" t="str">
            <v/>
          </cell>
          <cell r="CF264" t="str">
            <v>CP2573 - Identified - Recompete - MR</v>
          </cell>
        </row>
        <row r="265">
          <cell r="D265">
            <v>251</v>
          </cell>
          <cell r="E265">
            <v>0</v>
          </cell>
          <cell r="F265">
            <v>5</v>
          </cell>
          <cell r="G265" t="str">
            <v>CP2573</v>
          </cell>
          <cell r="H265" t="str">
            <v>CTRIC 2 Kazakhstan</v>
          </cell>
          <cell r="I265" t="str">
            <v>MR</v>
          </cell>
          <cell r="J265" t="str">
            <v>MR Non-Proliferation and Security Services</v>
          </cell>
          <cell r="K265" t="str">
            <v>DTRA</v>
          </cell>
          <cell r="L265" t="str">
            <v>DOD</v>
          </cell>
          <cell r="M265" t="str">
            <v>Khazakstan</v>
          </cell>
          <cell r="N265" t="str">
            <v>OCONUS</v>
          </cell>
          <cell r="O265">
            <v>41907</v>
          </cell>
          <cell r="P265">
            <v>43732</v>
          </cell>
          <cell r="Q265" t="str">
            <v>Prime</v>
          </cell>
          <cell r="R265" t="str">
            <v>CPFF</v>
          </cell>
          <cell r="S265">
            <v>0</v>
          </cell>
          <cell r="T265">
            <v>1</v>
          </cell>
          <cell r="U265" t="str">
            <v>EBITA</v>
          </cell>
          <cell r="V265" t="str">
            <v>Base</v>
          </cell>
          <cell r="W265" t="str">
            <v>05 Won</v>
          </cell>
          <cell r="X265" t="str">
            <v>Active</v>
          </cell>
          <cell r="Y265">
            <v>1</v>
          </cell>
          <cell r="Z265">
            <v>0</v>
          </cell>
          <cell r="AA265">
            <v>1412972</v>
          </cell>
          <cell r="AB265">
            <v>0</v>
          </cell>
          <cell r="AC265">
            <v>0</v>
          </cell>
          <cell r="AD265">
            <v>1412972</v>
          </cell>
          <cell r="AT265">
            <v>5.2873557308834147E-2</v>
          </cell>
          <cell r="AU265">
            <v>5.4768202364642173E-2</v>
          </cell>
          <cell r="AV265">
            <v>6.6090839644915883E-2</v>
          </cell>
          <cell r="AW265">
            <v>5.119229557365601E-2</v>
          </cell>
          <cell r="AX265">
            <v>5.6406198004680268E-2</v>
          </cell>
          <cell r="AY265">
            <v>5.6406198004680268E-2</v>
          </cell>
          <cell r="AZ265">
            <v>5.6406198004680268E-2</v>
          </cell>
          <cell r="BA265">
            <v>5.6406198004680268E-2</v>
          </cell>
          <cell r="BF265">
            <v>142948.36000000004</v>
          </cell>
          <cell r="BG265">
            <v>390920.29000000021</v>
          </cell>
          <cell r="BH265">
            <v>410003.14000000013</v>
          </cell>
          <cell r="BI265">
            <v>35048.660000000047</v>
          </cell>
          <cell r="BJ265">
            <v>79878.400000000198</v>
          </cell>
          <cell r="BK265">
            <v>144061.75000000023</v>
          </cell>
          <cell r="BL265">
            <v>122334.84000000008</v>
          </cell>
          <cell r="BM265">
            <v>381323.65000000055</v>
          </cell>
          <cell r="BN265">
            <v>0</v>
          </cell>
          <cell r="BO265">
            <v>0</v>
          </cell>
          <cell r="BP265">
            <v>0</v>
          </cell>
          <cell r="BQ265">
            <v>0</v>
          </cell>
          <cell r="BR265">
            <v>381323.65000000055</v>
          </cell>
          <cell r="BT265">
            <v>0</v>
          </cell>
          <cell r="CA265" t="str">
            <v>CP2573 - EBITA - Base</v>
          </cell>
          <cell r="CC265" t="str">
            <v>CP2573 - EBITA - Base - MR</v>
          </cell>
          <cell r="CD265" t="str">
            <v/>
          </cell>
          <cell r="CF265" t="str">
            <v>CP2573 - Base - MR</v>
          </cell>
        </row>
        <row r="266">
          <cell r="D266">
            <v>252</v>
          </cell>
          <cell r="E266">
            <v>0</v>
          </cell>
          <cell r="F266">
            <v>0</v>
          </cell>
          <cell r="G266" t="str">
            <v>CP2573</v>
          </cell>
          <cell r="H266" t="str">
            <v>CTRIC 2 Kazakhstan</v>
          </cell>
          <cell r="I266" t="str">
            <v>MR</v>
          </cell>
          <cell r="J266" t="str">
            <v>MR Non-Proliferation and Security Services</v>
          </cell>
          <cell r="K266" t="str">
            <v>DTRA</v>
          </cell>
          <cell r="L266" t="str">
            <v>DOD</v>
          </cell>
          <cell r="M266" t="str">
            <v>Khazakstan</v>
          </cell>
          <cell r="N266" t="str">
            <v>OCONUS</v>
          </cell>
          <cell r="O266">
            <v>0</v>
          </cell>
          <cell r="P266">
            <v>0</v>
          </cell>
          <cell r="Q266">
            <v>0</v>
          </cell>
          <cell r="R266" t="str">
            <v>CPFF</v>
          </cell>
          <cell r="S266">
            <v>0</v>
          </cell>
          <cell r="T266">
            <v>1</v>
          </cell>
          <cell r="U266" t="str">
            <v>EBITA</v>
          </cell>
          <cell r="V266" t="str">
            <v>Identified - Recompete</v>
          </cell>
          <cell r="W266">
            <v>0</v>
          </cell>
          <cell r="X266">
            <v>0</v>
          </cell>
          <cell r="Y266">
            <v>0</v>
          </cell>
          <cell r="Z266">
            <v>0</v>
          </cell>
          <cell r="AA266">
            <v>0</v>
          </cell>
          <cell r="AB266">
            <v>0</v>
          </cell>
          <cell r="AC266">
            <v>0</v>
          </cell>
          <cell r="AD266">
            <v>0</v>
          </cell>
          <cell r="AX266">
            <v>0</v>
          </cell>
          <cell r="AY266">
            <v>0</v>
          </cell>
          <cell r="AZ266">
            <v>0</v>
          </cell>
          <cell r="BA266">
            <v>0</v>
          </cell>
          <cell r="BI266">
            <v>0</v>
          </cell>
          <cell r="BJ266">
            <v>0</v>
          </cell>
          <cell r="BK266">
            <v>0</v>
          </cell>
          <cell r="BL266">
            <v>0</v>
          </cell>
          <cell r="BM266">
            <v>0</v>
          </cell>
          <cell r="BN266">
            <v>0</v>
          </cell>
          <cell r="BO266">
            <v>0</v>
          </cell>
          <cell r="BP266">
            <v>0</v>
          </cell>
          <cell r="BQ266">
            <v>0</v>
          </cell>
          <cell r="BR266">
            <v>0</v>
          </cell>
          <cell r="BT266">
            <v>0</v>
          </cell>
          <cell r="CA266" t="str">
            <v>CP2573 - EBITA - Identified - Recompete</v>
          </cell>
          <cell r="CC266" t="str">
            <v>CP2573 - EBITA - Identified - Recompete - MR</v>
          </cell>
          <cell r="CD266" t="str">
            <v/>
          </cell>
          <cell r="CF266" t="str">
            <v>CP2573 - Identified - Recompete - MR</v>
          </cell>
        </row>
        <row r="267">
          <cell r="D267">
            <v>253</v>
          </cell>
          <cell r="E267">
            <v>1</v>
          </cell>
          <cell r="F267">
            <v>1</v>
          </cell>
          <cell r="G267" t="str">
            <v>C14133</v>
          </cell>
          <cell r="H267" t="str">
            <v>NSDD DICCE II Ukraine (14133)</v>
          </cell>
          <cell r="I267" t="str">
            <v>MR</v>
          </cell>
          <cell r="J267" t="str">
            <v>MR Non-Proliferation and Security Services</v>
          </cell>
          <cell r="K267" t="str">
            <v>DOE</v>
          </cell>
          <cell r="L267" t="str">
            <v>DOE</v>
          </cell>
          <cell r="M267" t="str">
            <v>US_State</v>
          </cell>
          <cell r="N267" t="str">
            <v>CONUS</v>
          </cell>
          <cell r="O267">
            <v>43384</v>
          </cell>
          <cell r="P267">
            <v>43799</v>
          </cell>
          <cell r="Q267" t="str">
            <v>Sub</v>
          </cell>
          <cell r="R267" t="str">
            <v>CPFF</v>
          </cell>
          <cell r="S267">
            <v>0</v>
          </cell>
          <cell r="T267">
            <v>1</v>
          </cell>
          <cell r="U267" t="str">
            <v>REVTOT</v>
          </cell>
          <cell r="V267" t="str">
            <v>Base</v>
          </cell>
          <cell r="W267" t="str">
            <v>05 Won</v>
          </cell>
          <cell r="X267" t="str">
            <v>Active</v>
          </cell>
          <cell r="Y267">
            <v>1</v>
          </cell>
          <cell r="Z267">
            <v>0</v>
          </cell>
          <cell r="AA267">
            <v>1039548.7000000002</v>
          </cell>
          <cell r="AB267">
            <v>0</v>
          </cell>
          <cell r="AC267">
            <v>0</v>
          </cell>
          <cell r="AD267">
            <v>1039548.7000000002</v>
          </cell>
          <cell r="AE267">
            <v>0</v>
          </cell>
          <cell r="AF267">
            <v>0</v>
          </cell>
          <cell r="AG267">
            <v>6.4578365224067271</v>
          </cell>
          <cell r="AH267">
            <v>-0.68847579467982278</v>
          </cell>
          <cell r="AI267">
            <v>0</v>
          </cell>
          <cell r="AJ267">
            <v>0</v>
          </cell>
          <cell r="AK267">
            <v>0</v>
          </cell>
          <cell r="BB267">
            <v>3408634</v>
          </cell>
          <cell r="BC267">
            <v>3408634</v>
          </cell>
          <cell r="BD267">
            <v>3408634</v>
          </cell>
          <cell r="BE267">
            <v>3408634</v>
          </cell>
          <cell r="BF267">
            <v>0</v>
          </cell>
          <cell r="BG267">
            <v>0</v>
          </cell>
          <cell r="BH267">
            <v>447445.54</v>
          </cell>
          <cell r="BI267">
            <v>482551.86</v>
          </cell>
          <cell r="BJ267">
            <v>739590.09</v>
          </cell>
          <cell r="BK267">
            <v>1006727.74</v>
          </cell>
          <cell r="BL267">
            <v>1108106</v>
          </cell>
          <cell r="BM267">
            <v>3336975.69</v>
          </cell>
          <cell r="BN267">
            <v>1039548.7000000002</v>
          </cell>
          <cell r="BO267">
            <v>0</v>
          </cell>
          <cell r="BP267">
            <v>0</v>
          </cell>
          <cell r="BQ267">
            <v>0</v>
          </cell>
          <cell r="BR267">
            <v>4376524.3900000006</v>
          </cell>
          <cell r="BT267">
            <v>0</v>
          </cell>
          <cell r="CA267" t="str">
            <v>C14133 - REVTOT - Base</v>
          </cell>
          <cell r="CC267" t="str">
            <v>C14133 - REVTOT - Base - MR</v>
          </cell>
          <cell r="CD267" t="str">
            <v>C14133 - REVTOT - Base - MR</v>
          </cell>
          <cell r="CF267" t="str">
            <v>C14133 - Base - MR</v>
          </cell>
        </row>
        <row r="268">
          <cell r="D268">
            <v>254</v>
          </cell>
          <cell r="E268">
            <v>1</v>
          </cell>
          <cell r="F268">
            <v>2</v>
          </cell>
          <cell r="G268" t="str">
            <v>C14133</v>
          </cell>
          <cell r="H268" t="str">
            <v>NSDD DICCE II Ukraine (14133)</v>
          </cell>
          <cell r="I268" t="str">
            <v>MR</v>
          </cell>
          <cell r="J268" t="str">
            <v>MR Non-Proliferation and Security Services</v>
          </cell>
          <cell r="K268" t="str">
            <v>DOE</v>
          </cell>
          <cell r="L268" t="str">
            <v>DOE</v>
          </cell>
          <cell r="M268" t="str">
            <v>US_State</v>
          </cell>
          <cell r="N268" t="str">
            <v>CONUS</v>
          </cell>
          <cell r="O268">
            <v>0</v>
          </cell>
          <cell r="P268">
            <v>0</v>
          </cell>
          <cell r="Q268">
            <v>0</v>
          </cell>
          <cell r="R268" t="str">
            <v>CPFF</v>
          </cell>
          <cell r="S268">
            <v>0</v>
          </cell>
          <cell r="T268">
            <v>1</v>
          </cell>
          <cell r="U268" t="str">
            <v>REVTOT</v>
          </cell>
          <cell r="V268" t="str">
            <v>Identified - Recompete</v>
          </cell>
          <cell r="W268">
            <v>0</v>
          </cell>
          <cell r="X268">
            <v>0</v>
          </cell>
          <cell r="Y268">
            <v>0</v>
          </cell>
          <cell r="Z268">
            <v>0</v>
          </cell>
          <cell r="AA268">
            <v>0</v>
          </cell>
          <cell r="AB268">
            <v>0</v>
          </cell>
          <cell r="AC268">
            <v>0</v>
          </cell>
          <cell r="AD268">
            <v>0</v>
          </cell>
          <cell r="AI268">
            <v>0</v>
          </cell>
          <cell r="AJ268">
            <v>0</v>
          </cell>
          <cell r="AK268">
            <v>0</v>
          </cell>
          <cell r="BB268">
            <v>0</v>
          </cell>
          <cell r="BC268">
            <v>0</v>
          </cell>
          <cell r="BD268">
            <v>0</v>
          </cell>
          <cell r="BE268">
            <v>0</v>
          </cell>
          <cell r="BI268">
            <v>0</v>
          </cell>
          <cell r="BJ268">
            <v>0</v>
          </cell>
          <cell r="BK268">
            <v>0</v>
          </cell>
          <cell r="BL268">
            <v>0</v>
          </cell>
          <cell r="BM268">
            <v>0</v>
          </cell>
          <cell r="BN268">
            <v>0</v>
          </cell>
          <cell r="BO268">
            <v>0</v>
          </cell>
          <cell r="BP268">
            <v>0</v>
          </cell>
          <cell r="BQ268">
            <v>0</v>
          </cell>
          <cell r="BR268">
            <v>0</v>
          </cell>
          <cell r="BT268">
            <v>0</v>
          </cell>
          <cell r="CA268" t="str">
            <v>C14133 - REVTOT - Identified - Recompete</v>
          </cell>
          <cell r="CC268" t="str">
            <v>C14133 - REVTOT - Identified - Recompete - MR</v>
          </cell>
          <cell r="CD268" t="str">
            <v/>
          </cell>
          <cell r="CF268" t="str">
            <v>C14133 - Identified - Recompete - MR</v>
          </cell>
        </row>
        <row r="269">
          <cell r="D269">
            <v>255</v>
          </cell>
          <cell r="E269">
            <v>2</v>
          </cell>
          <cell r="F269">
            <v>3</v>
          </cell>
          <cell r="G269" t="str">
            <v>C14133</v>
          </cell>
          <cell r="H269" t="str">
            <v>NSDD DICCE II Ukraine (14133)</v>
          </cell>
          <cell r="I269" t="str">
            <v>MR</v>
          </cell>
          <cell r="J269" t="str">
            <v>MR Non-Proliferation and Security Services</v>
          </cell>
          <cell r="K269" t="str">
            <v>DOE</v>
          </cell>
          <cell r="L269" t="str">
            <v>DOE</v>
          </cell>
          <cell r="M269" t="str">
            <v>US_State</v>
          </cell>
          <cell r="N269" t="str">
            <v>CONUS</v>
          </cell>
          <cell r="O269">
            <v>43384</v>
          </cell>
          <cell r="P269">
            <v>43799</v>
          </cell>
          <cell r="Q269" t="str">
            <v>Sub</v>
          </cell>
          <cell r="R269" t="str">
            <v>CPFF</v>
          </cell>
          <cell r="S269">
            <v>0</v>
          </cell>
          <cell r="T269">
            <v>1</v>
          </cell>
          <cell r="U269" t="str">
            <v>CONTRACT</v>
          </cell>
          <cell r="V269" t="str">
            <v>Base</v>
          </cell>
          <cell r="W269" t="str">
            <v>05 Won</v>
          </cell>
          <cell r="X269" t="str">
            <v>Active</v>
          </cell>
          <cell r="Y269">
            <v>1</v>
          </cell>
          <cell r="Z269">
            <v>0</v>
          </cell>
          <cell r="AA269">
            <v>1039548.7000000002</v>
          </cell>
          <cell r="AB269">
            <v>0</v>
          </cell>
          <cell r="AC269">
            <v>0</v>
          </cell>
          <cell r="AD269">
            <v>1039548.7000000002</v>
          </cell>
          <cell r="AL269">
            <v>0</v>
          </cell>
          <cell r="AM269">
            <v>0</v>
          </cell>
          <cell r="AN269">
            <v>0.15867135473067856</v>
          </cell>
          <cell r="AO269">
            <v>0.17881942076719176</v>
          </cell>
          <cell r="AP269">
            <v>0.19630578965063425</v>
          </cell>
          <cell r="AQ269">
            <v>0.19630578965063425</v>
          </cell>
          <cell r="AR269">
            <v>0.19630578965063425</v>
          </cell>
          <cell r="AS269">
            <v>0.19630578965063425</v>
          </cell>
          <cell r="BF269">
            <v>0</v>
          </cell>
          <cell r="BG269">
            <v>0</v>
          </cell>
          <cell r="BH269">
            <v>70996.790000000023</v>
          </cell>
          <cell r="BI269">
            <v>87301.21</v>
          </cell>
          <cell r="BJ269">
            <v>127036.88999999998</v>
          </cell>
          <cell r="BK269">
            <v>167061.90000000002</v>
          </cell>
          <cell r="BL269">
            <v>215316.06</v>
          </cell>
          <cell r="BM269">
            <v>596716.06000000006</v>
          </cell>
          <cell r="BN269">
            <v>204069.42843379034</v>
          </cell>
          <cell r="BO269">
            <v>0</v>
          </cell>
          <cell r="BP269">
            <v>0</v>
          </cell>
          <cell r="BQ269">
            <v>0</v>
          </cell>
          <cell r="BR269">
            <v>800785.48843379039</v>
          </cell>
          <cell r="BT269">
            <v>0</v>
          </cell>
          <cell r="CA269" t="str">
            <v>C14133 - CONTRACT - Base</v>
          </cell>
          <cell r="CC269" t="str">
            <v>C14133 - CONTRACT - Base - MR</v>
          </cell>
          <cell r="CD269" t="str">
            <v/>
          </cell>
          <cell r="CF269" t="str">
            <v>C14133 - Base - MR</v>
          </cell>
        </row>
        <row r="270">
          <cell r="D270">
            <v>256</v>
          </cell>
          <cell r="E270">
            <v>2</v>
          </cell>
          <cell r="F270">
            <v>4</v>
          </cell>
          <cell r="G270" t="str">
            <v>C14133</v>
          </cell>
          <cell r="H270" t="str">
            <v>NSDD DICCE II Ukraine (14133)</v>
          </cell>
          <cell r="I270" t="str">
            <v>MR</v>
          </cell>
          <cell r="J270" t="str">
            <v>MR Non-Proliferation and Security Services</v>
          </cell>
          <cell r="K270" t="str">
            <v>DOE</v>
          </cell>
          <cell r="L270" t="str">
            <v>DOE</v>
          </cell>
          <cell r="M270" t="str">
            <v>US_State</v>
          </cell>
          <cell r="N270" t="str">
            <v>CONUS</v>
          </cell>
          <cell r="O270">
            <v>0</v>
          </cell>
          <cell r="P270">
            <v>0</v>
          </cell>
          <cell r="Q270">
            <v>0</v>
          </cell>
          <cell r="R270" t="str">
            <v>CPFF</v>
          </cell>
          <cell r="S270">
            <v>0</v>
          </cell>
          <cell r="T270">
            <v>1</v>
          </cell>
          <cell r="U270" t="str">
            <v>CONTRACT</v>
          </cell>
          <cell r="V270" t="str">
            <v>Identified - Recompete</v>
          </cell>
          <cell r="W270">
            <v>0</v>
          </cell>
          <cell r="X270">
            <v>0</v>
          </cell>
          <cell r="Y270">
            <v>0</v>
          </cell>
          <cell r="Z270">
            <v>0</v>
          </cell>
          <cell r="AA270">
            <v>0</v>
          </cell>
          <cell r="AB270">
            <v>0</v>
          </cell>
          <cell r="AC270">
            <v>0</v>
          </cell>
          <cell r="AD270">
            <v>0</v>
          </cell>
          <cell r="AP270">
            <v>0</v>
          </cell>
          <cell r="AQ270">
            <v>0</v>
          </cell>
          <cell r="AR270">
            <v>0</v>
          </cell>
          <cell r="AS270">
            <v>0</v>
          </cell>
          <cell r="BI270">
            <v>0</v>
          </cell>
          <cell r="BJ270">
            <v>0</v>
          </cell>
          <cell r="BK270">
            <v>0</v>
          </cell>
          <cell r="BL270">
            <v>0</v>
          </cell>
          <cell r="BM270">
            <v>0</v>
          </cell>
          <cell r="BN270">
            <v>0</v>
          </cell>
          <cell r="BO270">
            <v>0</v>
          </cell>
          <cell r="BP270">
            <v>0</v>
          </cell>
          <cell r="BQ270">
            <v>0</v>
          </cell>
          <cell r="BR270">
            <v>0</v>
          </cell>
          <cell r="BT270">
            <v>0</v>
          </cell>
          <cell r="CA270" t="str">
            <v>C14133 - CONTRACT - Identified - Recompete</v>
          </cell>
          <cell r="CC270" t="str">
            <v>C14133 - CONTRACT - Identified - Recompete - MR</v>
          </cell>
          <cell r="CD270" t="str">
            <v/>
          </cell>
          <cell r="CF270" t="str">
            <v>C14133 - Identified - Recompete - MR</v>
          </cell>
        </row>
        <row r="271">
          <cell r="D271">
            <v>257</v>
          </cell>
          <cell r="E271">
            <v>0</v>
          </cell>
          <cell r="F271">
            <v>5</v>
          </cell>
          <cell r="G271" t="str">
            <v>C14133</v>
          </cell>
          <cell r="H271" t="str">
            <v>NSDD DICCE II Ukraine (14133)</v>
          </cell>
          <cell r="I271" t="str">
            <v>MR</v>
          </cell>
          <cell r="J271" t="str">
            <v>MR Non-Proliferation and Security Services</v>
          </cell>
          <cell r="K271" t="str">
            <v>DOE</v>
          </cell>
          <cell r="L271" t="str">
            <v>DOE</v>
          </cell>
          <cell r="M271" t="str">
            <v>US_State</v>
          </cell>
          <cell r="N271" t="str">
            <v>CONUS</v>
          </cell>
          <cell r="O271">
            <v>43384</v>
          </cell>
          <cell r="P271">
            <v>43799</v>
          </cell>
          <cell r="Q271" t="str">
            <v>Sub</v>
          </cell>
          <cell r="R271" t="str">
            <v>CPFF</v>
          </cell>
          <cell r="S271">
            <v>0</v>
          </cell>
          <cell r="T271">
            <v>1</v>
          </cell>
          <cell r="U271" t="str">
            <v>EBITA</v>
          </cell>
          <cell r="V271" t="str">
            <v>Base</v>
          </cell>
          <cell r="W271" t="str">
            <v>05 Won</v>
          </cell>
          <cell r="X271" t="str">
            <v>Active</v>
          </cell>
          <cell r="Y271">
            <v>1</v>
          </cell>
          <cell r="Z271">
            <v>0</v>
          </cell>
          <cell r="AA271">
            <v>1039548.7000000002</v>
          </cell>
          <cell r="AB271">
            <v>0</v>
          </cell>
          <cell r="AC271">
            <v>0</v>
          </cell>
          <cell r="AD271">
            <v>1039548.7000000002</v>
          </cell>
          <cell r="AT271">
            <v>0</v>
          </cell>
          <cell r="AU271">
            <v>0</v>
          </cell>
          <cell r="AV271">
            <v>3.4454382984798596E-2</v>
          </cell>
          <cell r="AW271">
            <v>6.8800740948760097E-2</v>
          </cell>
          <cell r="AX271">
            <v>5.6603342976638486E-2</v>
          </cell>
          <cell r="AY271">
            <v>5.6603342976638486E-2</v>
          </cell>
          <cell r="AZ271">
            <v>5.6603342976638486E-2</v>
          </cell>
          <cell r="BA271">
            <v>5.6603342976638486E-2</v>
          </cell>
          <cell r="BF271">
            <v>0</v>
          </cell>
          <cell r="BG271">
            <v>0</v>
          </cell>
          <cell r="BH271">
            <v>15416.460000000017</v>
          </cell>
          <cell r="BI271">
            <v>32841.520000000004</v>
          </cell>
          <cell r="BJ271">
            <v>47421.669999999984</v>
          </cell>
          <cell r="BK271">
            <v>71652.720000000016</v>
          </cell>
          <cell r="BL271">
            <v>77670.489999999991</v>
          </cell>
          <cell r="BM271">
            <v>229586.4</v>
          </cell>
          <cell r="BN271">
            <v>58841.931607018676</v>
          </cell>
          <cell r="BO271">
            <v>0</v>
          </cell>
          <cell r="BP271">
            <v>0</v>
          </cell>
          <cell r="BQ271">
            <v>0</v>
          </cell>
          <cell r="BR271">
            <v>288428.33160701866</v>
          </cell>
          <cell r="BT271">
            <v>0</v>
          </cell>
          <cell r="CA271" t="str">
            <v>C14133 - EBITA - Base</v>
          </cell>
          <cell r="CC271" t="str">
            <v>C14133 - EBITA - Base - MR</v>
          </cell>
          <cell r="CD271" t="str">
            <v/>
          </cell>
          <cell r="CF271" t="str">
            <v>C14133 - Base - MR</v>
          </cell>
        </row>
        <row r="272">
          <cell r="D272">
            <v>258</v>
          </cell>
          <cell r="E272">
            <v>0</v>
          </cell>
          <cell r="F272">
            <v>0</v>
          </cell>
          <cell r="G272" t="str">
            <v>C14133</v>
          </cell>
          <cell r="H272" t="str">
            <v>NSDD DICCE II Ukraine (14133)</v>
          </cell>
          <cell r="I272" t="str">
            <v>MR</v>
          </cell>
          <cell r="J272" t="str">
            <v>MR Non-Proliferation and Security Services</v>
          </cell>
          <cell r="K272" t="str">
            <v>DOE</v>
          </cell>
          <cell r="L272" t="str">
            <v>DOE</v>
          </cell>
          <cell r="M272" t="str">
            <v>US_State</v>
          </cell>
          <cell r="N272" t="str">
            <v>CONUS</v>
          </cell>
          <cell r="O272">
            <v>0</v>
          </cell>
          <cell r="P272">
            <v>0</v>
          </cell>
          <cell r="Q272">
            <v>0</v>
          </cell>
          <cell r="R272" t="str">
            <v>CPFF</v>
          </cell>
          <cell r="S272">
            <v>0</v>
          </cell>
          <cell r="T272">
            <v>1</v>
          </cell>
          <cell r="U272" t="str">
            <v>EBITA</v>
          </cell>
          <cell r="V272" t="str">
            <v>Identified - Recompete</v>
          </cell>
          <cell r="W272">
            <v>0</v>
          </cell>
          <cell r="X272">
            <v>0</v>
          </cell>
          <cell r="Y272">
            <v>0</v>
          </cell>
          <cell r="Z272">
            <v>0</v>
          </cell>
          <cell r="AA272">
            <v>0</v>
          </cell>
          <cell r="AB272">
            <v>0</v>
          </cell>
          <cell r="AC272">
            <v>0</v>
          </cell>
          <cell r="AD272">
            <v>0</v>
          </cell>
          <cell r="AX272">
            <v>0</v>
          </cell>
          <cell r="AY272">
            <v>0</v>
          </cell>
          <cell r="AZ272">
            <v>0</v>
          </cell>
          <cell r="BA272">
            <v>0</v>
          </cell>
          <cell r="BI272">
            <v>0</v>
          </cell>
          <cell r="BJ272">
            <v>0</v>
          </cell>
          <cell r="BK272">
            <v>0</v>
          </cell>
          <cell r="BL272">
            <v>0</v>
          </cell>
          <cell r="BM272">
            <v>0</v>
          </cell>
          <cell r="BN272">
            <v>0</v>
          </cell>
          <cell r="BO272">
            <v>0</v>
          </cell>
          <cell r="BP272">
            <v>0</v>
          </cell>
          <cell r="BQ272">
            <v>0</v>
          </cell>
          <cell r="BR272">
            <v>0</v>
          </cell>
          <cell r="BT272">
            <v>0</v>
          </cell>
          <cell r="CA272" t="str">
            <v>C14133 - EBITA - Identified - Recompete</v>
          </cell>
          <cell r="CC272" t="str">
            <v>C14133 - EBITA - Identified - Recompete - MR</v>
          </cell>
          <cell r="CD272" t="str">
            <v/>
          </cell>
          <cell r="CF272" t="str">
            <v>C14133 - Identified - Recompete - MR</v>
          </cell>
        </row>
        <row r="273">
          <cell r="D273">
            <v>259</v>
          </cell>
          <cell r="E273">
            <v>1</v>
          </cell>
          <cell r="F273">
            <v>1</v>
          </cell>
          <cell r="G273" t="str">
            <v>000060</v>
          </cell>
          <cell r="H273" t="str">
            <v>AEDC FSS</v>
          </cell>
          <cell r="I273" t="str">
            <v>MR</v>
          </cell>
          <cell r="J273" t="str">
            <v>MR Warfighter Support</v>
          </cell>
          <cell r="K273" t="str">
            <v>Air Force</v>
          </cell>
          <cell r="L273" t="str">
            <v>DOD</v>
          </cell>
          <cell r="M273" t="str">
            <v>US_State</v>
          </cell>
          <cell r="N273" t="str">
            <v>CONUS</v>
          </cell>
          <cell r="O273">
            <v>42339</v>
          </cell>
          <cell r="P273">
            <v>43799</v>
          </cell>
          <cell r="Q273" t="str">
            <v>Prime</v>
          </cell>
          <cell r="R273" t="str">
            <v>CPAF</v>
          </cell>
          <cell r="S273">
            <v>0</v>
          </cell>
          <cell r="T273">
            <v>1</v>
          </cell>
          <cell r="U273" t="str">
            <v>REVTOT</v>
          </cell>
          <cell r="V273" t="str">
            <v>Base</v>
          </cell>
          <cell r="W273" t="str">
            <v>05 Won</v>
          </cell>
          <cell r="X273" t="str">
            <v>Active</v>
          </cell>
          <cell r="Y273">
            <v>1</v>
          </cell>
          <cell r="Z273">
            <v>0</v>
          </cell>
          <cell r="AA273">
            <v>1505601.7645999982</v>
          </cell>
          <cell r="AB273">
            <v>1634060</v>
          </cell>
          <cell r="AC273">
            <v>0</v>
          </cell>
          <cell r="AD273">
            <v>3139661.7645999985</v>
          </cell>
          <cell r="AE273">
            <v>0.14382440029695176</v>
          </cell>
          <cell r="AF273">
            <v>-1.1658649320843928E-2</v>
          </cell>
          <cell r="AG273">
            <v>6.1986143204857624E-2</v>
          </cell>
          <cell r="AH273">
            <v>-0.8351304077048004</v>
          </cell>
          <cell r="AI273">
            <v>0</v>
          </cell>
          <cell r="AJ273">
            <v>0</v>
          </cell>
          <cell r="AK273">
            <v>0</v>
          </cell>
          <cell r="BB273">
            <v>1077338.8893499938</v>
          </cell>
          <cell r="BC273">
            <v>1077338.8893499938</v>
          </cell>
          <cell r="BD273">
            <v>1077338.8893499938</v>
          </cell>
          <cell r="BE273">
            <v>1077338.8893499938</v>
          </cell>
          <cell r="BF273">
            <v>5442852.9399999995</v>
          </cell>
          <cell r="BG273">
            <v>6225668</v>
          </cell>
          <cell r="BH273">
            <v>6153085.1200000001</v>
          </cell>
          <cell r="BI273">
            <v>1624058.94</v>
          </cell>
          <cell r="BJ273">
            <v>1602915.1500000001</v>
          </cell>
          <cell r="BK273">
            <v>1714990.6099999999</v>
          </cell>
          <cell r="BL273">
            <v>1592526.4353999998</v>
          </cell>
          <cell r="BM273">
            <v>6534491.1353999991</v>
          </cell>
          <cell r="BN273">
            <v>1077338.8893499938</v>
          </cell>
          <cell r="BO273">
            <v>0</v>
          </cell>
          <cell r="BP273">
            <v>0</v>
          </cell>
          <cell r="BQ273">
            <v>0</v>
          </cell>
          <cell r="BR273">
            <v>7611830.0247499924</v>
          </cell>
          <cell r="BT273">
            <v>0</v>
          </cell>
          <cell r="CA273" t="str">
            <v>000060 - REVTOT - Base</v>
          </cell>
          <cell r="CC273" t="str">
            <v>000060 - REVTOT - Base - MR</v>
          </cell>
          <cell r="CD273" t="str">
            <v>000060 - REVTOT - Base - MR</v>
          </cell>
          <cell r="CF273" t="str">
            <v>000060 - Base - MR</v>
          </cell>
        </row>
        <row r="274">
          <cell r="D274">
            <v>260</v>
          </cell>
          <cell r="E274">
            <v>1</v>
          </cell>
          <cell r="F274">
            <v>2</v>
          </cell>
          <cell r="G274" t="str">
            <v>000060</v>
          </cell>
          <cell r="H274" t="str">
            <v>AEDC FSS</v>
          </cell>
          <cell r="I274" t="str">
            <v>MR</v>
          </cell>
          <cell r="J274" t="str">
            <v>MR Warfighter Support</v>
          </cell>
          <cell r="K274" t="str">
            <v>Air Force</v>
          </cell>
          <cell r="L274" t="str">
            <v>DOD</v>
          </cell>
          <cell r="M274" t="str">
            <v>US_State</v>
          </cell>
          <cell r="N274" t="str">
            <v>CONUS</v>
          </cell>
          <cell r="O274">
            <v>43800</v>
          </cell>
          <cell r="P274">
            <v>46721</v>
          </cell>
          <cell r="Q274" t="str">
            <v>Prime</v>
          </cell>
          <cell r="R274" t="str">
            <v>CPAF</v>
          </cell>
          <cell r="S274">
            <v>0</v>
          </cell>
          <cell r="T274">
            <v>1</v>
          </cell>
          <cell r="U274" t="str">
            <v>REVTOT</v>
          </cell>
          <cell r="V274" t="str">
            <v>Identified - Recompete</v>
          </cell>
          <cell r="W274" t="str">
            <v>04 Submitted</v>
          </cell>
          <cell r="X274" t="str">
            <v>Priority 2</v>
          </cell>
          <cell r="Y274">
            <v>0.35</v>
          </cell>
          <cell r="Z274">
            <v>58000000</v>
          </cell>
          <cell r="AA274">
            <v>0</v>
          </cell>
          <cell r="AB274">
            <v>0</v>
          </cell>
          <cell r="AC274">
            <v>0</v>
          </cell>
          <cell r="AD274">
            <v>0</v>
          </cell>
          <cell r="AI274">
            <v>0</v>
          </cell>
          <cell r="AJ274">
            <v>0</v>
          </cell>
          <cell r="AK274">
            <v>0</v>
          </cell>
          <cell r="BB274">
            <v>7250000</v>
          </cell>
          <cell r="BC274">
            <v>7250000</v>
          </cell>
          <cell r="BD274">
            <v>7250000</v>
          </cell>
          <cell r="BE274">
            <v>7250000</v>
          </cell>
          <cell r="BI274">
            <v>0</v>
          </cell>
          <cell r="BJ274">
            <v>0</v>
          </cell>
          <cell r="BK274">
            <v>0</v>
          </cell>
          <cell r="BL274">
            <v>0</v>
          </cell>
          <cell r="BM274">
            <v>0</v>
          </cell>
          <cell r="BN274">
            <v>2107534.722222222</v>
          </cell>
          <cell r="BO274">
            <v>2537500</v>
          </cell>
          <cell r="BP274">
            <v>2537500</v>
          </cell>
          <cell r="BQ274">
            <v>2537500</v>
          </cell>
          <cell r="BR274">
            <v>9720034.722222222</v>
          </cell>
          <cell r="BT274">
            <v>0</v>
          </cell>
          <cell r="CA274" t="str">
            <v>000060 - REVTOT - Identified - Recompete</v>
          </cell>
          <cell r="CC274" t="str">
            <v>000060 - REVTOT - Identified - Recompete - MR</v>
          </cell>
          <cell r="CD274" t="str">
            <v/>
          </cell>
          <cell r="CF274" t="str">
            <v>000060 - Identified - Recompete - MR</v>
          </cell>
        </row>
        <row r="275">
          <cell r="D275">
            <v>261</v>
          </cell>
          <cell r="E275">
            <v>2</v>
          </cell>
          <cell r="F275">
            <v>3</v>
          </cell>
          <cell r="G275" t="str">
            <v>000060</v>
          </cell>
          <cell r="H275" t="str">
            <v>AEDC FSS</v>
          </cell>
          <cell r="I275" t="str">
            <v>MR</v>
          </cell>
          <cell r="J275" t="str">
            <v>MR Warfighter Support</v>
          </cell>
          <cell r="K275" t="str">
            <v>Air Force</v>
          </cell>
          <cell r="L275" t="str">
            <v>DOD</v>
          </cell>
          <cell r="M275" t="str">
            <v>US_State</v>
          </cell>
          <cell r="N275" t="str">
            <v>CONUS</v>
          </cell>
          <cell r="O275">
            <v>42339</v>
          </cell>
          <cell r="P275">
            <v>43799</v>
          </cell>
          <cell r="Q275" t="str">
            <v>Prime</v>
          </cell>
          <cell r="R275" t="str">
            <v>CPAF</v>
          </cell>
          <cell r="S275">
            <v>0</v>
          </cell>
          <cell r="T275">
            <v>1</v>
          </cell>
          <cell r="U275" t="str">
            <v>CONTRACT</v>
          </cell>
          <cell r="V275" t="str">
            <v>Base</v>
          </cell>
          <cell r="W275" t="str">
            <v>05 Won</v>
          </cell>
          <cell r="X275" t="str">
            <v>Active</v>
          </cell>
          <cell r="Y275">
            <v>1</v>
          </cell>
          <cell r="Z275">
            <v>0</v>
          </cell>
          <cell r="AA275">
            <v>1505601.7645999982</v>
          </cell>
          <cell r="AB275">
            <v>1634060</v>
          </cell>
          <cell r="AC275">
            <v>0</v>
          </cell>
          <cell r="AD275">
            <v>3139661.7645999985</v>
          </cell>
          <cell r="AL275">
            <v>7.7890976418701477E-2</v>
          </cell>
          <cell r="AM275">
            <v>1.8761816402673579E-2</v>
          </cell>
          <cell r="AN275">
            <v>-6.1101950105965494E-3</v>
          </cell>
          <cell r="AO275">
            <v>4.8223907235694814E-2</v>
          </cell>
          <cell r="AP275">
            <v>7.4003668170185929E-2</v>
          </cell>
          <cell r="AQ275">
            <v>7.4003668170185929E-2</v>
          </cell>
          <cell r="AR275">
            <v>7.4003668170185929E-2</v>
          </cell>
          <cell r="AS275">
            <v>7.4003668170185929E-2</v>
          </cell>
          <cell r="BF275">
            <v>423949.12999999995</v>
          </cell>
          <cell r="BG275">
            <v>116804.84000000003</v>
          </cell>
          <cell r="BH275">
            <v>-37596.549999999872</v>
          </cell>
          <cell r="BI275">
            <v>31915.459999999846</v>
          </cell>
          <cell r="BJ275">
            <v>29655.199999999895</v>
          </cell>
          <cell r="BK275">
            <v>127246.69</v>
          </cell>
          <cell r="BL275">
            <v>126301.34434599988</v>
          </cell>
          <cell r="BM275">
            <v>315118.69434599963</v>
          </cell>
          <cell r="BN275">
            <v>79727.02967429359</v>
          </cell>
          <cell r="BO275">
            <v>0</v>
          </cell>
          <cell r="BP275">
            <v>0</v>
          </cell>
          <cell r="BQ275">
            <v>0</v>
          </cell>
          <cell r="BR275">
            <v>394845.72402029322</v>
          </cell>
          <cell r="BT275">
            <v>0</v>
          </cell>
          <cell r="CA275" t="str">
            <v>000060 - CONTRACT - Base</v>
          </cell>
          <cell r="CC275" t="str">
            <v>000060 - CONTRACT - Base - MR</v>
          </cell>
          <cell r="CD275" t="str">
            <v/>
          </cell>
          <cell r="CF275" t="str">
            <v>000060 - Base - MR</v>
          </cell>
        </row>
        <row r="276">
          <cell r="D276">
            <v>262</v>
          </cell>
          <cell r="E276">
            <v>2</v>
          </cell>
          <cell r="F276">
            <v>4</v>
          </cell>
          <cell r="G276" t="str">
            <v>000060</v>
          </cell>
          <cell r="H276" t="str">
            <v>AEDC FSS</v>
          </cell>
          <cell r="I276" t="str">
            <v>MR</v>
          </cell>
          <cell r="J276" t="str">
            <v>MR Warfighter Support</v>
          </cell>
          <cell r="K276" t="str">
            <v>Air Force</v>
          </cell>
          <cell r="L276" t="str">
            <v>DOD</v>
          </cell>
          <cell r="M276" t="str">
            <v>US_State</v>
          </cell>
          <cell r="N276" t="str">
            <v>CONUS</v>
          </cell>
          <cell r="O276">
            <v>43800</v>
          </cell>
          <cell r="P276">
            <v>46721</v>
          </cell>
          <cell r="Q276" t="str">
            <v>Prime</v>
          </cell>
          <cell r="R276" t="str">
            <v>CPAF</v>
          </cell>
          <cell r="S276">
            <v>0</v>
          </cell>
          <cell r="T276">
            <v>1</v>
          </cell>
          <cell r="U276" t="str">
            <v>CONTRACT</v>
          </cell>
          <cell r="V276" t="str">
            <v>Identified - Recompete</v>
          </cell>
          <cell r="W276" t="str">
            <v>04 Submitted</v>
          </cell>
          <cell r="X276" t="str">
            <v>Priority 2</v>
          </cell>
          <cell r="Y276">
            <v>0.35</v>
          </cell>
          <cell r="Z276">
            <v>58000000</v>
          </cell>
          <cell r="AA276">
            <v>0</v>
          </cell>
          <cell r="AB276">
            <v>0</v>
          </cell>
          <cell r="AC276">
            <v>0</v>
          </cell>
          <cell r="AD276">
            <v>0</v>
          </cell>
          <cell r="AP276">
            <v>0.15</v>
          </cell>
          <cell r="AQ276">
            <v>0.15</v>
          </cell>
          <cell r="AR276">
            <v>0.15</v>
          </cell>
          <cell r="AS276">
            <v>0.15</v>
          </cell>
          <cell r="BI276">
            <v>0</v>
          </cell>
          <cell r="BJ276">
            <v>0</v>
          </cell>
          <cell r="BK276">
            <v>0</v>
          </cell>
          <cell r="BL276">
            <v>0</v>
          </cell>
          <cell r="BM276">
            <v>0</v>
          </cell>
          <cell r="BN276">
            <v>316130.20833333331</v>
          </cell>
          <cell r="BO276">
            <v>380625</v>
          </cell>
          <cell r="BP276">
            <v>380625</v>
          </cell>
          <cell r="BQ276">
            <v>380625</v>
          </cell>
          <cell r="BR276">
            <v>1458005.2083333333</v>
          </cell>
          <cell r="BT276">
            <v>0</v>
          </cell>
          <cell r="CA276" t="str">
            <v>000060 - CONTRACT - Identified - Recompete</v>
          </cell>
          <cell r="CC276" t="str">
            <v>000060 - CONTRACT - Identified - Recompete - MR</v>
          </cell>
          <cell r="CD276" t="str">
            <v/>
          </cell>
          <cell r="CF276" t="str">
            <v>000060 - Identified - Recompete - MR</v>
          </cell>
        </row>
        <row r="277">
          <cell r="D277">
            <v>263</v>
          </cell>
          <cell r="E277">
            <v>0</v>
          </cell>
          <cell r="F277">
            <v>5</v>
          </cell>
          <cell r="G277" t="str">
            <v>000060</v>
          </cell>
          <cell r="H277" t="str">
            <v>AEDC FSS</v>
          </cell>
          <cell r="I277" t="str">
            <v>MR</v>
          </cell>
          <cell r="J277" t="str">
            <v>MR Warfighter Support</v>
          </cell>
          <cell r="K277" t="str">
            <v>Air Force</v>
          </cell>
          <cell r="L277" t="str">
            <v>DOD</v>
          </cell>
          <cell r="M277" t="str">
            <v>US_State</v>
          </cell>
          <cell r="N277" t="str">
            <v>CONUS</v>
          </cell>
          <cell r="O277">
            <v>42339</v>
          </cell>
          <cell r="P277">
            <v>43799</v>
          </cell>
          <cell r="Q277" t="str">
            <v>Prime</v>
          </cell>
          <cell r="R277" t="str">
            <v>CPAF</v>
          </cell>
          <cell r="S277">
            <v>0</v>
          </cell>
          <cell r="T277">
            <v>1</v>
          </cell>
          <cell r="U277" t="str">
            <v>EBITA</v>
          </cell>
          <cell r="V277" t="str">
            <v>Base</v>
          </cell>
          <cell r="W277" t="str">
            <v>05 Won</v>
          </cell>
          <cell r="X277" t="str">
            <v>Active</v>
          </cell>
          <cell r="Y277">
            <v>1</v>
          </cell>
          <cell r="Z277">
            <v>0</v>
          </cell>
          <cell r="AA277">
            <v>1505601.7645999982</v>
          </cell>
          <cell r="AB277">
            <v>1634060</v>
          </cell>
          <cell r="AC277">
            <v>0</v>
          </cell>
          <cell r="AD277">
            <v>3139661.7645999985</v>
          </cell>
          <cell r="AT277">
            <v>-4.329023815219977E-3</v>
          </cell>
          <cell r="AU277">
            <v>-6.5870979628210188E-2</v>
          </cell>
          <cell r="AV277">
            <v>-8.4793900917138607E-2</v>
          </cell>
          <cell r="AW277">
            <v>-2.9419721604156349E-2</v>
          </cell>
          <cell r="AX277">
            <v>-1.0130458047290949E-16</v>
          </cell>
          <cell r="AY277">
            <v>-1.0130458047290949E-16</v>
          </cell>
          <cell r="AZ277">
            <v>-1.0130458047290949E-16</v>
          </cell>
          <cell r="BA277">
            <v>-1.0130458047290949E-16</v>
          </cell>
          <cell r="BF277">
            <v>-23562.240000000067</v>
          </cell>
          <cell r="BG277">
            <v>-410090.85000000003</v>
          </cell>
          <cell r="BH277">
            <v>-521744.08999999991</v>
          </cell>
          <cell r="BI277">
            <v>-99050.770000000135</v>
          </cell>
          <cell r="BJ277">
            <v>-93200.240000000107</v>
          </cell>
          <cell r="BK277">
            <v>8.1000000000130967</v>
          </cell>
          <cell r="BL277">
            <v>-2.8295267838984728E-5</v>
          </cell>
          <cell r="BM277">
            <v>-192242.9100282955</v>
          </cell>
          <cell r="BN277">
            <v>-1.0913936421275139E-10</v>
          </cell>
          <cell r="BO277">
            <v>0</v>
          </cell>
          <cell r="BP277">
            <v>0</v>
          </cell>
          <cell r="BQ277">
            <v>0</v>
          </cell>
          <cell r="BR277">
            <v>-192242.91002829562</v>
          </cell>
          <cell r="BT277">
            <v>0</v>
          </cell>
          <cell r="CA277" t="str">
            <v>000060 - EBITA - Base</v>
          </cell>
          <cell r="CC277" t="str">
            <v>000060 - EBITA - Base - MR</v>
          </cell>
          <cell r="CD277" t="str">
            <v/>
          </cell>
          <cell r="CF277" t="str">
            <v>000060 - Base - MR</v>
          </cell>
        </row>
        <row r="278">
          <cell r="D278">
            <v>264</v>
          </cell>
          <cell r="E278">
            <v>0</v>
          </cell>
          <cell r="F278">
            <v>0</v>
          </cell>
          <cell r="G278" t="str">
            <v>000060</v>
          </cell>
          <cell r="H278" t="str">
            <v>AEDC FSS</v>
          </cell>
          <cell r="I278" t="str">
            <v>MR</v>
          </cell>
          <cell r="J278" t="str">
            <v>MR Warfighter Support</v>
          </cell>
          <cell r="K278" t="str">
            <v>Air Force</v>
          </cell>
          <cell r="L278" t="str">
            <v>DOD</v>
          </cell>
          <cell r="M278" t="str">
            <v>US_State</v>
          </cell>
          <cell r="N278" t="str">
            <v>CONUS</v>
          </cell>
          <cell r="O278">
            <v>43800</v>
          </cell>
          <cell r="P278">
            <v>46721</v>
          </cell>
          <cell r="Q278" t="str">
            <v>Prime</v>
          </cell>
          <cell r="R278" t="str">
            <v>CPAF</v>
          </cell>
          <cell r="S278">
            <v>0</v>
          </cell>
          <cell r="T278">
            <v>1</v>
          </cell>
          <cell r="U278" t="str">
            <v>EBITA</v>
          </cell>
          <cell r="V278" t="str">
            <v>Identified - Recompete</v>
          </cell>
          <cell r="W278" t="str">
            <v>04 Submitted</v>
          </cell>
          <cell r="X278" t="str">
            <v>Priority 2</v>
          </cell>
          <cell r="Y278">
            <v>0.35</v>
          </cell>
          <cell r="Z278">
            <v>58000000</v>
          </cell>
          <cell r="AA278">
            <v>0</v>
          </cell>
          <cell r="AB278">
            <v>0</v>
          </cell>
          <cell r="AC278">
            <v>0</v>
          </cell>
          <cell r="AD278">
            <v>0</v>
          </cell>
          <cell r="AX278">
            <v>0.06</v>
          </cell>
          <cell r="AY278">
            <v>0.06</v>
          </cell>
          <cell r="AZ278">
            <v>0.06</v>
          </cell>
          <cell r="BA278">
            <v>0.06</v>
          </cell>
          <cell r="BI278">
            <v>0</v>
          </cell>
          <cell r="BJ278">
            <v>0</v>
          </cell>
          <cell r="BK278">
            <v>0</v>
          </cell>
          <cell r="BL278">
            <v>0</v>
          </cell>
          <cell r="BM278">
            <v>0</v>
          </cell>
          <cell r="BN278">
            <v>126452.08333333331</v>
          </cell>
          <cell r="BO278">
            <v>152250</v>
          </cell>
          <cell r="BP278">
            <v>152250</v>
          </cell>
          <cell r="BQ278">
            <v>152250</v>
          </cell>
          <cell r="BR278">
            <v>583202.08333333326</v>
          </cell>
          <cell r="BT278">
            <v>0</v>
          </cell>
          <cell r="CA278" t="str">
            <v>000060 - EBITA - Identified - Recompete</v>
          </cell>
          <cell r="CC278" t="str">
            <v>000060 - EBITA - Identified - Recompete - MR</v>
          </cell>
          <cell r="CD278" t="str">
            <v/>
          </cell>
          <cell r="CF278" t="str">
            <v>000060 - Identified - Recompete - MR</v>
          </cell>
        </row>
        <row r="279">
          <cell r="D279">
            <v>265</v>
          </cell>
          <cell r="E279">
            <v>1</v>
          </cell>
          <cell r="F279">
            <v>1</v>
          </cell>
          <cell r="G279" t="str">
            <v>HEMTTX</v>
          </cell>
          <cell r="H279" t="str">
            <v>HEMTT Trucks-GOI-MOD</v>
          </cell>
          <cell r="I279" t="str">
            <v>MR</v>
          </cell>
          <cell r="J279" t="str">
            <v>MR Maintenance &amp; Sustainment</v>
          </cell>
          <cell r="K279" t="str">
            <v>Foreign Government</v>
          </cell>
          <cell r="L279" t="str">
            <v>Non-US Gov't</v>
          </cell>
          <cell r="M279" t="str">
            <v>TX</v>
          </cell>
          <cell r="N279" t="str">
            <v>CONUS</v>
          </cell>
          <cell r="O279">
            <v>42912</v>
          </cell>
          <cell r="P279">
            <v>43738</v>
          </cell>
          <cell r="Q279" t="str">
            <v>Prime</v>
          </cell>
          <cell r="R279" t="str">
            <v>FFP</v>
          </cell>
          <cell r="S279">
            <v>0</v>
          </cell>
          <cell r="T279">
            <v>1</v>
          </cell>
          <cell r="U279" t="str">
            <v>REVTOT</v>
          </cell>
          <cell r="V279" t="str">
            <v>Base</v>
          </cell>
          <cell r="W279" t="str">
            <v>05 Won</v>
          </cell>
          <cell r="X279" t="str">
            <v>Active</v>
          </cell>
          <cell r="Y279">
            <v>1</v>
          </cell>
          <cell r="Z279">
            <v>0</v>
          </cell>
          <cell r="AA279">
            <v>620955.37999999803</v>
          </cell>
          <cell r="AB279">
            <v>0</v>
          </cell>
          <cell r="AC279">
            <v>0</v>
          </cell>
          <cell r="AD279">
            <v>620955.37999999803</v>
          </cell>
          <cell r="AE279">
            <v>0</v>
          </cell>
          <cell r="AF279">
            <v>2.1594825698267917</v>
          </cell>
          <cell r="AG279">
            <v>-0.61841748233195215</v>
          </cell>
          <cell r="AH279">
            <v>-1</v>
          </cell>
          <cell r="AI279">
            <v>0</v>
          </cell>
          <cell r="AJ279">
            <v>0</v>
          </cell>
          <cell r="AK279">
            <v>0</v>
          </cell>
          <cell r="BB279">
            <v>2813920</v>
          </cell>
          <cell r="BC279">
            <v>2813920</v>
          </cell>
          <cell r="BD279">
            <v>2813920</v>
          </cell>
          <cell r="BE279">
            <v>2813920</v>
          </cell>
          <cell r="BF279">
            <v>0</v>
          </cell>
          <cell r="BG279">
            <v>2469396</v>
          </cell>
          <cell r="BH279">
            <v>7802013.6200000001</v>
          </cell>
          <cell r="BI279">
            <v>981390</v>
          </cell>
          <cell r="BJ279">
            <v>839200</v>
          </cell>
          <cell r="BK279">
            <v>437621</v>
          </cell>
          <cell r="BL279">
            <v>718901</v>
          </cell>
          <cell r="BM279">
            <v>2977112</v>
          </cell>
          <cell r="BN279">
            <v>0</v>
          </cell>
          <cell r="BO279">
            <v>0</v>
          </cell>
          <cell r="BP279">
            <v>0</v>
          </cell>
          <cell r="BQ279">
            <v>0</v>
          </cell>
          <cell r="BR279">
            <v>2977112</v>
          </cell>
          <cell r="BT279">
            <v>0</v>
          </cell>
          <cell r="CA279" t="str">
            <v>HEMTTX - REVTOT - Base</v>
          </cell>
          <cell r="CC279" t="str">
            <v>HEMTTX - REVTOT - Base - MR</v>
          </cell>
          <cell r="CD279" t="str">
            <v>HEMTTX - REVTOT - Base - MR</v>
          </cell>
          <cell r="CF279" t="str">
            <v>HEMTTX - Base - MR</v>
          </cell>
        </row>
        <row r="280">
          <cell r="D280">
            <v>266</v>
          </cell>
          <cell r="E280">
            <v>1</v>
          </cell>
          <cell r="F280">
            <v>2</v>
          </cell>
          <cell r="G280" t="str">
            <v>HEMTTX</v>
          </cell>
          <cell r="H280" t="str">
            <v>HEMTT Trucks-GOI-MOD</v>
          </cell>
          <cell r="I280" t="str">
            <v>MR</v>
          </cell>
          <cell r="J280" t="str">
            <v>MR Maintenance &amp; Sustainment</v>
          </cell>
          <cell r="K280" t="str">
            <v>Foreign Government</v>
          </cell>
          <cell r="L280" t="str">
            <v>Non-US Gov't</v>
          </cell>
          <cell r="M280" t="str">
            <v>TX</v>
          </cell>
          <cell r="N280" t="str">
            <v>CONUS</v>
          </cell>
          <cell r="O280">
            <v>0</v>
          </cell>
          <cell r="P280">
            <v>0</v>
          </cell>
          <cell r="Q280">
            <v>0</v>
          </cell>
          <cell r="R280" t="str">
            <v>FFP</v>
          </cell>
          <cell r="S280">
            <v>0</v>
          </cell>
          <cell r="T280">
            <v>1</v>
          </cell>
          <cell r="U280" t="str">
            <v>REVTOT</v>
          </cell>
          <cell r="V280" t="str">
            <v>Identified - Recompete</v>
          </cell>
          <cell r="W280">
            <v>0</v>
          </cell>
          <cell r="X280">
            <v>0</v>
          </cell>
          <cell r="Y280">
            <v>0</v>
          </cell>
          <cell r="Z280">
            <v>0</v>
          </cell>
          <cell r="AA280">
            <v>0</v>
          </cell>
          <cell r="AB280">
            <v>0</v>
          </cell>
          <cell r="AC280">
            <v>0</v>
          </cell>
          <cell r="AD280">
            <v>0</v>
          </cell>
          <cell r="AI280">
            <v>0</v>
          </cell>
          <cell r="AJ280">
            <v>0</v>
          </cell>
          <cell r="AK280">
            <v>0</v>
          </cell>
          <cell r="BB280">
            <v>0</v>
          </cell>
          <cell r="BC280">
            <v>0</v>
          </cell>
          <cell r="BD280">
            <v>0</v>
          </cell>
          <cell r="BE280">
            <v>0</v>
          </cell>
          <cell r="BI280">
            <v>0</v>
          </cell>
          <cell r="BJ280">
            <v>0</v>
          </cell>
          <cell r="BK280">
            <v>0</v>
          </cell>
          <cell r="BL280">
            <v>0</v>
          </cell>
          <cell r="BM280">
            <v>0</v>
          </cell>
          <cell r="BN280">
            <v>0</v>
          </cell>
          <cell r="BO280">
            <v>0</v>
          </cell>
          <cell r="BP280">
            <v>0</v>
          </cell>
          <cell r="BQ280">
            <v>0</v>
          </cell>
          <cell r="BR280">
            <v>0</v>
          </cell>
          <cell r="BT280">
            <v>0</v>
          </cell>
          <cell r="CA280" t="str">
            <v>HEMTTX - REVTOT - Identified - Recompete</v>
          </cell>
          <cell r="CC280" t="str">
            <v>HEMTTX - REVTOT - Identified - Recompete - MR</v>
          </cell>
          <cell r="CD280" t="str">
            <v/>
          </cell>
          <cell r="CF280" t="str">
            <v>HEMTTX - Identified - Recompete - MR</v>
          </cell>
        </row>
        <row r="281">
          <cell r="D281">
            <v>267</v>
          </cell>
          <cell r="E281">
            <v>2</v>
          </cell>
          <cell r="F281">
            <v>3</v>
          </cell>
          <cell r="G281" t="str">
            <v>HEMTTX</v>
          </cell>
          <cell r="H281" t="str">
            <v>HEMTT Trucks-GOI-MOD</v>
          </cell>
          <cell r="I281" t="str">
            <v>MR</v>
          </cell>
          <cell r="J281" t="str">
            <v>MR Maintenance &amp; Sustainment</v>
          </cell>
          <cell r="K281" t="str">
            <v>Foreign Government</v>
          </cell>
          <cell r="L281" t="str">
            <v>Non-US Gov't</v>
          </cell>
          <cell r="M281" t="str">
            <v>TX</v>
          </cell>
          <cell r="N281" t="str">
            <v>CONUS</v>
          </cell>
          <cell r="O281">
            <v>42912</v>
          </cell>
          <cell r="P281">
            <v>43738</v>
          </cell>
          <cell r="Q281" t="str">
            <v>Prime</v>
          </cell>
          <cell r="R281" t="str">
            <v>FFP</v>
          </cell>
          <cell r="S281">
            <v>0</v>
          </cell>
          <cell r="T281">
            <v>1</v>
          </cell>
          <cell r="U281" t="str">
            <v>CONTRACT</v>
          </cell>
          <cell r="V281" t="str">
            <v>Base</v>
          </cell>
          <cell r="W281" t="str">
            <v>05 Won</v>
          </cell>
          <cell r="X281" t="str">
            <v>Active</v>
          </cell>
          <cell r="Y281">
            <v>1</v>
          </cell>
          <cell r="Z281">
            <v>0</v>
          </cell>
          <cell r="AA281">
            <v>620955.37999999803</v>
          </cell>
          <cell r="AB281">
            <v>0</v>
          </cell>
          <cell r="AC281">
            <v>0</v>
          </cell>
          <cell r="AD281">
            <v>620955.37999999803</v>
          </cell>
          <cell r="AL281">
            <v>0</v>
          </cell>
          <cell r="AM281">
            <v>0.13221524615735997</v>
          </cell>
          <cell r="AN281">
            <v>0.17853204285998156</v>
          </cell>
          <cell r="AO281">
            <v>0.23597967426149905</v>
          </cell>
          <cell r="AP281">
            <v>0.2</v>
          </cell>
          <cell r="AQ281">
            <v>0.2</v>
          </cell>
          <cell r="AR281">
            <v>0.2</v>
          </cell>
          <cell r="AS281">
            <v>0.2</v>
          </cell>
          <cell r="BF281">
            <v>0</v>
          </cell>
          <cell r="BG281">
            <v>326491.8000000001</v>
          </cell>
          <cell r="BH281">
            <v>1392909.43</v>
          </cell>
          <cell r="BI281">
            <v>310906.19999999995</v>
          </cell>
          <cell r="BJ281">
            <v>161758.21</v>
          </cell>
          <cell r="BK281">
            <v>67472.510000000038</v>
          </cell>
          <cell r="BL281">
            <v>162401</v>
          </cell>
          <cell r="BM281">
            <v>702537.91999999993</v>
          </cell>
          <cell r="BN281">
            <v>0</v>
          </cell>
          <cell r="BO281">
            <v>0</v>
          </cell>
          <cell r="BP281">
            <v>0</v>
          </cell>
          <cell r="BQ281">
            <v>0</v>
          </cell>
          <cell r="BR281">
            <v>702537.91999999993</v>
          </cell>
          <cell r="BT281">
            <v>0</v>
          </cell>
          <cell r="CA281" t="str">
            <v>HEMTTX - CONTRACT - Base</v>
          </cell>
          <cell r="CC281" t="str">
            <v>HEMTTX - CONTRACT - Base - MR</v>
          </cell>
          <cell r="CD281" t="str">
            <v/>
          </cell>
          <cell r="CF281" t="str">
            <v>HEMTTX - Base - MR</v>
          </cell>
        </row>
        <row r="282">
          <cell r="D282">
            <v>268</v>
          </cell>
          <cell r="E282">
            <v>2</v>
          </cell>
          <cell r="F282">
            <v>4</v>
          </cell>
          <cell r="G282" t="str">
            <v>HEMTTX</v>
          </cell>
          <cell r="H282" t="str">
            <v>HEMTT Trucks-GOI-MOD</v>
          </cell>
          <cell r="I282" t="str">
            <v>MR</v>
          </cell>
          <cell r="J282" t="str">
            <v>MR Maintenance &amp; Sustainment</v>
          </cell>
          <cell r="K282" t="str">
            <v>Foreign Government</v>
          </cell>
          <cell r="L282" t="str">
            <v>Non-US Gov't</v>
          </cell>
          <cell r="M282" t="str">
            <v>TX</v>
          </cell>
          <cell r="N282" t="str">
            <v>CONUS</v>
          </cell>
          <cell r="O282">
            <v>0</v>
          </cell>
          <cell r="P282">
            <v>0</v>
          </cell>
          <cell r="Q282">
            <v>0</v>
          </cell>
          <cell r="R282" t="str">
            <v>FFP</v>
          </cell>
          <cell r="S282">
            <v>0</v>
          </cell>
          <cell r="T282">
            <v>1</v>
          </cell>
          <cell r="U282" t="str">
            <v>CONTRACT</v>
          </cell>
          <cell r="V282" t="str">
            <v>Identified - Recompete</v>
          </cell>
          <cell r="W282">
            <v>0</v>
          </cell>
          <cell r="X282">
            <v>0</v>
          </cell>
          <cell r="Y282">
            <v>0</v>
          </cell>
          <cell r="Z282">
            <v>0</v>
          </cell>
          <cell r="AA282">
            <v>0</v>
          </cell>
          <cell r="AB282">
            <v>0</v>
          </cell>
          <cell r="AC282">
            <v>0</v>
          </cell>
          <cell r="AD282">
            <v>0</v>
          </cell>
          <cell r="AP282">
            <v>0</v>
          </cell>
          <cell r="AQ282">
            <v>0</v>
          </cell>
          <cell r="AR282">
            <v>0</v>
          </cell>
          <cell r="AS282">
            <v>0</v>
          </cell>
          <cell r="BI282">
            <v>0</v>
          </cell>
          <cell r="BJ282">
            <v>0</v>
          </cell>
          <cell r="BK282">
            <v>0</v>
          </cell>
          <cell r="BL282">
            <v>0</v>
          </cell>
          <cell r="BM282">
            <v>0</v>
          </cell>
          <cell r="BN282">
            <v>0</v>
          </cell>
          <cell r="BO282">
            <v>0</v>
          </cell>
          <cell r="BP282">
            <v>0</v>
          </cell>
          <cell r="BQ282">
            <v>0</v>
          </cell>
          <cell r="BR282">
            <v>0</v>
          </cell>
          <cell r="BT282">
            <v>0</v>
          </cell>
          <cell r="CA282" t="str">
            <v>HEMTTX - CONTRACT - Identified - Recompete</v>
          </cell>
          <cell r="CC282" t="str">
            <v>HEMTTX - CONTRACT - Identified - Recompete - MR</v>
          </cell>
          <cell r="CD282" t="str">
            <v/>
          </cell>
          <cell r="CF282" t="str">
            <v>HEMTTX - Identified - Recompete - MR</v>
          </cell>
        </row>
        <row r="283">
          <cell r="D283">
            <v>269</v>
          </cell>
          <cell r="E283">
            <v>0</v>
          </cell>
          <cell r="F283">
            <v>5</v>
          </cell>
          <cell r="G283" t="str">
            <v>HEMTTX</v>
          </cell>
          <cell r="H283" t="str">
            <v>HEMTT Trucks-GOI-MOD</v>
          </cell>
          <cell r="I283" t="str">
            <v>MR</v>
          </cell>
          <cell r="J283" t="str">
            <v>MR Maintenance &amp; Sustainment</v>
          </cell>
          <cell r="K283" t="str">
            <v>Foreign Government</v>
          </cell>
          <cell r="L283" t="str">
            <v>Non-US Gov't</v>
          </cell>
          <cell r="M283" t="str">
            <v>TX</v>
          </cell>
          <cell r="N283" t="str">
            <v>CONUS</v>
          </cell>
          <cell r="O283">
            <v>42912</v>
          </cell>
          <cell r="P283">
            <v>43738</v>
          </cell>
          <cell r="Q283" t="str">
            <v>Prime</v>
          </cell>
          <cell r="R283" t="str">
            <v>FFP</v>
          </cell>
          <cell r="S283">
            <v>0</v>
          </cell>
          <cell r="T283">
            <v>1</v>
          </cell>
          <cell r="U283" t="str">
            <v>EBITA</v>
          </cell>
          <cell r="V283" t="str">
            <v>Base</v>
          </cell>
          <cell r="W283" t="str">
            <v>05 Won</v>
          </cell>
          <cell r="X283" t="str">
            <v>Active</v>
          </cell>
          <cell r="Y283">
            <v>1</v>
          </cell>
          <cell r="Z283">
            <v>0</v>
          </cell>
          <cell r="AA283">
            <v>620955.37999999803</v>
          </cell>
          <cell r="AB283">
            <v>0</v>
          </cell>
          <cell r="AC283">
            <v>0</v>
          </cell>
          <cell r="AD283">
            <v>620955.37999999803</v>
          </cell>
          <cell r="AT283">
            <v>0</v>
          </cell>
          <cell r="AU283">
            <v>5.6603388034968921E-2</v>
          </cell>
          <cell r="AV283">
            <v>0.10978559147913919</v>
          </cell>
          <cell r="AW283">
            <v>0.17096122349444695</v>
          </cell>
          <cell r="AX283">
            <v>0.09</v>
          </cell>
          <cell r="AY283">
            <v>0.09</v>
          </cell>
          <cell r="AZ283">
            <v>0.09</v>
          </cell>
          <cell r="BA283">
            <v>0.09</v>
          </cell>
          <cell r="BF283">
            <v>0</v>
          </cell>
          <cell r="BG283">
            <v>139776.18000000011</v>
          </cell>
          <cell r="BH283">
            <v>856548.67999999993</v>
          </cell>
          <cell r="BI283">
            <v>252692.78999999998</v>
          </cell>
          <cell r="BJ283">
            <v>105721.26999999999</v>
          </cell>
          <cell r="BK283">
            <v>36098.650000000031</v>
          </cell>
          <cell r="BL283">
            <v>114458</v>
          </cell>
          <cell r="BM283">
            <v>508970.70999999996</v>
          </cell>
          <cell r="BN283">
            <v>0</v>
          </cell>
          <cell r="BO283">
            <v>0</v>
          </cell>
          <cell r="BP283">
            <v>0</v>
          </cell>
          <cell r="BQ283">
            <v>0</v>
          </cell>
          <cell r="BR283">
            <v>508970.70999999996</v>
          </cell>
          <cell r="BT283">
            <v>0</v>
          </cell>
          <cell r="CA283" t="str">
            <v>HEMTTX - EBITA - Base</v>
          </cell>
          <cell r="CC283" t="str">
            <v>HEMTTX - EBITA - Base - MR</v>
          </cell>
          <cell r="CD283" t="str">
            <v/>
          </cell>
          <cell r="CF283" t="str">
            <v>HEMTTX - Base - MR</v>
          </cell>
        </row>
        <row r="284">
          <cell r="D284">
            <v>270</v>
          </cell>
          <cell r="E284">
            <v>0</v>
          </cell>
          <cell r="F284">
            <v>0</v>
          </cell>
          <cell r="G284" t="str">
            <v>HEMTTX</v>
          </cell>
          <cell r="H284" t="str">
            <v>HEMTT Trucks-GOI-MOD</v>
          </cell>
          <cell r="I284" t="str">
            <v>MR</v>
          </cell>
          <cell r="J284" t="str">
            <v>MR Maintenance &amp; Sustainment</v>
          </cell>
          <cell r="K284" t="str">
            <v>Foreign Government</v>
          </cell>
          <cell r="L284" t="str">
            <v>Non-US Gov't</v>
          </cell>
          <cell r="M284" t="str">
            <v>TX</v>
          </cell>
          <cell r="N284" t="str">
            <v>CONUS</v>
          </cell>
          <cell r="O284">
            <v>0</v>
          </cell>
          <cell r="P284">
            <v>0</v>
          </cell>
          <cell r="Q284">
            <v>0</v>
          </cell>
          <cell r="R284" t="str">
            <v>FFP</v>
          </cell>
          <cell r="S284">
            <v>0</v>
          </cell>
          <cell r="T284">
            <v>1</v>
          </cell>
          <cell r="U284" t="str">
            <v>EBITA</v>
          </cell>
          <cell r="V284" t="str">
            <v>Identified - Recompete</v>
          </cell>
          <cell r="W284">
            <v>0</v>
          </cell>
          <cell r="X284">
            <v>0</v>
          </cell>
          <cell r="Y284">
            <v>0</v>
          </cell>
          <cell r="Z284">
            <v>0</v>
          </cell>
          <cell r="AA284">
            <v>0</v>
          </cell>
          <cell r="AB284">
            <v>0</v>
          </cell>
          <cell r="AC284">
            <v>0</v>
          </cell>
          <cell r="AD284">
            <v>0</v>
          </cell>
          <cell r="AX284">
            <v>0</v>
          </cell>
          <cell r="AY284">
            <v>0</v>
          </cell>
          <cell r="AZ284">
            <v>0</v>
          </cell>
          <cell r="BA284">
            <v>0</v>
          </cell>
          <cell r="BI284">
            <v>0</v>
          </cell>
          <cell r="BJ284">
            <v>0</v>
          </cell>
          <cell r="BK284">
            <v>0</v>
          </cell>
          <cell r="BL284">
            <v>0</v>
          </cell>
          <cell r="BM284">
            <v>0</v>
          </cell>
          <cell r="BN284">
            <v>0</v>
          </cell>
          <cell r="BO284">
            <v>0</v>
          </cell>
          <cell r="BP284">
            <v>0</v>
          </cell>
          <cell r="BQ284">
            <v>0</v>
          </cell>
          <cell r="BR284">
            <v>0</v>
          </cell>
          <cell r="BT284">
            <v>0</v>
          </cell>
          <cell r="CA284" t="str">
            <v>HEMTTX - EBITA - Identified - Recompete</v>
          </cell>
          <cell r="CC284" t="str">
            <v>HEMTTX - EBITA - Identified - Recompete - MR</v>
          </cell>
          <cell r="CD284" t="str">
            <v/>
          </cell>
          <cell r="CF284" t="str">
            <v>HEMTTX - Identified - Recompete - MR</v>
          </cell>
        </row>
        <row r="285">
          <cell r="D285">
            <v>271</v>
          </cell>
          <cell r="E285">
            <v>1</v>
          </cell>
          <cell r="F285">
            <v>1</v>
          </cell>
          <cell r="G285" t="str">
            <v>TBYHNA</v>
          </cell>
          <cell r="H285" t="str">
            <v>TOBYHANNA</v>
          </cell>
          <cell r="I285" t="str">
            <v>MR</v>
          </cell>
          <cell r="J285" t="str">
            <v>MR Maintenance &amp; Sustainment</v>
          </cell>
          <cell r="K285" t="str">
            <v>Army</v>
          </cell>
          <cell r="L285" t="str">
            <v>DOD</v>
          </cell>
          <cell r="M285" t="str">
            <v>PA</v>
          </cell>
          <cell r="N285" t="str">
            <v>CONUS</v>
          </cell>
          <cell r="O285">
            <v>42278</v>
          </cell>
          <cell r="P285">
            <v>44620</v>
          </cell>
          <cell r="Q285" t="str">
            <v>Prime</v>
          </cell>
          <cell r="R285" t="str">
            <v>FFP</v>
          </cell>
          <cell r="S285">
            <v>0</v>
          </cell>
          <cell r="T285">
            <v>1</v>
          </cell>
          <cell r="U285" t="str">
            <v>REVTOT</v>
          </cell>
          <cell r="V285" t="str">
            <v>Base</v>
          </cell>
          <cell r="W285" t="str">
            <v>05 Won</v>
          </cell>
          <cell r="X285" t="str">
            <v>Active</v>
          </cell>
          <cell r="Y285">
            <v>1</v>
          </cell>
          <cell r="Z285">
            <v>0</v>
          </cell>
          <cell r="AA285">
            <v>2056035.3279000034</v>
          </cell>
          <cell r="AB285">
            <v>8038555</v>
          </cell>
          <cell r="AC285">
            <v>0</v>
          </cell>
          <cell r="AD285">
            <v>10094590.327900004</v>
          </cell>
          <cell r="AE285">
            <v>0.45023828492768647</v>
          </cell>
          <cell r="AF285">
            <v>-0.15369592373533703</v>
          </cell>
          <cell r="AG285">
            <v>3.2258837261729179E-2</v>
          </cell>
          <cell r="AH285">
            <v>0.16744673058501713</v>
          </cell>
          <cell r="AI285">
            <v>0</v>
          </cell>
          <cell r="AJ285">
            <v>0</v>
          </cell>
          <cell r="AK285">
            <v>0</v>
          </cell>
          <cell r="BB285">
            <v>3624364.7385</v>
          </cell>
          <cell r="BC285">
            <v>3624364.7385</v>
          </cell>
          <cell r="BD285">
            <v>3624364.7385</v>
          </cell>
          <cell r="BE285">
            <v>3624364.7385</v>
          </cell>
          <cell r="BF285">
            <v>2450419.3600000003</v>
          </cell>
          <cell r="BG285">
            <v>3553691.9699999997</v>
          </cell>
          <cell r="BH285">
            <v>3007504</v>
          </cell>
          <cell r="BI285">
            <v>634116.4</v>
          </cell>
          <cell r="BJ285">
            <v>753263.98</v>
          </cell>
          <cell r="BK285">
            <v>798917.44</v>
          </cell>
          <cell r="BL285">
            <v>918224.76209999993</v>
          </cell>
          <cell r="BM285">
            <v>3104522.5820999998</v>
          </cell>
          <cell r="BN285">
            <v>3624364.7385</v>
          </cell>
          <cell r="BO285">
            <v>3624364.7385</v>
          </cell>
          <cell r="BP285">
            <v>2845860.8509000037</v>
          </cell>
          <cell r="BQ285">
            <v>0</v>
          </cell>
          <cell r="BR285">
            <v>13199112.910000002</v>
          </cell>
          <cell r="BT285">
            <v>0</v>
          </cell>
          <cell r="CA285" t="str">
            <v>TBYHNA - REVTOT - Base</v>
          </cell>
          <cell r="CC285" t="str">
            <v>TBYHNA - REVTOT - Base - MR</v>
          </cell>
          <cell r="CD285" t="str">
            <v>TBYHNA - REVTOT - Base - MR</v>
          </cell>
          <cell r="CF285" t="str">
            <v>TBYHNA - Base - MR</v>
          </cell>
        </row>
        <row r="286">
          <cell r="D286">
            <v>272</v>
          </cell>
          <cell r="E286">
            <v>1</v>
          </cell>
          <cell r="F286">
            <v>2</v>
          </cell>
          <cell r="G286" t="str">
            <v>TBYHNA</v>
          </cell>
          <cell r="H286" t="str">
            <v>TOBYHANNA</v>
          </cell>
          <cell r="I286" t="str">
            <v>MR</v>
          </cell>
          <cell r="J286" t="str">
            <v>MR Maintenance &amp; Sustainment</v>
          </cell>
          <cell r="K286" t="str">
            <v>Army</v>
          </cell>
          <cell r="L286" t="str">
            <v>DOD</v>
          </cell>
          <cell r="M286" t="str">
            <v>PA</v>
          </cell>
          <cell r="N286" t="str">
            <v>CONUS</v>
          </cell>
          <cell r="O286">
            <v>0</v>
          </cell>
          <cell r="P286">
            <v>0</v>
          </cell>
          <cell r="Q286">
            <v>0</v>
          </cell>
          <cell r="R286" t="str">
            <v>FFP</v>
          </cell>
          <cell r="S286">
            <v>0</v>
          </cell>
          <cell r="T286">
            <v>1</v>
          </cell>
          <cell r="U286" t="str">
            <v>REVTOT</v>
          </cell>
          <cell r="V286" t="str">
            <v>Identified - Recompete</v>
          </cell>
          <cell r="W286">
            <v>0</v>
          </cell>
          <cell r="X286">
            <v>0</v>
          </cell>
          <cell r="Y286">
            <v>0</v>
          </cell>
          <cell r="Z286">
            <v>0</v>
          </cell>
          <cell r="AA286">
            <v>0</v>
          </cell>
          <cell r="AB286">
            <v>0</v>
          </cell>
          <cell r="AC286">
            <v>0</v>
          </cell>
          <cell r="AD286">
            <v>0</v>
          </cell>
          <cell r="AI286">
            <v>0</v>
          </cell>
          <cell r="AJ286">
            <v>0</v>
          </cell>
          <cell r="AK286">
            <v>0</v>
          </cell>
          <cell r="BB286">
            <v>0</v>
          </cell>
          <cell r="BC286">
            <v>0</v>
          </cell>
          <cell r="BD286">
            <v>0</v>
          </cell>
          <cell r="BE286">
            <v>0</v>
          </cell>
          <cell r="BI286">
            <v>0</v>
          </cell>
          <cell r="BJ286">
            <v>0</v>
          </cell>
          <cell r="BK286">
            <v>0</v>
          </cell>
          <cell r="BL286">
            <v>0</v>
          </cell>
          <cell r="BM286">
            <v>0</v>
          </cell>
          <cell r="BN286">
            <v>0</v>
          </cell>
          <cell r="BO286">
            <v>0</v>
          </cell>
          <cell r="BP286">
            <v>0</v>
          </cell>
          <cell r="BQ286">
            <v>0</v>
          </cell>
          <cell r="BR286">
            <v>0</v>
          </cell>
          <cell r="BT286">
            <v>0</v>
          </cell>
          <cell r="CA286" t="str">
            <v>TBYHNA - REVTOT - Identified - Recompete</v>
          </cell>
          <cell r="CC286" t="str">
            <v>TBYHNA - REVTOT - Identified - Recompete - MR</v>
          </cell>
          <cell r="CD286" t="str">
            <v/>
          </cell>
          <cell r="CF286" t="str">
            <v>TBYHNA - Identified - Recompete - MR</v>
          </cell>
        </row>
        <row r="287">
          <cell r="D287">
            <v>273</v>
          </cell>
          <cell r="E287">
            <v>2</v>
          </cell>
          <cell r="F287">
            <v>3</v>
          </cell>
          <cell r="G287" t="str">
            <v>TBYHNA</v>
          </cell>
          <cell r="H287" t="str">
            <v>TOBYHANNA</v>
          </cell>
          <cell r="I287" t="str">
            <v>MR</v>
          </cell>
          <cell r="J287" t="str">
            <v>MR Maintenance &amp; Sustainment</v>
          </cell>
          <cell r="K287" t="str">
            <v>Army</v>
          </cell>
          <cell r="L287" t="str">
            <v>DOD</v>
          </cell>
          <cell r="M287" t="str">
            <v>PA</v>
          </cell>
          <cell r="N287" t="str">
            <v>CONUS</v>
          </cell>
          <cell r="O287">
            <v>42278</v>
          </cell>
          <cell r="P287">
            <v>44620</v>
          </cell>
          <cell r="Q287" t="str">
            <v>Prime</v>
          </cell>
          <cell r="R287" t="str">
            <v>FFP</v>
          </cell>
          <cell r="S287">
            <v>0</v>
          </cell>
          <cell r="T287">
            <v>1</v>
          </cell>
          <cell r="U287" t="str">
            <v>CONTRACT</v>
          </cell>
          <cell r="V287" t="str">
            <v>Base</v>
          </cell>
          <cell r="W287" t="str">
            <v>05 Won</v>
          </cell>
          <cell r="X287" t="str">
            <v>Active</v>
          </cell>
          <cell r="Y287">
            <v>1</v>
          </cell>
          <cell r="Z287">
            <v>0</v>
          </cell>
          <cell r="AA287">
            <v>2056035.3279000034</v>
          </cell>
          <cell r="AB287">
            <v>8038555</v>
          </cell>
          <cell r="AC287">
            <v>0</v>
          </cell>
          <cell r="AD287">
            <v>10094590.327900004</v>
          </cell>
          <cell r="AL287">
            <v>4.9771905164836754E-2</v>
          </cell>
          <cell r="AM287">
            <v>3.3858221538542656E-2</v>
          </cell>
          <cell r="AN287">
            <v>1.1619828269555113E-2</v>
          </cell>
          <cell r="AO287">
            <v>0.10632760090175028</v>
          </cell>
          <cell r="AP287">
            <v>9.4510184932922972E-2</v>
          </cell>
          <cell r="AQ287">
            <v>9.4510184932922972E-2</v>
          </cell>
          <cell r="AR287">
            <v>9.4510184932922972E-2</v>
          </cell>
          <cell r="AS287">
            <v>9.4510184932922972E-2</v>
          </cell>
          <cell r="BF287">
            <v>121962.04</v>
          </cell>
          <cell r="BG287">
            <v>120321.69000000006</v>
          </cell>
          <cell r="BH287">
            <v>34946.68000000008</v>
          </cell>
          <cell r="BI287">
            <v>-16383.899999999965</v>
          </cell>
          <cell r="BJ287">
            <v>97559.03</v>
          </cell>
          <cell r="BK287">
            <v>135749.81</v>
          </cell>
          <cell r="BL287">
            <v>113171.49809999997</v>
          </cell>
          <cell r="BM287">
            <v>330096.43810000003</v>
          </cell>
          <cell r="BN287">
            <v>342539.38170000003</v>
          </cell>
          <cell r="BO287">
            <v>342539.38170000003</v>
          </cell>
          <cell r="BP287">
            <v>268962.83531192486</v>
          </cell>
          <cell r="BQ287">
            <v>0</v>
          </cell>
          <cell r="BR287">
            <v>1284138.036811925</v>
          </cell>
          <cell r="BT287">
            <v>0</v>
          </cell>
          <cell r="CA287" t="str">
            <v>TBYHNA - CONTRACT - Base</v>
          </cell>
          <cell r="CC287" t="str">
            <v>TBYHNA - CONTRACT - Base - MR</v>
          </cell>
          <cell r="CD287" t="str">
            <v/>
          </cell>
          <cell r="CF287" t="str">
            <v>TBYHNA - Base - MR</v>
          </cell>
        </row>
        <row r="288">
          <cell r="D288">
            <v>274</v>
          </cell>
          <cell r="E288">
            <v>2</v>
          </cell>
          <cell r="F288">
            <v>4</v>
          </cell>
          <cell r="G288" t="str">
            <v>TBYHNA</v>
          </cell>
          <cell r="H288" t="str">
            <v>TOBYHANNA</v>
          </cell>
          <cell r="I288" t="str">
            <v>MR</v>
          </cell>
          <cell r="J288" t="str">
            <v>MR Maintenance &amp; Sustainment</v>
          </cell>
          <cell r="K288" t="str">
            <v>Army</v>
          </cell>
          <cell r="L288" t="str">
            <v>DOD</v>
          </cell>
          <cell r="M288" t="str">
            <v>PA</v>
          </cell>
          <cell r="N288" t="str">
            <v>CONUS</v>
          </cell>
          <cell r="O288">
            <v>0</v>
          </cell>
          <cell r="P288">
            <v>0</v>
          </cell>
          <cell r="Q288">
            <v>0</v>
          </cell>
          <cell r="R288" t="str">
            <v>FFP</v>
          </cell>
          <cell r="S288">
            <v>0</v>
          </cell>
          <cell r="T288">
            <v>1</v>
          </cell>
          <cell r="U288" t="str">
            <v>CONTRACT</v>
          </cell>
          <cell r="V288" t="str">
            <v>Identified - Recompete</v>
          </cell>
          <cell r="W288">
            <v>0</v>
          </cell>
          <cell r="X288">
            <v>0</v>
          </cell>
          <cell r="Y288">
            <v>0</v>
          </cell>
          <cell r="Z288">
            <v>0</v>
          </cell>
          <cell r="AA288">
            <v>0</v>
          </cell>
          <cell r="AB288">
            <v>0</v>
          </cell>
          <cell r="AC288">
            <v>0</v>
          </cell>
          <cell r="AD288">
            <v>0</v>
          </cell>
          <cell r="AP288">
            <v>0</v>
          </cell>
          <cell r="AQ288">
            <v>0</v>
          </cell>
          <cell r="AR288">
            <v>0</v>
          </cell>
          <cell r="AS288">
            <v>0</v>
          </cell>
          <cell r="BI288">
            <v>0</v>
          </cell>
          <cell r="BJ288">
            <v>0</v>
          </cell>
          <cell r="BK288">
            <v>0</v>
          </cell>
          <cell r="BL288">
            <v>0</v>
          </cell>
          <cell r="BM288">
            <v>0</v>
          </cell>
          <cell r="BN288">
            <v>0</v>
          </cell>
          <cell r="BO288">
            <v>0</v>
          </cell>
          <cell r="BP288">
            <v>0</v>
          </cell>
          <cell r="BQ288">
            <v>0</v>
          </cell>
          <cell r="BR288">
            <v>0</v>
          </cell>
          <cell r="BT288">
            <v>0</v>
          </cell>
          <cell r="CA288" t="str">
            <v>TBYHNA - CONTRACT - Identified - Recompete</v>
          </cell>
          <cell r="CC288" t="str">
            <v>TBYHNA - CONTRACT - Identified - Recompete - MR</v>
          </cell>
          <cell r="CD288" t="str">
            <v/>
          </cell>
          <cell r="CF288" t="str">
            <v>TBYHNA - Identified - Recompete - MR</v>
          </cell>
        </row>
        <row r="289">
          <cell r="D289">
            <v>275</v>
          </cell>
          <cell r="E289">
            <v>0</v>
          </cell>
          <cell r="F289">
            <v>5</v>
          </cell>
          <cell r="G289" t="str">
            <v>TBYHNA</v>
          </cell>
          <cell r="H289" t="str">
            <v>TOBYHANNA</v>
          </cell>
          <cell r="I289" t="str">
            <v>MR</v>
          </cell>
          <cell r="J289" t="str">
            <v>MR Maintenance &amp; Sustainment</v>
          </cell>
          <cell r="K289" t="str">
            <v>Army</v>
          </cell>
          <cell r="L289" t="str">
            <v>DOD</v>
          </cell>
          <cell r="M289" t="str">
            <v>PA</v>
          </cell>
          <cell r="N289" t="str">
            <v>CONUS</v>
          </cell>
          <cell r="O289">
            <v>42278</v>
          </cell>
          <cell r="P289">
            <v>44620</v>
          </cell>
          <cell r="Q289" t="str">
            <v>Prime</v>
          </cell>
          <cell r="R289" t="str">
            <v>FFP</v>
          </cell>
          <cell r="S289">
            <v>0</v>
          </cell>
          <cell r="T289">
            <v>1</v>
          </cell>
          <cell r="U289" t="str">
            <v>EBITA</v>
          </cell>
          <cell r="V289" t="str">
            <v>Base</v>
          </cell>
          <cell r="W289" t="str">
            <v>05 Won</v>
          </cell>
          <cell r="X289" t="str">
            <v>Active</v>
          </cell>
          <cell r="Y289">
            <v>1</v>
          </cell>
          <cell r="Z289">
            <v>0</v>
          </cell>
          <cell r="AA289">
            <v>2056035.3279000034</v>
          </cell>
          <cell r="AB289">
            <v>8038555</v>
          </cell>
          <cell r="AC289">
            <v>0</v>
          </cell>
          <cell r="AD289">
            <v>10094590.327900004</v>
          </cell>
          <cell r="AT289">
            <v>-3.4925258670826041E-2</v>
          </cell>
          <cell r="AU289">
            <v>-4.9723594923732226E-2</v>
          </cell>
          <cell r="AV289">
            <v>-7.0450503141475426E-2</v>
          </cell>
          <cell r="AW289">
            <v>3.1017359566076517E-2</v>
          </cell>
          <cell r="AX289">
            <v>2.1282419606448392E-2</v>
          </cell>
          <cell r="AY289">
            <v>2.2282419606448389E-2</v>
          </cell>
          <cell r="AZ289">
            <v>2.328241960644839E-2</v>
          </cell>
          <cell r="BA289">
            <v>2.4282419606448391E-2</v>
          </cell>
          <cell r="BF289">
            <v>-85581.530000000013</v>
          </cell>
          <cell r="BG289">
            <v>-176702.33999999997</v>
          </cell>
          <cell r="BH289">
            <v>-211880.16999999993</v>
          </cell>
          <cell r="BI289">
            <v>-72371.959999999963</v>
          </cell>
          <cell r="BJ289">
            <v>43467.009999999995</v>
          </cell>
          <cell r="BK289">
            <v>80263.97</v>
          </cell>
          <cell r="BL289">
            <v>44935.073209999966</v>
          </cell>
          <cell r="BM289">
            <v>96294.093209999992</v>
          </cell>
          <cell r="BN289">
            <v>77135.2511715726</v>
          </cell>
          <cell r="BO289">
            <v>80759.615910072593</v>
          </cell>
          <cell r="BP289">
            <v>66258.526472218145</v>
          </cell>
          <cell r="BQ289">
            <v>0</v>
          </cell>
          <cell r="BR289">
            <v>320447.48676386336</v>
          </cell>
          <cell r="BT289">
            <v>0</v>
          </cell>
          <cell r="CA289" t="str">
            <v>TBYHNA - EBITA - Base</v>
          </cell>
          <cell r="CC289" t="str">
            <v>TBYHNA - EBITA - Base - MR</v>
          </cell>
          <cell r="CD289" t="str">
            <v/>
          </cell>
          <cell r="CF289" t="str">
            <v>TBYHNA - Base - MR</v>
          </cell>
        </row>
        <row r="290">
          <cell r="D290">
            <v>276</v>
          </cell>
          <cell r="E290">
            <v>0</v>
          </cell>
          <cell r="F290">
            <v>0</v>
          </cell>
          <cell r="G290" t="str">
            <v>TBYHNA</v>
          </cell>
          <cell r="H290" t="str">
            <v>TOBYHANNA</v>
          </cell>
          <cell r="I290" t="str">
            <v>MR</v>
          </cell>
          <cell r="J290" t="str">
            <v>MR Maintenance &amp; Sustainment</v>
          </cell>
          <cell r="K290" t="str">
            <v>Army</v>
          </cell>
          <cell r="L290" t="str">
            <v>DOD</v>
          </cell>
          <cell r="M290" t="str">
            <v>PA</v>
          </cell>
          <cell r="N290" t="str">
            <v>CONUS</v>
          </cell>
          <cell r="O290">
            <v>0</v>
          </cell>
          <cell r="P290">
            <v>0</v>
          </cell>
          <cell r="Q290">
            <v>0</v>
          </cell>
          <cell r="R290" t="str">
            <v>FFP</v>
          </cell>
          <cell r="S290">
            <v>0</v>
          </cell>
          <cell r="T290">
            <v>1</v>
          </cell>
          <cell r="U290" t="str">
            <v>EBITA</v>
          </cell>
          <cell r="V290" t="str">
            <v>Identified - Recompete</v>
          </cell>
          <cell r="W290">
            <v>0</v>
          </cell>
          <cell r="X290">
            <v>0</v>
          </cell>
          <cell r="Y290">
            <v>0</v>
          </cell>
          <cell r="Z290">
            <v>0</v>
          </cell>
          <cell r="AA290">
            <v>0</v>
          </cell>
          <cell r="AB290">
            <v>0</v>
          </cell>
          <cell r="AC290">
            <v>0</v>
          </cell>
          <cell r="AD290">
            <v>0</v>
          </cell>
          <cell r="AX290">
            <v>0</v>
          </cell>
          <cell r="AY290">
            <v>0</v>
          </cell>
          <cell r="AZ290">
            <v>0</v>
          </cell>
          <cell r="BA290">
            <v>0</v>
          </cell>
          <cell r="BI290">
            <v>0</v>
          </cell>
          <cell r="BJ290">
            <v>0</v>
          </cell>
          <cell r="BK290">
            <v>0</v>
          </cell>
          <cell r="BL290">
            <v>0</v>
          </cell>
          <cell r="BM290">
            <v>0</v>
          </cell>
          <cell r="BN290">
            <v>0</v>
          </cell>
          <cell r="BO290">
            <v>0</v>
          </cell>
          <cell r="BP290">
            <v>0</v>
          </cell>
          <cell r="BQ290">
            <v>0</v>
          </cell>
          <cell r="BR290">
            <v>0</v>
          </cell>
          <cell r="BT290">
            <v>0</v>
          </cell>
          <cell r="CA290" t="str">
            <v>TBYHNA - EBITA - Identified - Recompete</v>
          </cell>
          <cell r="CC290" t="str">
            <v>TBYHNA - EBITA - Identified - Recompete - MR</v>
          </cell>
          <cell r="CD290" t="str">
            <v/>
          </cell>
          <cell r="CF290" t="str">
            <v>TBYHNA - Identified - Recompete - MR</v>
          </cell>
        </row>
        <row r="291">
          <cell r="D291">
            <v>277</v>
          </cell>
          <cell r="E291">
            <v>1</v>
          </cell>
          <cell r="F291">
            <v>1</v>
          </cell>
          <cell r="G291" t="str">
            <v>C26BRI</v>
          </cell>
          <cell r="H291" t="str">
            <v>C26 Bridge</v>
          </cell>
          <cell r="I291" t="str">
            <v>MR</v>
          </cell>
          <cell r="J291" t="str">
            <v>MR Logistics &amp; Supply</v>
          </cell>
          <cell r="K291" t="str">
            <v>Air Force</v>
          </cell>
          <cell r="L291" t="str">
            <v>DOD</v>
          </cell>
          <cell r="M291" t="str">
            <v>US_State</v>
          </cell>
          <cell r="N291" t="str">
            <v>CONUS</v>
          </cell>
          <cell r="O291">
            <v>42461</v>
          </cell>
          <cell r="P291">
            <v>43465</v>
          </cell>
          <cell r="Q291" t="str">
            <v>Prime</v>
          </cell>
          <cell r="R291" t="str">
            <v>FFP</v>
          </cell>
          <cell r="S291">
            <v>0</v>
          </cell>
          <cell r="T291">
            <v>1</v>
          </cell>
          <cell r="U291" t="str">
            <v>REVTOT</v>
          </cell>
          <cell r="V291" t="str">
            <v>Base</v>
          </cell>
          <cell r="W291" t="str">
            <v>05 Won</v>
          </cell>
          <cell r="X291" t="str">
            <v>Active</v>
          </cell>
          <cell r="Y291">
            <v>1</v>
          </cell>
          <cell r="Z291">
            <v>0</v>
          </cell>
          <cell r="AA291">
            <v>1593792.0399999998</v>
          </cell>
          <cell r="AB291">
            <v>0</v>
          </cell>
          <cell r="AC291">
            <v>0</v>
          </cell>
          <cell r="AD291">
            <v>1593792.0399999998</v>
          </cell>
          <cell r="AE291">
            <v>1.3148297003731497</v>
          </cell>
          <cell r="AF291">
            <v>0.30334681929875273</v>
          </cell>
          <cell r="AG291">
            <v>-0.6275224705529896</v>
          </cell>
          <cell r="AH291">
            <v>-1</v>
          </cell>
          <cell r="AI291">
            <v>0</v>
          </cell>
          <cell r="AJ291">
            <v>0</v>
          </cell>
          <cell r="AK291">
            <v>0</v>
          </cell>
          <cell r="BB291">
            <v>0</v>
          </cell>
          <cell r="BC291">
            <v>0</v>
          </cell>
          <cell r="BD291">
            <v>0</v>
          </cell>
          <cell r="BE291">
            <v>0</v>
          </cell>
          <cell r="BF291">
            <v>5602795.5999999996</v>
          </cell>
          <cell r="BG291">
            <v>12969517.66</v>
          </cell>
          <cell r="BH291">
            <v>16903779.590000004</v>
          </cell>
          <cell r="BI291">
            <v>3446696.25</v>
          </cell>
          <cell r="BJ291">
            <v>1464504.7000000002</v>
          </cell>
          <cell r="BK291">
            <v>726150.53</v>
          </cell>
          <cell r="BL291">
            <v>658926.58000000007</v>
          </cell>
          <cell r="BM291">
            <v>6296278.0600000005</v>
          </cell>
          <cell r="BN291">
            <v>0</v>
          </cell>
          <cell r="BO291">
            <v>0</v>
          </cell>
          <cell r="BP291">
            <v>0</v>
          </cell>
          <cell r="BQ291">
            <v>0</v>
          </cell>
          <cell r="BR291">
            <v>6296278.0600000005</v>
          </cell>
          <cell r="BT291">
            <v>0</v>
          </cell>
          <cell r="CA291" t="str">
            <v>C26BRI - REVTOT - Base</v>
          </cell>
          <cell r="CC291" t="str">
            <v>C26BRI - REVTOT - Base - MR</v>
          </cell>
          <cell r="CD291" t="str">
            <v>C26BRI - REVTOT - Base - MR</v>
          </cell>
          <cell r="CF291" t="str">
            <v>C26BRI - Base - MR</v>
          </cell>
        </row>
        <row r="292">
          <cell r="D292">
            <v>278</v>
          </cell>
          <cell r="E292">
            <v>1</v>
          </cell>
          <cell r="F292">
            <v>2</v>
          </cell>
          <cell r="G292" t="str">
            <v>C26BRI</v>
          </cell>
          <cell r="H292" t="str">
            <v>C26 Bridge</v>
          </cell>
          <cell r="I292" t="str">
            <v>MR</v>
          </cell>
          <cell r="J292" t="str">
            <v>MR Logistics &amp; Supply</v>
          </cell>
          <cell r="K292" t="str">
            <v>Air Force</v>
          </cell>
          <cell r="L292" t="str">
            <v>DOD</v>
          </cell>
          <cell r="M292" t="str">
            <v>US_State</v>
          </cell>
          <cell r="N292" t="str">
            <v>CONUS</v>
          </cell>
          <cell r="O292">
            <v>0</v>
          </cell>
          <cell r="P292">
            <v>0</v>
          </cell>
          <cell r="Q292">
            <v>0</v>
          </cell>
          <cell r="R292" t="str">
            <v>FFP</v>
          </cell>
          <cell r="S292">
            <v>0</v>
          </cell>
          <cell r="T292">
            <v>1</v>
          </cell>
          <cell r="U292" t="str">
            <v>REVTOT</v>
          </cell>
          <cell r="V292" t="str">
            <v>Identified - Recompete</v>
          </cell>
          <cell r="W292">
            <v>0</v>
          </cell>
          <cell r="X292">
            <v>0</v>
          </cell>
          <cell r="Y292">
            <v>0</v>
          </cell>
          <cell r="Z292">
            <v>0</v>
          </cell>
          <cell r="AA292">
            <v>0</v>
          </cell>
          <cell r="AB292">
            <v>0</v>
          </cell>
          <cell r="AC292">
            <v>0</v>
          </cell>
          <cell r="AD292">
            <v>0</v>
          </cell>
          <cell r="AI292">
            <v>0</v>
          </cell>
          <cell r="AJ292">
            <v>0</v>
          </cell>
          <cell r="AK292">
            <v>0</v>
          </cell>
          <cell r="BB292">
            <v>0</v>
          </cell>
          <cell r="BC292">
            <v>0</v>
          </cell>
          <cell r="BD292">
            <v>0</v>
          </cell>
          <cell r="BE292">
            <v>0</v>
          </cell>
          <cell r="BI292">
            <v>0</v>
          </cell>
          <cell r="BJ292">
            <v>0</v>
          </cell>
          <cell r="BK292">
            <v>0</v>
          </cell>
          <cell r="BL292">
            <v>0</v>
          </cell>
          <cell r="BM292">
            <v>0</v>
          </cell>
          <cell r="BN292">
            <v>0</v>
          </cell>
          <cell r="BO292">
            <v>0</v>
          </cell>
          <cell r="BP292">
            <v>0</v>
          </cell>
          <cell r="BQ292">
            <v>0</v>
          </cell>
          <cell r="BR292">
            <v>0</v>
          </cell>
          <cell r="BT292">
            <v>0</v>
          </cell>
          <cell r="CA292" t="str">
            <v>C26BRI - REVTOT - Identified - Recompete</v>
          </cell>
          <cell r="CC292" t="str">
            <v>C26BRI - REVTOT - Identified - Recompete - MR</v>
          </cell>
          <cell r="CD292" t="str">
            <v/>
          </cell>
          <cell r="CF292" t="str">
            <v>C26BRI - Identified - Recompete - MR</v>
          </cell>
        </row>
        <row r="293">
          <cell r="D293">
            <v>279</v>
          </cell>
          <cell r="E293">
            <v>2</v>
          </cell>
          <cell r="F293">
            <v>3</v>
          </cell>
          <cell r="G293" t="str">
            <v>C26BRI</v>
          </cell>
          <cell r="H293" t="str">
            <v>C26 Bridge</v>
          </cell>
          <cell r="I293" t="str">
            <v>MR</v>
          </cell>
          <cell r="J293" t="str">
            <v>MR Logistics &amp; Supply</v>
          </cell>
          <cell r="K293" t="str">
            <v>Air Force</v>
          </cell>
          <cell r="L293" t="str">
            <v>DOD</v>
          </cell>
          <cell r="M293" t="str">
            <v>US_State</v>
          </cell>
          <cell r="N293" t="str">
            <v>CONUS</v>
          </cell>
          <cell r="O293">
            <v>42461</v>
          </cell>
          <cell r="P293">
            <v>43465</v>
          </cell>
          <cell r="Q293" t="str">
            <v>Prime</v>
          </cell>
          <cell r="R293" t="str">
            <v>FFP</v>
          </cell>
          <cell r="S293">
            <v>0</v>
          </cell>
          <cell r="T293">
            <v>1</v>
          </cell>
          <cell r="U293" t="str">
            <v>CONTRACT</v>
          </cell>
          <cell r="V293" t="str">
            <v>Base</v>
          </cell>
          <cell r="W293" t="str">
            <v>05 Won</v>
          </cell>
          <cell r="X293" t="str">
            <v>Active</v>
          </cell>
          <cell r="Y293">
            <v>1</v>
          </cell>
          <cell r="Z293">
            <v>0</v>
          </cell>
          <cell r="AA293">
            <v>1593792.0399999998</v>
          </cell>
          <cell r="AB293">
            <v>0</v>
          </cell>
          <cell r="AC293">
            <v>0</v>
          </cell>
          <cell r="AD293">
            <v>1593792.0399999998</v>
          </cell>
          <cell r="AL293">
            <v>0.46571309151452894</v>
          </cell>
          <cell r="AM293">
            <v>0.24154647012524291</v>
          </cell>
          <cell r="AN293">
            <v>0.28318300676564839</v>
          </cell>
          <cell r="AO293">
            <v>6.8206285667123237E-2</v>
          </cell>
          <cell r="AP293">
            <v>0.26233477059777455</v>
          </cell>
          <cell r="AQ293">
            <v>0.26233477059777455</v>
          </cell>
          <cell r="AR293">
            <v>0.26233477059777455</v>
          </cell>
          <cell r="AS293">
            <v>0.26233477059777455</v>
          </cell>
          <cell r="BF293">
            <v>2609295.2599999998</v>
          </cell>
          <cell r="BG293">
            <v>3132741.2100000004</v>
          </cell>
          <cell r="BH293">
            <v>4786863.13</v>
          </cell>
          <cell r="BI293">
            <v>518500.8200000003</v>
          </cell>
          <cell r="BJ293">
            <v>-85686.929999999818</v>
          </cell>
          <cell r="BK293">
            <v>-62291.919999999976</v>
          </cell>
          <cell r="BL293">
            <v>58923.770000000019</v>
          </cell>
          <cell r="BM293">
            <v>429445.74000000051</v>
          </cell>
          <cell r="BN293">
            <v>0</v>
          </cell>
          <cell r="BO293">
            <v>0</v>
          </cell>
          <cell r="BP293">
            <v>0</v>
          </cell>
          <cell r="BQ293">
            <v>0</v>
          </cell>
          <cell r="BR293">
            <v>429445.74000000051</v>
          </cell>
          <cell r="BT293">
            <v>0</v>
          </cell>
          <cell r="CA293" t="str">
            <v>C26BRI - CONTRACT - Base</v>
          </cell>
          <cell r="CC293" t="str">
            <v>C26BRI - CONTRACT - Base - MR</v>
          </cell>
          <cell r="CD293" t="str">
            <v/>
          </cell>
          <cell r="CF293" t="str">
            <v>C26BRI - Base - MR</v>
          </cell>
        </row>
        <row r="294">
          <cell r="D294">
            <v>280</v>
          </cell>
          <cell r="E294">
            <v>2</v>
          </cell>
          <cell r="F294">
            <v>4</v>
          </cell>
          <cell r="G294" t="str">
            <v>C26BRI</v>
          </cell>
          <cell r="H294" t="str">
            <v>C26 Bridge</v>
          </cell>
          <cell r="I294" t="str">
            <v>MR</v>
          </cell>
          <cell r="J294" t="str">
            <v>MR Logistics &amp; Supply</v>
          </cell>
          <cell r="K294" t="str">
            <v>Air Force</v>
          </cell>
          <cell r="L294" t="str">
            <v>DOD</v>
          </cell>
          <cell r="M294" t="str">
            <v>US_State</v>
          </cell>
          <cell r="N294" t="str">
            <v>CONUS</v>
          </cell>
          <cell r="O294">
            <v>0</v>
          </cell>
          <cell r="P294">
            <v>0</v>
          </cell>
          <cell r="Q294">
            <v>0</v>
          </cell>
          <cell r="R294" t="str">
            <v>FFP</v>
          </cell>
          <cell r="S294">
            <v>0</v>
          </cell>
          <cell r="T294">
            <v>1</v>
          </cell>
          <cell r="U294" t="str">
            <v>CONTRACT</v>
          </cell>
          <cell r="V294" t="str">
            <v>Identified - Recompete</v>
          </cell>
          <cell r="W294">
            <v>0</v>
          </cell>
          <cell r="X294">
            <v>0</v>
          </cell>
          <cell r="Y294">
            <v>0</v>
          </cell>
          <cell r="Z294">
            <v>0</v>
          </cell>
          <cell r="AA294">
            <v>0</v>
          </cell>
          <cell r="AB294">
            <v>0</v>
          </cell>
          <cell r="AC294">
            <v>0</v>
          </cell>
          <cell r="AD294">
            <v>0</v>
          </cell>
          <cell r="AP294">
            <v>0</v>
          </cell>
          <cell r="AQ294">
            <v>0</v>
          </cell>
          <cell r="AR294">
            <v>0</v>
          </cell>
          <cell r="AS294">
            <v>0</v>
          </cell>
          <cell r="BI294">
            <v>0</v>
          </cell>
          <cell r="BJ294">
            <v>0</v>
          </cell>
          <cell r="BK294">
            <v>0</v>
          </cell>
          <cell r="BL294">
            <v>0</v>
          </cell>
          <cell r="BM294">
            <v>0</v>
          </cell>
          <cell r="BN294">
            <v>0</v>
          </cell>
          <cell r="BO294">
            <v>0</v>
          </cell>
          <cell r="BP294">
            <v>0</v>
          </cell>
          <cell r="BQ294">
            <v>0</v>
          </cell>
          <cell r="BR294">
            <v>0</v>
          </cell>
          <cell r="BT294">
            <v>0</v>
          </cell>
          <cell r="CA294" t="str">
            <v>C26BRI - CONTRACT - Identified - Recompete</v>
          </cell>
          <cell r="CC294" t="str">
            <v>C26BRI - CONTRACT - Identified - Recompete - MR</v>
          </cell>
          <cell r="CD294" t="str">
            <v/>
          </cell>
          <cell r="CF294" t="str">
            <v>C26BRI - Identified - Recompete - MR</v>
          </cell>
        </row>
        <row r="295">
          <cell r="D295">
            <v>281</v>
          </cell>
          <cell r="E295">
            <v>0</v>
          </cell>
          <cell r="F295">
            <v>5</v>
          </cell>
          <cell r="G295" t="str">
            <v>C26BRI</v>
          </cell>
          <cell r="H295" t="str">
            <v>C26 Bridge</v>
          </cell>
          <cell r="I295" t="str">
            <v>MR</v>
          </cell>
          <cell r="J295" t="str">
            <v>MR Logistics &amp; Supply</v>
          </cell>
          <cell r="K295" t="str">
            <v>Air Force</v>
          </cell>
          <cell r="L295" t="str">
            <v>DOD</v>
          </cell>
          <cell r="M295" t="str">
            <v>US_State</v>
          </cell>
          <cell r="N295" t="str">
            <v>CONUS</v>
          </cell>
          <cell r="O295">
            <v>42461</v>
          </cell>
          <cell r="P295">
            <v>43465</v>
          </cell>
          <cell r="Q295" t="str">
            <v>Prime</v>
          </cell>
          <cell r="R295" t="str">
            <v>FFP</v>
          </cell>
          <cell r="S295">
            <v>0</v>
          </cell>
          <cell r="T295">
            <v>1</v>
          </cell>
          <cell r="U295" t="str">
            <v>EBITA</v>
          </cell>
          <cell r="V295" t="str">
            <v>Base</v>
          </cell>
          <cell r="W295" t="str">
            <v>05 Won</v>
          </cell>
          <cell r="X295" t="str">
            <v>Active</v>
          </cell>
          <cell r="Y295">
            <v>1</v>
          </cell>
          <cell r="Z295">
            <v>0</v>
          </cell>
          <cell r="AA295">
            <v>1593792.0399999998</v>
          </cell>
          <cell r="AB295">
            <v>0</v>
          </cell>
          <cell r="AC295">
            <v>0</v>
          </cell>
          <cell r="AD295">
            <v>1593792.0399999998</v>
          </cell>
          <cell r="AT295">
            <v>0.36403801345171322</v>
          </cell>
          <cell r="AU295">
            <v>0.15387223814459114</v>
          </cell>
          <cell r="AV295">
            <v>0.19096360093985346</v>
          </cell>
          <cell r="AW295">
            <v>-3.5032096406491853E-2</v>
          </cell>
          <cell r="AX295">
            <v>0.16959742304725217</v>
          </cell>
          <cell r="AY295">
            <v>0.17059742304725217</v>
          </cell>
          <cell r="AZ295">
            <v>0.17159742304725217</v>
          </cell>
          <cell r="BA295">
            <v>0.17259742304725217</v>
          </cell>
          <cell r="BF295">
            <v>2039630.5799999996</v>
          </cell>
          <cell r="BG295">
            <v>1995648.7100000004</v>
          </cell>
          <cell r="BH295">
            <v>3228006.6200000006</v>
          </cell>
          <cell r="BI295">
            <v>122667.75000000029</v>
          </cell>
          <cell r="BJ295">
            <v>-217017.77999999985</v>
          </cell>
          <cell r="BK295">
            <v>-132811.05999999997</v>
          </cell>
          <cell r="BL295">
            <v>6589.2700000000223</v>
          </cell>
          <cell r="BM295">
            <v>-220571.81999999951</v>
          </cell>
          <cell r="BN295">
            <v>0</v>
          </cell>
          <cell r="BO295">
            <v>0</v>
          </cell>
          <cell r="BP295">
            <v>0</v>
          </cell>
          <cell r="BQ295">
            <v>0</v>
          </cell>
          <cell r="BR295">
            <v>-220571.81999999951</v>
          </cell>
          <cell r="BT295">
            <v>0</v>
          </cell>
          <cell r="CA295" t="str">
            <v>C26BRI - EBITA - Base</v>
          </cell>
          <cell r="CC295" t="str">
            <v>C26BRI - EBITA - Base - MR</v>
          </cell>
          <cell r="CD295" t="str">
            <v/>
          </cell>
          <cell r="CF295" t="str">
            <v>C26BRI - Base - MR</v>
          </cell>
        </row>
        <row r="296">
          <cell r="D296">
            <v>282</v>
          </cell>
          <cell r="E296">
            <v>0</v>
          </cell>
          <cell r="F296">
            <v>0</v>
          </cell>
          <cell r="G296" t="str">
            <v>C26BRI</v>
          </cell>
          <cell r="H296" t="str">
            <v>C26 Bridge</v>
          </cell>
          <cell r="I296" t="str">
            <v>MR</v>
          </cell>
          <cell r="J296" t="str">
            <v>MR Logistics &amp; Supply</v>
          </cell>
          <cell r="K296" t="str">
            <v>Air Force</v>
          </cell>
          <cell r="L296" t="str">
            <v>DOD</v>
          </cell>
          <cell r="M296" t="str">
            <v>US_State</v>
          </cell>
          <cell r="N296" t="str">
            <v>CONUS</v>
          </cell>
          <cell r="O296">
            <v>0</v>
          </cell>
          <cell r="P296">
            <v>0</v>
          </cell>
          <cell r="Q296">
            <v>0</v>
          </cell>
          <cell r="R296" t="str">
            <v>FFP</v>
          </cell>
          <cell r="S296">
            <v>0</v>
          </cell>
          <cell r="T296">
            <v>1</v>
          </cell>
          <cell r="U296" t="str">
            <v>EBITA</v>
          </cell>
          <cell r="V296" t="str">
            <v>Identified - Recompete</v>
          </cell>
          <cell r="W296">
            <v>0</v>
          </cell>
          <cell r="X296">
            <v>0</v>
          </cell>
          <cell r="Y296">
            <v>0</v>
          </cell>
          <cell r="Z296">
            <v>0</v>
          </cell>
          <cell r="AA296">
            <v>0</v>
          </cell>
          <cell r="AB296">
            <v>0</v>
          </cell>
          <cell r="AC296">
            <v>0</v>
          </cell>
          <cell r="AD296">
            <v>0</v>
          </cell>
          <cell r="AX296">
            <v>0</v>
          </cell>
          <cell r="AY296">
            <v>0</v>
          </cell>
          <cell r="AZ296">
            <v>0</v>
          </cell>
          <cell r="BA296">
            <v>0</v>
          </cell>
          <cell r="BI296">
            <v>0</v>
          </cell>
          <cell r="BJ296">
            <v>0</v>
          </cell>
          <cell r="BK296">
            <v>0</v>
          </cell>
          <cell r="BL296">
            <v>0</v>
          </cell>
          <cell r="BM296">
            <v>0</v>
          </cell>
          <cell r="BN296">
            <v>0</v>
          </cell>
          <cell r="BO296">
            <v>0</v>
          </cell>
          <cell r="BP296">
            <v>0</v>
          </cell>
          <cell r="BQ296">
            <v>0</v>
          </cell>
          <cell r="BR296">
            <v>0</v>
          </cell>
          <cell r="BT296">
            <v>0</v>
          </cell>
          <cell r="CA296" t="str">
            <v>C26BRI - EBITA - Identified - Recompete</v>
          </cell>
          <cell r="CC296" t="str">
            <v>C26BRI - EBITA - Identified - Recompete - MR</v>
          </cell>
          <cell r="CD296" t="str">
            <v/>
          </cell>
          <cell r="CF296" t="str">
            <v>C26BRI - Identified - Recompete - MR</v>
          </cell>
        </row>
        <row r="297">
          <cell r="D297">
            <v>283</v>
          </cell>
          <cell r="E297">
            <v>1</v>
          </cell>
          <cell r="F297">
            <v>1</v>
          </cell>
          <cell r="G297" t="str">
            <v>AF4ESS</v>
          </cell>
          <cell r="H297" t="str">
            <v>AFCAP IV - ESS</v>
          </cell>
          <cell r="I297" t="str">
            <v>MR</v>
          </cell>
          <cell r="J297" t="str">
            <v>MR Logistics &amp; Supply</v>
          </cell>
          <cell r="K297" t="str">
            <v>Air Force</v>
          </cell>
          <cell r="L297" t="str">
            <v>DOD</v>
          </cell>
          <cell r="M297" t="str">
            <v>QAT</v>
          </cell>
          <cell r="N297" t="str">
            <v>OCONUS</v>
          </cell>
          <cell r="O297">
            <v>43221</v>
          </cell>
          <cell r="P297">
            <v>43951</v>
          </cell>
          <cell r="Q297" t="str">
            <v>Sub</v>
          </cell>
          <cell r="R297" t="str">
            <v>FFP</v>
          </cell>
          <cell r="S297">
            <v>0</v>
          </cell>
          <cell r="T297">
            <v>1</v>
          </cell>
          <cell r="U297" t="str">
            <v>REVTOT</v>
          </cell>
          <cell r="V297" t="str">
            <v>Base</v>
          </cell>
          <cell r="W297" t="str">
            <v>05 Won</v>
          </cell>
          <cell r="X297" t="str">
            <v>Active</v>
          </cell>
          <cell r="Y297">
            <v>1</v>
          </cell>
          <cell r="Z297">
            <v>0</v>
          </cell>
          <cell r="AA297">
            <v>1636389.7599999998</v>
          </cell>
          <cell r="AB297">
            <v>0</v>
          </cell>
          <cell r="AC297">
            <v>0</v>
          </cell>
          <cell r="AD297">
            <v>1636389.7599999998</v>
          </cell>
          <cell r="AE297">
            <v>0</v>
          </cell>
          <cell r="AF297">
            <v>0</v>
          </cell>
          <cell r="AG297">
            <v>1.0505787947609075</v>
          </cell>
          <cell r="AH297">
            <v>-0.41137762798836186</v>
          </cell>
          <cell r="AI297">
            <v>0</v>
          </cell>
          <cell r="AJ297">
            <v>0</v>
          </cell>
          <cell r="AK297">
            <v>0</v>
          </cell>
          <cell r="BB297">
            <v>2825351.95</v>
          </cell>
          <cell r="BC297">
            <v>2825351.95</v>
          </cell>
          <cell r="BD297">
            <v>2825351.95</v>
          </cell>
          <cell r="BE297">
            <v>2825351.95</v>
          </cell>
          <cell r="BF297">
            <v>0</v>
          </cell>
          <cell r="BG297">
            <v>0</v>
          </cell>
          <cell r="BH297">
            <v>1355731</v>
          </cell>
          <cell r="BI297">
            <v>690507</v>
          </cell>
          <cell r="BJ297">
            <v>690507</v>
          </cell>
          <cell r="BK297">
            <v>697709</v>
          </cell>
          <cell r="BL297">
            <v>701310.24</v>
          </cell>
          <cell r="BM297">
            <v>2780033.24</v>
          </cell>
          <cell r="BN297">
            <v>1636389.7599999998</v>
          </cell>
          <cell r="BO297">
            <v>0</v>
          </cell>
          <cell r="BP297">
            <v>0</v>
          </cell>
          <cell r="BQ297">
            <v>0</v>
          </cell>
          <cell r="BR297">
            <v>4416423</v>
          </cell>
          <cell r="BT297">
            <v>0</v>
          </cell>
          <cell r="CA297" t="str">
            <v>AF4ESS - REVTOT - Base</v>
          </cell>
          <cell r="CC297" t="str">
            <v>AF4ESS - REVTOT - Base - MR</v>
          </cell>
          <cell r="CD297" t="str">
            <v>AF4ESS - REVTOT - Base - MR</v>
          </cell>
          <cell r="CF297" t="str">
            <v>AF4ESS - Base - MR</v>
          </cell>
        </row>
        <row r="298">
          <cell r="D298">
            <v>284</v>
          </cell>
          <cell r="E298">
            <v>1</v>
          </cell>
          <cell r="F298">
            <v>2</v>
          </cell>
          <cell r="G298" t="str">
            <v>AF4ESS</v>
          </cell>
          <cell r="H298" t="str">
            <v>AFCAP IV - ESS</v>
          </cell>
          <cell r="I298" t="str">
            <v>MR</v>
          </cell>
          <cell r="J298" t="str">
            <v>MR Logistics &amp; Supply</v>
          </cell>
          <cell r="K298" t="str">
            <v>Air Force</v>
          </cell>
          <cell r="L298" t="str">
            <v>DOD</v>
          </cell>
          <cell r="M298" t="str">
            <v>QAT</v>
          </cell>
          <cell r="N298" t="str">
            <v>OCONUS</v>
          </cell>
          <cell r="O298">
            <v>0</v>
          </cell>
          <cell r="P298">
            <v>0</v>
          </cell>
          <cell r="Q298">
            <v>0</v>
          </cell>
          <cell r="R298" t="str">
            <v>FFP</v>
          </cell>
          <cell r="S298">
            <v>0</v>
          </cell>
          <cell r="T298">
            <v>1</v>
          </cell>
          <cell r="U298" t="str">
            <v>REVTOT</v>
          </cell>
          <cell r="V298" t="str">
            <v>Identified - Recompete</v>
          </cell>
          <cell r="W298">
            <v>0</v>
          </cell>
          <cell r="X298">
            <v>0</v>
          </cell>
          <cell r="Y298">
            <v>0</v>
          </cell>
          <cell r="Z298">
            <v>0</v>
          </cell>
          <cell r="AA298">
            <v>0</v>
          </cell>
          <cell r="AB298">
            <v>0</v>
          </cell>
          <cell r="AC298">
            <v>0</v>
          </cell>
          <cell r="AD298">
            <v>0</v>
          </cell>
          <cell r="AI298">
            <v>0</v>
          </cell>
          <cell r="AJ298">
            <v>0</v>
          </cell>
          <cell r="AK298">
            <v>0</v>
          </cell>
          <cell r="BB298">
            <v>0</v>
          </cell>
          <cell r="BC298">
            <v>0</v>
          </cell>
          <cell r="BD298">
            <v>0</v>
          </cell>
          <cell r="BE298">
            <v>0</v>
          </cell>
          <cell r="BI298">
            <v>0</v>
          </cell>
          <cell r="BJ298">
            <v>0</v>
          </cell>
          <cell r="BK298">
            <v>0</v>
          </cell>
          <cell r="BL298">
            <v>0</v>
          </cell>
          <cell r="BM298">
            <v>0</v>
          </cell>
          <cell r="BN298">
            <v>0</v>
          </cell>
          <cell r="BO298">
            <v>0</v>
          </cell>
          <cell r="BP298">
            <v>0</v>
          </cell>
          <cell r="BQ298">
            <v>0</v>
          </cell>
          <cell r="BR298">
            <v>0</v>
          </cell>
          <cell r="BT298">
            <v>0</v>
          </cell>
          <cell r="CA298" t="str">
            <v>AF4ESS - REVTOT - Identified - Recompete</v>
          </cell>
          <cell r="CC298" t="str">
            <v>AF4ESS - REVTOT - Identified - Recompete - MR</v>
          </cell>
          <cell r="CD298" t="str">
            <v/>
          </cell>
          <cell r="CF298" t="str">
            <v>AF4ESS - Identified - Recompete - MR</v>
          </cell>
        </row>
        <row r="299">
          <cell r="D299">
            <v>285</v>
          </cell>
          <cell r="E299">
            <v>2</v>
          </cell>
          <cell r="F299">
            <v>3</v>
          </cell>
          <cell r="G299" t="str">
            <v>AF4ESS</v>
          </cell>
          <cell r="H299" t="str">
            <v>AFCAP IV - ESS</v>
          </cell>
          <cell r="I299" t="str">
            <v>MR</v>
          </cell>
          <cell r="J299" t="str">
            <v>MR Logistics &amp; Supply</v>
          </cell>
          <cell r="K299" t="str">
            <v>Air Force</v>
          </cell>
          <cell r="L299" t="str">
            <v>DOD</v>
          </cell>
          <cell r="M299" t="str">
            <v>QAT</v>
          </cell>
          <cell r="N299" t="str">
            <v>OCONUS</v>
          </cell>
          <cell r="O299">
            <v>43221</v>
          </cell>
          <cell r="P299">
            <v>43951</v>
          </cell>
          <cell r="Q299" t="str">
            <v>Sub</v>
          </cell>
          <cell r="R299" t="str">
            <v>FFP</v>
          </cell>
          <cell r="S299">
            <v>0</v>
          </cell>
          <cell r="T299">
            <v>1</v>
          </cell>
          <cell r="U299" t="str">
            <v>CONTRACT</v>
          </cell>
          <cell r="V299" t="str">
            <v>Base</v>
          </cell>
          <cell r="W299" t="str">
            <v>05 Won</v>
          </cell>
          <cell r="X299" t="str">
            <v>Active</v>
          </cell>
          <cell r="Y299">
            <v>1</v>
          </cell>
          <cell r="Z299">
            <v>0</v>
          </cell>
          <cell r="AA299">
            <v>1636389.7599999998</v>
          </cell>
          <cell r="AB299">
            <v>0</v>
          </cell>
          <cell r="AC299">
            <v>0</v>
          </cell>
          <cell r="AD299">
            <v>1636389.7599999998</v>
          </cell>
          <cell r="AL299">
            <v>0</v>
          </cell>
          <cell r="AM299">
            <v>0</v>
          </cell>
          <cell r="AN299">
            <v>0.13229211399606575</v>
          </cell>
          <cell r="AO299">
            <v>8.621467418137771E-2</v>
          </cell>
          <cell r="AP299">
            <v>0.11694610255688677</v>
          </cell>
          <cell r="AQ299">
            <v>0.11694610255688677</v>
          </cell>
          <cell r="AR299">
            <v>0.11694610255688677</v>
          </cell>
          <cell r="AS299">
            <v>0.11694610255688677</v>
          </cell>
          <cell r="BF299">
            <v>0</v>
          </cell>
          <cell r="BG299">
            <v>0</v>
          </cell>
          <cell r="BH299">
            <v>179352.52000000019</v>
          </cell>
          <cell r="BI299">
            <v>79551.420000000042</v>
          </cell>
          <cell r="BJ299">
            <v>69392.629999999917</v>
          </cell>
          <cell r="BK299">
            <v>20310.079999999987</v>
          </cell>
          <cell r="BL299">
            <v>70425.529999999912</v>
          </cell>
          <cell r="BM299">
            <v>239679.65999999986</v>
          </cell>
          <cell r="BN299">
            <v>191369.40469599931</v>
          </cell>
          <cell r="BO299">
            <v>0</v>
          </cell>
          <cell r="BP299">
            <v>0</v>
          </cell>
          <cell r="BQ299">
            <v>0</v>
          </cell>
          <cell r="BR299">
            <v>431049.06469599914</v>
          </cell>
          <cell r="BT299">
            <v>0</v>
          </cell>
          <cell r="CA299" t="str">
            <v>AF4ESS - CONTRACT - Base</v>
          </cell>
          <cell r="CC299" t="str">
            <v>AF4ESS - CONTRACT - Base - MR</v>
          </cell>
          <cell r="CD299" t="str">
            <v/>
          </cell>
          <cell r="CF299" t="str">
            <v>AF4ESS - Base - MR</v>
          </cell>
        </row>
        <row r="300">
          <cell r="D300">
            <v>286</v>
          </cell>
          <cell r="E300">
            <v>2</v>
          </cell>
          <cell r="F300">
            <v>4</v>
          </cell>
          <cell r="G300" t="str">
            <v>AF4ESS</v>
          </cell>
          <cell r="H300" t="str">
            <v>AFCAP IV - ESS</v>
          </cell>
          <cell r="I300" t="str">
            <v>MR</v>
          </cell>
          <cell r="J300" t="str">
            <v>MR Logistics &amp; Supply</v>
          </cell>
          <cell r="K300" t="str">
            <v>Air Force</v>
          </cell>
          <cell r="L300" t="str">
            <v>DOD</v>
          </cell>
          <cell r="M300" t="str">
            <v>QAT</v>
          </cell>
          <cell r="N300" t="str">
            <v>OCONUS</v>
          </cell>
          <cell r="O300">
            <v>0</v>
          </cell>
          <cell r="P300">
            <v>0</v>
          </cell>
          <cell r="Q300">
            <v>0</v>
          </cell>
          <cell r="R300" t="str">
            <v>FFP</v>
          </cell>
          <cell r="S300">
            <v>0</v>
          </cell>
          <cell r="T300">
            <v>1</v>
          </cell>
          <cell r="U300" t="str">
            <v>CONTRACT</v>
          </cell>
          <cell r="V300" t="str">
            <v>Identified - Recompete</v>
          </cell>
          <cell r="W300">
            <v>0</v>
          </cell>
          <cell r="X300">
            <v>0</v>
          </cell>
          <cell r="Y300">
            <v>0</v>
          </cell>
          <cell r="Z300">
            <v>0</v>
          </cell>
          <cell r="AA300">
            <v>0</v>
          </cell>
          <cell r="AB300">
            <v>0</v>
          </cell>
          <cell r="AC300">
            <v>0</v>
          </cell>
          <cell r="AD300">
            <v>0</v>
          </cell>
          <cell r="AP300">
            <v>0</v>
          </cell>
          <cell r="AQ300">
            <v>0</v>
          </cell>
          <cell r="AR300">
            <v>0</v>
          </cell>
          <cell r="AS300">
            <v>0</v>
          </cell>
          <cell r="BI300">
            <v>0</v>
          </cell>
          <cell r="BJ300">
            <v>0</v>
          </cell>
          <cell r="BK300">
            <v>0</v>
          </cell>
          <cell r="BL300">
            <v>0</v>
          </cell>
          <cell r="BM300">
            <v>0</v>
          </cell>
          <cell r="BN300">
            <v>0</v>
          </cell>
          <cell r="BO300">
            <v>0</v>
          </cell>
          <cell r="BP300">
            <v>0</v>
          </cell>
          <cell r="BQ300">
            <v>0</v>
          </cell>
          <cell r="BR300">
            <v>0</v>
          </cell>
          <cell r="BT300">
            <v>0</v>
          </cell>
          <cell r="CA300" t="str">
            <v>AF4ESS - CONTRACT - Identified - Recompete</v>
          </cell>
          <cell r="CC300" t="str">
            <v>AF4ESS - CONTRACT - Identified - Recompete - MR</v>
          </cell>
          <cell r="CD300" t="str">
            <v/>
          </cell>
          <cell r="CF300" t="str">
            <v>AF4ESS - Identified - Recompete - MR</v>
          </cell>
        </row>
        <row r="301">
          <cell r="D301">
            <v>287</v>
          </cell>
          <cell r="E301">
            <v>0</v>
          </cell>
          <cell r="F301">
            <v>5</v>
          </cell>
          <cell r="G301" t="str">
            <v>AF4ESS</v>
          </cell>
          <cell r="H301" t="str">
            <v>AFCAP IV - ESS</v>
          </cell>
          <cell r="I301" t="str">
            <v>MR</v>
          </cell>
          <cell r="J301" t="str">
            <v>MR Logistics &amp; Supply</v>
          </cell>
          <cell r="K301" t="str">
            <v>Air Force</v>
          </cell>
          <cell r="L301" t="str">
            <v>DOD</v>
          </cell>
          <cell r="M301" t="str">
            <v>QAT</v>
          </cell>
          <cell r="N301" t="str">
            <v>OCONUS</v>
          </cell>
          <cell r="O301">
            <v>43221</v>
          </cell>
          <cell r="P301">
            <v>43951</v>
          </cell>
          <cell r="Q301" t="str">
            <v>Sub</v>
          </cell>
          <cell r="R301" t="str">
            <v>FFP</v>
          </cell>
          <cell r="S301">
            <v>0</v>
          </cell>
          <cell r="T301">
            <v>1</v>
          </cell>
          <cell r="U301" t="str">
            <v>EBITA</v>
          </cell>
          <cell r="V301" t="str">
            <v>Base</v>
          </cell>
          <cell r="W301" t="str">
            <v>05 Won</v>
          </cell>
          <cell r="X301" t="str">
            <v>Active</v>
          </cell>
          <cell r="Y301">
            <v>1</v>
          </cell>
          <cell r="Z301">
            <v>0</v>
          </cell>
          <cell r="AA301">
            <v>1636389.7599999998</v>
          </cell>
          <cell r="AB301">
            <v>0</v>
          </cell>
          <cell r="AC301">
            <v>0</v>
          </cell>
          <cell r="AD301">
            <v>1636389.7599999998</v>
          </cell>
          <cell r="AT301">
            <v>0</v>
          </cell>
          <cell r="AU301">
            <v>0</v>
          </cell>
          <cell r="AV301">
            <v>5.6513025076508683E-2</v>
          </cell>
          <cell r="AW301">
            <v>1.1479952664163054E-2</v>
          </cell>
          <cell r="AX301">
            <v>4.3686406288630034E-2</v>
          </cell>
          <cell r="AY301">
            <v>4.4686406288630035E-2</v>
          </cell>
          <cell r="AZ301">
            <v>4.5686406288630035E-2</v>
          </cell>
          <cell r="BA301">
            <v>4.6686406288630036E-2</v>
          </cell>
          <cell r="BF301">
            <v>0</v>
          </cell>
          <cell r="BG301">
            <v>0</v>
          </cell>
          <cell r="BH301">
            <v>76616.460000000196</v>
          </cell>
          <cell r="BI301">
            <v>24438.580000000038</v>
          </cell>
          <cell r="BJ301">
            <v>15319.389999999919</v>
          </cell>
          <cell r="BK301">
            <v>-40080.110000000015</v>
          </cell>
          <cell r="BL301">
            <v>32236.78999999991</v>
          </cell>
          <cell r="BM301">
            <v>31914.649999999852</v>
          </cell>
          <cell r="BN301">
            <v>71487.987901913788</v>
          </cell>
          <cell r="BO301">
            <v>0</v>
          </cell>
          <cell r="BP301">
            <v>0</v>
          </cell>
          <cell r="BQ301">
            <v>0</v>
          </cell>
          <cell r="BR301">
            <v>103402.63790191364</v>
          </cell>
          <cell r="BT301">
            <v>0</v>
          </cell>
          <cell r="CA301" t="str">
            <v>AF4ESS - EBITA - Base</v>
          </cell>
          <cell r="CC301" t="str">
            <v>AF4ESS - EBITA - Base - MR</v>
          </cell>
          <cell r="CD301" t="str">
            <v/>
          </cell>
          <cell r="CF301" t="str">
            <v>AF4ESS - Base - MR</v>
          </cell>
        </row>
        <row r="302">
          <cell r="D302">
            <v>288</v>
          </cell>
          <cell r="E302">
            <v>0</v>
          </cell>
          <cell r="F302">
            <v>0</v>
          </cell>
          <cell r="G302" t="str">
            <v>AF4ESS</v>
          </cell>
          <cell r="H302" t="str">
            <v>AFCAP IV - ESS</v>
          </cell>
          <cell r="I302" t="str">
            <v>MR</v>
          </cell>
          <cell r="J302" t="str">
            <v>MR Logistics &amp; Supply</v>
          </cell>
          <cell r="K302" t="str">
            <v>Air Force</v>
          </cell>
          <cell r="L302" t="str">
            <v>DOD</v>
          </cell>
          <cell r="M302" t="str">
            <v>QAT</v>
          </cell>
          <cell r="N302" t="str">
            <v>OCONUS</v>
          </cell>
          <cell r="O302">
            <v>0</v>
          </cell>
          <cell r="P302">
            <v>0</v>
          </cell>
          <cell r="Q302">
            <v>0</v>
          </cell>
          <cell r="R302" t="str">
            <v>FFP</v>
          </cell>
          <cell r="S302">
            <v>0</v>
          </cell>
          <cell r="T302">
            <v>1</v>
          </cell>
          <cell r="U302" t="str">
            <v>EBITA</v>
          </cell>
          <cell r="V302" t="str">
            <v>Identified - Recompete</v>
          </cell>
          <cell r="W302">
            <v>0</v>
          </cell>
          <cell r="X302">
            <v>0</v>
          </cell>
          <cell r="Y302">
            <v>0</v>
          </cell>
          <cell r="Z302">
            <v>0</v>
          </cell>
          <cell r="AA302">
            <v>0</v>
          </cell>
          <cell r="AB302">
            <v>0</v>
          </cell>
          <cell r="AC302">
            <v>0</v>
          </cell>
          <cell r="AD302">
            <v>0</v>
          </cell>
          <cell r="AX302">
            <v>0</v>
          </cell>
          <cell r="AY302">
            <v>0</v>
          </cell>
          <cell r="AZ302">
            <v>0</v>
          </cell>
          <cell r="BA302">
            <v>0</v>
          </cell>
          <cell r="BI302">
            <v>0</v>
          </cell>
          <cell r="BJ302">
            <v>0</v>
          </cell>
          <cell r="BK302">
            <v>0</v>
          </cell>
          <cell r="BL302">
            <v>0</v>
          </cell>
          <cell r="BM302">
            <v>0</v>
          </cell>
          <cell r="BN302">
            <v>0</v>
          </cell>
          <cell r="BO302">
            <v>0</v>
          </cell>
          <cell r="BP302">
            <v>0</v>
          </cell>
          <cell r="BQ302">
            <v>0</v>
          </cell>
          <cell r="BR302">
            <v>0</v>
          </cell>
          <cell r="BT302">
            <v>0</v>
          </cell>
          <cell r="CA302" t="str">
            <v>AF4ESS - EBITA - Identified - Recompete</v>
          </cell>
          <cell r="CC302" t="str">
            <v>AF4ESS - EBITA - Identified - Recompete - MR</v>
          </cell>
          <cell r="CD302" t="str">
            <v/>
          </cell>
          <cell r="CF302" t="str">
            <v>AF4ESS - Identified - Recompete - MR</v>
          </cell>
        </row>
        <row r="303">
          <cell r="D303">
            <v>289</v>
          </cell>
          <cell r="E303">
            <v>1</v>
          </cell>
          <cell r="F303">
            <v>1</v>
          </cell>
          <cell r="G303" t="str">
            <v>C12408</v>
          </cell>
          <cell r="H303" t="str">
            <v>NSDD DICCE II Romania (12408)</v>
          </cell>
          <cell r="I303" t="str">
            <v>MR</v>
          </cell>
          <cell r="J303" t="str">
            <v>MR Non-Proliferation and Security Services</v>
          </cell>
          <cell r="K303" t="str">
            <v>DOE</v>
          </cell>
          <cell r="L303" t="str">
            <v>DOE</v>
          </cell>
          <cell r="M303" t="str">
            <v>OH</v>
          </cell>
          <cell r="N303" t="str">
            <v>CONUS</v>
          </cell>
          <cell r="O303">
            <v>42644</v>
          </cell>
          <cell r="P303">
            <v>43951</v>
          </cell>
          <cell r="Q303" t="str">
            <v>Sub</v>
          </cell>
          <cell r="R303" t="str">
            <v>FFP</v>
          </cell>
          <cell r="S303">
            <v>0</v>
          </cell>
          <cell r="T303">
            <v>1</v>
          </cell>
          <cell r="U303" t="str">
            <v>REVTOT</v>
          </cell>
          <cell r="V303" t="str">
            <v>Base</v>
          </cell>
          <cell r="W303" t="str">
            <v>05 Won</v>
          </cell>
          <cell r="X303" t="str">
            <v>Active</v>
          </cell>
          <cell r="Y303">
            <v>1</v>
          </cell>
          <cell r="Z303">
            <v>0</v>
          </cell>
          <cell r="AA303">
            <v>3468219.4899999993</v>
          </cell>
          <cell r="AB303">
            <v>0</v>
          </cell>
          <cell r="AC303">
            <v>0</v>
          </cell>
          <cell r="AD303">
            <v>3468219.4899999993</v>
          </cell>
          <cell r="AE303">
            <v>0</v>
          </cell>
          <cell r="AF303">
            <v>-0.29047703324291874</v>
          </cell>
          <cell r="AG303">
            <v>0.76159872333028633</v>
          </cell>
          <cell r="AH303">
            <v>-0.28830477801591436</v>
          </cell>
          <cell r="AI303">
            <v>0</v>
          </cell>
          <cell r="AJ303">
            <v>0</v>
          </cell>
          <cell r="AK303">
            <v>0</v>
          </cell>
          <cell r="BB303">
            <v>2006866</v>
          </cell>
          <cell r="BC303">
            <v>2006866</v>
          </cell>
          <cell r="BD303">
            <v>2006866</v>
          </cell>
          <cell r="BE303">
            <v>2006866</v>
          </cell>
          <cell r="BF303">
            <v>0</v>
          </cell>
          <cell r="BG303">
            <v>2256061.2199999997</v>
          </cell>
          <cell r="BH303">
            <v>1600727.25</v>
          </cell>
          <cell r="BI303">
            <v>291841.03000000003</v>
          </cell>
          <cell r="BJ303">
            <v>296635.40000000002</v>
          </cell>
          <cell r="BK303">
            <v>1208180.6499999999</v>
          </cell>
          <cell r="BL303">
            <v>1023182</v>
          </cell>
          <cell r="BM303">
            <v>2819839.08</v>
          </cell>
          <cell r="BN303">
            <v>2006866</v>
          </cell>
          <cell r="BO303">
            <v>1461353.4899999993</v>
          </cell>
          <cell r="BP303">
            <v>0</v>
          </cell>
          <cell r="BQ303">
            <v>0</v>
          </cell>
          <cell r="BR303">
            <v>6288058.5699999994</v>
          </cell>
          <cell r="BT303">
            <v>0</v>
          </cell>
          <cell r="CA303" t="str">
            <v>C12408 - REVTOT - Base</v>
          </cell>
          <cell r="CC303" t="str">
            <v>C12408 - REVTOT - Base - MR</v>
          </cell>
          <cell r="CD303" t="str">
            <v>C12408 - REVTOT - Base - MR</v>
          </cell>
          <cell r="CF303" t="str">
            <v>C12408 - Base - MR</v>
          </cell>
        </row>
        <row r="304">
          <cell r="D304">
            <v>290</v>
          </cell>
          <cell r="E304">
            <v>1</v>
          </cell>
          <cell r="F304">
            <v>2</v>
          </cell>
          <cell r="G304" t="str">
            <v>C12408</v>
          </cell>
          <cell r="H304" t="str">
            <v>NSDD DICCE II Romania (12408)</v>
          </cell>
          <cell r="I304" t="str">
            <v>MR</v>
          </cell>
          <cell r="J304" t="str">
            <v>MR Non-Proliferation and Security Services</v>
          </cell>
          <cell r="K304" t="str">
            <v>DOE</v>
          </cell>
          <cell r="L304" t="str">
            <v>DOE</v>
          </cell>
          <cell r="M304" t="str">
            <v>OH</v>
          </cell>
          <cell r="N304" t="str">
            <v>CONUS</v>
          </cell>
          <cell r="O304">
            <v>0</v>
          </cell>
          <cell r="P304">
            <v>0</v>
          </cell>
          <cell r="Q304">
            <v>0</v>
          </cell>
          <cell r="R304" t="str">
            <v>FFP</v>
          </cell>
          <cell r="S304">
            <v>0</v>
          </cell>
          <cell r="T304">
            <v>1</v>
          </cell>
          <cell r="U304" t="str">
            <v>REVTOT</v>
          </cell>
          <cell r="V304" t="str">
            <v>Identified - Recompete</v>
          </cell>
          <cell r="W304">
            <v>0</v>
          </cell>
          <cell r="X304">
            <v>0</v>
          </cell>
          <cell r="Y304">
            <v>0</v>
          </cell>
          <cell r="Z304">
            <v>0</v>
          </cell>
          <cell r="AA304">
            <v>0</v>
          </cell>
          <cell r="AB304">
            <v>0</v>
          </cell>
          <cell r="AC304">
            <v>0</v>
          </cell>
          <cell r="AD304">
            <v>0</v>
          </cell>
          <cell r="AI304">
            <v>0</v>
          </cell>
          <cell r="AJ304">
            <v>0</v>
          </cell>
          <cell r="AK304">
            <v>0</v>
          </cell>
          <cell r="BB304">
            <v>0</v>
          </cell>
          <cell r="BC304">
            <v>0</v>
          </cell>
          <cell r="BD304">
            <v>0</v>
          </cell>
          <cell r="BE304">
            <v>0</v>
          </cell>
          <cell r="BI304">
            <v>0</v>
          </cell>
          <cell r="BJ304">
            <v>0</v>
          </cell>
          <cell r="BK304">
            <v>0</v>
          </cell>
          <cell r="BL304">
            <v>0</v>
          </cell>
          <cell r="BM304">
            <v>0</v>
          </cell>
          <cell r="BN304">
            <v>0</v>
          </cell>
          <cell r="BO304">
            <v>0</v>
          </cell>
          <cell r="BP304">
            <v>0</v>
          </cell>
          <cell r="BQ304">
            <v>0</v>
          </cell>
          <cell r="BR304">
            <v>0</v>
          </cell>
          <cell r="BT304">
            <v>0</v>
          </cell>
          <cell r="CA304" t="str">
            <v>C12408 - REVTOT - Identified - Recompete</v>
          </cell>
          <cell r="CC304" t="str">
            <v>C12408 - REVTOT - Identified - Recompete - MR</v>
          </cell>
          <cell r="CD304" t="str">
            <v/>
          </cell>
          <cell r="CF304" t="str">
            <v>C12408 - Identified - Recompete - MR</v>
          </cell>
        </row>
        <row r="305">
          <cell r="D305">
            <v>291</v>
          </cell>
          <cell r="E305">
            <v>2</v>
          </cell>
          <cell r="F305">
            <v>3</v>
          </cell>
          <cell r="G305" t="str">
            <v>C12408</v>
          </cell>
          <cell r="H305" t="str">
            <v>NSDD DICCE II Romania (12408)</v>
          </cell>
          <cell r="I305" t="str">
            <v>MR</v>
          </cell>
          <cell r="J305" t="str">
            <v>MR Non-Proliferation and Security Services</v>
          </cell>
          <cell r="K305" t="str">
            <v>DOE</v>
          </cell>
          <cell r="L305" t="str">
            <v>DOE</v>
          </cell>
          <cell r="M305" t="str">
            <v>OH</v>
          </cell>
          <cell r="N305" t="str">
            <v>CONUS</v>
          </cell>
          <cell r="O305">
            <v>42644</v>
          </cell>
          <cell r="P305">
            <v>43951</v>
          </cell>
          <cell r="Q305" t="str">
            <v>Sub</v>
          </cell>
          <cell r="R305" t="str">
            <v>FFP</v>
          </cell>
          <cell r="S305">
            <v>0</v>
          </cell>
          <cell r="T305">
            <v>1</v>
          </cell>
          <cell r="U305" t="str">
            <v>CONTRACT</v>
          </cell>
          <cell r="V305" t="str">
            <v>Base</v>
          </cell>
          <cell r="W305" t="str">
            <v>05 Won</v>
          </cell>
          <cell r="X305" t="str">
            <v>Active</v>
          </cell>
          <cell r="Y305">
            <v>1</v>
          </cell>
          <cell r="Z305">
            <v>0</v>
          </cell>
          <cell r="AA305">
            <v>3468219.4899999993</v>
          </cell>
          <cell r="AB305">
            <v>0</v>
          </cell>
          <cell r="AC305">
            <v>0</v>
          </cell>
          <cell r="AD305">
            <v>3468219.4899999993</v>
          </cell>
          <cell r="AL305">
            <v>0</v>
          </cell>
          <cell r="AM305">
            <v>0.1704424049272919</v>
          </cell>
          <cell r="AN305">
            <v>0.15567106763503899</v>
          </cell>
          <cell r="AO305">
            <v>0.15536939079516549</v>
          </cell>
          <cell r="AP305">
            <v>0.18295005117431856</v>
          </cell>
          <cell r="AQ305">
            <v>0.18295005117431856</v>
          </cell>
          <cell r="AR305">
            <v>0.18295005117431856</v>
          </cell>
          <cell r="AS305">
            <v>0.18295005117431856</v>
          </cell>
          <cell r="BF305">
            <v>0</v>
          </cell>
          <cell r="BG305">
            <v>384528.50000000012</v>
          </cell>
          <cell r="BH305">
            <v>249186.91999999998</v>
          </cell>
          <cell r="BI305">
            <v>49534.369999999995</v>
          </cell>
          <cell r="BJ305">
            <v>35377.759999999987</v>
          </cell>
          <cell r="BK305">
            <v>172287.25000000003</v>
          </cell>
          <cell r="BL305">
            <v>180917.29999999996</v>
          </cell>
          <cell r="BM305">
            <v>438116.67999999993</v>
          </cell>
          <cell r="BN305">
            <v>367156.23739999998</v>
          </cell>
          <cell r="BO305">
            <v>267354.69577926892</v>
          </cell>
          <cell r="BP305">
            <v>0</v>
          </cell>
          <cell r="BQ305">
            <v>0</v>
          </cell>
          <cell r="BR305">
            <v>1072627.6131792688</v>
          </cell>
          <cell r="BT305">
            <v>0</v>
          </cell>
          <cell r="CA305" t="str">
            <v>C12408 - CONTRACT - Base</v>
          </cell>
          <cell r="CC305" t="str">
            <v>C12408 - CONTRACT - Base - MR</v>
          </cell>
          <cell r="CD305" t="str">
            <v/>
          </cell>
          <cell r="CF305" t="str">
            <v>C12408 - Base - MR</v>
          </cell>
        </row>
        <row r="306">
          <cell r="D306">
            <v>292</v>
          </cell>
          <cell r="E306">
            <v>2</v>
          </cell>
          <cell r="F306">
            <v>4</v>
          </cell>
          <cell r="G306" t="str">
            <v>C12408</v>
          </cell>
          <cell r="H306" t="str">
            <v>NSDD DICCE II Romania (12408)</v>
          </cell>
          <cell r="I306" t="str">
            <v>MR</v>
          </cell>
          <cell r="J306" t="str">
            <v>MR Non-Proliferation and Security Services</v>
          </cell>
          <cell r="K306" t="str">
            <v>DOE</v>
          </cell>
          <cell r="L306" t="str">
            <v>DOE</v>
          </cell>
          <cell r="M306" t="str">
            <v>OH</v>
          </cell>
          <cell r="N306" t="str">
            <v>CONUS</v>
          </cell>
          <cell r="O306">
            <v>0</v>
          </cell>
          <cell r="P306">
            <v>0</v>
          </cell>
          <cell r="Q306">
            <v>0</v>
          </cell>
          <cell r="R306" t="str">
            <v>FFP</v>
          </cell>
          <cell r="S306">
            <v>0</v>
          </cell>
          <cell r="T306">
            <v>1</v>
          </cell>
          <cell r="U306" t="str">
            <v>CONTRACT</v>
          </cell>
          <cell r="V306" t="str">
            <v>Identified - Recompete</v>
          </cell>
          <cell r="W306">
            <v>0</v>
          </cell>
          <cell r="X306">
            <v>0</v>
          </cell>
          <cell r="Y306">
            <v>0</v>
          </cell>
          <cell r="Z306">
            <v>0</v>
          </cell>
          <cell r="AA306">
            <v>0</v>
          </cell>
          <cell r="AB306">
            <v>0</v>
          </cell>
          <cell r="AC306">
            <v>0</v>
          </cell>
          <cell r="AD306">
            <v>0</v>
          </cell>
          <cell r="AP306">
            <v>0</v>
          </cell>
          <cell r="AQ306">
            <v>0</v>
          </cell>
          <cell r="AR306">
            <v>0</v>
          </cell>
          <cell r="AS306">
            <v>0</v>
          </cell>
          <cell r="BI306">
            <v>0</v>
          </cell>
          <cell r="BJ306">
            <v>0</v>
          </cell>
          <cell r="BK306">
            <v>0</v>
          </cell>
          <cell r="BL306">
            <v>0</v>
          </cell>
          <cell r="BM306">
            <v>0</v>
          </cell>
          <cell r="BN306">
            <v>0</v>
          </cell>
          <cell r="BO306">
            <v>0</v>
          </cell>
          <cell r="BP306">
            <v>0</v>
          </cell>
          <cell r="BQ306">
            <v>0</v>
          </cell>
          <cell r="BR306">
            <v>0</v>
          </cell>
          <cell r="BT306">
            <v>0</v>
          </cell>
          <cell r="CA306" t="str">
            <v>C12408 - CONTRACT - Identified - Recompete</v>
          </cell>
          <cell r="CC306" t="str">
            <v>C12408 - CONTRACT - Identified - Recompete - MR</v>
          </cell>
          <cell r="CD306" t="str">
            <v/>
          </cell>
          <cell r="CF306" t="str">
            <v>C12408 - Identified - Recompete - MR</v>
          </cell>
        </row>
        <row r="307">
          <cell r="D307">
            <v>293</v>
          </cell>
          <cell r="E307">
            <v>0</v>
          </cell>
          <cell r="F307">
            <v>5</v>
          </cell>
          <cell r="G307" t="str">
            <v>C12408</v>
          </cell>
          <cell r="H307" t="str">
            <v>NSDD DICCE II Romania (12408)</v>
          </cell>
          <cell r="I307" t="str">
            <v>MR</v>
          </cell>
          <cell r="J307" t="str">
            <v>MR Non-Proliferation and Security Services</v>
          </cell>
          <cell r="K307" t="str">
            <v>DOE</v>
          </cell>
          <cell r="L307" t="str">
            <v>DOE</v>
          </cell>
          <cell r="M307" t="str">
            <v>OH</v>
          </cell>
          <cell r="N307" t="str">
            <v>CONUS</v>
          </cell>
          <cell r="O307">
            <v>42644</v>
          </cell>
          <cell r="P307">
            <v>43951</v>
          </cell>
          <cell r="Q307" t="str">
            <v>Sub</v>
          </cell>
          <cell r="R307" t="str">
            <v>FFP</v>
          </cell>
          <cell r="S307">
            <v>0</v>
          </cell>
          <cell r="T307">
            <v>1</v>
          </cell>
          <cell r="U307" t="str">
            <v>EBITA</v>
          </cell>
          <cell r="V307" t="str">
            <v>Base</v>
          </cell>
          <cell r="W307" t="str">
            <v>05 Won</v>
          </cell>
          <cell r="X307" t="str">
            <v>Active</v>
          </cell>
          <cell r="Y307">
            <v>1</v>
          </cell>
          <cell r="Z307">
            <v>0</v>
          </cell>
          <cell r="AA307">
            <v>3468219.4899999993</v>
          </cell>
          <cell r="AB307">
            <v>0</v>
          </cell>
          <cell r="AC307">
            <v>0</v>
          </cell>
          <cell r="AD307">
            <v>3468219.4899999993</v>
          </cell>
          <cell r="AT307">
            <v>0</v>
          </cell>
          <cell r="AU307">
            <v>7.8968287039657595E-2</v>
          </cell>
          <cell r="AV307">
            <v>5.8023345326319628E-2</v>
          </cell>
          <cell r="AW307">
            <v>7.0049305792300731E-2</v>
          </cell>
          <cell r="AX307">
            <v>5.760441706292041E-2</v>
          </cell>
          <cell r="AY307">
            <v>5.8604417062920411E-2</v>
          </cell>
          <cell r="AZ307">
            <v>5.9604417062920412E-2</v>
          </cell>
          <cell r="BA307">
            <v>6.0604417062920413E-2</v>
          </cell>
          <cell r="BF307">
            <v>0</v>
          </cell>
          <cell r="BG307">
            <v>178157.2900000001</v>
          </cell>
          <cell r="BH307">
            <v>92879.549999999974</v>
          </cell>
          <cell r="BI307">
            <v>17709.069999999996</v>
          </cell>
          <cell r="BJ307">
            <v>10513.869999999986</v>
          </cell>
          <cell r="BK307">
            <v>88298.940000000031</v>
          </cell>
          <cell r="BL307">
            <v>81005.889999999956</v>
          </cell>
          <cell r="BM307">
            <v>197527.76999999996</v>
          </cell>
          <cell r="BN307">
            <v>115604.34605339484</v>
          </cell>
          <cell r="BO307">
            <v>85641.769404314255</v>
          </cell>
          <cell r="BP307">
            <v>0</v>
          </cell>
          <cell r="BQ307">
            <v>0</v>
          </cell>
          <cell r="BR307">
            <v>398773.88545770908</v>
          </cell>
          <cell r="BT307">
            <v>0</v>
          </cell>
          <cell r="CA307" t="str">
            <v>C12408 - EBITA - Base</v>
          </cell>
          <cell r="CC307" t="str">
            <v>C12408 - EBITA - Base - MR</v>
          </cell>
          <cell r="CD307" t="str">
            <v/>
          </cell>
          <cell r="CF307" t="str">
            <v>C12408 - Base - MR</v>
          </cell>
        </row>
        <row r="308">
          <cell r="D308">
            <v>294</v>
          </cell>
          <cell r="E308">
            <v>0</v>
          </cell>
          <cell r="F308">
            <v>0</v>
          </cell>
          <cell r="G308" t="str">
            <v>C12408</v>
          </cell>
          <cell r="H308" t="str">
            <v>NSDD DICCE II Romania (12408)</v>
          </cell>
          <cell r="I308" t="str">
            <v>MR</v>
          </cell>
          <cell r="J308" t="str">
            <v>MR Non-Proliferation and Security Services</v>
          </cell>
          <cell r="K308" t="str">
            <v>DOE</v>
          </cell>
          <cell r="L308" t="str">
            <v>DOE</v>
          </cell>
          <cell r="M308" t="str">
            <v>OH</v>
          </cell>
          <cell r="N308" t="str">
            <v>CONUS</v>
          </cell>
          <cell r="O308">
            <v>0</v>
          </cell>
          <cell r="P308">
            <v>0</v>
          </cell>
          <cell r="Q308">
            <v>0</v>
          </cell>
          <cell r="R308" t="str">
            <v>FFP</v>
          </cell>
          <cell r="S308">
            <v>0</v>
          </cell>
          <cell r="T308">
            <v>1</v>
          </cell>
          <cell r="U308" t="str">
            <v>EBITA</v>
          </cell>
          <cell r="V308" t="str">
            <v>Identified - Recompete</v>
          </cell>
          <cell r="W308">
            <v>0</v>
          </cell>
          <cell r="X308">
            <v>0</v>
          </cell>
          <cell r="Y308">
            <v>0</v>
          </cell>
          <cell r="Z308">
            <v>0</v>
          </cell>
          <cell r="AA308">
            <v>0</v>
          </cell>
          <cell r="AB308">
            <v>0</v>
          </cell>
          <cell r="AC308">
            <v>0</v>
          </cell>
          <cell r="AD308">
            <v>0</v>
          </cell>
          <cell r="AX308">
            <v>0</v>
          </cell>
          <cell r="AY308">
            <v>0</v>
          </cell>
          <cell r="AZ308">
            <v>0</v>
          </cell>
          <cell r="BA308">
            <v>0</v>
          </cell>
          <cell r="BI308">
            <v>0</v>
          </cell>
          <cell r="BJ308">
            <v>0</v>
          </cell>
          <cell r="BK308">
            <v>0</v>
          </cell>
          <cell r="BL308">
            <v>0</v>
          </cell>
          <cell r="BM308">
            <v>0</v>
          </cell>
          <cell r="BN308">
            <v>0</v>
          </cell>
          <cell r="BO308">
            <v>0</v>
          </cell>
          <cell r="BP308">
            <v>0</v>
          </cell>
          <cell r="BQ308">
            <v>0</v>
          </cell>
          <cell r="BR308">
            <v>0</v>
          </cell>
          <cell r="BT308">
            <v>0</v>
          </cell>
          <cell r="CA308" t="str">
            <v>C12408 - EBITA - Identified - Recompete</v>
          </cell>
          <cell r="CC308" t="str">
            <v>C12408 - EBITA - Identified - Recompete - MR</v>
          </cell>
          <cell r="CD308" t="str">
            <v/>
          </cell>
          <cell r="CF308" t="str">
            <v>C12408 - Identified - Recompete - MR</v>
          </cell>
        </row>
        <row r="309">
          <cell r="D309">
            <v>295</v>
          </cell>
          <cell r="E309">
            <v>1</v>
          </cell>
          <cell r="F309">
            <v>1</v>
          </cell>
          <cell r="G309" t="str">
            <v>FLWTOT</v>
          </cell>
          <cell r="H309" t="str">
            <v>FLWTOT</v>
          </cell>
          <cell r="I309" t="str">
            <v>MR</v>
          </cell>
          <cell r="J309" t="str">
            <v>MR Non-Proliferation and Security Services</v>
          </cell>
          <cell r="K309" t="str">
            <v>Army</v>
          </cell>
          <cell r="L309" t="str">
            <v>DOD</v>
          </cell>
          <cell r="M309" t="str">
            <v>MO</v>
          </cell>
          <cell r="N309" t="str">
            <v>CONUS</v>
          </cell>
          <cell r="O309">
            <v>42444</v>
          </cell>
          <cell r="P309">
            <v>43904</v>
          </cell>
          <cell r="Q309" t="str">
            <v>Prime</v>
          </cell>
          <cell r="R309" t="str">
            <v>CPAF</v>
          </cell>
          <cell r="S309">
            <v>0</v>
          </cell>
          <cell r="T309">
            <v>1</v>
          </cell>
          <cell r="U309" t="str">
            <v>REVTOT</v>
          </cell>
          <cell r="V309" t="str">
            <v>Base</v>
          </cell>
          <cell r="W309" t="str">
            <v>05 Won</v>
          </cell>
          <cell r="X309" t="str">
            <v>Active</v>
          </cell>
          <cell r="Y309">
            <v>1</v>
          </cell>
          <cell r="Z309">
            <v>0</v>
          </cell>
          <cell r="AA309">
            <v>188830.26999999944</v>
          </cell>
          <cell r="AB309">
            <v>8.000000007450575E-2</v>
          </cell>
          <cell r="AC309">
            <v>0</v>
          </cell>
          <cell r="AD309">
            <v>188830.34999999951</v>
          </cell>
          <cell r="AE309">
            <v>-0.12550015744542753</v>
          </cell>
          <cell r="AF309">
            <v>-2.9362766222585157E-2</v>
          </cell>
          <cell r="AG309">
            <v>0.34952363298825317</v>
          </cell>
          <cell r="AH309">
            <v>-0.93293360991262941</v>
          </cell>
          <cell r="AI309">
            <v>0</v>
          </cell>
          <cell r="AJ309">
            <v>0</v>
          </cell>
          <cell r="AK309">
            <v>0</v>
          </cell>
          <cell r="BB309">
            <v>2099999.9995999997</v>
          </cell>
          <cell r="BC309">
            <v>2099999.9995999997</v>
          </cell>
          <cell r="BD309">
            <v>2099999.9995999997</v>
          </cell>
          <cell r="BE309">
            <v>2099999.9995999997</v>
          </cell>
          <cell r="BF309">
            <v>2457931.0200000005</v>
          </cell>
          <cell r="BG309">
            <v>2149460.29</v>
          </cell>
          <cell r="BH309">
            <v>2086346.19</v>
          </cell>
          <cell r="BI309">
            <v>553270.5</v>
          </cell>
          <cell r="BJ309">
            <v>667660.5</v>
          </cell>
          <cell r="BK309">
            <v>798317.49</v>
          </cell>
          <cell r="BL309">
            <v>796325</v>
          </cell>
          <cell r="BM309">
            <v>2815573.49</v>
          </cell>
          <cell r="BN309">
            <v>188830.34999999951</v>
          </cell>
          <cell r="BO309">
            <v>0</v>
          </cell>
          <cell r="BP309">
            <v>0</v>
          </cell>
          <cell r="BQ309">
            <v>0</v>
          </cell>
          <cell r="BR309">
            <v>3004403.84</v>
          </cell>
          <cell r="BT309">
            <v>0</v>
          </cell>
          <cell r="CA309" t="str">
            <v>FLWTOT - REVTOT - Base</v>
          </cell>
          <cell r="CC309" t="str">
            <v>FLWTOT - REVTOT - Base - MR</v>
          </cell>
          <cell r="CD309" t="str">
            <v>FLWTOT - REVTOT - Base - MR</v>
          </cell>
          <cell r="CF309" t="str">
            <v>FLWTOT - Base - MR</v>
          </cell>
        </row>
        <row r="310">
          <cell r="D310">
            <v>296</v>
          </cell>
          <cell r="E310">
            <v>1</v>
          </cell>
          <cell r="F310">
            <v>2</v>
          </cell>
          <cell r="G310" t="str">
            <v>FLWTOT</v>
          </cell>
          <cell r="H310" t="str">
            <v>FLWTOT</v>
          </cell>
          <cell r="I310" t="str">
            <v>MR</v>
          </cell>
          <cell r="J310" t="str">
            <v>MR Non-Proliferation and Security Services</v>
          </cell>
          <cell r="K310" t="str">
            <v>Army</v>
          </cell>
          <cell r="L310" t="str">
            <v>DOD</v>
          </cell>
          <cell r="M310" t="str">
            <v>MO</v>
          </cell>
          <cell r="N310" t="str">
            <v>CONUS</v>
          </cell>
          <cell r="O310">
            <v>43905</v>
          </cell>
          <cell r="P310">
            <v>45730</v>
          </cell>
          <cell r="Q310" t="str">
            <v>Prime</v>
          </cell>
          <cell r="R310" t="str">
            <v>CPAF</v>
          </cell>
          <cell r="S310">
            <v>0</v>
          </cell>
          <cell r="T310">
            <v>1</v>
          </cell>
          <cell r="U310" t="str">
            <v>REVTOT</v>
          </cell>
          <cell r="V310" t="str">
            <v>Identified - Recompete</v>
          </cell>
          <cell r="W310" t="str">
            <v>02 Capture</v>
          </cell>
          <cell r="X310" t="str">
            <v>Priority 2</v>
          </cell>
          <cell r="Y310">
            <v>0.6</v>
          </cell>
          <cell r="Z310">
            <v>11000000</v>
          </cell>
          <cell r="AA310">
            <v>0</v>
          </cell>
          <cell r="AB310">
            <v>0</v>
          </cell>
          <cell r="AC310">
            <v>0</v>
          </cell>
          <cell r="AD310">
            <v>0</v>
          </cell>
          <cell r="AI310">
            <v>0</v>
          </cell>
          <cell r="AJ310">
            <v>0</v>
          </cell>
          <cell r="AK310">
            <v>0</v>
          </cell>
          <cell r="BB310">
            <v>2200000</v>
          </cell>
          <cell r="BC310">
            <v>2200000</v>
          </cell>
          <cell r="BD310">
            <v>2200000</v>
          </cell>
          <cell r="BE310">
            <v>2200000</v>
          </cell>
          <cell r="BI310">
            <v>0</v>
          </cell>
          <cell r="BJ310">
            <v>0</v>
          </cell>
          <cell r="BK310">
            <v>0</v>
          </cell>
          <cell r="BL310">
            <v>0</v>
          </cell>
          <cell r="BM310">
            <v>0</v>
          </cell>
          <cell r="BN310">
            <v>714999.99999999988</v>
          </cell>
          <cell r="BO310">
            <v>1320000</v>
          </cell>
          <cell r="BP310">
            <v>1320000</v>
          </cell>
          <cell r="BQ310">
            <v>1320000</v>
          </cell>
          <cell r="BR310">
            <v>4675000</v>
          </cell>
          <cell r="BT310">
            <v>0</v>
          </cell>
          <cell r="CA310" t="str">
            <v>FLWTOT - REVTOT - Identified - Recompete</v>
          </cell>
          <cell r="CC310" t="str">
            <v>FLWTOT - REVTOT - Identified - Recompete - MR</v>
          </cell>
          <cell r="CD310" t="str">
            <v/>
          </cell>
          <cell r="CF310" t="str">
            <v>FLWTOT - Identified - Recompete - MR</v>
          </cell>
        </row>
        <row r="311">
          <cell r="D311">
            <v>297</v>
          </cell>
          <cell r="E311">
            <v>2</v>
          </cell>
          <cell r="F311">
            <v>3</v>
          </cell>
          <cell r="G311" t="str">
            <v>FLWTOT</v>
          </cell>
          <cell r="H311" t="str">
            <v>FLWTOT</v>
          </cell>
          <cell r="I311" t="str">
            <v>MR</v>
          </cell>
          <cell r="J311" t="str">
            <v>MR Non-Proliferation and Security Services</v>
          </cell>
          <cell r="K311" t="str">
            <v>Army</v>
          </cell>
          <cell r="L311" t="str">
            <v>DOD</v>
          </cell>
          <cell r="M311" t="str">
            <v>MO</v>
          </cell>
          <cell r="N311" t="str">
            <v>CONUS</v>
          </cell>
          <cell r="O311">
            <v>42444</v>
          </cell>
          <cell r="P311">
            <v>43904</v>
          </cell>
          <cell r="Q311" t="str">
            <v>Prime</v>
          </cell>
          <cell r="R311" t="str">
            <v>CPAF</v>
          </cell>
          <cell r="S311">
            <v>0</v>
          </cell>
          <cell r="T311">
            <v>1</v>
          </cell>
          <cell r="U311" t="str">
            <v>CONTRACT</v>
          </cell>
          <cell r="V311" t="str">
            <v>Base</v>
          </cell>
          <cell r="W311" t="str">
            <v>05 Won</v>
          </cell>
          <cell r="X311" t="str">
            <v>Active</v>
          </cell>
          <cell r="Y311">
            <v>1</v>
          </cell>
          <cell r="Z311">
            <v>0</v>
          </cell>
          <cell r="AA311">
            <v>188830.26999999944</v>
          </cell>
          <cell r="AB311">
            <v>8.000000007450575E-2</v>
          </cell>
          <cell r="AC311">
            <v>0</v>
          </cell>
          <cell r="AD311">
            <v>188830.34999999951</v>
          </cell>
          <cell r="AL311">
            <v>7.2378394085282748E-3</v>
          </cell>
          <cell r="AM311">
            <v>0.12097717329776772</v>
          </cell>
          <cell r="AN311">
            <v>0.13751146927346711</v>
          </cell>
          <cell r="AO311">
            <v>0.17516897419005037</v>
          </cell>
          <cell r="AP311">
            <v>0.13</v>
          </cell>
          <cell r="AQ311">
            <v>0.13</v>
          </cell>
          <cell r="AR311">
            <v>0.13</v>
          </cell>
          <cell r="AS311">
            <v>0.13</v>
          </cell>
          <cell r="BF311">
            <v>17790.110000000102</v>
          </cell>
          <cell r="BG311">
            <v>260035.63000000006</v>
          </cell>
          <cell r="BH311">
            <v>286896.53000000014</v>
          </cell>
          <cell r="BI311">
            <v>145875.63</v>
          </cell>
          <cell r="BJ311">
            <v>199957.56000000006</v>
          </cell>
          <cell r="BK311">
            <v>51633.929999999993</v>
          </cell>
          <cell r="BL311">
            <v>95734</v>
          </cell>
          <cell r="BM311">
            <v>493201.12000000005</v>
          </cell>
          <cell r="BN311">
            <v>24547.945499999936</v>
          </cell>
          <cell r="BO311">
            <v>0</v>
          </cell>
          <cell r="BP311">
            <v>0</v>
          </cell>
          <cell r="BQ311">
            <v>0</v>
          </cell>
          <cell r="BR311">
            <v>517749.06549999997</v>
          </cell>
          <cell r="BT311">
            <v>0</v>
          </cell>
          <cell r="CA311" t="str">
            <v>FLWTOT - CONTRACT - Base</v>
          </cell>
          <cell r="CC311" t="str">
            <v>FLWTOT - CONTRACT - Base - MR</v>
          </cell>
          <cell r="CD311" t="str">
            <v/>
          </cell>
          <cell r="CF311" t="str">
            <v>FLWTOT - Base - MR</v>
          </cell>
        </row>
        <row r="312">
          <cell r="D312">
            <v>298</v>
          </cell>
          <cell r="E312">
            <v>2</v>
          </cell>
          <cell r="F312">
            <v>4</v>
          </cell>
          <cell r="G312" t="str">
            <v>FLWTOT</v>
          </cell>
          <cell r="H312" t="str">
            <v>FLWTOT</v>
          </cell>
          <cell r="I312" t="str">
            <v>MR</v>
          </cell>
          <cell r="J312" t="str">
            <v>MR Non-Proliferation and Security Services</v>
          </cell>
          <cell r="K312" t="str">
            <v>Army</v>
          </cell>
          <cell r="L312" t="str">
            <v>DOD</v>
          </cell>
          <cell r="M312" t="str">
            <v>MO</v>
          </cell>
          <cell r="N312" t="str">
            <v>CONUS</v>
          </cell>
          <cell r="O312">
            <v>43905</v>
          </cell>
          <cell r="P312">
            <v>45730</v>
          </cell>
          <cell r="Q312" t="str">
            <v>Prime</v>
          </cell>
          <cell r="R312" t="str">
            <v>CPAF</v>
          </cell>
          <cell r="S312">
            <v>0</v>
          </cell>
          <cell r="T312">
            <v>1</v>
          </cell>
          <cell r="U312" t="str">
            <v>CONTRACT</v>
          </cell>
          <cell r="V312" t="str">
            <v>Identified - Recompete</v>
          </cell>
          <cell r="W312" t="str">
            <v>02 Capture</v>
          </cell>
          <cell r="X312" t="str">
            <v>Priority 2</v>
          </cell>
          <cell r="Y312">
            <v>0.6</v>
          </cell>
          <cell r="Z312">
            <v>11000000</v>
          </cell>
          <cell r="AA312">
            <v>0</v>
          </cell>
          <cell r="AB312">
            <v>0</v>
          </cell>
          <cell r="AC312">
            <v>0</v>
          </cell>
          <cell r="AD312">
            <v>0</v>
          </cell>
          <cell r="AP312">
            <v>0.13</v>
          </cell>
          <cell r="AQ312">
            <v>0.13</v>
          </cell>
          <cell r="AR312">
            <v>0.13</v>
          </cell>
          <cell r="AS312">
            <v>0.13</v>
          </cell>
          <cell r="BI312">
            <v>0</v>
          </cell>
          <cell r="BJ312">
            <v>0</v>
          </cell>
          <cell r="BK312">
            <v>0</v>
          </cell>
          <cell r="BL312">
            <v>0</v>
          </cell>
          <cell r="BM312">
            <v>0</v>
          </cell>
          <cell r="BN312">
            <v>92949.999999999985</v>
          </cell>
          <cell r="BO312">
            <v>171600</v>
          </cell>
          <cell r="BP312">
            <v>171600</v>
          </cell>
          <cell r="BQ312">
            <v>171600</v>
          </cell>
          <cell r="BR312">
            <v>607750</v>
          </cell>
          <cell r="BT312">
            <v>0</v>
          </cell>
          <cell r="CA312" t="str">
            <v>FLWTOT - CONTRACT - Identified - Recompete</v>
          </cell>
          <cell r="CC312" t="str">
            <v>FLWTOT - CONTRACT - Identified - Recompete - MR</v>
          </cell>
          <cell r="CD312" t="str">
            <v/>
          </cell>
          <cell r="CF312" t="str">
            <v>FLWTOT - Identified - Recompete - MR</v>
          </cell>
        </row>
        <row r="313">
          <cell r="D313">
            <v>299</v>
          </cell>
          <cell r="E313">
            <v>0</v>
          </cell>
          <cell r="F313">
            <v>5</v>
          </cell>
          <cell r="G313" t="str">
            <v>FLWTOT</v>
          </cell>
          <cell r="H313" t="str">
            <v>FLWTOT</v>
          </cell>
          <cell r="I313" t="str">
            <v>MR</v>
          </cell>
          <cell r="J313" t="str">
            <v>MR Non-Proliferation and Security Services</v>
          </cell>
          <cell r="K313" t="str">
            <v>Army</v>
          </cell>
          <cell r="L313" t="str">
            <v>DOD</v>
          </cell>
          <cell r="M313" t="str">
            <v>MO</v>
          </cell>
          <cell r="N313" t="str">
            <v>CONUS</v>
          </cell>
          <cell r="O313">
            <v>42444</v>
          </cell>
          <cell r="P313">
            <v>43904</v>
          </cell>
          <cell r="Q313" t="str">
            <v>Prime</v>
          </cell>
          <cell r="R313" t="str">
            <v>CPAF</v>
          </cell>
          <cell r="S313">
            <v>0</v>
          </cell>
          <cell r="T313">
            <v>1</v>
          </cell>
          <cell r="U313" t="str">
            <v>EBITA</v>
          </cell>
          <cell r="V313" t="str">
            <v>Base</v>
          </cell>
          <cell r="W313" t="str">
            <v>05 Won</v>
          </cell>
          <cell r="X313" t="str">
            <v>Active</v>
          </cell>
          <cell r="Y313">
            <v>1</v>
          </cell>
          <cell r="Z313">
            <v>0</v>
          </cell>
          <cell r="AA313">
            <v>188830.26999999944</v>
          </cell>
          <cell r="AB313">
            <v>8.000000007450575E-2</v>
          </cell>
          <cell r="AC313">
            <v>0</v>
          </cell>
          <cell r="AD313">
            <v>188830.34999999951</v>
          </cell>
          <cell r="AT313">
            <v>-0.12717394729816292</v>
          </cell>
          <cell r="AU313">
            <v>2.7884460242808246E-2</v>
          </cell>
          <cell r="AV313">
            <v>6.6495886763643999E-2</v>
          </cell>
          <cell r="AW313">
            <v>0.10431687222626891</v>
          </cell>
          <cell r="AX313">
            <v>4.7619047628117916E-2</v>
          </cell>
          <cell r="AY313">
            <v>4.7619047628117916E-2</v>
          </cell>
          <cell r="AZ313">
            <v>4.7619047628117916E-2</v>
          </cell>
          <cell r="BA313">
            <v>4.7619047628117916E-2</v>
          </cell>
          <cell r="BF313">
            <v>-312584.78999999992</v>
          </cell>
          <cell r="BG313">
            <v>59936.540000000081</v>
          </cell>
          <cell r="BH313">
            <v>138733.44000000009</v>
          </cell>
          <cell r="BI313">
            <v>109787.76</v>
          </cell>
          <cell r="BJ313">
            <v>160382.27000000008</v>
          </cell>
          <cell r="BK313">
            <v>-12952.210000000006</v>
          </cell>
          <cell r="BL313">
            <v>36494</v>
          </cell>
          <cell r="BM313">
            <v>293711.82000000007</v>
          </cell>
          <cell r="BN313">
            <v>8991.9214302841519</v>
          </cell>
          <cell r="BO313">
            <v>0</v>
          </cell>
          <cell r="BP313">
            <v>0</v>
          </cell>
          <cell r="BQ313">
            <v>0</v>
          </cell>
          <cell r="BR313">
            <v>302703.74143028422</v>
          </cell>
          <cell r="BT313">
            <v>0</v>
          </cell>
          <cell r="CA313" t="str">
            <v>FLWTOT - EBITA - Base</v>
          </cell>
          <cell r="CC313" t="str">
            <v>FLWTOT - EBITA - Base - MR</v>
          </cell>
          <cell r="CD313" t="str">
            <v/>
          </cell>
          <cell r="CF313" t="str">
            <v>FLWTOT - Base - MR</v>
          </cell>
        </row>
        <row r="314">
          <cell r="D314">
            <v>300</v>
          </cell>
          <cell r="E314">
            <v>0</v>
          </cell>
          <cell r="F314">
            <v>0</v>
          </cell>
          <cell r="G314" t="str">
            <v>FLWTOT</v>
          </cell>
          <cell r="H314" t="str">
            <v>FLWTOT</v>
          </cell>
          <cell r="I314" t="str">
            <v>MR</v>
          </cell>
          <cell r="J314" t="str">
            <v>MR Non-Proliferation and Security Services</v>
          </cell>
          <cell r="K314" t="str">
            <v>Army</v>
          </cell>
          <cell r="L314" t="str">
            <v>DOD</v>
          </cell>
          <cell r="M314" t="str">
            <v>MO</v>
          </cell>
          <cell r="N314" t="str">
            <v>CONUS</v>
          </cell>
          <cell r="O314">
            <v>43905</v>
          </cell>
          <cell r="P314">
            <v>45730</v>
          </cell>
          <cell r="Q314" t="str">
            <v>Prime</v>
          </cell>
          <cell r="R314" t="str">
            <v>CPAF</v>
          </cell>
          <cell r="S314">
            <v>0</v>
          </cell>
          <cell r="T314">
            <v>1</v>
          </cell>
          <cell r="U314" t="str">
            <v>EBITA</v>
          </cell>
          <cell r="V314" t="str">
            <v>Identified - Recompete</v>
          </cell>
          <cell r="W314" t="str">
            <v>02 Capture</v>
          </cell>
          <cell r="X314" t="str">
            <v>Priority 2</v>
          </cell>
          <cell r="Y314">
            <v>0.6</v>
          </cell>
          <cell r="Z314">
            <v>11000000</v>
          </cell>
          <cell r="AA314">
            <v>0</v>
          </cell>
          <cell r="AB314">
            <v>0</v>
          </cell>
          <cell r="AC314">
            <v>0</v>
          </cell>
          <cell r="AD314">
            <v>0</v>
          </cell>
          <cell r="AX314">
            <v>4.7619047628117916E-2</v>
          </cell>
          <cell r="AY314">
            <v>4.7619047628117916E-2</v>
          </cell>
          <cell r="AZ314">
            <v>4.7619047628117916E-2</v>
          </cell>
          <cell r="BA314">
            <v>4.7619047628117916E-2</v>
          </cell>
          <cell r="BI314">
            <v>0</v>
          </cell>
          <cell r="BJ314">
            <v>0</v>
          </cell>
          <cell r="BK314">
            <v>0</v>
          </cell>
          <cell r="BL314">
            <v>0</v>
          </cell>
          <cell r="BM314">
            <v>0</v>
          </cell>
          <cell r="BN314">
            <v>34047.619054104303</v>
          </cell>
          <cell r="BO314">
            <v>62857.142869115647</v>
          </cell>
          <cell r="BP314">
            <v>62857.142869115647</v>
          </cell>
          <cell r="BQ314">
            <v>62857.142869115647</v>
          </cell>
          <cell r="BR314">
            <v>222619.04766145122</v>
          </cell>
          <cell r="BT314">
            <v>0</v>
          </cell>
          <cell r="CA314" t="str">
            <v>FLWTOT - EBITA - Identified - Recompete</v>
          </cell>
          <cell r="CC314" t="str">
            <v>FLWTOT - EBITA - Identified - Recompete - MR</v>
          </cell>
          <cell r="CD314" t="str">
            <v/>
          </cell>
          <cell r="CF314" t="str">
            <v>FLWTOT - Identified - Recompete - MR</v>
          </cell>
        </row>
        <row r="315">
          <cell r="D315">
            <v>301</v>
          </cell>
          <cell r="E315">
            <v>1</v>
          </cell>
          <cell r="F315">
            <v>1</v>
          </cell>
          <cell r="G315" t="str">
            <v>TS3004</v>
          </cell>
          <cell r="H315" t="str">
            <v>TS3 004 RRAD DPW</v>
          </cell>
          <cell r="I315" t="str">
            <v>MR</v>
          </cell>
          <cell r="J315" t="str">
            <v>MR Maintenance &amp; Sustainment</v>
          </cell>
          <cell r="K315" t="str">
            <v>Army</v>
          </cell>
          <cell r="L315" t="str">
            <v>DOD</v>
          </cell>
          <cell r="M315" t="str">
            <v>TX</v>
          </cell>
          <cell r="N315" t="str">
            <v>CONUS</v>
          </cell>
          <cell r="O315">
            <v>42658</v>
          </cell>
          <cell r="P315">
            <v>43752</v>
          </cell>
          <cell r="Q315" t="str">
            <v>Prime</v>
          </cell>
          <cell r="R315" t="str">
            <v>T&amp;M</v>
          </cell>
          <cell r="S315">
            <v>0</v>
          </cell>
          <cell r="T315">
            <v>1</v>
          </cell>
          <cell r="U315" t="str">
            <v>REVTOT</v>
          </cell>
          <cell r="V315" t="str">
            <v>Base</v>
          </cell>
          <cell r="W315" t="str">
            <v>05 Won</v>
          </cell>
          <cell r="X315" t="str">
            <v>Active</v>
          </cell>
          <cell r="Y315">
            <v>1</v>
          </cell>
          <cell r="Z315">
            <v>0</v>
          </cell>
          <cell r="AA315">
            <v>3165190.620000001</v>
          </cell>
          <cell r="AB315">
            <v>0</v>
          </cell>
          <cell r="AC315">
            <v>0</v>
          </cell>
          <cell r="AD315">
            <v>3165190.620000001</v>
          </cell>
          <cell r="AE315">
            <v>0</v>
          </cell>
          <cell r="AF315">
            <v>4.9413347023430587E-2</v>
          </cell>
          <cell r="AG315">
            <v>-0.43271993072549386</v>
          </cell>
          <cell r="AH315">
            <v>-0.69710271457801498</v>
          </cell>
          <cell r="AI315">
            <v>0</v>
          </cell>
          <cell r="AJ315">
            <v>0</v>
          </cell>
          <cell r="AK315">
            <v>0</v>
          </cell>
          <cell r="BB315">
            <v>1215983</v>
          </cell>
          <cell r="BC315">
            <v>1215983</v>
          </cell>
          <cell r="BD315">
            <v>1215983</v>
          </cell>
          <cell r="BE315">
            <v>1215983</v>
          </cell>
          <cell r="BF315">
            <v>0</v>
          </cell>
          <cell r="BG315">
            <v>6743541.1699999999</v>
          </cell>
          <cell r="BH315">
            <v>7076762.1100000003</v>
          </cell>
          <cell r="BI315">
            <v>989800.48</v>
          </cell>
          <cell r="BJ315">
            <v>1049995.54</v>
          </cell>
          <cell r="BK315">
            <v>1007030.0800000001</v>
          </cell>
          <cell r="BL315">
            <v>967680</v>
          </cell>
          <cell r="BM315">
            <v>4014506.1</v>
          </cell>
          <cell r="BN315">
            <v>1215983</v>
          </cell>
          <cell r="BO315">
            <v>1215983</v>
          </cell>
          <cell r="BP315">
            <v>733224.62000000104</v>
          </cell>
          <cell r="BQ315">
            <v>0</v>
          </cell>
          <cell r="BR315">
            <v>7179696.7200000007</v>
          </cell>
          <cell r="BT315">
            <v>0</v>
          </cell>
          <cell r="CA315" t="str">
            <v>TS3004 - REVTOT - Base</v>
          </cell>
          <cell r="CC315" t="str">
            <v>TS3004 - REVTOT - Base - MR</v>
          </cell>
          <cell r="CD315" t="str">
            <v>TS3004 - REVTOT - Base - MR</v>
          </cell>
          <cell r="CF315" t="str">
            <v>TS3004 - Base - MR</v>
          </cell>
        </row>
        <row r="316">
          <cell r="D316">
            <v>302</v>
          </cell>
          <cell r="E316">
            <v>1</v>
          </cell>
          <cell r="F316">
            <v>2</v>
          </cell>
          <cell r="G316" t="str">
            <v>TS3004</v>
          </cell>
          <cell r="H316" t="str">
            <v>TS3 004 RRAD DPW</v>
          </cell>
          <cell r="I316" t="str">
            <v>MR</v>
          </cell>
          <cell r="J316" t="str">
            <v>MR Maintenance &amp; Sustainment</v>
          </cell>
          <cell r="K316" t="str">
            <v>Army</v>
          </cell>
          <cell r="L316" t="str">
            <v>DOD</v>
          </cell>
          <cell r="M316" t="str">
            <v>TX</v>
          </cell>
          <cell r="N316" t="str">
            <v>CONUS</v>
          </cell>
          <cell r="O316">
            <v>0</v>
          </cell>
          <cell r="P316">
            <v>0</v>
          </cell>
          <cell r="Q316">
            <v>0</v>
          </cell>
          <cell r="R316" t="str">
            <v>T&amp;M</v>
          </cell>
          <cell r="S316">
            <v>0</v>
          </cell>
          <cell r="T316">
            <v>1</v>
          </cell>
          <cell r="U316" t="str">
            <v>REVTOT</v>
          </cell>
          <cell r="V316" t="str">
            <v>Identified - Recompete</v>
          </cell>
          <cell r="W316">
            <v>0</v>
          </cell>
          <cell r="X316">
            <v>0</v>
          </cell>
          <cell r="Y316">
            <v>0</v>
          </cell>
          <cell r="Z316">
            <v>0</v>
          </cell>
          <cell r="AA316">
            <v>0</v>
          </cell>
          <cell r="AB316">
            <v>0</v>
          </cell>
          <cell r="AC316">
            <v>0</v>
          </cell>
          <cell r="AD316">
            <v>0</v>
          </cell>
          <cell r="AI316">
            <v>0</v>
          </cell>
          <cell r="AJ316">
            <v>0</v>
          </cell>
          <cell r="AK316">
            <v>0</v>
          </cell>
          <cell r="BB316">
            <v>0</v>
          </cell>
          <cell r="BC316">
            <v>0</v>
          </cell>
          <cell r="BD316">
            <v>0</v>
          </cell>
          <cell r="BE316">
            <v>0</v>
          </cell>
          <cell r="BI316">
            <v>0</v>
          </cell>
          <cell r="BJ316">
            <v>0</v>
          </cell>
          <cell r="BK316">
            <v>0</v>
          </cell>
          <cell r="BL316">
            <v>0</v>
          </cell>
          <cell r="BM316">
            <v>0</v>
          </cell>
          <cell r="BN316">
            <v>0</v>
          </cell>
          <cell r="BO316">
            <v>0</v>
          </cell>
          <cell r="BP316">
            <v>0</v>
          </cell>
          <cell r="BQ316">
            <v>0</v>
          </cell>
          <cell r="BR316">
            <v>0</v>
          </cell>
          <cell r="BT316">
            <v>0</v>
          </cell>
          <cell r="CA316" t="str">
            <v>TS3004 - REVTOT - Identified - Recompete</v>
          </cell>
          <cell r="CC316" t="str">
            <v>TS3004 - REVTOT - Identified - Recompete - MR</v>
          </cell>
          <cell r="CD316" t="str">
            <v/>
          </cell>
          <cell r="CF316" t="str">
            <v>TS3004 - Identified - Recompete - MR</v>
          </cell>
        </row>
        <row r="317">
          <cell r="D317">
            <v>303</v>
          </cell>
          <cell r="E317">
            <v>2</v>
          </cell>
          <cell r="F317">
            <v>3</v>
          </cell>
          <cell r="G317" t="str">
            <v>TS3004</v>
          </cell>
          <cell r="H317" t="str">
            <v>TS3 004 RRAD DPW</v>
          </cell>
          <cell r="I317" t="str">
            <v>MR</v>
          </cell>
          <cell r="J317" t="str">
            <v>MR Maintenance &amp; Sustainment</v>
          </cell>
          <cell r="K317" t="str">
            <v>Army</v>
          </cell>
          <cell r="L317" t="str">
            <v>DOD</v>
          </cell>
          <cell r="M317" t="str">
            <v>TX</v>
          </cell>
          <cell r="N317" t="str">
            <v>CONUS</v>
          </cell>
          <cell r="O317">
            <v>42658</v>
          </cell>
          <cell r="P317">
            <v>43752</v>
          </cell>
          <cell r="Q317" t="str">
            <v>Prime</v>
          </cell>
          <cell r="R317" t="str">
            <v>T&amp;M</v>
          </cell>
          <cell r="S317">
            <v>0</v>
          </cell>
          <cell r="T317">
            <v>1</v>
          </cell>
          <cell r="U317" t="str">
            <v>CONTRACT</v>
          </cell>
          <cell r="V317" t="str">
            <v>Base</v>
          </cell>
          <cell r="W317" t="str">
            <v>05 Won</v>
          </cell>
          <cell r="X317" t="str">
            <v>Active</v>
          </cell>
          <cell r="Y317">
            <v>1</v>
          </cell>
          <cell r="Z317">
            <v>0</v>
          </cell>
          <cell r="AA317">
            <v>3165190.620000001</v>
          </cell>
          <cell r="AB317">
            <v>0</v>
          </cell>
          <cell r="AC317">
            <v>0</v>
          </cell>
          <cell r="AD317">
            <v>3165190.620000001</v>
          </cell>
          <cell r="AL317">
            <v>0</v>
          </cell>
          <cell r="AM317">
            <v>8.4233423609394245E-2</v>
          </cell>
          <cell r="AN317">
            <v>7.6433907427192013E-2</v>
          </cell>
          <cell r="AO317">
            <v>8.3143027233163247E-2</v>
          </cell>
          <cell r="AP317">
            <v>8.3796008661305293E-2</v>
          </cell>
          <cell r="AQ317">
            <v>8.3796008661305293E-2</v>
          </cell>
          <cell r="AR317">
            <v>8.3796008661305293E-2</v>
          </cell>
          <cell r="AS317">
            <v>8.3796008661305293E-2</v>
          </cell>
          <cell r="BF317">
            <v>0</v>
          </cell>
          <cell r="BG317">
            <v>568031.56000000006</v>
          </cell>
          <cell r="BH317">
            <v>540904.58000000007</v>
          </cell>
          <cell r="BI317">
            <v>69004.900000000023</v>
          </cell>
          <cell r="BJ317">
            <v>107314.17999999993</v>
          </cell>
          <cell r="BK317">
            <v>76246.110000000044</v>
          </cell>
          <cell r="BL317">
            <v>81213</v>
          </cell>
          <cell r="BM317">
            <v>333778.19</v>
          </cell>
          <cell r="BN317">
            <v>101894.522</v>
          </cell>
          <cell r="BO317">
            <v>101894.522</v>
          </cell>
          <cell r="BP317">
            <v>61441.29660820237</v>
          </cell>
          <cell r="BQ317">
            <v>0</v>
          </cell>
          <cell r="BR317">
            <v>599008.53060820233</v>
          </cell>
          <cell r="BT317">
            <v>0</v>
          </cell>
          <cell r="CA317" t="str">
            <v>TS3004 - CONTRACT - Base</v>
          </cell>
          <cell r="CC317" t="str">
            <v>TS3004 - CONTRACT - Base - MR</v>
          </cell>
          <cell r="CD317" t="str">
            <v/>
          </cell>
          <cell r="CF317" t="str">
            <v>TS3004 - Base - MR</v>
          </cell>
        </row>
        <row r="318">
          <cell r="D318">
            <v>304</v>
          </cell>
          <cell r="E318">
            <v>2</v>
          </cell>
          <cell r="F318">
            <v>4</v>
          </cell>
          <cell r="G318" t="str">
            <v>TS3004</v>
          </cell>
          <cell r="H318" t="str">
            <v>TS3 004 RRAD DPW</v>
          </cell>
          <cell r="I318" t="str">
            <v>MR</v>
          </cell>
          <cell r="J318" t="str">
            <v>MR Maintenance &amp; Sustainment</v>
          </cell>
          <cell r="K318" t="str">
            <v>Army</v>
          </cell>
          <cell r="L318" t="str">
            <v>DOD</v>
          </cell>
          <cell r="M318" t="str">
            <v>TX</v>
          </cell>
          <cell r="N318" t="str">
            <v>CONUS</v>
          </cell>
          <cell r="O318">
            <v>0</v>
          </cell>
          <cell r="P318">
            <v>0</v>
          </cell>
          <cell r="Q318">
            <v>0</v>
          </cell>
          <cell r="R318" t="str">
            <v>T&amp;M</v>
          </cell>
          <cell r="S318">
            <v>0</v>
          </cell>
          <cell r="T318">
            <v>1</v>
          </cell>
          <cell r="U318" t="str">
            <v>CONTRACT</v>
          </cell>
          <cell r="V318" t="str">
            <v>Identified - Recompete</v>
          </cell>
          <cell r="W318">
            <v>0</v>
          </cell>
          <cell r="X318">
            <v>0</v>
          </cell>
          <cell r="Y318">
            <v>0</v>
          </cell>
          <cell r="Z318">
            <v>0</v>
          </cell>
          <cell r="AA318">
            <v>0</v>
          </cell>
          <cell r="AB318">
            <v>0</v>
          </cell>
          <cell r="AC318">
            <v>0</v>
          </cell>
          <cell r="AD318">
            <v>0</v>
          </cell>
          <cell r="AP318">
            <v>0</v>
          </cell>
          <cell r="AQ318">
            <v>0</v>
          </cell>
          <cell r="AR318">
            <v>0</v>
          </cell>
          <cell r="AS318">
            <v>0</v>
          </cell>
          <cell r="BI318">
            <v>0</v>
          </cell>
          <cell r="BJ318">
            <v>0</v>
          </cell>
          <cell r="BK318">
            <v>0</v>
          </cell>
          <cell r="BL318">
            <v>0</v>
          </cell>
          <cell r="BM318">
            <v>0</v>
          </cell>
          <cell r="BN318">
            <v>0</v>
          </cell>
          <cell r="BO318">
            <v>0</v>
          </cell>
          <cell r="BP318">
            <v>0</v>
          </cell>
          <cell r="BQ318">
            <v>0</v>
          </cell>
          <cell r="BR318">
            <v>0</v>
          </cell>
          <cell r="BT318">
            <v>0</v>
          </cell>
          <cell r="CA318" t="str">
            <v>TS3004 - CONTRACT - Identified - Recompete</v>
          </cell>
          <cell r="CC318" t="str">
            <v>TS3004 - CONTRACT - Identified - Recompete - MR</v>
          </cell>
          <cell r="CD318" t="str">
            <v/>
          </cell>
          <cell r="CF318" t="str">
            <v>TS3004 - Identified - Recompete - MR</v>
          </cell>
        </row>
        <row r="319">
          <cell r="D319">
            <v>305</v>
          </cell>
          <cell r="E319">
            <v>0</v>
          </cell>
          <cell r="F319">
            <v>5</v>
          </cell>
          <cell r="G319" t="str">
            <v>TS3004</v>
          </cell>
          <cell r="H319" t="str">
            <v>TS3 004 RRAD DPW</v>
          </cell>
          <cell r="I319" t="str">
            <v>MR</v>
          </cell>
          <cell r="J319" t="str">
            <v>MR Maintenance &amp; Sustainment</v>
          </cell>
          <cell r="K319" t="str">
            <v>Army</v>
          </cell>
          <cell r="L319" t="str">
            <v>DOD</v>
          </cell>
          <cell r="M319" t="str">
            <v>TX</v>
          </cell>
          <cell r="N319" t="str">
            <v>CONUS</v>
          </cell>
          <cell r="O319">
            <v>42658</v>
          </cell>
          <cell r="P319">
            <v>43752</v>
          </cell>
          <cell r="Q319" t="str">
            <v>Prime</v>
          </cell>
          <cell r="R319" t="str">
            <v>T&amp;M</v>
          </cell>
          <cell r="S319">
            <v>0</v>
          </cell>
          <cell r="T319">
            <v>1</v>
          </cell>
          <cell r="U319" t="str">
            <v>EBITA</v>
          </cell>
          <cell r="V319" t="str">
            <v>Base</v>
          </cell>
          <cell r="W319" t="str">
            <v>05 Won</v>
          </cell>
          <cell r="X319" t="str">
            <v>Active</v>
          </cell>
          <cell r="Y319">
            <v>1</v>
          </cell>
          <cell r="Z319">
            <v>0</v>
          </cell>
          <cell r="AA319">
            <v>3165190.620000001</v>
          </cell>
          <cell r="AB319">
            <v>0</v>
          </cell>
          <cell r="AC319">
            <v>0</v>
          </cell>
          <cell r="AD319">
            <v>3165190.620000001</v>
          </cell>
          <cell r="AT319">
            <v>0</v>
          </cell>
          <cell r="AU319">
            <v>4.4408062833848037E-3</v>
          </cell>
          <cell r="AV319">
            <v>-8.6197895381846812E-4</v>
          </cell>
          <cell r="AW319">
            <v>6.2194973374184205E-3</v>
          </cell>
          <cell r="AX319">
            <v>9.6899459219578661E-3</v>
          </cell>
          <cell r="AY319">
            <v>1.0689945921957867E-2</v>
          </cell>
          <cell r="AZ319">
            <v>1.1689945921957868E-2</v>
          </cell>
          <cell r="BA319">
            <v>1.2689945921957869E-2</v>
          </cell>
          <cell r="BF319">
            <v>0</v>
          </cell>
          <cell r="BG319">
            <v>29946.760000000111</v>
          </cell>
          <cell r="BH319">
            <v>-6100.019999999975</v>
          </cell>
          <cell r="BI319">
            <v>-10914.329999999976</v>
          </cell>
          <cell r="BJ319">
            <v>29311.839999999938</v>
          </cell>
          <cell r="BK319">
            <v>-2647.2999999999556</v>
          </cell>
          <cell r="BL319">
            <v>9218</v>
          </cell>
          <cell r="BM319">
            <v>24968.210000000006</v>
          </cell>
          <cell r="BN319">
            <v>11782.809512020092</v>
          </cell>
          <cell r="BO319">
            <v>12998.792512020093</v>
          </cell>
          <cell r="BP319">
            <v>8571.3561564481188</v>
          </cell>
          <cell r="BQ319">
            <v>0</v>
          </cell>
          <cell r="BR319">
            <v>58321.168180488312</v>
          </cell>
          <cell r="BT319">
            <v>0</v>
          </cell>
          <cell r="CA319" t="str">
            <v>TS3004 - EBITA - Base</v>
          </cell>
          <cell r="CC319" t="str">
            <v>TS3004 - EBITA - Base - MR</v>
          </cell>
          <cell r="CD319" t="str">
            <v/>
          </cell>
          <cell r="CF319" t="str">
            <v>TS3004 - Base - MR</v>
          </cell>
        </row>
        <row r="320">
          <cell r="D320">
            <v>306</v>
          </cell>
          <cell r="E320">
            <v>0</v>
          </cell>
          <cell r="F320">
            <v>0</v>
          </cell>
          <cell r="G320" t="str">
            <v>TS3004</v>
          </cell>
          <cell r="H320" t="str">
            <v>TS3 004 RRAD DPW</v>
          </cell>
          <cell r="I320" t="str">
            <v>MR</v>
          </cell>
          <cell r="J320" t="str">
            <v>MR Maintenance &amp; Sustainment</v>
          </cell>
          <cell r="K320" t="str">
            <v>Army</v>
          </cell>
          <cell r="L320" t="str">
            <v>DOD</v>
          </cell>
          <cell r="M320" t="str">
            <v>TX</v>
          </cell>
          <cell r="N320" t="str">
            <v>CONUS</v>
          </cell>
          <cell r="O320">
            <v>0</v>
          </cell>
          <cell r="P320">
            <v>0</v>
          </cell>
          <cell r="Q320">
            <v>0</v>
          </cell>
          <cell r="R320" t="str">
            <v>T&amp;M</v>
          </cell>
          <cell r="S320">
            <v>0</v>
          </cell>
          <cell r="T320">
            <v>1</v>
          </cell>
          <cell r="U320" t="str">
            <v>EBITA</v>
          </cell>
          <cell r="V320" t="str">
            <v>Identified - Recompete</v>
          </cell>
          <cell r="W320">
            <v>0</v>
          </cell>
          <cell r="X320">
            <v>0</v>
          </cell>
          <cell r="Y320">
            <v>0</v>
          </cell>
          <cell r="Z320">
            <v>0</v>
          </cell>
          <cell r="AA320">
            <v>0</v>
          </cell>
          <cell r="AB320">
            <v>0</v>
          </cell>
          <cell r="AC320">
            <v>0</v>
          </cell>
          <cell r="AD320">
            <v>0</v>
          </cell>
          <cell r="AX320">
            <v>0</v>
          </cell>
          <cell r="AY320">
            <v>0</v>
          </cell>
          <cell r="AZ320">
            <v>0</v>
          </cell>
          <cell r="BA320">
            <v>0</v>
          </cell>
          <cell r="BI320">
            <v>0</v>
          </cell>
          <cell r="BJ320">
            <v>0</v>
          </cell>
          <cell r="BK320">
            <v>0</v>
          </cell>
          <cell r="BL320">
            <v>0</v>
          </cell>
          <cell r="BM320">
            <v>0</v>
          </cell>
          <cell r="BN320">
            <v>0</v>
          </cell>
          <cell r="BO320">
            <v>0</v>
          </cell>
          <cell r="BP320">
            <v>0</v>
          </cell>
          <cell r="BQ320">
            <v>0</v>
          </cell>
          <cell r="BR320">
            <v>0</v>
          </cell>
          <cell r="BT320">
            <v>0</v>
          </cell>
          <cell r="CA320" t="str">
            <v>TS3004 - EBITA - Identified - Recompete</v>
          </cell>
          <cell r="CC320" t="str">
            <v>TS3004 - EBITA - Identified - Recompete - MR</v>
          </cell>
          <cell r="CD320" t="str">
            <v/>
          </cell>
          <cell r="CF320" t="str">
            <v>TS3004 - Identified - Recompete - MR</v>
          </cell>
        </row>
        <row r="321">
          <cell r="D321">
            <v>307</v>
          </cell>
          <cell r="E321">
            <v>1</v>
          </cell>
          <cell r="F321">
            <v>1</v>
          </cell>
          <cell r="G321" t="str">
            <v>KDCTOT</v>
          </cell>
          <cell r="H321" t="str">
            <v>KDC Total</v>
          </cell>
          <cell r="I321" t="str">
            <v>MR</v>
          </cell>
          <cell r="J321" t="str">
            <v>MR Logistics &amp; Supply</v>
          </cell>
          <cell r="K321" t="str">
            <v>D L A</v>
          </cell>
          <cell r="L321" t="str">
            <v>DOD</v>
          </cell>
          <cell r="M321" t="str">
            <v>DC</v>
          </cell>
          <cell r="N321" t="str">
            <v>CONUS</v>
          </cell>
          <cell r="O321">
            <v>42409</v>
          </cell>
          <cell r="P321">
            <v>44235</v>
          </cell>
          <cell r="Q321" t="str">
            <v>Sub</v>
          </cell>
          <cell r="R321" t="str">
            <v>CPFF</v>
          </cell>
          <cell r="S321">
            <v>0</v>
          </cell>
          <cell r="T321">
            <v>1</v>
          </cell>
          <cell r="U321" t="str">
            <v>REVTOT</v>
          </cell>
          <cell r="V321" t="str">
            <v>Base</v>
          </cell>
          <cell r="W321" t="str">
            <v>05 Won</v>
          </cell>
          <cell r="X321" t="str">
            <v>Active</v>
          </cell>
          <cell r="Y321">
            <v>1</v>
          </cell>
          <cell r="Z321">
            <v>0</v>
          </cell>
          <cell r="AA321">
            <v>1008548.8699999921</v>
          </cell>
          <cell r="AB321">
            <v>15315311</v>
          </cell>
          <cell r="AC321">
            <v>0</v>
          </cell>
          <cell r="AD321">
            <v>16323859.869999992</v>
          </cell>
          <cell r="AE321">
            <v>-0.51304167183554172</v>
          </cell>
          <cell r="AF321">
            <v>-8.6129491921236201E-2</v>
          </cell>
          <cell r="AG321">
            <v>2.8048535072110914E-2</v>
          </cell>
          <cell r="AH321">
            <v>-0.6807160693091423</v>
          </cell>
          <cell r="AI321">
            <v>0</v>
          </cell>
          <cell r="AJ321">
            <v>0</v>
          </cell>
          <cell r="AK321">
            <v>0</v>
          </cell>
          <cell r="BB321">
            <v>1597428</v>
          </cell>
          <cell r="BC321">
            <v>1597428</v>
          </cell>
          <cell r="BD321">
            <v>1597428</v>
          </cell>
          <cell r="BE321">
            <v>1597428</v>
          </cell>
          <cell r="BF321">
            <v>10935890.49</v>
          </cell>
          <cell r="BG321">
            <v>5325322.9499999993</v>
          </cell>
          <cell r="BH321">
            <v>4866655.5900000008</v>
          </cell>
          <cell r="BI321">
            <v>1605086.13</v>
          </cell>
          <cell r="BJ321">
            <v>1382285.24</v>
          </cell>
          <cell r="BK321">
            <v>1218940.78</v>
          </cell>
          <cell r="BL321">
            <v>796846</v>
          </cell>
          <cell r="BM321">
            <v>5003158.1500000004</v>
          </cell>
          <cell r="BN321">
            <v>1597428</v>
          </cell>
          <cell r="BO321">
            <v>1597428</v>
          </cell>
          <cell r="BP321">
            <v>1597428</v>
          </cell>
          <cell r="BQ321">
            <v>1597428</v>
          </cell>
          <cell r="BR321">
            <v>11392870.15</v>
          </cell>
          <cell r="BT321">
            <v>0</v>
          </cell>
          <cell r="CA321" t="str">
            <v>KDCTOT - REVTOT - Base</v>
          </cell>
          <cell r="CC321" t="str">
            <v>KDCTOT - REVTOT - Base - MR</v>
          </cell>
          <cell r="CD321" t="str">
            <v>KDCTOT - REVTOT - Base - MR</v>
          </cell>
          <cell r="CF321" t="str">
            <v>KDCTOT - Base - MR</v>
          </cell>
        </row>
        <row r="322">
          <cell r="D322">
            <v>308</v>
          </cell>
          <cell r="E322">
            <v>1</v>
          </cell>
          <cell r="F322">
            <v>2</v>
          </cell>
          <cell r="G322" t="str">
            <v>KDCTOT</v>
          </cell>
          <cell r="H322" t="str">
            <v>KDC Total</v>
          </cell>
          <cell r="I322" t="str">
            <v>MR</v>
          </cell>
          <cell r="J322" t="str">
            <v>MR Logistics &amp; Supply</v>
          </cell>
          <cell r="K322" t="str">
            <v>D L A</v>
          </cell>
          <cell r="L322" t="str">
            <v>DOD</v>
          </cell>
          <cell r="M322" t="str">
            <v>DC</v>
          </cell>
          <cell r="N322" t="str">
            <v>CONUS</v>
          </cell>
          <cell r="O322">
            <v>0</v>
          </cell>
          <cell r="P322">
            <v>0</v>
          </cell>
          <cell r="Q322">
            <v>0</v>
          </cell>
          <cell r="R322" t="str">
            <v>CPFF</v>
          </cell>
          <cell r="S322">
            <v>0</v>
          </cell>
          <cell r="T322">
            <v>1</v>
          </cell>
          <cell r="U322" t="str">
            <v>REVTOT</v>
          </cell>
          <cell r="V322" t="str">
            <v>Identified - Recompete</v>
          </cell>
          <cell r="W322">
            <v>0</v>
          </cell>
          <cell r="X322">
            <v>0</v>
          </cell>
          <cell r="Y322">
            <v>0</v>
          </cell>
          <cell r="Z322">
            <v>0</v>
          </cell>
          <cell r="AA322">
            <v>0</v>
          </cell>
          <cell r="AB322">
            <v>0</v>
          </cell>
          <cell r="AC322">
            <v>0</v>
          </cell>
          <cell r="AD322">
            <v>0</v>
          </cell>
          <cell r="AI322">
            <v>0</v>
          </cell>
          <cell r="AJ322">
            <v>0</v>
          </cell>
          <cell r="AK322">
            <v>0</v>
          </cell>
          <cell r="BB322">
            <v>0</v>
          </cell>
          <cell r="BC322">
            <v>0</v>
          </cell>
          <cell r="BD322">
            <v>0</v>
          </cell>
          <cell r="BE322">
            <v>0</v>
          </cell>
          <cell r="BI322">
            <v>0</v>
          </cell>
          <cell r="BJ322">
            <v>0</v>
          </cell>
          <cell r="BK322">
            <v>0</v>
          </cell>
          <cell r="BL322">
            <v>0</v>
          </cell>
          <cell r="BM322">
            <v>0</v>
          </cell>
          <cell r="BN322">
            <v>0</v>
          </cell>
          <cell r="BO322">
            <v>0</v>
          </cell>
          <cell r="BP322">
            <v>0</v>
          </cell>
          <cell r="BQ322">
            <v>0</v>
          </cell>
          <cell r="BR322">
            <v>0</v>
          </cell>
          <cell r="BT322">
            <v>0</v>
          </cell>
          <cell r="CA322" t="str">
            <v>KDCTOT - REVTOT - Identified - Recompete</v>
          </cell>
          <cell r="CC322" t="str">
            <v>KDCTOT - REVTOT - Identified - Recompete - MR</v>
          </cell>
          <cell r="CD322" t="str">
            <v/>
          </cell>
          <cell r="CF322" t="str">
            <v>KDCTOT - Identified - Recompete - MR</v>
          </cell>
        </row>
        <row r="323">
          <cell r="D323">
            <v>309</v>
          </cell>
          <cell r="E323">
            <v>2</v>
          </cell>
          <cell r="F323">
            <v>3</v>
          </cell>
          <cell r="G323" t="str">
            <v>KDCTOT</v>
          </cell>
          <cell r="H323" t="str">
            <v>KDC Total</v>
          </cell>
          <cell r="I323" t="str">
            <v>MR</v>
          </cell>
          <cell r="J323" t="str">
            <v>MR Logistics &amp; Supply</v>
          </cell>
          <cell r="K323" t="str">
            <v>D L A</v>
          </cell>
          <cell r="L323" t="str">
            <v>DOD</v>
          </cell>
          <cell r="M323" t="str">
            <v>DC</v>
          </cell>
          <cell r="N323" t="str">
            <v>CONUS</v>
          </cell>
          <cell r="O323">
            <v>42409</v>
          </cell>
          <cell r="P323">
            <v>44235</v>
          </cell>
          <cell r="Q323" t="str">
            <v>Sub</v>
          </cell>
          <cell r="R323" t="str">
            <v>CPFF</v>
          </cell>
          <cell r="S323">
            <v>0</v>
          </cell>
          <cell r="T323">
            <v>1</v>
          </cell>
          <cell r="U323" t="str">
            <v>CONTRACT</v>
          </cell>
          <cell r="V323" t="str">
            <v>Base</v>
          </cell>
          <cell r="W323" t="str">
            <v>05 Won</v>
          </cell>
          <cell r="X323" t="str">
            <v>Active</v>
          </cell>
          <cell r="Y323">
            <v>1</v>
          </cell>
          <cell r="Z323">
            <v>0</v>
          </cell>
          <cell r="AA323">
            <v>1008548.8699999921</v>
          </cell>
          <cell r="AB323">
            <v>15315311</v>
          </cell>
          <cell r="AC323">
            <v>0</v>
          </cell>
          <cell r="AD323">
            <v>16323859.869999992</v>
          </cell>
          <cell r="AL323">
            <v>0.12608965417684975</v>
          </cell>
          <cell r="AM323">
            <v>-0.10621508128441316</v>
          </cell>
          <cell r="AN323">
            <v>-0.14247264207985588</v>
          </cell>
          <cell r="AO323">
            <v>-0.1006950869624219</v>
          </cell>
          <cell r="AP323">
            <v>0.12491026049374367</v>
          </cell>
          <cell r="AQ323">
            <v>0.12491026049374367</v>
          </cell>
          <cell r="AR323">
            <v>0.12491026049374367</v>
          </cell>
          <cell r="AS323">
            <v>0.12491026049374367</v>
          </cell>
          <cell r="BF323">
            <v>1378902.65</v>
          </cell>
          <cell r="BG323">
            <v>-565629.6100000008</v>
          </cell>
          <cell r="BH323">
            <v>-693365.28</v>
          </cell>
          <cell r="BI323">
            <v>13863.780000000086</v>
          </cell>
          <cell r="BJ323">
            <v>-130115.06000000006</v>
          </cell>
          <cell r="BK323">
            <v>-181306.89999999991</v>
          </cell>
          <cell r="BL323">
            <v>-206235.26500100002</v>
          </cell>
          <cell r="BM323">
            <v>-503793.4450009999</v>
          </cell>
          <cell r="BN323">
            <v>199535.14759999997</v>
          </cell>
          <cell r="BO323">
            <v>199535.14759999997</v>
          </cell>
          <cell r="BP323">
            <v>199535.14759999997</v>
          </cell>
          <cell r="BQ323">
            <v>199535.14759999997</v>
          </cell>
          <cell r="BR323">
            <v>294347.14539899997</v>
          </cell>
          <cell r="BT323">
            <v>0</v>
          </cell>
          <cell r="CA323" t="str">
            <v>KDCTOT - CONTRACT - Base</v>
          </cell>
          <cell r="CC323" t="str">
            <v>KDCTOT - CONTRACT - Base - MR</v>
          </cell>
          <cell r="CD323" t="str">
            <v/>
          </cell>
          <cell r="CF323" t="str">
            <v>KDCTOT - Base - MR</v>
          </cell>
        </row>
        <row r="324">
          <cell r="D324">
            <v>310</v>
          </cell>
          <cell r="E324">
            <v>2</v>
          </cell>
          <cell r="F324">
            <v>4</v>
          </cell>
          <cell r="G324" t="str">
            <v>KDCTOT</v>
          </cell>
          <cell r="H324" t="str">
            <v>KDC Total</v>
          </cell>
          <cell r="I324" t="str">
            <v>MR</v>
          </cell>
          <cell r="J324" t="str">
            <v>MR Logistics &amp; Supply</v>
          </cell>
          <cell r="K324" t="str">
            <v>D L A</v>
          </cell>
          <cell r="L324" t="str">
            <v>DOD</v>
          </cell>
          <cell r="M324" t="str">
            <v>DC</v>
          </cell>
          <cell r="N324" t="str">
            <v>CONUS</v>
          </cell>
          <cell r="O324">
            <v>0</v>
          </cell>
          <cell r="P324">
            <v>0</v>
          </cell>
          <cell r="Q324">
            <v>0</v>
          </cell>
          <cell r="R324" t="str">
            <v>CPFF</v>
          </cell>
          <cell r="S324">
            <v>0</v>
          </cell>
          <cell r="T324">
            <v>1</v>
          </cell>
          <cell r="U324" t="str">
            <v>CONTRACT</v>
          </cell>
          <cell r="V324" t="str">
            <v>Identified - Recompete</v>
          </cell>
          <cell r="W324">
            <v>0</v>
          </cell>
          <cell r="X324">
            <v>0</v>
          </cell>
          <cell r="Y324">
            <v>0</v>
          </cell>
          <cell r="Z324">
            <v>0</v>
          </cell>
          <cell r="AA324">
            <v>0</v>
          </cell>
          <cell r="AB324">
            <v>0</v>
          </cell>
          <cell r="AC324">
            <v>0</v>
          </cell>
          <cell r="AD324">
            <v>0</v>
          </cell>
          <cell r="AP324">
            <v>0</v>
          </cell>
          <cell r="AQ324">
            <v>0</v>
          </cell>
          <cell r="AR324">
            <v>0</v>
          </cell>
          <cell r="AS324">
            <v>0</v>
          </cell>
          <cell r="BI324">
            <v>0</v>
          </cell>
          <cell r="BJ324">
            <v>0</v>
          </cell>
          <cell r="BK324">
            <v>0</v>
          </cell>
          <cell r="BL324">
            <v>0</v>
          </cell>
          <cell r="BM324">
            <v>0</v>
          </cell>
          <cell r="BN324">
            <v>0</v>
          </cell>
          <cell r="BO324">
            <v>0</v>
          </cell>
          <cell r="BP324">
            <v>0</v>
          </cell>
          <cell r="BQ324">
            <v>0</v>
          </cell>
          <cell r="BR324">
            <v>0</v>
          </cell>
          <cell r="BT324">
            <v>0</v>
          </cell>
          <cell r="CA324" t="str">
            <v>KDCTOT - CONTRACT - Identified - Recompete</v>
          </cell>
          <cell r="CC324" t="str">
            <v>KDCTOT - CONTRACT - Identified - Recompete - MR</v>
          </cell>
          <cell r="CD324" t="str">
            <v/>
          </cell>
          <cell r="CF324" t="str">
            <v>KDCTOT - Identified - Recompete - MR</v>
          </cell>
        </row>
        <row r="325">
          <cell r="D325">
            <v>311</v>
          </cell>
          <cell r="E325">
            <v>0</v>
          </cell>
          <cell r="F325">
            <v>5</v>
          </cell>
          <cell r="G325" t="str">
            <v>KDCTOT</v>
          </cell>
          <cell r="H325" t="str">
            <v>KDC Total</v>
          </cell>
          <cell r="I325" t="str">
            <v>MR</v>
          </cell>
          <cell r="J325" t="str">
            <v>MR Logistics &amp; Supply</v>
          </cell>
          <cell r="K325" t="str">
            <v>D L A</v>
          </cell>
          <cell r="L325" t="str">
            <v>DOD</v>
          </cell>
          <cell r="M325" t="str">
            <v>DC</v>
          </cell>
          <cell r="N325" t="str">
            <v>CONUS</v>
          </cell>
          <cell r="O325">
            <v>42409</v>
          </cell>
          <cell r="P325">
            <v>44235</v>
          </cell>
          <cell r="Q325" t="str">
            <v>Sub</v>
          </cell>
          <cell r="R325" t="str">
            <v>CPFF</v>
          </cell>
          <cell r="S325">
            <v>0</v>
          </cell>
          <cell r="T325">
            <v>1</v>
          </cell>
          <cell r="U325" t="str">
            <v>EBITA</v>
          </cell>
          <cell r="V325" t="str">
            <v>Base</v>
          </cell>
          <cell r="W325" t="str">
            <v>05 Won</v>
          </cell>
          <cell r="X325" t="str">
            <v>Active</v>
          </cell>
          <cell r="Y325">
            <v>1</v>
          </cell>
          <cell r="Z325">
            <v>0</v>
          </cell>
          <cell r="AA325">
            <v>1008548.8699999921</v>
          </cell>
          <cell r="AB325">
            <v>15315311</v>
          </cell>
          <cell r="AC325">
            <v>0</v>
          </cell>
          <cell r="AD325">
            <v>16323859.869999992</v>
          </cell>
          <cell r="AT325">
            <v>5.1238533388056985E-2</v>
          </cell>
          <cell r="AU325">
            <v>-0.20660579843331398</v>
          </cell>
          <cell r="AV325">
            <v>-0.25903521970824311</v>
          </cell>
          <cell r="AW325">
            <v>-0.21001086086146473</v>
          </cell>
          <cell r="AX325">
            <v>3.031936260575006E-2</v>
          </cell>
          <cell r="AY325">
            <v>3.031936260575006E-2</v>
          </cell>
          <cell r="AZ325">
            <v>3.031936260575006E-2</v>
          </cell>
          <cell r="BA325">
            <v>3.031936260575006E-2</v>
          </cell>
          <cell r="BF325">
            <v>560338.98999999987</v>
          </cell>
          <cell r="BG325">
            <v>-1100242.6000000008</v>
          </cell>
          <cell r="BH325">
            <v>-1260635.1999999997</v>
          </cell>
          <cell r="BI325">
            <v>-157288.28999999992</v>
          </cell>
          <cell r="BJ325">
            <v>-280159.67000000004</v>
          </cell>
          <cell r="BK325">
            <v>-322505.3899999999</v>
          </cell>
          <cell r="BL325">
            <v>-290764.20010755345</v>
          </cell>
          <cell r="BM325">
            <v>-1050717.5501075534</v>
          </cell>
          <cell r="BN325">
            <v>48432.998768578109</v>
          </cell>
          <cell r="BO325">
            <v>48432.998768578109</v>
          </cell>
          <cell r="BP325">
            <v>48432.998768578109</v>
          </cell>
          <cell r="BQ325">
            <v>48432.998768578109</v>
          </cell>
          <cell r="BR325">
            <v>-856985.55503324117</v>
          </cell>
          <cell r="BT325">
            <v>0</v>
          </cell>
          <cell r="CA325" t="str">
            <v>KDCTOT - EBITA - Base</v>
          </cell>
          <cell r="CC325" t="str">
            <v>KDCTOT - EBITA - Base - MR</v>
          </cell>
          <cell r="CD325" t="str">
            <v/>
          </cell>
          <cell r="CF325" t="str">
            <v>KDCTOT - Base - MR</v>
          </cell>
        </row>
        <row r="326">
          <cell r="D326">
            <v>312</v>
          </cell>
          <cell r="E326">
            <v>0</v>
          </cell>
          <cell r="F326">
            <v>0</v>
          </cell>
          <cell r="G326" t="str">
            <v>KDCTOT</v>
          </cell>
          <cell r="H326" t="str">
            <v>KDC Total</v>
          </cell>
          <cell r="I326" t="str">
            <v>MR</v>
          </cell>
          <cell r="J326" t="str">
            <v>MR Logistics &amp; Supply</v>
          </cell>
          <cell r="K326" t="str">
            <v>D L A</v>
          </cell>
          <cell r="L326" t="str">
            <v>DOD</v>
          </cell>
          <cell r="M326" t="str">
            <v>DC</v>
          </cell>
          <cell r="N326" t="str">
            <v>CONUS</v>
          </cell>
          <cell r="O326">
            <v>0</v>
          </cell>
          <cell r="P326">
            <v>0</v>
          </cell>
          <cell r="Q326">
            <v>0</v>
          </cell>
          <cell r="R326" t="str">
            <v>CPFF</v>
          </cell>
          <cell r="S326">
            <v>0</v>
          </cell>
          <cell r="T326">
            <v>1</v>
          </cell>
          <cell r="U326" t="str">
            <v>EBITA</v>
          </cell>
          <cell r="V326" t="str">
            <v>Identified - Recompete</v>
          </cell>
          <cell r="W326">
            <v>0</v>
          </cell>
          <cell r="X326">
            <v>0</v>
          </cell>
          <cell r="Y326">
            <v>0</v>
          </cell>
          <cell r="Z326">
            <v>0</v>
          </cell>
          <cell r="AA326">
            <v>0</v>
          </cell>
          <cell r="AB326">
            <v>0</v>
          </cell>
          <cell r="AC326">
            <v>0</v>
          </cell>
          <cell r="AD326">
            <v>0</v>
          </cell>
          <cell r="AX326">
            <v>0</v>
          </cell>
          <cell r="AY326">
            <v>0</v>
          </cell>
          <cell r="AZ326">
            <v>0</v>
          </cell>
          <cell r="BA326">
            <v>0</v>
          </cell>
          <cell r="BI326">
            <v>0</v>
          </cell>
          <cell r="BJ326">
            <v>0</v>
          </cell>
          <cell r="BK326">
            <v>0</v>
          </cell>
          <cell r="BL326">
            <v>0</v>
          </cell>
          <cell r="BM326">
            <v>0</v>
          </cell>
          <cell r="BN326">
            <v>0</v>
          </cell>
          <cell r="BO326">
            <v>0</v>
          </cell>
          <cell r="BP326">
            <v>0</v>
          </cell>
          <cell r="BQ326">
            <v>0</v>
          </cell>
          <cell r="BR326">
            <v>0</v>
          </cell>
          <cell r="BT326">
            <v>0</v>
          </cell>
          <cell r="CA326" t="str">
            <v>KDCTOT - EBITA - Identified - Recompete</v>
          </cell>
          <cell r="CC326" t="str">
            <v>KDCTOT - EBITA - Identified - Recompete - MR</v>
          </cell>
          <cell r="CD326" t="str">
            <v/>
          </cell>
          <cell r="CF326" t="str">
            <v>KDCTOT - Identified - Recompete - MR</v>
          </cell>
        </row>
        <row r="327">
          <cell r="D327">
            <v>313</v>
          </cell>
          <cell r="E327">
            <v>1</v>
          </cell>
          <cell r="F327">
            <v>1</v>
          </cell>
          <cell r="G327" t="str">
            <v>HMOKIN</v>
          </cell>
          <cell r="H327" t="str">
            <v>JEMMS HAZMAT 3PL</v>
          </cell>
          <cell r="I327" t="str">
            <v>MR</v>
          </cell>
          <cell r="J327" t="str">
            <v>MR Logistics &amp; Supply</v>
          </cell>
          <cell r="K327" t="str">
            <v>D L A</v>
          </cell>
          <cell r="L327" t="str">
            <v>DOD</v>
          </cell>
          <cell r="M327" t="str">
            <v>Japan</v>
          </cell>
          <cell r="N327" t="str">
            <v>OCONUS</v>
          </cell>
          <cell r="O327">
            <v>41606</v>
          </cell>
          <cell r="P327">
            <v>43431</v>
          </cell>
          <cell r="Q327" t="str">
            <v>Prime</v>
          </cell>
          <cell r="R327" t="str">
            <v>CPFF</v>
          </cell>
          <cell r="S327">
            <v>0</v>
          </cell>
          <cell r="T327">
            <v>1</v>
          </cell>
          <cell r="U327" t="str">
            <v>REVTOT</v>
          </cell>
          <cell r="V327" t="str">
            <v>Base</v>
          </cell>
          <cell r="W327" t="str">
            <v>05 Won</v>
          </cell>
          <cell r="X327" t="str">
            <v>Active</v>
          </cell>
          <cell r="Y327">
            <v>1</v>
          </cell>
          <cell r="Z327">
            <v>0</v>
          </cell>
          <cell r="AA327">
            <v>743371.050000004</v>
          </cell>
          <cell r="AB327">
            <v>9.3132257461547852E-10</v>
          </cell>
          <cell r="AC327">
            <v>0</v>
          </cell>
          <cell r="AD327">
            <v>743371.05000000494</v>
          </cell>
          <cell r="AE327">
            <v>-3.8571320708908896E-3</v>
          </cell>
          <cell r="AF327">
            <v>-4.5093216885646936E-2</v>
          </cell>
          <cell r="AG327">
            <v>-0.51090884433828121</v>
          </cell>
          <cell r="AH327">
            <v>-1</v>
          </cell>
          <cell r="AI327">
            <v>0</v>
          </cell>
          <cell r="AJ327">
            <v>0</v>
          </cell>
          <cell r="AK327">
            <v>0</v>
          </cell>
          <cell r="BB327">
            <v>0</v>
          </cell>
          <cell r="BC327">
            <v>0</v>
          </cell>
          <cell r="BD327">
            <v>0</v>
          </cell>
          <cell r="BE327">
            <v>0</v>
          </cell>
          <cell r="BF327">
            <v>8158268.7400000002</v>
          </cell>
          <cell r="BG327">
            <v>8126801.2199999997</v>
          </cell>
          <cell r="BH327">
            <v>7760337.6099999994</v>
          </cell>
          <cell r="BI327">
            <v>1920872.26</v>
          </cell>
          <cell r="BJ327">
            <v>1811906.1800000002</v>
          </cell>
          <cell r="BK327">
            <v>62734.049999999996</v>
          </cell>
          <cell r="BL327">
            <v>0</v>
          </cell>
          <cell r="BM327">
            <v>3795512.49</v>
          </cell>
          <cell r="BN327">
            <v>0</v>
          </cell>
          <cell r="BO327">
            <v>0</v>
          </cell>
          <cell r="BP327">
            <v>0</v>
          </cell>
          <cell r="BQ327">
            <v>0</v>
          </cell>
          <cell r="BR327">
            <v>3795512.49</v>
          </cell>
          <cell r="BT327">
            <v>0</v>
          </cell>
          <cell r="CA327" t="str">
            <v>HMOKIN - REVTOT - Base</v>
          </cell>
          <cell r="CC327" t="str">
            <v>HMOKIN - REVTOT - Base - MR</v>
          </cell>
          <cell r="CD327" t="str">
            <v>HMOKIN - REVTOT - Base - MR</v>
          </cell>
          <cell r="CF327" t="str">
            <v>HMOKIN - Base - MR</v>
          </cell>
        </row>
        <row r="328">
          <cell r="D328">
            <v>314</v>
          </cell>
          <cell r="E328">
            <v>1</v>
          </cell>
          <cell r="F328">
            <v>2</v>
          </cell>
          <cell r="G328" t="str">
            <v>HMOKIN</v>
          </cell>
          <cell r="H328" t="str">
            <v>JEMMS HAZMAT 3PL</v>
          </cell>
          <cell r="I328" t="str">
            <v>MR</v>
          </cell>
          <cell r="J328" t="str">
            <v>MR Logistics &amp; Supply</v>
          </cell>
          <cell r="K328" t="str">
            <v>D L A</v>
          </cell>
          <cell r="L328" t="str">
            <v>DOD</v>
          </cell>
          <cell r="M328" t="str">
            <v>Japan</v>
          </cell>
          <cell r="N328" t="str">
            <v>OCONUS</v>
          </cell>
          <cell r="O328">
            <v>45294</v>
          </cell>
          <cell r="P328">
            <v>47121</v>
          </cell>
          <cell r="Q328" t="str">
            <v>Prime</v>
          </cell>
          <cell r="R328" t="str">
            <v>CPFF</v>
          </cell>
          <cell r="S328">
            <v>0</v>
          </cell>
          <cell r="T328">
            <v>1</v>
          </cell>
          <cell r="U328" t="str">
            <v>REVTOT</v>
          </cell>
          <cell r="V328" t="str">
            <v>Identified - Recompete</v>
          </cell>
          <cell r="W328" t="str">
            <v>01 Prospect</v>
          </cell>
          <cell r="X328" t="str">
            <v>Priority 3</v>
          </cell>
          <cell r="Y328">
            <v>0.3</v>
          </cell>
          <cell r="Z328">
            <v>35000000</v>
          </cell>
          <cell r="AA328">
            <v>0</v>
          </cell>
          <cell r="AB328">
            <v>0</v>
          </cell>
          <cell r="AC328">
            <v>0</v>
          </cell>
          <cell r="AD328">
            <v>0</v>
          </cell>
          <cell r="AI328">
            <v>0</v>
          </cell>
          <cell r="AJ328">
            <v>0</v>
          </cell>
          <cell r="AK328">
            <v>0</v>
          </cell>
          <cell r="BB328">
            <v>7000000</v>
          </cell>
          <cell r="BC328">
            <v>7000000</v>
          </cell>
          <cell r="BD328">
            <v>7000000</v>
          </cell>
          <cell r="BE328">
            <v>7000000</v>
          </cell>
          <cell r="BI328">
            <v>0</v>
          </cell>
          <cell r="BJ328">
            <v>0</v>
          </cell>
          <cell r="BK328">
            <v>0</v>
          </cell>
          <cell r="BL328">
            <v>0</v>
          </cell>
          <cell r="BM328">
            <v>0</v>
          </cell>
          <cell r="BN328">
            <v>0</v>
          </cell>
          <cell r="BO328">
            <v>0</v>
          </cell>
          <cell r="BP328">
            <v>0</v>
          </cell>
          <cell r="BQ328">
            <v>0</v>
          </cell>
          <cell r="BR328">
            <v>0</v>
          </cell>
          <cell r="BT328">
            <v>0</v>
          </cell>
          <cell r="CA328" t="str">
            <v>HMOKIN - REVTOT - Identified - Recompete</v>
          </cell>
          <cell r="CC328" t="str">
            <v>HMOKIN - REVTOT - Identified - Recompete - MR</v>
          </cell>
          <cell r="CD328" t="str">
            <v/>
          </cell>
          <cell r="CF328" t="str">
            <v>HMOKIN - Identified - Recompete - MR</v>
          </cell>
        </row>
        <row r="329">
          <cell r="D329">
            <v>315</v>
          </cell>
          <cell r="E329">
            <v>2</v>
          </cell>
          <cell r="F329">
            <v>3</v>
          </cell>
          <cell r="G329" t="str">
            <v>HMOKIN</v>
          </cell>
          <cell r="H329" t="str">
            <v>JEMMS HAZMAT 3PL</v>
          </cell>
          <cell r="I329" t="str">
            <v>MR</v>
          </cell>
          <cell r="J329" t="str">
            <v>MR Logistics &amp; Supply</v>
          </cell>
          <cell r="K329" t="str">
            <v>D L A</v>
          </cell>
          <cell r="L329" t="str">
            <v>DOD</v>
          </cell>
          <cell r="M329" t="str">
            <v>Japan</v>
          </cell>
          <cell r="N329" t="str">
            <v>OCONUS</v>
          </cell>
          <cell r="O329">
            <v>41606</v>
          </cell>
          <cell r="P329">
            <v>43431</v>
          </cell>
          <cell r="Q329" t="str">
            <v>Prime</v>
          </cell>
          <cell r="R329" t="str">
            <v>CPFF</v>
          </cell>
          <cell r="S329">
            <v>0</v>
          </cell>
          <cell r="T329">
            <v>1</v>
          </cell>
          <cell r="U329" t="str">
            <v>CONTRACT</v>
          </cell>
          <cell r="V329" t="str">
            <v>Base</v>
          </cell>
          <cell r="W329" t="str">
            <v>05 Won</v>
          </cell>
          <cell r="X329" t="str">
            <v>Active</v>
          </cell>
          <cell r="Y329">
            <v>1</v>
          </cell>
          <cell r="Z329">
            <v>0</v>
          </cell>
          <cell r="AA329">
            <v>743371.050000004</v>
          </cell>
          <cell r="AB329">
            <v>9.3132257461547852E-10</v>
          </cell>
          <cell r="AC329">
            <v>0</v>
          </cell>
          <cell r="AD329">
            <v>743371.05000000494</v>
          </cell>
          <cell r="AL329">
            <v>0.14859825149618691</v>
          </cell>
          <cell r="AM329">
            <v>0.20586791342732016</v>
          </cell>
          <cell r="AN329">
            <v>0.16351494790186069</v>
          </cell>
          <cell r="AO329">
            <v>0.29721589455235858</v>
          </cell>
          <cell r="AP329">
            <v>0.1897340284953212</v>
          </cell>
          <cell r="AQ329">
            <v>0.1897340284953212</v>
          </cell>
          <cell r="AR329">
            <v>0.1897340284953212</v>
          </cell>
          <cell r="AS329">
            <v>0.1897340284953212</v>
          </cell>
          <cell r="BF329">
            <v>1212304.47</v>
          </cell>
          <cell r="BG329">
            <v>1673047.6099999999</v>
          </cell>
          <cell r="BH329">
            <v>1268931.2</v>
          </cell>
          <cell r="BI329">
            <v>653685.46</v>
          </cell>
          <cell r="BJ329">
            <v>472070.08</v>
          </cell>
          <cell r="BK329">
            <v>2331.0999999999976</v>
          </cell>
          <cell r="BL329">
            <v>0</v>
          </cell>
          <cell r="BM329">
            <v>1128086.6400000001</v>
          </cell>
          <cell r="BN329">
            <v>0</v>
          </cell>
          <cell r="BO329">
            <v>0</v>
          </cell>
          <cell r="BP329">
            <v>0</v>
          </cell>
          <cell r="BQ329">
            <v>0</v>
          </cell>
          <cell r="BR329">
            <v>1128086.6400000001</v>
          </cell>
          <cell r="BT329">
            <v>0</v>
          </cell>
          <cell r="CA329" t="str">
            <v>HMOKIN - CONTRACT - Base</v>
          </cell>
          <cell r="CC329" t="str">
            <v>HMOKIN - CONTRACT - Base - MR</v>
          </cell>
          <cell r="CD329" t="str">
            <v/>
          </cell>
          <cell r="CF329" t="str">
            <v>HMOKIN - Base - MR</v>
          </cell>
        </row>
        <row r="330">
          <cell r="D330">
            <v>316</v>
          </cell>
          <cell r="E330">
            <v>2</v>
          </cell>
          <cell r="F330">
            <v>4</v>
          </cell>
          <cell r="G330" t="str">
            <v>HMOKIN</v>
          </cell>
          <cell r="H330" t="str">
            <v>JEMMS HAZMAT 3PL</v>
          </cell>
          <cell r="I330" t="str">
            <v>MR</v>
          </cell>
          <cell r="J330" t="str">
            <v>MR Logistics &amp; Supply</v>
          </cell>
          <cell r="K330" t="str">
            <v>D L A</v>
          </cell>
          <cell r="L330" t="str">
            <v>DOD</v>
          </cell>
          <cell r="M330" t="str">
            <v>Japan</v>
          </cell>
          <cell r="N330" t="str">
            <v>OCONUS</v>
          </cell>
          <cell r="O330">
            <v>45294</v>
          </cell>
          <cell r="P330">
            <v>47121</v>
          </cell>
          <cell r="Q330" t="str">
            <v>Prime</v>
          </cell>
          <cell r="R330" t="str">
            <v>CPFF</v>
          </cell>
          <cell r="S330">
            <v>0</v>
          </cell>
          <cell r="T330">
            <v>1</v>
          </cell>
          <cell r="U330" t="str">
            <v>CONTRACT</v>
          </cell>
          <cell r="V330" t="str">
            <v>Identified - Recompete</v>
          </cell>
          <cell r="W330" t="str">
            <v>01 Prospect</v>
          </cell>
          <cell r="X330" t="str">
            <v>Priority 3</v>
          </cell>
          <cell r="Y330">
            <v>0.3</v>
          </cell>
          <cell r="Z330">
            <v>35000000</v>
          </cell>
          <cell r="AA330">
            <v>0</v>
          </cell>
          <cell r="AB330">
            <v>0</v>
          </cell>
          <cell r="AC330">
            <v>0</v>
          </cell>
          <cell r="AD330">
            <v>0</v>
          </cell>
          <cell r="AP330">
            <v>0</v>
          </cell>
          <cell r="AQ330">
            <v>0</v>
          </cell>
          <cell r="AR330">
            <v>0</v>
          </cell>
          <cell r="AS330">
            <v>0</v>
          </cell>
          <cell r="BI330">
            <v>0</v>
          </cell>
          <cell r="BJ330">
            <v>0</v>
          </cell>
          <cell r="BK330">
            <v>0</v>
          </cell>
          <cell r="BL330">
            <v>0</v>
          </cell>
          <cell r="BM330">
            <v>0</v>
          </cell>
          <cell r="BN330">
            <v>0</v>
          </cell>
          <cell r="BO330">
            <v>0</v>
          </cell>
          <cell r="BP330">
            <v>0</v>
          </cell>
          <cell r="BQ330">
            <v>0</v>
          </cell>
          <cell r="BR330">
            <v>0</v>
          </cell>
          <cell r="BT330">
            <v>0</v>
          </cell>
          <cell r="CA330" t="str">
            <v>HMOKIN - CONTRACT - Identified - Recompete</v>
          </cell>
          <cell r="CC330" t="str">
            <v>HMOKIN - CONTRACT - Identified - Recompete - MR</v>
          </cell>
          <cell r="CD330" t="str">
            <v/>
          </cell>
          <cell r="CF330" t="str">
            <v>HMOKIN - Identified - Recompete - MR</v>
          </cell>
        </row>
        <row r="331">
          <cell r="D331">
            <v>317</v>
          </cell>
          <cell r="E331">
            <v>0</v>
          </cell>
          <cell r="F331">
            <v>5</v>
          </cell>
          <cell r="G331" t="str">
            <v>HMOKIN</v>
          </cell>
          <cell r="H331" t="str">
            <v>JEMMS HAZMAT 3PL</v>
          </cell>
          <cell r="I331" t="str">
            <v>MR</v>
          </cell>
          <cell r="J331" t="str">
            <v>MR Logistics &amp; Supply</v>
          </cell>
          <cell r="K331" t="str">
            <v>D L A</v>
          </cell>
          <cell r="L331" t="str">
            <v>DOD</v>
          </cell>
          <cell r="M331" t="str">
            <v>Japan</v>
          </cell>
          <cell r="N331" t="str">
            <v>OCONUS</v>
          </cell>
          <cell r="O331">
            <v>41606</v>
          </cell>
          <cell r="P331">
            <v>43431</v>
          </cell>
          <cell r="Q331" t="str">
            <v>Prime</v>
          </cell>
          <cell r="R331" t="str">
            <v>CPFF</v>
          </cell>
          <cell r="S331">
            <v>0</v>
          </cell>
          <cell r="T331">
            <v>1</v>
          </cell>
          <cell r="U331" t="str">
            <v>EBITA</v>
          </cell>
          <cell r="V331" t="str">
            <v>Base</v>
          </cell>
          <cell r="W331" t="str">
            <v>05 Won</v>
          </cell>
          <cell r="X331" t="str">
            <v>Active</v>
          </cell>
          <cell r="Y331">
            <v>1</v>
          </cell>
          <cell r="Z331">
            <v>0</v>
          </cell>
          <cell r="AA331">
            <v>743371.050000004</v>
          </cell>
          <cell r="AB331">
            <v>9.3132257461547852E-10</v>
          </cell>
          <cell r="AC331">
            <v>0</v>
          </cell>
          <cell r="AD331">
            <v>743371.05000000494</v>
          </cell>
          <cell r="AT331">
            <v>-1.4661305457314484E-2</v>
          </cell>
          <cell r="AU331">
            <v>2.9566916120534817E-2</v>
          </cell>
          <cell r="AV331">
            <v>-4.3150630401503867E-2</v>
          </cell>
          <cell r="AW331">
            <v>6.8280499848915016E-2</v>
          </cell>
          <cell r="AX331">
            <v>1.6152343350394306E-3</v>
          </cell>
          <cell r="AY331">
            <v>1.6152343350394306E-3</v>
          </cell>
          <cell r="AZ331">
            <v>1.6152343350394306E-3</v>
          </cell>
          <cell r="BA331">
            <v>1.6152343350394306E-3</v>
          </cell>
          <cell r="BF331">
            <v>-119610.87000000017</v>
          </cell>
          <cell r="BG331">
            <v>240284.45</v>
          </cell>
          <cell r="BH331">
            <v>-334863.45999999985</v>
          </cell>
          <cell r="BI331">
            <v>83579.72000000003</v>
          </cell>
          <cell r="BJ331">
            <v>202493.47000000003</v>
          </cell>
          <cell r="BK331">
            <v>-26913.700000000008</v>
          </cell>
          <cell r="BL331">
            <v>0</v>
          </cell>
          <cell r="BM331">
            <v>259159.49000000005</v>
          </cell>
          <cell r="BN331">
            <v>0</v>
          </cell>
          <cell r="BO331">
            <v>0</v>
          </cell>
          <cell r="BP331">
            <v>0</v>
          </cell>
          <cell r="BQ331">
            <v>0</v>
          </cell>
          <cell r="BR331">
            <v>259159.49000000005</v>
          </cell>
          <cell r="BT331">
            <v>0</v>
          </cell>
          <cell r="CA331" t="str">
            <v>HMOKIN - EBITA - Base</v>
          </cell>
          <cell r="CC331" t="str">
            <v>HMOKIN - EBITA - Base - MR</v>
          </cell>
          <cell r="CD331" t="str">
            <v/>
          </cell>
          <cell r="CF331" t="str">
            <v>HMOKIN - Base - MR</v>
          </cell>
        </row>
        <row r="332">
          <cell r="D332">
            <v>318</v>
          </cell>
          <cell r="E332">
            <v>0</v>
          </cell>
          <cell r="F332">
            <v>0</v>
          </cell>
          <cell r="G332" t="str">
            <v>HMOKIN</v>
          </cell>
          <cell r="H332" t="str">
            <v>JEMMS HAZMAT 3PL</v>
          </cell>
          <cell r="I332" t="str">
            <v>MR</v>
          </cell>
          <cell r="J332" t="str">
            <v>MR Logistics &amp; Supply</v>
          </cell>
          <cell r="K332" t="str">
            <v>D L A</v>
          </cell>
          <cell r="L332" t="str">
            <v>DOD</v>
          </cell>
          <cell r="M332" t="str">
            <v>Japan</v>
          </cell>
          <cell r="N332" t="str">
            <v>OCONUS</v>
          </cell>
          <cell r="O332">
            <v>45294</v>
          </cell>
          <cell r="P332">
            <v>47121</v>
          </cell>
          <cell r="Q332" t="str">
            <v>Prime</v>
          </cell>
          <cell r="R332" t="str">
            <v>CPFF</v>
          </cell>
          <cell r="S332">
            <v>0</v>
          </cell>
          <cell r="T332">
            <v>1</v>
          </cell>
          <cell r="U332" t="str">
            <v>EBITA</v>
          </cell>
          <cell r="V332" t="str">
            <v>Identified - Recompete</v>
          </cell>
          <cell r="W332" t="str">
            <v>01 Prospect</v>
          </cell>
          <cell r="X332" t="str">
            <v>Priority 3</v>
          </cell>
          <cell r="Y332">
            <v>0.3</v>
          </cell>
          <cell r="Z332">
            <v>35000000</v>
          </cell>
          <cell r="AA332">
            <v>0</v>
          </cell>
          <cell r="AB332">
            <v>0</v>
          </cell>
          <cell r="AC332">
            <v>0</v>
          </cell>
          <cell r="AD332">
            <v>0</v>
          </cell>
          <cell r="AX332">
            <v>0</v>
          </cell>
          <cell r="AY332">
            <v>0</v>
          </cell>
          <cell r="AZ332">
            <v>0</v>
          </cell>
          <cell r="BA332">
            <v>0</v>
          </cell>
          <cell r="BI332">
            <v>0</v>
          </cell>
          <cell r="BJ332">
            <v>0</v>
          </cell>
          <cell r="BK332">
            <v>0</v>
          </cell>
          <cell r="BL332">
            <v>0</v>
          </cell>
          <cell r="BM332">
            <v>0</v>
          </cell>
          <cell r="BN332">
            <v>0</v>
          </cell>
          <cell r="BO332">
            <v>0</v>
          </cell>
          <cell r="BP332">
            <v>0</v>
          </cell>
          <cell r="BQ332">
            <v>0</v>
          </cell>
          <cell r="BR332">
            <v>0</v>
          </cell>
          <cell r="BT332">
            <v>0</v>
          </cell>
          <cell r="CA332" t="str">
            <v>HMOKIN - EBITA - Identified - Recompete</v>
          </cell>
          <cell r="CC332" t="str">
            <v>HMOKIN - EBITA - Identified - Recompete - MR</v>
          </cell>
          <cell r="CD332" t="str">
            <v/>
          </cell>
          <cell r="CF332" t="str">
            <v>HMOKIN - Identified - Recompete - MR</v>
          </cell>
        </row>
        <row r="333">
          <cell r="D333">
            <v>319</v>
          </cell>
          <cell r="E333">
            <v>1</v>
          </cell>
          <cell r="F333">
            <v>1</v>
          </cell>
          <cell r="G333" t="str">
            <v>000039</v>
          </cell>
          <cell r="H333" t="str">
            <v>BLISS</v>
          </cell>
          <cell r="I333" t="str">
            <v>MR</v>
          </cell>
          <cell r="J333" t="str">
            <v>MR Maintenance &amp; Sustainment</v>
          </cell>
          <cell r="K333" t="str">
            <v>Army</v>
          </cell>
          <cell r="L333" t="str">
            <v>DOD</v>
          </cell>
          <cell r="M333" t="str">
            <v>TX</v>
          </cell>
          <cell r="N333" t="str">
            <v>CONUS</v>
          </cell>
          <cell r="O333">
            <v>42036</v>
          </cell>
          <cell r="P333">
            <v>43801</v>
          </cell>
          <cell r="Q333" t="str">
            <v>Sub</v>
          </cell>
          <cell r="R333" t="str">
            <v>CPFF</v>
          </cell>
          <cell r="S333">
            <v>0</v>
          </cell>
          <cell r="T333">
            <v>1</v>
          </cell>
          <cell r="U333" t="str">
            <v>REVTOT</v>
          </cell>
          <cell r="V333" t="str">
            <v>Base</v>
          </cell>
          <cell r="W333" t="str">
            <v>05 Won</v>
          </cell>
          <cell r="X333" t="str">
            <v>Active</v>
          </cell>
          <cell r="Y333">
            <v>1</v>
          </cell>
          <cell r="Z333">
            <v>0</v>
          </cell>
          <cell r="AA333">
            <v>1189865.6794762616</v>
          </cell>
          <cell r="AB333">
            <v>-0.21000000089406967</v>
          </cell>
          <cell r="AC333">
            <v>0</v>
          </cell>
          <cell r="AD333">
            <v>1189865.4694762607</v>
          </cell>
          <cell r="AE333">
            <v>-0.25202859729406202</v>
          </cell>
          <cell r="AF333">
            <v>-0.11473050180616062</v>
          </cell>
          <cell r="AG333">
            <v>-4.1777832398603443E-2</v>
          </cell>
          <cell r="AH333">
            <v>-0.81262494852286893</v>
          </cell>
          <cell r="AI333">
            <v>0</v>
          </cell>
          <cell r="AJ333">
            <v>0</v>
          </cell>
          <cell r="AK333">
            <v>0</v>
          </cell>
          <cell r="BB333">
            <v>695008.40999999992</v>
          </cell>
          <cell r="BC333">
            <v>695008.40999999992</v>
          </cell>
          <cell r="BD333">
            <v>695008.40999999992</v>
          </cell>
          <cell r="BE333">
            <v>695008.40999999992</v>
          </cell>
          <cell r="BF333">
            <v>5845902.75</v>
          </cell>
          <cell r="BG333">
            <v>4372568.08</v>
          </cell>
          <cell r="BH333">
            <v>3870901.15</v>
          </cell>
          <cell r="BI333">
            <v>903751.49</v>
          </cell>
          <cell r="BJ333">
            <v>993707.14</v>
          </cell>
          <cell r="BK333">
            <v>913562.8</v>
          </cell>
          <cell r="BL333">
            <v>898161.86052373867</v>
          </cell>
          <cell r="BM333">
            <v>3709183.2905237386</v>
          </cell>
          <cell r="BN333">
            <v>695008.40999999992</v>
          </cell>
          <cell r="BO333">
            <v>494857.05947626079</v>
          </cell>
          <cell r="BP333">
            <v>0</v>
          </cell>
          <cell r="BQ333">
            <v>0</v>
          </cell>
          <cell r="BR333">
            <v>4899048.76</v>
          </cell>
          <cell r="BT333">
            <v>0</v>
          </cell>
          <cell r="CA333" t="str">
            <v>000039 - REVTOT - Base</v>
          </cell>
          <cell r="CC333" t="str">
            <v>000039 - REVTOT - Base - MR</v>
          </cell>
          <cell r="CD333" t="str">
            <v>000039 - REVTOT - Base - MR</v>
          </cell>
          <cell r="CF333" t="str">
            <v>000039 - Base - MR</v>
          </cell>
        </row>
        <row r="334">
          <cell r="D334">
            <v>320</v>
          </cell>
          <cell r="E334">
            <v>1</v>
          </cell>
          <cell r="F334">
            <v>2</v>
          </cell>
          <cell r="G334" t="str">
            <v>000039</v>
          </cell>
          <cell r="H334" t="str">
            <v>BLISS</v>
          </cell>
          <cell r="I334" t="str">
            <v>MR</v>
          </cell>
          <cell r="J334" t="str">
            <v>MR Maintenance &amp; Sustainment</v>
          </cell>
          <cell r="K334" t="str">
            <v>Army</v>
          </cell>
          <cell r="L334" t="str">
            <v>DOD</v>
          </cell>
          <cell r="M334" t="str">
            <v>TX</v>
          </cell>
          <cell r="N334" t="str">
            <v>CONUS</v>
          </cell>
          <cell r="O334">
            <v>0</v>
          </cell>
          <cell r="P334">
            <v>0</v>
          </cell>
          <cell r="Q334">
            <v>0</v>
          </cell>
          <cell r="R334" t="str">
            <v>CPFF</v>
          </cell>
          <cell r="S334">
            <v>0</v>
          </cell>
          <cell r="T334">
            <v>1</v>
          </cell>
          <cell r="U334" t="str">
            <v>REVTOT</v>
          </cell>
          <cell r="V334" t="str">
            <v>Identified - Recompete</v>
          </cell>
          <cell r="W334">
            <v>0</v>
          </cell>
          <cell r="X334">
            <v>0</v>
          </cell>
          <cell r="Y334">
            <v>0</v>
          </cell>
          <cell r="Z334">
            <v>0</v>
          </cell>
          <cell r="AA334">
            <v>0</v>
          </cell>
          <cell r="AB334">
            <v>0</v>
          </cell>
          <cell r="AC334">
            <v>0</v>
          </cell>
          <cell r="AD334">
            <v>0</v>
          </cell>
          <cell r="AI334">
            <v>0</v>
          </cell>
          <cell r="AJ334">
            <v>0</v>
          </cell>
          <cell r="AK334">
            <v>0</v>
          </cell>
          <cell r="BB334">
            <v>0</v>
          </cell>
          <cell r="BC334">
            <v>0</v>
          </cell>
          <cell r="BD334">
            <v>0</v>
          </cell>
          <cell r="BE334">
            <v>0</v>
          </cell>
          <cell r="BI334">
            <v>0</v>
          </cell>
          <cell r="BJ334">
            <v>0</v>
          </cell>
          <cell r="BK334">
            <v>0</v>
          </cell>
          <cell r="BL334">
            <v>0</v>
          </cell>
          <cell r="BM334">
            <v>0</v>
          </cell>
          <cell r="BN334">
            <v>0</v>
          </cell>
          <cell r="BO334">
            <v>0</v>
          </cell>
          <cell r="BP334">
            <v>0</v>
          </cell>
          <cell r="BQ334">
            <v>0</v>
          </cell>
          <cell r="BR334">
            <v>0</v>
          </cell>
          <cell r="BT334">
            <v>0</v>
          </cell>
          <cell r="CA334" t="str">
            <v>000039 - REVTOT - Identified - Recompete</v>
          </cell>
          <cell r="CC334" t="str">
            <v>000039 - REVTOT - Identified - Recompete - MR</v>
          </cell>
          <cell r="CD334" t="str">
            <v/>
          </cell>
          <cell r="CF334" t="str">
            <v>000039 - Identified - Recompete - MR</v>
          </cell>
        </row>
        <row r="335">
          <cell r="D335">
            <v>321</v>
          </cell>
          <cell r="E335">
            <v>2</v>
          </cell>
          <cell r="F335">
            <v>3</v>
          </cell>
          <cell r="G335" t="str">
            <v>000039</v>
          </cell>
          <cell r="H335" t="str">
            <v>BLISS</v>
          </cell>
          <cell r="I335" t="str">
            <v>MR</v>
          </cell>
          <cell r="J335" t="str">
            <v>MR Maintenance &amp; Sustainment</v>
          </cell>
          <cell r="K335" t="str">
            <v>Army</v>
          </cell>
          <cell r="L335" t="str">
            <v>DOD</v>
          </cell>
          <cell r="M335" t="str">
            <v>TX</v>
          </cell>
          <cell r="N335" t="str">
            <v>CONUS</v>
          </cell>
          <cell r="O335">
            <v>42036</v>
          </cell>
          <cell r="P335">
            <v>43801</v>
          </cell>
          <cell r="Q335" t="str">
            <v>Sub</v>
          </cell>
          <cell r="R335" t="str">
            <v>CPFF</v>
          </cell>
          <cell r="S335">
            <v>0</v>
          </cell>
          <cell r="T335">
            <v>1</v>
          </cell>
          <cell r="U335" t="str">
            <v>CONTRACT</v>
          </cell>
          <cell r="V335" t="str">
            <v>Base</v>
          </cell>
          <cell r="W335" t="str">
            <v>05 Won</v>
          </cell>
          <cell r="X335" t="str">
            <v>Active</v>
          </cell>
          <cell r="Y335">
            <v>1</v>
          </cell>
          <cell r="Z335">
            <v>0</v>
          </cell>
          <cell r="AA335">
            <v>1189865.6794762616</v>
          </cell>
          <cell r="AB335">
            <v>-0.21000000089406967</v>
          </cell>
          <cell r="AC335">
            <v>0</v>
          </cell>
          <cell r="AD335">
            <v>1189865.4694762607</v>
          </cell>
          <cell r="AL335">
            <v>8.6980608769107598E-2</v>
          </cell>
          <cell r="AM335">
            <v>7.584331540013442E-2</v>
          </cell>
          <cell r="AN335">
            <v>7.8032617805288057E-2</v>
          </cell>
          <cell r="AO335">
            <v>8.8627224587038686E-2</v>
          </cell>
          <cell r="AP335">
            <v>8.163672436711944E-2</v>
          </cell>
          <cell r="AQ335">
            <v>8.163672436711944E-2</v>
          </cell>
          <cell r="AR335">
            <v>8.163672436711944E-2</v>
          </cell>
          <cell r="AS335">
            <v>8.163672436711944E-2</v>
          </cell>
          <cell r="BF335">
            <v>508480.18000000023</v>
          </cell>
          <cell r="BG335">
            <v>331630.06000000017</v>
          </cell>
          <cell r="BH335">
            <v>302056.55</v>
          </cell>
          <cell r="BI335">
            <v>82921.229999999981</v>
          </cell>
          <cell r="BJ335">
            <v>88119.729999999981</v>
          </cell>
          <cell r="BK335">
            <v>83394.48000000004</v>
          </cell>
          <cell r="BL335">
            <v>74299.180523738556</v>
          </cell>
          <cell r="BM335">
            <v>328734.62052373856</v>
          </cell>
          <cell r="BN335">
            <v>56738.209999999934</v>
          </cell>
          <cell r="BO335">
            <v>40398.509365586731</v>
          </cell>
          <cell r="BP335">
            <v>0</v>
          </cell>
          <cell r="BQ335">
            <v>0</v>
          </cell>
          <cell r="BR335">
            <v>425871.33988932526</v>
          </cell>
          <cell r="BT335">
            <v>0</v>
          </cell>
          <cell r="CA335" t="str">
            <v>000039 - CONTRACT - Base</v>
          </cell>
          <cell r="CC335" t="str">
            <v>000039 - CONTRACT - Base - MR</v>
          </cell>
          <cell r="CD335" t="str">
            <v/>
          </cell>
          <cell r="CF335" t="str">
            <v>000039 - Base - MR</v>
          </cell>
        </row>
        <row r="336">
          <cell r="D336">
            <v>322</v>
          </cell>
          <cell r="E336">
            <v>2</v>
          </cell>
          <cell r="F336">
            <v>4</v>
          </cell>
          <cell r="G336" t="str">
            <v>000039</v>
          </cell>
          <cell r="H336" t="str">
            <v>BLISS</v>
          </cell>
          <cell r="I336" t="str">
            <v>MR</v>
          </cell>
          <cell r="J336" t="str">
            <v>MR Maintenance &amp; Sustainment</v>
          </cell>
          <cell r="K336" t="str">
            <v>Army</v>
          </cell>
          <cell r="L336" t="str">
            <v>DOD</v>
          </cell>
          <cell r="M336" t="str">
            <v>TX</v>
          </cell>
          <cell r="N336" t="str">
            <v>CONUS</v>
          </cell>
          <cell r="O336">
            <v>0</v>
          </cell>
          <cell r="P336">
            <v>0</v>
          </cell>
          <cell r="Q336">
            <v>0</v>
          </cell>
          <cell r="R336" t="str">
            <v>CPFF</v>
          </cell>
          <cell r="S336">
            <v>0</v>
          </cell>
          <cell r="T336">
            <v>1</v>
          </cell>
          <cell r="U336" t="str">
            <v>CONTRACT</v>
          </cell>
          <cell r="V336" t="str">
            <v>Identified - Recompete</v>
          </cell>
          <cell r="W336">
            <v>0</v>
          </cell>
          <cell r="X336">
            <v>0</v>
          </cell>
          <cell r="Y336">
            <v>0</v>
          </cell>
          <cell r="Z336">
            <v>0</v>
          </cell>
          <cell r="AA336">
            <v>0</v>
          </cell>
          <cell r="AB336">
            <v>0</v>
          </cell>
          <cell r="AC336">
            <v>0</v>
          </cell>
          <cell r="AD336">
            <v>0</v>
          </cell>
          <cell r="AP336">
            <v>0</v>
          </cell>
          <cell r="AQ336">
            <v>0</v>
          </cell>
          <cell r="AR336">
            <v>0</v>
          </cell>
          <cell r="AS336">
            <v>0</v>
          </cell>
          <cell r="BI336">
            <v>0</v>
          </cell>
          <cell r="BJ336">
            <v>0</v>
          </cell>
          <cell r="BK336">
            <v>0</v>
          </cell>
          <cell r="BL336">
            <v>0</v>
          </cell>
          <cell r="BM336">
            <v>0</v>
          </cell>
          <cell r="BN336">
            <v>0</v>
          </cell>
          <cell r="BO336">
            <v>0</v>
          </cell>
          <cell r="BP336">
            <v>0</v>
          </cell>
          <cell r="BQ336">
            <v>0</v>
          </cell>
          <cell r="BR336">
            <v>0</v>
          </cell>
          <cell r="BT336">
            <v>0</v>
          </cell>
          <cell r="CA336" t="str">
            <v>000039 - CONTRACT - Identified - Recompete</v>
          </cell>
          <cell r="CC336" t="str">
            <v>000039 - CONTRACT - Identified - Recompete - MR</v>
          </cell>
          <cell r="CD336" t="str">
            <v/>
          </cell>
          <cell r="CF336" t="str">
            <v>000039 - Identified - Recompete - MR</v>
          </cell>
        </row>
        <row r="337">
          <cell r="D337">
            <v>323</v>
          </cell>
          <cell r="E337">
            <v>0</v>
          </cell>
          <cell r="F337">
            <v>5</v>
          </cell>
          <cell r="G337" t="str">
            <v>000039</v>
          </cell>
          <cell r="H337" t="str">
            <v>BLISS</v>
          </cell>
          <cell r="I337" t="str">
            <v>MR</v>
          </cell>
          <cell r="J337" t="str">
            <v>MR Maintenance &amp; Sustainment</v>
          </cell>
          <cell r="K337" t="str">
            <v>Army</v>
          </cell>
          <cell r="L337" t="str">
            <v>DOD</v>
          </cell>
          <cell r="M337" t="str">
            <v>TX</v>
          </cell>
          <cell r="N337" t="str">
            <v>CONUS</v>
          </cell>
          <cell r="O337">
            <v>42036</v>
          </cell>
          <cell r="P337">
            <v>43801</v>
          </cell>
          <cell r="Q337" t="str">
            <v>Sub</v>
          </cell>
          <cell r="R337" t="str">
            <v>CPFF</v>
          </cell>
          <cell r="S337">
            <v>0</v>
          </cell>
          <cell r="T337">
            <v>1</v>
          </cell>
          <cell r="U337" t="str">
            <v>EBITA</v>
          </cell>
          <cell r="V337" t="str">
            <v>Base</v>
          </cell>
          <cell r="W337" t="str">
            <v>05 Won</v>
          </cell>
          <cell r="X337" t="str">
            <v>Active</v>
          </cell>
          <cell r="Y337">
            <v>1</v>
          </cell>
          <cell r="Z337">
            <v>0</v>
          </cell>
          <cell r="AA337">
            <v>1189865.6794762616</v>
          </cell>
          <cell r="AB337">
            <v>-0.21000000089406967</v>
          </cell>
          <cell r="AC337">
            <v>0</v>
          </cell>
          <cell r="AD337">
            <v>1189865.4694762607</v>
          </cell>
          <cell r="AT337">
            <v>5.9990717430255325E-3</v>
          </cell>
          <cell r="AU337">
            <v>-4.6803570866299268E-3</v>
          </cell>
          <cell r="AV337">
            <v>8.8227259432858106E-4</v>
          </cell>
          <cell r="AW337">
            <v>1.1379161842881057E-2</v>
          </cell>
          <cell r="AX337">
            <v>6.353653730836034E-3</v>
          </cell>
          <cell r="AY337">
            <v>6.353653730836034E-3</v>
          </cell>
          <cell r="AZ337">
            <v>6.353653730836034E-3</v>
          </cell>
          <cell r="BA337">
            <v>6.353653730836034E-3</v>
          </cell>
          <cell r="BF337">
            <v>35069.990000000253</v>
          </cell>
          <cell r="BG337">
            <v>-20465.179999999811</v>
          </cell>
          <cell r="BH337">
            <v>3415.1899999999878</v>
          </cell>
          <cell r="BI337">
            <v>11654.319999999974</v>
          </cell>
          <cell r="BJ337">
            <v>13055.289999999979</v>
          </cell>
          <cell r="BK337">
            <v>13029.320000000047</v>
          </cell>
          <cell r="BL337">
            <v>4468.4669677797247</v>
          </cell>
          <cell r="BM337">
            <v>42207.396967779729</v>
          </cell>
          <cell r="BN337">
            <v>4415.8427771589195</v>
          </cell>
          <cell r="BO337">
            <v>3144.1504021718933</v>
          </cell>
          <cell r="BP337">
            <v>0</v>
          </cell>
          <cell r="BQ337">
            <v>0</v>
          </cell>
          <cell r="BR337">
            <v>49767.390147110542</v>
          </cell>
          <cell r="BT337">
            <v>0</v>
          </cell>
          <cell r="CA337" t="str">
            <v>000039 - EBITA - Base</v>
          </cell>
          <cell r="CC337" t="str">
            <v>000039 - EBITA - Base - MR</v>
          </cell>
          <cell r="CD337" t="str">
            <v/>
          </cell>
          <cell r="CF337" t="str">
            <v>000039 - Base - MR</v>
          </cell>
        </row>
        <row r="338">
          <cell r="D338">
            <v>324</v>
          </cell>
          <cell r="E338">
            <v>0</v>
          </cell>
          <cell r="F338">
            <v>0</v>
          </cell>
          <cell r="G338" t="str">
            <v>000039</v>
          </cell>
          <cell r="H338" t="str">
            <v>BLISS</v>
          </cell>
          <cell r="I338" t="str">
            <v>MR</v>
          </cell>
          <cell r="J338" t="str">
            <v>MR Maintenance &amp; Sustainment</v>
          </cell>
          <cell r="K338" t="str">
            <v>Army</v>
          </cell>
          <cell r="L338" t="str">
            <v>DOD</v>
          </cell>
          <cell r="M338" t="str">
            <v>TX</v>
          </cell>
          <cell r="N338" t="str">
            <v>CONUS</v>
          </cell>
          <cell r="O338">
            <v>0</v>
          </cell>
          <cell r="P338">
            <v>0</v>
          </cell>
          <cell r="Q338">
            <v>0</v>
          </cell>
          <cell r="R338" t="str">
            <v>CPFF</v>
          </cell>
          <cell r="S338">
            <v>0</v>
          </cell>
          <cell r="T338">
            <v>1</v>
          </cell>
          <cell r="U338" t="str">
            <v>EBITA</v>
          </cell>
          <cell r="V338" t="str">
            <v>Identified - Recompete</v>
          </cell>
          <cell r="W338">
            <v>0</v>
          </cell>
          <cell r="X338">
            <v>0</v>
          </cell>
          <cell r="Y338">
            <v>0</v>
          </cell>
          <cell r="Z338">
            <v>0</v>
          </cell>
          <cell r="AA338">
            <v>0</v>
          </cell>
          <cell r="AB338">
            <v>0</v>
          </cell>
          <cell r="AC338">
            <v>0</v>
          </cell>
          <cell r="AD338">
            <v>0</v>
          </cell>
          <cell r="AX338">
            <v>0</v>
          </cell>
          <cell r="AY338">
            <v>0</v>
          </cell>
          <cell r="AZ338">
            <v>0</v>
          </cell>
          <cell r="BA338">
            <v>0</v>
          </cell>
          <cell r="BI338">
            <v>0</v>
          </cell>
          <cell r="BJ338">
            <v>0</v>
          </cell>
          <cell r="BK338">
            <v>0</v>
          </cell>
          <cell r="BL338">
            <v>0</v>
          </cell>
          <cell r="BM338">
            <v>0</v>
          </cell>
          <cell r="BN338">
            <v>0</v>
          </cell>
          <cell r="BO338">
            <v>0</v>
          </cell>
          <cell r="BP338">
            <v>0</v>
          </cell>
          <cell r="BQ338">
            <v>0</v>
          </cell>
          <cell r="BR338">
            <v>0</v>
          </cell>
          <cell r="BT338">
            <v>0</v>
          </cell>
          <cell r="CA338" t="str">
            <v>000039 - EBITA - Identified - Recompete</v>
          </cell>
          <cell r="CC338" t="str">
            <v>000039 - EBITA - Identified - Recompete - MR</v>
          </cell>
          <cell r="CD338" t="str">
            <v/>
          </cell>
          <cell r="CF338" t="str">
            <v>000039 - Identified - Recompete - MR</v>
          </cell>
        </row>
        <row r="339">
          <cell r="D339">
            <v>325</v>
          </cell>
          <cell r="E339">
            <v>1</v>
          </cell>
          <cell r="F339">
            <v>1</v>
          </cell>
          <cell r="G339" t="str">
            <v>CP3030</v>
          </cell>
          <cell r="H339" t="str">
            <v>CTRICII SS-24 PAVLOGRAD (3030)</v>
          </cell>
          <cell r="I339" t="str">
            <v>MR</v>
          </cell>
          <cell r="J339" t="str">
            <v>MR Non-Proliferation and Security Services</v>
          </cell>
          <cell r="K339" t="str">
            <v>DTRA</v>
          </cell>
          <cell r="L339" t="str">
            <v>DOD</v>
          </cell>
          <cell r="M339" t="str">
            <v>UKR</v>
          </cell>
          <cell r="N339" t="str">
            <v>OCONUS</v>
          </cell>
          <cell r="O339">
            <v>42272</v>
          </cell>
          <cell r="P339">
            <v>43555</v>
          </cell>
          <cell r="Q339" t="str">
            <v>Prime</v>
          </cell>
          <cell r="R339" t="str">
            <v>CPFF</v>
          </cell>
          <cell r="S339">
            <v>0</v>
          </cell>
          <cell r="T339">
            <v>1</v>
          </cell>
          <cell r="U339" t="str">
            <v>REVTOT</v>
          </cell>
          <cell r="V339" t="str">
            <v>Base</v>
          </cell>
          <cell r="W339" t="str">
            <v>05 Won</v>
          </cell>
          <cell r="X339" t="str">
            <v>Active</v>
          </cell>
          <cell r="Y339">
            <v>1</v>
          </cell>
          <cell r="Z339">
            <v>0</v>
          </cell>
          <cell r="AA339">
            <v>255444.27000000351</v>
          </cell>
          <cell r="AB339">
            <v>0</v>
          </cell>
          <cell r="AC339">
            <v>0</v>
          </cell>
          <cell r="AD339">
            <v>255444.27000000351</v>
          </cell>
          <cell r="AE339">
            <v>0.49321043798998887</v>
          </cell>
          <cell r="AF339">
            <v>1.1844484666373223E-2</v>
          </cell>
          <cell r="AG339">
            <v>-0.35784785685198772</v>
          </cell>
          <cell r="AH339">
            <v>-1</v>
          </cell>
          <cell r="AI339">
            <v>0</v>
          </cell>
          <cell r="AJ339">
            <v>0</v>
          </cell>
          <cell r="AK339">
            <v>0</v>
          </cell>
          <cell r="BB339">
            <v>0</v>
          </cell>
          <cell r="BC339">
            <v>0</v>
          </cell>
          <cell r="BD339">
            <v>0</v>
          </cell>
          <cell r="BE339">
            <v>0</v>
          </cell>
          <cell r="BF339">
            <v>4017321.73</v>
          </cell>
          <cell r="BG339">
            <v>5998706.7400000002</v>
          </cell>
          <cell r="BH339">
            <v>6069758.3300000001</v>
          </cell>
          <cell r="BI339">
            <v>3753038.5700000003</v>
          </cell>
          <cell r="BJ339">
            <v>140254.84000000003</v>
          </cell>
          <cell r="BK339">
            <v>4414.9100000000008</v>
          </cell>
          <cell r="BL339">
            <v>0</v>
          </cell>
          <cell r="BM339">
            <v>3897708.3200000003</v>
          </cell>
          <cell r="BN339">
            <v>0</v>
          </cell>
          <cell r="BO339">
            <v>0</v>
          </cell>
          <cell r="BP339">
            <v>0</v>
          </cell>
          <cell r="BQ339">
            <v>0</v>
          </cell>
          <cell r="BR339">
            <v>3897708.3200000003</v>
          </cell>
          <cell r="BT339">
            <v>0</v>
          </cell>
          <cell r="CA339" t="str">
            <v>CP3030 - REVTOT - Base</v>
          </cell>
          <cell r="CC339" t="str">
            <v>CP3030 - REVTOT - Base - MR</v>
          </cell>
          <cell r="CD339" t="str">
            <v>CP3030 - REVTOT - Base - MR</v>
          </cell>
          <cell r="CF339" t="str">
            <v>CP3030 - Base - MR</v>
          </cell>
        </row>
        <row r="340">
          <cell r="D340">
            <v>326</v>
          </cell>
          <cell r="E340">
            <v>1</v>
          </cell>
          <cell r="F340">
            <v>2</v>
          </cell>
          <cell r="G340" t="str">
            <v>CP3030</v>
          </cell>
          <cell r="H340" t="str">
            <v>CTRICII SS-24 PAVLOGRAD (3030)</v>
          </cell>
          <cell r="I340" t="str">
            <v>MR</v>
          </cell>
          <cell r="J340" t="str">
            <v>MR Non-Proliferation and Security Services</v>
          </cell>
          <cell r="K340" t="str">
            <v>DTRA</v>
          </cell>
          <cell r="L340" t="str">
            <v>DOD</v>
          </cell>
          <cell r="M340" t="str">
            <v>UKR</v>
          </cell>
          <cell r="N340" t="str">
            <v>OCONUS</v>
          </cell>
          <cell r="O340">
            <v>0</v>
          </cell>
          <cell r="P340">
            <v>0</v>
          </cell>
          <cell r="Q340">
            <v>0</v>
          </cell>
          <cell r="R340" t="str">
            <v>CPFF</v>
          </cell>
          <cell r="S340">
            <v>0</v>
          </cell>
          <cell r="T340">
            <v>1</v>
          </cell>
          <cell r="U340" t="str">
            <v>REVTOT</v>
          </cell>
          <cell r="V340" t="str">
            <v>Identified - Recompete</v>
          </cell>
          <cell r="W340">
            <v>0</v>
          </cell>
          <cell r="X340">
            <v>0</v>
          </cell>
          <cell r="Y340">
            <v>0</v>
          </cell>
          <cell r="Z340">
            <v>0</v>
          </cell>
          <cell r="AA340">
            <v>0</v>
          </cell>
          <cell r="AB340">
            <v>0</v>
          </cell>
          <cell r="AC340">
            <v>0</v>
          </cell>
          <cell r="AD340">
            <v>0</v>
          </cell>
          <cell r="AI340">
            <v>0</v>
          </cell>
          <cell r="AJ340">
            <v>0</v>
          </cell>
          <cell r="AK340">
            <v>0</v>
          </cell>
          <cell r="BB340">
            <v>0</v>
          </cell>
          <cell r="BC340">
            <v>0</v>
          </cell>
          <cell r="BD340">
            <v>0</v>
          </cell>
          <cell r="BE340">
            <v>0</v>
          </cell>
          <cell r="BI340">
            <v>0</v>
          </cell>
          <cell r="BJ340">
            <v>0</v>
          </cell>
          <cell r="BK340">
            <v>0</v>
          </cell>
          <cell r="BL340">
            <v>0</v>
          </cell>
          <cell r="BM340">
            <v>0</v>
          </cell>
          <cell r="BN340">
            <v>0</v>
          </cell>
          <cell r="BO340">
            <v>0</v>
          </cell>
          <cell r="BP340">
            <v>0</v>
          </cell>
          <cell r="BQ340">
            <v>0</v>
          </cell>
          <cell r="BR340">
            <v>0</v>
          </cell>
          <cell r="BT340">
            <v>0</v>
          </cell>
          <cell r="CA340" t="str">
            <v>CP3030 - REVTOT - Identified - Recompete</v>
          </cell>
          <cell r="CC340" t="str">
            <v>CP3030 - REVTOT - Identified - Recompete - MR</v>
          </cell>
          <cell r="CD340" t="str">
            <v/>
          </cell>
          <cell r="CF340" t="str">
            <v>CP3030 - Identified - Recompete - MR</v>
          </cell>
        </row>
        <row r="341">
          <cell r="D341">
            <v>327</v>
          </cell>
          <cell r="E341">
            <v>2</v>
          </cell>
          <cell r="F341">
            <v>3</v>
          </cell>
          <cell r="G341" t="str">
            <v>CP3030</v>
          </cell>
          <cell r="H341" t="str">
            <v>CTRICII SS-24 PAVLOGRAD (3030)</v>
          </cell>
          <cell r="I341" t="str">
            <v>MR</v>
          </cell>
          <cell r="J341" t="str">
            <v>MR Non-Proliferation and Security Services</v>
          </cell>
          <cell r="K341" t="str">
            <v>DTRA</v>
          </cell>
          <cell r="L341" t="str">
            <v>DOD</v>
          </cell>
          <cell r="M341" t="str">
            <v>UKR</v>
          </cell>
          <cell r="N341" t="str">
            <v>OCONUS</v>
          </cell>
          <cell r="O341">
            <v>42272</v>
          </cell>
          <cell r="P341">
            <v>43555</v>
          </cell>
          <cell r="Q341" t="str">
            <v>Prime</v>
          </cell>
          <cell r="R341" t="str">
            <v>CPFF</v>
          </cell>
          <cell r="S341">
            <v>0</v>
          </cell>
          <cell r="T341">
            <v>1</v>
          </cell>
          <cell r="U341" t="str">
            <v>CONTRACT</v>
          </cell>
          <cell r="V341" t="str">
            <v>Base</v>
          </cell>
          <cell r="W341" t="str">
            <v>05 Won</v>
          </cell>
          <cell r="X341" t="str">
            <v>Active</v>
          </cell>
          <cell r="Y341">
            <v>1</v>
          </cell>
          <cell r="Z341">
            <v>0</v>
          </cell>
          <cell r="AA341">
            <v>255444.27000000351</v>
          </cell>
          <cell r="AB341">
            <v>0</v>
          </cell>
          <cell r="AC341">
            <v>0</v>
          </cell>
          <cell r="AD341">
            <v>255444.27000000351</v>
          </cell>
          <cell r="AL341">
            <v>0.15062561593741214</v>
          </cell>
          <cell r="AM341">
            <v>0.16271723428173451</v>
          </cell>
          <cell r="AN341">
            <v>0.16215199296081353</v>
          </cell>
          <cell r="AO341">
            <v>0.14697648027187427</v>
          </cell>
          <cell r="AP341">
            <v>0.15704456958878571</v>
          </cell>
          <cell r="AQ341">
            <v>0.15704456958878571</v>
          </cell>
          <cell r="AR341">
            <v>0.15704456958878571</v>
          </cell>
          <cell r="AS341">
            <v>0.15704456958878571</v>
          </cell>
          <cell r="BF341">
            <v>605111.56000000006</v>
          </cell>
          <cell r="BG341">
            <v>976092.97</v>
          </cell>
          <cell r="BH341">
            <v>984223.40999999933</v>
          </cell>
          <cell r="BI341">
            <v>540452.29000000015</v>
          </cell>
          <cell r="BJ341">
            <v>33800.639999999999</v>
          </cell>
          <cell r="BK341">
            <v>-1381.4799999999989</v>
          </cell>
          <cell r="BL341">
            <v>0</v>
          </cell>
          <cell r="BM341">
            <v>572871.45000000019</v>
          </cell>
          <cell r="BN341">
            <v>0</v>
          </cell>
          <cell r="BO341">
            <v>0</v>
          </cell>
          <cell r="BP341">
            <v>0</v>
          </cell>
          <cell r="BQ341">
            <v>0</v>
          </cell>
          <cell r="BR341">
            <v>572871.45000000019</v>
          </cell>
          <cell r="BT341">
            <v>0</v>
          </cell>
          <cell r="CA341" t="str">
            <v>CP3030 - CONTRACT - Base</v>
          </cell>
          <cell r="CC341" t="str">
            <v>CP3030 - CONTRACT - Base - MR</v>
          </cell>
          <cell r="CD341" t="str">
            <v/>
          </cell>
          <cell r="CF341" t="str">
            <v>CP3030 - Base - MR</v>
          </cell>
        </row>
        <row r="342">
          <cell r="D342">
            <v>328</v>
          </cell>
          <cell r="E342">
            <v>2</v>
          </cell>
          <cell r="F342">
            <v>4</v>
          </cell>
          <cell r="G342" t="str">
            <v>CP3030</v>
          </cell>
          <cell r="H342" t="str">
            <v>CTRICII SS-24 PAVLOGRAD (3030)</v>
          </cell>
          <cell r="I342" t="str">
            <v>MR</v>
          </cell>
          <cell r="J342" t="str">
            <v>MR Non-Proliferation and Security Services</v>
          </cell>
          <cell r="K342" t="str">
            <v>DTRA</v>
          </cell>
          <cell r="L342" t="str">
            <v>DOD</v>
          </cell>
          <cell r="M342" t="str">
            <v>UKR</v>
          </cell>
          <cell r="N342" t="str">
            <v>OCONUS</v>
          </cell>
          <cell r="O342">
            <v>0</v>
          </cell>
          <cell r="P342">
            <v>0</v>
          </cell>
          <cell r="Q342">
            <v>0</v>
          </cell>
          <cell r="R342" t="str">
            <v>CPFF</v>
          </cell>
          <cell r="S342">
            <v>0</v>
          </cell>
          <cell r="T342">
            <v>1</v>
          </cell>
          <cell r="U342" t="str">
            <v>CONTRACT</v>
          </cell>
          <cell r="V342" t="str">
            <v>Identified - Recompete</v>
          </cell>
          <cell r="W342">
            <v>0</v>
          </cell>
          <cell r="X342">
            <v>0</v>
          </cell>
          <cell r="Y342">
            <v>0</v>
          </cell>
          <cell r="Z342">
            <v>0</v>
          </cell>
          <cell r="AA342">
            <v>0</v>
          </cell>
          <cell r="AB342">
            <v>0</v>
          </cell>
          <cell r="AC342">
            <v>0</v>
          </cell>
          <cell r="AD342">
            <v>0</v>
          </cell>
          <cell r="AP342">
            <v>0</v>
          </cell>
          <cell r="AQ342">
            <v>0</v>
          </cell>
          <cell r="AR342">
            <v>0</v>
          </cell>
          <cell r="AS342">
            <v>0</v>
          </cell>
          <cell r="BI342">
            <v>0</v>
          </cell>
          <cell r="BJ342">
            <v>0</v>
          </cell>
          <cell r="BK342">
            <v>0</v>
          </cell>
          <cell r="BL342">
            <v>0</v>
          </cell>
          <cell r="BM342">
            <v>0</v>
          </cell>
          <cell r="BN342">
            <v>0</v>
          </cell>
          <cell r="BO342">
            <v>0</v>
          </cell>
          <cell r="BP342">
            <v>0</v>
          </cell>
          <cell r="BQ342">
            <v>0</v>
          </cell>
          <cell r="BR342">
            <v>0</v>
          </cell>
          <cell r="BT342">
            <v>0</v>
          </cell>
          <cell r="CA342" t="str">
            <v>CP3030 - CONTRACT - Identified - Recompete</v>
          </cell>
          <cell r="CC342" t="str">
            <v>CP3030 - CONTRACT - Identified - Recompete - MR</v>
          </cell>
          <cell r="CD342" t="str">
            <v/>
          </cell>
          <cell r="CF342" t="str">
            <v>CP3030 - Identified - Recompete - MR</v>
          </cell>
        </row>
        <row r="343">
          <cell r="D343">
            <v>329</v>
          </cell>
          <cell r="E343">
            <v>0</v>
          </cell>
          <cell r="F343">
            <v>5</v>
          </cell>
          <cell r="G343" t="str">
            <v>CP3030</v>
          </cell>
          <cell r="H343" t="str">
            <v>CTRICII SS-24 PAVLOGRAD (3030)</v>
          </cell>
          <cell r="I343" t="str">
            <v>MR</v>
          </cell>
          <cell r="J343" t="str">
            <v>MR Non-Proliferation and Security Services</v>
          </cell>
          <cell r="K343" t="str">
            <v>DTRA</v>
          </cell>
          <cell r="L343" t="str">
            <v>DOD</v>
          </cell>
          <cell r="M343" t="str">
            <v>UKR</v>
          </cell>
          <cell r="N343" t="str">
            <v>OCONUS</v>
          </cell>
          <cell r="O343">
            <v>42272</v>
          </cell>
          <cell r="P343">
            <v>43555</v>
          </cell>
          <cell r="Q343" t="str">
            <v>Prime</v>
          </cell>
          <cell r="R343" t="str">
            <v>CPFF</v>
          </cell>
          <cell r="S343">
            <v>0</v>
          </cell>
          <cell r="T343">
            <v>1</v>
          </cell>
          <cell r="U343" t="str">
            <v>EBITA</v>
          </cell>
          <cell r="V343" t="str">
            <v>Base</v>
          </cell>
          <cell r="W343" t="str">
            <v>05 Won</v>
          </cell>
          <cell r="X343" t="str">
            <v>Active</v>
          </cell>
          <cell r="Y343">
            <v>1</v>
          </cell>
          <cell r="Z343">
            <v>0</v>
          </cell>
          <cell r="AA343">
            <v>255444.27000000351</v>
          </cell>
          <cell r="AB343">
            <v>0</v>
          </cell>
          <cell r="AC343">
            <v>0</v>
          </cell>
          <cell r="AD343">
            <v>255444.27000000351</v>
          </cell>
          <cell r="AT343">
            <v>5.0640051674427401E-2</v>
          </cell>
          <cell r="AU343">
            <v>4.6507724429949368E-2</v>
          </cell>
          <cell r="AV343">
            <v>5.5961824430660556E-2</v>
          </cell>
          <cell r="AW343">
            <v>5.5433781150663462E-2</v>
          </cell>
          <cell r="AX343">
            <v>5.1951024271073537E-2</v>
          </cell>
          <cell r="AY343">
            <v>5.1951024271073537E-2</v>
          </cell>
          <cell r="AZ343">
            <v>5.1951024271073537E-2</v>
          </cell>
          <cell r="BA343">
            <v>5.1951024271073537E-2</v>
          </cell>
          <cell r="BF343">
            <v>203437.38000000009</v>
          </cell>
          <cell r="BG343">
            <v>278986.19999999995</v>
          </cell>
          <cell r="BH343">
            <v>339674.74999999942</v>
          </cell>
          <cell r="BI343">
            <v>210442.70000000016</v>
          </cell>
          <cell r="BJ343">
            <v>7742.260000000002</v>
          </cell>
          <cell r="BK343">
            <v>-2120.2499999999991</v>
          </cell>
          <cell r="BL343">
            <v>0</v>
          </cell>
          <cell r="BM343">
            <v>216064.71000000017</v>
          </cell>
          <cell r="BN343">
            <v>0</v>
          </cell>
          <cell r="BO343">
            <v>0</v>
          </cell>
          <cell r="BP343">
            <v>0</v>
          </cell>
          <cell r="BQ343">
            <v>0</v>
          </cell>
          <cell r="BR343">
            <v>216064.71000000017</v>
          </cell>
          <cell r="BT343">
            <v>0</v>
          </cell>
          <cell r="CA343" t="str">
            <v>CP3030 - EBITA - Base</v>
          </cell>
          <cell r="CC343" t="str">
            <v>CP3030 - EBITA - Base - MR</v>
          </cell>
          <cell r="CD343" t="str">
            <v/>
          </cell>
          <cell r="CF343" t="str">
            <v>CP3030 - Base - MR</v>
          </cell>
        </row>
        <row r="344">
          <cell r="D344">
            <v>330</v>
          </cell>
          <cell r="E344">
            <v>0</v>
          </cell>
          <cell r="F344">
            <v>0</v>
          </cell>
          <cell r="G344" t="str">
            <v>CP3030</v>
          </cell>
          <cell r="H344" t="str">
            <v>CTRICII SS-24 PAVLOGRAD (3030)</v>
          </cell>
          <cell r="I344" t="str">
            <v>MR</v>
          </cell>
          <cell r="J344" t="str">
            <v>MR Non-Proliferation and Security Services</v>
          </cell>
          <cell r="K344" t="str">
            <v>DTRA</v>
          </cell>
          <cell r="L344" t="str">
            <v>DOD</v>
          </cell>
          <cell r="M344" t="str">
            <v>UKR</v>
          </cell>
          <cell r="N344" t="str">
            <v>OCONUS</v>
          </cell>
          <cell r="O344">
            <v>0</v>
          </cell>
          <cell r="P344">
            <v>0</v>
          </cell>
          <cell r="Q344">
            <v>0</v>
          </cell>
          <cell r="R344" t="str">
            <v>CPFF</v>
          </cell>
          <cell r="S344">
            <v>0</v>
          </cell>
          <cell r="T344">
            <v>1</v>
          </cell>
          <cell r="U344" t="str">
            <v>EBITA</v>
          </cell>
          <cell r="V344" t="str">
            <v>Identified - Recompete</v>
          </cell>
          <cell r="W344">
            <v>0</v>
          </cell>
          <cell r="X344">
            <v>0</v>
          </cell>
          <cell r="Y344">
            <v>0</v>
          </cell>
          <cell r="Z344">
            <v>0</v>
          </cell>
          <cell r="AA344">
            <v>0</v>
          </cell>
          <cell r="AB344">
            <v>0</v>
          </cell>
          <cell r="AC344">
            <v>0</v>
          </cell>
          <cell r="AD344">
            <v>0</v>
          </cell>
          <cell r="AX344">
            <v>0</v>
          </cell>
          <cell r="AY344">
            <v>0</v>
          </cell>
          <cell r="AZ344">
            <v>0</v>
          </cell>
          <cell r="BA344">
            <v>0</v>
          </cell>
          <cell r="BI344">
            <v>0</v>
          </cell>
          <cell r="BJ344">
            <v>0</v>
          </cell>
          <cell r="BK344">
            <v>0</v>
          </cell>
          <cell r="BL344">
            <v>0</v>
          </cell>
          <cell r="BM344">
            <v>0</v>
          </cell>
          <cell r="BN344">
            <v>0</v>
          </cell>
          <cell r="BO344">
            <v>0</v>
          </cell>
          <cell r="BP344">
            <v>0</v>
          </cell>
          <cell r="BQ344">
            <v>0</v>
          </cell>
          <cell r="BR344">
            <v>0</v>
          </cell>
          <cell r="BT344">
            <v>0</v>
          </cell>
          <cell r="CA344" t="str">
            <v>CP3030 - EBITA - Identified - Recompete</v>
          </cell>
          <cell r="CC344" t="str">
            <v>CP3030 - EBITA - Identified - Recompete - MR</v>
          </cell>
          <cell r="CD344" t="str">
            <v/>
          </cell>
          <cell r="CF344" t="str">
            <v>CP3030 - Identified - Recompete - MR</v>
          </cell>
        </row>
        <row r="345">
          <cell r="D345">
            <v>331</v>
          </cell>
          <cell r="E345">
            <v>1</v>
          </cell>
          <cell r="F345">
            <v>1</v>
          </cell>
          <cell r="G345" t="str">
            <v>TFSAFE</v>
          </cell>
          <cell r="H345" t="str">
            <v>TF Safe</v>
          </cell>
          <cell r="I345" t="str">
            <v>MR</v>
          </cell>
          <cell r="J345" t="str">
            <v>MR Maintenance &amp; Sustainment</v>
          </cell>
          <cell r="K345" t="str">
            <v>Army</v>
          </cell>
          <cell r="L345" t="str">
            <v>DOD</v>
          </cell>
          <cell r="M345" t="str">
            <v>Kuwait</v>
          </cell>
          <cell r="N345" t="str">
            <v>OCONUS</v>
          </cell>
          <cell r="O345">
            <v>43313</v>
          </cell>
          <cell r="P345">
            <v>44043</v>
          </cell>
          <cell r="Q345" t="str">
            <v>Prime</v>
          </cell>
          <cell r="R345" t="str">
            <v>CPFF</v>
          </cell>
          <cell r="S345">
            <v>0</v>
          </cell>
          <cell r="T345">
            <v>1</v>
          </cell>
          <cell r="U345" t="str">
            <v>REVTOT</v>
          </cell>
          <cell r="V345" t="str">
            <v>Base</v>
          </cell>
          <cell r="W345" t="str">
            <v>05 Won</v>
          </cell>
          <cell r="X345" t="str">
            <v>Active</v>
          </cell>
          <cell r="Y345">
            <v>1</v>
          </cell>
          <cell r="Z345">
            <v>0</v>
          </cell>
          <cell r="AA345">
            <v>2269809.3811984342</v>
          </cell>
          <cell r="AB345">
            <v>0</v>
          </cell>
          <cell r="AC345">
            <v>0</v>
          </cell>
          <cell r="AD345">
            <v>2269809.3811984342</v>
          </cell>
          <cell r="AE345">
            <v>0</v>
          </cell>
          <cell r="AF345">
            <v>0</v>
          </cell>
          <cell r="AG345">
            <v>121.48726331514483</v>
          </cell>
          <cell r="AH345">
            <v>0.27837372591457221</v>
          </cell>
          <cell r="AI345">
            <v>0</v>
          </cell>
          <cell r="AJ345">
            <v>0</v>
          </cell>
          <cell r="AK345">
            <v>0</v>
          </cell>
          <cell r="BB345">
            <v>2120971.4899999998</v>
          </cell>
          <cell r="BC345">
            <v>2120971.4899999998</v>
          </cell>
          <cell r="BD345">
            <v>2120971.4899999998</v>
          </cell>
          <cell r="BE345">
            <v>2120971.4899999998</v>
          </cell>
          <cell r="BF345">
            <v>0</v>
          </cell>
          <cell r="BG345">
            <v>0</v>
          </cell>
          <cell r="BH345">
            <v>13545.22</v>
          </cell>
          <cell r="BI345">
            <v>105753.62000000001</v>
          </cell>
          <cell r="BJ345">
            <v>564355.99</v>
          </cell>
          <cell r="BK345">
            <v>524618.41</v>
          </cell>
          <cell r="BL345">
            <v>464388.90880156588</v>
          </cell>
          <cell r="BM345">
            <v>1659116.9288015659</v>
          </cell>
          <cell r="BN345">
            <v>2120971.4899999998</v>
          </cell>
          <cell r="BO345">
            <v>148837.8911984344</v>
          </cell>
          <cell r="BP345">
            <v>0</v>
          </cell>
          <cell r="BQ345">
            <v>0</v>
          </cell>
          <cell r="BR345">
            <v>3928926.31</v>
          </cell>
          <cell r="BT345">
            <v>0</v>
          </cell>
          <cell r="CA345" t="str">
            <v>TFSAFE - REVTOT - Base</v>
          </cell>
          <cell r="CC345" t="str">
            <v>TFSAFE - REVTOT - Base - MR</v>
          </cell>
          <cell r="CD345" t="str">
            <v>TFSAFE - REVTOT - Base - MR</v>
          </cell>
          <cell r="CF345" t="str">
            <v>TFSAFE - Base - MR</v>
          </cell>
        </row>
        <row r="346">
          <cell r="D346">
            <v>332</v>
          </cell>
          <cell r="E346">
            <v>1</v>
          </cell>
          <cell r="F346">
            <v>2</v>
          </cell>
          <cell r="G346" t="str">
            <v>TFSAFE</v>
          </cell>
          <cell r="H346" t="str">
            <v>TF Safe</v>
          </cell>
          <cell r="I346" t="str">
            <v>MR</v>
          </cell>
          <cell r="J346" t="str">
            <v>MR Maintenance &amp; Sustainment</v>
          </cell>
          <cell r="K346" t="str">
            <v>Army</v>
          </cell>
          <cell r="L346" t="str">
            <v>DOD</v>
          </cell>
          <cell r="M346" t="str">
            <v>Kuwait</v>
          </cell>
          <cell r="N346" t="str">
            <v>OCONUS</v>
          </cell>
          <cell r="O346">
            <v>0</v>
          </cell>
          <cell r="P346">
            <v>0</v>
          </cell>
          <cell r="Q346">
            <v>0</v>
          </cell>
          <cell r="R346" t="str">
            <v>CPFF</v>
          </cell>
          <cell r="S346">
            <v>0</v>
          </cell>
          <cell r="T346">
            <v>1</v>
          </cell>
          <cell r="U346" t="str">
            <v>REVTOT</v>
          </cell>
          <cell r="V346" t="str">
            <v>Identified - Recompete</v>
          </cell>
          <cell r="W346">
            <v>0</v>
          </cell>
          <cell r="X346">
            <v>0</v>
          </cell>
          <cell r="Y346">
            <v>0</v>
          </cell>
          <cell r="Z346">
            <v>0</v>
          </cell>
          <cell r="AA346">
            <v>0</v>
          </cell>
          <cell r="AB346">
            <v>0</v>
          </cell>
          <cell r="AC346">
            <v>0</v>
          </cell>
          <cell r="AD346">
            <v>0</v>
          </cell>
          <cell r="AI346">
            <v>0</v>
          </cell>
          <cell r="AJ346">
            <v>0</v>
          </cell>
          <cell r="AK346">
            <v>0</v>
          </cell>
          <cell r="BB346">
            <v>0</v>
          </cell>
          <cell r="BC346">
            <v>0</v>
          </cell>
          <cell r="BD346">
            <v>0</v>
          </cell>
          <cell r="BE346">
            <v>0</v>
          </cell>
          <cell r="BI346">
            <v>0</v>
          </cell>
          <cell r="BJ346">
            <v>0</v>
          </cell>
          <cell r="BK346">
            <v>0</v>
          </cell>
          <cell r="BL346">
            <v>0</v>
          </cell>
          <cell r="BM346">
            <v>0</v>
          </cell>
          <cell r="BN346">
            <v>0</v>
          </cell>
          <cell r="BO346">
            <v>0</v>
          </cell>
          <cell r="BP346">
            <v>0</v>
          </cell>
          <cell r="BQ346">
            <v>0</v>
          </cell>
          <cell r="BR346">
            <v>0</v>
          </cell>
          <cell r="BT346">
            <v>0</v>
          </cell>
          <cell r="CA346" t="str">
            <v>TFSAFE - REVTOT - Identified - Recompete</v>
          </cell>
          <cell r="CC346" t="str">
            <v>TFSAFE - REVTOT - Identified - Recompete - MR</v>
          </cell>
          <cell r="CD346" t="str">
            <v/>
          </cell>
          <cell r="CF346" t="str">
            <v>TFSAFE - Identified - Recompete - MR</v>
          </cell>
        </row>
        <row r="347">
          <cell r="D347">
            <v>333</v>
          </cell>
          <cell r="E347">
            <v>2</v>
          </cell>
          <cell r="F347">
            <v>3</v>
          </cell>
          <cell r="G347" t="str">
            <v>TFSAFE</v>
          </cell>
          <cell r="H347" t="str">
            <v>TF Safe</v>
          </cell>
          <cell r="I347" t="str">
            <v>MR</v>
          </cell>
          <cell r="J347" t="str">
            <v>MR Maintenance &amp; Sustainment</v>
          </cell>
          <cell r="K347" t="str">
            <v>Army</v>
          </cell>
          <cell r="L347" t="str">
            <v>DOD</v>
          </cell>
          <cell r="M347" t="str">
            <v>Kuwait</v>
          </cell>
          <cell r="N347" t="str">
            <v>OCONUS</v>
          </cell>
          <cell r="O347">
            <v>43313</v>
          </cell>
          <cell r="P347">
            <v>44043</v>
          </cell>
          <cell r="Q347" t="str">
            <v>Prime</v>
          </cell>
          <cell r="R347" t="str">
            <v>CPFF</v>
          </cell>
          <cell r="S347">
            <v>0</v>
          </cell>
          <cell r="T347">
            <v>1</v>
          </cell>
          <cell r="U347" t="str">
            <v>CONTRACT</v>
          </cell>
          <cell r="V347" t="str">
            <v>Base</v>
          </cell>
          <cell r="W347" t="str">
            <v>05 Won</v>
          </cell>
          <cell r="X347" t="str">
            <v>Active</v>
          </cell>
          <cell r="Y347">
            <v>1</v>
          </cell>
          <cell r="Z347">
            <v>0</v>
          </cell>
          <cell r="AA347">
            <v>2269809.3811984342</v>
          </cell>
          <cell r="AB347">
            <v>0</v>
          </cell>
          <cell r="AC347">
            <v>0</v>
          </cell>
          <cell r="AD347">
            <v>2269809.3811984342</v>
          </cell>
          <cell r="AL347">
            <v>0</v>
          </cell>
          <cell r="AM347">
            <v>0</v>
          </cell>
          <cell r="AN347">
            <v>0.12116599065943554</v>
          </cell>
          <cell r="AO347">
            <v>0.1232530375669643</v>
          </cell>
          <cell r="AP347">
            <v>0.12493270042022117</v>
          </cell>
          <cell r="AQ347">
            <v>0.12493270042022117</v>
          </cell>
          <cell r="AR347">
            <v>0.12493270042022117</v>
          </cell>
          <cell r="AS347">
            <v>0.12493270042022117</v>
          </cell>
          <cell r="BF347">
            <v>0</v>
          </cell>
          <cell r="BG347">
            <v>0</v>
          </cell>
          <cell r="BH347">
            <v>1641.2199999999993</v>
          </cell>
          <cell r="BI347">
            <v>13261.240000000013</v>
          </cell>
          <cell r="BJ347">
            <v>69139.430000000022</v>
          </cell>
          <cell r="BK347">
            <v>64343.75999999998</v>
          </cell>
          <cell r="BL347">
            <v>57746.771153565816</v>
          </cell>
          <cell r="BM347">
            <v>204491.20115356584</v>
          </cell>
          <cell r="BN347">
            <v>264978.69576000009</v>
          </cell>
          <cell r="BO347">
            <v>18594.71967227148</v>
          </cell>
          <cell r="BP347">
            <v>0</v>
          </cell>
          <cell r="BQ347">
            <v>0</v>
          </cell>
          <cell r="BR347">
            <v>488064.61658583739</v>
          </cell>
          <cell r="BT347">
            <v>0</v>
          </cell>
          <cell r="CA347" t="str">
            <v>TFSAFE - CONTRACT - Base</v>
          </cell>
          <cell r="CC347" t="str">
            <v>TFSAFE - CONTRACT - Base - MR</v>
          </cell>
          <cell r="CD347" t="str">
            <v/>
          </cell>
          <cell r="CF347" t="str">
            <v>TFSAFE - Base - MR</v>
          </cell>
        </row>
        <row r="348">
          <cell r="D348">
            <v>334</v>
          </cell>
          <cell r="E348">
            <v>2</v>
          </cell>
          <cell r="F348">
            <v>4</v>
          </cell>
          <cell r="G348" t="str">
            <v>TFSAFE</v>
          </cell>
          <cell r="H348" t="str">
            <v>TF Safe</v>
          </cell>
          <cell r="I348" t="str">
            <v>MR</v>
          </cell>
          <cell r="J348" t="str">
            <v>MR Maintenance &amp; Sustainment</v>
          </cell>
          <cell r="K348" t="str">
            <v>Army</v>
          </cell>
          <cell r="L348" t="str">
            <v>DOD</v>
          </cell>
          <cell r="M348" t="str">
            <v>Kuwait</v>
          </cell>
          <cell r="N348" t="str">
            <v>OCONUS</v>
          </cell>
          <cell r="O348">
            <v>0</v>
          </cell>
          <cell r="P348">
            <v>0</v>
          </cell>
          <cell r="Q348">
            <v>0</v>
          </cell>
          <cell r="R348" t="str">
            <v>CPFF</v>
          </cell>
          <cell r="S348">
            <v>0</v>
          </cell>
          <cell r="T348">
            <v>1</v>
          </cell>
          <cell r="U348" t="str">
            <v>CONTRACT</v>
          </cell>
          <cell r="V348" t="str">
            <v>Identified - Recompete</v>
          </cell>
          <cell r="W348">
            <v>0</v>
          </cell>
          <cell r="X348">
            <v>0</v>
          </cell>
          <cell r="Y348">
            <v>0</v>
          </cell>
          <cell r="Z348">
            <v>0</v>
          </cell>
          <cell r="AA348">
            <v>0</v>
          </cell>
          <cell r="AB348">
            <v>0</v>
          </cell>
          <cell r="AC348">
            <v>0</v>
          </cell>
          <cell r="AD348">
            <v>0</v>
          </cell>
          <cell r="AP348">
            <v>0</v>
          </cell>
          <cell r="AQ348">
            <v>0</v>
          </cell>
          <cell r="AR348">
            <v>0</v>
          </cell>
          <cell r="AS348">
            <v>0</v>
          </cell>
          <cell r="BI348">
            <v>0</v>
          </cell>
          <cell r="BJ348">
            <v>0</v>
          </cell>
          <cell r="BK348">
            <v>0</v>
          </cell>
          <cell r="BL348">
            <v>0</v>
          </cell>
          <cell r="BM348">
            <v>0</v>
          </cell>
          <cell r="BN348">
            <v>0</v>
          </cell>
          <cell r="BO348">
            <v>0</v>
          </cell>
          <cell r="BP348">
            <v>0</v>
          </cell>
          <cell r="BQ348">
            <v>0</v>
          </cell>
          <cell r="BR348">
            <v>0</v>
          </cell>
          <cell r="BT348">
            <v>0</v>
          </cell>
          <cell r="CA348" t="str">
            <v>TFSAFE - CONTRACT - Identified - Recompete</v>
          </cell>
          <cell r="CC348" t="str">
            <v>TFSAFE - CONTRACT - Identified - Recompete - MR</v>
          </cell>
          <cell r="CD348" t="str">
            <v/>
          </cell>
          <cell r="CF348" t="str">
            <v>TFSAFE - Identified - Recompete - MR</v>
          </cell>
        </row>
        <row r="349">
          <cell r="D349">
            <v>335</v>
          </cell>
          <cell r="E349">
            <v>0</v>
          </cell>
          <cell r="F349">
            <v>5</v>
          </cell>
          <cell r="G349" t="str">
            <v>TFSAFE</v>
          </cell>
          <cell r="H349" t="str">
            <v>TF Safe</v>
          </cell>
          <cell r="I349" t="str">
            <v>MR</v>
          </cell>
          <cell r="J349" t="str">
            <v>MR Maintenance &amp; Sustainment</v>
          </cell>
          <cell r="K349" t="str">
            <v>Army</v>
          </cell>
          <cell r="L349" t="str">
            <v>DOD</v>
          </cell>
          <cell r="M349" t="str">
            <v>Kuwait</v>
          </cell>
          <cell r="N349" t="str">
            <v>OCONUS</v>
          </cell>
          <cell r="O349">
            <v>43313</v>
          </cell>
          <cell r="P349">
            <v>44043</v>
          </cell>
          <cell r="Q349" t="str">
            <v>Prime</v>
          </cell>
          <cell r="R349" t="str">
            <v>CPFF</v>
          </cell>
          <cell r="S349">
            <v>0</v>
          </cell>
          <cell r="T349">
            <v>1</v>
          </cell>
          <cell r="U349" t="str">
            <v>EBITA</v>
          </cell>
          <cell r="V349" t="str">
            <v>Base</v>
          </cell>
          <cell r="W349" t="str">
            <v>05 Won</v>
          </cell>
          <cell r="X349" t="str">
            <v>Active</v>
          </cell>
          <cell r="Y349">
            <v>1</v>
          </cell>
          <cell r="Z349">
            <v>0</v>
          </cell>
          <cell r="AA349">
            <v>2269809.3811984342</v>
          </cell>
          <cell r="AB349">
            <v>0</v>
          </cell>
          <cell r="AC349">
            <v>0</v>
          </cell>
          <cell r="AD349">
            <v>2269809.3811984342</v>
          </cell>
          <cell r="AT349">
            <v>0</v>
          </cell>
          <cell r="AU349">
            <v>0</v>
          </cell>
          <cell r="AV349">
            <v>4.7619012463437235E-2</v>
          </cell>
          <cell r="AW349">
            <v>4.7619071441244151E-2</v>
          </cell>
          <cell r="AX349">
            <v>5.3198828788249289E-2</v>
          </cell>
          <cell r="AY349">
            <v>5.3198828788249289E-2</v>
          </cell>
          <cell r="AZ349">
            <v>5.3198828788249289E-2</v>
          </cell>
          <cell r="BA349">
            <v>5.3198828788249289E-2</v>
          </cell>
          <cell r="BF349">
            <v>0</v>
          </cell>
          <cell r="BG349">
            <v>0</v>
          </cell>
          <cell r="BH349">
            <v>645.00999999999931</v>
          </cell>
          <cell r="BI349">
            <v>5035.9000000000124</v>
          </cell>
          <cell r="BJ349">
            <v>26874.140000000021</v>
          </cell>
          <cell r="BK349">
            <v>24981.809999999983</v>
          </cell>
          <cell r="BL349">
            <v>22113.757561979335</v>
          </cell>
          <cell r="BM349">
            <v>79005.607561979356</v>
          </cell>
          <cell r="BN349">
            <v>112833.19916126797</v>
          </cell>
          <cell r="BO349">
            <v>7918.0014910695872</v>
          </cell>
          <cell r="BP349">
            <v>0</v>
          </cell>
          <cell r="BQ349">
            <v>0</v>
          </cell>
          <cell r="BR349">
            <v>199756.80821431693</v>
          </cell>
          <cell r="BT349">
            <v>0</v>
          </cell>
          <cell r="CA349" t="str">
            <v>TFSAFE - EBITA - Base</v>
          </cell>
          <cell r="CC349" t="str">
            <v>TFSAFE - EBITA - Base - MR</v>
          </cell>
          <cell r="CD349" t="str">
            <v/>
          </cell>
          <cell r="CF349" t="str">
            <v>TFSAFE - Base - MR</v>
          </cell>
        </row>
        <row r="350">
          <cell r="D350">
            <v>336</v>
          </cell>
          <cell r="E350">
            <v>0</v>
          </cell>
          <cell r="F350">
            <v>0</v>
          </cell>
          <cell r="G350" t="str">
            <v>TFSAFE</v>
          </cell>
          <cell r="H350" t="str">
            <v>TF Safe</v>
          </cell>
          <cell r="I350" t="str">
            <v>MR</v>
          </cell>
          <cell r="J350" t="str">
            <v>MR Maintenance &amp; Sustainment</v>
          </cell>
          <cell r="K350" t="str">
            <v>Army</v>
          </cell>
          <cell r="L350" t="str">
            <v>DOD</v>
          </cell>
          <cell r="M350" t="str">
            <v>Kuwait</v>
          </cell>
          <cell r="N350" t="str">
            <v>OCONUS</v>
          </cell>
          <cell r="O350">
            <v>0</v>
          </cell>
          <cell r="P350">
            <v>0</v>
          </cell>
          <cell r="Q350">
            <v>0</v>
          </cell>
          <cell r="R350" t="str">
            <v>CPFF</v>
          </cell>
          <cell r="S350">
            <v>0</v>
          </cell>
          <cell r="T350">
            <v>1</v>
          </cell>
          <cell r="U350" t="str">
            <v>EBITA</v>
          </cell>
          <cell r="V350" t="str">
            <v>Identified - Recompete</v>
          </cell>
          <cell r="W350">
            <v>0</v>
          </cell>
          <cell r="X350">
            <v>0</v>
          </cell>
          <cell r="Y350">
            <v>0</v>
          </cell>
          <cell r="Z350">
            <v>0</v>
          </cell>
          <cell r="AA350">
            <v>0</v>
          </cell>
          <cell r="AB350">
            <v>0</v>
          </cell>
          <cell r="AC350">
            <v>0</v>
          </cell>
          <cell r="AD350">
            <v>0</v>
          </cell>
          <cell r="AX350">
            <v>0</v>
          </cell>
          <cell r="AY350">
            <v>0</v>
          </cell>
          <cell r="AZ350">
            <v>0</v>
          </cell>
          <cell r="BA350">
            <v>0</v>
          </cell>
          <cell r="BI350">
            <v>0</v>
          </cell>
          <cell r="BJ350">
            <v>0</v>
          </cell>
          <cell r="BK350">
            <v>0</v>
          </cell>
          <cell r="BL350">
            <v>0</v>
          </cell>
          <cell r="BM350">
            <v>0</v>
          </cell>
          <cell r="BN350">
            <v>0</v>
          </cell>
          <cell r="BO350">
            <v>0</v>
          </cell>
          <cell r="BP350">
            <v>0</v>
          </cell>
          <cell r="BQ350">
            <v>0</v>
          </cell>
          <cell r="BR350">
            <v>0</v>
          </cell>
          <cell r="BT350">
            <v>0</v>
          </cell>
          <cell r="CA350" t="str">
            <v>TFSAFE - EBITA - Identified - Recompete</v>
          </cell>
          <cell r="CC350" t="str">
            <v>TFSAFE - EBITA - Identified - Recompete - MR</v>
          </cell>
          <cell r="CD350" t="str">
            <v/>
          </cell>
          <cell r="CF350" t="str">
            <v>TFSAFE - Identified - Recompete - MR</v>
          </cell>
        </row>
        <row r="351">
          <cell r="D351">
            <v>337</v>
          </cell>
          <cell r="E351">
            <v>1</v>
          </cell>
          <cell r="F351">
            <v>1</v>
          </cell>
          <cell r="G351" t="str">
            <v>CP3278</v>
          </cell>
          <cell r="H351" t="str">
            <v>CTRIC KAZ EQUIP PROCUREMENT (3278)</v>
          </cell>
          <cell r="I351" t="str">
            <v>MR</v>
          </cell>
          <cell r="J351" t="str">
            <v>MR Non-Proliferation and Security Services</v>
          </cell>
          <cell r="K351" t="str">
            <v>DTRA</v>
          </cell>
          <cell r="L351" t="str">
            <v>DOD</v>
          </cell>
          <cell r="M351" t="str">
            <v>OH</v>
          </cell>
          <cell r="N351" t="str">
            <v>CONUS</v>
          </cell>
          <cell r="O351">
            <v>42825</v>
          </cell>
          <cell r="P351">
            <v>43920</v>
          </cell>
          <cell r="Q351" t="str">
            <v>Prime</v>
          </cell>
          <cell r="R351" t="str">
            <v>FFP</v>
          </cell>
          <cell r="S351">
            <v>0</v>
          </cell>
          <cell r="T351">
            <v>1</v>
          </cell>
          <cell r="U351" t="str">
            <v>REVTOT</v>
          </cell>
          <cell r="V351" t="str">
            <v>Base</v>
          </cell>
          <cell r="W351" t="str">
            <v>05 Won</v>
          </cell>
          <cell r="X351" t="str">
            <v>Active</v>
          </cell>
          <cell r="Y351">
            <v>1</v>
          </cell>
          <cell r="Z351">
            <v>0</v>
          </cell>
          <cell r="AA351">
            <v>1290052.1499999999</v>
          </cell>
          <cell r="AB351">
            <v>0</v>
          </cell>
          <cell r="AC351">
            <v>0</v>
          </cell>
          <cell r="AD351">
            <v>1290052.1499999999</v>
          </cell>
          <cell r="AE351">
            <v>0</v>
          </cell>
          <cell r="AF351">
            <v>0.21914697487621049</v>
          </cell>
          <cell r="AG351">
            <v>0.14408861177715249</v>
          </cell>
          <cell r="AH351">
            <v>-0.87021303087398516</v>
          </cell>
          <cell r="AI351">
            <v>0</v>
          </cell>
          <cell r="AJ351">
            <v>0</v>
          </cell>
          <cell r="AK351">
            <v>0</v>
          </cell>
          <cell r="BB351">
            <v>383000</v>
          </cell>
          <cell r="BC351">
            <v>383000</v>
          </cell>
          <cell r="BD351">
            <v>383000</v>
          </cell>
          <cell r="BE351">
            <v>383000</v>
          </cell>
          <cell r="BF351">
            <v>0</v>
          </cell>
          <cell r="BG351">
            <v>2115689.62</v>
          </cell>
          <cell r="BH351">
            <v>2579336.5999999996</v>
          </cell>
          <cell r="BI351">
            <v>524451.46000000008</v>
          </cell>
          <cell r="BJ351">
            <v>528513.19999999995</v>
          </cell>
          <cell r="BK351">
            <v>1287024.97</v>
          </cell>
          <cell r="BL351">
            <v>611000</v>
          </cell>
          <cell r="BM351">
            <v>2950989.63</v>
          </cell>
          <cell r="BN351">
            <v>383000</v>
          </cell>
          <cell r="BO351">
            <v>383000</v>
          </cell>
          <cell r="BP351">
            <v>383000</v>
          </cell>
          <cell r="BQ351">
            <v>141052.14999999991</v>
          </cell>
          <cell r="BR351">
            <v>4241041.7799999993</v>
          </cell>
          <cell r="BT351">
            <v>0</v>
          </cell>
          <cell r="CA351" t="str">
            <v>CP3278 - REVTOT - Base</v>
          </cell>
          <cell r="CC351" t="str">
            <v>CP3278 - REVTOT - Base - MR</v>
          </cell>
          <cell r="CD351" t="str">
            <v>CP3278 - REVTOT - Base - MR</v>
          </cell>
          <cell r="CF351" t="str">
            <v>CP3278 - Base - MR</v>
          </cell>
        </row>
        <row r="352">
          <cell r="D352">
            <v>338</v>
          </cell>
          <cell r="E352">
            <v>1</v>
          </cell>
          <cell r="F352">
            <v>2</v>
          </cell>
          <cell r="G352" t="str">
            <v>CP3278</v>
          </cell>
          <cell r="H352" t="str">
            <v>CTRIC KAZ EQUIP PROCUREMENT (3278)</v>
          </cell>
          <cell r="I352" t="str">
            <v>MR</v>
          </cell>
          <cell r="J352" t="str">
            <v>MR Non-Proliferation and Security Services</v>
          </cell>
          <cell r="K352" t="str">
            <v>DTRA</v>
          </cell>
          <cell r="L352" t="str">
            <v>DOD</v>
          </cell>
          <cell r="M352" t="str">
            <v>OH</v>
          </cell>
          <cell r="N352" t="str">
            <v>CONUS</v>
          </cell>
          <cell r="O352">
            <v>0</v>
          </cell>
          <cell r="P352">
            <v>0</v>
          </cell>
          <cell r="Q352">
            <v>0</v>
          </cell>
          <cell r="R352" t="str">
            <v>FFP</v>
          </cell>
          <cell r="S352">
            <v>0</v>
          </cell>
          <cell r="T352">
            <v>1</v>
          </cell>
          <cell r="U352" t="str">
            <v>REVTOT</v>
          </cell>
          <cell r="V352" t="str">
            <v>Identified - Recompete</v>
          </cell>
          <cell r="W352">
            <v>0</v>
          </cell>
          <cell r="X352">
            <v>0</v>
          </cell>
          <cell r="Y352">
            <v>0</v>
          </cell>
          <cell r="Z352">
            <v>0</v>
          </cell>
          <cell r="AA352">
            <v>0</v>
          </cell>
          <cell r="AB352">
            <v>0</v>
          </cell>
          <cell r="AC352">
            <v>0</v>
          </cell>
          <cell r="AD352">
            <v>0</v>
          </cell>
          <cell r="AI352">
            <v>0</v>
          </cell>
          <cell r="AJ352">
            <v>0</v>
          </cell>
          <cell r="AK352">
            <v>0</v>
          </cell>
          <cell r="BB352">
            <v>0</v>
          </cell>
          <cell r="BC352">
            <v>0</v>
          </cell>
          <cell r="BD352">
            <v>0</v>
          </cell>
          <cell r="BE352">
            <v>0</v>
          </cell>
          <cell r="BI352">
            <v>0</v>
          </cell>
          <cell r="BJ352">
            <v>0</v>
          </cell>
          <cell r="BK352">
            <v>0</v>
          </cell>
          <cell r="BL352">
            <v>0</v>
          </cell>
          <cell r="BM352">
            <v>0</v>
          </cell>
          <cell r="BN352">
            <v>0</v>
          </cell>
          <cell r="BO352">
            <v>0</v>
          </cell>
          <cell r="BP352">
            <v>0</v>
          </cell>
          <cell r="BQ352">
            <v>0</v>
          </cell>
          <cell r="BR352">
            <v>0</v>
          </cell>
          <cell r="BT352">
            <v>0</v>
          </cell>
          <cell r="CA352" t="str">
            <v>CP3278 - REVTOT - Identified - Recompete</v>
          </cell>
          <cell r="CC352" t="str">
            <v>CP3278 - REVTOT - Identified - Recompete - MR</v>
          </cell>
          <cell r="CD352" t="str">
            <v/>
          </cell>
          <cell r="CF352" t="str">
            <v>CP3278 - Identified - Recompete - MR</v>
          </cell>
        </row>
        <row r="353">
          <cell r="D353">
            <v>339</v>
          </cell>
          <cell r="E353">
            <v>2</v>
          </cell>
          <cell r="F353">
            <v>3</v>
          </cell>
          <cell r="G353" t="str">
            <v>CP3278</v>
          </cell>
          <cell r="H353" t="str">
            <v>CTRIC KAZ EQUIP PROCUREMENT (3278)</v>
          </cell>
          <cell r="I353" t="str">
            <v>MR</v>
          </cell>
          <cell r="J353" t="str">
            <v>MR Non-Proliferation and Security Services</v>
          </cell>
          <cell r="K353" t="str">
            <v>DTRA</v>
          </cell>
          <cell r="L353" t="str">
            <v>DOD</v>
          </cell>
          <cell r="M353" t="str">
            <v>OH</v>
          </cell>
          <cell r="N353" t="str">
            <v>CONUS</v>
          </cell>
          <cell r="O353">
            <v>42825</v>
          </cell>
          <cell r="P353">
            <v>43920</v>
          </cell>
          <cell r="Q353" t="str">
            <v>Prime</v>
          </cell>
          <cell r="R353" t="str">
            <v>FFP</v>
          </cell>
          <cell r="S353">
            <v>0</v>
          </cell>
          <cell r="T353">
            <v>1</v>
          </cell>
          <cell r="U353" t="str">
            <v>CONTRACT</v>
          </cell>
          <cell r="V353" t="str">
            <v>Base</v>
          </cell>
          <cell r="W353" t="str">
            <v>05 Won</v>
          </cell>
          <cell r="X353" t="str">
            <v>Active</v>
          </cell>
          <cell r="Y353">
            <v>1</v>
          </cell>
          <cell r="Z353">
            <v>0</v>
          </cell>
          <cell r="AA353">
            <v>1290052.1499999999</v>
          </cell>
          <cell r="AB353">
            <v>0</v>
          </cell>
          <cell r="AC353">
            <v>0</v>
          </cell>
          <cell r="AD353">
            <v>1290052.1499999999</v>
          </cell>
          <cell r="AL353">
            <v>0</v>
          </cell>
          <cell r="AM353">
            <v>0.1017354568294379</v>
          </cell>
          <cell r="AN353">
            <v>8.723339559482074E-2</v>
          </cell>
          <cell r="AO353">
            <v>8.8560890673140061E-2</v>
          </cell>
          <cell r="AP353">
            <v>8.9133466057441241E-2</v>
          </cell>
          <cell r="AQ353">
            <v>8.9133466057441241E-2</v>
          </cell>
          <cell r="AR353">
            <v>8.9133466057441241E-2</v>
          </cell>
          <cell r="AS353">
            <v>8.9133466057441241E-2</v>
          </cell>
          <cell r="BF353">
            <v>0</v>
          </cell>
          <cell r="BG353">
            <v>215240.64999999988</v>
          </cell>
          <cell r="BH353">
            <v>225004.28999999986</v>
          </cell>
          <cell r="BI353">
            <v>47441.32000000008</v>
          </cell>
          <cell r="BJ353">
            <v>46339.719999999958</v>
          </cell>
          <cell r="BK353">
            <v>114559.43</v>
          </cell>
          <cell r="BL353">
            <v>53001.799999999988</v>
          </cell>
          <cell r="BM353">
            <v>261342.27000000002</v>
          </cell>
          <cell r="BN353">
            <v>34138.117499999993</v>
          </cell>
          <cell r="BO353">
            <v>34138.117499999993</v>
          </cell>
          <cell r="BP353">
            <v>34138.117499999993</v>
          </cell>
          <cell r="BQ353">
            <v>12572.467024354102</v>
          </cell>
          <cell r="BR353">
            <v>376329.08952435409</v>
          </cell>
          <cell r="BT353">
            <v>0</v>
          </cell>
          <cell r="CA353" t="str">
            <v>CP3278 - CONTRACT - Base</v>
          </cell>
          <cell r="CC353" t="str">
            <v>CP3278 - CONTRACT - Base - MR</v>
          </cell>
          <cell r="CD353" t="str">
            <v/>
          </cell>
          <cell r="CF353" t="str">
            <v>CP3278 - Base - MR</v>
          </cell>
        </row>
        <row r="354">
          <cell r="D354">
            <v>340</v>
          </cell>
          <cell r="E354">
            <v>2</v>
          </cell>
          <cell r="F354">
            <v>4</v>
          </cell>
          <cell r="G354" t="str">
            <v>CP3278</v>
          </cell>
          <cell r="H354" t="str">
            <v>CTRIC KAZ EQUIP PROCUREMENT (3278)</v>
          </cell>
          <cell r="I354" t="str">
            <v>MR</v>
          </cell>
          <cell r="J354" t="str">
            <v>MR Non-Proliferation and Security Services</v>
          </cell>
          <cell r="K354" t="str">
            <v>DTRA</v>
          </cell>
          <cell r="L354" t="str">
            <v>DOD</v>
          </cell>
          <cell r="M354" t="str">
            <v>OH</v>
          </cell>
          <cell r="N354" t="str">
            <v>CONUS</v>
          </cell>
          <cell r="O354">
            <v>0</v>
          </cell>
          <cell r="P354">
            <v>0</v>
          </cell>
          <cell r="Q354">
            <v>0</v>
          </cell>
          <cell r="R354" t="str">
            <v>FFP</v>
          </cell>
          <cell r="S354">
            <v>0</v>
          </cell>
          <cell r="T354">
            <v>1</v>
          </cell>
          <cell r="U354" t="str">
            <v>CONTRACT</v>
          </cell>
          <cell r="V354" t="str">
            <v>Identified - Recompete</v>
          </cell>
          <cell r="W354">
            <v>0</v>
          </cell>
          <cell r="X354">
            <v>0</v>
          </cell>
          <cell r="Y354">
            <v>0</v>
          </cell>
          <cell r="Z354">
            <v>0</v>
          </cell>
          <cell r="AA354">
            <v>0</v>
          </cell>
          <cell r="AB354">
            <v>0</v>
          </cell>
          <cell r="AC354">
            <v>0</v>
          </cell>
          <cell r="AD354">
            <v>0</v>
          </cell>
          <cell r="AP354">
            <v>0</v>
          </cell>
          <cell r="AQ354">
            <v>0</v>
          </cell>
          <cell r="AR354">
            <v>0</v>
          </cell>
          <cell r="AS354">
            <v>0</v>
          </cell>
          <cell r="BI354">
            <v>0</v>
          </cell>
          <cell r="BJ354">
            <v>0</v>
          </cell>
          <cell r="BK354">
            <v>0</v>
          </cell>
          <cell r="BL354">
            <v>0</v>
          </cell>
          <cell r="BM354">
            <v>0</v>
          </cell>
          <cell r="BN354">
            <v>0</v>
          </cell>
          <cell r="BO354">
            <v>0</v>
          </cell>
          <cell r="BP354">
            <v>0</v>
          </cell>
          <cell r="BQ354">
            <v>0</v>
          </cell>
          <cell r="BR354">
            <v>0</v>
          </cell>
          <cell r="BT354">
            <v>0</v>
          </cell>
          <cell r="CA354" t="str">
            <v>CP3278 - CONTRACT - Identified - Recompete</v>
          </cell>
          <cell r="CC354" t="str">
            <v>CP3278 - CONTRACT - Identified - Recompete - MR</v>
          </cell>
          <cell r="CD354" t="str">
            <v/>
          </cell>
          <cell r="CF354" t="str">
            <v>CP3278 - Identified - Recompete - MR</v>
          </cell>
        </row>
        <row r="355">
          <cell r="D355">
            <v>341</v>
          </cell>
          <cell r="E355">
            <v>0</v>
          </cell>
          <cell r="F355">
            <v>5</v>
          </cell>
          <cell r="G355" t="str">
            <v>CP3278</v>
          </cell>
          <cell r="H355" t="str">
            <v>CTRIC KAZ EQUIP PROCUREMENT (3278)</v>
          </cell>
          <cell r="I355" t="str">
            <v>MR</v>
          </cell>
          <cell r="J355" t="str">
            <v>MR Non-Proliferation and Security Services</v>
          </cell>
          <cell r="K355" t="str">
            <v>DTRA</v>
          </cell>
          <cell r="L355" t="str">
            <v>DOD</v>
          </cell>
          <cell r="M355" t="str">
            <v>OH</v>
          </cell>
          <cell r="N355" t="str">
            <v>CONUS</v>
          </cell>
          <cell r="O355">
            <v>42825</v>
          </cell>
          <cell r="P355">
            <v>43920</v>
          </cell>
          <cell r="Q355" t="str">
            <v>Prime</v>
          </cell>
          <cell r="R355" t="str">
            <v>FFP</v>
          </cell>
          <cell r="S355">
            <v>0</v>
          </cell>
          <cell r="T355">
            <v>1</v>
          </cell>
          <cell r="U355" t="str">
            <v>EBITA</v>
          </cell>
          <cell r="V355" t="str">
            <v>Base</v>
          </cell>
          <cell r="W355" t="str">
            <v>05 Won</v>
          </cell>
          <cell r="X355" t="str">
            <v>Active</v>
          </cell>
          <cell r="Y355">
            <v>1</v>
          </cell>
          <cell r="Z355">
            <v>0</v>
          </cell>
          <cell r="AA355">
            <v>1290052.1499999999</v>
          </cell>
          <cell r="AB355">
            <v>0</v>
          </cell>
          <cell r="AC355">
            <v>0</v>
          </cell>
          <cell r="AD355">
            <v>1290052.1499999999</v>
          </cell>
          <cell r="AT355">
            <v>0</v>
          </cell>
          <cell r="AU355">
            <v>9.3367192490172012E-3</v>
          </cell>
          <cell r="AV355">
            <v>9.8617877170431509E-3</v>
          </cell>
          <cell r="AW355">
            <v>9.781938813522708E-3</v>
          </cell>
          <cell r="AX355">
            <v>0.02</v>
          </cell>
          <cell r="AY355">
            <v>0.02</v>
          </cell>
          <cell r="AZ355">
            <v>0.02</v>
          </cell>
          <cell r="BA355">
            <v>0.02</v>
          </cell>
          <cell r="BF355">
            <v>0</v>
          </cell>
          <cell r="BG355">
            <v>19753.599999999889</v>
          </cell>
          <cell r="BH355">
            <v>25436.869999999839</v>
          </cell>
          <cell r="BI355">
            <v>5183.5600000000741</v>
          </cell>
          <cell r="BJ355">
            <v>5223.1599999999617</v>
          </cell>
          <cell r="BK355">
            <v>12731.939999999988</v>
          </cell>
          <cell r="BL355">
            <v>5727.7399999999889</v>
          </cell>
          <cell r="BM355">
            <v>28866.400000000016</v>
          </cell>
          <cell r="BN355">
            <v>7660</v>
          </cell>
          <cell r="BO355">
            <v>7660</v>
          </cell>
          <cell r="BP355">
            <v>7660</v>
          </cell>
          <cell r="BQ355">
            <v>2821.0429999999983</v>
          </cell>
          <cell r="BR355">
            <v>54667.443000000014</v>
          </cell>
          <cell r="BT355">
            <v>0</v>
          </cell>
          <cell r="CA355" t="str">
            <v>CP3278 - EBITA - Base</v>
          </cell>
          <cell r="CC355" t="str">
            <v>CP3278 - EBITA - Base - MR</v>
          </cell>
          <cell r="CD355" t="str">
            <v/>
          </cell>
          <cell r="CF355" t="str">
            <v>CP3278 - Base - MR</v>
          </cell>
        </row>
        <row r="356">
          <cell r="D356">
            <v>342</v>
          </cell>
          <cell r="E356">
            <v>0</v>
          </cell>
          <cell r="F356">
            <v>0</v>
          </cell>
          <cell r="G356" t="str">
            <v>CP3278</v>
          </cell>
          <cell r="H356" t="str">
            <v>CTRIC KAZ EQUIP PROCUREMENT (3278)</v>
          </cell>
          <cell r="I356" t="str">
            <v>MR</v>
          </cell>
          <cell r="J356" t="str">
            <v>MR Non-Proliferation and Security Services</v>
          </cell>
          <cell r="K356" t="str">
            <v>DTRA</v>
          </cell>
          <cell r="L356" t="str">
            <v>DOD</v>
          </cell>
          <cell r="M356" t="str">
            <v>OH</v>
          </cell>
          <cell r="N356" t="str">
            <v>CONUS</v>
          </cell>
          <cell r="O356">
            <v>0</v>
          </cell>
          <cell r="P356">
            <v>0</v>
          </cell>
          <cell r="Q356">
            <v>0</v>
          </cell>
          <cell r="R356" t="str">
            <v>FFP</v>
          </cell>
          <cell r="S356">
            <v>0</v>
          </cell>
          <cell r="T356">
            <v>1</v>
          </cell>
          <cell r="U356" t="str">
            <v>EBITA</v>
          </cell>
          <cell r="V356" t="str">
            <v>Identified - Recompete</v>
          </cell>
          <cell r="W356">
            <v>0</v>
          </cell>
          <cell r="X356">
            <v>0</v>
          </cell>
          <cell r="Y356">
            <v>0</v>
          </cell>
          <cell r="Z356">
            <v>0</v>
          </cell>
          <cell r="AA356">
            <v>0</v>
          </cell>
          <cell r="AB356">
            <v>0</v>
          </cell>
          <cell r="AC356">
            <v>0</v>
          </cell>
          <cell r="AD356">
            <v>0</v>
          </cell>
          <cell r="AX356">
            <v>0</v>
          </cell>
          <cell r="AY356">
            <v>0</v>
          </cell>
          <cell r="AZ356">
            <v>0</v>
          </cell>
          <cell r="BA356">
            <v>0</v>
          </cell>
          <cell r="BI356">
            <v>0</v>
          </cell>
          <cell r="BJ356">
            <v>0</v>
          </cell>
          <cell r="BK356">
            <v>0</v>
          </cell>
          <cell r="BL356">
            <v>0</v>
          </cell>
          <cell r="BM356">
            <v>0</v>
          </cell>
          <cell r="BN356">
            <v>0</v>
          </cell>
          <cell r="BO356">
            <v>0</v>
          </cell>
          <cell r="BP356">
            <v>0</v>
          </cell>
          <cell r="BQ356">
            <v>0</v>
          </cell>
          <cell r="BR356">
            <v>0</v>
          </cell>
          <cell r="BT356">
            <v>0</v>
          </cell>
          <cell r="CA356" t="str">
            <v>CP3278 - EBITA - Identified - Recompete</v>
          </cell>
          <cell r="CC356" t="str">
            <v>CP3278 - EBITA - Identified - Recompete - MR</v>
          </cell>
          <cell r="CD356" t="str">
            <v/>
          </cell>
          <cell r="CF356" t="str">
            <v>CP3278 - Identified - Recompete - MR</v>
          </cell>
        </row>
        <row r="357">
          <cell r="D357">
            <v>343</v>
          </cell>
          <cell r="E357">
            <v>1</v>
          </cell>
          <cell r="F357">
            <v>1</v>
          </cell>
          <cell r="G357" t="str">
            <v>CP3554</v>
          </cell>
          <cell r="H357" t="str">
            <v>CTRIC II KZ ACTC (3554)</v>
          </cell>
          <cell r="I357" t="str">
            <v>MR</v>
          </cell>
          <cell r="J357" t="str">
            <v>MR Non-Proliferation and Security Services</v>
          </cell>
          <cell r="K357" t="str">
            <v>DOE</v>
          </cell>
          <cell r="L357" t="str">
            <v>DOE</v>
          </cell>
          <cell r="M357" t="str">
            <v>OH</v>
          </cell>
          <cell r="N357" t="str">
            <v>CONUS</v>
          </cell>
          <cell r="O357">
            <v>43286</v>
          </cell>
          <cell r="P357">
            <v>44016</v>
          </cell>
          <cell r="Q357" t="str">
            <v>Prime</v>
          </cell>
          <cell r="R357" t="str">
            <v>CPFF</v>
          </cell>
          <cell r="S357">
            <v>0</v>
          </cell>
          <cell r="T357">
            <v>1</v>
          </cell>
          <cell r="U357" t="str">
            <v>REVTOT</v>
          </cell>
          <cell r="V357" t="str">
            <v>Base</v>
          </cell>
          <cell r="W357" t="str">
            <v>05 Won</v>
          </cell>
          <cell r="X357" t="str">
            <v>Active</v>
          </cell>
          <cell r="Y357">
            <v>1</v>
          </cell>
          <cell r="Z357">
            <v>0</v>
          </cell>
          <cell r="AA357">
            <v>1858690.1999999997</v>
          </cell>
          <cell r="AB357">
            <v>0</v>
          </cell>
          <cell r="AC357">
            <v>0</v>
          </cell>
          <cell r="AD357">
            <v>1858690.1999999997</v>
          </cell>
          <cell r="AE357">
            <v>0</v>
          </cell>
          <cell r="AF357">
            <v>0</v>
          </cell>
          <cell r="AG357">
            <v>16.922755388247886</v>
          </cell>
          <cell r="AH357">
            <v>-0.7472939871187505</v>
          </cell>
          <cell r="AI357">
            <v>0</v>
          </cell>
          <cell r="AJ357">
            <v>0</v>
          </cell>
          <cell r="AK357">
            <v>0</v>
          </cell>
          <cell r="BB357">
            <v>591640</v>
          </cell>
          <cell r="BC357">
            <v>591640</v>
          </cell>
          <cell r="BD357">
            <v>591640</v>
          </cell>
          <cell r="BE357">
            <v>591640</v>
          </cell>
          <cell r="BF357">
            <v>0</v>
          </cell>
          <cell r="BG357">
            <v>0</v>
          </cell>
          <cell r="BH357">
            <v>130628.27000000002</v>
          </cell>
          <cell r="BI357">
            <v>420462.89</v>
          </cell>
          <cell r="BJ357">
            <v>632158.3899999999</v>
          </cell>
          <cell r="BK357">
            <v>617469.25</v>
          </cell>
          <cell r="BL357">
            <v>671128</v>
          </cell>
          <cell r="BM357">
            <v>2341218.5299999998</v>
          </cell>
          <cell r="BN357">
            <v>591640</v>
          </cell>
          <cell r="BO357">
            <v>591640</v>
          </cell>
          <cell r="BP357">
            <v>591640</v>
          </cell>
          <cell r="BQ357">
            <v>83770.199999999721</v>
          </cell>
          <cell r="BR357">
            <v>4199908.7299999995</v>
          </cell>
          <cell r="BT357">
            <v>0</v>
          </cell>
          <cell r="CA357" t="str">
            <v>CP3554 - REVTOT - Base</v>
          </cell>
          <cell r="CC357" t="str">
            <v>CP3554 - REVTOT - Base - MR</v>
          </cell>
          <cell r="CD357" t="str">
            <v>CP3554 - REVTOT - Base - MR</v>
          </cell>
          <cell r="CF357" t="str">
            <v>CP3554 - Base - MR</v>
          </cell>
        </row>
        <row r="358">
          <cell r="D358">
            <v>344</v>
          </cell>
          <cell r="E358">
            <v>1</v>
          </cell>
          <cell r="F358">
            <v>2</v>
          </cell>
          <cell r="G358" t="str">
            <v>CP3554</v>
          </cell>
          <cell r="H358" t="str">
            <v>CTRIC II KZ ACTC (3554)</v>
          </cell>
          <cell r="I358" t="str">
            <v>MR</v>
          </cell>
          <cell r="J358" t="str">
            <v>MR Non-Proliferation and Security Services</v>
          </cell>
          <cell r="K358" t="str">
            <v>DOE</v>
          </cell>
          <cell r="L358" t="str">
            <v>DOE</v>
          </cell>
          <cell r="M358" t="str">
            <v>OH</v>
          </cell>
          <cell r="N358" t="str">
            <v>CONUS</v>
          </cell>
          <cell r="O358">
            <v>0</v>
          </cell>
          <cell r="P358">
            <v>0</v>
          </cell>
          <cell r="Q358">
            <v>0</v>
          </cell>
          <cell r="R358" t="str">
            <v>CPFF</v>
          </cell>
          <cell r="S358">
            <v>0</v>
          </cell>
          <cell r="T358">
            <v>1</v>
          </cell>
          <cell r="U358" t="str">
            <v>REVTOT</v>
          </cell>
          <cell r="V358" t="str">
            <v>Identified - Recompete</v>
          </cell>
          <cell r="W358">
            <v>0</v>
          </cell>
          <cell r="X358">
            <v>0</v>
          </cell>
          <cell r="Y358">
            <v>0</v>
          </cell>
          <cell r="Z358">
            <v>0</v>
          </cell>
          <cell r="AA358">
            <v>0</v>
          </cell>
          <cell r="AB358">
            <v>0</v>
          </cell>
          <cell r="AC358">
            <v>0</v>
          </cell>
          <cell r="AD358">
            <v>0</v>
          </cell>
          <cell r="AI358">
            <v>0</v>
          </cell>
          <cell r="AJ358">
            <v>0</v>
          </cell>
          <cell r="AK358">
            <v>0</v>
          </cell>
          <cell r="BB358">
            <v>0</v>
          </cell>
          <cell r="BC358">
            <v>0</v>
          </cell>
          <cell r="BD358">
            <v>0</v>
          </cell>
          <cell r="BE358">
            <v>0</v>
          </cell>
          <cell r="BI358">
            <v>0</v>
          </cell>
          <cell r="BJ358">
            <v>0</v>
          </cell>
          <cell r="BK358">
            <v>0</v>
          </cell>
          <cell r="BL358">
            <v>0</v>
          </cell>
          <cell r="BM358">
            <v>0</v>
          </cell>
          <cell r="BN358">
            <v>0</v>
          </cell>
          <cell r="BO358">
            <v>0</v>
          </cell>
          <cell r="BP358">
            <v>0</v>
          </cell>
          <cell r="BQ358">
            <v>0</v>
          </cell>
          <cell r="BR358">
            <v>0</v>
          </cell>
          <cell r="BT358">
            <v>0</v>
          </cell>
          <cell r="CA358" t="str">
            <v>CP3554 - REVTOT - Identified - Recompete</v>
          </cell>
          <cell r="CC358" t="str">
            <v>CP3554 - REVTOT - Identified - Recompete - MR</v>
          </cell>
          <cell r="CD358" t="str">
            <v/>
          </cell>
          <cell r="CF358" t="str">
            <v>CP3554 - Identified - Recompete - MR</v>
          </cell>
        </row>
        <row r="359">
          <cell r="D359">
            <v>345</v>
          </cell>
          <cell r="E359">
            <v>2</v>
          </cell>
          <cell r="F359">
            <v>3</v>
          </cell>
          <cell r="G359" t="str">
            <v>CP3554</v>
          </cell>
          <cell r="H359" t="str">
            <v>CTRIC II KZ ACTC (3554)</v>
          </cell>
          <cell r="I359" t="str">
            <v>MR</v>
          </cell>
          <cell r="J359" t="str">
            <v>MR Non-Proliferation and Security Services</v>
          </cell>
          <cell r="K359" t="str">
            <v>DOE</v>
          </cell>
          <cell r="L359" t="str">
            <v>DOE</v>
          </cell>
          <cell r="M359" t="str">
            <v>OH</v>
          </cell>
          <cell r="N359" t="str">
            <v>CONUS</v>
          </cell>
          <cell r="O359">
            <v>43286</v>
          </cell>
          <cell r="P359">
            <v>44016</v>
          </cell>
          <cell r="Q359" t="str">
            <v>Prime</v>
          </cell>
          <cell r="R359" t="str">
            <v>CPFF</v>
          </cell>
          <cell r="S359">
            <v>0</v>
          </cell>
          <cell r="T359">
            <v>1</v>
          </cell>
          <cell r="U359" t="str">
            <v>CONTRACT</v>
          </cell>
          <cell r="V359" t="str">
            <v>Base</v>
          </cell>
          <cell r="W359" t="str">
            <v>05 Won</v>
          </cell>
          <cell r="X359" t="str">
            <v>Active</v>
          </cell>
          <cell r="Y359">
            <v>1</v>
          </cell>
          <cell r="Z359">
            <v>0</v>
          </cell>
          <cell r="AA359">
            <v>1858690.1999999997</v>
          </cell>
          <cell r="AB359">
            <v>0</v>
          </cell>
          <cell r="AC359">
            <v>0</v>
          </cell>
          <cell r="AD359">
            <v>1858690.1999999997</v>
          </cell>
          <cell r="AL359">
            <v>0</v>
          </cell>
          <cell r="AM359">
            <v>0</v>
          </cell>
          <cell r="AN359">
            <v>0.1056840146470592</v>
          </cell>
          <cell r="AO359">
            <v>0.14132416763333921</v>
          </cell>
          <cell r="AP359">
            <v>0.14826486005003045</v>
          </cell>
          <cell r="AQ359">
            <v>0.14826486005003045</v>
          </cell>
          <cell r="AR359">
            <v>0.14826486005003045</v>
          </cell>
          <cell r="AS359">
            <v>0.14826486005003045</v>
          </cell>
          <cell r="BF359">
            <v>0</v>
          </cell>
          <cell r="BG359">
            <v>0</v>
          </cell>
          <cell r="BH359">
            <v>13805.320000000007</v>
          </cell>
          <cell r="BI359">
            <v>59270.49000000002</v>
          </cell>
          <cell r="BJ359">
            <v>85852.61000000003</v>
          </cell>
          <cell r="BK359">
            <v>86230.359999999986</v>
          </cell>
          <cell r="BL359">
            <v>99517.300000000017</v>
          </cell>
          <cell r="BM359">
            <v>330870.76</v>
          </cell>
          <cell r="BN359">
            <v>87719.421800000011</v>
          </cell>
          <cell r="BO359">
            <v>87719.421800000011</v>
          </cell>
          <cell r="BP359">
            <v>87719.421800000011</v>
          </cell>
          <cell r="BQ359">
            <v>12420.176979363019</v>
          </cell>
          <cell r="BR359">
            <v>606449.20237936301</v>
          </cell>
          <cell r="BT359">
            <v>0</v>
          </cell>
          <cell r="CA359" t="str">
            <v>CP3554 - CONTRACT - Base</v>
          </cell>
          <cell r="CC359" t="str">
            <v>CP3554 - CONTRACT - Base - MR</v>
          </cell>
          <cell r="CD359" t="str">
            <v/>
          </cell>
          <cell r="CF359" t="str">
            <v>CP3554 - Base - MR</v>
          </cell>
        </row>
        <row r="360">
          <cell r="D360">
            <v>346</v>
          </cell>
          <cell r="E360">
            <v>2</v>
          </cell>
          <cell r="F360">
            <v>4</v>
          </cell>
          <cell r="G360" t="str">
            <v>CP3554</v>
          </cell>
          <cell r="H360" t="str">
            <v>CTRIC II KZ ACTC (3554)</v>
          </cell>
          <cell r="I360" t="str">
            <v>MR</v>
          </cell>
          <cell r="J360" t="str">
            <v>MR Non-Proliferation and Security Services</v>
          </cell>
          <cell r="K360" t="str">
            <v>DOE</v>
          </cell>
          <cell r="L360" t="str">
            <v>DOE</v>
          </cell>
          <cell r="M360" t="str">
            <v>OH</v>
          </cell>
          <cell r="N360" t="str">
            <v>CONUS</v>
          </cell>
          <cell r="O360">
            <v>0</v>
          </cell>
          <cell r="P360">
            <v>0</v>
          </cell>
          <cell r="Q360">
            <v>0</v>
          </cell>
          <cell r="R360" t="str">
            <v>CPFF</v>
          </cell>
          <cell r="S360">
            <v>0</v>
          </cell>
          <cell r="T360">
            <v>1</v>
          </cell>
          <cell r="U360" t="str">
            <v>CONTRACT</v>
          </cell>
          <cell r="V360" t="str">
            <v>Identified - Recompete</v>
          </cell>
          <cell r="W360">
            <v>0</v>
          </cell>
          <cell r="X360">
            <v>0</v>
          </cell>
          <cell r="Y360">
            <v>0</v>
          </cell>
          <cell r="Z360">
            <v>0</v>
          </cell>
          <cell r="AA360">
            <v>0</v>
          </cell>
          <cell r="AB360">
            <v>0</v>
          </cell>
          <cell r="AC360">
            <v>0</v>
          </cell>
          <cell r="AD360">
            <v>0</v>
          </cell>
          <cell r="AP360">
            <v>0</v>
          </cell>
          <cell r="AQ360">
            <v>0</v>
          </cell>
          <cell r="AR360">
            <v>0</v>
          </cell>
          <cell r="AS360">
            <v>0</v>
          </cell>
          <cell r="BI360">
            <v>0</v>
          </cell>
          <cell r="BJ360">
            <v>0</v>
          </cell>
          <cell r="BK360">
            <v>0</v>
          </cell>
          <cell r="BL360">
            <v>0</v>
          </cell>
          <cell r="BM360">
            <v>0</v>
          </cell>
          <cell r="BN360">
            <v>0</v>
          </cell>
          <cell r="BO360">
            <v>0</v>
          </cell>
          <cell r="BP360">
            <v>0</v>
          </cell>
          <cell r="BQ360">
            <v>0</v>
          </cell>
          <cell r="BR360">
            <v>0</v>
          </cell>
          <cell r="BT360">
            <v>0</v>
          </cell>
          <cell r="CA360" t="str">
            <v>CP3554 - CONTRACT - Identified - Recompete</v>
          </cell>
          <cell r="CC360" t="str">
            <v>CP3554 - CONTRACT - Identified - Recompete - MR</v>
          </cell>
          <cell r="CD360" t="str">
            <v/>
          </cell>
          <cell r="CF360" t="str">
            <v>CP3554 - Identified - Recompete - MR</v>
          </cell>
        </row>
        <row r="361">
          <cell r="D361">
            <v>347</v>
          </cell>
          <cell r="E361">
            <v>0</v>
          </cell>
          <cell r="F361">
            <v>5</v>
          </cell>
          <cell r="G361" t="str">
            <v>CP3554</v>
          </cell>
          <cell r="H361" t="str">
            <v>CTRIC II KZ ACTC (3554)</v>
          </cell>
          <cell r="I361" t="str">
            <v>MR</v>
          </cell>
          <cell r="J361" t="str">
            <v>MR Non-Proliferation and Security Services</v>
          </cell>
          <cell r="K361" t="str">
            <v>DOE</v>
          </cell>
          <cell r="L361" t="str">
            <v>DOE</v>
          </cell>
          <cell r="M361" t="str">
            <v>OH</v>
          </cell>
          <cell r="N361" t="str">
            <v>CONUS</v>
          </cell>
          <cell r="O361">
            <v>43286</v>
          </cell>
          <cell r="P361">
            <v>44016</v>
          </cell>
          <cell r="Q361" t="str">
            <v>Prime</v>
          </cell>
          <cell r="R361" t="str">
            <v>CPFF</v>
          </cell>
          <cell r="S361">
            <v>0</v>
          </cell>
          <cell r="T361">
            <v>1</v>
          </cell>
          <cell r="U361" t="str">
            <v>EBITA</v>
          </cell>
          <cell r="V361" t="str">
            <v>Base</v>
          </cell>
          <cell r="W361" t="str">
            <v>05 Won</v>
          </cell>
          <cell r="X361" t="str">
            <v>Active</v>
          </cell>
          <cell r="Y361">
            <v>1</v>
          </cell>
          <cell r="Z361">
            <v>0</v>
          </cell>
          <cell r="AA361">
            <v>1858690.1999999997</v>
          </cell>
          <cell r="AB361">
            <v>0</v>
          </cell>
          <cell r="AC361">
            <v>0</v>
          </cell>
          <cell r="AD361">
            <v>1858690.1999999997</v>
          </cell>
          <cell r="AT361">
            <v>0</v>
          </cell>
          <cell r="AU361">
            <v>0</v>
          </cell>
          <cell r="AV361">
            <v>7.0037672549747966E-3</v>
          </cell>
          <cell r="AW361">
            <v>5.451466335353157E-2</v>
          </cell>
          <cell r="AX361">
            <v>5.2673355179002831E-2</v>
          </cell>
          <cell r="AY361">
            <v>5.2673355179002831E-2</v>
          </cell>
          <cell r="AZ361">
            <v>5.2673355179002831E-2</v>
          </cell>
          <cell r="BA361">
            <v>5.2673355179002831E-2</v>
          </cell>
          <cell r="BF361">
            <v>0</v>
          </cell>
          <cell r="BG361">
            <v>0</v>
          </cell>
          <cell r="BH361">
            <v>914.89000000000669</v>
          </cell>
          <cell r="BI361">
            <v>23627.49000000002</v>
          </cell>
          <cell r="BJ361">
            <v>35769.260000000024</v>
          </cell>
          <cell r="BK361">
            <v>34943.75999999998</v>
          </cell>
          <cell r="BL361">
            <v>33290.230000000025</v>
          </cell>
          <cell r="BM361">
            <v>127630.74000000005</v>
          </cell>
          <cell r="BN361">
            <v>31163.663858105236</v>
          </cell>
          <cell r="BO361">
            <v>31163.663858105236</v>
          </cell>
          <cell r="BP361">
            <v>31163.663858105236</v>
          </cell>
          <cell r="BQ361">
            <v>4412.4574980160887</v>
          </cell>
          <cell r="BR361">
            <v>225534.18907233182</v>
          </cell>
          <cell r="BT361">
            <v>0</v>
          </cell>
          <cell r="CA361" t="str">
            <v>CP3554 - EBITA - Base</v>
          </cell>
          <cell r="CC361" t="str">
            <v>CP3554 - EBITA - Base - MR</v>
          </cell>
          <cell r="CD361" t="str">
            <v/>
          </cell>
          <cell r="CF361" t="str">
            <v>CP3554 - Base - MR</v>
          </cell>
        </row>
        <row r="362">
          <cell r="D362">
            <v>348</v>
          </cell>
          <cell r="E362">
            <v>0</v>
          </cell>
          <cell r="F362">
            <v>0</v>
          </cell>
          <cell r="G362" t="str">
            <v>CP3554</v>
          </cell>
          <cell r="H362" t="str">
            <v>CTRIC II KZ ACTC (3554)</v>
          </cell>
          <cell r="I362" t="str">
            <v>MR</v>
          </cell>
          <cell r="J362" t="str">
            <v>MR Non-Proliferation and Security Services</v>
          </cell>
          <cell r="K362" t="str">
            <v>DOE</v>
          </cell>
          <cell r="L362" t="str">
            <v>DOE</v>
          </cell>
          <cell r="M362" t="str">
            <v>OH</v>
          </cell>
          <cell r="N362" t="str">
            <v>CONUS</v>
          </cell>
          <cell r="O362">
            <v>0</v>
          </cell>
          <cell r="P362">
            <v>0</v>
          </cell>
          <cell r="Q362">
            <v>0</v>
          </cell>
          <cell r="R362" t="str">
            <v>CPFF</v>
          </cell>
          <cell r="S362">
            <v>0</v>
          </cell>
          <cell r="T362">
            <v>1</v>
          </cell>
          <cell r="U362" t="str">
            <v>EBITA</v>
          </cell>
          <cell r="V362" t="str">
            <v>Identified - Recompete</v>
          </cell>
          <cell r="W362">
            <v>0</v>
          </cell>
          <cell r="X362">
            <v>0</v>
          </cell>
          <cell r="Y362">
            <v>0</v>
          </cell>
          <cell r="Z362">
            <v>0</v>
          </cell>
          <cell r="AA362">
            <v>0</v>
          </cell>
          <cell r="AB362">
            <v>0</v>
          </cell>
          <cell r="AC362">
            <v>0</v>
          </cell>
          <cell r="AD362">
            <v>0</v>
          </cell>
          <cell r="AX362">
            <v>0</v>
          </cell>
          <cell r="AY362">
            <v>0</v>
          </cell>
          <cell r="AZ362">
            <v>0</v>
          </cell>
          <cell r="BA362">
            <v>0</v>
          </cell>
          <cell r="BI362">
            <v>0</v>
          </cell>
          <cell r="BJ362">
            <v>0</v>
          </cell>
          <cell r="BK362">
            <v>0</v>
          </cell>
          <cell r="BL362">
            <v>0</v>
          </cell>
          <cell r="BM362">
            <v>0</v>
          </cell>
          <cell r="BN362">
            <v>0</v>
          </cell>
          <cell r="BO362">
            <v>0</v>
          </cell>
          <cell r="BP362">
            <v>0</v>
          </cell>
          <cell r="BQ362">
            <v>0</v>
          </cell>
          <cell r="BR362">
            <v>0</v>
          </cell>
          <cell r="BT362">
            <v>0</v>
          </cell>
          <cell r="CA362" t="str">
            <v>CP3554 - EBITA - Identified - Recompete</v>
          </cell>
          <cell r="CC362" t="str">
            <v>CP3554 - EBITA - Identified - Recompete - MR</v>
          </cell>
          <cell r="CD362" t="str">
            <v/>
          </cell>
          <cell r="CF362" t="str">
            <v>CP3554 - Identified - Recompete - MR</v>
          </cell>
        </row>
        <row r="363">
          <cell r="D363">
            <v>349</v>
          </cell>
          <cell r="E363">
            <v>1</v>
          </cell>
          <cell r="F363">
            <v>1</v>
          </cell>
          <cell r="G363" t="str">
            <v>000027</v>
          </cell>
          <cell r="H363" t="str">
            <v>MOSC-A</v>
          </cell>
          <cell r="I363" t="str">
            <v>MR</v>
          </cell>
          <cell r="J363" t="str">
            <v>MR Maintenance &amp; Sustainment</v>
          </cell>
          <cell r="K363" t="str">
            <v>Army</v>
          </cell>
          <cell r="L363" t="str">
            <v>DOD</v>
          </cell>
          <cell r="M363" t="str">
            <v>AFG</v>
          </cell>
          <cell r="N363" t="str">
            <v>OCONUS</v>
          </cell>
          <cell r="O363">
            <v>40205</v>
          </cell>
          <cell r="P363">
            <v>42816</v>
          </cell>
          <cell r="Q363" t="str">
            <v>Prime</v>
          </cell>
          <cell r="R363" t="str">
            <v>CPFF</v>
          </cell>
          <cell r="S363">
            <v>0</v>
          </cell>
          <cell r="T363">
            <v>1</v>
          </cell>
          <cell r="U363" t="str">
            <v>REVTOT</v>
          </cell>
          <cell r="V363" t="str">
            <v>Base</v>
          </cell>
          <cell r="W363" t="str">
            <v>05 Won</v>
          </cell>
          <cell r="X363" t="str">
            <v>Active</v>
          </cell>
          <cell r="Y363">
            <v>1</v>
          </cell>
          <cell r="Z363">
            <v>0</v>
          </cell>
          <cell r="AA363">
            <v>0</v>
          </cell>
          <cell r="AB363">
            <v>0</v>
          </cell>
          <cell r="AC363">
            <v>0</v>
          </cell>
          <cell r="AD363">
            <v>0</v>
          </cell>
          <cell r="AE363">
            <v>-0.22139354767427633</v>
          </cell>
          <cell r="AF363">
            <v>-0.95701911118233973</v>
          </cell>
          <cell r="AG363">
            <v>-1.3208053155184611</v>
          </cell>
          <cell r="AH363">
            <v>-1</v>
          </cell>
          <cell r="AI363">
            <v>0</v>
          </cell>
          <cell r="AJ363">
            <v>0</v>
          </cell>
          <cell r="AK363">
            <v>0</v>
          </cell>
          <cell r="BB363">
            <v>0</v>
          </cell>
          <cell r="BC363">
            <v>0</v>
          </cell>
          <cell r="BD363">
            <v>0</v>
          </cell>
          <cell r="BE363">
            <v>0</v>
          </cell>
          <cell r="BF363">
            <v>99187612.560000002</v>
          </cell>
          <cell r="BG363">
            <v>77228115.129999995</v>
          </cell>
          <cell r="BH363">
            <v>3319333.0300000003</v>
          </cell>
          <cell r="BI363">
            <v>78674.639999999898</v>
          </cell>
          <cell r="BJ363">
            <v>-747.75</v>
          </cell>
          <cell r="BK363">
            <v>-1142786.57</v>
          </cell>
          <cell r="BL363">
            <v>0</v>
          </cell>
          <cell r="BM363">
            <v>-1064859.6800000002</v>
          </cell>
          <cell r="BN363">
            <v>0</v>
          </cell>
          <cell r="BO363">
            <v>0</v>
          </cell>
          <cell r="BP363">
            <v>0</v>
          </cell>
          <cell r="BQ363">
            <v>0</v>
          </cell>
          <cell r="BR363">
            <v>-1064859.6800000002</v>
          </cell>
          <cell r="BT363">
            <v>0</v>
          </cell>
          <cell r="CA363" t="str">
            <v>000027 - REVTOT - Base</v>
          </cell>
          <cell r="CC363" t="str">
            <v>000027 - REVTOT - Base - MR</v>
          </cell>
          <cell r="CD363" t="str">
            <v>000027 - REVTOT - Base - MR</v>
          </cell>
          <cell r="CF363" t="str">
            <v>000027 - Base - MR</v>
          </cell>
        </row>
        <row r="364">
          <cell r="D364">
            <v>350</v>
          </cell>
          <cell r="E364">
            <v>1</v>
          </cell>
          <cell r="F364">
            <v>2</v>
          </cell>
          <cell r="G364" t="str">
            <v>000027</v>
          </cell>
          <cell r="H364" t="str">
            <v>MOSC-A</v>
          </cell>
          <cell r="I364" t="str">
            <v>MR</v>
          </cell>
          <cell r="J364" t="str">
            <v>MR Maintenance &amp; Sustainment</v>
          </cell>
          <cell r="K364" t="str">
            <v>Army</v>
          </cell>
          <cell r="L364" t="str">
            <v>DOD</v>
          </cell>
          <cell r="M364" t="str">
            <v>AFG</v>
          </cell>
          <cell r="N364" t="str">
            <v>OCONUS</v>
          </cell>
          <cell r="O364">
            <v>0</v>
          </cell>
          <cell r="P364">
            <v>0</v>
          </cell>
          <cell r="Q364">
            <v>0</v>
          </cell>
          <cell r="R364" t="str">
            <v>CPFF</v>
          </cell>
          <cell r="S364">
            <v>0</v>
          </cell>
          <cell r="T364">
            <v>1</v>
          </cell>
          <cell r="U364" t="str">
            <v>REVTOT</v>
          </cell>
          <cell r="V364" t="str">
            <v>Identified - Recompete</v>
          </cell>
          <cell r="W364">
            <v>0</v>
          </cell>
          <cell r="X364">
            <v>0</v>
          </cell>
          <cell r="Y364">
            <v>0</v>
          </cell>
          <cell r="Z364">
            <v>0</v>
          </cell>
          <cell r="AA364">
            <v>0</v>
          </cell>
          <cell r="AB364">
            <v>0</v>
          </cell>
          <cell r="AC364">
            <v>0</v>
          </cell>
          <cell r="AD364">
            <v>0</v>
          </cell>
          <cell r="AI364">
            <v>0</v>
          </cell>
          <cell r="AJ364">
            <v>0</v>
          </cell>
          <cell r="AK364">
            <v>0</v>
          </cell>
          <cell r="BB364">
            <v>0</v>
          </cell>
          <cell r="BC364">
            <v>0</v>
          </cell>
          <cell r="BD364">
            <v>0</v>
          </cell>
          <cell r="BE364">
            <v>0</v>
          </cell>
          <cell r="BI364">
            <v>0</v>
          </cell>
          <cell r="BJ364">
            <v>0</v>
          </cell>
          <cell r="BK364">
            <v>0</v>
          </cell>
          <cell r="BL364">
            <v>0</v>
          </cell>
          <cell r="BM364">
            <v>0</v>
          </cell>
          <cell r="BN364">
            <v>0</v>
          </cell>
          <cell r="BO364">
            <v>0</v>
          </cell>
          <cell r="BP364">
            <v>0</v>
          </cell>
          <cell r="BQ364">
            <v>0</v>
          </cell>
          <cell r="BR364">
            <v>0</v>
          </cell>
          <cell r="BT364">
            <v>0</v>
          </cell>
          <cell r="CA364" t="str">
            <v>000027 - REVTOT - Identified - Recompete</v>
          </cell>
          <cell r="CC364" t="str">
            <v>000027 - REVTOT - Identified - Recompete - MR</v>
          </cell>
          <cell r="CD364" t="str">
            <v/>
          </cell>
          <cell r="CF364" t="str">
            <v>000027 - Identified - Recompete - MR</v>
          </cell>
        </row>
        <row r="365">
          <cell r="D365">
            <v>351</v>
          </cell>
          <cell r="E365">
            <v>2</v>
          </cell>
          <cell r="F365">
            <v>3</v>
          </cell>
          <cell r="G365" t="str">
            <v>000027</v>
          </cell>
          <cell r="H365" t="str">
            <v>MOSC-A</v>
          </cell>
          <cell r="I365" t="str">
            <v>MR</v>
          </cell>
          <cell r="J365" t="str">
            <v>MR Maintenance &amp; Sustainment</v>
          </cell>
          <cell r="K365" t="str">
            <v>Army</v>
          </cell>
          <cell r="L365" t="str">
            <v>DOD</v>
          </cell>
          <cell r="M365" t="str">
            <v>AFG</v>
          </cell>
          <cell r="N365" t="str">
            <v>OCONUS</v>
          </cell>
          <cell r="O365">
            <v>40205</v>
          </cell>
          <cell r="P365">
            <v>42816</v>
          </cell>
          <cell r="Q365" t="str">
            <v>Prime</v>
          </cell>
          <cell r="R365" t="str">
            <v>CPFF</v>
          </cell>
          <cell r="S365">
            <v>0</v>
          </cell>
          <cell r="T365">
            <v>1</v>
          </cell>
          <cell r="U365" t="str">
            <v>CONTRACT</v>
          </cell>
          <cell r="V365" t="str">
            <v>Base</v>
          </cell>
          <cell r="W365" t="str">
            <v>05 Won</v>
          </cell>
          <cell r="X365" t="str">
            <v>Active</v>
          </cell>
          <cell r="Y365">
            <v>1</v>
          </cell>
          <cell r="Z365">
            <v>0</v>
          </cell>
          <cell r="AA365">
            <v>0</v>
          </cell>
          <cell r="AB365">
            <v>0</v>
          </cell>
          <cell r="AC365">
            <v>0</v>
          </cell>
          <cell r="AD365">
            <v>0</v>
          </cell>
          <cell r="AL365">
            <v>7.4602804110481369E-2</v>
          </cell>
          <cell r="AM365">
            <v>0.15091243947079874</v>
          </cell>
          <cell r="AN365">
            <v>0.57455660301732403</v>
          </cell>
          <cell r="AO365">
            <v>-4.2892709112622214</v>
          </cell>
          <cell r="AP365">
            <v>0.14288321998520992</v>
          </cell>
          <cell r="AQ365">
            <v>0.14288321998520992</v>
          </cell>
          <cell r="AR365">
            <v>0.14288321998520992</v>
          </cell>
          <cell r="AS365">
            <v>0.14288321998520992</v>
          </cell>
          <cell r="BF365">
            <v>7399674.0300000021</v>
          </cell>
          <cell r="BG365">
            <v>11654683.25</v>
          </cell>
          <cell r="BH365">
            <v>1907144.7100000014</v>
          </cell>
          <cell r="BI365">
            <v>1482895.5099999993</v>
          </cell>
          <cell r="BJ365">
            <v>1681354.3699999996</v>
          </cell>
          <cell r="BK365">
            <v>1403221.77</v>
          </cell>
          <cell r="BL365">
            <v>0</v>
          </cell>
          <cell r="BM365">
            <v>4567471.6499999985</v>
          </cell>
          <cell r="BN365">
            <v>0</v>
          </cell>
          <cell r="BO365">
            <v>0</v>
          </cell>
          <cell r="BP365">
            <v>0</v>
          </cell>
          <cell r="BQ365">
            <v>0</v>
          </cell>
          <cell r="BR365">
            <v>4567471.6499999985</v>
          </cell>
          <cell r="BT365">
            <v>0</v>
          </cell>
          <cell r="CA365" t="str">
            <v>000027 - CONTRACT - Base</v>
          </cell>
          <cell r="CC365" t="str">
            <v>000027 - CONTRACT - Base - MR</v>
          </cell>
          <cell r="CD365" t="str">
            <v/>
          </cell>
          <cell r="CF365" t="str">
            <v>000027 - Base - MR</v>
          </cell>
        </row>
        <row r="366">
          <cell r="D366">
            <v>352</v>
          </cell>
          <cell r="E366">
            <v>2</v>
          </cell>
          <cell r="F366">
            <v>4</v>
          </cell>
          <cell r="G366" t="str">
            <v>000027</v>
          </cell>
          <cell r="H366" t="str">
            <v>MOSC-A</v>
          </cell>
          <cell r="I366" t="str">
            <v>MR</v>
          </cell>
          <cell r="J366" t="str">
            <v>MR Maintenance &amp; Sustainment</v>
          </cell>
          <cell r="K366" t="str">
            <v>Army</v>
          </cell>
          <cell r="L366" t="str">
            <v>DOD</v>
          </cell>
          <cell r="M366" t="str">
            <v>AFG</v>
          </cell>
          <cell r="N366" t="str">
            <v>OCONUS</v>
          </cell>
          <cell r="O366">
            <v>0</v>
          </cell>
          <cell r="P366">
            <v>0</v>
          </cell>
          <cell r="Q366">
            <v>0</v>
          </cell>
          <cell r="R366" t="str">
            <v>CPFF</v>
          </cell>
          <cell r="S366">
            <v>0</v>
          </cell>
          <cell r="T366">
            <v>1</v>
          </cell>
          <cell r="U366" t="str">
            <v>CONTRACT</v>
          </cell>
          <cell r="V366" t="str">
            <v>Identified - Recompete</v>
          </cell>
          <cell r="W366">
            <v>0</v>
          </cell>
          <cell r="X366">
            <v>0</v>
          </cell>
          <cell r="Y366">
            <v>0</v>
          </cell>
          <cell r="Z366">
            <v>0</v>
          </cell>
          <cell r="AA366">
            <v>0</v>
          </cell>
          <cell r="AB366">
            <v>0</v>
          </cell>
          <cell r="AC366">
            <v>0</v>
          </cell>
          <cell r="AD366">
            <v>0</v>
          </cell>
          <cell r="AP366">
            <v>0</v>
          </cell>
          <cell r="AQ366">
            <v>0</v>
          </cell>
          <cell r="AR366">
            <v>0</v>
          </cell>
          <cell r="AS366">
            <v>0</v>
          </cell>
          <cell r="BI366">
            <v>0</v>
          </cell>
          <cell r="BJ366">
            <v>0</v>
          </cell>
          <cell r="BK366">
            <v>0</v>
          </cell>
          <cell r="BL366">
            <v>0</v>
          </cell>
          <cell r="BM366">
            <v>0</v>
          </cell>
          <cell r="BN366">
            <v>0</v>
          </cell>
          <cell r="BO366">
            <v>0</v>
          </cell>
          <cell r="BP366">
            <v>0</v>
          </cell>
          <cell r="BQ366">
            <v>0</v>
          </cell>
          <cell r="BR366">
            <v>0</v>
          </cell>
          <cell r="BT366">
            <v>0</v>
          </cell>
          <cell r="CA366" t="str">
            <v>000027 - CONTRACT - Identified - Recompete</v>
          </cell>
          <cell r="CC366" t="str">
            <v>000027 - CONTRACT - Identified - Recompete - MR</v>
          </cell>
          <cell r="CD366" t="str">
            <v/>
          </cell>
          <cell r="CF366" t="str">
            <v>000027 - Identified - Recompete - MR</v>
          </cell>
        </row>
        <row r="367">
          <cell r="D367">
            <v>353</v>
          </cell>
          <cell r="E367">
            <v>0</v>
          </cell>
          <cell r="F367">
            <v>5</v>
          </cell>
          <cell r="G367" t="str">
            <v>000027</v>
          </cell>
          <cell r="H367" t="str">
            <v>MOSC-A</v>
          </cell>
          <cell r="I367" t="str">
            <v>MR</v>
          </cell>
          <cell r="J367" t="str">
            <v>MR Maintenance &amp; Sustainment</v>
          </cell>
          <cell r="K367" t="str">
            <v>Army</v>
          </cell>
          <cell r="L367" t="str">
            <v>DOD</v>
          </cell>
          <cell r="M367" t="str">
            <v>AFG</v>
          </cell>
          <cell r="N367" t="str">
            <v>OCONUS</v>
          </cell>
          <cell r="O367">
            <v>40205</v>
          </cell>
          <cell r="P367">
            <v>42816</v>
          </cell>
          <cell r="Q367" t="str">
            <v>Prime</v>
          </cell>
          <cell r="R367" t="str">
            <v>CPFF</v>
          </cell>
          <cell r="S367">
            <v>0</v>
          </cell>
          <cell r="T367">
            <v>1</v>
          </cell>
          <cell r="U367" t="str">
            <v>EBITA</v>
          </cell>
          <cell r="V367" t="str">
            <v>Base</v>
          </cell>
          <cell r="W367" t="str">
            <v>05 Won</v>
          </cell>
          <cell r="X367" t="str">
            <v>Active</v>
          </cell>
          <cell r="Y367">
            <v>1</v>
          </cell>
          <cell r="Z367">
            <v>0</v>
          </cell>
          <cell r="AA367">
            <v>0</v>
          </cell>
          <cell r="AB367">
            <v>0</v>
          </cell>
          <cell r="AC367">
            <v>0</v>
          </cell>
          <cell r="AD367">
            <v>0</v>
          </cell>
          <cell r="AT367">
            <v>2.6528786731390225E-2</v>
          </cell>
          <cell r="AU367">
            <v>4.6223849487856843E-2</v>
          </cell>
          <cell r="AV367">
            <v>9.3458046299139064E-2</v>
          </cell>
          <cell r="AW367">
            <v>-1.7076334414306499E-3</v>
          </cell>
          <cell r="AX367">
            <v>3.6453446193536576E-2</v>
          </cell>
          <cell r="AY367">
            <v>3.6453446193536576E-2</v>
          </cell>
          <cell r="AZ367">
            <v>3.6453446193536576E-2</v>
          </cell>
          <cell r="BA367">
            <v>3.6453446193536576E-2</v>
          </cell>
          <cell r="BF367">
            <v>2631327.0200000023</v>
          </cell>
          <cell r="BG367">
            <v>3569780.7699999996</v>
          </cell>
          <cell r="BH367">
            <v>310218.38000000158</v>
          </cell>
          <cell r="BI367">
            <v>5089.689999999362</v>
          </cell>
          <cell r="BJ367">
            <v>-2109.1200000002864</v>
          </cell>
          <cell r="BK367">
            <v>-1162.1799999999348</v>
          </cell>
          <cell r="BL367">
            <v>0</v>
          </cell>
          <cell r="BM367">
            <v>1818.3899999991409</v>
          </cell>
          <cell r="BN367">
            <v>0</v>
          </cell>
          <cell r="BO367">
            <v>0</v>
          </cell>
          <cell r="BP367">
            <v>0</v>
          </cell>
          <cell r="BQ367">
            <v>0</v>
          </cell>
          <cell r="BR367">
            <v>1818.3899999991409</v>
          </cell>
          <cell r="BT367">
            <v>0</v>
          </cell>
          <cell r="CA367" t="str">
            <v>000027 - EBITA - Base</v>
          </cell>
          <cell r="CC367" t="str">
            <v>000027 - EBITA - Base - MR</v>
          </cell>
          <cell r="CD367" t="str">
            <v/>
          </cell>
          <cell r="CF367" t="str">
            <v>000027 - Base - MR</v>
          </cell>
        </row>
        <row r="368">
          <cell r="D368">
            <v>354</v>
          </cell>
          <cell r="E368">
            <v>0</v>
          </cell>
          <cell r="F368">
            <v>0</v>
          </cell>
          <cell r="G368" t="str">
            <v>000027</v>
          </cell>
          <cell r="H368" t="str">
            <v>MOSC-A</v>
          </cell>
          <cell r="I368" t="str">
            <v>MR</v>
          </cell>
          <cell r="J368" t="str">
            <v>MR Maintenance &amp; Sustainment</v>
          </cell>
          <cell r="K368" t="str">
            <v>Army</v>
          </cell>
          <cell r="L368" t="str">
            <v>DOD</v>
          </cell>
          <cell r="M368" t="str">
            <v>AFG</v>
          </cell>
          <cell r="N368" t="str">
            <v>OCONUS</v>
          </cell>
          <cell r="O368">
            <v>0</v>
          </cell>
          <cell r="P368">
            <v>0</v>
          </cell>
          <cell r="Q368">
            <v>0</v>
          </cell>
          <cell r="R368" t="str">
            <v>CPFF</v>
          </cell>
          <cell r="S368">
            <v>0</v>
          </cell>
          <cell r="T368">
            <v>1</v>
          </cell>
          <cell r="U368" t="str">
            <v>EBITA</v>
          </cell>
          <cell r="V368" t="str">
            <v>Identified - Recompete</v>
          </cell>
          <cell r="W368">
            <v>0</v>
          </cell>
          <cell r="X368">
            <v>0</v>
          </cell>
          <cell r="Y368">
            <v>0</v>
          </cell>
          <cell r="Z368">
            <v>0</v>
          </cell>
          <cell r="AA368">
            <v>0</v>
          </cell>
          <cell r="AB368">
            <v>0</v>
          </cell>
          <cell r="AC368">
            <v>0</v>
          </cell>
          <cell r="AD368">
            <v>0</v>
          </cell>
          <cell r="AX368">
            <v>0</v>
          </cell>
          <cell r="AY368">
            <v>0</v>
          </cell>
          <cell r="AZ368">
            <v>0</v>
          </cell>
          <cell r="BA368">
            <v>0</v>
          </cell>
          <cell r="BI368">
            <v>0</v>
          </cell>
          <cell r="BJ368">
            <v>0</v>
          </cell>
          <cell r="BK368">
            <v>0</v>
          </cell>
          <cell r="BL368">
            <v>0</v>
          </cell>
          <cell r="BM368">
            <v>0</v>
          </cell>
          <cell r="BN368">
            <v>0</v>
          </cell>
          <cell r="BO368">
            <v>0</v>
          </cell>
          <cell r="BP368">
            <v>0</v>
          </cell>
          <cell r="BQ368">
            <v>0</v>
          </cell>
          <cell r="BR368">
            <v>0</v>
          </cell>
          <cell r="BT368">
            <v>0</v>
          </cell>
          <cell r="CA368" t="str">
            <v>000027 - EBITA - Identified - Recompete</v>
          </cell>
          <cell r="CC368" t="str">
            <v>000027 - EBITA - Identified - Recompete - MR</v>
          </cell>
          <cell r="CD368" t="str">
            <v/>
          </cell>
          <cell r="CF368" t="str">
            <v>000027 - Identified - Recompete - MR</v>
          </cell>
        </row>
        <row r="369">
          <cell r="D369">
            <v>355</v>
          </cell>
          <cell r="E369">
            <v>1</v>
          </cell>
          <cell r="F369">
            <v>1</v>
          </cell>
          <cell r="G369" t="str">
            <v>TRIOSS</v>
          </cell>
          <cell r="H369" t="str">
            <v>TRIOSS (3582)</v>
          </cell>
          <cell r="I369" t="str">
            <v>MR</v>
          </cell>
          <cell r="J369" t="str">
            <v>MR Warfighter Support</v>
          </cell>
          <cell r="K369" t="str">
            <v>Army</v>
          </cell>
          <cell r="L369" t="str">
            <v>DOD</v>
          </cell>
          <cell r="M369" t="str">
            <v>NJ</v>
          </cell>
          <cell r="N369" t="str">
            <v>CONUS</v>
          </cell>
          <cell r="O369">
            <v>43301</v>
          </cell>
          <cell r="P369">
            <v>45863</v>
          </cell>
          <cell r="Q369" t="str">
            <v>Other</v>
          </cell>
          <cell r="R369" t="str">
            <v>T&amp;M</v>
          </cell>
          <cell r="S369">
            <v>0</v>
          </cell>
          <cell r="T369">
            <v>1</v>
          </cell>
          <cell r="U369" t="str">
            <v>REVTOT</v>
          </cell>
          <cell r="V369" t="str">
            <v>Base</v>
          </cell>
          <cell r="W369" t="str">
            <v>05 Won</v>
          </cell>
          <cell r="X369" t="str">
            <v>Active</v>
          </cell>
          <cell r="Y369">
            <v>1</v>
          </cell>
          <cell r="Z369">
            <v>0</v>
          </cell>
          <cell r="AA369">
            <v>1622288.66</v>
          </cell>
          <cell r="AB369">
            <v>5363023.28</v>
          </cell>
          <cell r="AC369">
            <v>0</v>
          </cell>
          <cell r="AD369">
            <v>6985311.9400000004</v>
          </cell>
          <cell r="AE369">
            <v>0</v>
          </cell>
          <cell r="AF369">
            <v>0</v>
          </cell>
          <cell r="AG369">
            <v>0</v>
          </cell>
          <cell r="AH369">
            <v>-0.16933215652490541</v>
          </cell>
          <cell r="AI369">
            <v>0</v>
          </cell>
          <cell r="AJ369">
            <v>0</v>
          </cell>
          <cell r="AK369">
            <v>0</v>
          </cell>
          <cell r="BB369">
            <v>1369020.4</v>
          </cell>
          <cell r="BC369">
            <v>1369020.4</v>
          </cell>
          <cell r="BD369">
            <v>1369020.4</v>
          </cell>
          <cell r="BE369">
            <v>1369020.4</v>
          </cell>
          <cell r="BF369">
            <v>0</v>
          </cell>
          <cell r="BG369">
            <v>0</v>
          </cell>
          <cell r="BH369">
            <v>0</v>
          </cell>
          <cell r="BI369">
            <v>397543.89</v>
          </cell>
          <cell r="BJ369">
            <v>443236.72</v>
          </cell>
          <cell r="BK369">
            <v>467755.27</v>
          </cell>
          <cell r="BL369">
            <v>339560.18</v>
          </cell>
          <cell r="BM369">
            <v>1648096.0599999998</v>
          </cell>
          <cell r="BN369">
            <v>1369020.4</v>
          </cell>
          <cell r="BO369">
            <v>1369020.4</v>
          </cell>
          <cell r="BP369">
            <v>1369020.4</v>
          </cell>
          <cell r="BQ369">
            <v>1369020.4</v>
          </cell>
          <cell r="BR369">
            <v>7124177.6600000001</v>
          </cell>
          <cell r="BT369">
            <v>0</v>
          </cell>
          <cell r="CA369" t="str">
            <v>TRIOSS - REVTOT - Base</v>
          </cell>
          <cell r="CC369" t="str">
            <v>TRIOSS - REVTOT - Base - MR</v>
          </cell>
          <cell r="CD369" t="str">
            <v>TRIOSS - REVTOT - Base - MR</v>
          </cell>
          <cell r="CF369" t="str">
            <v>TRIOSS - Base - MR</v>
          </cell>
        </row>
        <row r="370">
          <cell r="D370">
            <v>356</v>
          </cell>
          <cell r="E370">
            <v>1</v>
          </cell>
          <cell r="F370">
            <v>2</v>
          </cell>
          <cell r="G370" t="str">
            <v>TRIOSS</v>
          </cell>
          <cell r="H370" t="str">
            <v>TRIOSS (3582)</v>
          </cell>
          <cell r="I370" t="str">
            <v>MR</v>
          </cell>
          <cell r="J370" t="str">
            <v>MR Warfighter Support</v>
          </cell>
          <cell r="K370" t="str">
            <v>Army</v>
          </cell>
          <cell r="L370" t="str">
            <v>DOD</v>
          </cell>
          <cell r="M370" t="str">
            <v>NJ</v>
          </cell>
          <cell r="N370" t="str">
            <v>CONUS</v>
          </cell>
          <cell r="O370">
            <v>0</v>
          </cell>
          <cell r="P370">
            <v>0</v>
          </cell>
          <cell r="Q370">
            <v>0</v>
          </cell>
          <cell r="R370" t="str">
            <v>T&amp;M</v>
          </cell>
          <cell r="S370">
            <v>0</v>
          </cell>
          <cell r="T370">
            <v>1</v>
          </cell>
          <cell r="U370" t="str">
            <v>REVTOT</v>
          </cell>
          <cell r="V370" t="str">
            <v>Identified - Recompete</v>
          </cell>
          <cell r="W370">
            <v>0</v>
          </cell>
          <cell r="X370">
            <v>0</v>
          </cell>
          <cell r="Y370">
            <v>0</v>
          </cell>
          <cell r="Z370">
            <v>0</v>
          </cell>
          <cell r="AA370">
            <v>0</v>
          </cell>
          <cell r="AB370">
            <v>0</v>
          </cell>
          <cell r="AC370">
            <v>0</v>
          </cell>
          <cell r="AD370">
            <v>0</v>
          </cell>
          <cell r="AI370">
            <v>0</v>
          </cell>
          <cell r="AJ370">
            <v>0</v>
          </cell>
          <cell r="AK370">
            <v>0</v>
          </cell>
          <cell r="BB370">
            <v>0</v>
          </cell>
          <cell r="BC370">
            <v>0</v>
          </cell>
          <cell r="BD370">
            <v>0</v>
          </cell>
          <cell r="BE370">
            <v>0</v>
          </cell>
          <cell r="BI370">
            <v>0</v>
          </cell>
          <cell r="BJ370">
            <v>0</v>
          </cell>
          <cell r="BK370">
            <v>0</v>
          </cell>
          <cell r="BL370">
            <v>0</v>
          </cell>
          <cell r="BM370">
            <v>0</v>
          </cell>
          <cell r="BN370">
            <v>0</v>
          </cell>
          <cell r="BO370">
            <v>0</v>
          </cell>
          <cell r="BP370">
            <v>0</v>
          </cell>
          <cell r="BQ370">
            <v>0</v>
          </cell>
          <cell r="BR370">
            <v>0</v>
          </cell>
          <cell r="BT370">
            <v>0</v>
          </cell>
          <cell r="CA370" t="str">
            <v>TRIOSS - REVTOT - Identified - Recompete</v>
          </cell>
          <cell r="CC370" t="str">
            <v>TRIOSS - REVTOT - Identified - Recompete - MR</v>
          </cell>
          <cell r="CD370" t="str">
            <v/>
          </cell>
          <cell r="CF370" t="str">
            <v>TRIOSS - Identified - Recompete - MR</v>
          </cell>
        </row>
        <row r="371">
          <cell r="D371">
            <v>357</v>
          </cell>
          <cell r="E371">
            <v>2</v>
          </cell>
          <cell r="F371">
            <v>3</v>
          </cell>
          <cell r="G371" t="str">
            <v>TRIOSS</v>
          </cell>
          <cell r="H371" t="str">
            <v>TRIOSS (3582)</v>
          </cell>
          <cell r="I371" t="str">
            <v>MR</v>
          </cell>
          <cell r="J371" t="str">
            <v>MR Warfighter Support</v>
          </cell>
          <cell r="K371" t="str">
            <v>Army</v>
          </cell>
          <cell r="L371" t="str">
            <v>DOD</v>
          </cell>
          <cell r="M371" t="str">
            <v>NJ</v>
          </cell>
          <cell r="N371" t="str">
            <v>CONUS</v>
          </cell>
          <cell r="O371">
            <v>43301</v>
          </cell>
          <cell r="P371">
            <v>45863</v>
          </cell>
          <cell r="Q371" t="str">
            <v>Other</v>
          </cell>
          <cell r="R371" t="str">
            <v>T&amp;M</v>
          </cell>
          <cell r="S371">
            <v>0</v>
          </cell>
          <cell r="T371">
            <v>1</v>
          </cell>
          <cell r="U371" t="str">
            <v>CONTRACT</v>
          </cell>
          <cell r="V371" t="str">
            <v>Base</v>
          </cell>
          <cell r="W371" t="str">
            <v>05 Won</v>
          </cell>
          <cell r="X371" t="str">
            <v>Active</v>
          </cell>
          <cell r="Y371">
            <v>1</v>
          </cell>
          <cell r="Z371">
            <v>0</v>
          </cell>
          <cell r="AA371">
            <v>1622288.66</v>
          </cell>
          <cell r="AB371">
            <v>5363023.28</v>
          </cell>
          <cell r="AC371">
            <v>0</v>
          </cell>
          <cell r="AD371">
            <v>6985311.9400000004</v>
          </cell>
          <cell r="AL371">
            <v>0</v>
          </cell>
          <cell r="AM371">
            <v>0</v>
          </cell>
          <cell r="AN371">
            <v>0</v>
          </cell>
          <cell r="AO371">
            <v>9.6312013512125039E-2</v>
          </cell>
          <cell r="AP371">
            <v>0.11061374365787395</v>
          </cell>
          <cell r="AQ371">
            <v>0.11061374365787395</v>
          </cell>
          <cell r="AR371">
            <v>0.11061374365787395</v>
          </cell>
          <cell r="AS371">
            <v>0.11061374365787395</v>
          </cell>
          <cell r="BF371">
            <v>0</v>
          </cell>
          <cell r="BG371">
            <v>0</v>
          </cell>
          <cell r="BH371">
            <v>0</v>
          </cell>
          <cell r="BI371">
            <v>40642.25999999998</v>
          </cell>
          <cell r="BJ371">
            <v>39262.910000000018</v>
          </cell>
          <cell r="BK371">
            <v>30610.460000000021</v>
          </cell>
          <cell r="BL371">
            <v>48215.820000000007</v>
          </cell>
          <cell r="BM371">
            <v>158731.45000000001</v>
          </cell>
          <cell r="BN371">
            <v>151432.47158800004</v>
          </cell>
          <cell r="BO371">
            <v>151432.47158800004</v>
          </cell>
          <cell r="BP371">
            <v>151432.47158800004</v>
          </cell>
          <cell r="BQ371">
            <v>151432.47158800004</v>
          </cell>
          <cell r="BR371">
            <v>764461.33635200025</v>
          </cell>
          <cell r="BT371">
            <v>0</v>
          </cell>
          <cell r="CA371" t="str">
            <v>TRIOSS - CONTRACT - Base</v>
          </cell>
          <cell r="CC371" t="str">
            <v>TRIOSS - CONTRACT - Base - MR</v>
          </cell>
          <cell r="CD371" t="str">
            <v/>
          </cell>
          <cell r="CF371" t="str">
            <v>TRIOSS - Base - MR</v>
          </cell>
        </row>
        <row r="372">
          <cell r="D372">
            <v>358</v>
          </cell>
          <cell r="E372">
            <v>2</v>
          </cell>
          <cell r="F372">
            <v>4</v>
          </cell>
          <cell r="G372" t="str">
            <v>TRIOSS</v>
          </cell>
          <cell r="H372" t="str">
            <v>TRIOSS (3582)</v>
          </cell>
          <cell r="I372" t="str">
            <v>MR</v>
          </cell>
          <cell r="J372" t="str">
            <v>MR Warfighter Support</v>
          </cell>
          <cell r="K372" t="str">
            <v>Army</v>
          </cell>
          <cell r="L372" t="str">
            <v>DOD</v>
          </cell>
          <cell r="M372" t="str">
            <v>NJ</v>
          </cell>
          <cell r="N372" t="str">
            <v>CONUS</v>
          </cell>
          <cell r="O372">
            <v>0</v>
          </cell>
          <cell r="P372">
            <v>0</v>
          </cell>
          <cell r="Q372">
            <v>0</v>
          </cell>
          <cell r="R372" t="str">
            <v>T&amp;M</v>
          </cell>
          <cell r="S372">
            <v>0</v>
          </cell>
          <cell r="T372">
            <v>1</v>
          </cell>
          <cell r="U372" t="str">
            <v>CONTRACT</v>
          </cell>
          <cell r="V372" t="str">
            <v>Identified - Recompete</v>
          </cell>
          <cell r="W372">
            <v>0</v>
          </cell>
          <cell r="X372">
            <v>0</v>
          </cell>
          <cell r="Y372">
            <v>0</v>
          </cell>
          <cell r="Z372">
            <v>0</v>
          </cell>
          <cell r="AA372">
            <v>0</v>
          </cell>
          <cell r="AB372">
            <v>0</v>
          </cell>
          <cell r="AC372">
            <v>0</v>
          </cell>
          <cell r="AD372">
            <v>0</v>
          </cell>
          <cell r="AP372">
            <v>0</v>
          </cell>
          <cell r="AQ372">
            <v>0</v>
          </cell>
          <cell r="AR372">
            <v>0</v>
          </cell>
          <cell r="AS372">
            <v>0</v>
          </cell>
          <cell r="BI372">
            <v>0</v>
          </cell>
          <cell r="BJ372">
            <v>0</v>
          </cell>
          <cell r="BK372">
            <v>0</v>
          </cell>
          <cell r="BL372">
            <v>0</v>
          </cell>
          <cell r="BM372">
            <v>0</v>
          </cell>
          <cell r="BN372">
            <v>0</v>
          </cell>
          <cell r="BO372">
            <v>0</v>
          </cell>
          <cell r="BP372">
            <v>0</v>
          </cell>
          <cell r="BQ372">
            <v>0</v>
          </cell>
          <cell r="BR372">
            <v>0</v>
          </cell>
          <cell r="BT372">
            <v>0</v>
          </cell>
          <cell r="CA372" t="str">
            <v>TRIOSS - CONTRACT - Identified - Recompete</v>
          </cell>
          <cell r="CC372" t="str">
            <v>TRIOSS - CONTRACT - Identified - Recompete - MR</v>
          </cell>
          <cell r="CD372" t="str">
            <v/>
          </cell>
          <cell r="CF372" t="str">
            <v>TRIOSS - Identified - Recompete - MR</v>
          </cell>
        </row>
        <row r="373">
          <cell r="D373">
            <v>359</v>
          </cell>
          <cell r="E373">
            <v>0</v>
          </cell>
          <cell r="F373">
            <v>5</v>
          </cell>
          <cell r="G373" t="str">
            <v>TRIOSS</v>
          </cell>
          <cell r="H373" t="str">
            <v>TRIOSS (3582)</v>
          </cell>
          <cell r="I373" t="str">
            <v>MR</v>
          </cell>
          <cell r="J373" t="str">
            <v>MR Warfighter Support</v>
          </cell>
          <cell r="K373" t="str">
            <v>Army</v>
          </cell>
          <cell r="L373" t="str">
            <v>DOD</v>
          </cell>
          <cell r="M373" t="str">
            <v>NJ</v>
          </cell>
          <cell r="N373" t="str">
            <v>CONUS</v>
          </cell>
          <cell r="O373">
            <v>43301</v>
          </cell>
          <cell r="P373">
            <v>45863</v>
          </cell>
          <cell r="Q373" t="str">
            <v>Other</v>
          </cell>
          <cell r="R373" t="str">
            <v>T&amp;M</v>
          </cell>
          <cell r="S373">
            <v>0</v>
          </cell>
          <cell r="T373">
            <v>1</v>
          </cell>
          <cell r="U373" t="str">
            <v>EBITA</v>
          </cell>
          <cell r="V373" t="str">
            <v>Base</v>
          </cell>
          <cell r="W373" t="str">
            <v>05 Won</v>
          </cell>
          <cell r="X373" t="str">
            <v>Active</v>
          </cell>
          <cell r="Y373">
            <v>1</v>
          </cell>
          <cell r="Z373">
            <v>0</v>
          </cell>
          <cell r="AA373">
            <v>1622288.66</v>
          </cell>
          <cell r="AB373">
            <v>5363023.28</v>
          </cell>
          <cell r="AC373">
            <v>0</v>
          </cell>
          <cell r="AD373">
            <v>6985311.9400000004</v>
          </cell>
          <cell r="AT373">
            <v>0</v>
          </cell>
          <cell r="AU373">
            <v>0</v>
          </cell>
          <cell r="AV373">
            <v>0</v>
          </cell>
          <cell r="AW373">
            <v>2.3716554482874037E-2</v>
          </cell>
          <cell r="AX373">
            <v>4.0599766334770193E-2</v>
          </cell>
          <cell r="AY373">
            <v>4.1599766334770194E-2</v>
          </cell>
          <cell r="AZ373">
            <v>4.2599766334770195E-2</v>
          </cell>
          <cell r="BA373">
            <v>4.3599766334770196E-2</v>
          </cell>
          <cell r="BF373">
            <v>0</v>
          </cell>
          <cell r="BG373">
            <v>0</v>
          </cell>
          <cell r="BH373">
            <v>0</v>
          </cell>
          <cell r="BI373">
            <v>11372.709999999979</v>
          </cell>
          <cell r="BJ373">
            <v>7672.1700000000183</v>
          </cell>
          <cell r="BK373">
            <v>-4191.2199999999757</v>
          </cell>
          <cell r="BL373">
            <v>24233.500000000007</v>
          </cell>
          <cell r="BM373">
            <v>39087.160000000033</v>
          </cell>
          <cell r="BN373">
            <v>55581.908347533623</v>
          </cell>
          <cell r="BO373">
            <v>56950.928747533624</v>
          </cell>
          <cell r="BP373">
            <v>58319.949147533625</v>
          </cell>
          <cell r="BQ373">
            <v>59688.969547533627</v>
          </cell>
          <cell r="BR373">
            <v>269628.91579013452</v>
          </cell>
          <cell r="BT373">
            <v>0</v>
          </cell>
          <cell r="CA373" t="str">
            <v>TRIOSS - EBITA - Base</v>
          </cell>
          <cell r="CC373" t="str">
            <v>TRIOSS - EBITA - Base - MR</v>
          </cell>
          <cell r="CD373" t="str">
            <v/>
          </cell>
          <cell r="CF373" t="str">
            <v>TRIOSS - Base - MR</v>
          </cell>
        </row>
        <row r="374">
          <cell r="D374">
            <v>360</v>
          </cell>
          <cell r="E374">
            <v>0</v>
          </cell>
          <cell r="F374">
            <v>0</v>
          </cell>
          <cell r="G374" t="str">
            <v>TRIOSS</v>
          </cell>
          <cell r="H374" t="str">
            <v>TRIOSS (3582)</v>
          </cell>
          <cell r="I374" t="str">
            <v>MR</v>
          </cell>
          <cell r="J374" t="str">
            <v>MR Warfighter Support</v>
          </cell>
          <cell r="K374" t="str">
            <v>Army</v>
          </cell>
          <cell r="L374" t="str">
            <v>DOD</v>
          </cell>
          <cell r="M374" t="str">
            <v>NJ</v>
          </cell>
          <cell r="N374" t="str">
            <v>CONUS</v>
          </cell>
          <cell r="O374">
            <v>0</v>
          </cell>
          <cell r="P374">
            <v>0</v>
          </cell>
          <cell r="Q374">
            <v>0</v>
          </cell>
          <cell r="R374" t="str">
            <v>T&amp;M</v>
          </cell>
          <cell r="S374">
            <v>0</v>
          </cell>
          <cell r="T374">
            <v>1</v>
          </cell>
          <cell r="U374" t="str">
            <v>EBITA</v>
          </cell>
          <cell r="V374" t="str">
            <v>Identified - Recompete</v>
          </cell>
          <cell r="W374">
            <v>0</v>
          </cell>
          <cell r="X374">
            <v>0</v>
          </cell>
          <cell r="Y374">
            <v>0</v>
          </cell>
          <cell r="Z374">
            <v>0</v>
          </cell>
          <cell r="AA374">
            <v>0</v>
          </cell>
          <cell r="AB374">
            <v>0</v>
          </cell>
          <cell r="AC374">
            <v>0</v>
          </cell>
          <cell r="AD374">
            <v>0</v>
          </cell>
          <cell r="AX374">
            <v>0</v>
          </cell>
          <cell r="AY374">
            <v>0</v>
          </cell>
          <cell r="AZ374">
            <v>0</v>
          </cell>
          <cell r="BA374">
            <v>0</v>
          </cell>
          <cell r="BI374">
            <v>0</v>
          </cell>
          <cell r="BJ374">
            <v>0</v>
          </cell>
          <cell r="BK374">
            <v>0</v>
          </cell>
          <cell r="BL374">
            <v>0</v>
          </cell>
          <cell r="BM374">
            <v>0</v>
          </cell>
          <cell r="BN374">
            <v>0</v>
          </cell>
          <cell r="BO374">
            <v>0</v>
          </cell>
          <cell r="BP374">
            <v>0</v>
          </cell>
          <cell r="BQ374">
            <v>0</v>
          </cell>
          <cell r="BR374">
            <v>0</v>
          </cell>
          <cell r="BT374">
            <v>0</v>
          </cell>
          <cell r="CA374" t="str">
            <v>TRIOSS - EBITA - Identified - Recompete</v>
          </cell>
          <cell r="CC374" t="str">
            <v>TRIOSS - EBITA - Identified - Recompete - MR</v>
          </cell>
          <cell r="CD374" t="str">
            <v/>
          </cell>
          <cell r="CF374" t="str">
            <v>TRIOSS - Identified - Recompete - MR</v>
          </cell>
        </row>
        <row r="375">
          <cell r="D375">
            <v>361</v>
          </cell>
          <cell r="E375">
            <v>1</v>
          </cell>
          <cell r="F375">
            <v>1</v>
          </cell>
          <cell r="G375" t="str">
            <v>OKCXXX</v>
          </cell>
          <cell r="H375" t="str">
            <v>P&amp;W OKC</v>
          </cell>
          <cell r="I375" t="str">
            <v>MR</v>
          </cell>
          <cell r="J375" t="str">
            <v>MR Logistics &amp; Supply</v>
          </cell>
          <cell r="K375" t="str">
            <v>Commercial</v>
          </cell>
          <cell r="L375" t="str">
            <v xml:space="preserve">Commercial </v>
          </cell>
          <cell r="M375" t="str">
            <v>OK</v>
          </cell>
          <cell r="N375" t="str">
            <v>CONUS</v>
          </cell>
          <cell r="O375">
            <v>41730</v>
          </cell>
          <cell r="P375">
            <v>43434</v>
          </cell>
          <cell r="Q375" t="str">
            <v>Sub</v>
          </cell>
          <cell r="R375" t="str">
            <v>FFP</v>
          </cell>
          <cell r="S375">
            <v>0</v>
          </cell>
          <cell r="T375">
            <v>1</v>
          </cell>
          <cell r="U375" t="str">
            <v>REVTOT</v>
          </cell>
          <cell r="V375" t="str">
            <v>Base</v>
          </cell>
          <cell r="W375" t="str">
            <v>05 Won</v>
          </cell>
          <cell r="X375" t="str">
            <v>Active</v>
          </cell>
          <cell r="Y375">
            <v>1</v>
          </cell>
          <cell r="Z375">
            <v>0</v>
          </cell>
          <cell r="AA375">
            <v>0</v>
          </cell>
          <cell r="AB375">
            <v>0</v>
          </cell>
          <cell r="AC375">
            <v>0</v>
          </cell>
          <cell r="AD375">
            <v>0</v>
          </cell>
          <cell r="AE375">
            <v>0</v>
          </cell>
          <cell r="AF375">
            <v>0.36380052177798716</v>
          </cell>
          <cell r="AG375">
            <v>-0.78036308305368474</v>
          </cell>
          <cell r="AH375">
            <v>-1</v>
          </cell>
          <cell r="AI375">
            <v>0</v>
          </cell>
          <cell r="AJ375">
            <v>0</v>
          </cell>
          <cell r="AK375">
            <v>0</v>
          </cell>
          <cell r="BB375">
            <v>0</v>
          </cell>
          <cell r="BC375">
            <v>0</v>
          </cell>
          <cell r="BD375">
            <v>0</v>
          </cell>
          <cell r="BE375">
            <v>0</v>
          </cell>
          <cell r="BF375">
            <v>0</v>
          </cell>
          <cell r="BG375">
            <v>6261168.6999999993</v>
          </cell>
          <cell r="BH375">
            <v>8538985.1400000006</v>
          </cell>
          <cell r="BI375">
            <v>1846421</v>
          </cell>
          <cell r="BJ375">
            <v>28289.43</v>
          </cell>
          <cell r="BK375">
            <v>765.94</v>
          </cell>
          <cell r="BL375">
            <v>0</v>
          </cell>
          <cell r="BM375">
            <v>1875476.3699999999</v>
          </cell>
          <cell r="BN375">
            <v>0</v>
          </cell>
          <cell r="BO375">
            <v>0</v>
          </cell>
          <cell r="BP375">
            <v>0</v>
          </cell>
          <cell r="BQ375">
            <v>0</v>
          </cell>
          <cell r="BR375">
            <v>1875476.3699999999</v>
          </cell>
          <cell r="BT375">
            <v>0</v>
          </cell>
          <cell r="CA375" t="str">
            <v>OKCXXX - REVTOT - Base</v>
          </cell>
          <cell r="CC375" t="str">
            <v>OKCXXX - REVTOT - Base - MR</v>
          </cell>
          <cell r="CD375" t="str">
            <v>OKCXXX - REVTOT - Base - MR</v>
          </cell>
          <cell r="CF375" t="str">
            <v>OKCXXX - Base - MR</v>
          </cell>
        </row>
        <row r="376">
          <cell r="D376">
            <v>362</v>
          </cell>
          <cell r="E376">
            <v>1</v>
          </cell>
          <cell r="F376">
            <v>2</v>
          </cell>
          <cell r="G376" t="str">
            <v>OKCXXX</v>
          </cell>
          <cell r="H376" t="str">
            <v>P&amp;W OKC</v>
          </cell>
          <cell r="I376" t="str">
            <v>MR</v>
          </cell>
          <cell r="J376" t="str">
            <v>MR Logistics &amp; Supply</v>
          </cell>
          <cell r="K376" t="str">
            <v>Commercial</v>
          </cell>
          <cell r="L376" t="str">
            <v xml:space="preserve">Commercial </v>
          </cell>
          <cell r="M376" t="str">
            <v>OK</v>
          </cell>
          <cell r="N376" t="str">
            <v>CONUS</v>
          </cell>
          <cell r="O376">
            <v>0</v>
          </cell>
          <cell r="P376">
            <v>0</v>
          </cell>
          <cell r="Q376">
            <v>0</v>
          </cell>
          <cell r="R376" t="str">
            <v>FFP</v>
          </cell>
          <cell r="S376">
            <v>0</v>
          </cell>
          <cell r="T376">
            <v>1</v>
          </cell>
          <cell r="U376" t="str">
            <v>REVTOT</v>
          </cell>
          <cell r="V376" t="str">
            <v>Identified - Recompete</v>
          </cell>
          <cell r="W376">
            <v>0</v>
          </cell>
          <cell r="X376">
            <v>0</v>
          </cell>
          <cell r="Y376">
            <v>0</v>
          </cell>
          <cell r="Z376">
            <v>0</v>
          </cell>
          <cell r="AA376">
            <v>0</v>
          </cell>
          <cell r="AB376">
            <v>0</v>
          </cell>
          <cell r="AC376">
            <v>0</v>
          </cell>
          <cell r="AD376">
            <v>0</v>
          </cell>
          <cell r="AI376">
            <v>0</v>
          </cell>
          <cell r="AJ376">
            <v>0</v>
          </cell>
          <cell r="AK376">
            <v>0</v>
          </cell>
          <cell r="BB376">
            <v>0</v>
          </cell>
          <cell r="BC376">
            <v>0</v>
          </cell>
          <cell r="BD376">
            <v>0</v>
          </cell>
          <cell r="BE376">
            <v>0</v>
          </cell>
          <cell r="BI376">
            <v>0</v>
          </cell>
          <cell r="BJ376">
            <v>0</v>
          </cell>
          <cell r="BK376">
            <v>0</v>
          </cell>
          <cell r="BL376">
            <v>0</v>
          </cell>
          <cell r="BM376">
            <v>0</v>
          </cell>
          <cell r="BN376">
            <v>0</v>
          </cell>
          <cell r="BO376">
            <v>0</v>
          </cell>
          <cell r="BP376">
            <v>0</v>
          </cell>
          <cell r="BQ376">
            <v>0</v>
          </cell>
          <cell r="BR376">
            <v>0</v>
          </cell>
          <cell r="BT376">
            <v>0</v>
          </cell>
          <cell r="CA376" t="str">
            <v>OKCXXX - REVTOT - Identified - Recompete</v>
          </cell>
          <cell r="CC376" t="str">
            <v>OKCXXX - REVTOT - Identified - Recompete - MR</v>
          </cell>
          <cell r="CD376" t="str">
            <v/>
          </cell>
          <cell r="CF376" t="str">
            <v>OKCXXX - Identified - Recompete - MR</v>
          </cell>
        </row>
        <row r="377">
          <cell r="D377">
            <v>363</v>
          </cell>
          <cell r="E377">
            <v>2</v>
          </cell>
          <cell r="F377">
            <v>3</v>
          </cell>
          <cell r="G377" t="str">
            <v>OKCXXX</v>
          </cell>
          <cell r="H377" t="str">
            <v>P&amp;W OKC</v>
          </cell>
          <cell r="I377" t="str">
            <v>MR</v>
          </cell>
          <cell r="J377" t="str">
            <v>MR Logistics &amp; Supply</v>
          </cell>
          <cell r="K377" t="str">
            <v>Commercial</v>
          </cell>
          <cell r="L377" t="str">
            <v xml:space="preserve">Commercial </v>
          </cell>
          <cell r="M377" t="str">
            <v>OK</v>
          </cell>
          <cell r="N377" t="str">
            <v>CONUS</v>
          </cell>
          <cell r="O377">
            <v>41730</v>
          </cell>
          <cell r="P377">
            <v>43434</v>
          </cell>
          <cell r="Q377" t="str">
            <v>Sub</v>
          </cell>
          <cell r="R377" t="str">
            <v>FFP</v>
          </cell>
          <cell r="S377">
            <v>0</v>
          </cell>
          <cell r="T377">
            <v>1</v>
          </cell>
          <cell r="U377" t="str">
            <v>CONTRACT</v>
          </cell>
          <cell r="V377" t="str">
            <v>Base</v>
          </cell>
          <cell r="W377" t="str">
            <v>05 Won</v>
          </cell>
          <cell r="X377" t="str">
            <v>Active</v>
          </cell>
          <cell r="Y377">
            <v>1</v>
          </cell>
          <cell r="Z377">
            <v>0</v>
          </cell>
          <cell r="AA377">
            <v>0</v>
          </cell>
          <cell r="AB377">
            <v>0</v>
          </cell>
          <cell r="AC377">
            <v>0</v>
          </cell>
          <cell r="AD377">
            <v>0</v>
          </cell>
          <cell r="AL377">
            <v>0</v>
          </cell>
          <cell r="AM377">
            <v>1.7258292369601826E-2</v>
          </cell>
          <cell r="AN377">
            <v>0.25683361594420107</v>
          </cell>
          <cell r="AO377">
            <v>0.38792023809929416</v>
          </cell>
          <cell r="AP377">
            <v>0.18162376545048126</v>
          </cell>
          <cell r="AQ377">
            <v>0.18162376545048126</v>
          </cell>
          <cell r="AR377">
            <v>0.18162376545048126</v>
          </cell>
          <cell r="AS377">
            <v>0.18162376545048126</v>
          </cell>
          <cell r="BF377">
            <v>0</v>
          </cell>
          <cell r="BG377">
            <v>108057.07999999978</v>
          </cell>
          <cell r="BH377">
            <v>2193098.4300000002</v>
          </cell>
          <cell r="BI377">
            <v>721306.0199999999</v>
          </cell>
          <cell r="BJ377">
            <v>19248.62</v>
          </cell>
          <cell r="BK377">
            <v>-13019.400000000001</v>
          </cell>
          <cell r="BL377">
            <v>0</v>
          </cell>
          <cell r="BM377">
            <v>727535.23999999987</v>
          </cell>
          <cell r="BN377">
            <v>0</v>
          </cell>
          <cell r="BO377">
            <v>0</v>
          </cell>
          <cell r="BP377">
            <v>0</v>
          </cell>
          <cell r="BQ377">
            <v>0</v>
          </cell>
          <cell r="BR377">
            <v>727535.23999999987</v>
          </cell>
          <cell r="BT377">
            <v>0</v>
          </cell>
          <cell r="CA377" t="str">
            <v>OKCXXX - CONTRACT - Base</v>
          </cell>
          <cell r="CC377" t="str">
            <v>OKCXXX - CONTRACT - Base - MR</v>
          </cell>
          <cell r="CD377" t="str">
            <v/>
          </cell>
          <cell r="CF377" t="str">
            <v>OKCXXX - Base - MR</v>
          </cell>
        </row>
        <row r="378">
          <cell r="D378">
            <v>364</v>
          </cell>
          <cell r="E378">
            <v>2</v>
          </cell>
          <cell r="F378">
            <v>4</v>
          </cell>
          <cell r="G378" t="str">
            <v>OKCXXX</v>
          </cell>
          <cell r="H378" t="str">
            <v>P&amp;W OKC</v>
          </cell>
          <cell r="I378" t="str">
            <v>MR</v>
          </cell>
          <cell r="J378" t="str">
            <v>MR Logistics &amp; Supply</v>
          </cell>
          <cell r="K378" t="str">
            <v>Commercial</v>
          </cell>
          <cell r="L378" t="str">
            <v xml:space="preserve">Commercial </v>
          </cell>
          <cell r="M378" t="str">
            <v>OK</v>
          </cell>
          <cell r="N378" t="str">
            <v>CONUS</v>
          </cell>
          <cell r="O378">
            <v>0</v>
          </cell>
          <cell r="P378">
            <v>0</v>
          </cell>
          <cell r="Q378">
            <v>0</v>
          </cell>
          <cell r="R378" t="str">
            <v>FFP</v>
          </cell>
          <cell r="S378">
            <v>0</v>
          </cell>
          <cell r="T378">
            <v>1</v>
          </cell>
          <cell r="U378" t="str">
            <v>CONTRACT</v>
          </cell>
          <cell r="V378" t="str">
            <v>Identified - Recompete</v>
          </cell>
          <cell r="W378">
            <v>0</v>
          </cell>
          <cell r="X378">
            <v>0</v>
          </cell>
          <cell r="Y378">
            <v>0</v>
          </cell>
          <cell r="Z378">
            <v>0</v>
          </cell>
          <cell r="AA378">
            <v>0</v>
          </cell>
          <cell r="AB378">
            <v>0</v>
          </cell>
          <cell r="AC378">
            <v>0</v>
          </cell>
          <cell r="AD378">
            <v>0</v>
          </cell>
          <cell r="AP378">
            <v>0</v>
          </cell>
          <cell r="AQ378">
            <v>0</v>
          </cell>
          <cell r="AR378">
            <v>0</v>
          </cell>
          <cell r="AS378">
            <v>0</v>
          </cell>
          <cell r="BI378">
            <v>0</v>
          </cell>
          <cell r="BJ378">
            <v>0</v>
          </cell>
          <cell r="BK378">
            <v>0</v>
          </cell>
          <cell r="BL378">
            <v>0</v>
          </cell>
          <cell r="BM378">
            <v>0</v>
          </cell>
          <cell r="BN378">
            <v>0</v>
          </cell>
          <cell r="BO378">
            <v>0</v>
          </cell>
          <cell r="BP378">
            <v>0</v>
          </cell>
          <cell r="BQ378">
            <v>0</v>
          </cell>
          <cell r="BR378">
            <v>0</v>
          </cell>
          <cell r="BT378">
            <v>0</v>
          </cell>
          <cell r="CA378" t="str">
            <v>OKCXXX - CONTRACT - Identified - Recompete</v>
          </cell>
          <cell r="CC378" t="str">
            <v>OKCXXX - CONTRACT - Identified - Recompete - MR</v>
          </cell>
          <cell r="CD378" t="str">
            <v/>
          </cell>
          <cell r="CF378" t="str">
            <v>OKCXXX - Identified - Recompete - MR</v>
          </cell>
        </row>
        <row r="379">
          <cell r="D379">
            <v>365</v>
          </cell>
          <cell r="E379">
            <v>0</v>
          </cell>
          <cell r="F379">
            <v>5</v>
          </cell>
          <cell r="G379" t="str">
            <v>OKCXXX</v>
          </cell>
          <cell r="H379" t="str">
            <v>P&amp;W OKC</v>
          </cell>
          <cell r="I379" t="str">
            <v>MR</v>
          </cell>
          <cell r="J379" t="str">
            <v>MR Logistics &amp; Supply</v>
          </cell>
          <cell r="K379" t="str">
            <v>Commercial</v>
          </cell>
          <cell r="L379" t="str">
            <v xml:space="preserve">Commercial </v>
          </cell>
          <cell r="M379" t="str">
            <v>OK</v>
          </cell>
          <cell r="N379" t="str">
            <v>CONUS</v>
          </cell>
          <cell r="O379">
            <v>41730</v>
          </cell>
          <cell r="P379">
            <v>43434</v>
          </cell>
          <cell r="Q379" t="str">
            <v>Sub</v>
          </cell>
          <cell r="R379" t="str">
            <v>FFP</v>
          </cell>
          <cell r="S379">
            <v>0</v>
          </cell>
          <cell r="T379">
            <v>1</v>
          </cell>
          <cell r="U379" t="str">
            <v>EBITA</v>
          </cell>
          <cell r="V379" t="str">
            <v>Base</v>
          </cell>
          <cell r="W379" t="str">
            <v>05 Won</v>
          </cell>
          <cell r="X379" t="str">
            <v>Active</v>
          </cell>
          <cell r="Y379">
            <v>1</v>
          </cell>
          <cell r="Z379">
            <v>0</v>
          </cell>
          <cell r="AA379">
            <v>0</v>
          </cell>
          <cell r="AB379">
            <v>0</v>
          </cell>
          <cell r="AC379">
            <v>0</v>
          </cell>
          <cell r="AD379">
            <v>0</v>
          </cell>
          <cell r="AT379">
            <v>0</v>
          </cell>
          <cell r="AU379">
            <v>-6.9190312664790574E-2</v>
          </cell>
          <cell r="AV379">
            <v>0.19334056014061643</v>
          </cell>
          <cell r="AW379">
            <v>0.33453228205695812</v>
          </cell>
          <cell r="AX379">
            <v>0.11164813244020719</v>
          </cell>
          <cell r="AY379">
            <v>0.11264813244020719</v>
          </cell>
          <cell r="AZ379">
            <v>0.11364813244020719</v>
          </cell>
          <cell r="BA379">
            <v>0.11464813244020719</v>
          </cell>
          <cell r="BF379">
            <v>0</v>
          </cell>
          <cell r="BG379">
            <v>-433212.22000000026</v>
          </cell>
          <cell r="BH379">
            <v>1650932.1700000002</v>
          </cell>
          <cell r="BI379">
            <v>620842.97999999986</v>
          </cell>
          <cell r="BJ379">
            <v>20786.260000000002</v>
          </cell>
          <cell r="BK379">
            <v>-14221.850000000002</v>
          </cell>
          <cell r="BL379">
            <v>0</v>
          </cell>
          <cell r="BM379">
            <v>627407.3899999999</v>
          </cell>
          <cell r="BN379">
            <v>0</v>
          </cell>
          <cell r="BO379">
            <v>0</v>
          </cell>
          <cell r="BP379">
            <v>0</v>
          </cell>
          <cell r="BQ379">
            <v>0</v>
          </cell>
          <cell r="BR379">
            <v>627407.3899999999</v>
          </cell>
          <cell r="BT379">
            <v>0</v>
          </cell>
          <cell r="CA379" t="str">
            <v>OKCXXX - EBITA - Base</v>
          </cell>
          <cell r="CC379" t="str">
            <v>OKCXXX - EBITA - Base - MR</v>
          </cell>
          <cell r="CD379" t="str">
            <v/>
          </cell>
          <cell r="CF379" t="str">
            <v>OKCXXX - Base - MR</v>
          </cell>
        </row>
        <row r="380">
          <cell r="D380">
            <v>366</v>
          </cell>
          <cell r="E380">
            <v>0</v>
          </cell>
          <cell r="F380">
            <v>0</v>
          </cell>
          <cell r="G380" t="str">
            <v>OKCXXX</v>
          </cell>
          <cell r="H380" t="str">
            <v>P&amp;W OKC</v>
          </cell>
          <cell r="I380" t="str">
            <v>MR</v>
          </cell>
          <cell r="J380" t="str">
            <v>MR Logistics &amp; Supply</v>
          </cell>
          <cell r="K380" t="str">
            <v>Commercial</v>
          </cell>
          <cell r="L380" t="str">
            <v xml:space="preserve">Commercial </v>
          </cell>
          <cell r="M380" t="str">
            <v>OK</v>
          </cell>
          <cell r="N380" t="str">
            <v>CONUS</v>
          </cell>
          <cell r="O380">
            <v>0</v>
          </cell>
          <cell r="P380">
            <v>0</v>
          </cell>
          <cell r="Q380">
            <v>0</v>
          </cell>
          <cell r="R380" t="str">
            <v>FFP</v>
          </cell>
          <cell r="S380">
            <v>0</v>
          </cell>
          <cell r="T380">
            <v>1</v>
          </cell>
          <cell r="U380" t="str">
            <v>EBITA</v>
          </cell>
          <cell r="V380" t="str">
            <v>Identified - Recompete</v>
          </cell>
          <cell r="W380">
            <v>0</v>
          </cell>
          <cell r="X380">
            <v>0</v>
          </cell>
          <cell r="Y380">
            <v>0</v>
          </cell>
          <cell r="Z380">
            <v>0</v>
          </cell>
          <cell r="AA380">
            <v>0</v>
          </cell>
          <cell r="AB380">
            <v>0</v>
          </cell>
          <cell r="AC380">
            <v>0</v>
          </cell>
          <cell r="AD380">
            <v>0</v>
          </cell>
          <cell r="AX380">
            <v>0</v>
          </cell>
          <cell r="AY380">
            <v>0</v>
          </cell>
          <cell r="AZ380">
            <v>0</v>
          </cell>
          <cell r="BA380">
            <v>0</v>
          </cell>
          <cell r="BI380">
            <v>0</v>
          </cell>
          <cell r="BJ380">
            <v>0</v>
          </cell>
          <cell r="BK380">
            <v>0</v>
          </cell>
          <cell r="BL380">
            <v>0</v>
          </cell>
          <cell r="BM380">
            <v>0</v>
          </cell>
          <cell r="BN380">
            <v>0</v>
          </cell>
          <cell r="BO380">
            <v>0</v>
          </cell>
          <cell r="BP380">
            <v>0</v>
          </cell>
          <cell r="BQ380">
            <v>0</v>
          </cell>
          <cell r="BR380">
            <v>0</v>
          </cell>
          <cell r="BT380">
            <v>0</v>
          </cell>
          <cell r="CA380" t="str">
            <v>OKCXXX - EBITA - Identified - Recompete</v>
          </cell>
          <cell r="CC380" t="str">
            <v>OKCXXX - EBITA - Identified - Recompete - MR</v>
          </cell>
          <cell r="CD380" t="str">
            <v/>
          </cell>
          <cell r="CF380" t="str">
            <v>OKCXXX - Identified - Recompete - MR</v>
          </cell>
        </row>
        <row r="381">
          <cell r="D381">
            <v>367</v>
          </cell>
          <cell r="E381">
            <v>1</v>
          </cell>
          <cell r="F381">
            <v>1</v>
          </cell>
          <cell r="G381" t="str">
            <v>KSCFLI</v>
          </cell>
          <cell r="H381" t="str">
            <v>KSC Flight Operations</v>
          </cell>
          <cell r="I381" t="str">
            <v>MR</v>
          </cell>
          <cell r="J381" t="str">
            <v>MR Warfighter Support</v>
          </cell>
          <cell r="K381" t="str">
            <v>Multiple</v>
          </cell>
          <cell r="L381" t="str">
            <v>Other</v>
          </cell>
          <cell r="M381" t="str">
            <v>US_State</v>
          </cell>
          <cell r="N381" t="str">
            <v>CONUS</v>
          </cell>
          <cell r="O381">
            <v>42278</v>
          </cell>
          <cell r="P381">
            <v>44104</v>
          </cell>
          <cell r="Q381" t="str">
            <v>Prime</v>
          </cell>
          <cell r="R381" t="str">
            <v>FFP</v>
          </cell>
          <cell r="S381">
            <v>0</v>
          </cell>
          <cell r="T381">
            <v>1</v>
          </cell>
          <cell r="U381" t="str">
            <v>REVTOT</v>
          </cell>
          <cell r="V381" t="str">
            <v>Base</v>
          </cell>
          <cell r="W381" t="str">
            <v>05 Won</v>
          </cell>
          <cell r="X381" t="str">
            <v>Active</v>
          </cell>
          <cell r="Y381">
            <v>1</v>
          </cell>
          <cell r="Z381">
            <v>0</v>
          </cell>
          <cell r="AA381">
            <v>-0.38000000029569492</v>
          </cell>
          <cell r="AB381">
            <v>1267227.94</v>
          </cell>
          <cell r="AC381">
            <v>0</v>
          </cell>
          <cell r="AD381">
            <v>1267227.5599999996</v>
          </cell>
          <cell r="AE381">
            <v>7.2703337081035491E-2</v>
          </cell>
          <cell r="AF381">
            <v>-7.9067500850513284E-2</v>
          </cell>
          <cell r="AG381">
            <v>-1.0918959867158962E-2</v>
          </cell>
          <cell r="AH381">
            <v>1.9448714848407489E-2</v>
          </cell>
          <cell r="AI381">
            <v>0</v>
          </cell>
          <cell r="AJ381">
            <v>0</v>
          </cell>
          <cell r="AK381">
            <v>0</v>
          </cell>
          <cell r="BB381">
            <v>1274393.1509999984</v>
          </cell>
          <cell r="BC381">
            <v>1274393.1509999984</v>
          </cell>
          <cell r="BD381">
            <v>1274393.1509999984</v>
          </cell>
          <cell r="BE381">
            <v>1274393.1509999984</v>
          </cell>
          <cell r="BF381">
            <v>1272183.97</v>
          </cell>
          <cell r="BG381">
            <v>1364675.99</v>
          </cell>
          <cell r="BH381">
            <v>1256774.47</v>
          </cell>
          <cell r="BI381">
            <v>310762.95</v>
          </cell>
          <cell r="BJ381">
            <v>310762.95</v>
          </cell>
          <cell r="BK381">
            <v>310762.95</v>
          </cell>
          <cell r="BL381">
            <v>310762.95</v>
          </cell>
          <cell r="BM381">
            <v>1243051.8</v>
          </cell>
          <cell r="BN381">
            <v>1267227.5599999996</v>
          </cell>
          <cell r="BO381">
            <v>0</v>
          </cell>
          <cell r="BP381">
            <v>0</v>
          </cell>
          <cell r="BQ381">
            <v>0</v>
          </cell>
          <cell r="BR381">
            <v>2510279.3599999994</v>
          </cell>
          <cell r="BT381">
            <v>0</v>
          </cell>
          <cell r="CA381" t="str">
            <v>KSCFLI - REVTOT - Base</v>
          </cell>
          <cell r="CC381" t="str">
            <v>KSCFLI - REVTOT - Base - MR</v>
          </cell>
          <cell r="CD381" t="str">
            <v>KSCFLI - REVTOT - Base - MR</v>
          </cell>
          <cell r="CF381" t="str">
            <v>KSCFLI - Base - MR</v>
          </cell>
        </row>
        <row r="382">
          <cell r="D382">
            <v>368</v>
          </cell>
          <cell r="E382">
            <v>1</v>
          </cell>
          <cell r="F382">
            <v>2</v>
          </cell>
          <cell r="G382" t="str">
            <v>KSCFLI</v>
          </cell>
          <cell r="H382" t="str">
            <v>KSC Flight Operations</v>
          </cell>
          <cell r="I382" t="str">
            <v>MR</v>
          </cell>
          <cell r="J382" t="str">
            <v>MR Warfighter Support</v>
          </cell>
          <cell r="K382" t="str">
            <v>Multiple</v>
          </cell>
          <cell r="L382" t="str">
            <v>Other</v>
          </cell>
          <cell r="M382" t="str">
            <v>US_State</v>
          </cell>
          <cell r="N382" t="str">
            <v>CONUS</v>
          </cell>
          <cell r="O382">
            <v>0</v>
          </cell>
          <cell r="P382">
            <v>0</v>
          </cell>
          <cell r="Q382">
            <v>0</v>
          </cell>
          <cell r="R382" t="str">
            <v>FFP</v>
          </cell>
          <cell r="S382">
            <v>0</v>
          </cell>
          <cell r="T382">
            <v>1</v>
          </cell>
          <cell r="U382" t="str">
            <v>REVTOT</v>
          </cell>
          <cell r="V382" t="str">
            <v>Identified - Recompete</v>
          </cell>
          <cell r="W382">
            <v>0</v>
          </cell>
          <cell r="X382">
            <v>0</v>
          </cell>
          <cell r="Y382">
            <v>0</v>
          </cell>
          <cell r="Z382">
            <v>0</v>
          </cell>
          <cell r="AA382">
            <v>0</v>
          </cell>
          <cell r="AB382">
            <v>0</v>
          </cell>
          <cell r="AC382">
            <v>0</v>
          </cell>
          <cell r="AD382">
            <v>0</v>
          </cell>
          <cell r="AI382">
            <v>0</v>
          </cell>
          <cell r="AJ382">
            <v>0</v>
          </cell>
          <cell r="AK382">
            <v>0</v>
          </cell>
          <cell r="BB382">
            <v>0</v>
          </cell>
          <cell r="BC382">
            <v>0</v>
          </cell>
          <cell r="BD382">
            <v>0</v>
          </cell>
          <cell r="BE382">
            <v>0</v>
          </cell>
          <cell r="BI382">
            <v>0</v>
          </cell>
          <cell r="BJ382">
            <v>0</v>
          </cell>
          <cell r="BK382">
            <v>0</v>
          </cell>
          <cell r="BL382">
            <v>0</v>
          </cell>
          <cell r="BM382">
            <v>0</v>
          </cell>
          <cell r="BN382">
            <v>0</v>
          </cell>
          <cell r="BO382">
            <v>0</v>
          </cell>
          <cell r="BP382">
            <v>0</v>
          </cell>
          <cell r="BQ382">
            <v>0</v>
          </cell>
          <cell r="BR382">
            <v>0</v>
          </cell>
          <cell r="BT382">
            <v>0</v>
          </cell>
          <cell r="CA382" t="str">
            <v>KSCFLI - REVTOT - Identified - Recompete</v>
          </cell>
          <cell r="CC382" t="str">
            <v>KSCFLI - REVTOT - Identified - Recompete - MR</v>
          </cell>
          <cell r="CD382" t="str">
            <v/>
          </cell>
          <cell r="CF382" t="str">
            <v>KSCFLI - Identified - Recompete - MR</v>
          </cell>
        </row>
        <row r="383">
          <cell r="D383">
            <v>369</v>
          </cell>
          <cell r="E383">
            <v>2</v>
          </cell>
          <cell r="F383">
            <v>3</v>
          </cell>
          <cell r="G383" t="str">
            <v>KSCFLI</v>
          </cell>
          <cell r="H383" t="str">
            <v>KSC Flight Operations</v>
          </cell>
          <cell r="I383" t="str">
            <v>MR</v>
          </cell>
          <cell r="J383" t="str">
            <v>MR Warfighter Support</v>
          </cell>
          <cell r="K383" t="str">
            <v>Multiple</v>
          </cell>
          <cell r="L383" t="str">
            <v>Other</v>
          </cell>
          <cell r="M383" t="str">
            <v>US_State</v>
          </cell>
          <cell r="N383" t="str">
            <v>CONUS</v>
          </cell>
          <cell r="O383">
            <v>42278</v>
          </cell>
          <cell r="P383">
            <v>44104</v>
          </cell>
          <cell r="Q383" t="str">
            <v>Prime</v>
          </cell>
          <cell r="R383" t="str">
            <v>FFP</v>
          </cell>
          <cell r="S383">
            <v>0</v>
          </cell>
          <cell r="T383">
            <v>1</v>
          </cell>
          <cell r="U383" t="str">
            <v>CONTRACT</v>
          </cell>
          <cell r="V383" t="str">
            <v>Base</v>
          </cell>
          <cell r="W383" t="str">
            <v>05 Won</v>
          </cell>
          <cell r="X383" t="str">
            <v>Active</v>
          </cell>
          <cell r="Y383">
            <v>1</v>
          </cell>
          <cell r="Z383">
            <v>0</v>
          </cell>
          <cell r="AA383">
            <v>-0.38000000029569492</v>
          </cell>
          <cell r="AB383">
            <v>1267227.94</v>
          </cell>
          <cell r="AC383">
            <v>0</v>
          </cell>
          <cell r="AD383">
            <v>1267227.5599999996</v>
          </cell>
          <cell r="AL383">
            <v>0.20316861876509887</v>
          </cell>
          <cell r="AM383">
            <v>0.15824605370246161</v>
          </cell>
          <cell r="AN383">
            <v>0.1331715387248438</v>
          </cell>
          <cell r="AO383">
            <v>0.13392679862576926</v>
          </cell>
          <cell r="AP383">
            <v>0.18486881899914023</v>
          </cell>
          <cell r="AQ383">
            <v>0.18486881899914023</v>
          </cell>
          <cell r="AR383">
            <v>0.18486881899914023</v>
          </cell>
          <cell r="AS383">
            <v>0.18486881899914023</v>
          </cell>
          <cell r="BF383">
            <v>258467.86</v>
          </cell>
          <cell r="BG383">
            <v>215954.58999999997</v>
          </cell>
          <cell r="BH383">
            <v>167366.59000000003</v>
          </cell>
          <cell r="BI383">
            <v>71621.610000000015</v>
          </cell>
          <cell r="BJ383">
            <v>44817.869999999966</v>
          </cell>
          <cell r="BK383">
            <v>-5313.9500000000116</v>
          </cell>
          <cell r="BL383">
            <v>55352.418100000039</v>
          </cell>
          <cell r="BM383">
            <v>166477.94810000001</v>
          </cell>
          <cell r="BN383">
            <v>234270.86242036204</v>
          </cell>
          <cell r="BO383">
            <v>0</v>
          </cell>
          <cell r="BP383">
            <v>0</v>
          </cell>
          <cell r="BQ383">
            <v>0</v>
          </cell>
          <cell r="BR383">
            <v>400748.81052036205</v>
          </cell>
          <cell r="BT383">
            <v>0</v>
          </cell>
          <cell r="CA383" t="str">
            <v>KSCFLI - CONTRACT - Base</v>
          </cell>
          <cell r="CC383" t="str">
            <v>KSCFLI - CONTRACT - Base - MR</v>
          </cell>
          <cell r="CD383" t="str">
            <v/>
          </cell>
          <cell r="CF383" t="str">
            <v>KSCFLI - Base - MR</v>
          </cell>
        </row>
        <row r="384">
          <cell r="D384">
            <v>370</v>
          </cell>
          <cell r="E384">
            <v>2</v>
          </cell>
          <cell r="F384">
            <v>4</v>
          </cell>
          <cell r="G384" t="str">
            <v>KSCFLI</v>
          </cell>
          <cell r="H384" t="str">
            <v>KSC Flight Operations</v>
          </cell>
          <cell r="I384" t="str">
            <v>MR</v>
          </cell>
          <cell r="J384" t="str">
            <v>MR Warfighter Support</v>
          </cell>
          <cell r="K384" t="str">
            <v>Multiple</v>
          </cell>
          <cell r="L384" t="str">
            <v>Other</v>
          </cell>
          <cell r="M384" t="str">
            <v>US_State</v>
          </cell>
          <cell r="N384" t="str">
            <v>CONUS</v>
          </cell>
          <cell r="O384">
            <v>0</v>
          </cell>
          <cell r="P384">
            <v>0</v>
          </cell>
          <cell r="Q384">
            <v>0</v>
          </cell>
          <cell r="R384" t="str">
            <v>FFP</v>
          </cell>
          <cell r="S384">
            <v>0</v>
          </cell>
          <cell r="T384">
            <v>1</v>
          </cell>
          <cell r="U384" t="str">
            <v>CONTRACT</v>
          </cell>
          <cell r="V384" t="str">
            <v>Identified - Recompete</v>
          </cell>
          <cell r="W384">
            <v>0</v>
          </cell>
          <cell r="X384">
            <v>0</v>
          </cell>
          <cell r="Y384">
            <v>0</v>
          </cell>
          <cell r="Z384">
            <v>0</v>
          </cell>
          <cell r="AA384">
            <v>0</v>
          </cell>
          <cell r="AB384">
            <v>0</v>
          </cell>
          <cell r="AC384">
            <v>0</v>
          </cell>
          <cell r="AD384">
            <v>0</v>
          </cell>
          <cell r="AP384">
            <v>0</v>
          </cell>
          <cell r="AQ384">
            <v>0</v>
          </cell>
          <cell r="AR384">
            <v>0</v>
          </cell>
          <cell r="AS384">
            <v>0</v>
          </cell>
          <cell r="BI384">
            <v>0</v>
          </cell>
          <cell r="BJ384">
            <v>0</v>
          </cell>
          <cell r="BK384">
            <v>0</v>
          </cell>
          <cell r="BL384">
            <v>0</v>
          </cell>
          <cell r="BM384">
            <v>0</v>
          </cell>
          <cell r="BN384">
            <v>0</v>
          </cell>
          <cell r="BO384">
            <v>0</v>
          </cell>
          <cell r="BP384">
            <v>0</v>
          </cell>
          <cell r="BQ384">
            <v>0</v>
          </cell>
          <cell r="BR384">
            <v>0</v>
          </cell>
          <cell r="BT384">
            <v>0</v>
          </cell>
          <cell r="CA384" t="str">
            <v>KSCFLI - CONTRACT - Identified - Recompete</v>
          </cell>
          <cell r="CC384" t="str">
            <v>KSCFLI - CONTRACT - Identified - Recompete - MR</v>
          </cell>
          <cell r="CD384" t="str">
            <v/>
          </cell>
          <cell r="CF384" t="str">
            <v>KSCFLI - Identified - Recompete - MR</v>
          </cell>
        </row>
        <row r="385">
          <cell r="D385">
            <v>371</v>
          </cell>
          <cell r="E385">
            <v>0</v>
          </cell>
          <cell r="F385">
            <v>5</v>
          </cell>
          <cell r="G385" t="str">
            <v>KSCFLI</v>
          </cell>
          <cell r="H385" t="str">
            <v>KSC Flight Operations</v>
          </cell>
          <cell r="I385" t="str">
            <v>MR</v>
          </cell>
          <cell r="J385" t="str">
            <v>MR Warfighter Support</v>
          </cell>
          <cell r="K385" t="str">
            <v>Multiple</v>
          </cell>
          <cell r="L385" t="str">
            <v>Other</v>
          </cell>
          <cell r="M385" t="str">
            <v>US_State</v>
          </cell>
          <cell r="N385" t="str">
            <v>CONUS</v>
          </cell>
          <cell r="O385">
            <v>42278</v>
          </cell>
          <cell r="P385">
            <v>44104</v>
          </cell>
          <cell r="Q385" t="str">
            <v>Prime</v>
          </cell>
          <cell r="R385" t="str">
            <v>FFP</v>
          </cell>
          <cell r="S385">
            <v>0</v>
          </cell>
          <cell r="T385">
            <v>1</v>
          </cell>
          <cell r="U385" t="str">
            <v>EBITA</v>
          </cell>
          <cell r="V385" t="str">
            <v>Base</v>
          </cell>
          <cell r="W385" t="str">
            <v>05 Won</v>
          </cell>
          <cell r="X385" t="str">
            <v>Active</v>
          </cell>
          <cell r="Y385">
            <v>1</v>
          </cell>
          <cell r="Z385">
            <v>0</v>
          </cell>
          <cell r="AA385">
            <v>-0.38000000029569492</v>
          </cell>
          <cell r="AB385">
            <v>1267227.94</v>
          </cell>
          <cell r="AC385">
            <v>0</v>
          </cell>
          <cell r="AD385">
            <v>1267227.5599999996</v>
          </cell>
          <cell r="AT385">
            <v>0.13171275849356912</v>
          </cell>
          <cell r="AU385">
            <v>8.5320098582521389E-2</v>
          </cell>
          <cell r="AV385">
            <v>6.5131534697709131E-2</v>
          </cell>
          <cell r="AW385">
            <v>6.1899321118565651E-2</v>
          </cell>
          <cell r="AX385">
            <v>0.12176890897315736</v>
          </cell>
          <cell r="AY385">
            <v>0.12276890897315736</v>
          </cell>
          <cell r="AZ385">
            <v>0.12376890897315736</v>
          </cell>
          <cell r="BA385">
            <v>0.12476890897315736</v>
          </cell>
          <cell r="BF385">
            <v>167562.85999999999</v>
          </cell>
          <cell r="BG385">
            <v>116434.28999999996</v>
          </cell>
          <cell r="BH385">
            <v>81855.649999999994</v>
          </cell>
          <cell r="BI385">
            <v>51917.070000000014</v>
          </cell>
          <cell r="BJ385">
            <v>23532.839999999971</v>
          </cell>
          <cell r="BK385">
            <v>-30603.510000000009</v>
          </cell>
          <cell r="BL385">
            <v>32097.662535211071</v>
          </cell>
          <cell r="BM385">
            <v>76944.062535211051</v>
          </cell>
          <cell r="BN385">
            <v>154308.91740191626</v>
          </cell>
          <cell r="BO385">
            <v>0</v>
          </cell>
          <cell r="BP385">
            <v>0</v>
          </cell>
          <cell r="BQ385">
            <v>0</v>
          </cell>
          <cell r="BR385">
            <v>231252.97993712733</v>
          </cell>
          <cell r="BT385">
            <v>0</v>
          </cell>
          <cell r="CA385" t="str">
            <v>KSCFLI - EBITA - Base</v>
          </cell>
          <cell r="CC385" t="str">
            <v>KSCFLI - EBITA - Base - MR</v>
          </cell>
          <cell r="CD385" t="str">
            <v/>
          </cell>
          <cell r="CF385" t="str">
            <v>KSCFLI - Base - MR</v>
          </cell>
        </row>
        <row r="386">
          <cell r="D386">
            <v>372</v>
          </cell>
          <cell r="E386">
            <v>0</v>
          </cell>
          <cell r="F386">
            <v>0</v>
          </cell>
          <cell r="G386" t="str">
            <v>KSCFLI</v>
          </cell>
          <cell r="H386" t="str">
            <v>KSC Flight Operations</v>
          </cell>
          <cell r="I386" t="str">
            <v>MR</v>
          </cell>
          <cell r="J386" t="str">
            <v>MR Warfighter Support</v>
          </cell>
          <cell r="K386" t="str">
            <v>Multiple</v>
          </cell>
          <cell r="L386" t="str">
            <v>Other</v>
          </cell>
          <cell r="M386" t="str">
            <v>US_State</v>
          </cell>
          <cell r="N386" t="str">
            <v>CONUS</v>
          </cell>
          <cell r="O386">
            <v>0</v>
          </cell>
          <cell r="P386">
            <v>0</v>
          </cell>
          <cell r="Q386">
            <v>0</v>
          </cell>
          <cell r="R386" t="str">
            <v>FFP</v>
          </cell>
          <cell r="S386">
            <v>0</v>
          </cell>
          <cell r="T386">
            <v>1</v>
          </cell>
          <cell r="U386" t="str">
            <v>EBITA</v>
          </cell>
          <cell r="V386" t="str">
            <v>Identified - Recompete</v>
          </cell>
          <cell r="W386">
            <v>0</v>
          </cell>
          <cell r="X386">
            <v>0</v>
          </cell>
          <cell r="Y386">
            <v>0</v>
          </cell>
          <cell r="Z386">
            <v>0</v>
          </cell>
          <cell r="AA386">
            <v>0</v>
          </cell>
          <cell r="AB386">
            <v>0</v>
          </cell>
          <cell r="AC386">
            <v>0</v>
          </cell>
          <cell r="AD386">
            <v>0</v>
          </cell>
          <cell r="AX386">
            <v>0</v>
          </cell>
          <cell r="AY386">
            <v>0</v>
          </cell>
          <cell r="AZ386">
            <v>0</v>
          </cell>
          <cell r="BA386">
            <v>0</v>
          </cell>
          <cell r="BI386">
            <v>0</v>
          </cell>
          <cell r="BJ386">
            <v>0</v>
          </cell>
          <cell r="BK386">
            <v>0</v>
          </cell>
          <cell r="BL386">
            <v>0</v>
          </cell>
          <cell r="BM386">
            <v>0</v>
          </cell>
          <cell r="BN386">
            <v>0</v>
          </cell>
          <cell r="BO386">
            <v>0</v>
          </cell>
          <cell r="BP386">
            <v>0</v>
          </cell>
          <cell r="BQ386">
            <v>0</v>
          </cell>
          <cell r="BR386">
            <v>0</v>
          </cell>
          <cell r="BT386">
            <v>0</v>
          </cell>
          <cell r="CA386" t="str">
            <v>KSCFLI - EBITA - Identified - Recompete</v>
          </cell>
          <cell r="CC386" t="str">
            <v>KSCFLI - EBITA - Identified - Recompete - MR</v>
          </cell>
          <cell r="CD386" t="str">
            <v/>
          </cell>
          <cell r="CF386" t="str">
            <v>KSCFLI - Identified - Recompete - MR</v>
          </cell>
        </row>
        <row r="387">
          <cell r="D387">
            <v>373</v>
          </cell>
          <cell r="E387">
            <v>1</v>
          </cell>
          <cell r="F387">
            <v>1</v>
          </cell>
          <cell r="G387" t="str">
            <v>JBLMXX</v>
          </cell>
          <cell r="H387" t="str">
            <v>EAGLE JBLM</v>
          </cell>
          <cell r="I387" t="str">
            <v>MR</v>
          </cell>
          <cell r="J387" t="str">
            <v>MR Maintenance &amp; Sustainment</v>
          </cell>
          <cell r="K387" t="str">
            <v>Army</v>
          </cell>
          <cell r="L387" t="str">
            <v>DOD</v>
          </cell>
          <cell r="M387" t="str">
            <v>WA</v>
          </cell>
          <cell r="N387" t="str">
            <v>CONUS</v>
          </cell>
          <cell r="O387">
            <v>43320</v>
          </cell>
          <cell r="P387">
            <v>45105</v>
          </cell>
          <cell r="Q387" t="str">
            <v>Sub</v>
          </cell>
          <cell r="R387" t="str">
            <v>T&amp;M</v>
          </cell>
          <cell r="S387">
            <v>0</v>
          </cell>
          <cell r="T387">
            <v>1</v>
          </cell>
          <cell r="U387" t="str">
            <v>REVTOT</v>
          </cell>
          <cell r="V387" t="str">
            <v>Base</v>
          </cell>
          <cell r="W387" t="str">
            <v>05 Won</v>
          </cell>
          <cell r="X387" t="str">
            <v>Active</v>
          </cell>
          <cell r="Y387">
            <v>1</v>
          </cell>
          <cell r="Z387">
            <v>0</v>
          </cell>
          <cell r="AA387">
            <v>1467256.88</v>
          </cell>
          <cell r="AB387">
            <v>5404664</v>
          </cell>
          <cell r="AC387">
            <v>0</v>
          </cell>
          <cell r="AD387">
            <v>6871920.8799999999</v>
          </cell>
          <cell r="AE387">
            <v>0</v>
          </cell>
          <cell r="AF387">
            <v>0</v>
          </cell>
          <cell r="AG387">
            <v>15.876278085744914</v>
          </cell>
          <cell r="AH387">
            <v>0.37128468292069283</v>
          </cell>
          <cell r="AI387">
            <v>0</v>
          </cell>
          <cell r="AJ387">
            <v>0</v>
          </cell>
          <cell r="AK387">
            <v>0</v>
          </cell>
          <cell r="BB387">
            <v>1627222.6</v>
          </cell>
          <cell r="BC387">
            <v>1627222.6</v>
          </cell>
          <cell r="BD387">
            <v>1627222.6</v>
          </cell>
          <cell r="BE387">
            <v>1627222.6</v>
          </cell>
          <cell r="BF387">
            <v>0</v>
          </cell>
          <cell r="BG387">
            <v>0</v>
          </cell>
          <cell r="BH387">
            <v>70314.14</v>
          </cell>
          <cell r="BI387">
            <v>231707.77999999997</v>
          </cell>
          <cell r="BJ387">
            <v>374953.24</v>
          </cell>
          <cell r="BK387">
            <v>398455.95999999996</v>
          </cell>
          <cell r="BL387">
            <v>181524</v>
          </cell>
          <cell r="BM387">
            <v>1186640.98</v>
          </cell>
          <cell r="BN387">
            <v>1627222.6</v>
          </cell>
          <cell r="BO387">
            <v>1627222.6</v>
          </cell>
          <cell r="BP387">
            <v>1627222.6</v>
          </cell>
          <cell r="BQ387">
            <v>1627222.6</v>
          </cell>
          <cell r="BR387">
            <v>7695531.379999999</v>
          </cell>
          <cell r="BT387">
            <v>0</v>
          </cell>
          <cell r="CA387" t="str">
            <v>JBLMXX - REVTOT - Base</v>
          </cell>
          <cell r="CC387" t="str">
            <v>JBLMXX - REVTOT - Base - MR</v>
          </cell>
          <cell r="CD387" t="str">
            <v>JBLMXX - REVTOT - Base - MR</v>
          </cell>
          <cell r="CF387" t="str">
            <v>JBLMXX - Base - MR</v>
          </cell>
        </row>
        <row r="388">
          <cell r="D388">
            <v>374</v>
          </cell>
          <cell r="E388">
            <v>1</v>
          </cell>
          <cell r="F388">
            <v>2</v>
          </cell>
          <cell r="G388" t="str">
            <v>JBLMXX</v>
          </cell>
          <cell r="H388" t="str">
            <v>EAGLE JBLM</v>
          </cell>
          <cell r="I388" t="str">
            <v>MR</v>
          </cell>
          <cell r="J388" t="str">
            <v>MR Maintenance &amp; Sustainment</v>
          </cell>
          <cell r="K388" t="str">
            <v>Army</v>
          </cell>
          <cell r="L388" t="str">
            <v>DOD</v>
          </cell>
          <cell r="M388" t="str">
            <v>WA</v>
          </cell>
          <cell r="N388" t="str">
            <v>CONUS</v>
          </cell>
          <cell r="O388">
            <v>0</v>
          </cell>
          <cell r="P388">
            <v>0</v>
          </cell>
          <cell r="Q388">
            <v>0</v>
          </cell>
          <cell r="R388" t="str">
            <v>T&amp;M</v>
          </cell>
          <cell r="S388">
            <v>0</v>
          </cell>
          <cell r="T388">
            <v>1</v>
          </cell>
          <cell r="U388" t="str">
            <v>REVTOT</v>
          </cell>
          <cell r="V388" t="str">
            <v>Identified - Recompete</v>
          </cell>
          <cell r="W388">
            <v>0</v>
          </cell>
          <cell r="X388">
            <v>0</v>
          </cell>
          <cell r="Y388">
            <v>0</v>
          </cell>
          <cell r="Z388">
            <v>0</v>
          </cell>
          <cell r="AA388">
            <v>0</v>
          </cell>
          <cell r="AB388">
            <v>0</v>
          </cell>
          <cell r="AC388">
            <v>0</v>
          </cell>
          <cell r="AD388">
            <v>0</v>
          </cell>
          <cell r="AI388">
            <v>0</v>
          </cell>
          <cell r="AJ388">
            <v>0</v>
          </cell>
          <cell r="AK388">
            <v>0</v>
          </cell>
          <cell r="BB388">
            <v>0</v>
          </cell>
          <cell r="BC388">
            <v>0</v>
          </cell>
          <cell r="BD388">
            <v>0</v>
          </cell>
          <cell r="BE388">
            <v>0</v>
          </cell>
          <cell r="BI388">
            <v>0</v>
          </cell>
          <cell r="BJ388">
            <v>0</v>
          </cell>
          <cell r="BK388">
            <v>0</v>
          </cell>
          <cell r="BL388">
            <v>0</v>
          </cell>
          <cell r="BM388">
            <v>0</v>
          </cell>
          <cell r="BN388">
            <v>0</v>
          </cell>
          <cell r="BO388">
            <v>0</v>
          </cell>
          <cell r="BP388">
            <v>0</v>
          </cell>
          <cell r="BQ388">
            <v>0</v>
          </cell>
          <cell r="BR388">
            <v>0</v>
          </cell>
          <cell r="BT388">
            <v>0</v>
          </cell>
          <cell r="CA388" t="str">
            <v>JBLMXX - REVTOT - Identified - Recompete</v>
          </cell>
          <cell r="CC388" t="str">
            <v>JBLMXX - REVTOT - Identified - Recompete - MR</v>
          </cell>
          <cell r="CD388" t="str">
            <v/>
          </cell>
          <cell r="CF388" t="str">
            <v>JBLMXX - Identified - Recompete - MR</v>
          </cell>
        </row>
        <row r="389">
          <cell r="D389">
            <v>375</v>
          </cell>
          <cell r="E389">
            <v>2</v>
          </cell>
          <cell r="F389">
            <v>3</v>
          </cell>
          <cell r="G389" t="str">
            <v>JBLMXX</v>
          </cell>
          <cell r="H389" t="str">
            <v>EAGLE JBLM</v>
          </cell>
          <cell r="I389" t="str">
            <v>MR</v>
          </cell>
          <cell r="J389" t="str">
            <v>MR Maintenance &amp; Sustainment</v>
          </cell>
          <cell r="K389" t="str">
            <v>Army</v>
          </cell>
          <cell r="L389" t="str">
            <v>DOD</v>
          </cell>
          <cell r="M389" t="str">
            <v>WA</v>
          </cell>
          <cell r="N389" t="str">
            <v>CONUS</v>
          </cell>
          <cell r="O389">
            <v>43320</v>
          </cell>
          <cell r="P389">
            <v>45105</v>
          </cell>
          <cell r="Q389" t="str">
            <v>Sub</v>
          </cell>
          <cell r="R389" t="str">
            <v>T&amp;M</v>
          </cell>
          <cell r="S389">
            <v>0</v>
          </cell>
          <cell r="T389">
            <v>1</v>
          </cell>
          <cell r="U389" t="str">
            <v>CONTRACT</v>
          </cell>
          <cell r="V389" t="str">
            <v>Base</v>
          </cell>
          <cell r="W389" t="str">
            <v>05 Won</v>
          </cell>
          <cell r="X389" t="str">
            <v>Active</v>
          </cell>
          <cell r="Y389">
            <v>1</v>
          </cell>
          <cell r="Z389">
            <v>0</v>
          </cell>
          <cell r="AA389">
            <v>1467256.88</v>
          </cell>
          <cell r="AB389">
            <v>5404664</v>
          </cell>
          <cell r="AC389">
            <v>0</v>
          </cell>
          <cell r="AD389">
            <v>6871920.8799999999</v>
          </cell>
          <cell r="AL389">
            <v>0</v>
          </cell>
          <cell r="AM389">
            <v>0</v>
          </cell>
          <cell r="AN389">
            <v>8.406616364788079E-2</v>
          </cell>
          <cell r="AO389">
            <v>9.3588340426267749E-2</v>
          </cell>
          <cell r="AP389">
            <v>9.1861033542675705E-2</v>
          </cell>
          <cell r="AQ389">
            <v>9.1861033542675705E-2</v>
          </cell>
          <cell r="AR389">
            <v>9.1861033542675705E-2</v>
          </cell>
          <cell r="AS389">
            <v>9.1861033542675705E-2</v>
          </cell>
          <cell r="BF389">
            <v>0</v>
          </cell>
          <cell r="BG389">
            <v>0</v>
          </cell>
          <cell r="BH389">
            <v>5911.0400000000009</v>
          </cell>
          <cell r="BI389">
            <v>21612.079999999987</v>
          </cell>
          <cell r="BJ389">
            <v>35016.499999999985</v>
          </cell>
          <cell r="BK389">
            <v>37489.180000000008</v>
          </cell>
          <cell r="BL389">
            <v>16938</v>
          </cell>
          <cell r="BM389">
            <v>111055.75999999998</v>
          </cell>
          <cell r="BN389">
            <v>149478.34983999998</v>
          </cell>
          <cell r="BO389">
            <v>149478.34983999998</v>
          </cell>
          <cell r="BP389">
            <v>149478.34983999998</v>
          </cell>
          <cell r="BQ389">
            <v>149478.34983999998</v>
          </cell>
          <cell r="BR389">
            <v>708969.15935999993</v>
          </cell>
          <cell r="BT389">
            <v>0</v>
          </cell>
          <cell r="CA389" t="str">
            <v>JBLMXX - CONTRACT - Base</v>
          </cell>
          <cell r="CC389" t="str">
            <v>JBLMXX - CONTRACT - Base - MR</v>
          </cell>
          <cell r="CD389" t="str">
            <v/>
          </cell>
          <cell r="CF389" t="str">
            <v>JBLMXX - Base - MR</v>
          </cell>
        </row>
        <row r="390">
          <cell r="D390">
            <v>376</v>
          </cell>
          <cell r="E390">
            <v>2</v>
          </cell>
          <cell r="F390">
            <v>4</v>
          </cell>
          <cell r="G390" t="str">
            <v>JBLMXX</v>
          </cell>
          <cell r="H390" t="str">
            <v>EAGLE JBLM</v>
          </cell>
          <cell r="I390" t="str">
            <v>MR</v>
          </cell>
          <cell r="J390" t="str">
            <v>MR Maintenance &amp; Sustainment</v>
          </cell>
          <cell r="K390" t="str">
            <v>Army</v>
          </cell>
          <cell r="L390" t="str">
            <v>DOD</v>
          </cell>
          <cell r="M390" t="str">
            <v>WA</v>
          </cell>
          <cell r="N390" t="str">
            <v>CONUS</v>
          </cell>
          <cell r="O390">
            <v>0</v>
          </cell>
          <cell r="P390">
            <v>0</v>
          </cell>
          <cell r="Q390">
            <v>0</v>
          </cell>
          <cell r="R390" t="str">
            <v>T&amp;M</v>
          </cell>
          <cell r="S390">
            <v>0</v>
          </cell>
          <cell r="T390">
            <v>1</v>
          </cell>
          <cell r="U390" t="str">
            <v>CONTRACT</v>
          </cell>
          <cell r="V390" t="str">
            <v>Identified - Recompete</v>
          </cell>
          <cell r="W390">
            <v>0</v>
          </cell>
          <cell r="X390">
            <v>0</v>
          </cell>
          <cell r="Y390">
            <v>0</v>
          </cell>
          <cell r="Z390">
            <v>0</v>
          </cell>
          <cell r="AA390">
            <v>0</v>
          </cell>
          <cell r="AB390">
            <v>0</v>
          </cell>
          <cell r="AC390">
            <v>0</v>
          </cell>
          <cell r="AD390">
            <v>0</v>
          </cell>
          <cell r="AP390">
            <v>0</v>
          </cell>
          <cell r="AQ390">
            <v>0</v>
          </cell>
          <cell r="AR390">
            <v>0</v>
          </cell>
          <cell r="AS390">
            <v>0</v>
          </cell>
          <cell r="BI390">
            <v>0</v>
          </cell>
          <cell r="BJ390">
            <v>0</v>
          </cell>
          <cell r="BK390">
            <v>0</v>
          </cell>
          <cell r="BL390">
            <v>0</v>
          </cell>
          <cell r="BM390">
            <v>0</v>
          </cell>
          <cell r="BN390">
            <v>0</v>
          </cell>
          <cell r="BO390">
            <v>0</v>
          </cell>
          <cell r="BP390">
            <v>0</v>
          </cell>
          <cell r="BQ390">
            <v>0</v>
          </cell>
          <cell r="BR390">
            <v>0</v>
          </cell>
          <cell r="BT390">
            <v>0</v>
          </cell>
          <cell r="CA390" t="str">
            <v>JBLMXX - CONTRACT - Identified - Recompete</v>
          </cell>
          <cell r="CC390" t="str">
            <v>JBLMXX - CONTRACT - Identified - Recompete - MR</v>
          </cell>
          <cell r="CD390" t="str">
            <v/>
          </cell>
          <cell r="CF390" t="str">
            <v>JBLMXX - Identified - Recompete - MR</v>
          </cell>
        </row>
        <row r="391">
          <cell r="D391">
            <v>377</v>
          </cell>
          <cell r="E391">
            <v>0</v>
          </cell>
          <cell r="F391">
            <v>5</v>
          </cell>
          <cell r="G391" t="str">
            <v>JBLMXX</v>
          </cell>
          <cell r="H391" t="str">
            <v>EAGLE JBLM</v>
          </cell>
          <cell r="I391" t="str">
            <v>MR</v>
          </cell>
          <cell r="J391" t="str">
            <v>MR Maintenance &amp; Sustainment</v>
          </cell>
          <cell r="K391" t="str">
            <v>Army</v>
          </cell>
          <cell r="L391" t="str">
            <v>DOD</v>
          </cell>
          <cell r="M391" t="str">
            <v>WA</v>
          </cell>
          <cell r="N391" t="str">
            <v>CONUS</v>
          </cell>
          <cell r="O391">
            <v>43320</v>
          </cell>
          <cell r="P391">
            <v>45105</v>
          </cell>
          <cell r="Q391" t="str">
            <v>Sub</v>
          </cell>
          <cell r="R391" t="str">
            <v>T&amp;M</v>
          </cell>
          <cell r="S391">
            <v>0</v>
          </cell>
          <cell r="T391">
            <v>1</v>
          </cell>
          <cell r="U391" t="str">
            <v>EBITA</v>
          </cell>
          <cell r="V391" t="str">
            <v>Base</v>
          </cell>
          <cell r="W391" t="str">
            <v>05 Won</v>
          </cell>
          <cell r="X391" t="str">
            <v>Active</v>
          </cell>
          <cell r="Y391">
            <v>1</v>
          </cell>
          <cell r="Z391">
            <v>0</v>
          </cell>
          <cell r="AA391">
            <v>1467256.88</v>
          </cell>
          <cell r="AB391">
            <v>5404664</v>
          </cell>
          <cell r="AC391">
            <v>0</v>
          </cell>
          <cell r="AD391">
            <v>6871920.8799999999</v>
          </cell>
          <cell r="AT391">
            <v>0</v>
          </cell>
          <cell r="AU391">
            <v>0</v>
          </cell>
          <cell r="AV391">
            <v>7.4141559578201699E-3</v>
          </cell>
          <cell r="AW391">
            <v>1.6472800391572506E-2</v>
          </cell>
          <cell r="AX391">
            <v>1.8416103335450896E-2</v>
          </cell>
          <cell r="AY391">
            <v>1.9416103335450893E-2</v>
          </cell>
          <cell r="AZ391">
            <v>2.0416103335450894E-2</v>
          </cell>
          <cell r="BA391">
            <v>2.1416103335450895E-2</v>
          </cell>
          <cell r="BF391">
            <v>0</v>
          </cell>
          <cell r="BG391">
            <v>0</v>
          </cell>
          <cell r="BH391">
            <v>521.32000000000153</v>
          </cell>
          <cell r="BI391">
            <v>3370.9299999999866</v>
          </cell>
          <cell r="BJ391">
            <v>6636.8299999999854</v>
          </cell>
          <cell r="BK391">
            <v>6893.5400000000081</v>
          </cell>
          <cell r="BL391">
            <v>2646</v>
          </cell>
          <cell r="BM391">
            <v>19547.299999999981</v>
          </cell>
          <cell r="BN391">
            <v>29967.099551381081</v>
          </cell>
          <cell r="BO391">
            <v>31594.322151381075</v>
          </cell>
          <cell r="BP391">
            <v>33221.54475138108</v>
          </cell>
          <cell r="BQ391">
            <v>34848.767351381081</v>
          </cell>
          <cell r="BR391">
            <v>149179.03380552429</v>
          </cell>
          <cell r="BT391">
            <v>0</v>
          </cell>
          <cell r="CA391" t="str">
            <v>JBLMXX - EBITA - Base</v>
          </cell>
          <cell r="CC391" t="str">
            <v>JBLMXX - EBITA - Base - MR</v>
          </cell>
          <cell r="CD391" t="str">
            <v/>
          </cell>
          <cell r="CF391" t="str">
            <v>JBLMXX - Base - MR</v>
          </cell>
        </row>
        <row r="392">
          <cell r="D392">
            <v>378</v>
          </cell>
          <cell r="E392">
            <v>0</v>
          </cell>
          <cell r="F392">
            <v>0</v>
          </cell>
          <cell r="G392" t="str">
            <v>JBLMXX</v>
          </cell>
          <cell r="H392" t="str">
            <v>EAGLE JBLM</v>
          </cell>
          <cell r="I392" t="str">
            <v>MR</v>
          </cell>
          <cell r="J392" t="str">
            <v>MR Maintenance &amp; Sustainment</v>
          </cell>
          <cell r="K392" t="str">
            <v>Army</v>
          </cell>
          <cell r="L392" t="str">
            <v>DOD</v>
          </cell>
          <cell r="M392" t="str">
            <v>WA</v>
          </cell>
          <cell r="N392" t="str">
            <v>CONUS</v>
          </cell>
          <cell r="O392">
            <v>0</v>
          </cell>
          <cell r="P392">
            <v>0</v>
          </cell>
          <cell r="Q392">
            <v>0</v>
          </cell>
          <cell r="R392" t="str">
            <v>T&amp;M</v>
          </cell>
          <cell r="S392">
            <v>0</v>
          </cell>
          <cell r="T392">
            <v>1</v>
          </cell>
          <cell r="U392" t="str">
            <v>EBITA</v>
          </cell>
          <cell r="V392" t="str">
            <v>Identified - Recompete</v>
          </cell>
          <cell r="W392">
            <v>0</v>
          </cell>
          <cell r="X392">
            <v>0</v>
          </cell>
          <cell r="Y392">
            <v>0</v>
          </cell>
          <cell r="Z392">
            <v>0</v>
          </cell>
          <cell r="AA392">
            <v>0</v>
          </cell>
          <cell r="AB392">
            <v>0</v>
          </cell>
          <cell r="AC392">
            <v>0</v>
          </cell>
          <cell r="AD392">
            <v>0</v>
          </cell>
          <cell r="AX392">
            <v>0</v>
          </cell>
          <cell r="AY392">
            <v>0</v>
          </cell>
          <cell r="AZ392">
            <v>0</v>
          </cell>
          <cell r="BA392">
            <v>0</v>
          </cell>
          <cell r="BI392">
            <v>0</v>
          </cell>
          <cell r="BJ392">
            <v>0</v>
          </cell>
          <cell r="BK392">
            <v>0</v>
          </cell>
          <cell r="BL392">
            <v>0</v>
          </cell>
          <cell r="BM392">
            <v>0</v>
          </cell>
          <cell r="BN392">
            <v>0</v>
          </cell>
          <cell r="BO392">
            <v>0</v>
          </cell>
          <cell r="BP392">
            <v>0</v>
          </cell>
          <cell r="BQ392">
            <v>0</v>
          </cell>
          <cell r="BR392">
            <v>0</v>
          </cell>
          <cell r="BT392">
            <v>0</v>
          </cell>
          <cell r="CA392" t="str">
            <v>JBLMXX - EBITA - Identified - Recompete</v>
          </cell>
          <cell r="CC392" t="str">
            <v>JBLMXX - EBITA - Identified - Recompete - MR</v>
          </cell>
          <cell r="CD392" t="str">
            <v/>
          </cell>
          <cell r="CF392" t="str">
            <v>JBLMXX - Identified - Recompete - MR</v>
          </cell>
        </row>
        <row r="393">
          <cell r="D393">
            <v>379</v>
          </cell>
          <cell r="E393">
            <v>1</v>
          </cell>
          <cell r="F393">
            <v>1</v>
          </cell>
          <cell r="G393" t="str">
            <v>OTH</v>
          </cell>
          <cell r="H393" t="str">
            <v>OTH</v>
          </cell>
          <cell r="I393" t="str">
            <v>MR</v>
          </cell>
          <cell r="J393" t="str">
            <v>MR NASA</v>
          </cell>
          <cell r="K393" t="str">
            <v>NASA</v>
          </cell>
          <cell r="L393" t="str">
            <v>NASA</v>
          </cell>
          <cell r="M393" t="str">
            <v>FL</v>
          </cell>
          <cell r="N393" t="str">
            <v>CONUS</v>
          </cell>
          <cell r="O393">
            <v>41548</v>
          </cell>
          <cell r="P393">
            <v>43830</v>
          </cell>
          <cell r="Q393" t="str">
            <v>Other</v>
          </cell>
          <cell r="R393" t="str">
            <v>CPAF</v>
          </cell>
          <cell r="S393">
            <v>0</v>
          </cell>
          <cell r="T393">
            <v>1</v>
          </cell>
          <cell r="U393" t="str">
            <v>REVTOT</v>
          </cell>
          <cell r="V393" t="str">
            <v>Base</v>
          </cell>
          <cell r="W393" t="str">
            <v>05 Won</v>
          </cell>
          <cell r="X393" t="str">
            <v>Active</v>
          </cell>
          <cell r="Y393">
            <v>1</v>
          </cell>
          <cell r="Z393">
            <v>0</v>
          </cell>
          <cell r="AA393">
            <v>5194.8199999999779</v>
          </cell>
          <cell r="AB393">
            <v>0</v>
          </cell>
          <cell r="AC393">
            <v>0</v>
          </cell>
          <cell r="AD393">
            <v>5194.8199999999779</v>
          </cell>
          <cell r="AE393">
            <v>-0.2124435471932099</v>
          </cell>
          <cell r="AF393">
            <v>0.70531844916253794</v>
          </cell>
          <cell r="AG393">
            <v>0.37845316313808186</v>
          </cell>
          <cell r="AH393">
            <v>-1</v>
          </cell>
          <cell r="AI393">
            <v>0</v>
          </cell>
          <cell r="AJ393">
            <v>0</v>
          </cell>
          <cell r="AK393">
            <v>0</v>
          </cell>
          <cell r="BB393">
            <v>0</v>
          </cell>
          <cell r="BC393">
            <v>0</v>
          </cell>
          <cell r="BD393">
            <v>0</v>
          </cell>
          <cell r="BE393">
            <v>0</v>
          </cell>
          <cell r="BF393">
            <v>830913.07</v>
          </cell>
          <cell r="BG393">
            <v>654390.95000000007</v>
          </cell>
          <cell r="BH393">
            <v>1115944.96</v>
          </cell>
          <cell r="BI393">
            <v>166170.82</v>
          </cell>
          <cell r="BJ393">
            <v>319447.5</v>
          </cell>
          <cell r="BK393">
            <v>902659.54</v>
          </cell>
          <cell r="BL393">
            <v>150000</v>
          </cell>
          <cell r="BM393">
            <v>1538277.86</v>
          </cell>
          <cell r="BN393">
            <v>0</v>
          </cell>
          <cell r="BO393">
            <v>0</v>
          </cell>
          <cell r="BP393">
            <v>0</v>
          </cell>
          <cell r="BQ393">
            <v>0</v>
          </cell>
          <cell r="BR393">
            <v>1538277.86</v>
          </cell>
          <cell r="BT393">
            <v>0</v>
          </cell>
          <cell r="CA393" t="str">
            <v>OTH - REVTOT - Base</v>
          </cell>
          <cell r="CC393" t="str">
            <v>OTH - REVTOT - Base - MR</v>
          </cell>
          <cell r="CD393" t="str">
            <v>OTH - REVTOT - Base - MR</v>
          </cell>
          <cell r="CF393" t="str">
            <v>OTH - Base - MR</v>
          </cell>
        </row>
        <row r="394">
          <cell r="D394">
            <v>380</v>
          </cell>
          <cell r="E394">
            <v>1</v>
          </cell>
          <cell r="F394">
            <v>2</v>
          </cell>
          <cell r="G394" t="str">
            <v>OTH</v>
          </cell>
          <cell r="H394" t="str">
            <v>OTH</v>
          </cell>
          <cell r="I394" t="str">
            <v>MR</v>
          </cell>
          <cell r="J394" t="str">
            <v>MR NASA</v>
          </cell>
          <cell r="K394" t="str">
            <v>NASA</v>
          </cell>
          <cell r="L394" t="str">
            <v>NASA</v>
          </cell>
          <cell r="M394" t="str">
            <v>FL</v>
          </cell>
          <cell r="N394" t="str">
            <v>CONUS</v>
          </cell>
          <cell r="O394">
            <v>0</v>
          </cell>
          <cell r="P394">
            <v>0</v>
          </cell>
          <cell r="Q394">
            <v>0</v>
          </cell>
          <cell r="R394" t="str">
            <v>CPAF</v>
          </cell>
          <cell r="S394">
            <v>0</v>
          </cell>
          <cell r="T394">
            <v>1</v>
          </cell>
          <cell r="U394" t="str">
            <v>REVTOT</v>
          </cell>
          <cell r="V394" t="str">
            <v>Identified - Recompete</v>
          </cell>
          <cell r="W394">
            <v>0</v>
          </cell>
          <cell r="X394">
            <v>0</v>
          </cell>
          <cell r="Y394">
            <v>0</v>
          </cell>
          <cell r="Z394">
            <v>0</v>
          </cell>
          <cell r="AA394">
            <v>0</v>
          </cell>
          <cell r="AB394">
            <v>0</v>
          </cell>
          <cell r="AC394">
            <v>0</v>
          </cell>
          <cell r="AD394">
            <v>0</v>
          </cell>
          <cell r="AI394">
            <v>0</v>
          </cell>
          <cell r="AJ394">
            <v>0</v>
          </cell>
          <cell r="AK394">
            <v>0</v>
          </cell>
          <cell r="BB394">
            <v>0</v>
          </cell>
          <cell r="BC394">
            <v>0</v>
          </cell>
          <cell r="BD394">
            <v>0</v>
          </cell>
          <cell r="BE394">
            <v>0</v>
          </cell>
          <cell r="BI394">
            <v>0</v>
          </cell>
          <cell r="BJ394">
            <v>0</v>
          </cell>
          <cell r="BK394">
            <v>0</v>
          </cell>
          <cell r="BL394">
            <v>0</v>
          </cell>
          <cell r="BM394">
            <v>0</v>
          </cell>
          <cell r="BN394">
            <v>0</v>
          </cell>
          <cell r="BO394">
            <v>0</v>
          </cell>
          <cell r="BP394">
            <v>0</v>
          </cell>
          <cell r="BQ394">
            <v>0</v>
          </cell>
          <cell r="BR394">
            <v>0</v>
          </cell>
          <cell r="BT394">
            <v>0</v>
          </cell>
          <cell r="CA394" t="str">
            <v>OTH - REVTOT - Identified - Recompete</v>
          </cell>
          <cell r="CC394" t="str">
            <v>OTH - REVTOT - Identified - Recompete - MR</v>
          </cell>
          <cell r="CD394" t="str">
            <v/>
          </cell>
          <cell r="CF394" t="str">
            <v>OTH - Identified - Recompete - MR</v>
          </cell>
        </row>
        <row r="395">
          <cell r="D395">
            <v>381</v>
          </cell>
          <cell r="E395">
            <v>2</v>
          </cell>
          <cell r="F395">
            <v>3</v>
          </cell>
          <cell r="G395" t="str">
            <v>OTH</v>
          </cell>
          <cell r="H395" t="str">
            <v>OTH</v>
          </cell>
          <cell r="I395" t="str">
            <v>MR</v>
          </cell>
          <cell r="J395" t="str">
            <v>MR NASA</v>
          </cell>
          <cell r="K395" t="str">
            <v>NASA</v>
          </cell>
          <cell r="L395" t="str">
            <v>NASA</v>
          </cell>
          <cell r="M395" t="str">
            <v>FL</v>
          </cell>
          <cell r="N395" t="str">
            <v>CONUS</v>
          </cell>
          <cell r="O395">
            <v>41548</v>
          </cell>
          <cell r="P395">
            <v>43830</v>
          </cell>
          <cell r="Q395" t="str">
            <v>Other</v>
          </cell>
          <cell r="R395" t="str">
            <v>CPAF</v>
          </cell>
          <cell r="S395">
            <v>0</v>
          </cell>
          <cell r="T395">
            <v>1</v>
          </cell>
          <cell r="U395" t="str">
            <v>CONTRACT</v>
          </cell>
          <cell r="V395" t="str">
            <v>Base</v>
          </cell>
          <cell r="W395" t="str">
            <v>05 Won</v>
          </cell>
          <cell r="X395" t="str">
            <v>Active</v>
          </cell>
          <cell r="Y395">
            <v>1</v>
          </cell>
          <cell r="Z395">
            <v>0</v>
          </cell>
          <cell r="AA395">
            <v>5194.8199999999779</v>
          </cell>
          <cell r="AB395">
            <v>0</v>
          </cell>
          <cell r="AC395">
            <v>0</v>
          </cell>
          <cell r="AD395">
            <v>5194.8199999999779</v>
          </cell>
          <cell r="AL395">
            <v>0.31018010103030397</v>
          </cell>
          <cell r="AM395">
            <v>0.21672604121435357</v>
          </cell>
          <cell r="AN395">
            <v>0.33116955875673298</v>
          </cell>
          <cell r="AO395">
            <v>0.75090670550247673</v>
          </cell>
          <cell r="AP395">
            <v>0.46484211707635653</v>
          </cell>
          <cell r="AQ395">
            <v>0.46484211707635653</v>
          </cell>
          <cell r="AR395">
            <v>0.46484211707635653</v>
          </cell>
          <cell r="AS395">
            <v>0.46484211707635653</v>
          </cell>
          <cell r="BF395">
            <v>257732.7</v>
          </cell>
          <cell r="BG395">
            <v>141823.56</v>
          </cell>
          <cell r="BH395">
            <v>369567</v>
          </cell>
          <cell r="BI395">
            <v>6340.5800000000017</v>
          </cell>
          <cell r="BJ395">
            <v>187328.58000000005</v>
          </cell>
          <cell r="BK395">
            <v>938934</v>
          </cell>
          <cell r="BL395">
            <v>22500</v>
          </cell>
          <cell r="BM395">
            <v>1155103.1600000001</v>
          </cell>
          <cell r="BN395">
            <v>0</v>
          </cell>
          <cell r="BO395">
            <v>0</v>
          </cell>
          <cell r="BP395">
            <v>0</v>
          </cell>
          <cell r="BQ395">
            <v>0</v>
          </cell>
          <cell r="BR395">
            <v>1155103.1600000001</v>
          </cell>
          <cell r="BT395">
            <v>0</v>
          </cell>
          <cell r="CA395" t="str">
            <v>OTH - CONTRACT - Base</v>
          </cell>
          <cell r="CC395" t="str">
            <v>OTH - CONTRACT - Base - MR</v>
          </cell>
          <cell r="CD395" t="str">
            <v/>
          </cell>
          <cell r="CF395" t="str">
            <v>OTH - Base - MR</v>
          </cell>
        </row>
        <row r="396">
          <cell r="D396">
            <v>382</v>
          </cell>
          <cell r="E396">
            <v>2</v>
          </cell>
          <cell r="F396">
            <v>4</v>
          </cell>
          <cell r="G396" t="str">
            <v>OTH</v>
          </cell>
          <cell r="H396" t="str">
            <v>OTH</v>
          </cell>
          <cell r="I396" t="str">
            <v>MR</v>
          </cell>
          <cell r="J396" t="str">
            <v>MR NASA</v>
          </cell>
          <cell r="K396" t="str">
            <v>NASA</v>
          </cell>
          <cell r="L396" t="str">
            <v>NASA</v>
          </cell>
          <cell r="M396" t="str">
            <v>FL</v>
          </cell>
          <cell r="N396" t="str">
            <v>CONUS</v>
          </cell>
          <cell r="O396">
            <v>0</v>
          </cell>
          <cell r="P396">
            <v>0</v>
          </cell>
          <cell r="Q396">
            <v>0</v>
          </cell>
          <cell r="R396" t="str">
            <v>CPAF</v>
          </cell>
          <cell r="S396">
            <v>0</v>
          </cell>
          <cell r="T396">
            <v>1</v>
          </cell>
          <cell r="U396" t="str">
            <v>CONTRACT</v>
          </cell>
          <cell r="V396" t="str">
            <v>Identified - Recompete</v>
          </cell>
          <cell r="W396">
            <v>0</v>
          </cell>
          <cell r="X396">
            <v>0</v>
          </cell>
          <cell r="Y396">
            <v>0</v>
          </cell>
          <cell r="Z396">
            <v>0</v>
          </cell>
          <cell r="AA396">
            <v>0</v>
          </cell>
          <cell r="AB396">
            <v>0</v>
          </cell>
          <cell r="AC396">
            <v>0</v>
          </cell>
          <cell r="AD396">
            <v>0</v>
          </cell>
          <cell r="AP396">
            <v>0</v>
          </cell>
          <cell r="AQ396">
            <v>0</v>
          </cell>
          <cell r="AR396">
            <v>0</v>
          </cell>
          <cell r="AS396">
            <v>0</v>
          </cell>
          <cell r="BI396">
            <v>0</v>
          </cell>
          <cell r="BJ396">
            <v>0</v>
          </cell>
          <cell r="BK396">
            <v>0</v>
          </cell>
          <cell r="BL396">
            <v>0</v>
          </cell>
          <cell r="BM396">
            <v>0</v>
          </cell>
          <cell r="BN396">
            <v>0</v>
          </cell>
          <cell r="BO396">
            <v>0</v>
          </cell>
          <cell r="BP396">
            <v>0</v>
          </cell>
          <cell r="BQ396">
            <v>0</v>
          </cell>
          <cell r="BR396">
            <v>0</v>
          </cell>
          <cell r="BT396">
            <v>0</v>
          </cell>
          <cell r="CA396" t="str">
            <v>OTH - CONTRACT - Identified - Recompete</v>
          </cell>
          <cell r="CC396" t="str">
            <v>OTH - CONTRACT - Identified - Recompete - MR</v>
          </cell>
          <cell r="CD396" t="str">
            <v/>
          </cell>
          <cell r="CF396" t="str">
            <v>OTH - Identified - Recompete - MR</v>
          </cell>
        </row>
        <row r="397">
          <cell r="D397">
            <v>383</v>
          </cell>
          <cell r="E397">
            <v>0</v>
          </cell>
          <cell r="F397">
            <v>5</v>
          </cell>
          <cell r="G397" t="str">
            <v>OTH</v>
          </cell>
          <cell r="H397" t="str">
            <v>OTH</v>
          </cell>
          <cell r="I397" t="str">
            <v>MR</v>
          </cell>
          <cell r="J397" t="str">
            <v>MR NASA</v>
          </cell>
          <cell r="K397" t="str">
            <v>NASA</v>
          </cell>
          <cell r="L397" t="str">
            <v>NASA</v>
          </cell>
          <cell r="M397" t="str">
            <v>FL</v>
          </cell>
          <cell r="N397" t="str">
            <v>CONUS</v>
          </cell>
          <cell r="O397">
            <v>41548</v>
          </cell>
          <cell r="P397">
            <v>43830</v>
          </cell>
          <cell r="Q397" t="str">
            <v>Other</v>
          </cell>
          <cell r="R397" t="str">
            <v>CPAF</v>
          </cell>
          <cell r="S397">
            <v>0</v>
          </cell>
          <cell r="T397">
            <v>1</v>
          </cell>
          <cell r="U397" t="str">
            <v>EBITA</v>
          </cell>
          <cell r="V397" t="str">
            <v>Base</v>
          </cell>
          <cell r="W397" t="str">
            <v>05 Won</v>
          </cell>
          <cell r="X397" t="str">
            <v>Active</v>
          </cell>
          <cell r="Y397">
            <v>1</v>
          </cell>
          <cell r="Z397">
            <v>0</v>
          </cell>
          <cell r="AA397">
            <v>5194.8199999999779</v>
          </cell>
          <cell r="AB397">
            <v>0</v>
          </cell>
          <cell r="AC397">
            <v>0</v>
          </cell>
          <cell r="AD397">
            <v>5194.8199999999779</v>
          </cell>
          <cell r="AT397">
            <v>8.9287294518065524E-2</v>
          </cell>
          <cell r="AU397">
            <v>-7.3126500297719568E-2</v>
          </cell>
          <cell r="AV397">
            <v>3.4201113287881155E-2</v>
          </cell>
          <cell r="AW397">
            <v>0.21608122865397034</v>
          </cell>
          <cell r="AX397">
            <v>9.5879602993466803E-2</v>
          </cell>
          <cell r="AY397">
            <v>9.5879602993466803E-2</v>
          </cell>
          <cell r="AZ397">
            <v>9.5879602993466803E-2</v>
          </cell>
          <cell r="BA397">
            <v>9.5879602993466803E-2</v>
          </cell>
          <cell r="BF397">
            <v>74189.98</v>
          </cell>
          <cell r="BG397">
            <v>-47853.32</v>
          </cell>
          <cell r="BH397">
            <v>38166.560000000005</v>
          </cell>
          <cell r="BI397">
            <v>-607189.42999999993</v>
          </cell>
          <cell r="BJ397">
            <v>72811.230000000025</v>
          </cell>
          <cell r="BK397">
            <v>854771.17000000016</v>
          </cell>
          <cell r="BL397">
            <v>12000</v>
          </cell>
          <cell r="BM397">
            <v>332392.9700000002</v>
          </cell>
          <cell r="BN397">
            <v>0</v>
          </cell>
          <cell r="BO397">
            <v>0</v>
          </cell>
          <cell r="BP397">
            <v>0</v>
          </cell>
          <cell r="BQ397">
            <v>0</v>
          </cell>
          <cell r="BR397">
            <v>332392.9700000002</v>
          </cell>
          <cell r="BT397">
            <v>0</v>
          </cell>
          <cell r="CA397" t="str">
            <v>OTH - EBITA - Base</v>
          </cell>
          <cell r="CC397" t="str">
            <v>OTH - EBITA - Base - MR</v>
          </cell>
          <cell r="CD397" t="str">
            <v/>
          </cell>
          <cell r="CF397" t="str">
            <v>OTH - Base - MR</v>
          </cell>
        </row>
        <row r="398">
          <cell r="D398">
            <v>384</v>
          </cell>
          <cell r="E398">
            <v>0</v>
          </cell>
          <cell r="F398">
            <v>0</v>
          </cell>
          <cell r="G398" t="str">
            <v>OTH</v>
          </cell>
          <cell r="H398" t="str">
            <v>OTH</v>
          </cell>
          <cell r="I398" t="str">
            <v>MR</v>
          </cell>
          <cell r="J398" t="str">
            <v>MR NASA</v>
          </cell>
          <cell r="K398" t="str">
            <v>NASA</v>
          </cell>
          <cell r="L398" t="str">
            <v>NASA</v>
          </cell>
          <cell r="M398" t="str">
            <v>FL</v>
          </cell>
          <cell r="N398" t="str">
            <v>CONUS</v>
          </cell>
          <cell r="O398">
            <v>0</v>
          </cell>
          <cell r="P398">
            <v>0</v>
          </cell>
          <cell r="Q398">
            <v>0</v>
          </cell>
          <cell r="R398" t="str">
            <v>CPAF</v>
          </cell>
          <cell r="S398">
            <v>0</v>
          </cell>
          <cell r="T398">
            <v>1</v>
          </cell>
          <cell r="U398" t="str">
            <v>EBITA</v>
          </cell>
          <cell r="V398" t="str">
            <v>Identified - Recompete</v>
          </cell>
          <cell r="W398">
            <v>0</v>
          </cell>
          <cell r="X398">
            <v>0</v>
          </cell>
          <cell r="Y398">
            <v>0</v>
          </cell>
          <cell r="Z398">
            <v>0</v>
          </cell>
          <cell r="AA398">
            <v>0</v>
          </cell>
          <cell r="AB398">
            <v>0</v>
          </cell>
          <cell r="AC398">
            <v>0</v>
          </cell>
          <cell r="AD398">
            <v>0</v>
          </cell>
          <cell r="AX398">
            <v>0</v>
          </cell>
          <cell r="AY398">
            <v>0</v>
          </cell>
          <cell r="AZ398">
            <v>0</v>
          </cell>
          <cell r="BA398">
            <v>0</v>
          </cell>
          <cell r="BI398">
            <v>0</v>
          </cell>
          <cell r="BJ398">
            <v>0</v>
          </cell>
          <cell r="BK398">
            <v>0</v>
          </cell>
          <cell r="BL398">
            <v>0</v>
          </cell>
          <cell r="BM398">
            <v>0</v>
          </cell>
          <cell r="BN398">
            <v>0</v>
          </cell>
          <cell r="BO398">
            <v>0</v>
          </cell>
          <cell r="BP398">
            <v>0</v>
          </cell>
          <cell r="BQ398">
            <v>0</v>
          </cell>
          <cell r="BR398">
            <v>0</v>
          </cell>
          <cell r="BT398">
            <v>0</v>
          </cell>
          <cell r="CA398" t="str">
            <v>OTH - EBITA - Identified - Recompete</v>
          </cell>
          <cell r="CC398" t="str">
            <v>OTH - EBITA - Identified - Recompete - MR</v>
          </cell>
          <cell r="CD398" t="str">
            <v/>
          </cell>
          <cell r="CF398" t="str">
            <v>OTH - Identified - Recompete - MR</v>
          </cell>
        </row>
        <row r="399">
          <cell r="D399">
            <v>385</v>
          </cell>
          <cell r="E399">
            <v>1</v>
          </cell>
          <cell r="F399">
            <v>1</v>
          </cell>
          <cell r="G399" t="str">
            <v>RS3CFT</v>
          </cell>
          <cell r="H399" t="str">
            <v>CFT Support at TYAD</v>
          </cell>
          <cell r="I399" t="str">
            <v>MR</v>
          </cell>
          <cell r="J399" t="str">
            <v>MR Maintenance &amp; Sustainment</v>
          </cell>
          <cell r="K399" t="str">
            <v>Army</v>
          </cell>
          <cell r="L399" t="str">
            <v>DOD</v>
          </cell>
          <cell r="M399" t="str">
            <v>PA</v>
          </cell>
          <cell r="N399" t="str">
            <v>CONUS</v>
          </cell>
          <cell r="O399">
            <v>43497</v>
          </cell>
          <cell r="P399">
            <v>43862</v>
          </cell>
          <cell r="Q399" t="str">
            <v>Prime</v>
          </cell>
          <cell r="R399" t="str">
            <v>CPFF</v>
          </cell>
          <cell r="S399">
            <v>0</v>
          </cell>
          <cell r="T399">
            <v>1</v>
          </cell>
          <cell r="U399" t="str">
            <v>REVTOT</v>
          </cell>
          <cell r="V399" t="str">
            <v>Base</v>
          </cell>
          <cell r="W399" t="str">
            <v>05 Won</v>
          </cell>
          <cell r="X399" t="str">
            <v>Active</v>
          </cell>
          <cell r="Y399">
            <v>1</v>
          </cell>
          <cell r="Z399">
            <v>0</v>
          </cell>
          <cell r="AA399">
            <v>1864897.7899999996</v>
          </cell>
          <cell r="AB399">
            <v>2533526</v>
          </cell>
          <cell r="AC399">
            <v>0</v>
          </cell>
          <cell r="AD399">
            <v>4398423.7899999991</v>
          </cell>
          <cell r="AE399">
            <v>0</v>
          </cell>
          <cell r="AF399">
            <v>0</v>
          </cell>
          <cell r="AG399">
            <v>0</v>
          </cell>
          <cell r="AH399">
            <v>1.3123517112267704</v>
          </cell>
          <cell r="AI399">
            <v>0</v>
          </cell>
          <cell r="AJ399">
            <v>0</v>
          </cell>
          <cell r="AK399">
            <v>0</v>
          </cell>
          <cell r="BB399">
            <v>1797282.7902000002</v>
          </cell>
          <cell r="BC399">
            <v>1797282.7902000002</v>
          </cell>
          <cell r="BD399">
            <v>1797282.7902000002</v>
          </cell>
          <cell r="BE399">
            <v>1797282.7902000002</v>
          </cell>
          <cell r="BF399">
            <v>0</v>
          </cell>
          <cell r="BG399">
            <v>0</v>
          </cell>
          <cell r="BH399">
            <v>0</v>
          </cell>
          <cell r="BI399">
            <v>0</v>
          </cell>
          <cell r="BJ399">
            <v>0</v>
          </cell>
          <cell r="BK399">
            <v>354753.20999999996</v>
          </cell>
          <cell r="BL399">
            <v>422500</v>
          </cell>
          <cell r="BM399">
            <v>777253.21</v>
          </cell>
          <cell r="BN399">
            <v>1797282.7902000002</v>
          </cell>
          <cell r="BO399">
            <v>1797282.7902000002</v>
          </cell>
          <cell r="BP399">
            <v>803858.20959999878</v>
          </cell>
          <cell r="BQ399">
            <v>0</v>
          </cell>
          <cell r="BR399">
            <v>5175676.9999999991</v>
          </cell>
          <cell r="BT399">
            <v>0</v>
          </cell>
          <cell r="CA399" t="str">
            <v>RS3CFT - REVTOT - Base</v>
          </cell>
          <cell r="CC399" t="str">
            <v>RS3CFT - REVTOT - Base - MR</v>
          </cell>
          <cell r="CD399" t="str">
            <v>RS3CFT - REVTOT - Base - MR</v>
          </cell>
          <cell r="CF399" t="str">
            <v>RS3CFT - Base - MR</v>
          </cell>
        </row>
        <row r="400">
          <cell r="D400">
            <v>386</v>
          </cell>
          <cell r="E400">
            <v>1</v>
          </cell>
          <cell r="F400">
            <v>2</v>
          </cell>
          <cell r="G400" t="str">
            <v>RS3CFT</v>
          </cell>
          <cell r="H400" t="str">
            <v>CFT Support at TYAD</v>
          </cell>
          <cell r="I400" t="str">
            <v>MR</v>
          </cell>
          <cell r="J400" t="str">
            <v>MR Maintenance &amp; Sustainment</v>
          </cell>
          <cell r="K400" t="str">
            <v>Army</v>
          </cell>
          <cell r="L400" t="str">
            <v>DOD</v>
          </cell>
          <cell r="M400" t="str">
            <v>PA</v>
          </cell>
          <cell r="N400" t="str">
            <v>CONUS</v>
          </cell>
          <cell r="O400">
            <v>0</v>
          </cell>
          <cell r="P400">
            <v>0</v>
          </cell>
          <cell r="Q400">
            <v>0</v>
          </cell>
          <cell r="R400" t="str">
            <v>CPFF</v>
          </cell>
          <cell r="S400">
            <v>0</v>
          </cell>
          <cell r="T400">
            <v>1</v>
          </cell>
          <cell r="U400" t="str">
            <v>REVTOT</v>
          </cell>
          <cell r="V400" t="str">
            <v>Identified - Recompete</v>
          </cell>
          <cell r="W400">
            <v>0</v>
          </cell>
          <cell r="X400">
            <v>0</v>
          </cell>
          <cell r="Y400">
            <v>0</v>
          </cell>
          <cell r="Z400">
            <v>0</v>
          </cell>
          <cell r="AA400">
            <v>0</v>
          </cell>
          <cell r="AB400">
            <v>0</v>
          </cell>
          <cell r="AC400">
            <v>0</v>
          </cell>
          <cell r="AD400">
            <v>0</v>
          </cell>
          <cell r="AI400">
            <v>0</v>
          </cell>
          <cell r="AJ400">
            <v>0</v>
          </cell>
          <cell r="AK400">
            <v>0</v>
          </cell>
          <cell r="BB400">
            <v>0</v>
          </cell>
          <cell r="BC400">
            <v>0</v>
          </cell>
          <cell r="BD400">
            <v>0</v>
          </cell>
          <cell r="BE400">
            <v>0</v>
          </cell>
          <cell r="BI400">
            <v>0</v>
          </cell>
          <cell r="BJ400">
            <v>0</v>
          </cell>
          <cell r="BK400">
            <v>0</v>
          </cell>
          <cell r="BL400">
            <v>0</v>
          </cell>
          <cell r="BM400">
            <v>0</v>
          </cell>
          <cell r="BN400">
            <v>0</v>
          </cell>
          <cell r="BO400">
            <v>0</v>
          </cell>
          <cell r="BP400">
            <v>0</v>
          </cell>
          <cell r="BQ400">
            <v>0</v>
          </cell>
          <cell r="BR400">
            <v>0</v>
          </cell>
          <cell r="BT400">
            <v>0</v>
          </cell>
          <cell r="CA400" t="str">
            <v>RS3CFT - REVTOT - Identified - Recompete</v>
          </cell>
          <cell r="CC400" t="str">
            <v>RS3CFT - REVTOT - Identified - Recompete - MR</v>
          </cell>
          <cell r="CD400" t="str">
            <v/>
          </cell>
          <cell r="CF400" t="str">
            <v>RS3CFT - Identified - Recompete - MR</v>
          </cell>
        </row>
        <row r="401">
          <cell r="D401">
            <v>387</v>
          </cell>
          <cell r="E401">
            <v>2</v>
          </cell>
          <cell r="F401">
            <v>3</v>
          </cell>
          <cell r="G401" t="str">
            <v>RS3CFT</v>
          </cell>
          <cell r="H401" t="str">
            <v>CFT Support at TYAD</v>
          </cell>
          <cell r="I401" t="str">
            <v>MR</v>
          </cell>
          <cell r="J401" t="str">
            <v>MR Maintenance &amp; Sustainment</v>
          </cell>
          <cell r="K401" t="str">
            <v>Army</v>
          </cell>
          <cell r="L401" t="str">
            <v>DOD</v>
          </cell>
          <cell r="M401" t="str">
            <v>PA</v>
          </cell>
          <cell r="N401" t="str">
            <v>CONUS</v>
          </cell>
          <cell r="O401">
            <v>43497</v>
          </cell>
          <cell r="P401">
            <v>43862</v>
          </cell>
          <cell r="Q401" t="str">
            <v>Prime</v>
          </cell>
          <cell r="R401" t="str">
            <v>CPFF</v>
          </cell>
          <cell r="S401">
            <v>0</v>
          </cell>
          <cell r="T401">
            <v>1</v>
          </cell>
          <cell r="U401" t="str">
            <v>CONTRACT</v>
          </cell>
          <cell r="V401" t="str">
            <v>Base</v>
          </cell>
          <cell r="W401" t="str">
            <v>05 Won</v>
          </cell>
          <cell r="X401" t="str">
            <v>Active</v>
          </cell>
          <cell r="Y401">
            <v>1</v>
          </cell>
          <cell r="Z401">
            <v>0</v>
          </cell>
          <cell r="AA401">
            <v>1864897.7899999996</v>
          </cell>
          <cell r="AB401">
            <v>2533526</v>
          </cell>
          <cell r="AC401">
            <v>0</v>
          </cell>
          <cell r="AD401">
            <v>4398423.7899999991</v>
          </cell>
          <cell r="AL401">
            <v>0</v>
          </cell>
          <cell r="AM401">
            <v>0</v>
          </cell>
          <cell r="AN401">
            <v>0</v>
          </cell>
          <cell r="AO401">
            <v>8.7184445336674812E-2</v>
          </cell>
          <cell r="AP401">
            <v>9.7992635037918233E-2</v>
          </cell>
          <cell r="AQ401">
            <v>9.7992635037918233E-2</v>
          </cell>
          <cell r="AR401">
            <v>9.7992635037918233E-2</v>
          </cell>
          <cell r="AS401">
            <v>9.7992635037918233E-2</v>
          </cell>
          <cell r="BF401">
            <v>0</v>
          </cell>
          <cell r="BG401">
            <v>0</v>
          </cell>
          <cell r="BH401">
            <v>0</v>
          </cell>
          <cell r="BI401">
            <v>0</v>
          </cell>
          <cell r="BJ401">
            <v>0</v>
          </cell>
          <cell r="BK401">
            <v>34289.390000000029</v>
          </cell>
          <cell r="BL401">
            <v>33475</v>
          </cell>
          <cell r="BM401">
            <v>67764.390000000029</v>
          </cell>
          <cell r="BN401">
            <v>176120.47651999997</v>
          </cell>
          <cell r="BO401">
            <v>176120.47651999997</v>
          </cell>
          <cell r="BP401">
            <v>78772.184155567054</v>
          </cell>
          <cell r="BQ401">
            <v>0</v>
          </cell>
          <cell r="BR401">
            <v>498777.52719556703</v>
          </cell>
          <cell r="BT401">
            <v>0</v>
          </cell>
          <cell r="CA401" t="str">
            <v>RS3CFT - CONTRACT - Base</v>
          </cell>
          <cell r="CC401" t="str">
            <v>RS3CFT - CONTRACT - Base - MR</v>
          </cell>
          <cell r="CD401" t="str">
            <v/>
          </cell>
          <cell r="CF401" t="str">
            <v>RS3CFT - Base - MR</v>
          </cell>
        </row>
        <row r="402">
          <cell r="D402">
            <v>388</v>
          </cell>
          <cell r="E402">
            <v>2</v>
          </cell>
          <cell r="F402">
            <v>4</v>
          </cell>
          <cell r="G402" t="str">
            <v>RS3CFT</v>
          </cell>
          <cell r="H402" t="str">
            <v>CFT Support at TYAD</v>
          </cell>
          <cell r="I402" t="str">
            <v>MR</v>
          </cell>
          <cell r="J402" t="str">
            <v>MR Maintenance &amp; Sustainment</v>
          </cell>
          <cell r="K402" t="str">
            <v>Army</v>
          </cell>
          <cell r="L402" t="str">
            <v>DOD</v>
          </cell>
          <cell r="M402" t="str">
            <v>PA</v>
          </cell>
          <cell r="N402" t="str">
            <v>CONUS</v>
          </cell>
          <cell r="O402">
            <v>0</v>
          </cell>
          <cell r="P402">
            <v>0</v>
          </cell>
          <cell r="Q402">
            <v>0</v>
          </cell>
          <cell r="R402" t="str">
            <v>CPFF</v>
          </cell>
          <cell r="S402">
            <v>0</v>
          </cell>
          <cell r="T402">
            <v>1</v>
          </cell>
          <cell r="U402" t="str">
            <v>CONTRACT</v>
          </cell>
          <cell r="V402" t="str">
            <v>Identified - Recompete</v>
          </cell>
          <cell r="W402">
            <v>0</v>
          </cell>
          <cell r="X402">
            <v>0</v>
          </cell>
          <cell r="Y402">
            <v>0</v>
          </cell>
          <cell r="Z402">
            <v>0</v>
          </cell>
          <cell r="AA402">
            <v>0</v>
          </cell>
          <cell r="AB402">
            <v>0</v>
          </cell>
          <cell r="AC402">
            <v>0</v>
          </cell>
          <cell r="AD402">
            <v>0</v>
          </cell>
          <cell r="AP402">
            <v>0</v>
          </cell>
          <cell r="AQ402">
            <v>0</v>
          </cell>
          <cell r="AR402">
            <v>0</v>
          </cell>
          <cell r="AS402">
            <v>0</v>
          </cell>
          <cell r="BI402">
            <v>0</v>
          </cell>
          <cell r="BJ402">
            <v>0</v>
          </cell>
          <cell r="BK402">
            <v>0</v>
          </cell>
          <cell r="BL402">
            <v>0</v>
          </cell>
          <cell r="BM402">
            <v>0</v>
          </cell>
          <cell r="BN402">
            <v>0</v>
          </cell>
          <cell r="BO402">
            <v>0</v>
          </cell>
          <cell r="BP402">
            <v>0</v>
          </cell>
          <cell r="BQ402">
            <v>0</v>
          </cell>
          <cell r="BR402">
            <v>0</v>
          </cell>
          <cell r="BT402">
            <v>0</v>
          </cell>
          <cell r="CA402" t="str">
            <v>RS3CFT - CONTRACT - Identified - Recompete</v>
          </cell>
          <cell r="CC402" t="str">
            <v>RS3CFT - CONTRACT - Identified - Recompete - MR</v>
          </cell>
          <cell r="CD402" t="str">
            <v/>
          </cell>
          <cell r="CF402" t="str">
            <v>RS3CFT - Identified - Recompete - MR</v>
          </cell>
        </row>
        <row r="403">
          <cell r="D403">
            <v>389</v>
          </cell>
          <cell r="E403">
            <v>0</v>
          </cell>
          <cell r="F403">
            <v>5</v>
          </cell>
          <cell r="G403" t="str">
            <v>RS3CFT</v>
          </cell>
          <cell r="H403" t="str">
            <v>CFT Support at TYAD</v>
          </cell>
          <cell r="I403" t="str">
            <v>MR</v>
          </cell>
          <cell r="J403" t="str">
            <v>MR Maintenance &amp; Sustainment</v>
          </cell>
          <cell r="K403" t="str">
            <v>Army</v>
          </cell>
          <cell r="L403" t="str">
            <v>DOD</v>
          </cell>
          <cell r="M403" t="str">
            <v>PA</v>
          </cell>
          <cell r="N403" t="str">
            <v>CONUS</v>
          </cell>
          <cell r="O403">
            <v>43497</v>
          </cell>
          <cell r="P403">
            <v>43862</v>
          </cell>
          <cell r="Q403" t="str">
            <v>Prime</v>
          </cell>
          <cell r="R403" t="str">
            <v>CPFF</v>
          </cell>
          <cell r="S403">
            <v>0</v>
          </cell>
          <cell r="T403">
            <v>1</v>
          </cell>
          <cell r="U403" t="str">
            <v>EBITA</v>
          </cell>
          <cell r="V403" t="str">
            <v>Base</v>
          </cell>
          <cell r="W403" t="str">
            <v>05 Won</v>
          </cell>
          <cell r="X403" t="str">
            <v>Active</v>
          </cell>
          <cell r="Y403">
            <v>1</v>
          </cell>
          <cell r="Z403">
            <v>0</v>
          </cell>
          <cell r="AA403">
            <v>1864897.7899999996</v>
          </cell>
          <cell r="AB403">
            <v>2533526</v>
          </cell>
          <cell r="AC403">
            <v>0</v>
          </cell>
          <cell r="AD403">
            <v>4398423.7899999991</v>
          </cell>
          <cell r="AT403">
            <v>0</v>
          </cell>
          <cell r="AU403">
            <v>0</v>
          </cell>
          <cell r="AV403">
            <v>0</v>
          </cell>
          <cell r="AW403">
            <v>9.6645339039513629E-3</v>
          </cell>
          <cell r="AX403">
            <v>2.4050344473117904E-2</v>
          </cell>
          <cell r="AY403">
            <v>2.4050344473117904E-2</v>
          </cell>
          <cell r="AZ403">
            <v>2.4050344473117904E-2</v>
          </cell>
          <cell r="BA403">
            <v>2.4050344473117904E-2</v>
          </cell>
          <cell r="BF403">
            <v>0</v>
          </cell>
          <cell r="BG403">
            <v>0</v>
          </cell>
          <cell r="BH403">
            <v>0</v>
          </cell>
          <cell r="BI403">
            <v>0</v>
          </cell>
          <cell r="BJ403">
            <v>0</v>
          </cell>
          <cell r="BK403">
            <v>7126.7900000000282</v>
          </cell>
          <cell r="BL403">
            <v>385</v>
          </cell>
          <cell r="BM403">
            <v>7511.7900000000282</v>
          </cell>
          <cell r="BN403">
            <v>43225.2702199165</v>
          </cell>
          <cell r="BO403">
            <v>43225.2702199165</v>
          </cell>
          <cell r="BP403">
            <v>19333.066848423783</v>
          </cell>
          <cell r="BQ403">
            <v>0</v>
          </cell>
          <cell r="BR403">
            <v>113295.39728825681</v>
          </cell>
          <cell r="BT403">
            <v>0</v>
          </cell>
          <cell r="CA403" t="str">
            <v>RS3CFT - EBITA - Base</v>
          </cell>
          <cell r="CC403" t="str">
            <v>RS3CFT - EBITA - Base - MR</v>
          </cell>
          <cell r="CD403" t="str">
            <v/>
          </cell>
          <cell r="CF403" t="str">
            <v>RS3CFT - Base - MR</v>
          </cell>
        </row>
        <row r="404">
          <cell r="D404">
            <v>390</v>
          </cell>
          <cell r="E404">
            <v>0</v>
          </cell>
          <cell r="F404">
            <v>0</v>
          </cell>
          <cell r="G404" t="str">
            <v>RS3CFT</v>
          </cell>
          <cell r="H404" t="str">
            <v>CFT Support at TYAD</v>
          </cell>
          <cell r="I404" t="str">
            <v>MR</v>
          </cell>
          <cell r="J404" t="str">
            <v>MR Maintenance &amp; Sustainment</v>
          </cell>
          <cell r="K404" t="str">
            <v>Army</v>
          </cell>
          <cell r="L404" t="str">
            <v>DOD</v>
          </cell>
          <cell r="M404" t="str">
            <v>PA</v>
          </cell>
          <cell r="N404" t="str">
            <v>CONUS</v>
          </cell>
          <cell r="O404">
            <v>0</v>
          </cell>
          <cell r="P404">
            <v>0</v>
          </cell>
          <cell r="Q404">
            <v>0</v>
          </cell>
          <cell r="R404" t="str">
            <v>CPFF</v>
          </cell>
          <cell r="S404">
            <v>0</v>
          </cell>
          <cell r="T404">
            <v>1</v>
          </cell>
          <cell r="U404" t="str">
            <v>EBITA</v>
          </cell>
          <cell r="V404" t="str">
            <v>Identified - Recompete</v>
          </cell>
          <cell r="W404">
            <v>0</v>
          </cell>
          <cell r="X404">
            <v>0</v>
          </cell>
          <cell r="Y404">
            <v>0</v>
          </cell>
          <cell r="Z404">
            <v>0</v>
          </cell>
          <cell r="AA404">
            <v>0</v>
          </cell>
          <cell r="AB404">
            <v>0</v>
          </cell>
          <cell r="AC404">
            <v>0</v>
          </cell>
          <cell r="AD404">
            <v>0</v>
          </cell>
          <cell r="AX404">
            <v>0</v>
          </cell>
          <cell r="AY404">
            <v>0</v>
          </cell>
          <cell r="AZ404">
            <v>0</v>
          </cell>
          <cell r="BA404">
            <v>0</v>
          </cell>
          <cell r="BI404">
            <v>0</v>
          </cell>
          <cell r="BJ404">
            <v>0</v>
          </cell>
          <cell r="BK404">
            <v>0</v>
          </cell>
          <cell r="BL404">
            <v>0</v>
          </cell>
          <cell r="BM404">
            <v>0</v>
          </cell>
          <cell r="BN404">
            <v>0</v>
          </cell>
          <cell r="BO404">
            <v>0</v>
          </cell>
          <cell r="BP404">
            <v>0</v>
          </cell>
          <cell r="BQ404">
            <v>0</v>
          </cell>
          <cell r="BR404">
            <v>0</v>
          </cell>
          <cell r="BT404">
            <v>0</v>
          </cell>
          <cell r="CA404" t="str">
            <v>RS3CFT - EBITA - Identified - Recompete</v>
          </cell>
          <cell r="CC404" t="str">
            <v>RS3CFT - EBITA - Identified - Recompete - MR</v>
          </cell>
          <cell r="CD404" t="str">
            <v/>
          </cell>
          <cell r="CF404" t="str">
            <v>RS3CFT - Identified - Recompete - MR</v>
          </cell>
        </row>
        <row r="405">
          <cell r="D405">
            <v>391</v>
          </cell>
          <cell r="E405">
            <v>1</v>
          </cell>
          <cell r="F405">
            <v>1</v>
          </cell>
          <cell r="G405" t="str">
            <v>ELZCTY</v>
          </cell>
          <cell r="H405" t="str">
            <v>Elizabeth City</v>
          </cell>
          <cell r="I405" t="str">
            <v>MR</v>
          </cell>
          <cell r="J405" t="str">
            <v>MR Maintenance &amp; Sustainment</v>
          </cell>
          <cell r="K405" t="str">
            <v>Coast Guard</v>
          </cell>
          <cell r="L405" t="str">
            <v>DOD</v>
          </cell>
          <cell r="M405" t="str">
            <v>NC</v>
          </cell>
          <cell r="N405" t="str">
            <v>CONUS</v>
          </cell>
          <cell r="O405">
            <v>42540</v>
          </cell>
          <cell r="P405">
            <v>43634</v>
          </cell>
          <cell r="Q405" t="str">
            <v>Prime</v>
          </cell>
          <cell r="R405" t="str">
            <v>T&amp;M</v>
          </cell>
          <cell r="S405">
            <v>0</v>
          </cell>
          <cell r="T405">
            <v>1</v>
          </cell>
          <cell r="U405" t="str">
            <v>REVTOT</v>
          </cell>
          <cell r="V405" t="str">
            <v>Base</v>
          </cell>
          <cell r="W405" t="str">
            <v>05 Won</v>
          </cell>
          <cell r="X405" t="str">
            <v>Active</v>
          </cell>
          <cell r="Y405">
            <v>1</v>
          </cell>
          <cell r="Z405">
            <v>0</v>
          </cell>
          <cell r="AA405">
            <v>1399079.8499999819</v>
          </cell>
          <cell r="AB405">
            <v>0</v>
          </cell>
          <cell r="AC405">
            <v>0</v>
          </cell>
          <cell r="AD405">
            <v>1399079.8499999819</v>
          </cell>
          <cell r="AE405">
            <v>2.2324889456352883</v>
          </cell>
          <cell r="AF405">
            <v>0.13353711590799144</v>
          </cell>
          <cell r="AG405">
            <v>-0.17190480693559118</v>
          </cell>
          <cell r="AH405">
            <v>-1</v>
          </cell>
          <cell r="AI405">
            <v>0</v>
          </cell>
          <cell r="AJ405">
            <v>0</v>
          </cell>
          <cell r="AK405">
            <v>0</v>
          </cell>
          <cell r="BB405">
            <v>0</v>
          </cell>
          <cell r="BC405">
            <v>0</v>
          </cell>
          <cell r="BD405">
            <v>0</v>
          </cell>
          <cell r="BE405">
            <v>0</v>
          </cell>
          <cell r="BF405">
            <v>907765.87</v>
          </cell>
          <cell r="BG405">
            <v>2934343.14</v>
          </cell>
          <cell r="BH405">
            <v>3326186.86</v>
          </cell>
          <cell r="BI405">
            <v>634427.31000000006</v>
          </cell>
          <cell r="BJ405">
            <v>709776.14999999991</v>
          </cell>
          <cell r="BK405">
            <v>644115.8899999999</v>
          </cell>
          <cell r="BL405">
            <v>766080</v>
          </cell>
          <cell r="BM405">
            <v>2754399.3499999996</v>
          </cell>
          <cell r="BN405">
            <v>0</v>
          </cell>
          <cell r="BO405">
            <v>0</v>
          </cell>
          <cell r="BP405">
            <v>0</v>
          </cell>
          <cell r="BQ405">
            <v>0</v>
          </cell>
          <cell r="BR405">
            <v>2754399.3499999996</v>
          </cell>
          <cell r="BT405">
            <v>0</v>
          </cell>
          <cell r="CA405" t="str">
            <v>ELZCTY - REVTOT - Base</v>
          </cell>
          <cell r="CC405" t="str">
            <v>ELZCTY - REVTOT - Base - MR</v>
          </cell>
          <cell r="CD405" t="str">
            <v>ELZCTY - REVTOT - Base - MR</v>
          </cell>
          <cell r="CF405" t="str">
            <v>ELZCTY - Base - MR</v>
          </cell>
        </row>
        <row r="406">
          <cell r="D406">
            <v>392</v>
          </cell>
          <cell r="E406">
            <v>1</v>
          </cell>
          <cell r="F406">
            <v>2</v>
          </cell>
          <cell r="G406" t="str">
            <v>ELZCTY</v>
          </cell>
          <cell r="H406" t="str">
            <v>Elizabeth City</v>
          </cell>
          <cell r="I406" t="str">
            <v>MR</v>
          </cell>
          <cell r="J406" t="str">
            <v>MR Maintenance &amp; Sustainment</v>
          </cell>
          <cell r="K406" t="str">
            <v>Coast Guard</v>
          </cell>
          <cell r="L406" t="str">
            <v>DOD</v>
          </cell>
          <cell r="M406" t="str">
            <v>NC</v>
          </cell>
          <cell r="N406" t="str">
            <v>CONUS</v>
          </cell>
          <cell r="O406">
            <v>0</v>
          </cell>
          <cell r="P406">
            <v>0</v>
          </cell>
          <cell r="Q406">
            <v>0</v>
          </cell>
          <cell r="R406" t="str">
            <v>T&amp;M</v>
          </cell>
          <cell r="S406">
            <v>0</v>
          </cell>
          <cell r="T406">
            <v>1</v>
          </cell>
          <cell r="U406" t="str">
            <v>REVTOT</v>
          </cell>
          <cell r="V406" t="str">
            <v>Identified - Recompete</v>
          </cell>
          <cell r="W406">
            <v>0</v>
          </cell>
          <cell r="X406">
            <v>0</v>
          </cell>
          <cell r="Y406">
            <v>0</v>
          </cell>
          <cell r="Z406">
            <v>0</v>
          </cell>
          <cell r="AA406">
            <v>0</v>
          </cell>
          <cell r="AB406">
            <v>0</v>
          </cell>
          <cell r="AC406">
            <v>0</v>
          </cell>
          <cell r="AD406">
            <v>0</v>
          </cell>
          <cell r="AI406">
            <v>0</v>
          </cell>
          <cell r="AJ406">
            <v>0</v>
          </cell>
          <cell r="AK406">
            <v>0</v>
          </cell>
          <cell r="BB406">
            <v>0</v>
          </cell>
          <cell r="BC406">
            <v>0</v>
          </cell>
          <cell r="BD406">
            <v>0</v>
          </cell>
          <cell r="BE406">
            <v>0</v>
          </cell>
          <cell r="BI406">
            <v>0</v>
          </cell>
          <cell r="BJ406">
            <v>0</v>
          </cell>
          <cell r="BK406">
            <v>0</v>
          </cell>
          <cell r="BL406">
            <v>0</v>
          </cell>
          <cell r="BM406">
            <v>0</v>
          </cell>
          <cell r="BN406">
            <v>0</v>
          </cell>
          <cell r="BO406">
            <v>0</v>
          </cell>
          <cell r="BP406">
            <v>0</v>
          </cell>
          <cell r="BQ406">
            <v>0</v>
          </cell>
          <cell r="BR406">
            <v>0</v>
          </cell>
          <cell r="BT406">
            <v>0</v>
          </cell>
          <cell r="CA406" t="str">
            <v>ELZCTY - REVTOT - Identified - Recompete</v>
          </cell>
          <cell r="CC406" t="str">
            <v>ELZCTY - REVTOT - Identified - Recompete - MR</v>
          </cell>
          <cell r="CD406" t="str">
            <v/>
          </cell>
          <cell r="CF406" t="str">
            <v>ELZCTY - Identified - Recompete - MR</v>
          </cell>
        </row>
        <row r="407">
          <cell r="D407">
            <v>393</v>
          </cell>
          <cell r="E407">
            <v>2</v>
          </cell>
          <cell r="F407">
            <v>3</v>
          </cell>
          <cell r="G407" t="str">
            <v>ELZCTY</v>
          </cell>
          <cell r="H407" t="str">
            <v>Elizabeth City</v>
          </cell>
          <cell r="I407" t="str">
            <v>MR</v>
          </cell>
          <cell r="J407" t="str">
            <v>MR Maintenance &amp; Sustainment</v>
          </cell>
          <cell r="K407" t="str">
            <v>Coast Guard</v>
          </cell>
          <cell r="L407" t="str">
            <v>DOD</v>
          </cell>
          <cell r="M407" t="str">
            <v>NC</v>
          </cell>
          <cell r="N407" t="str">
            <v>CONUS</v>
          </cell>
          <cell r="O407">
            <v>42540</v>
          </cell>
          <cell r="P407">
            <v>43634</v>
          </cell>
          <cell r="Q407" t="str">
            <v>Prime</v>
          </cell>
          <cell r="R407" t="str">
            <v>T&amp;M</v>
          </cell>
          <cell r="S407">
            <v>0</v>
          </cell>
          <cell r="T407">
            <v>1</v>
          </cell>
          <cell r="U407" t="str">
            <v>CONTRACT</v>
          </cell>
          <cell r="V407" t="str">
            <v>Base</v>
          </cell>
          <cell r="W407" t="str">
            <v>05 Won</v>
          </cell>
          <cell r="X407" t="str">
            <v>Active</v>
          </cell>
          <cell r="Y407">
            <v>1</v>
          </cell>
          <cell r="Z407">
            <v>0</v>
          </cell>
          <cell r="AA407">
            <v>1399079.8499999819</v>
          </cell>
          <cell r="AB407">
            <v>0</v>
          </cell>
          <cell r="AC407">
            <v>0</v>
          </cell>
          <cell r="AD407">
            <v>1399079.8499999819</v>
          </cell>
          <cell r="AL407">
            <v>0.18131950697815943</v>
          </cell>
          <cell r="AM407">
            <v>5.2362672894486366E-2</v>
          </cell>
          <cell r="AN407">
            <v>2.4093475013006353E-2</v>
          </cell>
          <cell r="AO407">
            <v>1.5907084497387758E-2</v>
          </cell>
          <cell r="AP407">
            <v>4.4564461912395603E-2</v>
          </cell>
          <cell r="AQ407">
            <v>4.4564461912395603E-2</v>
          </cell>
          <cell r="AR407">
            <v>4.4564461912395603E-2</v>
          </cell>
          <cell r="AS407">
            <v>4.4564461912395603E-2</v>
          </cell>
          <cell r="BF407">
            <v>164595.65999999997</v>
          </cell>
          <cell r="BG407">
            <v>153650.05000000002</v>
          </cell>
          <cell r="BH407">
            <v>80139.400000000052</v>
          </cell>
          <cell r="BI407">
            <v>-16646.050000000017</v>
          </cell>
          <cell r="BJ407">
            <v>-8188.8800000000338</v>
          </cell>
          <cell r="BK407">
            <v>10474.789999999979</v>
          </cell>
          <cell r="BL407">
            <v>58174.603199999983</v>
          </cell>
          <cell r="BM407">
            <v>43814.463199999911</v>
          </cell>
          <cell r="BN407">
            <v>0</v>
          </cell>
          <cell r="BO407">
            <v>0</v>
          </cell>
          <cell r="BP407">
            <v>0</v>
          </cell>
          <cell r="BQ407">
            <v>0</v>
          </cell>
          <cell r="BR407">
            <v>43814.463199999911</v>
          </cell>
          <cell r="BT407">
            <v>0</v>
          </cell>
          <cell r="CA407" t="str">
            <v>ELZCTY - CONTRACT - Base</v>
          </cell>
          <cell r="CC407" t="str">
            <v>ELZCTY - CONTRACT - Base - MR</v>
          </cell>
          <cell r="CD407" t="str">
            <v/>
          </cell>
          <cell r="CF407" t="str">
            <v>ELZCTY - Base - MR</v>
          </cell>
        </row>
        <row r="408">
          <cell r="D408">
            <v>394</v>
          </cell>
          <cell r="E408">
            <v>2</v>
          </cell>
          <cell r="F408">
            <v>4</v>
          </cell>
          <cell r="G408" t="str">
            <v>ELZCTY</v>
          </cell>
          <cell r="H408" t="str">
            <v>Elizabeth City</v>
          </cell>
          <cell r="I408" t="str">
            <v>MR</v>
          </cell>
          <cell r="J408" t="str">
            <v>MR Maintenance &amp; Sustainment</v>
          </cell>
          <cell r="K408" t="str">
            <v>Coast Guard</v>
          </cell>
          <cell r="L408" t="str">
            <v>DOD</v>
          </cell>
          <cell r="M408" t="str">
            <v>NC</v>
          </cell>
          <cell r="N408" t="str">
            <v>CONUS</v>
          </cell>
          <cell r="O408">
            <v>0</v>
          </cell>
          <cell r="P408">
            <v>0</v>
          </cell>
          <cell r="Q408">
            <v>0</v>
          </cell>
          <cell r="R408" t="str">
            <v>T&amp;M</v>
          </cell>
          <cell r="S408">
            <v>0</v>
          </cell>
          <cell r="T408">
            <v>1</v>
          </cell>
          <cell r="U408" t="str">
            <v>CONTRACT</v>
          </cell>
          <cell r="V408" t="str">
            <v>Identified - Recompete</v>
          </cell>
          <cell r="W408">
            <v>0</v>
          </cell>
          <cell r="X408">
            <v>0</v>
          </cell>
          <cell r="Y408">
            <v>0</v>
          </cell>
          <cell r="Z408">
            <v>0</v>
          </cell>
          <cell r="AA408">
            <v>0</v>
          </cell>
          <cell r="AB408">
            <v>0</v>
          </cell>
          <cell r="AC408">
            <v>0</v>
          </cell>
          <cell r="AD408">
            <v>0</v>
          </cell>
          <cell r="AP408">
            <v>0</v>
          </cell>
          <cell r="AQ408">
            <v>0</v>
          </cell>
          <cell r="AR408">
            <v>0</v>
          </cell>
          <cell r="AS408">
            <v>0</v>
          </cell>
          <cell r="BI408">
            <v>0</v>
          </cell>
          <cell r="BJ408">
            <v>0</v>
          </cell>
          <cell r="BK408">
            <v>0</v>
          </cell>
          <cell r="BL408">
            <v>0</v>
          </cell>
          <cell r="BM408">
            <v>0</v>
          </cell>
          <cell r="BN408">
            <v>0</v>
          </cell>
          <cell r="BO408">
            <v>0</v>
          </cell>
          <cell r="BP408">
            <v>0</v>
          </cell>
          <cell r="BQ408">
            <v>0</v>
          </cell>
          <cell r="BR408">
            <v>0</v>
          </cell>
          <cell r="BT408">
            <v>0</v>
          </cell>
          <cell r="CA408" t="str">
            <v>ELZCTY - CONTRACT - Identified - Recompete</v>
          </cell>
          <cell r="CC408" t="str">
            <v>ELZCTY - CONTRACT - Identified - Recompete - MR</v>
          </cell>
          <cell r="CD408" t="str">
            <v/>
          </cell>
          <cell r="CF408" t="str">
            <v>ELZCTY - Identified - Recompete - MR</v>
          </cell>
        </row>
        <row r="409">
          <cell r="D409">
            <v>395</v>
          </cell>
          <cell r="E409">
            <v>0</v>
          </cell>
          <cell r="F409">
            <v>5</v>
          </cell>
          <cell r="G409" t="str">
            <v>ELZCTY</v>
          </cell>
          <cell r="H409" t="str">
            <v>Elizabeth City</v>
          </cell>
          <cell r="I409" t="str">
            <v>MR</v>
          </cell>
          <cell r="J409" t="str">
            <v>MR Maintenance &amp; Sustainment</v>
          </cell>
          <cell r="K409" t="str">
            <v>Coast Guard</v>
          </cell>
          <cell r="L409" t="str">
            <v>DOD</v>
          </cell>
          <cell r="M409" t="str">
            <v>NC</v>
          </cell>
          <cell r="N409" t="str">
            <v>CONUS</v>
          </cell>
          <cell r="O409">
            <v>42540</v>
          </cell>
          <cell r="P409">
            <v>43634</v>
          </cell>
          <cell r="Q409" t="str">
            <v>Prime</v>
          </cell>
          <cell r="R409" t="str">
            <v>T&amp;M</v>
          </cell>
          <cell r="S409">
            <v>0</v>
          </cell>
          <cell r="T409">
            <v>1</v>
          </cell>
          <cell r="U409" t="str">
            <v>EBITA</v>
          </cell>
          <cell r="V409" t="str">
            <v>Base</v>
          </cell>
          <cell r="W409" t="str">
            <v>05 Won</v>
          </cell>
          <cell r="X409" t="str">
            <v>Active</v>
          </cell>
          <cell r="Y409">
            <v>1</v>
          </cell>
          <cell r="Z409">
            <v>0</v>
          </cell>
          <cell r="AA409">
            <v>1399079.8499999819</v>
          </cell>
          <cell r="AB409">
            <v>0</v>
          </cell>
          <cell r="AC409">
            <v>0</v>
          </cell>
          <cell r="AD409">
            <v>1399079.8499999819</v>
          </cell>
          <cell r="AT409">
            <v>4.7490868983651027E-2</v>
          </cell>
          <cell r="AU409">
            <v>-2.9890590778009679E-2</v>
          </cell>
          <cell r="AV409">
            <v>-5.6949265923081638E-2</v>
          </cell>
          <cell r="AW409">
            <v>-6.6206525862657753E-2</v>
          </cell>
          <cell r="AX409">
            <v>-4.0962567888068478E-2</v>
          </cell>
          <cell r="AY409">
            <v>-3.9962567888068477E-2</v>
          </cell>
          <cell r="AZ409">
            <v>-3.8962567888068476E-2</v>
          </cell>
          <cell r="BA409">
            <v>-3.7962567888068476E-2</v>
          </cell>
          <cell r="BF409">
            <v>43110.589999999989</v>
          </cell>
          <cell r="BG409">
            <v>-87709.249999999971</v>
          </cell>
          <cell r="BH409">
            <v>-189423.89999999991</v>
          </cell>
          <cell r="BI409">
            <v>-72709.88</v>
          </cell>
          <cell r="BJ409">
            <v>-67211.820000000036</v>
          </cell>
          <cell r="BK409">
            <v>-43116.180000000022</v>
          </cell>
          <cell r="BL409">
            <v>678.66819813739858</v>
          </cell>
          <cell r="BM409">
            <v>-182359.21180186266</v>
          </cell>
          <cell r="BN409">
            <v>0</v>
          </cell>
          <cell r="BO409">
            <v>0</v>
          </cell>
          <cell r="BP409">
            <v>0</v>
          </cell>
          <cell r="BQ409">
            <v>0</v>
          </cell>
          <cell r="BR409">
            <v>-182359.21180186266</v>
          </cell>
          <cell r="BT409">
            <v>0</v>
          </cell>
          <cell r="CA409" t="str">
            <v>ELZCTY - EBITA - Base</v>
          </cell>
          <cell r="CC409" t="str">
            <v>ELZCTY - EBITA - Base - MR</v>
          </cell>
          <cell r="CD409" t="str">
            <v/>
          </cell>
          <cell r="CF409" t="str">
            <v>ELZCTY - Base - MR</v>
          </cell>
        </row>
        <row r="410">
          <cell r="D410">
            <v>396</v>
          </cell>
          <cell r="E410">
            <v>0</v>
          </cell>
          <cell r="F410">
            <v>0</v>
          </cell>
          <cell r="G410" t="str">
            <v>ELZCTY</v>
          </cell>
          <cell r="H410" t="str">
            <v>Elizabeth City</v>
          </cell>
          <cell r="I410" t="str">
            <v>MR</v>
          </cell>
          <cell r="J410" t="str">
            <v>MR Maintenance &amp; Sustainment</v>
          </cell>
          <cell r="K410" t="str">
            <v>Coast Guard</v>
          </cell>
          <cell r="L410" t="str">
            <v>DOD</v>
          </cell>
          <cell r="M410" t="str">
            <v>NC</v>
          </cell>
          <cell r="N410" t="str">
            <v>CONUS</v>
          </cell>
          <cell r="O410">
            <v>0</v>
          </cell>
          <cell r="P410">
            <v>0</v>
          </cell>
          <cell r="Q410">
            <v>0</v>
          </cell>
          <cell r="R410" t="str">
            <v>T&amp;M</v>
          </cell>
          <cell r="S410">
            <v>0</v>
          </cell>
          <cell r="T410">
            <v>1</v>
          </cell>
          <cell r="U410" t="str">
            <v>EBITA</v>
          </cell>
          <cell r="V410" t="str">
            <v>Identified - Recompete</v>
          </cell>
          <cell r="W410">
            <v>0</v>
          </cell>
          <cell r="X410">
            <v>0</v>
          </cell>
          <cell r="Y410">
            <v>0</v>
          </cell>
          <cell r="Z410">
            <v>0</v>
          </cell>
          <cell r="AA410">
            <v>0</v>
          </cell>
          <cell r="AB410">
            <v>0</v>
          </cell>
          <cell r="AC410">
            <v>0</v>
          </cell>
          <cell r="AD410">
            <v>0</v>
          </cell>
          <cell r="AX410">
            <v>0</v>
          </cell>
          <cell r="AY410">
            <v>0</v>
          </cell>
          <cell r="AZ410">
            <v>0</v>
          </cell>
          <cell r="BA410">
            <v>0</v>
          </cell>
          <cell r="BI410">
            <v>0</v>
          </cell>
          <cell r="BJ410">
            <v>0</v>
          </cell>
          <cell r="BK410">
            <v>0</v>
          </cell>
          <cell r="BL410">
            <v>0</v>
          </cell>
          <cell r="BM410">
            <v>0</v>
          </cell>
          <cell r="BN410">
            <v>0</v>
          </cell>
          <cell r="BO410">
            <v>0</v>
          </cell>
          <cell r="BP410">
            <v>0</v>
          </cell>
          <cell r="BQ410">
            <v>0</v>
          </cell>
          <cell r="BR410">
            <v>0</v>
          </cell>
          <cell r="BT410">
            <v>0</v>
          </cell>
          <cell r="CA410" t="str">
            <v>ELZCTY - EBITA - Identified - Recompete</v>
          </cell>
          <cell r="CC410" t="str">
            <v>ELZCTY - EBITA - Identified - Recompete - MR</v>
          </cell>
          <cell r="CD410" t="str">
            <v/>
          </cell>
          <cell r="CF410" t="str">
            <v>ELZCTY - Identified - Recompete - MR</v>
          </cell>
        </row>
        <row r="411">
          <cell r="D411">
            <v>397</v>
          </cell>
          <cell r="E411">
            <v>1</v>
          </cell>
          <cell r="F411">
            <v>1</v>
          </cell>
          <cell r="G411" t="str">
            <v>USVI00</v>
          </cell>
          <cell r="H411" t="str">
            <v>USVI Roof Repair</v>
          </cell>
          <cell r="I411" t="str">
            <v>MR</v>
          </cell>
          <cell r="J411" t="str">
            <v>MR Logistics &amp; Supply</v>
          </cell>
          <cell r="K411" t="str">
            <v>Intercompany</v>
          </cell>
          <cell r="L411" t="str">
            <v>Intercompany</v>
          </cell>
          <cell r="M411" t="str">
            <v>US_State</v>
          </cell>
          <cell r="N411" t="str">
            <v>CONUS</v>
          </cell>
          <cell r="O411">
            <v>43329</v>
          </cell>
          <cell r="P411">
            <v>43830</v>
          </cell>
          <cell r="Q411" t="str">
            <v>Prime</v>
          </cell>
          <cell r="R411" t="str">
            <v>T&amp;M</v>
          </cell>
          <cell r="S411">
            <v>0</v>
          </cell>
          <cell r="T411">
            <v>1</v>
          </cell>
          <cell r="U411" t="str">
            <v>REVTOT</v>
          </cell>
          <cell r="V411" t="str">
            <v>Base</v>
          </cell>
          <cell r="W411" t="str">
            <v>05 Won</v>
          </cell>
          <cell r="X411" t="str">
            <v>Active</v>
          </cell>
          <cell r="Y411">
            <v>1</v>
          </cell>
          <cell r="Z411">
            <v>0</v>
          </cell>
          <cell r="AA411">
            <v>31460.250000001717</v>
          </cell>
          <cell r="AB411">
            <v>0</v>
          </cell>
          <cell r="AC411">
            <v>0</v>
          </cell>
          <cell r="AD411">
            <v>31460.250000001717</v>
          </cell>
          <cell r="AE411">
            <v>0</v>
          </cell>
          <cell r="AF411">
            <v>0</v>
          </cell>
          <cell r="AG411">
            <v>-0.96659666294731283</v>
          </cell>
          <cell r="AH411">
            <v>-1</v>
          </cell>
          <cell r="AI411">
            <v>0</v>
          </cell>
          <cell r="AJ411">
            <v>0</v>
          </cell>
          <cell r="AK411">
            <v>0</v>
          </cell>
          <cell r="BB411">
            <v>0</v>
          </cell>
          <cell r="BC411">
            <v>0</v>
          </cell>
          <cell r="BD411">
            <v>0</v>
          </cell>
          <cell r="BE411">
            <v>0</v>
          </cell>
          <cell r="BF411">
            <v>0</v>
          </cell>
          <cell r="BG411">
            <v>0</v>
          </cell>
          <cell r="BH411">
            <v>7119740.75</v>
          </cell>
          <cell r="BI411">
            <v>184540.16000000201</v>
          </cell>
          <cell r="BJ411">
            <v>64870.080000000002</v>
          </cell>
          <cell r="BK411">
            <v>-11587.14</v>
          </cell>
          <cell r="BL411">
            <v>0</v>
          </cell>
          <cell r="BM411">
            <v>237823.10000000201</v>
          </cell>
          <cell r="BN411">
            <v>0</v>
          </cell>
          <cell r="BO411">
            <v>0</v>
          </cell>
          <cell r="BP411">
            <v>0</v>
          </cell>
          <cell r="BQ411">
            <v>0</v>
          </cell>
          <cell r="BR411">
            <v>237823.10000000201</v>
          </cell>
          <cell r="BT411">
            <v>0</v>
          </cell>
          <cell r="CA411" t="str">
            <v>USVI00 - REVTOT - Base</v>
          </cell>
          <cell r="CC411" t="str">
            <v>USVI00 - REVTOT - Base - MR</v>
          </cell>
          <cell r="CD411" t="str">
            <v>USVI00 - REVTOT - Base - MR</v>
          </cell>
          <cell r="CF411" t="str">
            <v>USVI00 - Base - MR</v>
          </cell>
        </row>
        <row r="412">
          <cell r="D412">
            <v>398</v>
          </cell>
          <cell r="E412">
            <v>1</v>
          </cell>
          <cell r="F412">
            <v>2</v>
          </cell>
          <cell r="G412" t="str">
            <v>USVI00</v>
          </cell>
          <cell r="H412" t="str">
            <v>USVI Roof Repair</v>
          </cell>
          <cell r="I412" t="str">
            <v>MR</v>
          </cell>
          <cell r="J412" t="str">
            <v>MR Logistics &amp; Supply</v>
          </cell>
          <cell r="K412" t="str">
            <v>Intercompany</v>
          </cell>
          <cell r="L412" t="str">
            <v>Intercompany</v>
          </cell>
          <cell r="M412" t="str">
            <v>US_State</v>
          </cell>
          <cell r="N412" t="str">
            <v>CONUS</v>
          </cell>
          <cell r="O412">
            <v>0</v>
          </cell>
          <cell r="P412">
            <v>0</v>
          </cell>
          <cell r="Q412">
            <v>0</v>
          </cell>
          <cell r="R412" t="str">
            <v>T&amp;M</v>
          </cell>
          <cell r="S412">
            <v>0</v>
          </cell>
          <cell r="T412">
            <v>1</v>
          </cell>
          <cell r="U412" t="str">
            <v>REVTOT</v>
          </cell>
          <cell r="V412" t="str">
            <v>Identified - Recompete</v>
          </cell>
          <cell r="W412">
            <v>0</v>
          </cell>
          <cell r="X412">
            <v>0</v>
          </cell>
          <cell r="Y412">
            <v>0</v>
          </cell>
          <cell r="Z412">
            <v>0</v>
          </cell>
          <cell r="AA412">
            <v>0</v>
          </cell>
          <cell r="AB412">
            <v>0</v>
          </cell>
          <cell r="AC412">
            <v>0</v>
          </cell>
          <cell r="AD412">
            <v>0</v>
          </cell>
          <cell r="AI412">
            <v>0</v>
          </cell>
          <cell r="AJ412">
            <v>0</v>
          </cell>
          <cell r="AK412">
            <v>0</v>
          </cell>
          <cell r="BB412">
            <v>0</v>
          </cell>
          <cell r="BC412">
            <v>0</v>
          </cell>
          <cell r="BD412">
            <v>0</v>
          </cell>
          <cell r="BE412">
            <v>0</v>
          </cell>
          <cell r="BI412">
            <v>0</v>
          </cell>
          <cell r="BJ412">
            <v>0</v>
          </cell>
          <cell r="BK412">
            <v>0</v>
          </cell>
          <cell r="BL412">
            <v>0</v>
          </cell>
          <cell r="BM412">
            <v>0</v>
          </cell>
          <cell r="BN412">
            <v>0</v>
          </cell>
          <cell r="BO412">
            <v>0</v>
          </cell>
          <cell r="BP412">
            <v>0</v>
          </cell>
          <cell r="BQ412">
            <v>0</v>
          </cell>
          <cell r="BR412">
            <v>0</v>
          </cell>
          <cell r="BT412">
            <v>0</v>
          </cell>
          <cell r="CA412" t="str">
            <v>USVI00 - REVTOT - Identified - Recompete</v>
          </cell>
          <cell r="CC412" t="str">
            <v>USVI00 - REVTOT - Identified - Recompete - MR</v>
          </cell>
          <cell r="CD412" t="str">
            <v/>
          </cell>
          <cell r="CF412" t="str">
            <v>USVI00 - Identified - Recompete - MR</v>
          </cell>
        </row>
        <row r="413">
          <cell r="D413">
            <v>399</v>
          </cell>
          <cell r="E413">
            <v>2</v>
          </cell>
          <cell r="F413">
            <v>3</v>
          </cell>
          <cell r="G413" t="str">
            <v>USVI00</v>
          </cell>
          <cell r="H413" t="str">
            <v>USVI Roof Repair</v>
          </cell>
          <cell r="I413" t="str">
            <v>MR</v>
          </cell>
          <cell r="J413" t="str">
            <v>MR Logistics &amp; Supply</v>
          </cell>
          <cell r="K413" t="str">
            <v>Intercompany</v>
          </cell>
          <cell r="L413" t="str">
            <v>Intercompany</v>
          </cell>
          <cell r="M413" t="str">
            <v>US_State</v>
          </cell>
          <cell r="N413" t="str">
            <v>CONUS</v>
          </cell>
          <cell r="O413">
            <v>43329</v>
          </cell>
          <cell r="P413">
            <v>43830</v>
          </cell>
          <cell r="Q413" t="str">
            <v>Prime</v>
          </cell>
          <cell r="R413" t="str">
            <v>T&amp;M</v>
          </cell>
          <cell r="S413">
            <v>0</v>
          </cell>
          <cell r="T413">
            <v>1</v>
          </cell>
          <cell r="U413" t="str">
            <v>CONTRACT</v>
          </cell>
          <cell r="V413" t="str">
            <v>Base</v>
          </cell>
          <cell r="W413" t="str">
            <v>05 Won</v>
          </cell>
          <cell r="X413" t="str">
            <v>Active</v>
          </cell>
          <cell r="Y413">
            <v>1</v>
          </cell>
          <cell r="Z413">
            <v>0</v>
          </cell>
          <cell r="AA413">
            <v>31460.250000001717</v>
          </cell>
          <cell r="AB413">
            <v>0</v>
          </cell>
          <cell r="AC413">
            <v>0</v>
          </cell>
          <cell r="AD413">
            <v>31460.250000001717</v>
          </cell>
          <cell r="AL413">
            <v>0</v>
          </cell>
          <cell r="AM413">
            <v>0</v>
          </cell>
          <cell r="AN413">
            <v>8.9826892924436921E-2</v>
          </cell>
          <cell r="AO413">
            <v>9.1238765283943604</v>
          </cell>
          <cell r="AP413">
            <v>0.38184008284209492</v>
          </cell>
          <cell r="AQ413">
            <v>0.38184008284209492</v>
          </cell>
          <cell r="AR413">
            <v>0.38184008284209492</v>
          </cell>
          <cell r="AS413">
            <v>0.38184008284209492</v>
          </cell>
          <cell r="BF413">
            <v>0</v>
          </cell>
          <cell r="BG413">
            <v>0</v>
          </cell>
          <cell r="BH413">
            <v>639544.19000000018</v>
          </cell>
          <cell r="BI413">
            <v>1701067.6900000032</v>
          </cell>
          <cell r="BJ413">
            <v>555821.33000000031</v>
          </cell>
          <cell r="BK413">
            <v>-87020.420000000013</v>
          </cell>
          <cell r="BL413">
            <v>0</v>
          </cell>
          <cell r="BM413">
            <v>2169868.6000000034</v>
          </cell>
          <cell r="BN413">
            <v>0</v>
          </cell>
          <cell r="BO413">
            <v>0</v>
          </cell>
          <cell r="BP413">
            <v>0</v>
          </cell>
          <cell r="BQ413">
            <v>0</v>
          </cell>
          <cell r="BR413">
            <v>2169868.6000000034</v>
          </cell>
          <cell r="BT413">
            <v>0</v>
          </cell>
          <cell r="CA413" t="str">
            <v>USVI00 - CONTRACT - Base</v>
          </cell>
          <cell r="CC413" t="str">
            <v>USVI00 - CONTRACT - Base - MR</v>
          </cell>
          <cell r="CD413" t="str">
            <v/>
          </cell>
          <cell r="CF413" t="str">
            <v>USVI00 - Base - MR</v>
          </cell>
        </row>
        <row r="414">
          <cell r="D414">
            <v>400</v>
          </cell>
          <cell r="E414">
            <v>2</v>
          </cell>
          <cell r="F414">
            <v>4</v>
          </cell>
          <cell r="G414" t="str">
            <v>USVI00</v>
          </cell>
          <cell r="H414" t="str">
            <v>USVI Roof Repair</v>
          </cell>
          <cell r="I414" t="str">
            <v>MR</v>
          </cell>
          <cell r="J414" t="str">
            <v>MR Logistics &amp; Supply</v>
          </cell>
          <cell r="K414" t="str">
            <v>Intercompany</v>
          </cell>
          <cell r="L414" t="str">
            <v>Intercompany</v>
          </cell>
          <cell r="M414" t="str">
            <v>US_State</v>
          </cell>
          <cell r="N414" t="str">
            <v>CONUS</v>
          </cell>
          <cell r="O414">
            <v>0</v>
          </cell>
          <cell r="P414">
            <v>0</v>
          </cell>
          <cell r="Q414">
            <v>0</v>
          </cell>
          <cell r="R414" t="str">
            <v>T&amp;M</v>
          </cell>
          <cell r="S414">
            <v>0</v>
          </cell>
          <cell r="T414">
            <v>1</v>
          </cell>
          <cell r="U414" t="str">
            <v>CONTRACT</v>
          </cell>
          <cell r="V414" t="str">
            <v>Identified - Recompete</v>
          </cell>
          <cell r="W414">
            <v>0</v>
          </cell>
          <cell r="X414">
            <v>0</v>
          </cell>
          <cell r="Y414">
            <v>0</v>
          </cell>
          <cell r="Z414">
            <v>0</v>
          </cell>
          <cell r="AA414">
            <v>0</v>
          </cell>
          <cell r="AB414">
            <v>0</v>
          </cell>
          <cell r="AC414">
            <v>0</v>
          </cell>
          <cell r="AD414">
            <v>0</v>
          </cell>
          <cell r="AP414">
            <v>0</v>
          </cell>
          <cell r="AQ414">
            <v>0</v>
          </cell>
          <cell r="AR414">
            <v>0</v>
          </cell>
          <cell r="AS414">
            <v>0</v>
          </cell>
          <cell r="BI414">
            <v>0</v>
          </cell>
          <cell r="BJ414">
            <v>0</v>
          </cell>
          <cell r="BK414">
            <v>0</v>
          </cell>
          <cell r="BL414">
            <v>0</v>
          </cell>
          <cell r="BM414">
            <v>0</v>
          </cell>
          <cell r="BN414">
            <v>0</v>
          </cell>
          <cell r="BO414">
            <v>0</v>
          </cell>
          <cell r="BP414">
            <v>0</v>
          </cell>
          <cell r="BQ414">
            <v>0</v>
          </cell>
          <cell r="BR414">
            <v>0</v>
          </cell>
          <cell r="BT414">
            <v>0</v>
          </cell>
          <cell r="CA414" t="str">
            <v>USVI00 - CONTRACT - Identified - Recompete</v>
          </cell>
          <cell r="CC414" t="str">
            <v>USVI00 - CONTRACT - Identified - Recompete - MR</v>
          </cell>
          <cell r="CD414" t="str">
            <v/>
          </cell>
          <cell r="CF414" t="str">
            <v>USVI00 - Identified - Recompete - MR</v>
          </cell>
        </row>
        <row r="415">
          <cell r="D415">
            <v>401</v>
          </cell>
          <cell r="E415">
            <v>0</v>
          </cell>
          <cell r="F415">
            <v>5</v>
          </cell>
          <cell r="G415" t="str">
            <v>USVI00</v>
          </cell>
          <cell r="H415" t="str">
            <v>USVI Roof Repair</v>
          </cell>
          <cell r="I415" t="str">
            <v>MR</v>
          </cell>
          <cell r="J415" t="str">
            <v>MR Logistics &amp; Supply</v>
          </cell>
          <cell r="K415" t="str">
            <v>Intercompany</v>
          </cell>
          <cell r="L415" t="str">
            <v>Intercompany</v>
          </cell>
          <cell r="M415" t="str">
            <v>US_State</v>
          </cell>
          <cell r="N415" t="str">
            <v>CONUS</v>
          </cell>
          <cell r="O415">
            <v>43329</v>
          </cell>
          <cell r="P415">
            <v>43830</v>
          </cell>
          <cell r="Q415" t="str">
            <v>Prime</v>
          </cell>
          <cell r="R415" t="str">
            <v>T&amp;M</v>
          </cell>
          <cell r="S415">
            <v>0</v>
          </cell>
          <cell r="T415">
            <v>1</v>
          </cell>
          <cell r="U415" t="str">
            <v>EBITA</v>
          </cell>
          <cell r="V415" t="str">
            <v>Base</v>
          </cell>
          <cell r="W415" t="str">
            <v>05 Won</v>
          </cell>
          <cell r="X415" t="str">
            <v>Active</v>
          </cell>
          <cell r="Y415">
            <v>1</v>
          </cell>
          <cell r="Z415">
            <v>0</v>
          </cell>
          <cell r="AA415">
            <v>31460.250000001717</v>
          </cell>
          <cell r="AB415">
            <v>0</v>
          </cell>
          <cell r="AC415">
            <v>0</v>
          </cell>
          <cell r="AD415">
            <v>31460.250000001717</v>
          </cell>
          <cell r="AT415">
            <v>0</v>
          </cell>
          <cell r="AU415">
            <v>0</v>
          </cell>
          <cell r="AV415">
            <v>1.1370508118571611E-2</v>
          </cell>
          <cell r="AW415">
            <v>0.84000931785012412</v>
          </cell>
          <cell r="AX415">
            <v>3.9155114345355437E-2</v>
          </cell>
          <cell r="AY415">
            <v>4.0155114345355437E-2</v>
          </cell>
          <cell r="AZ415">
            <v>4.1155114345355438E-2</v>
          </cell>
          <cell r="BA415">
            <v>4.2155114345355439E-2</v>
          </cell>
          <cell r="BF415">
            <v>0</v>
          </cell>
          <cell r="BG415">
            <v>0</v>
          </cell>
          <cell r="BH415">
            <v>80955.070000000123</v>
          </cell>
          <cell r="BI415">
            <v>130981.2500000032</v>
          </cell>
          <cell r="BJ415">
            <v>63780.400000000373</v>
          </cell>
          <cell r="BK415">
            <v>5011.9699999999793</v>
          </cell>
          <cell r="BL415">
            <v>0</v>
          </cell>
          <cell r="BM415">
            <v>199773.62000000355</v>
          </cell>
          <cell r="BN415">
            <v>0</v>
          </cell>
          <cell r="BO415">
            <v>0</v>
          </cell>
          <cell r="BP415">
            <v>0</v>
          </cell>
          <cell r="BQ415">
            <v>0</v>
          </cell>
          <cell r="BR415">
            <v>199773.62000000355</v>
          </cell>
          <cell r="BT415">
            <v>0</v>
          </cell>
          <cell r="CA415" t="str">
            <v>USVI00 - EBITA - Base</v>
          </cell>
          <cell r="CC415" t="str">
            <v>USVI00 - EBITA - Base - MR</v>
          </cell>
          <cell r="CD415" t="str">
            <v/>
          </cell>
          <cell r="CF415" t="str">
            <v>USVI00 - Base - MR</v>
          </cell>
        </row>
        <row r="416">
          <cell r="D416">
            <v>402</v>
          </cell>
          <cell r="E416">
            <v>0</v>
          </cell>
          <cell r="F416">
            <v>0</v>
          </cell>
          <cell r="G416" t="str">
            <v>USVI00</v>
          </cell>
          <cell r="H416" t="str">
            <v>USVI Roof Repair</v>
          </cell>
          <cell r="I416" t="str">
            <v>MR</v>
          </cell>
          <cell r="J416" t="str">
            <v>MR Logistics &amp; Supply</v>
          </cell>
          <cell r="K416" t="str">
            <v>Intercompany</v>
          </cell>
          <cell r="L416" t="str">
            <v>Intercompany</v>
          </cell>
          <cell r="M416" t="str">
            <v>US_State</v>
          </cell>
          <cell r="N416" t="str">
            <v>CONUS</v>
          </cell>
          <cell r="O416">
            <v>0</v>
          </cell>
          <cell r="P416">
            <v>0</v>
          </cell>
          <cell r="Q416">
            <v>0</v>
          </cell>
          <cell r="R416" t="str">
            <v>T&amp;M</v>
          </cell>
          <cell r="S416">
            <v>0</v>
          </cell>
          <cell r="T416">
            <v>1</v>
          </cell>
          <cell r="U416" t="str">
            <v>EBITA</v>
          </cell>
          <cell r="V416" t="str">
            <v>Identified - Recompete</v>
          </cell>
          <cell r="W416">
            <v>0</v>
          </cell>
          <cell r="X416">
            <v>0</v>
          </cell>
          <cell r="Y416">
            <v>0</v>
          </cell>
          <cell r="Z416">
            <v>0</v>
          </cell>
          <cell r="AA416">
            <v>0</v>
          </cell>
          <cell r="AB416">
            <v>0</v>
          </cell>
          <cell r="AC416">
            <v>0</v>
          </cell>
          <cell r="AD416">
            <v>0</v>
          </cell>
          <cell r="AX416">
            <v>0</v>
          </cell>
          <cell r="AY416">
            <v>0</v>
          </cell>
          <cell r="AZ416">
            <v>0</v>
          </cell>
          <cell r="BA416">
            <v>0</v>
          </cell>
          <cell r="BI416">
            <v>0</v>
          </cell>
          <cell r="BJ416">
            <v>0</v>
          </cell>
          <cell r="BK416">
            <v>0</v>
          </cell>
          <cell r="BL416">
            <v>0</v>
          </cell>
          <cell r="BM416">
            <v>0</v>
          </cell>
          <cell r="BN416">
            <v>0</v>
          </cell>
          <cell r="BO416">
            <v>0</v>
          </cell>
          <cell r="BP416">
            <v>0</v>
          </cell>
          <cell r="BQ416">
            <v>0</v>
          </cell>
          <cell r="BR416">
            <v>0</v>
          </cell>
          <cell r="BT416">
            <v>0</v>
          </cell>
          <cell r="CA416" t="str">
            <v>USVI00 - EBITA - Identified - Recompete</v>
          </cell>
          <cell r="CC416" t="str">
            <v>USVI00 - EBITA - Identified - Recompete - MR</v>
          </cell>
          <cell r="CD416" t="str">
            <v/>
          </cell>
          <cell r="CF416" t="str">
            <v>USVI00 - Identified - Recompete - MR</v>
          </cell>
        </row>
        <row r="417">
          <cell r="D417">
            <v>403</v>
          </cell>
          <cell r="E417">
            <v>1</v>
          </cell>
          <cell r="F417">
            <v>1</v>
          </cell>
          <cell r="G417" t="str">
            <v>EMCCOY</v>
          </cell>
          <cell r="H417" t="str">
            <v>EAGLE - Ft. McCoy</v>
          </cell>
          <cell r="I417" t="str">
            <v>MR</v>
          </cell>
          <cell r="J417" t="str">
            <v>MR Maintenance &amp; Sustainment</v>
          </cell>
          <cell r="K417" t="str">
            <v>Army</v>
          </cell>
          <cell r="L417" t="str">
            <v>DOD</v>
          </cell>
          <cell r="M417" t="str">
            <v>WI</v>
          </cell>
          <cell r="N417" t="str">
            <v>CONUS</v>
          </cell>
          <cell r="O417">
            <v>42095</v>
          </cell>
          <cell r="P417">
            <v>43921</v>
          </cell>
          <cell r="Q417" t="str">
            <v>Sub</v>
          </cell>
          <cell r="R417" t="str">
            <v>CPFF</v>
          </cell>
          <cell r="S417">
            <v>0</v>
          </cell>
          <cell r="T417">
            <v>1</v>
          </cell>
          <cell r="U417" t="str">
            <v>REVTOT</v>
          </cell>
          <cell r="V417" t="str">
            <v>Base</v>
          </cell>
          <cell r="W417" t="str">
            <v>05 Won</v>
          </cell>
          <cell r="X417" t="str">
            <v>Active</v>
          </cell>
          <cell r="Y417">
            <v>1</v>
          </cell>
          <cell r="Z417">
            <v>0</v>
          </cell>
          <cell r="AA417">
            <v>753817.00503291888</v>
          </cell>
          <cell r="AB417">
            <v>-0.26999999955296516</v>
          </cell>
          <cell r="AC417">
            <v>0</v>
          </cell>
          <cell r="AD417">
            <v>753816.73503291933</v>
          </cell>
          <cell r="AE417">
            <v>-7.2718224210127413E-2</v>
          </cell>
          <cell r="AF417">
            <v>0.17408077195973037</v>
          </cell>
          <cell r="AG417">
            <v>-0.15565518910893827</v>
          </cell>
          <cell r="AH417">
            <v>-0.56736841937827931</v>
          </cell>
          <cell r="AI417">
            <v>0</v>
          </cell>
          <cell r="AJ417">
            <v>0</v>
          </cell>
          <cell r="AK417">
            <v>0</v>
          </cell>
          <cell r="BB417">
            <v>685006.8</v>
          </cell>
          <cell r="BC417">
            <v>685006.8</v>
          </cell>
          <cell r="BD417">
            <v>685006.8</v>
          </cell>
          <cell r="BE417">
            <v>685006.8</v>
          </cell>
          <cell r="BF417">
            <v>1722451.99</v>
          </cell>
          <cell r="BG417">
            <v>1597198.3399999999</v>
          </cell>
          <cell r="BH417">
            <v>1875239.8599999999</v>
          </cell>
          <cell r="BI417">
            <v>467568.42999999993</v>
          </cell>
          <cell r="BJ417">
            <v>450864.27</v>
          </cell>
          <cell r="BK417">
            <v>329002.19000000006</v>
          </cell>
          <cell r="BL417">
            <v>335914.15496708074</v>
          </cell>
          <cell r="BM417">
            <v>1583349.0449670809</v>
          </cell>
          <cell r="BN417">
            <v>685006.8</v>
          </cell>
          <cell r="BO417">
            <v>0</v>
          </cell>
          <cell r="BP417">
            <v>68809.935032919282</v>
          </cell>
          <cell r="BQ417">
            <v>0</v>
          </cell>
          <cell r="BR417">
            <v>2337165.7800000003</v>
          </cell>
          <cell r="BT417">
            <v>0</v>
          </cell>
          <cell r="CA417" t="str">
            <v>EMCCOY - REVTOT - Base</v>
          </cell>
          <cell r="CC417" t="str">
            <v>EMCCOY - REVTOT - Base - MR</v>
          </cell>
          <cell r="CD417" t="str">
            <v>EMCCOY - REVTOT - Base - MR</v>
          </cell>
          <cell r="CF417" t="str">
            <v>EMCCOY - Base - MR</v>
          </cell>
        </row>
        <row r="418">
          <cell r="D418">
            <v>404</v>
          </cell>
          <cell r="E418">
            <v>1</v>
          </cell>
          <cell r="F418">
            <v>2</v>
          </cell>
          <cell r="G418" t="str">
            <v>EMCCOY</v>
          </cell>
          <cell r="H418" t="str">
            <v>EAGLE - Ft. McCoy</v>
          </cell>
          <cell r="I418" t="str">
            <v>MR</v>
          </cell>
          <cell r="J418" t="str">
            <v>MR Maintenance &amp; Sustainment</v>
          </cell>
          <cell r="K418" t="str">
            <v>Army</v>
          </cell>
          <cell r="L418" t="str">
            <v>DOD</v>
          </cell>
          <cell r="M418" t="str">
            <v>WI</v>
          </cell>
          <cell r="N418" t="str">
            <v>CONUS</v>
          </cell>
          <cell r="O418">
            <v>43865</v>
          </cell>
          <cell r="P418">
            <v>45326</v>
          </cell>
          <cell r="Q418" t="str">
            <v>Sub</v>
          </cell>
          <cell r="R418" t="str">
            <v>CPFF</v>
          </cell>
          <cell r="S418">
            <v>0</v>
          </cell>
          <cell r="T418">
            <v>1</v>
          </cell>
          <cell r="U418" t="str">
            <v>REVTOT</v>
          </cell>
          <cell r="V418" t="str">
            <v>Identified - Recompete</v>
          </cell>
          <cell r="W418" t="str">
            <v>02 Capture</v>
          </cell>
          <cell r="X418" t="str">
            <v>Priority 3</v>
          </cell>
          <cell r="Y418">
            <v>0.25</v>
          </cell>
          <cell r="Z418">
            <v>10000000</v>
          </cell>
          <cell r="AA418">
            <v>0</v>
          </cell>
          <cell r="AB418">
            <v>0</v>
          </cell>
          <cell r="AC418">
            <v>0</v>
          </cell>
          <cell r="AD418">
            <v>0</v>
          </cell>
          <cell r="AI418">
            <v>0</v>
          </cell>
          <cell r="AJ418">
            <v>0</v>
          </cell>
          <cell r="AK418">
            <v>0</v>
          </cell>
          <cell r="BB418">
            <v>2500000</v>
          </cell>
          <cell r="BC418">
            <v>2500000</v>
          </cell>
          <cell r="BD418">
            <v>2500000</v>
          </cell>
          <cell r="BE418">
            <v>2500000</v>
          </cell>
          <cell r="BI418">
            <v>0</v>
          </cell>
          <cell r="BJ418">
            <v>0</v>
          </cell>
          <cell r="BK418">
            <v>0</v>
          </cell>
          <cell r="BL418">
            <v>0</v>
          </cell>
          <cell r="BM418">
            <v>0</v>
          </cell>
          <cell r="BN418">
            <v>409722.22222222225</v>
          </cell>
          <cell r="BO418">
            <v>625000</v>
          </cell>
          <cell r="BP418">
            <v>625000</v>
          </cell>
          <cell r="BQ418">
            <v>625000</v>
          </cell>
          <cell r="BR418">
            <v>2284722.222222222</v>
          </cell>
          <cell r="BT418">
            <v>0</v>
          </cell>
          <cell r="CA418" t="str">
            <v>EMCCOY - REVTOT - Identified - Recompete</v>
          </cell>
          <cell r="CC418" t="str">
            <v>EMCCOY - REVTOT - Identified - Recompete - MR</v>
          </cell>
          <cell r="CD418" t="str">
            <v/>
          </cell>
          <cell r="CF418" t="str">
            <v>EMCCOY - Identified - Recompete - MR</v>
          </cell>
        </row>
        <row r="419">
          <cell r="D419">
            <v>405</v>
          </cell>
          <cell r="E419">
            <v>2</v>
          </cell>
          <cell r="F419">
            <v>3</v>
          </cell>
          <cell r="G419" t="str">
            <v>EMCCOY</v>
          </cell>
          <cell r="H419" t="str">
            <v>EAGLE - Ft. McCoy</v>
          </cell>
          <cell r="I419" t="str">
            <v>MR</v>
          </cell>
          <cell r="J419" t="str">
            <v>MR Maintenance &amp; Sustainment</v>
          </cell>
          <cell r="K419" t="str">
            <v>Army</v>
          </cell>
          <cell r="L419" t="str">
            <v>DOD</v>
          </cell>
          <cell r="M419" t="str">
            <v>WI</v>
          </cell>
          <cell r="N419" t="str">
            <v>CONUS</v>
          </cell>
          <cell r="O419">
            <v>42095</v>
          </cell>
          <cell r="P419">
            <v>43921</v>
          </cell>
          <cell r="Q419" t="str">
            <v>Sub</v>
          </cell>
          <cell r="R419" t="str">
            <v>CPFF</v>
          </cell>
          <cell r="S419">
            <v>0</v>
          </cell>
          <cell r="T419">
            <v>1</v>
          </cell>
          <cell r="U419" t="str">
            <v>CONTRACT</v>
          </cell>
          <cell r="V419" t="str">
            <v>Base</v>
          </cell>
          <cell r="W419" t="str">
            <v>05 Won</v>
          </cell>
          <cell r="X419" t="str">
            <v>Active</v>
          </cell>
          <cell r="Y419">
            <v>1</v>
          </cell>
          <cell r="Z419">
            <v>0</v>
          </cell>
          <cell r="AA419">
            <v>753817.00503291888</v>
          </cell>
          <cell r="AB419">
            <v>-0.26999999955296516</v>
          </cell>
          <cell r="AC419">
            <v>0</v>
          </cell>
          <cell r="AD419">
            <v>753816.73503291933</v>
          </cell>
          <cell r="AL419">
            <v>9.1795667407832918E-2</v>
          </cell>
          <cell r="AM419">
            <v>8.6801523973534814E-2</v>
          </cell>
          <cell r="AN419">
            <v>8.4426405057324252E-2</v>
          </cell>
          <cell r="AO419">
            <v>9.1035192413987026E-2</v>
          </cell>
          <cell r="AP419">
            <v>8.9412105106109835E-2</v>
          </cell>
          <cell r="AQ419">
            <v>8.9412105106109835E-2</v>
          </cell>
          <cell r="AR419">
            <v>8.9412105106109835E-2</v>
          </cell>
          <cell r="AS419">
            <v>8.9412105106109835E-2</v>
          </cell>
          <cell r="BF419">
            <v>158113.62999999995</v>
          </cell>
          <cell r="BG419">
            <v>138639.25</v>
          </cell>
          <cell r="BH419">
            <v>158319.76</v>
          </cell>
          <cell r="BI419">
            <v>44240.579999999987</v>
          </cell>
          <cell r="BJ419">
            <v>40612.960000000036</v>
          </cell>
          <cell r="BK419">
            <v>28239.670000000027</v>
          </cell>
          <cell r="BL419">
            <v>31047.274967080753</v>
          </cell>
          <cell r="BM419">
            <v>144140.48496708082</v>
          </cell>
          <cell r="BN419">
            <v>61247.899999999965</v>
          </cell>
          <cell r="BO419">
            <v>0</v>
          </cell>
          <cell r="BP419">
            <v>6152.4411435079683</v>
          </cell>
          <cell r="BQ419">
            <v>0</v>
          </cell>
          <cell r="BR419">
            <v>211540.82611058877</v>
          </cell>
          <cell r="BT419">
            <v>0</v>
          </cell>
          <cell r="CA419" t="str">
            <v>EMCCOY - CONTRACT - Base</v>
          </cell>
          <cell r="CC419" t="str">
            <v>EMCCOY - CONTRACT - Base - MR</v>
          </cell>
          <cell r="CD419" t="str">
            <v/>
          </cell>
          <cell r="CF419" t="str">
            <v>EMCCOY - Base - MR</v>
          </cell>
        </row>
        <row r="420">
          <cell r="D420">
            <v>406</v>
          </cell>
          <cell r="E420">
            <v>2</v>
          </cell>
          <cell r="F420">
            <v>4</v>
          </cell>
          <cell r="G420" t="str">
            <v>EMCCOY</v>
          </cell>
          <cell r="H420" t="str">
            <v>EAGLE - Ft. McCoy</v>
          </cell>
          <cell r="I420" t="str">
            <v>MR</v>
          </cell>
          <cell r="J420" t="str">
            <v>MR Maintenance &amp; Sustainment</v>
          </cell>
          <cell r="K420" t="str">
            <v>Army</v>
          </cell>
          <cell r="L420" t="str">
            <v>DOD</v>
          </cell>
          <cell r="M420" t="str">
            <v>WI</v>
          </cell>
          <cell r="N420" t="str">
            <v>CONUS</v>
          </cell>
          <cell r="O420">
            <v>43865</v>
          </cell>
          <cell r="P420">
            <v>45326</v>
          </cell>
          <cell r="Q420" t="str">
            <v>Sub</v>
          </cell>
          <cell r="R420" t="str">
            <v>CPFF</v>
          </cell>
          <cell r="S420">
            <v>0</v>
          </cell>
          <cell r="T420">
            <v>1</v>
          </cell>
          <cell r="U420" t="str">
            <v>CONTRACT</v>
          </cell>
          <cell r="V420" t="str">
            <v>Identified - Recompete</v>
          </cell>
          <cell r="W420" t="str">
            <v>02 Capture</v>
          </cell>
          <cell r="X420" t="str">
            <v>Priority 3</v>
          </cell>
          <cell r="Y420">
            <v>0.25</v>
          </cell>
          <cell r="Z420">
            <v>10000000</v>
          </cell>
          <cell r="AA420">
            <v>0</v>
          </cell>
          <cell r="AB420">
            <v>0</v>
          </cell>
          <cell r="AC420">
            <v>0</v>
          </cell>
          <cell r="AD420">
            <v>0</v>
          </cell>
          <cell r="AP420">
            <v>8.9412105106109835E-2</v>
          </cell>
          <cell r="AQ420">
            <v>8.9412105106109835E-2</v>
          </cell>
          <cell r="AR420">
            <v>8.9412105106109835E-2</v>
          </cell>
          <cell r="AS420">
            <v>8.9412105106109835E-2</v>
          </cell>
          <cell r="BI420">
            <v>0</v>
          </cell>
          <cell r="BJ420">
            <v>0</v>
          </cell>
          <cell r="BK420">
            <v>0</v>
          </cell>
          <cell r="BL420">
            <v>0</v>
          </cell>
          <cell r="BM420">
            <v>0</v>
          </cell>
          <cell r="BN420">
            <v>36634.126397642227</v>
          </cell>
          <cell r="BO420">
            <v>55882.565691318647</v>
          </cell>
          <cell r="BP420">
            <v>55882.565691318647</v>
          </cell>
          <cell r="BQ420">
            <v>55882.565691318647</v>
          </cell>
          <cell r="BR420">
            <v>204281.82347159818</v>
          </cell>
          <cell r="BT420">
            <v>0</v>
          </cell>
          <cell r="CA420" t="str">
            <v>EMCCOY - CONTRACT - Identified - Recompete</v>
          </cell>
          <cell r="CC420" t="str">
            <v>EMCCOY - CONTRACT - Identified - Recompete - MR</v>
          </cell>
          <cell r="CD420" t="str">
            <v/>
          </cell>
          <cell r="CF420" t="str">
            <v>EMCCOY - Identified - Recompete - MR</v>
          </cell>
        </row>
        <row r="421">
          <cell r="D421">
            <v>407</v>
          </cell>
          <cell r="E421">
            <v>0</v>
          </cell>
          <cell r="F421">
            <v>5</v>
          </cell>
          <cell r="G421" t="str">
            <v>EMCCOY</v>
          </cell>
          <cell r="H421" t="str">
            <v>EAGLE - Ft. McCoy</v>
          </cell>
          <cell r="I421" t="str">
            <v>MR</v>
          </cell>
          <cell r="J421" t="str">
            <v>MR Maintenance &amp; Sustainment</v>
          </cell>
          <cell r="K421" t="str">
            <v>Army</v>
          </cell>
          <cell r="L421" t="str">
            <v>DOD</v>
          </cell>
          <cell r="M421" t="str">
            <v>WI</v>
          </cell>
          <cell r="N421" t="str">
            <v>CONUS</v>
          </cell>
          <cell r="O421">
            <v>42095</v>
          </cell>
          <cell r="P421">
            <v>43921</v>
          </cell>
          <cell r="Q421" t="str">
            <v>Sub</v>
          </cell>
          <cell r="R421" t="str">
            <v>CPFF</v>
          </cell>
          <cell r="S421">
            <v>0</v>
          </cell>
          <cell r="T421">
            <v>1</v>
          </cell>
          <cell r="U421" t="str">
            <v>EBITA</v>
          </cell>
          <cell r="V421" t="str">
            <v>Base</v>
          </cell>
          <cell r="W421" t="str">
            <v>05 Won</v>
          </cell>
          <cell r="X421" t="str">
            <v>Active</v>
          </cell>
          <cell r="Y421">
            <v>1</v>
          </cell>
          <cell r="Z421">
            <v>0</v>
          </cell>
          <cell r="AA421">
            <v>753817.00503291888</v>
          </cell>
          <cell r="AB421">
            <v>-0.26999999955296516</v>
          </cell>
          <cell r="AC421">
            <v>0</v>
          </cell>
          <cell r="AD421">
            <v>753816.73503291933</v>
          </cell>
          <cell r="AT421">
            <v>1.12412654241817E-2</v>
          </cell>
          <cell r="AU421">
            <v>7.232695971872859E-3</v>
          </cell>
          <cell r="AV421">
            <v>7.8171386565983134E-3</v>
          </cell>
          <cell r="AW421">
            <v>1.3979663263631252E-2</v>
          </cell>
          <cell r="AX421">
            <v>1.4766423347331392E-2</v>
          </cell>
          <cell r="AY421">
            <v>1.4766423347331392E-2</v>
          </cell>
          <cell r="AZ421">
            <v>1.4766423347331392E-2</v>
          </cell>
          <cell r="BA421">
            <v>1.4766423347331392E-2</v>
          </cell>
          <cell r="BF421">
            <v>19362.539999999964</v>
          </cell>
          <cell r="BG421">
            <v>11552.050000000016</v>
          </cell>
          <cell r="BH421">
            <v>14659.010000000009</v>
          </cell>
          <cell r="BI421">
            <v>7485.989999999987</v>
          </cell>
          <cell r="BJ421">
            <v>6694.9700000000339</v>
          </cell>
          <cell r="BK421">
            <v>2747.0100000000275</v>
          </cell>
          <cell r="BL421">
            <v>5206.7164774318799</v>
          </cell>
          <cell r="BM421">
            <v>22134.686477431929</v>
          </cell>
          <cell r="BN421">
            <v>10115.100404600766</v>
          </cell>
          <cell r="BO421">
            <v>0</v>
          </cell>
          <cell r="BP421">
            <v>1016.0766311984555</v>
          </cell>
          <cell r="BQ421">
            <v>0</v>
          </cell>
          <cell r="BR421">
            <v>33265.863513231154</v>
          </cell>
          <cell r="BT421">
            <v>0</v>
          </cell>
          <cell r="CA421" t="str">
            <v>EMCCOY - EBITA - Base</v>
          </cell>
          <cell r="CC421" t="str">
            <v>EMCCOY - EBITA - Base - MR</v>
          </cell>
          <cell r="CD421" t="str">
            <v/>
          </cell>
          <cell r="CF421" t="str">
            <v>EMCCOY - Base - MR</v>
          </cell>
        </row>
        <row r="422">
          <cell r="D422">
            <v>408</v>
          </cell>
          <cell r="E422">
            <v>0</v>
          </cell>
          <cell r="F422">
            <v>0</v>
          </cell>
          <cell r="G422" t="str">
            <v>EMCCOY</v>
          </cell>
          <cell r="H422" t="str">
            <v>EAGLE - Ft. McCoy</v>
          </cell>
          <cell r="I422" t="str">
            <v>MR</v>
          </cell>
          <cell r="J422" t="str">
            <v>MR Maintenance &amp; Sustainment</v>
          </cell>
          <cell r="K422" t="str">
            <v>Army</v>
          </cell>
          <cell r="L422" t="str">
            <v>DOD</v>
          </cell>
          <cell r="M422" t="str">
            <v>WI</v>
          </cell>
          <cell r="N422" t="str">
            <v>CONUS</v>
          </cell>
          <cell r="O422">
            <v>43865</v>
          </cell>
          <cell r="P422">
            <v>45326</v>
          </cell>
          <cell r="Q422" t="str">
            <v>Sub</v>
          </cell>
          <cell r="R422" t="str">
            <v>CPFF</v>
          </cell>
          <cell r="S422">
            <v>0</v>
          </cell>
          <cell r="T422">
            <v>1</v>
          </cell>
          <cell r="U422" t="str">
            <v>EBITA</v>
          </cell>
          <cell r="V422" t="str">
            <v>Identified - Recompete</v>
          </cell>
          <cell r="W422" t="str">
            <v>02 Capture</v>
          </cell>
          <cell r="X422" t="str">
            <v>Priority 3</v>
          </cell>
          <cell r="Y422">
            <v>0.25</v>
          </cell>
          <cell r="Z422">
            <v>10000000</v>
          </cell>
          <cell r="AA422">
            <v>0</v>
          </cell>
          <cell r="AB422">
            <v>0</v>
          </cell>
          <cell r="AC422">
            <v>0</v>
          </cell>
          <cell r="AD422">
            <v>0</v>
          </cell>
          <cell r="AX422">
            <v>1.4766423347331392E-2</v>
          </cell>
          <cell r="AY422">
            <v>1.4766423347331392E-2</v>
          </cell>
          <cell r="AZ422">
            <v>1.4766423347331392E-2</v>
          </cell>
          <cell r="BA422">
            <v>1.4766423347331392E-2</v>
          </cell>
          <cell r="BI422">
            <v>0</v>
          </cell>
          <cell r="BJ422">
            <v>0</v>
          </cell>
          <cell r="BK422">
            <v>0</v>
          </cell>
          <cell r="BL422">
            <v>0</v>
          </cell>
          <cell r="BM422">
            <v>0</v>
          </cell>
          <cell r="BN422">
            <v>6050.1317881427231</v>
          </cell>
          <cell r="BO422">
            <v>9229.0145920821196</v>
          </cell>
          <cell r="BP422">
            <v>9229.0145920821196</v>
          </cell>
          <cell r="BQ422">
            <v>9229.0145920821196</v>
          </cell>
          <cell r="BR422">
            <v>33737.175564389079</v>
          </cell>
          <cell r="BT422">
            <v>0</v>
          </cell>
          <cell r="CA422" t="str">
            <v>EMCCOY - EBITA - Identified - Recompete</v>
          </cell>
          <cell r="CC422" t="str">
            <v>EMCCOY - EBITA - Identified - Recompete - MR</v>
          </cell>
          <cell r="CD422" t="str">
            <v/>
          </cell>
          <cell r="CF422" t="str">
            <v>EMCCOY - Identified - Recompete - MR</v>
          </cell>
        </row>
        <row r="423">
          <cell r="D423">
            <v>409</v>
          </cell>
          <cell r="E423">
            <v>1</v>
          </cell>
          <cell r="F423">
            <v>1</v>
          </cell>
          <cell r="G423" t="str">
            <v>C13765</v>
          </cell>
          <cell r="H423" t="str">
            <v>NSDD DICCE II Tajikistan (13765)</v>
          </cell>
          <cell r="I423" t="str">
            <v>MR</v>
          </cell>
          <cell r="J423" t="str">
            <v>MR Non-Proliferation and Security Services</v>
          </cell>
          <cell r="K423" t="str">
            <v>DOE</v>
          </cell>
          <cell r="L423" t="str">
            <v>DOE</v>
          </cell>
          <cell r="M423" t="str">
            <v>OH</v>
          </cell>
          <cell r="N423" t="str">
            <v>CONUS</v>
          </cell>
          <cell r="O423">
            <v>42955</v>
          </cell>
          <cell r="P423">
            <v>43769</v>
          </cell>
          <cell r="Q423" t="str">
            <v>Sub</v>
          </cell>
          <cell r="R423" t="str">
            <v>CPFF</v>
          </cell>
          <cell r="S423">
            <v>0</v>
          </cell>
          <cell r="T423">
            <v>1</v>
          </cell>
          <cell r="U423" t="str">
            <v>REVTOT</v>
          </cell>
          <cell r="V423" t="str">
            <v>Base</v>
          </cell>
          <cell r="W423" t="str">
            <v>05 Won</v>
          </cell>
          <cell r="X423" t="str">
            <v>Active</v>
          </cell>
          <cell r="Y423">
            <v>1</v>
          </cell>
          <cell r="Z423">
            <v>0</v>
          </cell>
          <cell r="AA423">
            <v>323056.71999999997</v>
          </cell>
          <cell r="AB423">
            <v>0</v>
          </cell>
          <cell r="AC423">
            <v>0</v>
          </cell>
          <cell r="AD423">
            <v>323056.71999999997</v>
          </cell>
          <cell r="AE423">
            <v>0</v>
          </cell>
          <cell r="AF423">
            <v>4.0940683229090542</v>
          </cell>
          <cell r="AG423">
            <v>7.0779828618007148</v>
          </cell>
          <cell r="AH423">
            <v>-0.73885529443891618</v>
          </cell>
          <cell r="AI423">
            <v>0</v>
          </cell>
          <cell r="AJ423">
            <v>0</v>
          </cell>
          <cell r="AK423">
            <v>0</v>
          </cell>
          <cell r="BB423">
            <v>661548</v>
          </cell>
          <cell r="BC423">
            <v>661548</v>
          </cell>
          <cell r="BD423">
            <v>661548</v>
          </cell>
          <cell r="BE423">
            <v>661548</v>
          </cell>
          <cell r="BF423">
            <v>0</v>
          </cell>
          <cell r="BG423">
            <v>30062.83</v>
          </cell>
          <cell r="BH423">
            <v>153142.11000000002</v>
          </cell>
          <cell r="BI423">
            <v>137538.75</v>
          </cell>
          <cell r="BJ423">
            <v>425517.28</v>
          </cell>
          <cell r="BK423">
            <v>384737.31000000006</v>
          </cell>
          <cell r="BL423">
            <v>289286</v>
          </cell>
          <cell r="BM423">
            <v>1237079.3400000001</v>
          </cell>
          <cell r="BN423">
            <v>323056.71999999997</v>
          </cell>
          <cell r="BO423">
            <v>0</v>
          </cell>
          <cell r="BP423">
            <v>0</v>
          </cell>
          <cell r="BQ423">
            <v>0</v>
          </cell>
          <cell r="BR423">
            <v>1560136.06</v>
          </cell>
          <cell r="BT423">
            <v>0</v>
          </cell>
          <cell r="CA423" t="str">
            <v>C13765 - REVTOT - Base</v>
          </cell>
          <cell r="CC423" t="str">
            <v>C13765 - REVTOT - Base - MR</v>
          </cell>
          <cell r="CD423" t="str">
            <v>C13765 - REVTOT - Base - MR</v>
          </cell>
          <cell r="CF423" t="str">
            <v>C13765 - Base - MR</v>
          </cell>
        </row>
        <row r="424">
          <cell r="D424">
            <v>410</v>
          </cell>
          <cell r="E424">
            <v>1</v>
          </cell>
          <cell r="F424">
            <v>2</v>
          </cell>
          <cell r="G424" t="str">
            <v>C13765</v>
          </cell>
          <cell r="H424" t="str">
            <v>NSDD DICCE II Tajikistan (13765)</v>
          </cell>
          <cell r="I424" t="str">
            <v>MR</v>
          </cell>
          <cell r="J424" t="str">
            <v>MR Non-Proliferation and Security Services</v>
          </cell>
          <cell r="K424" t="str">
            <v>DOE</v>
          </cell>
          <cell r="L424" t="str">
            <v>DOE</v>
          </cell>
          <cell r="M424" t="str">
            <v>OH</v>
          </cell>
          <cell r="N424" t="str">
            <v>CONUS</v>
          </cell>
          <cell r="O424">
            <v>0</v>
          </cell>
          <cell r="P424">
            <v>0</v>
          </cell>
          <cell r="Q424">
            <v>0</v>
          </cell>
          <cell r="R424" t="str">
            <v>CPFF</v>
          </cell>
          <cell r="S424">
            <v>0</v>
          </cell>
          <cell r="T424">
            <v>1</v>
          </cell>
          <cell r="U424" t="str">
            <v>REVTOT</v>
          </cell>
          <cell r="V424" t="str">
            <v>Identified - Recompete</v>
          </cell>
          <cell r="W424">
            <v>0</v>
          </cell>
          <cell r="X424">
            <v>0</v>
          </cell>
          <cell r="Y424">
            <v>0</v>
          </cell>
          <cell r="Z424">
            <v>0</v>
          </cell>
          <cell r="AA424">
            <v>0</v>
          </cell>
          <cell r="AB424">
            <v>0</v>
          </cell>
          <cell r="AC424">
            <v>0</v>
          </cell>
          <cell r="AD424">
            <v>0</v>
          </cell>
          <cell r="AI424">
            <v>0</v>
          </cell>
          <cell r="AJ424">
            <v>0</v>
          </cell>
          <cell r="AK424">
            <v>0</v>
          </cell>
          <cell r="BB424">
            <v>0</v>
          </cell>
          <cell r="BC424">
            <v>0</v>
          </cell>
          <cell r="BD424">
            <v>0</v>
          </cell>
          <cell r="BE424">
            <v>0</v>
          </cell>
          <cell r="BI424">
            <v>0</v>
          </cell>
          <cell r="BJ424">
            <v>0</v>
          </cell>
          <cell r="BK424">
            <v>0</v>
          </cell>
          <cell r="BL424">
            <v>0</v>
          </cell>
          <cell r="BM424">
            <v>0</v>
          </cell>
          <cell r="BN424">
            <v>0</v>
          </cell>
          <cell r="BO424">
            <v>0</v>
          </cell>
          <cell r="BP424">
            <v>0</v>
          </cell>
          <cell r="BQ424">
            <v>0</v>
          </cell>
          <cell r="BR424">
            <v>0</v>
          </cell>
          <cell r="BT424">
            <v>0</v>
          </cell>
          <cell r="CA424" t="str">
            <v>C13765 - REVTOT - Identified - Recompete</v>
          </cell>
          <cell r="CC424" t="str">
            <v>C13765 - REVTOT - Identified - Recompete - MR</v>
          </cell>
          <cell r="CD424" t="str">
            <v/>
          </cell>
          <cell r="CF424" t="str">
            <v>C13765 - Identified - Recompete - MR</v>
          </cell>
        </row>
        <row r="425">
          <cell r="D425">
            <v>411</v>
          </cell>
          <cell r="E425">
            <v>2</v>
          </cell>
          <cell r="F425">
            <v>3</v>
          </cell>
          <cell r="G425" t="str">
            <v>C13765</v>
          </cell>
          <cell r="H425" t="str">
            <v>NSDD DICCE II Tajikistan (13765)</v>
          </cell>
          <cell r="I425" t="str">
            <v>MR</v>
          </cell>
          <cell r="J425" t="str">
            <v>MR Non-Proliferation and Security Services</v>
          </cell>
          <cell r="K425" t="str">
            <v>DOE</v>
          </cell>
          <cell r="L425" t="str">
            <v>DOE</v>
          </cell>
          <cell r="M425" t="str">
            <v>OH</v>
          </cell>
          <cell r="N425" t="str">
            <v>CONUS</v>
          </cell>
          <cell r="O425">
            <v>42955</v>
          </cell>
          <cell r="P425">
            <v>43769</v>
          </cell>
          <cell r="Q425" t="str">
            <v>Sub</v>
          </cell>
          <cell r="R425" t="str">
            <v>CPFF</v>
          </cell>
          <cell r="S425">
            <v>0</v>
          </cell>
          <cell r="T425">
            <v>1</v>
          </cell>
          <cell r="U425" t="str">
            <v>CONTRACT</v>
          </cell>
          <cell r="V425" t="str">
            <v>Base</v>
          </cell>
          <cell r="W425" t="str">
            <v>05 Won</v>
          </cell>
          <cell r="X425" t="str">
            <v>Active</v>
          </cell>
          <cell r="Y425">
            <v>1</v>
          </cell>
          <cell r="Z425">
            <v>0</v>
          </cell>
          <cell r="AA425">
            <v>323056.71999999997</v>
          </cell>
          <cell r="AB425">
            <v>0</v>
          </cell>
          <cell r="AC425">
            <v>0</v>
          </cell>
          <cell r="AD425">
            <v>323056.71999999997</v>
          </cell>
          <cell r="AL425">
            <v>0</v>
          </cell>
          <cell r="AM425">
            <v>5.9440511754881374E-2</v>
          </cell>
          <cell r="AN425">
            <v>0.19946453656672222</v>
          </cell>
          <cell r="AO425">
            <v>0.18225064691485349</v>
          </cell>
          <cell r="AP425">
            <v>0.19266437189742844</v>
          </cell>
          <cell r="AQ425">
            <v>0.19266437189742844</v>
          </cell>
          <cell r="AR425">
            <v>0.19266437189742844</v>
          </cell>
          <cell r="AS425">
            <v>0.19266437189742844</v>
          </cell>
          <cell r="BF425">
            <v>0</v>
          </cell>
          <cell r="BG425">
            <v>1786.9500000000005</v>
          </cell>
          <cell r="BH425">
            <v>30546.42</v>
          </cell>
          <cell r="BI425">
            <v>28305.96000000001</v>
          </cell>
          <cell r="BJ425">
            <v>72988.789999999994</v>
          </cell>
          <cell r="BK425">
            <v>68384.430000000008</v>
          </cell>
          <cell r="BL425">
            <v>55779.33</v>
          </cell>
          <cell r="BM425">
            <v>225458.51</v>
          </cell>
          <cell r="BN425">
            <v>62241.520046043399</v>
          </cell>
          <cell r="BO425">
            <v>0</v>
          </cell>
          <cell r="BP425">
            <v>0</v>
          </cell>
          <cell r="BQ425">
            <v>0</v>
          </cell>
          <cell r="BR425">
            <v>287700.03004604339</v>
          </cell>
          <cell r="BT425">
            <v>0</v>
          </cell>
          <cell r="CA425" t="str">
            <v>C13765 - CONTRACT - Base</v>
          </cell>
          <cell r="CC425" t="str">
            <v>C13765 - CONTRACT - Base - MR</v>
          </cell>
          <cell r="CD425" t="str">
            <v/>
          </cell>
          <cell r="CF425" t="str">
            <v>C13765 - Base - MR</v>
          </cell>
        </row>
        <row r="426">
          <cell r="D426">
            <v>412</v>
          </cell>
          <cell r="E426">
            <v>2</v>
          </cell>
          <cell r="F426">
            <v>4</v>
          </cell>
          <cell r="G426" t="str">
            <v>C13765</v>
          </cell>
          <cell r="H426" t="str">
            <v>NSDD DICCE II Tajikistan (13765)</v>
          </cell>
          <cell r="I426" t="str">
            <v>MR</v>
          </cell>
          <cell r="J426" t="str">
            <v>MR Non-Proliferation and Security Services</v>
          </cell>
          <cell r="K426" t="str">
            <v>DOE</v>
          </cell>
          <cell r="L426" t="str">
            <v>DOE</v>
          </cell>
          <cell r="M426" t="str">
            <v>OH</v>
          </cell>
          <cell r="N426" t="str">
            <v>CONUS</v>
          </cell>
          <cell r="O426">
            <v>0</v>
          </cell>
          <cell r="P426">
            <v>0</v>
          </cell>
          <cell r="Q426">
            <v>0</v>
          </cell>
          <cell r="R426" t="str">
            <v>CPFF</v>
          </cell>
          <cell r="S426">
            <v>0</v>
          </cell>
          <cell r="T426">
            <v>1</v>
          </cell>
          <cell r="U426" t="str">
            <v>CONTRACT</v>
          </cell>
          <cell r="V426" t="str">
            <v>Identified - Recompete</v>
          </cell>
          <cell r="W426">
            <v>0</v>
          </cell>
          <cell r="X426">
            <v>0</v>
          </cell>
          <cell r="Y426">
            <v>0</v>
          </cell>
          <cell r="Z426">
            <v>0</v>
          </cell>
          <cell r="AA426">
            <v>0</v>
          </cell>
          <cell r="AB426">
            <v>0</v>
          </cell>
          <cell r="AC426">
            <v>0</v>
          </cell>
          <cell r="AD426">
            <v>0</v>
          </cell>
          <cell r="AP426">
            <v>0</v>
          </cell>
          <cell r="AQ426">
            <v>0</v>
          </cell>
          <cell r="AR426">
            <v>0</v>
          </cell>
          <cell r="AS426">
            <v>0</v>
          </cell>
          <cell r="BI426">
            <v>0</v>
          </cell>
          <cell r="BJ426">
            <v>0</v>
          </cell>
          <cell r="BK426">
            <v>0</v>
          </cell>
          <cell r="BL426">
            <v>0</v>
          </cell>
          <cell r="BM426">
            <v>0</v>
          </cell>
          <cell r="BN426">
            <v>0</v>
          </cell>
          <cell r="BO426">
            <v>0</v>
          </cell>
          <cell r="BP426">
            <v>0</v>
          </cell>
          <cell r="BQ426">
            <v>0</v>
          </cell>
          <cell r="BR426">
            <v>0</v>
          </cell>
          <cell r="BT426">
            <v>0</v>
          </cell>
          <cell r="CA426" t="str">
            <v>C13765 - CONTRACT - Identified - Recompete</v>
          </cell>
          <cell r="CC426" t="str">
            <v>C13765 - CONTRACT - Identified - Recompete - MR</v>
          </cell>
          <cell r="CD426" t="str">
            <v/>
          </cell>
          <cell r="CF426" t="str">
            <v>C13765 - Identified - Recompete - MR</v>
          </cell>
        </row>
        <row r="427">
          <cell r="D427">
            <v>413</v>
          </cell>
          <cell r="E427">
            <v>0</v>
          </cell>
          <cell r="F427">
            <v>5</v>
          </cell>
          <cell r="G427" t="str">
            <v>C13765</v>
          </cell>
          <cell r="H427" t="str">
            <v>NSDD DICCE II Tajikistan (13765)</v>
          </cell>
          <cell r="I427" t="str">
            <v>MR</v>
          </cell>
          <cell r="J427" t="str">
            <v>MR Non-Proliferation and Security Services</v>
          </cell>
          <cell r="K427" t="str">
            <v>DOE</v>
          </cell>
          <cell r="L427" t="str">
            <v>DOE</v>
          </cell>
          <cell r="M427" t="str">
            <v>OH</v>
          </cell>
          <cell r="N427" t="str">
            <v>CONUS</v>
          </cell>
          <cell r="O427">
            <v>42955</v>
          </cell>
          <cell r="P427">
            <v>43769</v>
          </cell>
          <cell r="Q427" t="str">
            <v>Sub</v>
          </cell>
          <cell r="R427" t="str">
            <v>CPFF</v>
          </cell>
          <cell r="S427">
            <v>0</v>
          </cell>
          <cell r="T427">
            <v>1</v>
          </cell>
          <cell r="U427" t="str">
            <v>EBITA</v>
          </cell>
          <cell r="V427" t="str">
            <v>Base</v>
          </cell>
          <cell r="W427" t="str">
            <v>05 Won</v>
          </cell>
          <cell r="X427" t="str">
            <v>Active</v>
          </cell>
          <cell r="Y427">
            <v>1</v>
          </cell>
          <cell r="Z427">
            <v>0</v>
          </cell>
          <cell r="AA427">
            <v>323056.71999999997</v>
          </cell>
          <cell r="AB427">
            <v>0</v>
          </cell>
          <cell r="AC427">
            <v>0</v>
          </cell>
          <cell r="AD427">
            <v>323056.71999999997</v>
          </cell>
          <cell r="AT427">
            <v>0</v>
          </cell>
          <cell r="AU427">
            <v>-3.2026592306845347E-2</v>
          </cell>
          <cell r="AV427">
            <v>8.286956474610413E-2</v>
          </cell>
          <cell r="AW427">
            <v>7.4949170196310935E-2</v>
          </cell>
          <cell r="AX427">
            <v>5.6602612410076365E-2</v>
          </cell>
          <cell r="AY427">
            <v>5.6602612410076365E-2</v>
          </cell>
          <cell r="AZ427">
            <v>5.6602612410076365E-2</v>
          </cell>
          <cell r="BA427">
            <v>5.6602612410076365E-2</v>
          </cell>
          <cell r="BF427">
            <v>0</v>
          </cell>
          <cell r="BG427">
            <v>-962.80999999999949</v>
          </cell>
          <cell r="BH427">
            <v>12690.820000000002</v>
          </cell>
          <cell r="BI427">
            <v>10422.060000000009</v>
          </cell>
          <cell r="BJ427">
            <v>31160.889999999992</v>
          </cell>
          <cell r="BK427">
            <v>29085.090000000007</v>
          </cell>
          <cell r="BL427">
            <v>22050.03</v>
          </cell>
          <cell r="BM427">
            <v>92718.07</v>
          </cell>
          <cell r="BN427">
            <v>18285.854308630565</v>
          </cell>
          <cell r="BO427">
            <v>0</v>
          </cell>
          <cell r="BP427">
            <v>0</v>
          </cell>
          <cell r="BQ427">
            <v>0</v>
          </cell>
          <cell r="BR427">
            <v>111003.92430863058</v>
          </cell>
          <cell r="BT427">
            <v>0</v>
          </cell>
          <cell r="CA427" t="str">
            <v>C13765 - EBITA - Base</v>
          </cell>
          <cell r="CC427" t="str">
            <v>C13765 - EBITA - Base - MR</v>
          </cell>
          <cell r="CD427" t="str">
            <v/>
          </cell>
          <cell r="CF427" t="str">
            <v>C13765 - Base - MR</v>
          </cell>
        </row>
        <row r="428">
          <cell r="D428">
            <v>414</v>
          </cell>
          <cell r="E428">
            <v>0</v>
          </cell>
          <cell r="F428">
            <v>0</v>
          </cell>
          <cell r="G428" t="str">
            <v>C13765</v>
          </cell>
          <cell r="H428" t="str">
            <v>NSDD DICCE II Tajikistan (13765)</v>
          </cell>
          <cell r="I428" t="str">
            <v>MR</v>
          </cell>
          <cell r="J428" t="str">
            <v>MR Non-Proliferation and Security Services</v>
          </cell>
          <cell r="K428" t="str">
            <v>DOE</v>
          </cell>
          <cell r="L428" t="str">
            <v>DOE</v>
          </cell>
          <cell r="M428" t="str">
            <v>OH</v>
          </cell>
          <cell r="N428" t="str">
            <v>CONUS</v>
          </cell>
          <cell r="O428">
            <v>0</v>
          </cell>
          <cell r="P428">
            <v>0</v>
          </cell>
          <cell r="Q428">
            <v>0</v>
          </cell>
          <cell r="R428" t="str">
            <v>CPFF</v>
          </cell>
          <cell r="S428">
            <v>0</v>
          </cell>
          <cell r="T428">
            <v>1</v>
          </cell>
          <cell r="U428" t="str">
            <v>EBITA</v>
          </cell>
          <cell r="V428" t="str">
            <v>Identified - Recompete</v>
          </cell>
          <cell r="W428">
            <v>0</v>
          </cell>
          <cell r="X428">
            <v>0</v>
          </cell>
          <cell r="Y428">
            <v>0</v>
          </cell>
          <cell r="Z428">
            <v>0</v>
          </cell>
          <cell r="AA428">
            <v>0</v>
          </cell>
          <cell r="AB428">
            <v>0</v>
          </cell>
          <cell r="AC428">
            <v>0</v>
          </cell>
          <cell r="AD428">
            <v>0</v>
          </cell>
          <cell r="AX428">
            <v>0</v>
          </cell>
          <cell r="AY428">
            <v>0</v>
          </cell>
          <cell r="AZ428">
            <v>0</v>
          </cell>
          <cell r="BA428">
            <v>0</v>
          </cell>
          <cell r="BI428">
            <v>0</v>
          </cell>
          <cell r="BJ428">
            <v>0</v>
          </cell>
          <cell r="BK428">
            <v>0</v>
          </cell>
          <cell r="BL428">
            <v>0</v>
          </cell>
          <cell r="BM428">
            <v>0</v>
          </cell>
          <cell r="BN428">
            <v>0</v>
          </cell>
          <cell r="BO428">
            <v>0</v>
          </cell>
          <cell r="BP428">
            <v>0</v>
          </cell>
          <cell r="BQ428">
            <v>0</v>
          </cell>
          <cell r="BR428">
            <v>0</v>
          </cell>
          <cell r="BT428">
            <v>0</v>
          </cell>
          <cell r="CA428" t="str">
            <v>C13765 - EBITA - Identified - Recompete</v>
          </cell>
          <cell r="CC428" t="str">
            <v>C13765 - EBITA - Identified - Recompete - MR</v>
          </cell>
          <cell r="CD428" t="str">
            <v/>
          </cell>
          <cell r="CF428" t="str">
            <v>C13765 - Identified - Recompete - MR</v>
          </cell>
        </row>
        <row r="429">
          <cell r="D429">
            <v>415</v>
          </cell>
          <cell r="E429">
            <v>1</v>
          </cell>
          <cell r="F429">
            <v>1</v>
          </cell>
          <cell r="G429" t="str">
            <v>HBSSS0</v>
          </cell>
          <cell r="H429" t="str">
            <v>Wallops HBSSS</v>
          </cell>
          <cell r="I429" t="str">
            <v>MR</v>
          </cell>
          <cell r="J429" t="str">
            <v>MR Warfighter Support</v>
          </cell>
          <cell r="K429" t="str">
            <v>NASA</v>
          </cell>
          <cell r="L429" t="str">
            <v>NASA</v>
          </cell>
          <cell r="M429" t="str">
            <v>VA</v>
          </cell>
          <cell r="N429" t="str">
            <v>CONUS</v>
          </cell>
          <cell r="O429">
            <v>41974</v>
          </cell>
          <cell r="P429">
            <v>43799</v>
          </cell>
          <cell r="Q429" t="str">
            <v>Prime</v>
          </cell>
          <cell r="R429" t="str">
            <v>CPFF</v>
          </cell>
          <cell r="S429">
            <v>0</v>
          </cell>
          <cell r="T429">
            <v>1</v>
          </cell>
          <cell r="U429" t="str">
            <v>REVTOT</v>
          </cell>
          <cell r="V429" t="str">
            <v>Base</v>
          </cell>
          <cell r="W429" t="str">
            <v>05 Won</v>
          </cell>
          <cell r="X429" t="str">
            <v>Active</v>
          </cell>
          <cell r="Y429">
            <v>1</v>
          </cell>
          <cell r="Z429">
            <v>0</v>
          </cell>
          <cell r="AA429">
            <v>468696.71999999986</v>
          </cell>
          <cell r="AB429">
            <v>0</v>
          </cell>
          <cell r="AC429">
            <v>0</v>
          </cell>
          <cell r="AD429">
            <v>468696.71999999986</v>
          </cell>
          <cell r="AE429">
            <v>-5.1988427240896251E-2</v>
          </cell>
          <cell r="AF429">
            <v>-7.6800681866888598E-2</v>
          </cell>
          <cell r="AG429">
            <v>0.1652923375541191</v>
          </cell>
          <cell r="AH429">
            <v>-0.48363390615042834</v>
          </cell>
          <cell r="AI429">
            <v>0</v>
          </cell>
          <cell r="AJ429">
            <v>0</v>
          </cell>
          <cell r="AK429">
            <v>0</v>
          </cell>
          <cell r="BB429">
            <v>967498.5775526833</v>
          </cell>
          <cell r="BC429">
            <v>967498.5775526833</v>
          </cell>
          <cell r="BD429">
            <v>967498.5775526833</v>
          </cell>
          <cell r="BE429">
            <v>967498.5775526833</v>
          </cell>
          <cell r="BF429">
            <v>890000.38</v>
          </cell>
          <cell r="BG429">
            <v>843730.66</v>
          </cell>
          <cell r="BH429">
            <v>778931.57000000007</v>
          </cell>
          <cell r="BI429">
            <v>245350.58999999997</v>
          </cell>
          <cell r="BJ429">
            <v>205538.37</v>
          </cell>
          <cell r="BK429">
            <v>223407.03</v>
          </cell>
          <cell r="BL429">
            <v>233387</v>
          </cell>
          <cell r="BM429">
            <v>907682.99</v>
          </cell>
          <cell r="BN429">
            <v>468696.71999999986</v>
          </cell>
          <cell r="BO429">
            <v>0</v>
          </cell>
          <cell r="BP429">
            <v>0</v>
          </cell>
          <cell r="BQ429">
            <v>0</v>
          </cell>
          <cell r="BR429">
            <v>1376379.71</v>
          </cell>
          <cell r="BT429">
            <v>0</v>
          </cell>
          <cell r="CA429" t="str">
            <v>HBSSS0 - REVTOT - Base</v>
          </cell>
          <cell r="CC429" t="str">
            <v>HBSSS0 - REVTOT - Base - MR</v>
          </cell>
          <cell r="CD429" t="str">
            <v>HBSSS0 - REVTOT - Base - MR</v>
          </cell>
          <cell r="CF429" t="str">
            <v>HBSSS0 - Base - MR</v>
          </cell>
        </row>
        <row r="430">
          <cell r="D430">
            <v>416</v>
          </cell>
          <cell r="E430">
            <v>1</v>
          </cell>
          <cell r="F430">
            <v>2</v>
          </cell>
          <cell r="G430" t="str">
            <v>HBSSS0</v>
          </cell>
          <cell r="H430" t="str">
            <v>Wallops HBSSS</v>
          </cell>
          <cell r="I430" t="str">
            <v>MR</v>
          </cell>
          <cell r="J430" t="str">
            <v>MR Warfighter Support</v>
          </cell>
          <cell r="K430" t="str">
            <v>NASA</v>
          </cell>
          <cell r="L430" t="str">
            <v>NASA</v>
          </cell>
          <cell r="M430" t="str">
            <v>VA</v>
          </cell>
          <cell r="N430" t="str">
            <v>CONUS</v>
          </cell>
          <cell r="O430">
            <v>0</v>
          </cell>
          <cell r="P430">
            <v>0</v>
          </cell>
          <cell r="Q430">
            <v>0</v>
          </cell>
          <cell r="R430" t="str">
            <v>CPFF</v>
          </cell>
          <cell r="S430">
            <v>0</v>
          </cell>
          <cell r="T430">
            <v>1</v>
          </cell>
          <cell r="U430" t="str">
            <v>REVTOT</v>
          </cell>
          <cell r="V430" t="str">
            <v>Identified - Recompete</v>
          </cell>
          <cell r="W430">
            <v>0</v>
          </cell>
          <cell r="X430">
            <v>0</v>
          </cell>
          <cell r="Y430">
            <v>0</v>
          </cell>
          <cell r="Z430">
            <v>0</v>
          </cell>
          <cell r="AA430">
            <v>0</v>
          </cell>
          <cell r="AB430">
            <v>0</v>
          </cell>
          <cell r="AC430">
            <v>0</v>
          </cell>
          <cell r="AD430">
            <v>0</v>
          </cell>
          <cell r="AI430">
            <v>0</v>
          </cell>
          <cell r="AJ430">
            <v>0</v>
          </cell>
          <cell r="AK430">
            <v>0</v>
          </cell>
          <cell r="BB430">
            <v>0</v>
          </cell>
          <cell r="BC430">
            <v>0</v>
          </cell>
          <cell r="BD430">
            <v>0</v>
          </cell>
          <cell r="BE430">
            <v>0</v>
          </cell>
          <cell r="BI430">
            <v>0</v>
          </cell>
          <cell r="BJ430">
            <v>0</v>
          </cell>
          <cell r="BK430">
            <v>0</v>
          </cell>
          <cell r="BL430">
            <v>0</v>
          </cell>
          <cell r="BM430">
            <v>0</v>
          </cell>
          <cell r="BN430">
            <v>0</v>
          </cell>
          <cell r="BO430">
            <v>0</v>
          </cell>
          <cell r="BP430">
            <v>0</v>
          </cell>
          <cell r="BQ430">
            <v>0</v>
          </cell>
          <cell r="BR430">
            <v>0</v>
          </cell>
          <cell r="BT430">
            <v>0</v>
          </cell>
          <cell r="CA430" t="str">
            <v>HBSSS0 - REVTOT - Identified - Recompete</v>
          </cell>
          <cell r="CC430" t="str">
            <v>HBSSS0 - REVTOT - Identified - Recompete - MR</v>
          </cell>
          <cell r="CD430" t="str">
            <v/>
          </cell>
          <cell r="CF430" t="str">
            <v>HBSSS0 - Identified - Recompete - MR</v>
          </cell>
        </row>
        <row r="431">
          <cell r="D431">
            <v>417</v>
          </cell>
          <cell r="E431">
            <v>2</v>
          </cell>
          <cell r="F431">
            <v>3</v>
          </cell>
          <cell r="G431" t="str">
            <v>HBSSS0</v>
          </cell>
          <cell r="H431" t="str">
            <v>Wallops HBSSS</v>
          </cell>
          <cell r="I431" t="str">
            <v>MR</v>
          </cell>
          <cell r="J431" t="str">
            <v>MR Warfighter Support</v>
          </cell>
          <cell r="K431" t="str">
            <v>NASA</v>
          </cell>
          <cell r="L431" t="str">
            <v>NASA</v>
          </cell>
          <cell r="M431" t="str">
            <v>VA</v>
          </cell>
          <cell r="N431" t="str">
            <v>CONUS</v>
          </cell>
          <cell r="O431">
            <v>41974</v>
          </cell>
          <cell r="P431">
            <v>43799</v>
          </cell>
          <cell r="Q431" t="str">
            <v>Prime</v>
          </cell>
          <cell r="R431" t="str">
            <v>CPFF</v>
          </cell>
          <cell r="S431">
            <v>0</v>
          </cell>
          <cell r="T431">
            <v>1</v>
          </cell>
          <cell r="U431" t="str">
            <v>CONTRACT</v>
          </cell>
          <cell r="V431" t="str">
            <v>Base</v>
          </cell>
          <cell r="W431" t="str">
            <v>05 Won</v>
          </cell>
          <cell r="X431" t="str">
            <v>Active</v>
          </cell>
          <cell r="Y431">
            <v>1</v>
          </cell>
          <cell r="Z431">
            <v>0</v>
          </cell>
          <cell r="AA431">
            <v>468696.71999999986</v>
          </cell>
          <cell r="AB431">
            <v>0</v>
          </cell>
          <cell r="AC431">
            <v>0</v>
          </cell>
          <cell r="AD431">
            <v>468696.71999999986</v>
          </cell>
          <cell r="AL431">
            <v>0.17005066896713014</v>
          </cell>
          <cell r="AM431">
            <v>0.11489714027933988</v>
          </cell>
          <cell r="AN431">
            <v>9.8012165561603859E-2</v>
          </cell>
          <cell r="AO431">
            <v>0.1184760895431124</v>
          </cell>
          <cell r="AP431">
            <v>0.10956077848384364</v>
          </cell>
          <cell r="AQ431">
            <v>0.10956077848384364</v>
          </cell>
          <cell r="AR431">
            <v>0.10956077848384364</v>
          </cell>
          <cell r="AS431">
            <v>0.10956077848384364</v>
          </cell>
          <cell r="BF431">
            <v>151345.16000000003</v>
          </cell>
          <cell r="BG431">
            <v>96942.24000000002</v>
          </cell>
          <cell r="BH431">
            <v>76344.770000000033</v>
          </cell>
          <cell r="BI431">
            <v>26022.999999999993</v>
          </cell>
          <cell r="BJ431">
            <v>23530.55000000001</v>
          </cell>
          <cell r="BK431">
            <v>24552.859999999986</v>
          </cell>
          <cell r="BL431">
            <v>33432.321200000006</v>
          </cell>
          <cell r="BM431">
            <v>107538.73119999999</v>
          </cell>
          <cell r="BN431">
            <v>51350.777516024071</v>
          </cell>
          <cell r="BO431">
            <v>0</v>
          </cell>
          <cell r="BP431">
            <v>0</v>
          </cell>
          <cell r="BQ431">
            <v>0</v>
          </cell>
          <cell r="BR431">
            <v>158889.50871602405</v>
          </cell>
          <cell r="BT431">
            <v>0</v>
          </cell>
          <cell r="CA431" t="str">
            <v>HBSSS0 - CONTRACT - Base</v>
          </cell>
          <cell r="CC431" t="str">
            <v>HBSSS0 - CONTRACT - Base - MR</v>
          </cell>
          <cell r="CD431" t="str">
            <v/>
          </cell>
          <cell r="CF431" t="str">
            <v>HBSSS0 - Base - MR</v>
          </cell>
        </row>
        <row r="432">
          <cell r="D432">
            <v>418</v>
          </cell>
          <cell r="E432">
            <v>2</v>
          </cell>
          <cell r="F432">
            <v>4</v>
          </cell>
          <cell r="G432" t="str">
            <v>HBSSS0</v>
          </cell>
          <cell r="H432" t="str">
            <v>Wallops HBSSS</v>
          </cell>
          <cell r="I432" t="str">
            <v>MR</v>
          </cell>
          <cell r="J432" t="str">
            <v>MR Warfighter Support</v>
          </cell>
          <cell r="K432" t="str">
            <v>NASA</v>
          </cell>
          <cell r="L432" t="str">
            <v>NASA</v>
          </cell>
          <cell r="M432" t="str">
            <v>VA</v>
          </cell>
          <cell r="N432" t="str">
            <v>CONUS</v>
          </cell>
          <cell r="O432">
            <v>0</v>
          </cell>
          <cell r="P432">
            <v>0</v>
          </cell>
          <cell r="Q432">
            <v>0</v>
          </cell>
          <cell r="R432" t="str">
            <v>CPFF</v>
          </cell>
          <cell r="S432">
            <v>0</v>
          </cell>
          <cell r="T432">
            <v>1</v>
          </cell>
          <cell r="U432" t="str">
            <v>CONTRACT</v>
          </cell>
          <cell r="V432" t="str">
            <v>Identified - Recompete</v>
          </cell>
          <cell r="W432">
            <v>0</v>
          </cell>
          <cell r="X432">
            <v>0</v>
          </cell>
          <cell r="Y432">
            <v>0</v>
          </cell>
          <cell r="Z432">
            <v>0</v>
          </cell>
          <cell r="AA432">
            <v>0</v>
          </cell>
          <cell r="AB432">
            <v>0</v>
          </cell>
          <cell r="AC432">
            <v>0</v>
          </cell>
          <cell r="AD432">
            <v>0</v>
          </cell>
          <cell r="AP432">
            <v>0</v>
          </cell>
          <cell r="AQ432">
            <v>0</v>
          </cell>
          <cell r="AR432">
            <v>0</v>
          </cell>
          <cell r="AS432">
            <v>0</v>
          </cell>
          <cell r="BI432">
            <v>0</v>
          </cell>
          <cell r="BJ432">
            <v>0</v>
          </cell>
          <cell r="BK432">
            <v>0</v>
          </cell>
          <cell r="BL432">
            <v>0</v>
          </cell>
          <cell r="BM432">
            <v>0</v>
          </cell>
          <cell r="BN432">
            <v>0</v>
          </cell>
          <cell r="BO432">
            <v>0</v>
          </cell>
          <cell r="BP432">
            <v>0</v>
          </cell>
          <cell r="BQ432">
            <v>0</v>
          </cell>
          <cell r="BR432">
            <v>0</v>
          </cell>
          <cell r="BT432">
            <v>0</v>
          </cell>
          <cell r="CA432" t="str">
            <v>HBSSS0 - CONTRACT - Identified - Recompete</v>
          </cell>
          <cell r="CC432" t="str">
            <v>HBSSS0 - CONTRACT - Identified - Recompete - MR</v>
          </cell>
          <cell r="CD432" t="str">
            <v/>
          </cell>
          <cell r="CF432" t="str">
            <v>HBSSS0 - Identified - Recompete - MR</v>
          </cell>
        </row>
        <row r="433">
          <cell r="D433">
            <v>419</v>
          </cell>
          <cell r="E433">
            <v>0</v>
          </cell>
          <cell r="F433">
            <v>5</v>
          </cell>
          <cell r="G433" t="str">
            <v>HBSSS0</v>
          </cell>
          <cell r="H433" t="str">
            <v>Wallops HBSSS</v>
          </cell>
          <cell r="I433" t="str">
            <v>MR</v>
          </cell>
          <cell r="J433" t="str">
            <v>MR Warfighter Support</v>
          </cell>
          <cell r="K433" t="str">
            <v>NASA</v>
          </cell>
          <cell r="L433" t="str">
            <v>NASA</v>
          </cell>
          <cell r="M433" t="str">
            <v>VA</v>
          </cell>
          <cell r="N433" t="str">
            <v>CONUS</v>
          </cell>
          <cell r="O433">
            <v>41974</v>
          </cell>
          <cell r="P433">
            <v>43799</v>
          </cell>
          <cell r="Q433" t="str">
            <v>Prime</v>
          </cell>
          <cell r="R433" t="str">
            <v>CPFF</v>
          </cell>
          <cell r="S433">
            <v>0</v>
          </cell>
          <cell r="T433">
            <v>1</v>
          </cell>
          <cell r="U433" t="str">
            <v>EBITA</v>
          </cell>
          <cell r="V433" t="str">
            <v>Base</v>
          </cell>
          <cell r="W433" t="str">
            <v>05 Won</v>
          </cell>
          <cell r="X433" t="str">
            <v>Active</v>
          </cell>
          <cell r="Y433">
            <v>1</v>
          </cell>
          <cell r="Z433">
            <v>0</v>
          </cell>
          <cell r="AA433">
            <v>468696.71999999986</v>
          </cell>
          <cell r="AB433">
            <v>0</v>
          </cell>
          <cell r="AC433">
            <v>0</v>
          </cell>
          <cell r="AD433">
            <v>468696.71999999986</v>
          </cell>
          <cell r="AT433">
            <v>3.8461500432168373E-2</v>
          </cell>
          <cell r="AU433">
            <v>3.8461408999881576E-2</v>
          </cell>
          <cell r="AV433">
            <v>2.7320628434664714E-2</v>
          </cell>
          <cell r="AW433">
            <v>4.666522076537296E-2</v>
          </cell>
          <cell r="AX433">
            <v>4.2029394655612111E-2</v>
          </cell>
          <cell r="AY433">
            <v>4.2029394655612111E-2</v>
          </cell>
          <cell r="AZ433">
            <v>4.2029394655612111E-2</v>
          </cell>
          <cell r="BA433">
            <v>4.2029394655612111E-2</v>
          </cell>
          <cell r="BF433">
            <v>34230.750000000015</v>
          </cell>
          <cell r="BG433">
            <v>32451.070000000022</v>
          </cell>
          <cell r="BH433">
            <v>21280.900000000031</v>
          </cell>
          <cell r="BI433">
            <v>7968.9099999999926</v>
          </cell>
          <cell r="BJ433">
            <v>9372.9300000000112</v>
          </cell>
          <cell r="BK433">
            <v>8592.5699999999852</v>
          </cell>
          <cell r="BL433">
            <v>16422.817113323828</v>
          </cell>
          <cell r="BM433">
            <v>42357.227113323817</v>
          </cell>
          <cell r="BN433">
            <v>19699.03941867092</v>
          </cell>
          <cell r="BO433">
            <v>0</v>
          </cell>
          <cell r="BP433">
            <v>0</v>
          </cell>
          <cell r="BQ433">
            <v>0</v>
          </cell>
          <cell r="BR433">
            <v>62056.266531994741</v>
          </cell>
          <cell r="BT433">
            <v>0</v>
          </cell>
          <cell r="CA433" t="str">
            <v>HBSSS0 - EBITA - Base</v>
          </cell>
          <cell r="CC433" t="str">
            <v>HBSSS0 - EBITA - Base - MR</v>
          </cell>
          <cell r="CD433" t="str">
            <v/>
          </cell>
          <cell r="CF433" t="str">
            <v>HBSSS0 - Base - MR</v>
          </cell>
        </row>
        <row r="434">
          <cell r="D434">
            <v>420</v>
          </cell>
          <cell r="E434">
            <v>0</v>
          </cell>
          <cell r="F434">
            <v>0</v>
          </cell>
          <cell r="G434" t="str">
            <v>HBSSS0</v>
          </cell>
          <cell r="H434" t="str">
            <v>Wallops HBSSS</v>
          </cell>
          <cell r="I434" t="str">
            <v>MR</v>
          </cell>
          <cell r="J434" t="str">
            <v>MR Warfighter Support</v>
          </cell>
          <cell r="K434" t="str">
            <v>NASA</v>
          </cell>
          <cell r="L434" t="str">
            <v>NASA</v>
          </cell>
          <cell r="M434" t="str">
            <v>VA</v>
          </cell>
          <cell r="N434" t="str">
            <v>CONUS</v>
          </cell>
          <cell r="O434">
            <v>0</v>
          </cell>
          <cell r="P434">
            <v>0</v>
          </cell>
          <cell r="Q434">
            <v>0</v>
          </cell>
          <cell r="R434" t="str">
            <v>CPFF</v>
          </cell>
          <cell r="S434">
            <v>0</v>
          </cell>
          <cell r="T434">
            <v>1</v>
          </cell>
          <cell r="U434" t="str">
            <v>EBITA</v>
          </cell>
          <cell r="V434" t="str">
            <v>Identified - Recompete</v>
          </cell>
          <cell r="W434">
            <v>0</v>
          </cell>
          <cell r="X434">
            <v>0</v>
          </cell>
          <cell r="Y434">
            <v>0</v>
          </cell>
          <cell r="Z434">
            <v>0</v>
          </cell>
          <cell r="AA434">
            <v>0</v>
          </cell>
          <cell r="AB434">
            <v>0</v>
          </cell>
          <cell r="AC434">
            <v>0</v>
          </cell>
          <cell r="AD434">
            <v>0</v>
          </cell>
          <cell r="AX434">
            <v>0</v>
          </cell>
          <cell r="AY434">
            <v>0</v>
          </cell>
          <cell r="AZ434">
            <v>0</v>
          </cell>
          <cell r="BA434">
            <v>0</v>
          </cell>
          <cell r="BI434">
            <v>0</v>
          </cell>
          <cell r="BJ434">
            <v>0</v>
          </cell>
          <cell r="BK434">
            <v>0</v>
          </cell>
          <cell r="BL434">
            <v>0</v>
          </cell>
          <cell r="BM434">
            <v>0</v>
          </cell>
          <cell r="BN434">
            <v>0</v>
          </cell>
          <cell r="BO434">
            <v>0</v>
          </cell>
          <cell r="BP434">
            <v>0</v>
          </cell>
          <cell r="BQ434">
            <v>0</v>
          </cell>
          <cell r="BR434">
            <v>0</v>
          </cell>
          <cell r="BT434">
            <v>0</v>
          </cell>
          <cell r="CA434" t="str">
            <v>HBSSS0 - EBITA - Identified - Recompete</v>
          </cell>
          <cell r="CC434" t="str">
            <v>HBSSS0 - EBITA - Identified - Recompete - MR</v>
          </cell>
          <cell r="CD434" t="str">
            <v/>
          </cell>
          <cell r="CF434" t="str">
            <v>HBSSS0 - Identified - Recompete - MR</v>
          </cell>
        </row>
        <row r="435">
          <cell r="D435">
            <v>421</v>
          </cell>
          <cell r="E435">
            <v>1</v>
          </cell>
          <cell r="F435">
            <v>1</v>
          </cell>
          <cell r="G435" t="str">
            <v>CP4424</v>
          </cell>
          <cell r="H435" t="str">
            <v>ATI-OTA Ph1 SDC</v>
          </cell>
          <cell r="I435" t="str">
            <v>MR</v>
          </cell>
          <cell r="J435" t="str">
            <v>MR Non-Proliferation and Security Services</v>
          </cell>
          <cell r="K435" t="str">
            <v>Army</v>
          </cell>
          <cell r="L435" t="str">
            <v>DOD</v>
          </cell>
          <cell r="M435" t="str">
            <v>KY</v>
          </cell>
          <cell r="N435" t="str">
            <v>CONUS</v>
          </cell>
          <cell r="O435">
            <v>43496</v>
          </cell>
          <cell r="P435">
            <v>43664</v>
          </cell>
          <cell r="Q435" t="str">
            <v>Prime</v>
          </cell>
          <cell r="R435" t="str">
            <v>CPFF</v>
          </cell>
          <cell r="S435">
            <v>0</v>
          </cell>
          <cell r="T435">
            <v>1</v>
          </cell>
          <cell r="U435" t="str">
            <v>REVTOT</v>
          </cell>
          <cell r="V435" t="str">
            <v>Base</v>
          </cell>
          <cell r="W435" t="str">
            <v>05 Won</v>
          </cell>
          <cell r="X435" t="str">
            <v>Active</v>
          </cell>
          <cell r="Y435">
            <v>1</v>
          </cell>
          <cell r="Z435">
            <v>0</v>
          </cell>
          <cell r="AA435">
            <v>11201.499999999884</v>
          </cell>
          <cell r="AB435">
            <v>0</v>
          </cell>
          <cell r="AC435">
            <v>0</v>
          </cell>
          <cell r="AD435">
            <v>11201.499999999884</v>
          </cell>
          <cell r="AE435">
            <v>0</v>
          </cell>
          <cell r="AF435">
            <v>0</v>
          </cell>
          <cell r="AG435">
            <v>0</v>
          </cell>
          <cell r="AH435">
            <v>-1</v>
          </cell>
          <cell r="AI435">
            <v>0</v>
          </cell>
          <cell r="AJ435">
            <v>0</v>
          </cell>
          <cell r="AK435">
            <v>0</v>
          </cell>
          <cell r="BB435">
            <v>0</v>
          </cell>
          <cell r="BC435">
            <v>0</v>
          </cell>
          <cell r="BD435">
            <v>0</v>
          </cell>
          <cell r="BE435">
            <v>0</v>
          </cell>
          <cell r="BF435">
            <v>0</v>
          </cell>
          <cell r="BG435">
            <v>0</v>
          </cell>
          <cell r="BH435">
            <v>0</v>
          </cell>
          <cell r="BI435">
            <v>0</v>
          </cell>
          <cell r="BJ435">
            <v>48659.91</v>
          </cell>
          <cell r="BK435">
            <v>1765217.5900000003</v>
          </cell>
          <cell r="BL435">
            <v>0</v>
          </cell>
          <cell r="BM435">
            <v>1813877.5000000002</v>
          </cell>
          <cell r="BN435">
            <v>0</v>
          </cell>
          <cell r="BO435">
            <v>0</v>
          </cell>
          <cell r="BP435">
            <v>0</v>
          </cell>
          <cell r="BQ435">
            <v>0</v>
          </cell>
          <cell r="BR435">
            <v>1813877.5000000002</v>
          </cell>
          <cell r="BT435">
            <v>0</v>
          </cell>
          <cell r="CA435" t="str">
            <v>CP4424 - REVTOT - Base</v>
          </cell>
          <cell r="CC435" t="str">
            <v>CP4424 - REVTOT - Base - MR</v>
          </cell>
          <cell r="CD435" t="str">
            <v>CP4424 - REVTOT - Base - MR</v>
          </cell>
          <cell r="CF435" t="str">
            <v>CP4424 - Base - MR</v>
          </cell>
        </row>
        <row r="436">
          <cell r="D436">
            <v>422</v>
          </cell>
          <cell r="E436">
            <v>1</v>
          </cell>
          <cell r="F436">
            <v>2</v>
          </cell>
          <cell r="G436" t="str">
            <v>CP4424</v>
          </cell>
          <cell r="H436" t="str">
            <v>ATI-OTA Ph1 SDC</v>
          </cell>
          <cell r="I436" t="str">
            <v>MR</v>
          </cell>
          <cell r="J436" t="str">
            <v>MR Non-Proliferation and Security Services</v>
          </cell>
          <cell r="K436" t="str">
            <v>Army</v>
          </cell>
          <cell r="L436" t="str">
            <v>DOD</v>
          </cell>
          <cell r="M436" t="str">
            <v>KY</v>
          </cell>
          <cell r="N436" t="str">
            <v>CONUS</v>
          </cell>
          <cell r="O436">
            <v>0</v>
          </cell>
          <cell r="P436">
            <v>0</v>
          </cell>
          <cell r="Q436">
            <v>0</v>
          </cell>
          <cell r="R436" t="str">
            <v>CPFF</v>
          </cell>
          <cell r="S436">
            <v>0</v>
          </cell>
          <cell r="T436">
            <v>1</v>
          </cell>
          <cell r="U436" t="str">
            <v>REVTOT</v>
          </cell>
          <cell r="V436" t="str">
            <v>Identified - Recompete</v>
          </cell>
          <cell r="W436">
            <v>0</v>
          </cell>
          <cell r="X436">
            <v>0</v>
          </cell>
          <cell r="Y436">
            <v>0</v>
          </cell>
          <cell r="Z436">
            <v>0</v>
          </cell>
          <cell r="AA436">
            <v>0</v>
          </cell>
          <cell r="AB436">
            <v>0</v>
          </cell>
          <cell r="AC436">
            <v>0</v>
          </cell>
          <cell r="AD436">
            <v>0</v>
          </cell>
          <cell r="AI436">
            <v>0</v>
          </cell>
          <cell r="AJ436">
            <v>0</v>
          </cell>
          <cell r="AK436">
            <v>0</v>
          </cell>
          <cell r="BB436">
            <v>0</v>
          </cell>
          <cell r="BC436">
            <v>0</v>
          </cell>
          <cell r="BD436">
            <v>0</v>
          </cell>
          <cell r="BE436">
            <v>0</v>
          </cell>
          <cell r="BI436">
            <v>0</v>
          </cell>
          <cell r="BJ436">
            <v>0</v>
          </cell>
          <cell r="BK436">
            <v>0</v>
          </cell>
          <cell r="BL436">
            <v>0</v>
          </cell>
          <cell r="BM436">
            <v>0</v>
          </cell>
          <cell r="BN436">
            <v>0</v>
          </cell>
          <cell r="BO436">
            <v>0</v>
          </cell>
          <cell r="BP436">
            <v>0</v>
          </cell>
          <cell r="BQ436">
            <v>0</v>
          </cell>
          <cell r="BR436">
            <v>0</v>
          </cell>
          <cell r="BT436">
            <v>0</v>
          </cell>
          <cell r="CA436" t="str">
            <v>CP4424 - REVTOT - Identified - Recompete</v>
          </cell>
          <cell r="CC436" t="str">
            <v>CP4424 - REVTOT - Identified - Recompete - MR</v>
          </cell>
          <cell r="CD436" t="str">
            <v/>
          </cell>
          <cell r="CF436" t="str">
            <v>CP4424 - Identified - Recompete - MR</v>
          </cell>
        </row>
        <row r="437">
          <cell r="D437">
            <v>423</v>
          </cell>
          <cell r="E437">
            <v>2</v>
          </cell>
          <cell r="F437">
            <v>3</v>
          </cell>
          <cell r="G437" t="str">
            <v>CP4424</v>
          </cell>
          <cell r="H437" t="str">
            <v>ATI-OTA Ph1 SDC</v>
          </cell>
          <cell r="I437" t="str">
            <v>MR</v>
          </cell>
          <cell r="J437" t="str">
            <v>MR Non-Proliferation and Security Services</v>
          </cell>
          <cell r="K437" t="str">
            <v>Army</v>
          </cell>
          <cell r="L437" t="str">
            <v>DOD</v>
          </cell>
          <cell r="M437" t="str">
            <v>KY</v>
          </cell>
          <cell r="N437" t="str">
            <v>CONUS</v>
          </cell>
          <cell r="O437">
            <v>43496</v>
          </cell>
          <cell r="P437">
            <v>43664</v>
          </cell>
          <cell r="Q437" t="str">
            <v>Prime</v>
          </cell>
          <cell r="R437" t="str">
            <v>CPFF</v>
          </cell>
          <cell r="S437">
            <v>0</v>
          </cell>
          <cell r="T437">
            <v>1</v>
          </cell>
          <cell r="U437" t="str">
            <v>CONTRACT</v>
          </cell>
          <cell r="V437" t="str">
            <v>Base</v>
          </cell>
          <cell r="W437" t="str">
            <v>05 Won</v>
          </cell>
          <cell r="X437" t="str">
            <v>Active</v>
          </cell>
          <cell r="Y437">
            <v>1</v>
          </cell>
          <cell r="Z437">
            <v>0</v>
          </cell>
          <cell r="AA437">
            <v>11201.499999999884</v>
          </cell>
          <cell r="AB437">
            <v>0</v>
          </cell>
          <cell r="AC437">
            <v>0</v>
          </cell>
          <cell r="AD437">
            <v>11201.499999999884</v>
          </cell>
          <cell r="AL437">
            <v>0</v>
          </cell>
          <cell r="AM437">
            <v>0</v>
          </cell>
          <cell r="AN437">
            <v>0</v>
          </cell>
          <cell r="AO437">
            <v>0.12894992633184993</v>
          </cell>
          <cell r="AP437">
            <v>0.12894992633184993</v>
          </cell>
          <cell r="AQ437">
            <v>0.12894992633184993</v>
          </cell>
          <cell r="AR437">
            <v>0.12894992633184993</v>
          </cell>
          <cell r="AS437">
            <v>0.12894992633184993</v>
          </cell>
          <cell r="BF437">
            <v>0</v>
          </cell>
          <cell r="BG437">
            <v>0</v>
          </cell>
          <cell r="BH437">
            <v>0</v>
          </cell>
          <cell r="BI437">
            <v>0</v>
          </cell>
          <cell r="BJ437">
            <v>22877.550000000003</v>
          </cell>
          <cell r="BK437">
            <v>211021.82000000015</v>
          </cell>
          <cell r="BL437">
            <v>0</v>
          </cell>
          <cell r="BM437">
            <v>233899.37000000017</v>
          </cell>
          <cell r="BN437">
            <v>0</v>
          </cell>
          <cell r="BO437">
            <v>0</v>
          </cell>
          <cell r="BP437">
            <v>0</v>
          </cell>
          <cell r="BQ437">
            <v>0</v>
          </cell>
          <cell r="BR437">
            <v>233899.37000000017</v>
          </cell>
          <cell r="BT437">
            <v>0</v>
          </cell>
          <cell r="CA437" t="str">
            <v>CP4424 - CONTRACT - Base</v>
          </cell>
          <cell r="CC437" t="str">
            <v>CP4424 - CONTRACT - Base - MR</v>
          </cell>
          <cell r="CD437" t="str">
            <v/>
          </cell>
          <cell r="CF437" t="str">
            <v>CP4424 - Base - MR</v>
          </cell>
        </row>
        <row r="438">
          <cell r="D438">
            <v>424</v>
          </cell>
          <cell r="E438">
            <v>2</v>
          </cell>
          <cell r="F438">
            <v>4</v>
          </cell>
          <cell r="G438" t="str">
            <v>CP4424</v>
          </cell>
          <cell r="H438" t="str">
            <v>ATI-OTA Ph1 SDC</v>
          </cell>
          <cell r="I438" t="str">
            <v>MR</v>
          </cell>
          <cell r="J438" t="str">
            <v>MR Non-Proliferation and Security Services</v>
          </cell>
          <cell r="K438" t="str">
            <v>Army</v>
          </cell>
          <cell r="L438" t="str">
            <v>DOD</v>
          </cell>
          <cell r="M438" t="str">
            <v>KY</v>
          </cell>
          <cell r="N438" t="str">
            <v>CONUS</v>
          </cell>
          <cell r="O438">
            <v>0</v>
          </cell>
          <cell r="P438">
            <v>0</v>
          </cell>
          <cell r="Q438">
            <v>0</v>
          </cell>
          <cell r="R438" t="str">
            <v>CPFF</v>
          </cell>
          <cell r="S438">
            <v>0</v>
          </cell>
          <cell r="T438">
            <v>1</v>
          </cell>
          <cell r="U438" t="str">
            <v>CONTRACT</v>
          </cell>
          <cell r="V438" t="str">
            <v>Identified - Recompete</v>
          </cell>
          <cell r="W438">
            <v>0</v>
          </cell>
          <cell r="X438">
            <v>0</v>
          </cell>
          <cell r="Y438">
            <v>0</v>
          </cell>
          <cell r="Z438">
            <v>0</v>
          </cell>
          <cell r="AA438">
            <v>0</v>
          </cell>
          <cell r="AB438">
            <v>0</v>
          </cell>
          <cell r="AC438">
            <v>0</v>
          </cell>
          <cell r="AD438">
            <v>0</v>
          </cell>
          <cell r="AP438">
            <v>0</v>
          </cell>
          <cell r="AQ438">
            <v>0</v>
          </cell>
          <cell r="AR438">
            <v>0</v>
          </cell>
          <cell r="AS438">
            <v>0</v>
          </cell>
          <cell r="BI438">
            <v>0</v>
          </cell>
          <cell r="BJ438">
            <v>0</v>
          </cell>
          <cell r="BK438">
            <v>0</v>
          </cell>
          <cell r="BL438">
            <v>0</v>
          </cell>
          <cell r="BM438">
            <v>0</v>
          </cell>
          <cell r="BN438">
            <v>0</v>
          </cell>
          <cell r="BO438">
            <v>0</v>
          </cell>
          <cell r="BP438">
            <v>0</v>
          </cell>
          <cell r="BQ438">
            <v>0</v>
          </cell>
          <cell r="BR438">
            <v>0</v>
          </cell>
          <cell r="BT438">
            <v>0</v>
          </cell>
          <cell r="CA438" t="str">
            <v>CP4424 - CONTRACT - Identified - Recompete</v>
          </cell>
          <cell r="CC438" t="str">
            <v>CP4424 - CONTRACT - Identified - Recompete - MR</v>
          </cell>
          <cell r="CD438" t="str">
            <v/>
          </cell>
          <cell r="CF438" t="str">
            <v>CP4424 - Identified - Recompete - MR</v>
          </cell>
        </row>
        <row r="439">
          <cell r="D439">
            <v>425</v>
          </cell>
          <cell r="E439">
            <v>0</v>
          </cell>
          <cell r="F439">
            <v>5</v>
          </cell>
          <cell r="G439" t="str">
            <v>CP4424</v>
          </cell>
          <cell r="H439" t="str">
            <v>ATI-OTA Ph1 SDC</v>
          </cell>
          <cell r="I439" t="str">
            <v>MR</v>
          </cell>
          <cell r="J439" t="str">
            <v>MR Non-Proliferation and Security Services</v>
          </cell>
          <cell r="K439" t="str">
            <v>Army</v>
          </cell>
          <cell r="L439" t="str">
            <v>DOD</v>
          </cell>
          <cell r="M439" t="str">
            <v>KY</v>
          </cell>
          <cell r="N439" t="str">
            <v>CONUS</v>
          </cell>
          <cell r="O439">
            <v>43496</v>
          </cell>
          <cell r="P439">
            <v>43664</v>
          </cell>
          <cell r="Q439" t="str">
            <v>Prime</v>
          </cell>
          <cell r="R439" t="str">
            <v>CPFF</v>
          </cell>
          <cell r="S439">
            <v>0</v>
          </cell>
          <cell r="T439">
            <v>1</v>
          </cell>
          <cell r="U439" t="str">
            <v>EBITA</v>
          </cell>
          <cell r="V439" t="str">
            <v>Base</v>
          </cell>
          <cell r="W439" t="str">
            <v>05 Won</v>
          </cell>
          <cell r="X439" t="str">
            <v>Active</v>
          </cell>
          <cell r="Y439">
            <v>1</v>
          </cell>
          <cell r="Z439">
            <v>0</v>
          </cell>
          <cell r="AA439">
            <v>11201.499999999884</v>
          </cell>
          <cell r="AB439">
            <v>0</v>
          </cell>
          <cell r="AC439">
            <v>0</v>
          </cell>
          <cell r="AD439">
            <v>11201.499999999884</v>
          </cell>
          <cell r="AT439">
            <v>0</v>
          </cell>
          <cell r="AU439">
            <v>0</v>
          </cell>
          <cell r="AV439">
            <v>0</v>
          </cell>
          <cell r="AW439">
            <v>5.489505217414084E-2</v>
          </cell>
          <cell r="AX439">
            <v>5.489505217414084E-2</v>
          </cell>
          <cell r="AY439">
            <v>5.489505217414084E-2</v>
          </cell>
          <cell r="AZ439">
            <v>5.489505217414084E-2</v>
          </cell>
          <cell r="BA439">
            <v>5.489505217414084E-2</v>
          </cell>
          <cell r="BF439">
            <v>0</v>
          </cell>
          <cell r="BG439">
            <v>0</v>
          </cell>
          <cell r="BH439">
            <v>0</v>
          </cell>
          <cell r="BI439">
            <v>0</v>
          </cell>
          <cell r="BJ439">
            <v>20553.900000000001</v>
          </cell>
          <cell r="BK439">
            <v>79019.00000000016</v>
          </cell>
          <cell r="BL439">
            <v>0</v>
          </cell>
          <cell r="BM439">
            <v>99572.900000000169</v>
          </cell>
          <cell r="BN439">
            <v>0</v>
          </cell>
          <cell r="BO439">
            <v>0</v>
          </cell>
          <cell r="BP439">
            <v>0</v>
          </cell>
          <cell r="BQ439">
            <v>0</v>
          </cell>
          <cell r="BR439">
            <v>99572.900000000169</v>
          </cell>
          <cell r="BT439">
            <v>0</v>
          </cell>
          <cell r="CA439" t="str">
            <v>CP4424 - EBITA - Base</v>
          </cell>
          <cell r="CC439" t="str">
            <v>CP4424 - EBITA - Base - MR</v>
          </cell>
          <cell r="CD439" t="str">
            <v/>
          </cell>
          <cell r="CF439" t="str">
            <v>CP4424 - Base - MR</v>
          </cell>
        </row>
        <row r="440">
          <cell r="D440">
            <v>426</v>
          </cell>
          <cell r="E440">
            <v>0</v>
          </cell>
          <cell r="F440">
            <v>0</v>
          </cell>
          <cell r="G440" t="str">
            <v>CP4424</v>
          </cell>
          <cell r="H440" t="str">
            <v>ATI-OTA Ph1 SDC</v>
          </cell>
          <cell r="I440" t="str">
            <v>MR</v>
          </cell>
          <cell r="J440" t="str">
            <v>MR Non-Proliferation and Security Services</v>
          </cell>
          <cell r="K440" t="str">
            <v>Army</v>
          </cell>
          <cell r="L440" t="str">
            <v>DOD</v>
          </cell>
          <cell r="M440" t="str">
            <v>KY</v>
          </cell>
          <cell r="N440" t="str">
            <v>CONUS</v>
          </cell>
          <cell r="O440">
            <v>0</v>
          </cell>
          <cell r="P440">
            <v>0</v>
          </cell>
          <cell r="Q440">
            <v>0</v>
          </cell>
          <cell r="R440" t="str">
            <v>CPFF</v>
          </cell>
          <cell r="S440">
            <v>0</v>
          </cell>
          <cell r="T440">
            <v>1</v>
          </cell>
          <cell r="U440" t="str">
            <v>EBITA</v>
          </cell>
          <cell r="V440" t="str">
            <v>Identified - Recompete</v>
          </cell>
          <cell r="W440">
            <v>0</v>
          </cell>
          <cell r="X440">
            <v>0</v>
          </cell>
          <cell r="Y440">
            <v>0</v>
          </cell>
          <cell r="Z440">
            <v>0</v>
          </cell>
          <cell r="AA440">
            <v>0</v>
          </cell>
          <cell r="AB440">
            <v>0</v>
          </cell>
          <cell r="AC440">
            <v>0</v>
          </cell>
          <cell r="AD440">
            <v>0</v>
          </cell>
          <cell r="AX440">
            <v>0</v>
          </cell>
          <cell r="AY440">
            <v>0</v>
          </cell>
          <cell r="AZ440">
            <v>0</v>
          </cell>
          <cell r="BA440">
            <v>0</v>
          </cell>
          <cell r="BI440">
            <v>0</v>
          </cell>
          <cell r="BJ440">
            <v>0</v>
          </cell>
          <cell r="BK440">
            <v>0</v>
          </cell>
          <cell r="BL440">
            <v>0</v>
          </cell>
          <cell r="BM440">
            <v>0</v>
          </cell>
          <cell r="BN440">
            <v>0</v>
          </cell>
          <cell r="BO440">
            <v>0</v>
          </cell>
          <cell r="BP440">
            <v>0</v>
          </cell>
          <cell r="BQ440">
            <v>0</v>
          </cell>
          <cell r="BR440">
            <v>0</v>
          </cell>
          <cell r="BT440">
            <v>0</v>
          </cell>
          <cell r="CA440" t="str">
            <v>CP4424 - EBITA - Identified - Recompete</v>
          </cell>
          <cell r="CC440" t="str">
            <v>CP4424 - EBITA - Identified - Recompete - MR</v>
          </cell>
          <cell r="CD440" t="str">
            <v/>
          </cell>
          <cell r="CF440" t="str">
            <v>CP4424 - Identified - Recompete - MR</v>
          </cell>
        </row>
        <row r="441">
          <cell r="D441">
            <v>427</v>
          </cell>
          <cell r="E441">
            <v>1</v>
          </cell>
          <cell r="F441">
            <v>1</v>
          </cell>
          <cell r="G441" t="str">
            <v>PMRADART</v>
          </cell>
          <cell r="H441" t="str">
            <v>PM RADARS Total</v>
          </cell>
          <cell r="I441" t="str">
            <v>MR</v>
          </cell>
          <cell r="J441" t="str">
            <v>MR Logistics &amp; Supply</v>
          </cell>
          <cell r="K441" t="str">
            <v>Army</v>
          </cell>
          <cell r="L441" t="str">
            <v>DOD</v>
          </cell>
          <cell r="M441" t="str">
            <v>MD</v>
          </cell>
          <cell r="N441" t="str">
            <v>CONUS</v>
          </cell>
          <cell r="O441">
            <v>41264</v>
          </cell>
          <cell r="P441">
            <v>43940</v>
          </cell>
          <cell r="Q441" t="str">
            <v>Sub</v>
          </cell>
          <cell r="R441" t="str">
            <v>CPFF</v>
          </cell>
          <cell r="S441">
            <v>0</v>
          </cell>
          <cell r="T441">
            <v>1</v>
          </cell>
          <cell r="U441" t="str">
            <v>REVTOT</v>
          </cell>
          <cell r="V441" t="str">
            <v>Base</v>
          </cell>
          <cell r="W441" t="str">
            <v>05 Won</v>
          </cell>
          <cell r="X441" t="str">
            <v>Active</v>
          </cell>
          <cell r="Y441">
            <v>1</v>
          </cell>
          <cell r="Z441">
            <v>0</v>
          </cell>
          <cell r="AA441">
            <v>128995.52999999997</v>
          </cell>
          <cell r="AB441">
            <v>425227.08999999997</v>
          </cell>
          <cell r="AC441">
            <v>0</v>
          </cell>
          <cell r="AD441">
            <v>554222.61999999988</v>
          </cell>
          <cell r="AE441">
            <v>-0.29744984980527478</v>
          </cell>
          <cell r="AF441">
            <v>-0.10313228811741459</v>
          </cell>
          <cell r="AG441">
            <v>4.3024064675556417E-4</v>
          </cell>
          <cell r="AH441">
            <v>-0.30478779576311932</v>
          </cell>
          <cell r="AI441">
            <v>0</v>
          </cell>
          <cell r="AJ441">
            <v>0</v>
          </cell>
          <cell r="AK441">
            <v>0</v>
          </cell>
          <cell r="BB441">
            <v>858478.82</v>
          </cell>
          <cell r="BC441">
            <v>858478.82</v>
          </cell>
          <cell r="BD441">
            <v>858478.82</v>
          </cell>
          <cell r="BE441">
            <v>858478.82</v>
          </cell>
          <cell r="BF441">
            <v>1264661.5900000001</v>
          </cell>
          <cell r="BG441">
            <v>888488.19000000006</v>
          </cell>
          <cell r="BH441">
            <v>796856.36999999988</v>
          </cell>
          <cell r="BI441">
            <v>192125.79</v>
          </cell>
          <cell r="BJ441">
            <v>205497.36</v>
          </cell>
          <cell r="BK441">
            <v>204576.06</v>
          </cell>
          <cell r="BL441">
            <v>195000</v>
          </cell>
          <cell r="BM441">
            <v>797199.21</v>
          </cell>
          <cell r="BN441">
            <v>554222.61999999988</v>
          </cell>
          <cell r="BO441">
            <v>0</v>
          </cell>
          <cell r="BP441">
            <v>0</v>
          </cell>
          <cell r="BQ441">
            <v>0</v>
          </cell>
          <cell r="BR441">
            <v>1351421.8299999998</v>
          </cell>
          <cell r="BT441">
            <v>0</v>
          </cell>
          <cell r="CA441" t="str">
            <v>PMRADART - REVTOT - Base</v>
          </cell>
          <cell r="CC441" t="str">
            <v>PMRADART - REVTOT - Base - MR</v>
          </cell>
          <cell r="CD441" t="str">
            <v>PMRADART - REVTOT - Base - MR</v>
          </cell>
          <cell r="CF441" t="str">
            <v>PMRADART - Base - MR</v>
          </cell>
        </row>
        <row r="442">
          <cell r="D442">
            <v>428</v>
          </cell>
          <cell r="E442">
            <v>1</v>
          </cell>
          <cell r="F442">
            <v>2</v>
          </cell>
          <cell r="G442" t="str">
            <v>PMRADART</v>
          </cell>
          <cell r="H442" t="str">
            <v>PM RADARS Total</v>
          </cell>
          <cell r="I442" t="str">
            <v>MR</v>
          </cell>
          <cell r="J442" t="str">
            <v>MR Logistics &amp; Supply</v>
          </cell>
          <cell r="K442" t="str">
            <v>Army</v>
          </cell>
          <cell r="L442" t="str">
            <v>DOD</v>
          </cell>
          <cell r="M442" t="str">
            <v>MD</v>
          </cell>
          <cell r="N442" t="str">
            <v>CONUS</v>
          </cell>
          <cell r="O442">
            <v>43969</v>
          </cell>
          <cell r="P442">
            <v>45064</v>
          </cell>
          <cell r="Q442" t="str">
            <v>Prime</v>
          </cell>
          <cell r="R442" t="str">
            <v>CPFF</v>
          </cell>
          <cell r="S442">
            <v>0</v>
          </cell>
          <cell r="T442">
            <v>1</v>
          </cell>
          <cell r="U442" t="str">
            <v>REVTOT</v>
          </cell>
          <cell r="V442" t="str">
            <v>Identified - Recompete</v>
          </cell>
          <cell r="W442" t="str">
            <v>01 Prospect</v>
          </cell>
          <cell r="X442" t="str">
            <v>Priority 1</v>
          </cell>
          <cell r="Y442">
            <v>0.2</v>
          </cell>
          <cell r="Z442">
            <v>0</v>
          </cell>
          <cell r="AA442">
            <v>0</v>
          </cell>
          <cell r="AB442">
            <v>0</v>
          </cell>
          <cell r="AC442">
            <v>0</v>
          </cell>
          <cell r="AD442">
            <v>0</v>
          </cell>
          <cell r="AI442">
            <v>0</v>
          </cell>
          <cell r="AJ442">
            <v>0</v>
          </cell>
          <cell r="AK442">
            <v>0</v>
          </cell>
          <cell r="BB442">
            <v>0</v>
          </cell>
          <cell r="BC442">
            <v>0</v>
          </cell>
          <cell r="BD442">
            <v>0</v>
          </cell>
          <cell r="BE442">
            <v>0</v>
          </cell>
          <cell r="BI442">
            <v>0</v>
          </cell>
          <cell r="BJ442">
            <v>0</v>
          </cell>
          <cell r="BK442">
            <v>0</v>
          </cell>
          <cell r="BL442">
            <v>0</v>
          </cell>
          <cell r="BM442">
            <v>0</v>
          </cell>
          <cell r="BN442">
            <v>0</v>
          </cell>
          <cell r="BO442">
            <v>0</v>
          </cell>
          <cell r="BP442">
            <v>0</v>
          </cell>
          <cell r="BQ442">
            <v>0</v>
          </cell>
          <cell r="BR442">
            <v>0</v>
          </cell>
          <cell r="BT442">
            <v>0</v>
          </cell>
          <cell r="CA442" t="str">
            <v>PMRADART - REVTOT - Identified - Recompete</v>
          </cell>
          <cell r="CC442" t="str">
            <v>PMRADART - REVTOT - Identified - Recompete - MR</v>
          </cell>
          <cell r="CD442" t="str">
            <v/>
          </cell>
          <cell r="CF442" t="str">
            <v>PMRADART - Identified - Recompete - MR</v>
          </cell>
        </row>
        <row r="443">
          <cell r="D443">
            <v>429</v>
          </cell>
          <cell r="E443">
            <v>2</v>
          </cell>
          <cell r="F443">
            <v>3</v>
          </cell>
          <cell r="G443" t="str">
            <v>PMRADART</v>
          </cell>
          <cell r="H443" t="str">
            <v>PM RADARS Total</v>
          </cell>
          <cell r="I443" t="str">
            <v>MR</v>
          </cell>
          <cell r="J443" t="str">
            <v>MR Logistics &amp; Supply</v>
          </cell>
          <cell r="K443" t="str">
            <v>Army</v>
          </cell>
          <cell r="L443" t="str">
            <v>DOD</v>
          </cell>
          <cell r="M443" t="str">
            <v>MD</v>
          </cell>
          <cell r="N443" t="str">
            <v>CONUS</v>
          </cell>
          <cell r="O443">
            <v>41264</v>
          </cell>
          <cell r="P443">
            <v>43940</v>
          </cell>
          <cell r="Q443" t="str">
            <v>Sub</v>
          </cell>
          <cell r="R443" t="str">
            <v>CPFF</v>
          </cell>
          <cell r="S443">
            <v>0</v>
          </cell>
          <cell r="T443">
            <v>1</v>
          </cell>
          <cell r="U443" t="str">
            <v>CONTRACT</v>
          </cell>
          <cell r="V443" t="str">
            <v>Base</v>
          </cell>
          <cell r="W443" t="str">
            <v>05 Won</v>
          </cell>
          <cell r="X443" t="str">
            <v>Active</v>
          </cell>
          <cell r="Y443">
            <v>1</v>
          </cell>
          <cell r="Z443">
            <v>0</v>
          </cell>
          <cell r="AA443">
            <v>128995.52999999997</v>
          </cell>
          <cell r="AB443">
            <v>425227.08999999997</v>
          </cell>
          <cell r="AC443">
            <v>0</v>
          </cell>
          <cell r="AD443">
            <v>554222.61999999988</v>
          </cell>
          <cell r="AL443">
            <v>0.30393843146608096</v>
          </cell>
          <cell r="AM443">
            <v>0.18492491160743507</v>
          </cell>
          <cell r="AN443">
            <v>0.21416519516559804</v>
          </cell>
          <cell r="AO443">
            <v>0.23499474416187641</v>
          </cell>
          <cell r="AP443">
            <v>0.22899212897995552</v>
          </cell>
          <cell r="AQ443">
            <v>0.22899212897995552</v>
          </cell>
          <cell r="AR443">
            <v>0.22899212897995552</v>
          </cell>
          <cell r="AS443">
            <v>0.22899212897995552</v>
          </cell>
          <cell r="BF443">
            <v>384379.26</v>
          </cell>
          <cell r="BG443">
            <v>164303.59999999998</v>
          </cell>
          <cell r="BH443">
            <v>170658.89999999997</v>
          </cell>
          <cell r="BI443">
            <v>44197.439999999995</v>
          </cell>
          <cell r="BJ443">
            <v>43529.149999999994</v>
          </cell>
          <cell r="BK443">
            <v>43709.210000000006</v>
          </cell>
          <cell r="BL443">
            <v>55901.82439999999</v>
          </cell>
          <cell r="BM443">
            <v>187337.62439999997</v>
          </cell>
          <cell r="BN443">
            <v>126912.61768264885</v>
          </cell>
          <cell r="BO443">
            <v>0</v>
          </cell>
          <cell r="BP443">
            <v>0</v>
          </cell>
          <cell r="BQ443">
            <v>0</v>
          </cell>
          <cell r="BR443">
            <v>314250.24208264879</v>
          </cell>
          <cell r="BT443">
            <v>0</v>
          </cell>
          <cell r="CA443" t="str">
            <v>PMRADART - CONTRACT - Base</v>
          </cell>
          <cell r="CC443" t="str">
            <v>PMRADART - CONTRACT - Base - MR</v>
          </cell>
          <cell r="CD443" t="str">
            <v/>
          </cell>
          <cell r="CF443" t="str">
            <v>PMRADART - Base - MR</v>
          </cell>
        </row>
        <row r="444">
          <cell r="D444">
            <v>430</v>
          </cell>
          <cell r="E444">
            <v>2</v>
          </cell>
          <cell r="F444">
            <v>4</v>
          </cell>
          <cell r="G444" t="str">
            <v>PMRADART</v>
          </cell>
          <cell r="H444" t="str">
            <v>PM RADARS Total</v>
          </cell>
          <cell r="I444" t="str">
            <v>MR</v>
          </cell>
          <cell r="J444" t="str">
            <v>MR Logistics &amp; Supply</v>
          </cell>
          <cell r="K444" t="str">
            <v>Army</v>
          </cell>
          <cell r="L444" t="str">
            <v>DOD</v>
          </cell>
          <cell r="M444" t="str">
            <v>MD</v>
          </cell>
          <cell r="N444" t="str">
            <v>CONUS</v>
          </cell>
          <cell r="O444">
            <v>43969</v>
          </cell>
          <cell r="P444">
            <v>45064</v>
          </cell>
          <cell r="Q444" t="str">
            <v>Prime</v>
          </cell>
          <cell r="R444" t="str">
            <v>CPFF</v>
          </cell>
          <cell r="S444">
            <v>0</v>
          </cell>
          <cell r="T444">
            <v>1</v>
          </cell>
          <cell r="U444" t="str">
            <v>CONTRACT</v>
          </cell>
          <cell r="V444" t="str">
            <v>Identified - Recompete</v>
          </cell>
          <cell r="W444" t="str">
            <v>01 Prospect</v>
          </cell>
          <cell r="X444" t="str">
            <v>Priority 1</v>
          </cell>
          <cell r="Y444">
            <v>0.2</v>
          </cell>
          <cell r="Z444">
            <v>0</v>
          </cell>
          <cell r="AA444">
            <v>0</v>
          </cell>
          <cell r="AB444">
            <v>0</v>
          </cell>
          <cell r="AC444">
            <v>0</v>
          </cell>
          <cell r="AD444">
            <v>0</v>
          </cell>
          <cell r="AP444">
            <v>0</v>
          </cell>
          <cell r="AQ444">
            <v>0</v>
          </cell>
          <cell r="AR444">
            <v>0</v>
          </cell>
          <cell r="AS444">
            <v>0</v>
          </cell>
          <cell r="BI444">
            <v>0</v>
          </cell>
          <cell r="BJ444">
            <v>0</v>
          </cell>
          <cell r="BK444">
            <v>0</v>
          </cell>
          <cell r="BL444">
            <v>0</v>
          </cell>
          <cell r="BM444">
            <v>0</v>
          </cell>
          <cell r="BN444">
            <v>0</v>
          </cell>
          <cell r="BO444">
            <v>0</v>
          </cell>
          <cell r="BP444">
            <v>0</v>
          </cell>
          <cell r="BQ444">
            <v>0</v>
          </cell>
          <cell r="BR444">
            <v>0</v>
          </cell>
          <cell r="BT444">
            <v>0</v>
          </cell>
          <cell r="CA444" t="str">
            <v>PMRADART - CONTRACT - Identified - Recompete</v>
          </cell>
          <cell r="CC444" t="str">
            <v>PMRADART - CONTRACT - Identified - Recompete - MR</v>
          </cell>
          <cell r="CD444" t="str">
            <v/>
          </cell>
          <cell r="CF444" t="str">
            <v>PMRADART - Identified - Recompete - MR</v>
          </cell>
        </row>
        <row r="445">
          <cell r="D445">
            <v>431</v>
          </cell>
          <cell r="E445">
            <v>0</v>
          </cell>
          <cell r="F445">
            <v>5</v>
          </cell>
          <cell r="G445" t="str">
            <v>PMRADART</v>
          </cell>
          <cell r="H445" t="str">
            <v>PM RADARS Total</v>
          </cell>
          <cell r="I445" t="str">
            <v>MR</v>
          </cell>
          <cell r="J445" t="str">
            <v>MR Logistics &amp; Supply</v>
          </cell>
          <cell r="K445" t="str">
            <v>Army</v>
          </cell>
          <cell r="L445" t="str">
            <v>DOD</v>
          </cell>
          <cell r="M445" t="str">
            <v>MD</v>
          </cell>
          <cell r="N445" t="str">
            <v>CONUS</v>
          </cell>
          <cell r="O445">
            <v>41264</v>
          </cell>
          <cell r="P445">
            <v>43940</v>
          </cell>
          <cell r="Q445" t="str">
            <v>Sub</v>
          </cell>
          <cell r="R445" t="str">
            <v>CPFF</v>
          </cell>
          <cell r="S445">
            <v>0</v>
          </cell>
          <cell r="T445">
            <v>1</v>
          </cell>
          <cell r="U445" t="str">
            <v>EBITA</v>
          </cell>
          <cell r="V445" t="str">
            <v>Base</v>
          </cell>
          <cell r="W445" t="str">
            <v>05 Won</v>
          </cell>
          <cell r="X445" t="str">
            <v>Active</v>
          </cell>
          <cell r="Y445">
            <v>1</v>
          </cell>
          <cell r="Z445">
            <v>0</v>
          </cell>
          <cell r="AA445">
            <v>128995.52999999997</v>
          </cell>
          <cell r="AB445">
            <v>425227.08999999997</v>
          </cell>
          <cell r="AC445">
            <v>0</v>
          </cell>
          <cell r="AD445">
            <v>554222.61999999988</v>
          </cell>
          <cell r="AT445">
            <v>3.8503217291512737E-2</v>
          </cell>
          <cell r="AU445">
            <v>5.0078932394137944E-2</v>
          </cell>
          <cell r="AV445">
            <v>2.8649504301509178E-2</v>
          </cell>
          <cell r="AW445">
            <v>5.9692944297996993E-2</v>
          </cell>
          <cell r="AX445">
            <v>5.3759527974890448E-2</v>
          </cell>
          <cell r="AY445">
            <v>5.3759527974890448E-2</v>
          </cell>
          <cell r="AZ445">
            <v>5.3759527974890448E-2</v>
          </cell>
          <cell r="BA445">
            <v>5.3759527974890448E-2</v>
          </cell>
          <cell r="BF445">
            <v>48693.539999999994</v>
          </cell>
          <cell r="BG445">
            <v>44494.539999999994</v>
          </cell>
          <cell r="BH445">
            <v>22829.539999999986</v>
          </cell>
          <cell r="BI445">
            <v>8919.0699999999943</v>
          </cell>
          <cell r="BJ445">
            <v>5288.9699999999939</v>
          </cell>
          <cell r="BK445">
            <v>6377.6600000000071</v>
          </cell>
          <cell r="BL445">
            <v>27001.468036937207</v>
          </cell>
          <cell r="BM445">
            <v>47587.168036937204</v>
          </cell>
          <cell r="BN445">
            <v>29794.74644420707</v>
          </cell>
          <cell r="BO445">
            <v>0</v>
          </cell>
          <cell r="BP445">
            <v>0</v>
          </cell>
          <cell r="BQ445">
            <v>0</v>
          </cell>
          <cell r="BR445">
            <v>77381.914481144282</v>
          </cell>
          <cell r="BT445">
            <v>0</v>
          </cell>
          <cell r="CA445" t="str">
            <v>PMRADART - EBITA - Base</v>
          </cell>
          <cell r="CC445" t="str">
            <v>PMRADART - EBITA - Base - MR</v>
          </cell>
          <cell r="CD445" t="str">
            <v/>
          </cell>
          <cell r="CF445" t="str">
            <v>PMRADART - Base - MR</v>
          </cell>
        </row>
        <row r="446">
          <cell r="D446">
            <v>432</v>
          </cell>
          <cell r="E446">
            <v>0</v>
          </cell>
          <cell r="F446">
            <v>0</v>
          </cell>
          <cell r="G446" t="str">
            <v>PMRADART</v>
          </cell>
          <cell r="H446" t="str">
            <v>PM RADARS Total</v>
          </cell>
          <cell r="I446" t="str">
            <v>MR</v>
          </cell>
          <cell r="J446" t="str">
            <v>MR Logistics &amp; Supply</v>
          </cell>
          <cell r="K446" t="str">
            <v>Army</v>
          </cell>
          <cell r="L446" t="str">
            <v>DOD</v>
          </cell>
          <cell r="M446" t="str">
            <v>MD</v>
          </cell>
          <cell r="N446" t="str">
            <v>CONUS</v>
          </cell>
          <cell r="O446">
            <v>43969</v>
          </cell>
          <cell r="P446">
            <v>45064</v>
          </cell>
          <cell r="Q446" t="str">
            <v>Prime</v>
          </cell>
          <cell r="R446" t="str">
            <v>CPFF</v>
          </cell>
          <cell r="S446">
            <v>0</v>
          </cell>
          <cell r="T446">
            <v>1</v>
          </cell>
          <cell r="U446" t="str">
            <v>EBITA</v>
          </cell>
          <cell r="V446" t="str">
            <v>Identified - Recompete</v>
          </cell>
          <cell r="W446" t="str">
            <v>01 Prospect</v>
          </cell>
          <cell r="X446" t="str">
            <v>Priority 1</v>
          </cell>
          <cell r="Y446">
            <v>0.2</v>
          </cell>
          <cell r="Z446">
            <v>0</v>
          </cell>
          <cell r="AA446">
            <v>0</v>
          </cell>
          <cell r="AB446">
            <v>0</v>
          </cell>
          <cell r="AC446">
            <v>0</v>
          </cell>
          <cell r="AD446">
            <v>0</v>
          </cell>
          <cell r="AX446">
            <v>0</v>
          </cell>
          <cell r="AY446">
            <v>0</v>
          </cell>
          <cell r="AZ446">
            <v>0</v>
          </cell>
          <cell r="BA446">
            <v>0</v>
          </cell>
          <cell r="BI446">
            <v>0</v>
          </cell>
          <cell r="BJ446">
            <v>0</v>
          </cell>
          <cell r="BK446">
            <v>0</v>
          </cell>
          <cell r="BL446">
            <v>0</v>
          </cell>
          <cell r="BM446">
            <v>0</v>
          </cell>
          <cell r="BN446">
            <v>0</v>
          </cell>
          <cell r="BO446">
            <v>0</v>
          </cell>
          <cell r="BP446">
            <v>0</v>
          </cell>
          <cell r="BQ446">
            <v>0</v>
          </cell>
          <cell r="BR446">
            <v>0</v>
          </cell>
          <cell r="BT446">
            <v>0</v>
          </cell>
          <cell r="CA446" t="str">
            <v>PMRADART - EBITA - Identified - Recompete</v>
          </cell>
          <cell r="CC446" t="str">
            <v>PMRADART - EBITA - Identified - Recompete - MR</v>
          </cell>
          <cell r="CD446" t="str">
            <v/>
          </cell>
          <cell r="CF446" t="str">
            <v>PMRADART - Identified - Recompete - MR</v>
          </cell>
        </row>
        <row r="447">
          <cell r="D447">
            <v>433</v>
          </cell>
          <cell r="E447">
            <v>1</v>
          </cell>
          <cell r="F447">
            <v>1</v>
          </cell>
          <cell r="G447" t="str">
            <v>CP3197</v>
          </cell>
          <cell r="H447" t="str">
            <v>AFRICAP SOUTH SUDAN JMEC (3197)</v>
          </cell>
          <cell r="I447" t="str">
            <v>MR</v>
          </cell>
          <cell r="J447" t="str">
            <v>MR Logistics &amp; Supply</v>
          </cell>
          <cell r="K447" t="str">
            <v>Dept. of State</v>
          </cell>
          <cell r="L447" t="str">
            <v>DOS</v>
          </cell>
          <cell r="M447" t="str">
            <v>OH</v>
          </cell>
          <cell r="N447" t="str">
            <v>CONUS</v>
          </cell>
          <cell r="O447">
            <v>41897</v>
          </cell>
          <cell r="P447">
            <v>43722</v>
          </cell>
          <cell r="Q447" t="str">
            <v>JV</v>
          </cell>
          <cell r="R447" t="str">
            <v>CPFF</v>
          </cell>
          <cell r="S447">
            <v>0</v>
          </cell>
          <cell r="T447">
            <v>1</v>
          </cell>
          <cell r="U447" t="str">
            <v>REVTOT</v>
          </cell>
          <cell r="V447" t="str">
            <v>Base</v>
          </cell>
          <cell r="W447" t="str">
            <v>05 Won</v>
          </cell>
          <cell r="X447" t="str">
            <v>Active</v>
          </cell>
          <cell r="Y447">
            <v>1</v>
          </cell>
          <cell r="Z447">
            <v>0</v>
          </cell>
          <cell r="AA447">
            <v>0</v>
          </cell>
          <cell r="AB447">
            <v>0</v>
          </cell>
          <cell r="AC447">
            <v>0</v>
          </cell>
          <cell r="AD447">
            <v>0</v>
          </cell>
          <cell r="AE447">
            <v>0</v>
          </cell>
          <cell r="AF447">
            <v>0.68526622969653239</v>
          </cell>
          <cell r="AG447">
            <v>-0.77706090954104501</v>
          </cell>
          <cell r="AH447">
            <v>-1</v>
          </cell>
          <cell r="AI447">
            <v>0</v>
          </cell>
          <cell r="AJ447">
            <v>0</v>
          </cell>
          <cell r="AK447">
            <v>0</v>
          </cell>
          <cell r="BB447">
            <v>0</v>
          </cell>
          <cell r="BC447">
            <v>0</v>
          </cell>
          <cell r="BD447">
            <v>0</v>
          </cell>
          <cell r="BE447">
            <v>0</v>
          </cell>
          <cell r="BF447">
            <v>0</v>
          </cell>
          <cell r="BG447">
            <v>4382098.1100000003</v>
          </cell>
          <cell r="BH447">
            <v>7385001.9600000009</v>
          </cell>
          <cell r="BI447">
            <v>1323470.26</v>
          </cell>
          <cell r="BJ447">
            <v>325568.58</v>
          </cell>
          <cell r="BK447">
            <v>-2633.2199999999993</v>
          </cell>
          <cell r="BL447">
            <v>0</v>
          </cell>
          <cell r="BM447">
            <v>1646405.62</v>
          </cell>
          <cell r="BN447">
            <v>0</v>
          </cell>
          <cell r="BO447">
            <v>0</v>
          </cell>
          <cell r="BP447">
            <v>0</v>
          </cell>
          <cell r="BQ447">
            <v>0</v>
          </cell>
          <cell r="BR447">
            <v>1646405.62</v>
          </cell>
          <cell r="BT447">
            <v>0</v>
          </cell>
          <cell r="CA447" t="str">
            <v>CP3197 - REVTOT - Base</v>
          </cell>
          <cell r="CC447" t="str">
            <v>CP3197 - REVTOT - Base - MR</v>
          </cell>
          <cell r="CD447" t="str">
            <v>CP3197 - REVTOT - Base - MR</v>
          </cell>
          <cell r="CF447" t="str">
            <v>CP3197 - Base - MR</v>
          </cell>
        </row>
        <row r="448">
          <cell r="D448">
            <v>434</v>
          </cell>
          <cell r="E448">
            <v>1</v>
          </cell>
          <cell r="F448">
            <v>2</v>
          </cell>
          <cell r="G448" t="str">
            <v>CP3197</v>
          </cell>
          <cell r="H448" t="str">
            <v>AFRICAP SOUTH SUDAN JMEC (3197)</v>
          </cell>
          <cell r="I448" t="str">
            <v>MR</v>
          </cell>
          <cell r="J448" t="str">
            <v>MR Logistics &amp; Supply</v>
          </cell>
          <cell r="K448" t="str">
            <v>Dept. of State</v>
          </cell>
          <cell r="L448" t="str">
            <v>DOS</v>
          </cell>
          <cell r="M448" t="str">
            <v>OH</v>
          </cell>
          <cell r="N448" t="str">
            <v>CONUS</v>
          </cell>
          <cell r="O448">
            <v>0</v>
          </cell>
          <cell r="P448">
            <v>0</v>
          </cell>
          <cell r="Q448">
            <v>0</v>
          </cell>
          <cell r="R448" t="str">
            <v>CPFF</v>
          </cell>
          <cell r="S448">
            <v>0</v>
          </cell>
          <cell r="T448">
            <v>1</v>
          </cell>
          <cell r="U448" t="str">
            <v>REVTOT</v>
          </cell>
          <cell r="V448" t="str">
            <v>Identified - Recompete</v>
          </cell>
          <cell r="W448">
            <v>0</v>
          </cell>
          <cell r="X448">
            <v>0</v>
          </cell>
          <cell r="Y448">
            <v>0</v>
          </cell>
          <cell r="Z448">
            <v>0</v>
          </cell>
          <cell r="AA448">
            <v>0</v>
          </cell>
          <cell r="AB448">
            <v>0</v>
          </cell>
          <cell r="AC448">
            <v>0</v>
          </cell>
          <cell r="AD448">
            <v>0</v>
          </cell>
          <cell r="AI448">
            <v>0</v>
          </cell>
          <cell r="AJ448">
            <v>0</v>
          </cell>
          <cell r="AK448">
            <v>0</v>
          </cell>
          <cell r="BB448">
            <v>0</v>
          </cell>
          <cell r="BC448">
            <v>0</v>
          </cell>
          <cell r="BD448">
            <v>0</v>
          </cell>
          <cell r="BE448">
            <v>0</v>
          </cell>
          <cell r="BI448">
            <v>0</v>
          </cell>
          <cell r="BJ448">
            <v>0</v>
          </cell>
          <cell r="BK448">
            <v>0</v>
          </cell>
          <cell r="BL448">
            <v>0</v>
          </cell>
          <cell r="BM448">
            <v>0</v>
          </cell>
          <cell r="BN448">
            <v>0</v>
          </cell>
          <cell r="BO448">
            <v>0</v>
          </cell>
          <cell r="BP448">
            <v>0</v>
          </cell>
          <cell r="BQ448">
            <v>0</v>
          </cell>
          <cell r="BR448">
            <v>0</v>
          </cell>
          <cell r="BT448">
            <v>0</v>
          </cell>
          <cell r="CA448" t="str">
            <v>CP3197 - REVTOT - Identified - Recompete</v>
          </cell>
          <cell r="CC448" t="str">
            <v>CP3197 - REVTOT - Identified - Recompete - MR</v>
          </cell>
          <cell r="CD448" t="str">
            <v/>
          </cell>
          <cell r="CF448" t="str">
            <v>CP3197 - Identified - Recompete - MR</v>
          </cell>
        </row>
        <row r="449">
          <cell r="D449">
            <v>435</v>
          </cell>
          <cell r="E449">
            <v>2</v>
          </cell>
          <cell r="F449">
            <v>3</v>
          </cell>
          <cell r="G449" t="str">
            <v>CP3197</v>
          </cell>
          <cell r="H449" t="str">
            <v>AFRICAP SOUTH SUDAN JMEC (3197)</v>
          </cell>
          <cell r="I449" t="str">
            <v>MR</v>
          </cell>
          <cell r="J449" t="str">
            <v>MR Logistics &amp; Supply</v>
          </cell>
          <cell r="K449" t="str">
            <v>Dept. of State</v>
          </cell>
          <cell r="L449" t="str">
            <v>DOS</v>
          </cell>
          <cell r="M449" t="str">
            <v>OH</v>
          </cell>
          <cell r="N449" t="str">
            <v>CONUS</v>
          </cell>
          <cell r="O449">
            <v>41897</v>
          </cell>
          <cell r="P449">
            <v>43722</v>
          </cell>
          <cell r="Q449" t="str">
            <v>JV</v>
          </cell>
          <cell r="R449" t="str">
            <v>CPFF</v>
          </cell>
          <cell r="S449">
            <v>0</v>
          </cell>
          <cell r="T449">
            <v>1</v>
          </cell>
          <cell r="U449" t="str">
            <v>CONTRACT</v>
          </cell>
          <cell r="V449" t="str">
            <v>Base</v>
          </cell>
          <cell r="W449" t="str">
            <v>05 Won</v>
          </cell>
          <cell r="X449" t="str">
            <v>Active</v>
          </cell>
          <cell r="Y449">
            <v>1</v>
          </cell>
          <cell r="Z449">
            <v>0</v>
          </cell>
          <cell r="AA449">
            <v>0</v>
          </cell>
          <cell r="AB449">
            <v>0</v>
          </cell>
          <cell r="AC449">
            <v>0</v>
          </cell>
          <cell r="AD449">
            <v>0</v>
          </cell>
          <cell r="AL449">
            <v>0</v>
          </cell>
          <cell r="AM449">
            <v>0.18527067163268052</v>
          </cell>
          <cell r="AN449">
            <v>0.14597289829290716</v>
          </cell>
          <cell r="AO449">
            <v>0.1807275718604508</v>
          </cell>
          <cell r="AP449">
            <v>0.16307707623598883</v>
          </cell>
          <cell r="AQ449">
            <v>0.16307707623598883</v>
          </cell>
          <cell r="AR449">
            <v>0.16307707623598883</v>
          </cell>
          <cell r="AS449">
            <v>0.16307707623598883</v>
          </cell>
          <cell r="BF449">
            <v>0</v>
          </cell>
          <cell r="BG449">
            <v>811874.26</v>
          </cell>
          <cell r="BH449">
            <v>1078010.1400000001</v>
          </cell>
          <cell r="BI449">
            <v>268976.37000000011</v>
          </cell>
          <cell r="BJ449">
            <v>28688.339999999997</v>
          </cell>
          <cell r="BK449">
            <v>-113.81999999999971</v>
          </cell>
          <cell r="BL449">
            <v>0</v>
          </cell>
          <cell r="BM449">
            <v>297550.89000000007</v>
          </cell>
          <cell r="BN449">
            <v>0</v>
          </cell>
          <cell r="BO449">
            <v>0</v>
          </cell>
          <cell r="BP449">
            <v>0</v>
          </cell>
          <cell r="BQ449">
            <v>0</v>
          </cell>
          <cell r="BR449">
            <v>297550.89000000007</v>
          </cell>
          <cell r="BT449">
            <v>0</v>
          </cell>
          <cell r="CA449" t="str">
            <v>CP3197 - CONTRACT - Base</v>
          </cell>
          <cell r="CC449" t="str">
            <v>CP3197 - CONTRACT - Base - MR</v>
          </cell>
          <cell r="CD449" t="str">
            <v/>
          </cell>
          <cell r="CF449" t="str">
            <v>CP3197 - Base - MR</v>
          </cell>
        </row>
        <row r="450">
          <cell r="D450">
            <v>436</v>
          </cell>
          <cell r="E450">
            <v>2</v>
          </cell>
          <cell r="F450">
            <v>4</v>
          </cell>
          <cell r="G450" t="str">
            <v>CP3197</v>
          </cell>
          <cell r="H450" t="str">
            <v>AFRICAP SOUTH SUDAN JMEC (3197)</v>
          </cell>
          <cell r="I450" t="str">
            <v>MR</v>
          </cell>
          <cell r="J450" t="str">
            <v>MR Logistics &amp; Supply</v>
          </cell>
          <cell r="K450" t="str">
            <v>Dept. of State</v>
          </cell>
          <cell r="L450" t="str">
            <v>DOS</v>
          </cell>
          <cell r="M450" t="str">
            <v>OH</v>
          </cell>
          <cell r="N450" t="str">
            <v>CONUS</v>
          </cell>
          <cell r="O450">
            <v>0</v>
          </cell>
          <cell r="P450">
            <v>0</v>
          </cell>
          <cell r="Q450">
            <v>0</v>
          </cell>
          <cell r="R450" t="str">
            <v>CPFF</v>
          </cell>
          <cell r="S450">
            <v>0</v>
          </cell>
          <cell r="T450">
            <v>1</v>
          </cell>
          <cell r="U450" t="str">
            <v>CONTRACT</v>
          </cell>
          <cell r="V450" t="str">
            <v>Identified - Recompete</v>
          </cell>
          <cell r="W450">
            <v>0</v>
          </cell>
          <cell r="X450">
            <v>0</v>
          </cell>
          <cell r="Y450">
            <v>0</v>
          </cell>
          <cell r="Z450">
            <v>0</v>
          </cell>
          <cell r="AA450">
            <v>0</v>
          </cell>
          <cell r="AB450">
            <v>0</v>
          </cell>
          <cell r="AC450">
            <v>0</v>
          </cell>
          <cell r="AD450">
            <v>0</v>
          </cell>
          <cell r="AP450">
            <v>0</v>
          </cell>
          <cell r="AQ450">
            <v>0</v>
          </cell>
          <cell r="AR450">
            <v>0</v>
          </cell>
          <cell r="AS450">
            <v>0</v>
          </cell>
          <cell r="BI450">
            <v>0</v>
          </cell>
          <cell r="BJ450">
            <v>0</v>
          </cell>
          <cell r="BK450">
            <v>0</v>
          </cell>
          <cell r="BL450">
            <v>0</v>
          </cell>
          <cell r="BM450">
            <v>0</v>
          </cell>
          <cell r="BN450">
            <v>0</v>
          </cell>
          <cell r="BO450">
            <v>0</v>
          </cell>
          <cell r="BP450">
            <v>0</v>
          </cell>
          <cell r="BQ450">
            <v>0</v>
          </cell>
          <cell r="BR450">
            <v>0</v>
          </cell>
          <cell r="BT450">
            <v>0</v>
          </cell>
          <cell r="CA450" t="str">
            <v>CP3197 - CONTRACT - Identified - Recompete</v>
          </cell>
          <cell r="CC450" t="str">
            <v>CP3197 - CONTRACT - Identified - Recompete - MR</v>
          </cell>
          <cell r="CD450" t="str">
            <v/>
          </cell>
          <cell r="CF450" t="str">
            <v>CP3197 - Identified - Recompete - MR</v>
          </cell>
        </row>
        <row r="451">
          <cell r="D451">
            <v>437</v>
          </cell>
          <cell r="E451">
            <v>0</v>
          </cell>
          <cell r="F451">
            <v>5</v>
          </cell>
          <cell r="G451" t="str">
            <v>CP3197</v>
          </cell>
          <cell r="H451" t="str">
            <v>AFRICAP SOUTH SUDAN JMEC (3197)</v>
          </cell>
          <cell r="I451" t="str">
            <v>MR</v>
          </cell>
          <cell r="J451" t="str">
            <v>MR Logistics &amp; Supply</v>
          </cell>
          <cell r="K451" t="str">
            <v>Dept. of State</v>
          </cell>
          <cell r="L451" t="str">
            <v>DOS</v>
          </cell>
          <cell r="M451" t="str">
            <v>OH</v>
          </cell>
          <cell r="N451" t="str">
            <v>CONUS</v>
          </cell>
          <cell r="O451">
            <v>41897</v>
          </cell>
          <cell r="P451">
            <v>43722</v>
          </cell>
          <cell r="Q451" t="str">
            <v>JV</v>
          </cell>
          <cell r="R451" t="str">
            <v>CPFF</v>
          </cell>
          <cell r="S451">
            <v>0</v>
          </cell>
          <cell r="T451">
            <v>1</v>
          </cell>
          <cell r="U451" t="str">
            <v>EBITA</v>
          </cell>
          <cell r="V451" t="str">
            <v>Base</v>
          </cell>
          <cell r="W451" t="str">
            <v>05 Won</v>
          </cell>
          <cell r="X451" t="str">
            <v>Active</v>
          </cell>
          <cell r="Y451">
            <v>1</v>
          </cell>
          <cell r="Z451">
            <v>0</v>
          </cell>
          <cell r="AA451">
            <v>0</v>
          </cell>
          <cell r="AB451">
            <v>0</v>
          </cell>
          <cell r="AC451">
            <v>0</v>
          </cell>
          <cell r="AD451">
            <v>0</v>
          </cell>
          <cell r="AT451">
            <v>0</v>
          </cell>
          <cell r="AU451">
            <v>7.2136331059917791E-2</v>
          </cell>
          <cell r="AV451">
            <v>5.0836916771786471E-2</v>
          </cell>
          <cell r="AW451">
            <v>9.170911965181465E-2</v>
          </cell>
          <cell r="AX451">
            <v>6.2812037320573125E-2</v>
          </cell>
          <cell r="AY451">
            <v>6.2812037320573125E-2</v>
          </cell>
          <cell r="AZ451">
            <v>6.2812037320573125E-2</v>
          </cell>
          <cell r="BA451">
            <v>6.2812037320573125E-2</v>
          </cell>
          <cell r="BF451">
            <v>0</v>
          </cell>
          <cell r="BG451">
            <v>316108.4800000001</v>
          </cell>
          <cell r="BH451">
            <v>375430.73</v>
          </cell>
          <cell r="BI451">
            <v>152185.5500000001</v>
          </cell>
          <cell r="BJ451">
            <v>-1343.5500000000065</v>
          </cell>
          <cell r="BK451">
            <v>148.41000000000022</v>
          </cell>
          <cell r="BL451">
            <v>0</v>
          </cell>
          <cell r="BM451">
            <v>150990.41000000009</v>
          </cell>
          <cell r="BN451">
            <v>0</v>
          </cell>
          <cell r="BO451">
            <v>0</v>
          </cell>
          <cell r="BP451">
            <v>0</v>
          </cell>
          <cell r="BQ451">
            <v>0</v>
          </cell>
          <cell r="BR451">
            <v>150990.41000000009</v>
          </cell>
          <cell r="BT451">
            <v>0</v>
          </cell>
          <cell r="CA451" t="str">
            <v>CP3197 - EBITA - Base</v>
          </cell>
          <cell r="CC451" t="str">
            <v>CP3197 - EBITA - Base - MR</v>
          </cell>
          <cell r="CD451" t="str">
            <v/>
          </cell>
          <cell r="CF451" t="str">
            <v>CP3197 - Base - MR</v>
          </cell>
        </row>
        <row r="452">
          <cell r="D452">
            <v>438</v>
          </cell>
          <cell r="E452">
            <v>0</v>
          </cell>
          <cell r="F452">
            <v>0</v>
          </cell>
          <cell r="G452" t="str">
            <v>CP3197</v>
          </cell>
          <cell r="H452" t="str">
            <v>AFRICAP SOUTH SUDAN JMEC (3197)</v>
          </cell>
          <cell r="I452" t="str">
            <v>MR</v>
          </cell>
          <cell r="J452" t="str">
            <v>MR Logistics &amp; Supply</v>
          </cell>
          <cell r="K452" t="str">
            <v>Dept. of State</v>
          </cell>
          <cell r="L452" t="str">
            <v>DOS</v>
          </cell>
          <cell r="M452" t="str">
            <v>OH</v>
          </cell>
          <cell r="N452" t="str">
            <v>CONUS</v>
          </cell>
          <cell r="O452">
            <v>0</v>
          </cell>
          <cell r="P452">
            <v>0</v>
          </cell>
          <cell r="Q452">
            <v>0</v>
          </cell>
          <cell r="R452" t="str">
            <v>CPFF</v>
          </cell>
          <cell r="S452">
            <v>0</v>
          </cell>
          <cell r="T452">
            <v>1</v>
          </cell>
          <cell r="U452" t="str">
            <v>EBITA</v>
          </cell>
          <cell r="V452" t="str">
            <v>Identified - Recompete</v>
          </cell>
          <cell r="W452">
            <v>0</v>
          </cell>
          <cell r="X452">
            <v>0</v>
          </cell>
          <cell r="Y452">
            <v>0</v>
          </cell>
          <cell r="Z452">
            <v>0</v>
          </cell>
          <cell r="AA452">
            <v>0</v>
          </cell>
          <cell r="AB452">
            <v>0</v>
          </cell>
          <cell r="AC452">
            <v>0</v>
          </cell>
          <cell r="AD452">
            <v>0</v>
          </cell>
          <cell r="AX452">
            <v>0</v>
          </cell>
          <cell r="AY452">
            <v>0</v>
          </cell>
          <cell r="AZ452">
            <v>0</v>
          </cell>
          <cell r="BA452">
            <v>0</v>
          </cell>
          <cell r="BI452">
            <v>0</v>
          </cell>
          <cell r="BJ452">
            <v>0</v>
          </cell>
          <cell r="BK452">
            <v>0</v>
          </cell>
          <cell r="BL452">
            <v>0</v>
          </cell>
          <cell r="BM452">
            <v>0</v>
          </cell>
          <cell r="BN452">
            <v>0</v>
          </cell>
          <cell r="BO452">
            <v>0</v>
          </cell>
          <cell r="BP452">
            <v>0</v>
          </cell>
          <cell r="BQ452">
            <v>0</v>
          </cell>
          <cell r="BR452">
            <v>0</v>
          </cell>
          <cell r="BT452">
            <v>0</v>
          </cell>
          <cell r="CA452" t="str">
            <v>CP3197 - EBITA - Identified - Recompete</v>
          </cell>
          <cell r="CC452" t="str">
            <v>CP3197 - EBITA - Identified - Recompete - MR</v>
          </cell>
          <cell r="CD452" t="str">
            <v/>
          </cell>
          <cell r="CF452" t="str">
            <v>CP3197 - Identified - Recompete - MR</v>
          </cell>
        </row>
        <row r="453">
          <cell r="D453">
            <v>439</v>
          </cell>
          <cell r="E453">
            <v>1</v>
          </cell>
          <cell r="F453">
            <v>1</v>
          </cell>
          <cell r="G453" t="str">
            <v>C00121</v>
          </cell>
          <cell r="H453" t="str">
            <v>NSDD DICCE II Uzbekistan (00121)</v>
          </cell>
          <cell r="I453" t="str">
            <v>MR</v>
          </cell>
          <cell r="J453" t="str">
            <v>MR Non-Proliferation and Security Services</v>
          </cell>
          <cell r="K453" t="str">
            <v>DOE</v>
          </cell>
          <cell r="L453" t="str">
            <v>DOE</v>
          </cell>
          <cell r="M453" t="str">
            <v>UZBE</v>
          </cell>
          <cell r="N453" t="str">
            <v>OCONUS</v>
          </cell>
          <cell r="O453">
            <v>42644</v>
          </cell>
          <cell r="P453">
            <v>44104</v>
          </cell>
          <cell r="Q453" t="str">
            <v>Sub</v>
          </cell>
          <cell r="R453" t="str">
            <v>CPFF</v>
          </cell>
          <cell r="S453">
            <v>0</v>
          </cell>
          <cell r="T453">
            <v>1</v>
          </cell>
          <cell r="U453" t="str">
            <v>REVTOT</v>
          </cell>
          <cell r="V453" t="str">
            <v>Base</v>
          </cell>
          <cell r="W453" t="str">
            <v>05 Won</v>
          </cell>
          <cell r="X453" t="str">
            <v>Active</v>
          </cell>
          <cell r="Y453">
            <v>1</v>
          </cell>
          <cell r="Z453">
            <v>0</v>
          </cell>
          <cell r="AA453">
            <v>95453.510000000068</v>
          </cell>
          <cell r="AB453">
            <v>0</v>
          </cell>
          <cell r="AC453">
            <v>0</v>
          </cell>
          <cell r="AD453">
            <v>95453.510000000068</v>
          </cell>
          <cell r="AE453">
            <v>0</v>
          </cell>
          <cell r="AF453">
            <v>0</v>
          </cell>
          <cell r="AG453">
            <v>0</v>
          </cell>
          <cell r="AH453">
            <v>-0.89099293154268644</v>
          </cell>
          <cell r="AI453">
            <v>0</v>
          </cell>
          <cell r="AJ453">
            <v>0</v>
          </cell>
          <cell r="AK453">
            <v>0</v>
          </cell>
          <cell r="BB453">
            <v>833468</v>
          </cell>
          <cell r="BC453">
            <v>833468</v>
          </cell>
          <cell r="BD453">
            <v>833468</v>
          </cell>
          <cell r="BE453">
            <v>833468</v>
          </cell>
          <cell r="BF453">
            <v>0</v>
          </cell>
          <cell r="BG453">
            <v>0</v>
          </cell>
          <cell r="BH453">
            <v>0</v>
          </cell>
          <cell r="BI453">
            <v>107872.35999999999</v>
          </cell>
          <cell r="BJ453">
            <v>209877.33000000002</v>
          </cell>
          <cell r="BK453">
            <v>206950.8</v>
          </cell>
          <cell r="BL453">
            <v>350963</v>
          </cell>
          <cell r="BM453">
            <v>875663.49</v>
          </cell>
          <cell r="BN453">
            <v>95453.510000000068</v>
          </cell>
          <cell r="BO453">
            <v>0</v>
          </cell>
          <cell r="BP453">
            <v>0</v>
          </cell>
          <cell r="BQ453">
            <v>0</v>
          </cell>
          <cell r="BR453">
            <v>971117</v>
          </cell>
          <cell r="BT453">
            <v>0</v>
          </cell>
          <cell r="CA453" t="str">
            <v>C00121 - REVTOT - Base</v>
          </cell>
          <cell r="CC453" t="str">
            <v>C00121 - REVTOT - Base - MR</v>
          </cell>
          <cell r="CD453" t="str">
            <v>C00121 - REVTOT - Base - MR</v>
          </cell>
          <cell r="CF453" t="str">
            <v>C00121 - Base - MR</v>
          </cell>
        </row>
        <row r="454">
          <cell r="D454">
            <v>440</v>
          </cell>
          <cell r="E454">
            <v>1</v>
          </cell>
          <cell r="F454">
            <v>2</v>
          </cell>
          <cell r="G454" t="str">
            <v>C00121</v>
          </cell>
          <cell r="H454" t="str">
            <v>NSDD DICCE II Uzbekistan (00121)</v>
          </cell>
          <cell r="I454" t="str">
            <v>MR</v>
          </cell>
          <cell r="J454" t="str">
            <v>MR Non-Proliferation and Security Services</v>
          </cell>
          <cell r="K454" t="str">
            <v>DOE</v>
          </cell>
          <cell r="L454" t="str">
            <v>DOE</v>
          </cell>
          <cell r="M454" t="str">
            <v>UZBE</v>
          </cell>
          <cell r="N454" t="str">
            <v>OCONUS</v>
          </cell>
          <cell r="O454">
            <v>0</v>
          </cell>
          <cell r="P454">
            <v>0</v>
          </cell>
          <cell r="Q454">
            <v>0</v>
          </cell>
          <cell r="R454" t="str">
            <v>CPFF</v>
          </cell>
          <cell r="S454">
            <v>0</v>
          </cell>
          <cell r="T454">
            <v>1</v>
          </cell>
          <cell r="U454" t="str">
            <v>REVTOT</v>
          </cell>
          <cell r="V454" t="str">
            <v>Identified - Recompete</v>
          </cell>
          <cell r="W454">
            <v>0</v>
          </cell>
          <cell r="X454">
            <v>0</v>
          </cell>
          <cell r="Y454">
            <v>0</v>
          </cell>
          <cell r="Z454">
            <v>0</v>
          </cell>
          <cell r="AA454">
            <v>0</v>
          </cell>
          <cell r="AB454">
            <v>0</v>
          </cell>
          <cell r="AC454">
            <v>0</v>
          </cell>
          <cell r="AD454">
            <v>0</v>
          </cell>
          <cell r="AI454">
            <v>0</v>
          </cell>
          <cell r="AJ454">
            <v>0</v>
          </cell>
          <cell r="AK454">
            <v>0</v>
          </cell>
          <cell r="BB454">
            <v>0</v>
          </cell>
          <cell r="BC454">
            <v>0</v>
          </cell>
          <cell r="BD454">
            <v>0</v>
          </cell>
          <cell r="BE454">
            <v>0</v>
          </cell>
          <cell r="BI454">
            <v>0</v>
          </cell>
          <cell r="BJ454">
            <v>0</v>
          </cell>
          <cell r="BK454">
            <v>0</v>
          </cell>
          <cell r="BL454">
            <v>0</v>
          </cell>
          <cell r="BM454">
            <v>0</v>
          </cell>
          <cell r="BN454">
            <v>0</v>
          </cell>
          <cell r="BO454">
            <v>0</v>
          </cell>
          <cell r="BP454">
            <v>0</v>
          </cell>
          <cell r="BQ454">
            <v>0</v>
          </cell>
          <cell r="BR454">
            <v>0</v>
          </cell>
          <cell r="BT454">
            <v>0</v>
          </cell>
          <cell r="CA454" t="str">
            <v>C00121 - REVTOT - Identified - Recompete</v>
          </cell>
          <cell r="CC454" t="str">
            <v>C00121 - REVTOT - Identified - Recompete - MR</v>
          </cell>
          <cell r="CD454" t="str">
            <v/>
          </cell>
          <cell r="CF454" t="str">
            <v>C00121 - Identified - Recompete - MR</v>
          </cell>
        </row>
        <row r="455">
          <cell r="D455">
            <v>441</v>
          </cell>
          <cell r="E455">
            <v>2</v>
          </cell>
          <cell r="F455">
            <v>3</v>
          </cell>
          <cell r="G455" t="str">
            <v>C00121</v>
          </cell>
          <cell r="H455" t="str">
            <v>NSDD DICCE II Uzbekistan (00121)</v>
          </cell>
          <cell r="I455" t="str">
            <v>MR</v>
          </cell>
          <cell r="J455" t="str">
            <v>MR Non-Proliferation and Security Services</v>
          </cell>
          <cell r="K455" t="str">
            <v>DOE</v>
          </cell>
          <cell r="L455" t="str">
            <v>DOE</v>
          </cell>
          <cell r="M455" t="str">
            <v>UZBE</v>
          </cell>
          <cell r="N455" t="str">
            <v>OCONUS</v>
          </cell>
          <cell r="O455">
            <v>42644</v>
          </cell>
          <cell r="P455">
            <v>44104</v>
          </cell>
          <cell r="Q455" t="str">
            <v>Sub</v>
          </cell>
          <cell r="R455" t="str">
            <v>CPFF</v>
          </cell>
          <cell r="S455">
            <v>0</v>
          </cell>
          <cell r="T455">
            <v>1</v>
          </cell>
          <cell r="U455" t="str">
            <v>CONTRACT</v>
          </cell>
          <cell r="V455" t="str">
            <v>Base</v>
          </cell>
          <cell r="W455" t="str">
            <v>05 Won</v>
          </cell>
          <cell r="X455" t="str">
            <v>Active</v>
          </cell>
          <cell r="Y455">
            <v>1</v>
          </cell>
          <cell r="Z455">
            <v>0</v>
          </cell>
          <cell r="AA455">
            <v>95453.510000000068</v>
          </cell>
          <cell r="AB455">
            <v>0</v>
          </cell>
          <cell r="AC455">
            <v>0</v>
          </cell>
          <cell r="AD455">
            <v>95453.510000000068</v>
          </cell>
          <cell r="AL455">
            <v>0</v>
          </cell>
          <cell r="AM455">
            <v>0</v>
          </cell>
          <cell r="AN455">
            <v>0</v>
          </cell>
          <cell r="AO455">
            <v>0.15451596594486314</v>
          </cell>
          <cell r="AP455">
            <v>0.154769587914593</v>
          </cell>
          <cell r="AQ455">
            <v>0.154769587914593</v>
          </cell>
          <cell r="AR455">
            <v>0.154769587914593</v>
          </cell>
          <cell r="AS455">
            <v>0.154769587914593</v>
          </cell>
          <cell r="BF455">
            <v>0</v>
          </cell>
          <cell r="BG455">
            <v>0</v>
          </cell>
          <cell r="BH455">
            <v>0</v>
          </cell>
          <cell r="BI455">
            <v>20587.609999999979</v>
          </cell>
          <cell r="BJ455">
            <v>45777.409999999996</v>
          </cell>
          <cell r="BK455">
            <v>41457.200000000004</v>
          </cell>
          <cell r="BL455">
            <v>27481.770000000004</v>
          </cell>
          <cell r="BM455">
            <v>135303.99</v>
          </cell>
          <cell r="BN455">
            <v>14773.300407701492</v>
          </cell>
          <cell r="BO455">
            <v>0</v>
          </cell>
          <cell r="BP455">
            <v>0</v>
          </cell>
          <cell r="BQ455">
            <v>0</v>
          </cell>
          <cell r="BR455">
            <v>150077.29040770148</v>
          </cell>
          <cell r="BT455">
            <v>0</v>
          </cell>
          <cell r="CA455" t="str">
            <v>C00121 - CONTRACT - Base</v>
          </cell>
          <cell r="CC455" t="str">
            <v>C00121 - CONTRACT - Base - MR</v>
          </cell>
          <cell r="CD455" t="str">
            <v/>
          </cell>
          <cell r="CF455" t="str">
            <v>C00121 - Base - MR</v>
          </cell>
        </row>
        <row r="456">
          <cell r="D456">
            <v>442</v>
          </cell>
          <cell r="E456">
            <v>2</v>
          </cell>
          <cell r="F456">
            <v>4</v>
          </cell>
          <cell r="G456" t="str">
            <v>C00121</v>
          </cell>
          <cell r="H456" t="str">
            <v>NSDD DICCE II Uzbekistan (00121)</v>
          </cell>
          <cell r="I456" t="str">
            <v>MR</v>
          </cell>
          <cell r="J456" t="str">
            <v>MR Non-Proliferation and Security Services</v>
          </cell>
          <cell r="K456" t="str">
            <v>DOE</v>
          </cell>
          <cell r="L456" t="str">
            <v>DOE</v>
          </cell>
          <cell r="M456" t="str">
            <v>UZBE</v>
          </cell>
          <cell r="N456" t="str">
            <v>OCONUS</v>
          </cell>
          <cell r="O456">
            <v>0</v>
          </cell>
          <cell r="P456">
            <v>0</v>
          </cell>
          <cell r="Q456">
            <v>0</v>
          </cell>
          <cell r="R456" t="str">
            <v>CPFF</v>
          </cell>
          <cell r="S456">
            <v>0</v>
          </cell>
          <cell r="T456">
            <v>1</v>
          </cell>
          <cell r="U456" t="str">
            <v>CONTRACT</v>
          </cell>
          <cell r="V456" t="str">
            <v>Identified - Recompete</v>
          </cell>
          <cell r="W456">
            <v>0</v>
          </cell>
          <cell r="X456">
            <v>0</v>
          </cell>
          <cell r="Y456">
            <v>0</v>
          </cell>
          <cell r="Z456">
            <v>0</v>
          </cell>
          <cell r="AA456">
            <v>0</v>
          </cell>
          <cell r="AB456">
            <v>0</v>
          </cell>
          <cell r="AC456">
            <v>0</v>
          </cell>
          <cell r="AD456">
            <v>0</v>
          </cell>
          <cell r="AP456">
            <v>0</v>
          </cell>
          <cell r="AQ456">
            <v>0</v>
          </cell>
          <cell r="AR456">
            <v>0</v>
          </cell>
          <cell r="AS456">
            <v>0</v>
          </cell>
          <cell r="BI456">
            <v>0</v>
          </cell>
          <cell r="BJ456">
            <v>0</v>
          </cell>
          <cell r="BK456">
            <v>0</v>
          </cell>
          <cell r="BL456">
            <v>0</v>
          </cell>
          <cell r="BM456">
            <v>0</v>
          </cell>
          <cell r="BN456">
            <v>0</v>
          </cell>
          <cell r="BO456">
            <v>0</v>
          </cell>
          <cell r="BP456">
            <v>0</v>
          </cell>
          <cell r="BQ456">
            <v>0</v>
          </cell>
          <cell r="BR456">
            <v>0</v>
          </cell>
          <cell r="BT456">
            <v>0</v>
          </cell>
          <cell r="CA456" t="str">
            <v>C00121 - CONTRACT - Identified - Recompete</v>
          </cell>
          <cell r="CC456" t="str">
            <v>C00121 - CONTRACT - Identified - Recompete - MR</v>
          </cell>
          <cell r="CD456" t="str">
            <v/>
          </cell>
          <cell r="CF456" t="str">
            <v>C00121 - Identified - Recompete - MR</v>
          </cell>
        </row>
        <row r="457">
          <cell r="D457">
            <v>443</v>
          </cell>
          <cell r="E457">
            <v>0</v>
          </cell>
          <cell r="F457">
            <v>5</v>
          </cell>
          <cell r="G457" t="str">
            <v>C00121</v>
          </cell>
          <cell r="H457" t="str">
            <v>NSDD DICCE II Uzbekistan (00121)</v>
          </cell>
          <cell r="I457" t="str">
            <v>MR</v>
          </cell>
          <cell r="J457" t="str">
            <v>MR Non-Proliferation and Security Services</v>
          </cell>
          <cell r="K457" t="str">
            <v>DOE</v>
          </cell>
          <cell r="L457" t="str">
            <v>DOE</v>
          </cell>
          <cell r="M457" t="str">
            <v>UZBE</v>
          </cell>
          <cell r="N457" t="str">
            <v>OCONUS</v>
          </cell>
          <cell r="O457">
            <v>42644</v>
          </cell>
          <cell r="P457">
            <v>44104</v>
          </cell>
          <cell r="Q457" t="str">
            <v>Sub</v>
          </cell>
          <cell r="R457" t="str">
            <v>CPFF</v>
          </cell>
          <cell r="S457">
            <v>0</v>
          </cell>
          <cell r="T457">
            <v>1</v>
          </cell>
          <cell r="U457" t="str">
            <v>EBITA</v>
          </cell>
          <cell r="V457" t="str">
            <v>Base</v>
          </cell>
          <cell r="W457" t="str">
            <v>05 Won</v>
          </cell>
          <cell r="X457" t="str">
            <v>Active</v>
          </cell>
          <cell r="Y457">
            <v>1</v>
          </cell>
          <cell r="Z457">
            <v>0</v>
          </cell>
          <cell r="AA457">
            <v>95453.510000000068</v>
          </cell>
          <cell r="AB457">
            <v>0</v>
          </cell>
          <cell r="AC457">
            <v>0</v>
          </cell>
          <cell r="AD457">
            <v>95453.510000000068</v>
          </cell>
          <cell r="AT457">
            <v>0</v>
          </cell>
          <cell r="AU457">
            <v>0</v>
          </cell>
          <cell r="AV457">
            <v>0</v>
          </cell>
          <cell r="AW457">
            <v>7.6986160516981234E-2</v>
          </cell>
          <cell r="AX457">
            <v>5.6601319098212907E-2</v>
          </cell>
          <cell r="AY457">
            <v>5.6601319098212907E-2</v>
          </cell>
          <cell r="AZ457">
            <v>5.6601319098212907E-2</v>
          </cell>
          <cell r="BA457">
            <v>5.6601319098212907E-2</v>
          </cell>
          <cell r="BF457">
            <v>0</v>
          </cell>
          <cell r="BG457">
            <v>0</v>
          </cell>
          <cell r="BH457">
            <v>0</v>
          </cell>
          <cell r="BI457">
            <v>3756.659999999978</v>
          </cell>
          <cell r="BJ457">
            <v>18619.069999999996</v>
          </cell>
          <cell r="BK457">
            <v>17556.470000000005</v>
          </cell>
          <cell r="BL457">
            <v>27481.770000000004</v>
          </cell>
          <cell r="BM457">
            <v>67413.969999999987</v>
          </cell>
          <cell r="BN457">
            <v>5402.7945785544607</v>
          </cell>
          <cell r="BO457">
            <v>0</v>
          </cell>
          <cell r="BP457">
            <v>0</v>
          </cell>
          <cell r="BQ457">
            <v>0</v>
          </cell>
          <cell r="BR457">
            <v>72816.764578554445</v>
          </cell>
          <cell r="BT457">
            <v>0</v>
          </cell>
          <cell r="CA457" t="str">
            <v>C00121 - EBITA - Base</v>
          </cell>
          <cell r="CC457" t="str">
            <v>C00121 - EBITA - Base - MR</v>
          </cell>
          <cell r="CD457" t="str">
            <v/>
          </cell>
          <cell r="CF457" t="str">
            <v>C00121 - Base - MR</v>
          </cell>
        </row>
        <row r="458">
          <cell r="D458">
            <v>444</v>
          </cell>
          <cell r="E458">
            <v>0</v>
          </cell>
          <cell r="F458">
            <v>0</v>
          </cell>
          <cell r="G458" t="str">
            <v>C00121</v>
          </cell>
          <cell r="H458" t="str">
            <v>NSDD DICCE II Uzbekistan (00121)</v>
          </cell>
          <cell r="I458" t="str">
            <v>MR</v>
          </cell>
          <cell r="J458" t="str">
            <v>MR Non-Proliferation and Security Services</v>
          </cell>
          <cell r="K458" t="str">
            <v>DOE</v>
          </cell>
          <cell r="L458" t="str">
            <v>DOE</v>
          </cell>
          <cell r="M458" t="str">
            <v>UZBE</v>
          </cell>
          <cell r="N458" t="str">
            <v>OCONUS</v>
          </cell>
          <cell r="O458">
            <v>0</v>
          </cell>
          <cell r="P458">
            <v>0</v>
          </cell>
          <cell r="Q458">
            <v>0</v>
          </cell>
          <cell r="R458" t="str">
            <v>CPFF</v>
          </cell>
          <cell r="S458">
            <v>0</v>
          </cell>
          <cell r="T458">
            <v>1</v>
          </cell>
          <cell r="U458" t="str">
            <v>EBITA</v>
          </cell>
          <cell r="V458" t="str">
            <v>Identified - Recompete</v>
          </cell>
          <cell r="W458">
            <v>0</v>
          </cell>
          <cell r="X458">
            <v>0</v>
          </cell>
          <cell r="Y458">
            <v>0</v>
          </cell>
          <cell r="Z458">
            <v>0</v>
          </cell>
          <cell r="AA458">
            <v>0</v>
          </cell>
          <cell r="AB458">
            <v>0</v>
          </cell>
          <cell r="AC458">
            <v>0</v>
          </cell>
          <cell r="AD458">
            <v>0</v>
          </cell>
          <cell r="AX458">
            <v>0</v>
          </cell>
          <cell r="AY458">
            <v>0</v>
          </cell>
          <cell r="AZ458">
            <v>0</v>
          </cell>
          <cell r="BA458">
            <v>0</v>
          </cell>
          <cell r="BI458">
            <v>0</v>
          </cell>
          <cell r="BJ458">
            <v>0</v>
          </cell>
          <cell r="BK458">
            <v>0</v>
          </cell>
          <cell r="BL458">
            <v>0</v>
          </cell>
          <cell r="BM458">
            <v>0</v>
          </cell>
          <cell r="BN458">
            <v>0</v>
          </cell>
          <cell r="BO458">
            <v>0</v>
          </cell>
          <cell r="BP458">
            <v>0</v>
          </cell>
          <cell r="BQ458">
            <v>0</v>
          </cell>
          <cell r="BR458">
            <v>0</v>
          </cell>
          <cell r="BT458">
            <v>0</v>
          </cell>
          <cell r="CA458" t="str">
            <v>C00121 - EBITA - Identified - Recompete</v>
          </cell>
          <cell r="CC458" t="str">
            <v>C00121 - EBITA - Identified - Recompete - MR</v>
          </cell>
          <cell r="CD458" t="str">
            <v/>
          </cell>
          <cell r="CF458" t="str">
            <v>C00121 - Identified - Recompete - MR</v>
          </cell>
        </row>
        <row r="459">
          <cell r="D459">
            <v>445</v>
          </cell>
          <cell r="E459">
            <v>1</v>
          </cell>
          <cell r="F459">
            <v>1</v>
          </cell>
          <cell r="G459" t="str">
            <v>K6XXXX</v>
          </cell>
          <cell r="H459" t="str">
            <v>K6XXXX</v>
          </cell>
          <cell r="I459" t="str">
            <v>MR</v>
          </cell>
          <cell r="J459" t="str">
            <v>MR NASA</v>
          </cell>
          <cell r="K459" t="str">
            <v>NASA</v>
          </cell>
          <cell r="L459" t="str">
            <v>NASA</v>
          </cell>
          <cell r="M459" t="str">
            <v>FL</v>
          </cell>
          <cell r="N459" t="str">
            <v>CONUS</v>
          </cell>
          <cell r="O459">
            <v>43009</v>
          </cell>
          <cell r="P459">
            <v>43738</v>
          </cell>
          <cell r="Q459" t="str">
            <v>Prime</v>
          </cell>
          <cell r="R459" t="str">
            <v>CPAF</v>
          </cell>
          <cell r="S459">
            <v>0</v>
          </cell>
          <cell r="T459">
            <v>1</v>
          </cell>
          <cell r="U459" t="str">
            <v>REVTOT</v>
          </cell>
          <cell r="V459" t="str">
            <v>Base</v>
          </cell>
          <cell r="W459" t="str">
            <v>05 Won</v>
          </cell>
          <cell r="X459" t="str">
            <v>Active</v>
          </cell>
          <cell r="Y459">
            <v>1</v>
          </cell>
          <cell r="Z459">
            <v>0</v>
          </cell>
          <cell r="AA459">
            <v>6085303.1900005741</v>
          </cell>
          <cell r="AB459">
            <v>0</v>
          </cell>
          <cell r="AC459">
            <v>0</v>
          </cell>
          <cell r="AD459">
            <v>6085303.1900005741</v>
          </cell>
          <cell r="AE459">
            <v>5.7449198692819836E-2</v>
          </cell>
          <cell r="AF459">
            <v>-0.84257261502256464</v>
          </cell>
          <cell r="AG459">
            <v>-1.0266336746181854</v>
          </cell>
          <cell r="AH459">
            <v>-1</v>
          </cell>
          <cell r="AI459">
            <v>0</v>
          </cell>
          <cell r="AJ459">
            <v>0</v>
          </cell>
          <cell r="AK459">
            <v>0</v>
          </cell>
          <cell r="BB459">
            <v>0</v>
          </cell>
          <cell r="BC459">
            <v>0</v>
          </cell>
          <cell r="BD459">
            <v>0</v>
          </cell>
          <cell r="BE459">
            <v>0</v>
          </cell>
          <cell r="BF459">
            <v>769619.96</v>
          </cell>
          <cell r="BG459">
            <v>813834.01</v>
          </cell>
          <cell r="BH459">
            <v>128119.76000000001</v>
          </cell>
          <cell r="BI459">
            <v>0</v>
          </cell>
          <cell r="BJ459">
            <v>-3412.3</v>
          </cell>
          <cell r="BK459">
            <v>0</v>
          </cell>
          <cell r="BL459">
            <v>0</v>
          </cell>
          <cell r="BM459">
            <v>-3412.3</v>
          </cell>
          <cell r="BN459">
            <v>0</v>
          </cell>
          <cell r="BO459">
            <v>0</v>
          </cell>
          <cell r="BP459">
            <v>0</v>
          </cell>
          <cell r="BQ459">
            <v>0</v>
          </cell>
          <cell r="BR459">
            <v>-3412.3</v>
          </cell>
          <cell r="BT459">
            <v>0</v>
          </cell>
          <cell r="CA459" t="str">
            <v>K6XXXX - REVTOT - Base</v>
          </cell>
          <cell r="CC459" t="str">
            <v>K6XXXX - REVTOT - Base - MR</v>
          </cell>
          <cell r="CD459" t="str">
            <v>K6XXXX - REVTOT - Base - MR</v>
          </cell>
          <cell r="CF459" t="str">
            <v>K6XXXX - Base - MR</v>
          </cell>
        </row>
        <row r="460">
          <cell r="D460">
            <v>446</v>
          </cell>
          <cell r="E460">
            <v>1</v>
          </cell>
          <cell r="F460">
            <v>2</v>
          </cell>
          <cell r="G460" t="str">
            <v>K6XXXX</v>
          </cell>
          <cell r="H460" t="str">
            <v>K6XXXX</v>
          </cell>
          <cell r="I460" t="str">
            <v>MR</v>
          </cell>
          <cell r="J460" t="str">
            <v>MR NASA</v>
          </cell>
          <cell r="K460" t="str">
            <v>NASA</v>
          </cell>
          <cell r="L460" t="str">
            <v>NASA</v>
          </cell>
          <cell r="M460" t="str">
            <v>FL</v>
          </cell>
          <cell r="N460" t="str">
            <v>CONUS</v>
          </cell>
          <cell r="O460">
            <v>0</v>
          </cell>
          <cell r="P460">
            <v>0</v>
          </cell>
          <cell r="Q460">
            <v>0</v>
          </cell>
          <cell r="R460" t="str">
            <v>CPAF</v>
          </cell>
          <cell r="S460">
            <v>0</v>
          </cell>
          <cell r="T460">
            <v>1</v>
          </cell>
          <cell r="U460" t="str">
            <v>REVTOT</v>
          </cell>
          <cell r="V460" t="str">
            <v>Identified - Recompete</v>
          </cell>
          <cell r="W460">
            <v>0</v>
          </cell>
          <cell r="X460">
            <v>0</v>
          </cell>
          <cell r="Y460">
            <v>0</v>
          </cell>
          <cell r="Z460">
            <v>0</v>
          </cell>
          <cell r="AA460">
            <v>0</v>
          </cell>
          <cell r="AB460">
            <v>0</v>
          </cell>
          <cell r="AC460">
            <v>0</v>
          </cell>
          <cell r="AD460">
            <v>0</v>
          </cell>
          <cell r="AI460">
            <v>0</v>
          </cell>
          <cell r="AJ460">
            <v>0</v>
          </cell>
          <cell r="AK460">
            <v>0</v>
          </cell>
          <cell r="BB460">
            <v>0</v>
          </cell>
          <cell r="BC460">
            <v>0</v>
          </cell>
          <cell r="BD460">
            <v>0</v>
          </cell>
          <cell r="BE460">
            <v>0</v>
          </cell>
          <cell r="BI460">
            <v>0</v>
          </cell>
          <cell r="BJ460">
            <v>0</v>
          </cell>
          <cell r="BK460">
            <v>0</v>
          </cell>
          <cell r="BL460">
            <v>0</v>
          </cell>
          <cell r="BM460">
            <v>0</v>
          </cell>
          <cell r="BN460">
            <v>0</v>
          </cell>
          <cell r="BO460">
            <v>0</v>
          </cell>
          <cell r="BP460">
            <v>0</v>
          </cell>
          <cell r="BQ460">
            <v>0</v>
          </cell>
          <cell r="BR460">
            <v>0</v>
          </cell>
          <cell r="BT460">
            <v>0</v>
          </cell>
          <cell r="CA460" t="str">
            <v>K6XXXX - REVTOT - Identified - Recompete</v>
          </cell>
          <cell r="CC460" t="str">
            <v>K6XXXX - REVTOT - Identified - Recompete - MR</v>
          </cell>
          <cell r="CD460" t="str">
            <v/>
          </cell>
          <cell r="CF460" t="str">
            <v>K6XXXX - Identified - Recompete - MR</v>
          </cell>
        </row>
        <row r="461">
          <cell r="D461">
            <v>447</v>
          </cell>
          <cell r="E461">
            <v>2</v>
          </cell>
          <cell r="F461">
            <v>3</v>
          </cell>
          <cell r="G461" t="str">
            <v>K6XXXX</v>
          </cell>
          <cell r="H461" t="str">
            <v>K6XXXX</v>
          </cell>
          <cell r="I461" t="str">
            <v>MR</v>
          </cell>
          <cell r="J461" t="str">
            <v>MR NASA</v>
          </cell>
          <cell r="K461" t="str">
            <v>NASA</v>
          </cell>
          <cell r="L461" t="str">
            <v>NASA</v>
          </cell>
          <cell r="M461" t="str">
            <v>FL</v>
          </cell>
          <cell r="N461" t="str">
            <v>CONUS</v>
          </cell>
          <cell r="O461">
            <v>43009</v>
          </cell>
          <cell r="P461">
            <v>43738</v>
          </cell>
          <cell r="Q461" t="str">
            <v>Prime</v>
          </cell>
          <cell r="R461" t="str">
            <v>CPAF</v>
          </cell>
          <cell r="S461">
            <v>0</v>
          </cell>
          <cell r="T461">
            <v>1</v>
          </cell>
          <cell r="U461" t="str">
            <v>CONTRACT</v>
          </cell>
          <cell r="V461" t="str">
            <v>Base</v>
          </cell>
          <cell r="W461" t="str">
            <v>05 Won</v>
          </cell>
          <cell r="X461" t="str">
            <v>Active</v>
          </cell>
          <cell r="Y461">
            <v>1</v>
          </cell>
          <cell r="Z461">
            <v>0</v>
          </cell>
          <cell r="AA461">
            <v>6085303.1900005741</v>
          </cell>
          <cell r="AB461">
            <v>0</v>
          </cell>
          <cell r="AC461">
            <v>0</v>
          </cell>
          <cell r="AD461">
            <v>6085303.1900005741</v>
          </cell>
          <cell r="AL461">
            <v>0.35957816114852298</v>
          </cell>
          <cell r="AM461">
            <v>0.59103020282968954</v>
          </cell>
          <cell r="AN461">
            <v>31.157423179687513</v>
          </cell>
          <cell r="AO461">
            <v>-653.15194736687795</v>
          </cell>
          <cell r="AP461">
            <v>4.0853111757710154</v>
          </cell>
          <cell r="AQ461">
            <v>4.0853111757710154</v>
          </cell>
          <cell r="AR461">
            <v>4.0853111757710154</v>
          </cell>
          <cell r="AS461">
            <v>4.0853111757710154</v>
          </cell>
          <cell r="BF461">
            <v>276738.5299999998</v>
          </cell>
          <cell r="BG461">
            <v>481000.47999999963</v>
          </cell>
          <cell r="BH461">
            <v>3991881.5800000015</v>
          </cell>
          <cell r="BI461">
            <v>1007441.069999999</v>
          </cell>
          <cell r="BJ461">
            <v>1312518.1099999989</v>
          </cell>
          <cell r="BK461">
            <v>-91208.789999999964</v>
          </cell>
          <cell r="BL461">
            <v>0</v>
          </cell>
          <cell r="BM461">
            <v>2228750.3899999978</v>
          </cell>
          <cell r="BN461">
            <v>0</v>
          </cell>
          <cell r="BO461">
            <v>0</v>
          </cell>
          <cell r="BP461">
            <v>0</v>
          </cell>
          <cell r="BQ461">
            <v>0</v>
          </cell>
          <cell r="BR461">
            <v>2228750.3899999978</v>
          </cell>
          <cell r="BT461">
            <v>0</v>
          </cell>
          <cell r="CA461" t="str">
            <v>K6XXXX - CONTRACT - Base</v>
          </cell>
          <cell r="CC461" t="str">
            <v>K6XXXX - CONTRACT - Base - MR</v>
          </cell>
          <cell r="CD461" t="str">
            <v/>
          </cell>
          <cell r="CF461" t="str">
            <v>K6XXXX - Base - MR</v>
          </cell>
        </row>
        <row r="462">
          <cell r="D462">
            <v>448</v>
          </cell>
          <cell r="E462">
            <v>2</v>
          </cell>
          <cell r="F462">
            <v>4</v>
          </cell>
          <cell r="G462" t="str">
            <v>K6XXXX</v>
          </cell>
          <cell r="H462" t="str">
            <v>K6XXXX</v>
          </cell>
          <cell r="I462" t="str">
            <v>MR</v>
          </cell>
          <cell r="J462" t="str">
            <v>MR NASA</v>
          </cell>
          <cell r="K462" t="str">
            <v>NASA</v>
          </cell>
          <cell r="L462" t="str">
            <v>NASA</v>
          </cell>
          <cell r="M462" t="str">
            <v>FL</v>
          </cell>
          <cell r="N462" t="str">
            <v>CONUS</v>
          </cell>
          <cell r="O462">
            <v>0</v>
          </cell>
          <cell r="P462">
            <v>0</v>
          </cell>
          <cell r="Q462">
            <v>0</v>
          </cell>
          <cell r="R462" t="str">
            <v>CPAF</v>
          </cell>
          <cell r="S462">
            <v>0</v>
          </cell>
          <cell r="T462">
            <v>1</v>
          </cell>
          <cell r="U462" t="str">
            <v>CONTRACT</v>
          </cell>
          <cell r="V462" t="str">
            <v>Identified - Recompete</v>
          </cell>
          <cell r="W462">
            <v>0</v>
          </cell>
          <cell r="X462">
            <v>0</v>
          </cell>
          <cell r="Y462">
            <v>0</v>
          </cell>
          <cell r="Z462">
            <v>0</v>
          </cell>
          <cell r="AA462">
            <v>0</v>
          </cell>
          <cell r="AB462">
            <v>0</v>
          </cell>
          <cell r="AC462">
            <v>0</v>
          </cell>
          <cell r="AD462">
            <v>0</v>
          </cell>
          <cell r="AP462">
            <v>0</v>
          </cell>
          <cell r="AQ462">
            <v>0</v>
          </cell>
          <cell r="AR462">
            <v>0</v>
          </cell>
          <cell r="AS462">
            <v>0</v>
          </cell>
          <cell r="BI462">
            <v>0</v>
          </cell>
          <cell r="BJ462">
            <v>0</v>
          </cell>
          <cell r="BK462">
            <v>0</v>
          </cell>
          <cell r="BL462">
            <v>0</v>
          </cell>
          <cell r="BM462">
            <v>0</v>
          </cell>
          <cell r="BN462">
            <v>0</v>
          </cell>
          <cell r="BO462">
            <v>0</v>
          </cell>
          <cell r="BP462">
            <v>0</v>
          </cell>
          <cell r="BQ462">
            <v>0</v>
          </cell>
          <cell r="BR462">
            <v>0</v>
          </cell>
          <cell r="BT462">
            <v>0</v>
          </cell>
          <cell r="CA462" t="str">
            <v>K6XXXX - CONTRACT - Identified - Recompete</v>
          </cell>
          <cell r="CC462" t="str">
            <v>K6XXXX - CONTRACT - Identified - Recompete - MR</v>
          </cell>
          <cell r="CD462" t="str">
            <v/>
          </cell>
          <cell r="CF462" t="str">
            <v>K6XXXX - Identified - Recompete - MR</v>
          </cell>
        </row>
        <row r="463">
          <cell r="D463">
            <v>449</v>
          </cell>
          <cell r="E463">
            <v>0</v>
          </cell>
          <cell r="F463">
            <v>5</v>
          </cell>
          <cell r="G463" t="str">
            <v>K6XXXX</v>
          </cell>
          <cell r="H463" t="str">
            <v>K6XXXX</v>
          </cell>
          <cell r="I463" t="str">
            <v>MR</v>
          </cell>
          <cell r="J463" t="str">
            <v>MR NASA</v>
          </cell>
          <cell r="K463" t="str">
            <v>NASA</v>
          </cell>
          <cell r="L463" t="str">
            <v>NASA</v>
          </cell>
          <cell r="M463" t="str">
            <v>FL</v>
          </cell>
          <cell r="N463" t="str">
            <v>CONUS</v>
          </cell>
          <cell r="O463">
            <v>43009</v>
          </cell>
          <cell r="P463">
            <v>43738</v>
          </cell>
          <cell r="Q463" t="str">
            <v>Prime</v>
          </cell>
          <cell r="R463" t="str">
            <v>CPAF</v>
          </cell>
          <cell r="S463">
            <v>0</v>
          </cell>
          <cell r="T463">
            <v>1</v>
          </cell>
          <cell r="U463" t="str">
            <v>EBITA</v>
          </cell>
          <cell r="V463" t="str">
            <v>Base</v>
          </cell>
          <cell r="W463" t="str">
            <v>05 Won</v>
          </cell>
          <cell r="X463" t="str">
            <v>Active</v>
          </cell>
          <cell r="Y463">
            <v>1</v>
          </cell>
          <cell r="Z463">
            <v>0</v>
          </cell>
          <cell r="AA463">
            <v>6085303.1900005741</v>
          </cell>
          <cell r="AB463">
            <v>0</v>
          </cell>
          <cell r="AC463">
            <v>0</v>
          </cell>
          <cell r="AD463">
            <v>6085303.1900005741</v>
          </cell>
          <cell r="AT463">
            <v>0.22318025639563685</v>
          </cell>
          <cell r="AU463">
            <v>0.30318860721979357</v>
          </cell>
          <cell r="AV463">
            <v>1.1667171402756362</v>
          </cell>
          <cell r="AW463">
            <v>47.461225566334122</v>
          </cell>
          <cell r="AX463">
            <v>0.23770397391539175</v>
          </cell>
          <cell r="AY463">
            <v>0.23770397391539175</v>
          </cell>
          <cell r="AZ463">
            <v>0.23770397391539175</v>
          </cell>
          <cell r="BA463">
            <v>0.23770397391539175</v>
          </cell>
          <cell r="BF463">
            <v>171763.97999999978</v>
          </cell>
          <cell r="BG463">
            <v>246745.19999999958</v>
          </cell>
          <cell r="BH463">
            <v>149479.52000000086</v>
          </cell>
          <cell r="BI463">
            <v>4.999999888241291E-2</v>
          </cell>
          <cell r="BJ463">
            <v>-0.15000000083819032</v>
          </cell>
          <cell r="BK463">
            <v>-161951.83999999997</v>
          </cell>
          <cell r="BL463">
            <v>0</v>
          </cell>
          <cell r="BM463">
            <v>-161951.94000000192</v>
          </cell>
          <cell r="BN463">
            <v>0</v>
          </cell>
          <cell r="BO463">
            <v>0</v>
          </cell>
          <cell r="BP463">
            <v>0</v>
          </cell>
          <cell r="BQ463">
            <v>0</v>
          </cell>
          <cell r="BR463">
            <v>-161951.94000000192</v>
          </cell>
          <cell r="BT463">
            <v>0</v>
          </cell>
          <cell r="CA463" t="str">
            <v>K6XXXX - EBITA - Base</v>
          </cell>
          <cell r="CC463" t="str">
            <v>K6XXXX - EBITA - Base - MR</v>
          </cell>
          <cell r="CD463" t="str">
            <v/>
          </cell>
          <cell r="CF463" t="str">
            <v>K6XXXX - Base - MR</v>
          </cell>
        </row>
        <row r="464">
          <cell r="D464">
            <v>450</v>
          </cell>
          <cell r="E464">
            <v>0</v>
          </cell>
          <cell r="F464">
            <v>0</v>
          </cell>
          <cell r="G464" t="str">
            <v>K6XXXX</v>
          </cell>
          <cell r="H464" t="str">
            <v>K6XXXX</v>
          </cell>
          <cell r="I464" t="str">
            <v>MR</v>
          </cell>
          <cell r="J464" t="str">
            <v>MR NASA</v>
          </cell>
          <cell r="K464" t="str">
            <v>NASA</v>
          </cell>
          <cell r="L464" t="str">
            <v>NASA</v>
          </cell>
          <cell r="M464" t="str">
            <v>FL</v>
          </cell>
          <cell r="N464" t="str">
            <v>CONUS</v>
          </cell>
          <cell r="O464">
            <v>0</v>
          </cell>
          <cell r="P464">
            <v>0</v>
          </cell>
          <cell r="Q464">
            <v>0</v>
          </cell>
          <cell r="R464" t="str">
            <v>CPAF</v>
          </cell>
          <cell r="S464">
            <v>0</v>
          </cell>
          <cell r="T464">
            <v>1</v>
          </cell>
          <cell r="U464" t="str">
            <v>EBITA</v>
          </cell>
          <cell r="V464" t="str">
            <v>Identified - Recompete</v>
          </cell>
          <cell r="W464">
            <v>0</v>
          </cell>
          <cell r="X464">
            <v>0</v>
          </cell>
          <cell r="Y464">
            <v>0</v>
          </cell>
          <cell r="Z464">
            <v>0</v>
          </cell>
          <cell r="AA464">
            <v>0</v>
          </cell>
          <cell r="AB464">
            <v>0</v>
          </cell>
          <cell r="AC464">
            <v>0</v>
          </cell>
          <cell r="AD464">
            <v>0</v>
          </cell>
          <cell r="AX464">
            <v>0</v>
          </cell>
          <cell r="AY464">
            <v>0</v>
          </cell>
          <cell r="AZ464">
            <v>0</v>
          </cell>
          <cell r="BA464">
            <v>0</v>
          </cell>
          <cell r="BI464">
            <v>0</v>
          </cell>
          <cell r="BJ464">
            <v>0</v>
          </cell>
          <cell r="BK464">
            <v>0</v>
          </cell>
          <cell r="BL464">
            <v>0</v>
          </cell>
          <cell r="BM464">
            <v>0</v>
          </cell>
          <cell r="BN464">
            <v>0</v>
          </cell>
          <cell r="BO464">
            <v>0</v>
          </cell>
          <cell r="BP464">
            <v>0</v>
          </cell>
          <cell r="BQ464">
            <v>0</v>
          </cell>
          <cell r="BR464">
            <v>0</v>
          </cell>
          <cell r="BT464">
            <v>0</v>
          </cell>
          <cell r="CA464" t="str">
            <v>K6XXXX - EBITA - Identified - Recompete</v>
          </cell>
          <cell r="CC464" t="str">
            <v>K6XXXX - EBITA - Identified - Recompete - MR</v>
          </cell>
          <cell r="CD464" t="str">
            <v/>
          </cell>
          <cell r="CF464" t="str">
            <v>K6XXXX - Identified - Recompete - MR</v>
          </cell>
        </row>
        <row r="465">
          <cell r="D465">
            <v>451</v>
          </cell>
          <cell r="E465">
            <v>1</v>
          </cell>
          <cell r="F465">
            <v>1</v>
          </cell>
          <cell r="G465" t="str">
            <v>C12352</v>
          </cell>
          <cell r="H465" t="str">
            <v>NSDD DICCE 2 PMO (12352)</v>
          </cell>
          <cell r="I465" t="str">
            <v>MR</v>
          </cell>
          <cell r="J465" t="str">
            <v>MR Non-Proliferation and Security Services</v>
          </cell>
          <cell r="K465" t="str">
            <v>DOE</v>
          </cell>
          <cell r="L465" t="str">
            <v>DOE</v>
          </cell>
          <cell r="M465" t="str">
            <v>OH</v>
          </cell>
          <cell r="N465" t="str">
            <v>CONUS</v>
          </cell>
          <cell r="O465">
            <v>42644</v>
          </cell>
          <cell r="P465">
            <v>44104</v>
          </cell>
          <cell r="Q465" t="str">
            <v>Sub</v>
          </cell>
          <cell r="R465" t="str">
            <v>FFP</v>
          </cell>
          <cell r="S465">
            <v>0</v>
          </cell>
          <cell r="T465">
            <v>1</v>
          </cell>
          <cell r="U465" t="str">
            <v>REVTOT</v>
          </cell>
          <cell r="V465" t="str">
            <v>Base</v>
          </cell>
          <cell r="W465" t="str">
            <v>05 Won</v>
          </cell>
          <cell r="X465" t="str">
            <v>Active</v>
          </cell>
          <cell r="Y465">
            <v>1</v>
          </cell>
          <cell r="Z465">
            <v>0</v>
          </cell>
          <cell r="AA465">
            <v>757275.09000000008</v>
          </cell>
          <cell r="AB465">
            <v>0</v>
          </cell>
          <cell r="AC465">
            <v>0</v>
          </cell>
          <cell r="AD465">
            <v>757275.09000000008</v>
          </cell>
          <cell r="AE465">
            <v>0</v>
          </cell>
          <cell r="AF465">
            <v>0.46238584822900708</v>
          </cell>
          <cell r="AG465">
            <v>-0.11503582726342065</v>
          </cell>
          <cell r="AH465">
            <v>7.3581403428443437E-2</v>
          </cell>
          <cell r="AI465">
            <v>0</v>
          </cell>
          <cell r="AJ465">
            <v>0</v>
          </cell>
          <cell r="AK465">
            <v>0</v>
          </cell>
          <cell r="BB465">
            <v>739900</v>
          </cell>
          <cell r="BC465">
            <v>739900</v>
          </cell>
          <cell r="BD465">
            <v>739900</v>
          </cell>
          <cell r="BE465">
            <v>739900</v>
          </cell>
          <cell r="BF465">
            <v>0</v>
          </cell>
          <cell r="BG465">
            <v>532537.73</v>
          </cell>
          <cell r="BH465">
            <v>778775.6399999999</v>
          </cell>
          <cell r="BI465">
            <v>135184.37000000002</v>
          </cell>
          <cell r="BJ465">
            <v>176601.05</v>
          </cell>
          <cell r="BK465">
            <v>245905.12</v>
          </cell>
          <cell r="BL465">
            <v>131498</v>
          </cell>
          <cell r="BM465">
            <v>689188.54</v>
          </cell>
          <cell r="BN465">
            <v>739900</v>
          </cell>
          <cell r="BO465">
            <v>17375.090000000084</v>
          </cell>
          <cell r="BP465">
            <v>0</v>
          </cell>
          <cell r="BQ465">
            <v>0</v>
          </cell>
          <cell r="BR465">
            <v>1446463.6300000001</v>
          </cell>
          <cell r="BT465">
            <v>0</v>
          </cell>
          <cell r="CA465" t="str">
            <v>C12352 - REVTOT - Base</v>
          </cell>
          <cell r="CC465" t="str">
            <v>C12352 - REVTOT - Base - MR</v>
          </cell>
          <cell r="CD465" t="str">
            <v>C12352 - REVTOT - Base - MR</v>
          </cell>
          <cell r="CF465" t="str">
            <v>C12352 - Base - MR</v>
          </cell>
        </row>
        <row r="466">
          <cell r="D466">
            <v>452</v>
          </cell>
          <cell r="E466">
            <v>1</v>
          </cell>
          <cell r="F466">
            <v>2</v>
          </cell>
          <cell r="G466" t="str">
            <v>C12352</v>
          </cell>
          <cell r="H466" t="str">
            <v>NSDD DICCE 2 PMO (12352)</v>
          </cell>
          <cell r="I466" t="str">
            <v>MR</v>
          </cell>
          <cell r="J466" t="str">
            <v>MR Non-Proliferation and Security Services</v>
          </cell>
          <cell r="K466" t="str">
            <v>DOE</v>
          </cell>
          <cell r="L466" t="str">
            <v>DOE</v>
          </cell>
          <cell r="M466" t="str">
            <v>OH</v>
          </cell>
          <cell r="N466" t="str">
            <v>CONUS</v>
          </cell>
          <cell r="O466">
            <v>0</v>
          </cell>
          <cell r="P466">
            <v>0</v>
          </cell>
          <cell r="Q466">
            <v>0</v>
          </cell>
          <cell r="R466" t="str">
            <v>FFP</v>
          </cell>
          <cell r="S466">
            <v>0</v>
          </cell>
          <cell r="T466">
            <v>1</v>
          </cell>
          <cell r="U466" t="str">
            <v>REVTOT</v>
          </cell>
          <cell r="V466" t="str">
            <v>Identified - Recompete</v>
          </cell>
          <cell r="W466">
            <v>0</v>
          </cell>
          <cell r="X466">
            <v>0</v>
          </cell>
          <cell r="Y466">
            <v>0</v>
          </cell>
          <cell r="Z466">
            <v>0</v>
          </cell>
          <cell r="AA466">
            <v>0</v>
          </cell>
          <cell r="AB466">
            <v>0</v>
          </cell>
          <cell r="AC466">
            <v>0</v>
          </cell>
          <cell r="AD466">
            <v>0</v>
          </cell>
          <cell r="AI466">
            <v>0</v>
          </cell>
          <cell r="AJ466">
            <v>0</v>
          </cell>
          <cell r="AK466">
            <v>0</v>
          </cell>
          <cell r="BB466">
            <v>0</v>
          </cell>
          <cell r="BC466">
            <v>0</v>
          </cell>
          <cell r="BD466">
            <v>0</v>
          </cell>
          <cell r="BE466">
            <v>0</v>
          </cell>
          <cell r="BI466">
            <v>0</v>
          </cell>
          <cell r="BJ466">
            <v>0</v>
          </cell>
          <cell r="BK466">
            <v>0</v>
          </cell>
          <cell r="BL466">
            <v>0</v>
          </cell>
          <cell r="BM466">
            <v>0</v>
          </cell>
          <cell r="BN466">
            <v>0</v>
          </cell>
          <cell r="BO466">
            <v>0</v>
          </cell>
          <cell r="BP466">
            <v>0</v>
          </cell>
          <cell r="BQ466">
            <v>0</v>
          </cell>
          <cell r="BR466">
            <v>0</v>
          </cell>
          <cell r="BT466">
            <v>0</v>
          </cell>
          <cell r="CA466" t="str">
            <v>C12352 - REVTOT - Identified - Recompete</v>
          </cell>
          <cell r="CC466" t="str">
            <v>C12352 - REVTOT - Identified - Recompete - MR</v>
          </cell>
          <cell r="CD466" t="str">
            <v/>
          </cell>
          <cell r="CF466" t="str">
            <v>C12352 - Identified - Recompete - MR</v>
          </cell>
        </row>
        <row r="467">
          <cell r="D467">
            <v>453</v>
          </cell>
          <cell r="E467">
            <v>2</v>
          </cell>
          <cell r="F467">
            <v>3</v>
          </cell>
          <cell r="G467" t="str">
            <v>C12352</v>
          </cell>
          <cell r="H467" t="str">
            <v>NSDD DICCE 2 PMO (12352)</v>
          </cell>
          <cell r="I467" t="str">
            <v>MR</v>
          </cell>
          <cell r="J467" t="str">
            <v>MR Non-Proliferation and Security Services</v>
          </cell>
          <cell r="K467" t="str">
            <v>DOE</v>
          </cell>
          <cell r="L467" t="str">
            <v>DOE</v>
          </cell>
          <cell r="M467" t="str">
            <v>OH</v>
          </cell>
          <cell r="N467" t="str">
            <v>CONUS</v>
          </cell>
          <cell r="O467">
            <v>42644</v>
          </cell>
          <cell r="P467">
            <v>44104</v>
          </cell>
          <cell r="Q467" t="str">
            <v>Sub</v>
          </cell>
          <cell r="R467" t="str">
            <v>FFP</v>
          </cell>
          <cell r="S467">
            <v>0</v>
          </cell>
          <cell r="T467">
            <v>1</v>
          </cell>
          <cell r="U467" t="str">
            <v>CONTRACT</v>
          </cell>
          <cell r="V467" t="str">
            <v>Base</v>
          </cell>
          <cell r="W467" t="str">
            <v>05 Won</v>
          </cell>
          <cell r="X467" t="str">
            <v>Active</v>
          </cell>
          <cell r="Y467">
            <v>1</v>
          </cell>
          <cell r="Z467">
            <v>0</v>
          </cell>
          <cell r="AA467">
            <v>757275.09000000008</v>
          </cell>
          <cell r="AB467">
            <v>0</v>
          </cell>
          <cell r="AC467">
            <v>0</v>
          </cell>
          <cell r="AD467">
            <v>757275.09000000008</v>
          </cell>
          <cell r="AL467">
            <v>0</v>
          </cell>
          <cell r="AM467">
            <v>0.27838427523247977</v>
          </cell>
          <cell r="AN467">
            <v>0.267722215861811</v>
          </cell>
          <cell r="AO467">
            <v>0.22301160144073198</v>
          </cell>
          <cell r="AP467">
            <v>0.2463870577105014</v>
          </cell>
          <cell r="AQ467">
            <v>0.2463870577105014</v>
          </cell>
          <cell r="AR467">
            <v>0.2463870577105014</v>
          </cell>
          <cell r="AS467">
            <v>0.2463870577105014</v>
          </cell>
          <cell r="BF467">
            <v>0</v>
          </cell>
          <cell r="BG467">
            <v>148250.13</v>
          </cell>
          <cell r="BH467">
            <v>208495.53999999998</v>
          </cell>
          <cell r="BI467">
            <v>30788.060000000019</v>
          </cell>
          <cell r="BJ467">
            <v>38902.929999999986</v>
          </cell>
          <cell r="BK467">
            <v>54556.860000000008</v>
          </cell>
          <cell r="BL467">
            <v>29449.189999999984</v>
          </cell>
          <cell r="BM467">
            <v>153697.03999999998</v>
          </cell>
          <cell r="BN467">
            <v>182301.78399999999</v>
          </cell>
          <cell r="BO467">
            <v>4280.9973025551762</v>
          </cell>
          <cell r="BP467">
            <v>0</v>
          </cell>
          <cell r="BQ467">
            <v>0</v>
          </cell>
          <cell r="BR467">
            <v>340279.82130255515</v>
          </cell>
          <cell r="BT467">
            <v>0</v>
          </cell>
          <cell r="CA467" t="str">
            <v>C12352 - CONTRACT - Base</v>
          </cell>
          <cell r="CC467" t="str">
            <v>C12352 - CONTRACT - Base - MR</v>
          </cell>
          <cell r="CD467" t="str">
            <v/>
          </cell>
          <cell r="CF467" t="str">
            <v>C12352 - Base - MR</v>
          </cell>
        </row>
        <row r="468">
          <cell r="D468">
            <v>454</v>
          </cell>
          <cell r="E468">
            <v>2</v>
          </cell>
          <cell r="F468">
            <v>4</v>
          </cell>
          <cell r="G468" t="str">
            <v>C12352</v>
          </cell>
          <cell r="H468" t="str">
            <v>NSDD DICCE 2 PMO (12352)</v>
          </cell>
          <cell r="I468" t="str">
            <v>MR</v>
          </cell>
          <cell r="J468" t="str">
            <v>MR Non-Proliferation and Security Services</v>
          </cell>
          <cell r="K468" t="str">
            <v>DOE</v>
          </cell>
          <cell r="L468" t="str">
            <v>DOE</v>
          </cell>
          <cell r="M468" t="str">
            <v>OH</v>
          </cell>
          <cell r="N468" t="str">
            <v>CONUS</v>
          </cell>
          <cell r="O468">
            <v>0</v>
          </cell>
          <cell r="P468">
            <v>0</v>
          </cell>
          <cell r="Q468">
            <v>0</v>
          </cell>
          <cell r="R468" t="str">
            <v>FFP</v>
          </cell>
          <cell r="S468">
            <v>0</v>
          </cell>
          <cell r="T468">
            <v>1</v>
          </cell>
          <cell r="U468" t="str">
            <v>CONTRACT</v>
          </cell>
          <cell r="V468" t="str">
            <v>Identified - Recompete</v>
          </cell>
          <cell r="W468">
            <v>0</v>
          </cell>
          <cell r="X468">
            <v>0</v>
          </cell>
          <cell r="Y468">
            <v>0</v>
          </cell>
          <cell r="Z468">
            <v>0</v>
          </cell>
          <cell r="AA468">
            <v>0</v>
          </cell>
          <cell r="AB468">
            <v>0</v>
          </cell>
          <cell r="AC468">
            <v>0</v>
          </cell>
          <cell r="AD468">
            <v>0</v>
          </cell>
          <cell r="AP468">
            <v>0</v>
          </cell>
          <cell r="AQ468">
            <v>0</v>
          </cell>
          <cell r="AR468">
            <v>0</v>
          </cell>
          <cell r="AS468">
            <v>0</v>
          </cell>
          <cell r="BI468">
            <v>0</v>
          </cell>
          <cell r="BJ468">
            <v>0</v>
          </cell>
          <cell r="BK468">
            <v>0</v>
          </cell>
          <cell r="BL468">
            <v>0</v>
          </cell>
          <cell r="BM468">
            <v>0</v>
          </cell>
          <cell r="BN468">
            <v>0</v>
          </cell>
          <cell r="BO468">
            <v>0</v>
          </cell>
          <cell r="BP468">
            <v>0</v>
          </cell>
          <cell r="BQ468">
            <v>0</v>
          </cell>
          <cell r="BR468">
            <v>0</v>
          </cell>
          <cell r="BT468">
            <v>0</v>
          </cell>
          <cell r="CA468" t="str">
            <v>C12352 - CONTRACT - Identified - Recompete</v>
          </cell>
          <cell r="CC468" t="str">
            <v>C12352 - CONTRACT - Identified - Recompete - MR</v>
          </cell>
          <cell r="CD468" t="str">
            <v/>
          </cell>
          <cell r="CF468" t="str">
            <v>C12352 - Identified - Recompete - MR</v>
          </cell>
        </row>
        <row r="469">
          <cell r="D469">
            <v>455</v>
          </cell>
          <cell r="E469">
            <v>0</v>
          </cell>
          <cell r="F469">
            <v>5</v>
          </cell>
          <cell r="G469" t="str">
            <v>C12352</v>
          </cell>
          <cell r="H469" t="str">
            <v>NSDD DICCE 2 PMO (12352)</v>
          </cell>
          <cell r="I469" t="str">
            <v>MR</v>
          </cell>
          <cell r="J469" t="str">
            <v>MR Non-Proliferation and Security Services</v>
          </cell>
          <cell r="K469" t="str">
            <v>DOE</v>
          </cell>
          <cell r="L469" t="str">
            <v>DOE</v>
          </cell>
          <cell r="M469" t="str">
            <v>OH</v>
          </cell>
          <cell r="N469" t="str">
            <v>CONUS</v>
          </cell>
          <cell r="O469">
            <v>42644</v>
          </cell>
          <cell r="P469">
            <v>44104</v>
          </cell>
          <cell r="Q469" t="str">
            <v>Sub</v>
          </cell>
          <cell r="R469" t="str">
            <v>FFP</v>
          </cell>
          <cell r="S469">
            <v>0</v>
          </cell>
          <cell r="T469">
            <v>1</v>
          </cell>
          <cell r="U469" t="str">
            <v>EBITA</v>
          </cell>
          <cell r="V469" t="str">
            <v>Base</v>
          </cell>
          <cell r="W469" t="str">
            <v>05 Won</v>
          </cell>
          <cell r="X469" t="str">
            <v>Active</v>
          </cell>
          <cell r="Y469">
            <v>1</v>
          </cell>
          <cell r="Z469">
            <v>0</v>
          </cell>
          <cell r="AA469">
            <v>757275.09000000008</v>
          </cell>
          <cell r="AB469">
            <v>0</v>
          </cell>
          <cell r="AC469">
            <v>0</v>
          </cell>
          <cell r="AD469">
            <v>757275.09000000008</v>
          </cell>
          <cell r="AT469">
            <v>0</v>
          </cell>
          <cell r="AU469">
            <v>8.8760358820021992E-2</v>
          </cell>
          <cell r="AV469">
            <v>0.10175324693001439</v>
          </cell>
          <cell r="AW469">
            <v>5.5815568262350963E-2</v>
          </cell>
          <cell r="AX469">
            <v>5.7610512476727813E-2</v>
          </cell>
          <cell r="AY469">
            <v>5.8610512476727814E-2</v>
          </cell>
          <cell r="AZ469">
            <v>5.9610512476727814E-2</v>
          </cell>
          <cell r="BA469">
            <v>6.0610512476727815E-2</v>
          </cell>
          <cell r="BF469">
            <v>0</v>
          </cell>
          <cell r="BG469">
            <v>47268.239999999991</v>
          </cell>
          <cell r="BH469">
            <v>79242.949999999983</v>
          </cell>
          <cell r="BI469">
            <v>7810.7300000000196</v>
          </cell>
          <cell r="BJ469">
            <v>9988.9599999999864</v>
          </cell>
          <cell r="BK469">
            <v>13043.150000000007</v>
          </cell>
          <cell r="BL469">
            <v>7624.609999999986</v>
          </cell>
          <cell r="BM469">
            <v>38467.449999999997</v>
          </cell>
          <cell r="BN469">
            <v>42626.018181530912</v>
          </cell>
          <cell r="BO469">
            <v>1018.3629292292736</v>
          </cell>
          <cell r="BP469">
            <v>0</v>
          </cell>
          <cell r="BQ469">
            <v>0</v>
          </cell>
          <cell r="BR469">
            <v>82111.831110760191</v>
          </cell>
          <cell r="BT469">
            <v>0</v>
          </cell>
          <cell r="CA469" t="str">
            <v>C12352 - EBITA - Base</v>
          </cell>
          <cell r="CC469" t="str">
            <v>C12352 - EBITA - Base - MR</v>
          </cell>
          <cell r="CD469" t="str">
            <v/>
          </cell>
          <cell r="CF469" t="str">
            <v>C12352 - Base - MR</v>
          </cell>
        </row>
        <row r="470">
          <cell r="D470">
            <v>456</v>
          </cell>
          <cell r="E470">
            <v>0</v>
          </cell>
          <cell r="F470">
            <v>0</v>
          </cell>
          <cell r="G470" t="str">
            <v>C12352</v>
          </cell>
          <cell r="H470" t="str">
            <v>NSDD DICCE 2 PMO (12352)</v>
          </cell>
          <cell r="I470" t="str">
            <v>MR</v>
          </cell>
          <cell r="J470" t="str">
            <v>MR Non-Proliferation and Security Services</v>
          </cell>
          <cell r="K470" t="str">
            <v>DOE</v>
          </cell>
          <cell r="L470" t="str">
            <v>DOE</v>
          </cell>
          <cell r="M470" t="str">
            <v>OH</v>
          </cell>
          <cell r="N470" t="str">
            <v>CONUS</v>
          </cell>
          <cell r="O470">
            <v>0</v>
          </cell>
          <cell r="P470">
            <v>0</v>
          </cell>
          <cell r="Q470">
            <v>0</v>
          </cell>
          <cell r="R470" t="str">
            <v>FFP</v>
          </cell>
          <cell r="S470">
            <v>0</v>
          </cell>
          <cell r="T470">
            <v>1</v>
          </cell>
          <cell r="U470" t="str">
            <v>EBITA</v>
          </cell>
          <cell r="V470" t="str">
            <v>Identified - Recompete</v>
          </cell>
          <cell r="W470">
            <v>0</v>
          </cell>
          <cell r="X470">
            <v>0</v>
          </cell>
          <cell r="Y470">
            <v>0</v>
          </cell>
          <cell r="Z470">
            <v>0</v>
          </cell>
          <cell r="AA470">
            <v>0</v>
          </cell>
          <cell r="AB470">
            <v>0</v>
          </cell>
          <cell r="AC470">
            <v>0</v>
          </cell>
          <cell r="AD470">
            <v>0</v>
          </cell>
          <cell r="AX470">
            <v>0</v>
          </cell>
          <cell r="AY470">
            <v>0</v>
          </cell>
          <cell r="AZ470">
            <v>0</v>
          </cell>
          <cell r="BA470">
            <v>0</v>
          </cell>
          <cell r="BI470">
            <v>0</v>
          </cell>
          <cell r="BJ470">
            <v>0</v>
          </cell>
          <cell r="BK470">
            <v>0</v>
          </cell>
          <cell r="BL470">
            <v>0</v>
          </cell>
          <cell r="BM470">
            <v>0</v>
          </cell>
          <cell r="BN470">
            <v>0</v>
          </cell>
          <cell r="BO470">
            <v>0</v>
          </cell>
          <cell r="BP470">
            <v>0</v>
          </cell>
          <cell r="BQ470">
            <v>0</v>
          </cell>
          <cell r="BR470">
            <v>0</v>
          </cell>
          <cell r="BT470">
            <v>0</v>
          </cell>
          <cell r="CA470" t="str">
            <v>C12352 - EBITA - Identified - Recompete</v>
          </cell>
          <cell r="CC470" t="str">
            <v>C12352 - EBITA - Identified - Recompete - MR</v>
          </cell>
          <cell r="CD470" t="str">
            <v/>
          </cell>
          <cell r="CF470" t="str">
            <v>C12352 - Identified - Recompete - MR</v>
          </cell>
        </row>
        <row r="471">
          <cell r="D471">
            <v>457</v>
          </cell>
          <cell r="E471">
            <v>1</v>
          </cell>
          <cell r="F471">
            <v>1</v>
          </cell>
          <cell r="G471" t="str">
            <v>CP3584</v>
          </cell>
          <cell r="H471" t="str">
            <v>CTRIC III South Africa (3584)</v>
          </cell>
          <cell r="I471" t="str">
            <v>MR</v>
          </cell>
          <cell r="J471" t="str">
            <v>MR Non-Proliferation and Security Services</v>
          </cell>
          <cell r="K471" t="str">
            <v>DTRA</v>
          </cell>
          <cell r="L471" t="str">
            <v>DOD</v>
          </cell>
          <cell r="M471" t="str">
            <v>Africa</v>
          </cell>
          <cell r="N471" t="str">
            <v>OCONUS</v>
          </cell>
          <cell r="O471">
            <v>43373</v>
          </cell>
          <cell r="P471">
            <v>43922</v>
          </cell>
          <cell r="Q471" t="str">
            <v>Prime</v>
          </cell>
          <cell r="R471" t="str">
            <v>CPFF</v>
          </cell>
          <cell r="S471">
            <v>0</v>
          </cell>
          <cell r="T471">
            <v>1</v>
          </cell>
          <cell r="U471" t="str">
            <v>REVTOT</v>
          </cell>
          <cell r="V471" t="str">
            <v>Base</v>
          </cell>
          <cell r="W471" t="str">
            <v>05 Won</v>
          </cell>
          <cell r="X471" t="str">
            <v>Active</v>
          </cell>
          <cell r="Y471">
            <v>1</v>
          </cell>
          <cell r="Z471">
            <v>0</v>
          </cell>
          <cell r="AA471">
            <v>1709779.41</v>
          </cell>
          <cell r="AB471">
            <v>0</v>
          </cell>
          <cell r="AC471">
            <v>0</v>
          </cell>
          <cell r="AD471">
            <v>1709779.41</v>
          </cell>
          <cell r="AE471">
            <v>0</v>
          </cell>
          <cell r="AF471">
            <v>0</v>
          </cell>
          <cell r="AG471">
            <v>0</v>
          </cell>
          <cell r="AH471">
            <v>0.82928285762404275</v>
          </cell>
          <cell r="AI471">
            <v>0</v>
          </cell>
          <cell r="AJ471">
            <v>0</v>
          </cell>
          <cell r="AK471">
            <v>0</v>
          </cell>
          <cell r="BB471">
            <v>968000</v>
          </cell>
          <cell r="BC471">
            <v>968000</v>
          </cell>
          <cell r="BD471">
            <v>968000</v>
          </cell>
          <cell r="BE471">
            <v>968000</v>
          </cell>
          <cell r="BF471">
            <v>0</v>
          </cell>
          <cell r="BG471">
            <v>0</v>
          </cell>
          <cell r="BH471">
            <v>0</v>
          </cell>
          <cell r="BI471">
            <v>112468.75</v>
          </cell>
          <cell r="BJ471">
            <v>156152.56</v>
          </cell>
          <cell r="BK471">
            <v>102805.81</v>
          </cell>
          <cell r="BL471">
            <v>157742</v>
          </cell>
          <cell r="BM471">
            <v>529169.12</v>
          </cell>
          <cell r="BN471">
            <v>968000</v>
          </cell>
          <cell r="BO471">
            <v>741779.40999999992</v>
          </cell>
          <cell r="BP471">
            <v>0</v>
          </cell>
          <cell r="BQ471">
            <v>0</v>
          </cell>
          <cell r="BR471">
            <v>2238948.5300000003</v>
          </cell>
          <cell r="BT471">
            <v>0</v>
          </cell>
          <cell r="CA471" t="str">
            <v>CP3584 - REVTOT - Base</v>
          </cell>
          <cell r="CC471" t="str">
            <v>CP3584 - REVTOT - Base - MR</v>
          </cell>
          <cell r="CD471" t="str">
            <v>CP3584 - REVTOT - Base - MR</v>
          </cell>
          <cell r="CF471" t="str">
            <v>CP3584 - Base - MR</v>
          </cell>
        </row>
        <row r="472">
          <cell r="D472">
            <v>458</v>
          </cell>
          <cell r="E472">
            <v>1</v>
          </cell>
          <cell r="F472">
            <v>2</v>
          </cell>
          <cell r="G472" t="str">
            <v>CP3584</v>
          </cell>
          <cell r="H472" t="str">
            <v>CTRIC III South Africa (3584)</v>
          </cell>
          <cell r="I472" t="str">
            <v>MR</v>
          </cell>
          <cell r="J472" t="str">
            <v>MR Non-Proliferation and Security Services</v>
          </cell>
          <cell r="K472" t="str">
            <v>DTRA</v>
          </cell>
          <cell r="L472" t="str">
            <v>DOD</v>
          </cell>
          <cell r="M472" t="str">
            <v>Africa</v>
          </cell>
          <cell r="N472" t="str">
            <v>OCONUS</v>
          </cell>
          <cell r="O472">
            <v>0</v>
          </cell>
          <cell r="P472">
            <v>0</v>
          </cell>
          <cell r="Q472">
            <v>0</v>
          </cell>
          <cell r="R472" t="str">
            <v>CPFF</v>
          </cell>
          <cell r="S472">
            <v>0</v>
          </cell>
          <cell r="T472">
            <v>1</v>
          </cell>
          <cell r="U472" t="str">
            <v>REVTOT</v>
          </cell>
          <cell r="V472" t="str">
            <v>Identified - Recompete</v>
          </cell>
          <cell r="W472">
            <v>0</v>
          </cell>
          <cell r="X472">
            <v>0</v>
          </cell>
          <cell r="Y472">
            <v>0</v>
          </cell>
          <cell r="Z472">
            <v>0</v>
          </cell>
          <cell r="AA472">
            <v>0</v>
          </cell>
          <cell r="AB472">
            <v>0</v>
          </cell>
          <cell r="AC472">
            <v>0</v>
          </cell>
          <cell r="AD472">
            <v>0</v>
          </cell>
          <cell r="AI472">
            <v>0</v>
          </cell>
          <cell r="AJ472">
            <v>0</v>
          </cell>
          <cell r="AK472">
            <v>0</v>
          </cell>
          <cell r="BB472">
            <v>0</v>
          </cell>
          <cell r="BC472">
            <v>0</v>
          </cell>
          <cell r="BD472">
            <v>0</v>
          </cell>
          <cell r="BE472">
            <v>0</v>
          </cell>
          <cell r="BI472">
            <v>0</v>
          </cell>
          <cell r="BJ472">
            <v>0</v>
          </cell>
          <cell r="BK472">
            <v>0</v>
          </cell>
          <cell r="BL472">
            <v>0</v>
          </cell>
          <cell r="BM472">
            <v>0</v>
          </cell>
          <cell r="BN472">
            <v>0</v>
          </cell>
          <cell r="BO472">
            <v>0</v>
          </cell>
          <cell r="BP472">
            <v>0</v>
          </cell>
          <cell r="BQ472">
            <v>0</v>
          </cell>
          <cell r="BR472">
            <v>0</v>
          </cell>
          <cell r="BT472">
            <v>0</v>
          </cell>
          <cell r="CA472" t="str">
            <v>CP3584 - REVTOT - Identified - Recompete</v>
          </cell>
          <cell r="CC472" t="str">
            <v>CP3584 - REVTOT - Identified - Recompete - MR</v>
          </cell>
          <cell r="CD472" t="str">
            <v/>
          </cell>
          <cell r="CF472" t="str">
            <v>CP3584 - Identified - Recompete - MR</v>
          </cell>
        </row>
        <row r="473">
          <cell r="D473">
            <v>459</v>
          </cell>
          <cell r="E473">
            <v>2</v>
          </cell>
          <cell r="F473">
            <v>3</v>
          </cell>
          <cell r="G473" t="str">
            <v>CP3584</v>
          </cell>
          <cell r="H473" t="str">
            <v>CTRIC III South Africa (3584)</v>
          </cell>
          <cell r="I473" t="str">
            <v>MR</v>
          </cell>
          <cell r="J473" t="str">
            <v>MR Non-Proliferation and Security Services</v>
          </cell>
          <cell r="K473" t="str">
            <v>DTRA</v>
          </cell>
          <cell r="L473" t="str">
            <v>DOD</v>
          </cell>
          <cell r="M473" t="str">
            <v>Africa</v>
          </cell>
          <cell r="N473" t="str">
            <v>OCONUS</v>
          </cell>
          <cell r="O473">
            <v>43373</v>
          </cell>
          <cell r="P473">
            <v>43922</v>
          </cell>
          <cell r="Q473" t="str">
            <v>Prime</v>
          </cell>
          <cell r="R473" t="str">
            <v>CPFF</v>
          </cell>
          <cell r="S473">
            <v>0</v>
          </cell>
          <cell r="T473">
            <v>1</v>
          </cell>
          <cell r="U473" t="str">
            <v>CONTRACT</v>
          </cell>
          <cell r="V473" t="str">
            <v>Base</v>
          </cell>
          <cell r="W473" t="str">
            <v>05 Won</v>
          </cell>
          <cell r="X473" t="str">
            <v>Active</v>
          </cell>
          <cell r="Y473">
            <v>1</v>
          </cell>
          <cell r="Z473">
            <v>0</v>
          </cell>
          <cell r="AA473">
            <v>1709779.41</v>
          </cell>
          <cell r="AB473">
            <v>0</v>
          </cell>
          <cell r="AC473">
            <v>0</v>
          </cell>
          <cell r="AD473">
            <v>1709779.41</v>
          </cell>
          <cell r="AL473">
            <v>0</v>
          </cell>
          <cell r="AM473">
            <v>0</v>
          </cell>
          <cell r="AN473">
            <v>0</v>
          </cell>
          <cell r="AO473">
            <v>0.12351828088532452</v>
          </cell>
          <cell r="AP473">
            <v>0.16996231962809921</v>
          </cell>
          <cell r="AQ473">
            <v>0.16996231962809921</v>
          </cell>
          <cell r="AR473">
            <v>0.16996231962809921</v>
          </cell>
          <cell r="AS473">
            <v>0.16996231962809921</v>
          </cell>
          <cell r="BF473">
            <v>0</v>
          </cell>
          <cell r="BG473">
            <v>0</v>
          </cell>
          <cell r="BH473">
            <v>0</v>
          </cell>
          <cell r="BI473">
            <v>22320.900000000005</v>
          </cell>
          <cell r="BJ473">
            <v>20255.529999999992</v>
          </cell>
          <cell r="BK473">
            <v>16449.21000000001</v>
          </cell>
          <cell r="BL473">
            <v>6336.4199999999983</v>
          </cell>
          <cell r="BM473">
            <v>65362.06</v>
          </cell>
          <cell r="BN473">
            <v>164523.52540000004</v>
          </cell>
          <cell r="BO473">
            <v>126074.54917596283</v>
          </cell>
          <cell r="BP473">
            <v>0</v>
          </cell>
          <cell r="BQ473">
            <v>0</v>
          </cell>
          <cell r="BR473">
            <v>355960.1345759629</v>
          </cell>
          <cell r="BT473">
            <v>0</v>
          </cell>
          <cell r="CA473" t="str">
            <v>CP3584 - CONTRACT - Base</v>
          </cell>
          <cell r="CC473" t="str">
            <v>CP3584 - CONTRACT - Base - MR</v>
          </cell>
          <cell r="CD473" t="str">
            <v/>
          </cell>
          <cell r="CF473" t="str">
            <v>CP3584 - Base - MR</v>
          </cell>
        </row>
        <row r="474">
          <cell r="D474">
            <v>460</v>
          </cell>
          <cell r="E474">
            <v>2</v>
          </cell>
          <cell r="F474">
            <v>4</v>
          </cell>
          <cell r="G474" t="str">
            <v>CP3584</v>
          </cell>
          <cell r="H474" t="str">
            <v>CTRIC III South Africa (3584)</v>
          </cell>
          <cell r="I474" t="str">
            <v>MR</v>
          </cell>
          <cell r="J474" t="str">
            <v>MR Non-Proliferation and Security Services</v>
          </cell>
          <cell r="K474" t="str">
            <v>DTRA</v>
          </cell>
          <cell r="L474" t="str">
            <v>DOD</v>
          </cell>
          <cell r="M474" t="str">
            <v>Africa</v>
          </cell>
          <cell r="N474" t="str">
            <v>OCONUS</v>
          </cell>
          <cell r="O474">
            <v>0</v>
          </cell>
          <cell r="P474">
            <v>0</v>
          </cell>
          <cell r="Q474">
            <v>0</v>
          </cell>
          <cell r="R474" t="str">
            <v>CPFF</v>
          </cell>
          <cell r="S474">
            <v>0</v>
          </cell>
          <cell r="T474">
            <v>1</v>
          </cell>
          <cell r="U474" t="str">
            <v>CONTRACT</v>
          </cell>
          <cell r="V474" t="str">
            <v>Identified - Recompete</v>
          </cell>
          <cell r="W474">
            <v>0</v>
          </cell>
          <cell r="X474">
            <v>0</v>
          </cell>
          <cell r="Y474">
            <v>0</v>
          </cell>
          <cell r="Z474">
            <v>0</v>
          </cell>
          <cell r="AA474">
            <v>0</v>
          </cell>
          <cell r="AB474">
            <v>0</v>
          </cell>
          <cell r="AC474">
            <v>0</v>
          </cell>
          <cell r="AD474">
            <v>0</v>
          </cell>
          <cell r="AP474">
            <v>0</v>
          </cell>
          <cell r="AQ474">
            <v>0</v>
          </cell>
          <cell r="AR474">
            <v>0</v>
          </cell>
          <cell r="AS474">
            <v>0</v>
          </cell>
          <cell r="BI474">
            <v>0</v>
          </cell>
          <cell r="BJ474">
            <v>0</v>
          </cell>
          <cell r="BK474">
            <v>0</v>
          </cell>
          <cell r="BL474">
            <v>0</v>
          </cell>
          <cell r="BM474">
            <v>0</v>
          </cell>
          <cell r="BN474">
            <v>0</v>
          </cell>
          <cell r="BO474">
            <v>0</v>
          </cell>
          <cell r="BP474">
            <v>0</v>
          </cell>
          <cell r="BQ474">
            <v>0</v>
          </cell>
          <cell r="BR474">
            <v>0</v>
          </cell>
          <cell r="BT474">
            <v>0</v>
          </cell>
          <cell r="CA474" t="str">
            <v>CP3584 - CONTRACT - Identified - Recompete</v>
          </cell>
          <cell r="CC474" t="str">
            <v>CP3584 - CONTRACT - Identified - Recompete - MR</v>
          </cell>
          <cell r="CD474" t="str">
            <v/>
          </cell>
          <cell r="CF474" t="str">
            <v>CP3584 - Identified - Recompete - MR</v>
          </cell>
        </row>
        <row r="475">
          <cell r="D475">
            <v>461</v>
          </cell>
          <cell r="E475">
            <v>0</v>
          </cell>
          <cell r="F475">
            <v>5</v>
          </cell>
          <cell r="G475" t="str">
            <v>CP3584</v>
          </cell>
          <cell r="H475" t="str">
            <v>CTRIC III South Africa (3584)</v>
          </cell>
          <cell r="I475" t="str">
            <v>MR</v>
          </cell>
          <cell r="J475" t="str">
            <v>MR Non-Proliferation and Security Services</v>
          </cell>
          <cell r="K475" t="str">
            <v>DTRA</v>
          </cell>
          <cell r="L475" t="str">
            <v>DOD</v>
          </cell>
          <cell r="M475" t="str">
            <v>Africa</v>
          </cell>
          <cell r="N475" t="str">
            <v>OCONUS</v>
          </cell>
          <cell r="O475">
            <v>43373</v>
          </cell>
          <cell r="P475">
            <v>43922</v>
          </cell>
          <cell r="Q475" t="str">
            <v>Prime</v>
          </cell>
          <cell r="R475" t="str">
            <v>CPFF</v>
          </cell>
          <cell r="S475">
            <v>0</v>
          </cell>
          <cell r="T475">
            <v>1</v>
          </cell>
          <cell r="U475" t="str">
            <v>EBITA</v>
          </cell>
          <cell r="V475" t="str">
            <v>Base</v>
          </cell>
          <cell r="W475" t="str">
            <v>05 Won</v>
          </cell>
          <cell r="X475" t="str">
            <v>Active</v>
          </cell>
          <cell r="Y475">
            <v>1</v>
          </cell>
          <cell r="Z475">
            <v>0</v>
          </cell>
          <cell r="AA475">
            <v>1709779.41</v>
          </cell>
          <cell r="AB475">
            <v>0</v>
          </cell>
          <cell r="AC475">
            <v>0</v>
          </cell>
          <cell r="AD475">
            <v>1709779.41</v>
          </cell>
          <cell r="AT475">
            <v>0</v>
          </cell>
          <cell r="AU475">
            <v>0</v>
          </cell>
          <cell r="AV475">
            <v>0</v>
          </cell>
          <cell r="AW475">
            <v>2.8616314572551028E-2</v>
          </cell>
          <cell r="AX475">
            <v>3.4399377318533653E-2</v>
          </cell>
          <cell r="AY475">
            <v>3.4399377318533653E-2</v>
          </cell>
          <cell r="AZ475">
            <v>3.4399377318533653E-2</v>
          </cell>
          <cell r="BA475">
            <v>3.4399377318533653E-2</v>
          </cell>
          <cell r="BF475">
            <v>0</v>
          </cell>
          <cell r="BG475">
            <v>0</v>
          </cell>
          <cell r="BH475">
            <v>0</v>
          </cell>
          <cell r="BI475">
            <v>3702.4300000000048</v>
          </cell>
          <cell r="BJ475">
            <v>3692.9899999999898</v>
          </cell>
          <cell r="BK475">
            <v>1411.0300000000088</v>
          </cell>
          <cell r="BL475">
            <v>6336.4199999999983</v>
          </cell>
          <cell r="BM475">
            <v>15142.870000000003</v>
          </cell>
          <cell r="BN475">
            <v>33298.597244340577</v>
          </cell>
          <cell r="BO475">
            <v>25516.749811709273</v>
          </cell>
          <cell r="BP475">
            <v>0</v>
          </cell>
          <cell r="BQ475">
            <v>0</v>
          </cell>
          <cell r="BR475">
            <v>73958.217056049849</v>
          </cell>
          <cell r="BT475">
            <v>0</v>
          </cell>
          <cell r="CA475" t="str">
            <v>CP3584 - EBITA - Base</v>
          </cell>
          <cell r="CC475" t="str">
            <v>CP3584 - EBITA - Base - MR</v>
          </cell>
          <cell r="CD475" t="str">
            <v/>
          </cell>
          <cell r="CF475" t="str">
            <v>CP3584 - Base - MR</v>
          </cell>
        </row>
        <row r="476">
          <cell r="D476">
            <v>462</v>
          </cell>
          <cell r="E476">
            <v>0</v>
          </cell>
          <cell r="F476">
            <v>0</v>
          </cell>
          <cell r="G476" t="str">
            <v>CP3584</v>
          </cell>
          <cell r="H476" t="str">
            <v>CTRIC III South Africa (3584)</v>
          </cell>
          <cell r="I476" t="str">
            <v>MR</v>
          </cell>
          <cell r="J476" t="str">
            <v>MR Non-Proliferation and Security Services</v>
          </cell>
          <cell r="K476" t="str">
            <v>DTRA</v>
          </cell>
          <cell r="L476" t="str">
            <v>DOD</v>
          </cell>
          <cell r="M476" t="str">
            <v>Africa</v>
          </cell>
          <cell r="N476" t="str">
            <v>OCONUS</v>
          </cell>
          <cell r="O476">
            <v>0</v>
          </cell>
          <cell r="P476">
            <v>0</v>
          </cell>
          <cell r="Q476">
            <v>0</v>
          </cell>
          <cell r="R476" t="str">
            <v>CPFF</v>
          </cell>
          <cell r="S476">
            <v>0</v>
          </cell>
          <cell r="T476">
            <v>1</v>
          </cell>
          <cell r="U476" t="str">
            <v>EBITA</v>
          </cell>
          <cell r="V476" t="str">
            <v>Identified - Recompete</v>
          </cell>
          <cell r="W476">
            <v>0</v>
          </cell>
          <cell r="X476">
            <v>0</v>
          </cell>
          <cell r="Y476">
            <v>0</v>
          </cell>
          <cell r="Z476">
            <v>0</v>
          </cell>
          <cell r="AA476">
            <v>0</v>
          </cell>
          <cell r="AB476">
            <v>0</v>
          </cell>
          <cell r="AC476">
            <v>0</v>
          </cell>
          <cell r="AD476">
            <v>0</v>
          </cell>
          <cell r="AX476">
            <v>0</v>
          </cell>
          <cell r="AY476">
            <v>0</v>
          </cell>
          <cell r="AZ476">
            <v>0</v>
          </cell>
          <cell r="BA476">
            <v>0</v>
          </cell>
          <cell r="BI476">
            <v>0</v>
          </cell>
          <cell r="BJ476">
            <v>0</v>
          </cell>
          <cell r="BK476">
            <v>0</v>
          </cell>
          <cell r="BL476">
            <v>0</v>
          </cell>
          <cell r="BM476">
            <v>0</v>
          </cell>
          <cell r="BN476">
            <v>0</v>
          </cell>
          <cell r="BO476">
            <v>0</v>
          </cell>
          <cell r="BP476">
            <v>0</v>
          </cell>
          <cell r="BQ476">
            <v>0</v>
          </cell>
          <cell r="BR476">
            <v>0</v>
          </cell>
          <cell r="BT476">
            <v>0</v>
          </cell>
          <cell r="CA476" t="str">
            <v>CP3584 - EBITA - Identified - Recompete</v>
          </cell>
          <cell r="CC476" t="str">
            <v>CP3584 - EBITA - Identified - Recompete - MR</v>
          </cell>
          <cell r="CD476" t="str">
            <v/>
          </cell>
          <cell r="CF476" t="str">
            <v>CP3584 - Identified - Recompete - MR</v>
          </cell>
        </row>
        <row r="477">
          <cell r="D477">
            <v>463</v>
          </cell>
          <cell r="E477">
            <v>1</v>
          </cell>
          <cell r="F477">
            <v>1</v>
          </cell>
          <cell r="G477" t="str">
            <v>AF4SWA</v>
          </cell>
          <cell r="H477" t="str">
            <v>AFCAP IV - SWA</v>
          </cell>
          <cell r="I477" t="str">
            <v>MR</v>
          </cell>
          <cell r="J477" t="str">
            <v>MR Logistics &amp; Supply</v>
          </cell>
          <cell r="K477" t="str">
            <v>Army</v>
          </cell>
          <cell r="L477" t="str">
            <v>DOD</v>
          </cell>
          <cell r="M477" t="str">
            <v>QAT</v>
          </cell>
          <cell r="N477" t="str">
            <v>OCONUS</v>
          </cell>
          <cell r="O477">
            <v>42603</v>
          </cell>
          <cell r="P477">
            <v>44428</v>
          </cell>
          <cell r="Q477" t="str">
            <v>JV</v>
          </cell>
          <cell r="R477" t="str">
            <v>FFP</v>
          </cell>
          <cell r="S477">
            <v>0</v>
          </cell>
          <cell r="T477">
            <v>1</v>
          </cell>
          <cell r="U477" t="str">
            <v>REVTOT</v>
          </cell>
          <cell r="V477" t="str">
            <v>Base</v>
          </cell>
          <cell r="W477" t="str">
            <v>05 Won</v>
          </cell>
          <cell r="X477" t="str">
            <v>Active</v>
          </cell>
          <cell r="Y477">
            <v>1</v>
          </cell>
          <cell r="Z477">
            <v>0</v>
          </cell>
          <cell r="AA477">
            <v>609885.41000000015</v>
          </cell>
          <cell r="AB477">
            <v>19258.009999999893</v>
          </cell>
          <cell r="AC477">
            <v>0</v>
          </cell>
          <cell r="AD477">
            <v>629143.42000000004</v>
          </cell>
          <cell r="AE477">
            <v>14.974086576799905</v>
          </cell>
          <cell r="AF477">
            <v>-0.30164211438806576</v>
          </cell>
          <cell r="AG477">
            <v>1.4489919060369338E-2</v>
          </cell>
          <cell r="AH477">
            <v>-5.5788724743303542E-2</v>
          </cell>
          <cell r="AI477">
            <v>0</v>
          </cell>
          <cell r="AJ477">
            <v>0</v>
          </cell>
          <cell r="AK477">
            <v>0</v>
          </cell>
          <cell r="BB477">
            <v>671402</v>
          </cell>
          <cell r="BC477">
            <v>671402</v>
          </cell>
          <cell r="BD477">
            <v>671402</v>
          </cell>
          <cell r="BE477">
            <v>671402</v>
          </cell>
          <cell r="BF477">
            <v>58876.05</v>
          </cell>
          <cell r="BG477">
            <v>940491.12000000011</v>
          </cell>
          <cell r="BH477">
            <v>656799.39</v>
          </cell>
          <cell r="BI477">
            <v>166461.12</v>
          </cell>
          <cell r="BJ477">
            <v>166461.12000000002</v>
          </cell>
          <cell r="BK477">
            <v>166461.12</v>
          </cell>
          <cell r="BL477">
            <v>166933</v>
          </cell>
          <cell r="BM477">
            <v>666316.36</v>
          </cell>
          <cell r="BN477">
            <v>629143.42000000004</v>
          </cell>
          <cell r="BO477">
            <v>0</v>
          </cell>
          <cell r="BP477">
            <v>0</v>
          </cell>
          <cell r="BQ477">
            <v>0</v>
          </cell>
          <cell r="BR477">
            <v>1295459.78</v>
          </cell>
          <cell r="BT477">
            <v>0</v>
          </cell>
          <cell r="CA477" t="str">
            <v>AF4SWA - REVTOT - Base</v>
          </cell>
          <cell r="CC477" t="str">
            <v>AF4SWA - REVTOT - Base - MR</v>
          </cell>
          <cell r="CD477" t="str">
            <v>AF4SWA - REVTOT - Base - MR</v>
          </cell>
          <cell r="CF477" t="str">
            <v>AF4SWA - Base - MR</v>
          </cell>
        </row>
        <row r="478">
          <cell r="D478">
            <v>464</v>
          </cell>
          <cell r="E478">
            <v>1</v>
          </cell>
          <cell r="F478">
            <v>2</v>
          </cell>
          <cell r="G478" t="str">
            <v>AF4SWA</v>
          </cell>
          <cell r="H478" t="str">
            <v>AFCAP IV - SWA</v>
          </cell>
          <cell r="I478" t="str">
            <v>MR</v>
          </cell>
          <cell r="J478" t="str">
            <v>MR Logistics &amp; Supply</v>
          </cell>
          <cell r="K478" t="str">
            <v>Army</v>
          </cell>
          <cell r="L478" t="str">
            <v>DOD</v>
          </cell>
          <cell r="M478" t="str">
            <v>QAT</v>
          </cell>
          <cell r="N478" t="str">
            <v>OCONUS</v>
          </cell>
          <cell r="O478">
            <v>0</v>
          </cell>
          <cell r="P478">
            <v>0</v>
          </cell>
          <cell r="Q478">
            <v>0</v>
          </cell>
          <cell r="R478" t="str">
            <v>FFP</v>
          </cell>
          <cell r="S478">
            <v>0</v>
          </cell>
          <cell r="T478">
            <v>1</v>
          </cell>
          <cell r="U478" t="str">
            <v>REVTOT</v>
          </cell>
          <cell r="V478" t="str">
            <v>Identified - Recompete</v>
          </cell>
          <cell r="W478">
            <v>0</v>
          </cell>
          <cell r="X478">
            <v>0</v>
          </cell>
          <cell r="Y478">
            <v>0</v>
          </cell>
          <cell r="Z478">
            <v>0</v>
          </cell>
          <cell r="AA478">
            <v>0</v>
          </cell>
          <cell r="AB478">
            <v>0</v>
          </cell>
          <cell r="AC478">
            <v>0</v>
          </cell>
          <cell r="AD478">
            <v>0</v>
          </cell>
          <cell r="AI478">
            <v>0</v>
          </cell>
          <cell r="AJ478">
            <v>0</v>
          </cell>
          <cell r="AK478">
            <v>0</v>
          </cell>
          <cell r="BB478">
            <v>0</v>
          </cell>
          <cell r="BC478">
            <v>0</v>
          </cell>
          <cell r="BD478">
            <v>0</v>
          </cell>
          <cell r="BE478">
            <v>0</v>
          </cell>
          <cell r="BI478">
            <v>0</v>
          </cell>
          <cell r="BJ478">
            <v>0</v>
          </cell>
          <cell r="BK478">
            <v>0</v>
          </cell>
          <cell r="BL478">
            <v>0</v>
          </cell>
          <cell r="BM478">
            <v>0</v>
          </cell>
          <cell r="BN478">
            <v>0</v>
          </cell>
          <cell r="BO478">
            <v>0</v>
          </cell>
          <cell r="BP478">
            <v>0</v>
          </cell>
          <cell r="BQ478">
            <v>0</v>
          </cell>
          <cell r="BR478">
            <v>0</v>
          </cell>
          <cell r="BT478">
            <v>0</v>
          </cell>
          <cell r="CA478" t="str">
            <v>AF4SWA - REVTOT - Identified - Recompete</v>
          </cell>
          <cell r="CC478" t="str">
            <v>AF4SWA - REVTOT - Identified - Recompete - MR</v>
          </cell>
          <cell r="CD478" t="str">
            <v/>
          </cell>
          <cell r="CF478" t="str">
            <v>AF4SWA - Identified - Recompete - MR</v>
          </cell>
        </row>
        <row r="479">
          <cell r="D479">
            <v>465</v>
          </cell>
          <cell r="E479">
            <v>2</v>
          </cell>
          <cell r="F479">
            <v>3</v>
          </cell>
          <cell r="G479" t="str">
            <v>AF4SWA</v>
          </cell>
          <cell r="H479" t="str">
            <v>AFCAP IV - SWA</v>
          </cell>
          <cell r="I479" t="str">
            <v>MR</v>
          </cell>
          <cell r="J479" t="str">
            <v>MR Logistics &amp; Supply</v>
          </cell>
          <cell r="K479" t="str">
            <v>Army</v>
          </cell>
          <cell r="L479" t="str">
            <v>DOD</v>
          </cell>
          <cell r="M479" t="str">
            <v>QAT</v>
          </cell>
          <cell r="N479" t="str">
            <v>OCONUS</v>
          </cell>
          <cell r="O479">
            <v>42603</v>
          </cell>
          <cell r="P479">
            <v>44428</v>
          </cell>
          <cell r="Q479" t="str">
            <v>JV</v>
          </cell>
          <cell r="R479" t="str">
            <v>FFP</v>
          </cell>
          <cell r="S479">
            <v>0</v>
          </cell>
          <cell r="T479">
            <v>1</v>
          </cell>
          <cell r="U479" t="str">
            <v>CONTRACT</v>
          </cell>
          <cell r="V479" t="str">
            <v>Base</v>
          </cell>
          <cell r="W479" t="str">
            <v>05 Won</v>
          </cell>
          <cell r="X479" t="str">
            <v>Active</v>
          </cell>
          <cell r="Y479">
            <v>1</v>
          </cell>
          <cell r="Z479">
            <v>0</v>
          </cell>
          <cell r="AA479">
            <v>609885.41000000015</v>
          </cell>
          <cell r="AB479">
            <v>19258.009999999893</v>
          </cell>
          <cell r="AC479">
            <v>0</v>
          </cell>
          <cell r="AD479">
            <v>629143.42000000004</v>
          </cell>
          <cell r="AL479">
            <v>4.3797435459749803E-2</v>
          </cell>
          <cell r="AM479">
            <v>-0.29203394286168266</v>
          </cell>
          <cell r="AN479">
            <v>-0.12706426234652876</v>
          </cell>
          <cell r="AO479">
            <v>0.2669721932086434</v>
          </cell>
          <cell r="AP479">
            <v>9.4008226978769829E-2</v>
          </cell>
          <cell r="AQ479">
            <v>9.4008226978769829E-2</v>
          </cell>
          <cell r="AR479">
            <v>9.4008226978769829E-2</v>
          </cell>
          <cell r="AS479">
            <v>9.4008226978769829E-2</v>
          </cell>
          <cell r="BF479">
            <v>2578.6200000000026</v>
          </cell>
          <cell r="BG479">
            <v>-274655.32999999996</v>
          </cell>
          <cell r="BH479">
            <v>-83455.730000000054</v>
          </cell>
          <cell r="BI479">
            <v>140987.65</v>
          </cell>
          <cell r="BJ479">
            <v>11850.86</v>
          </cell>
          <cell r="BK479">
            <v>24422.43</v>
          </cell>
          <cell r="BL479">
            <v>627</v>
          </cell>
          <cell r="BM479">
            <v>177887.94</v>
          </cell>
          <cell r="BN479">
            <v>59144.65742955952</v>
          </cell>
          <cell r="BO479">
            <v>0</v>
          </cell>
          <cell r="BP479">
            <v>0</v>
          </cell>
          <cell r="BQ479">
            <v>0</v>
          </cell>
          <cell r="BR479">
            <v>237032.59742955951</v>
          </cell>
          <cell r="BT479">
            <v>0</v>
          </cell>
          <cell r="CA479" t="str">
            <v>AF4SWA - CONTRACT - Base</v>
          </cell>
          <cell r="CC479" t="str">
            <v>AF4SWA - CONTRACT - Base - MR</v>
          </cell>
          <cell r="CD479" t="str">
            <v/>
          </cell>
          <cell r="CF479" t="str">
            <v>AF4SWA - Base - MR</v>
          </cell>
        </row>
        <row r="480">
          <cell r="D480">
            <v>466</v>
          </cell>
          <cell r="E480">
            <v>2</v>
          </cell>
          <cell r="F480">
            <v>4</v>
          </cell>
          <cell r="G480" t="str">
            <v>AF4SWA</v>
          </cell>
          <cell r="H480" t="str">
            <v>AFCAP IV - SWA</v>
          </cell>
          <cell r="I480" t="str">
            <v>MR</v>
          </cell>
          <cell r="J480" t="str">
            <v>MR Logistics &amp; Supply</v>
          </cell>
          <cell r="K480" t="str">
            <v>Army</v>
          </cell>
          <cell r="L480" t="str">
            <v>DOD</v>
          </cell>
          <cell r="M480" t="str">
            <v>QAT</v>
          </cell>
          <cell r="N480" t="str">
            <v>OCONUS</v>
          </cell>
          <cell r="O480">
            <v>0</v>
          </cell>
          <cell r="P480">
            <v>0</v>
          </cell>
          <cell r="Q480">
            <v>0</v>
          </cell>
          <cell r="R480" t="str">
            <v>FFP</v>
          </cell>
          <cell r="S480">
            <v>0</v>
          </cell>
          <cell r="T480">
            <v>1</v>
          </cell>
          <cell r="U480" t="str">
            <v>CONTRACT</v>
          </cell>
          <cell r="V480" t="str">
            <v>Identified - Recompete</v>
          </cell>
          <cell r="W480">
            <v>0</v>
          </cell>
          <cell r="X480">
            <v>0</v>
          </cell>
          <cell r="Y480">
            <v>0</v>
          </cell>
          <cell r="Z480">
            <v>0</v>
          </cell>
          <cell r="AA480">
            <v>0</v>
          </cell>
          <cell r="AB480">
            <v>0</v>
          </cell>
          <cell r="AC480">
            <v>0</v>
          </cell>
          <cell r="AD480">
            <v>0</v>
          </cell>
          <cell r="AP480">
            <v>0</v>
          </cell>
          <cell r="AQ480">
            <v>0</v>
          </cell>
          <cell r="AR480">
            <v>0</v>
          </cell>
          <cell r="AS480">
            <v>0</v>
          </cell>
          <cell r="BI480">
            <v>0</v>
          </cell>
          <cell r="BJ480">
            <v>0</v>
          </cell>
          <cell r="BK480">
            <v>0</v>
          </cell>
          <cell r="BL480">
            <v>0</v>
          </cell>
          <cell r="BM480">
            <v>0</v>
          </cell>
          <cell r="BN480">
            <v>0</v>
          </cell>
          <cell r="BO480">
            <v>0</v>
          </cell>
          <cell r="BP480">
            <v>0</v>
          </cell>
          <cell r="BQ480">
            <v>0</v>
          </cell>
          <cell r="BR480">
            <v>0</v>
          </cell>
          <cell r="BT480">
            <v>0</v>
          </cell>
          <cell r="CA480" t="str">
            <v>AF4SWA - CONTRACT - Identified - Recompete</v>
          </cell>
          <cell r="CC480" t="str">
            <v>AF4SWA - CONTRACT - Identified - Recompete - MR</v>
          </cell>
          <cell r="CD480" t="str">
            <v/>
          </cell>
          <cell r="CF480" t="str">
            <v>AF4SWA - Identified - Recompete - MR</v>
          </cell>
        </row>
        <row r="481">
          <cell r="D481">
            <v>467</v>
          </cell>
          <cell r="E481">
            <v>0</v>
          </cell>
          <cell r="F481">
            <v>5</v>
          </cell>
          <cell r="G481" t="str">
            <v>AF4SWA</v>
          </cell>
          <cell r="H481" t="str">
            <v>AFCAP IV - SWA</v>
          </cell>
          <cell r="I481" t="str">
            <v>MR</v>
          </cell>
          <cell r="J481" t="str">
            <v>MR Logistics &amp; Supply</v>
          </cell>
          <cell r="K481" t="str">
            <v>Army</v>
          </cell>
          <cell r="L481" t="str">
            <v>DOD</v>
          </cell>
          <cell r="M481" t="str">
            <v>QAT</v>
          </cell>
          <cell r="N481" t="str">
            <v>OCONUS</v>
          </cell>
          <cell r="O481">
            <v>42603</v>
          </cell>
          <cell r="P481">
            <v>44428</v>
          </cell>
          <cell r="Q481" t="str">
            <v>JV</v>
          </cell>
          <cell r="R481" t="str">
            <v>FFP</v>
          </cell>
          <cell r="S481">
            <v>0</v>
          </cell>
          <cell r="T481">
            <v>1</v>
          </cell>
          <cell r="U481" t="str">
            <v>EBITA</v>
          </cell>
          <cell r="V481" t="str">
            <v>Base</v>
          </cell>
          <cell r="W481" t="str">
            <v>05 Won</v>
          </cell>
          <cell r="X481" t="str">
            <v>Active</v>
          </cell>
          <cell r="Y481">
            <v>1</v>
          </cell>
          <cell r="Z481">
            <v>0</v>
          </cell>
          <cell r="AA481">
            <v>609885.41000000015</v>
          </cell>
          <cell r="AB481">
            <v>19258.009999999893</v>
          </cell>
          <cell r="AC481">
            <v>0</v>
          </cell>
          <cell r="AD481">
            <v>629143.42000000004</v>
          </cell>
          <cell r="AT481">
            <v>4.6342852574498196E-17</v>
          </cell>
          <cell r="AU481">
            <v>-0.3730443302856491</v>
          </cell>
          <cell r="AV481">
            <v>-0.16847133490790853</v>
          </cell>
          <cell r="AW481">
            <v>0.20244533692674152</v>
          </cell>
          <cell r="AX481">
            <v>1.8512988268956927E-2</v>
          </cell>
          <cell r="AY481">
            <v>1.9512988268956928E-2</v>
          </cell>
          <cell r="AZ481">
            <v>2.0512988268956929E-2</v>
          </cell>
          <cell r="BA481">
            <v>2.151298826895693E-2</v>
          </cell>
          <cell r="BF481">
            <v>2.7284841053187847E-12</v>
          </cell>
          <cell r="BG481">
            <v>-350844.88000000006</v>
          </cell>
          <cell r="BH481">
            <v>-110651.87000000002</v>
          </cell>
          <cell r="BI481">
            <v>138708.52999999997</v>
          </cell>
          <cell r="BJ481">
            <v>-1602.2799999999997</v>
          </cell>
          <cell r="BK481">
            <v>12009</v>
          </cell>
          <cell r="BL481">
            <v>-14222.609999999999</v>
          </cell>
          <cell r="BM481">
            <v>134892.63999999998</v>
          </cell>
          <cell r="BN481">
            <v>11647.324753951441</v>
          </cell>
          <cell r="BO481">
            <v>0</v>
          </cell>
          <cell r="BP481">
            <v>0</v>
          </cell>
          <cell r="BQ481">
            <v>0</v>
          </cell>
          <cell r="BR481">
            <v>146539.96475395141</v>
          </cell>
          <cell r="BT481">
            <v>0</v>
          </cell>
          <cell r="CA481" t="str">
            <v>AF4SWA - EBITA - Base</v>
          </cell>
          <cell r="CC481" t="str">
            <v>AF4SWA - EBITA - Base - MR</v>
          </cell>
          <cell r="CD481" t="str">
            <v/>
          </cell>
          <cell r="CF481" t="str">
            <v>AF4SWA - Base - MR</v>
          </cell>
        </row>
        <row r="482">
          <cell r="D482">
            <v>468</v>
          </cell>
          <cell r="E482">
            <v>0</v>
          </cell>
          <cell r="F482">
            <v>0</v>
          </cell>
          <cell r="G482" t="str">
            <v>AF4SWA</v>
          </cell>
          <cell r="H482" t="str">
            <v>AFCAP IV - SWA</v>
          </cell>
          <cell r="I482" t="str">
            <v>MR</v>
          </cell>
          <cell r="J482" t="str">
            <v>MR Logistics &amp; Supply</v>
          </cell>
          <cell r="K482" t="str">
            <v>Army</v>
          </cell>
          <cell r="L482" t="str">
            <v>DOD</v>
          </cell>
          <cell r="M482" t="str">
            <v>QAT</v>
          </cell>
          <cell r="N482" t="str">
            <v>OCONUS</v>
          </cell>
          <cell r="O482">
            <v>0</v>
          </cell>
          <cell r="P482">
            <v>0</v>
          </cell>
          <cell r="Q482">
            <v>0</v>
          </cell>
          <cell r="R482" t="str">
            <v>FFP</v>
          </cell>
          <cell r="S482">
            <v>0</v>
          </cell>
          <cell r="T482">
            <v>1</v>
          </cell>
          <cell r="U482" t="str">
            <v>EBITA</v>
          </cell>
          <cell r="V482" t="str">
            <v>Identified - Recompete</v>
          </cell>
          <cell r="W482">
            <v>0</v>
          </cell>
          <cell r="X482">
            <v>0</v>
          </cell>
          <cell r="Y482">
            <v>0</v>
          </cell>
          <cell r="Z482">
            <v>0</v>
          </cell>
          <cell r="AA482">
            <v>0</v>
          </cell>
          <cell r="AB482">
            <v>0</v>
          </cell>
          <cell r="AC482">
            <v>0</v>
          </cell>
          <cell r="AD482">
            <v>0</v>
          </cell>
          <cell r="AX482">
            <v>0</v>
          </cell>
          <cell r="AY482">
            <v>0</v>
          </cell>
          <cell r="AZ482">
            <v>0</v>
          </cell>
          <cell r="BA482">
            <v>0</v>
          </cell>
          <cell r="BI482">
            <v>0</v>
          </cell>
          <cell r="BJ482">
            <v>0</v>
          </cell>
          <cell r="BK482">
            <v>0</v>
          </cell>
          <cell r="BL482">
            <v>0</v>
          </cell>
          <cell r="BM482">
            <v>0</v>
          </cell>
          <cell r="BN482">
            <v>0</v>
          </cell>
          <cell r="BO482">
            <v>0</v>
          </cell>
          <cell r="BP482">
            <v>0</v>
          </cell>
          <cell r="BQ482">
            <v>0</v>
          </cell>
          <cell r="BR482">
            <v>0</v>
          </cell>
          <cell r="BT482">
            <v>0</v>
          </cell>
          <cell r="CA482" t="str">
            <v>AF4SWA - EBITA - Identified - Recompete</v>
          </cell>
          <cell r="CC482" t="str">
            <v>AF4SWA - EBITA - Identified - Recompete - MR</v>
          </cell>
          <cell r="CD482" t="str">
            <v/>
          </cell>
          <cell r="CF482" t="str">
            <v>AF4SWA - Identified - Recompete - MR</v>
          </cell>
        </row>
        <row r="483">
          <cell r="D483">
            <v>469</v>
          </cell>
          <cell r="E483">
            <v>1</v>
          </cell>
          <cell r="F483">
            <v>1</v>
          </cell>
          <cell r="G483" t="str">
            <v>CP3404</v>
          </cell>
          <cell r="H483" t="str">
            <v>Jordan Group 4 Phase II (3404)</v>
          </cell>
          <cell r="I483" t="str">
            <v>MR</v>
          </cell>
          <cell r="J483" t="str">
            <v>MR Non-Proliferation and Security Services</v>
          </cell>
          <cell r="K483" t="str">
            <v>Foreign Government</v>
          </cell>
          <cell r="L483" t="str">
            <v>Non-US Gov't</v>
          </cell>
          <cell r="M483" t="str">
            <v>OH</v>
          </cell>
          <cell r="N483" t="str">
            <v>CONUS</v>
          </cell>
          <cell r="O483">
            <v>43125</v>
          </cell>
          <cell r="P483">
            <v>43588</v>
          </cell>
          <cell r="Q483" t="str">
            <v>Prime</v>
          </cell>
          <cell r="R483" t="str">
            <v>FFP</v>
          </cell>
          <cell r="S483">
            <v>0</v>
          </cell>
          <cell r="T483">
            <v>1</v>
          </cell>
          <cell r="U483" t="str">
            <v>REVTOT</v>
          </cell>
          <cell r="V483" t="str">
            <v>Base</v>
          </cell>
          <cell r="W483" t="str">
            <v>05 Won</v>
          </cell>
          <cell r="X483" t="str">
            <v>Active</v>
          </cell>
          <cell r="Y483">
            <v>1</v>
          </cell>
          <cell r="Z483">
            <v>0</v>
          </cell>
          <cell r="AA483">
            <v>117787.94000000018</v>
          </cell>
          <cell r="AB483">
            <v>0</v>
          </cell>
          <cell r="AC483">
            <v>0</v>
          </cell>
          <cell r="AD483">
            <v>117787.94000000018</v>
          </cell>
          <cell r="AE483">
            <v>0</v>
          </cell>
          <cell r="AF483">
            <v>0</v>
          </cell>
          <cell r="AG483">
            <v>-0.76575271021943081</v>
          </cell>
          <cell r="AH483">
            <v>-0.84029953330013607</v>
          </cell>
          <cell r="AI483">
            <v>0</v>
          </cell>
          <cell r="AJ483">
            <v>0</v>
          </cell>
          <cell r="AK483">
            <v>0</v>
          </cell>
          <cell r="BB483">
            <v>122782</v>
          </cell>
          <cell r="BC483">
            <v>122782</v>
          </cell>
          <cell r="BD483">
            <v>122782</v>
          </cell>
          <cell r="BE483">
            <v>122782</v>
          </cell>
          <cell r="BF483">
            <v>0</v>
          </cell>
          <cell r="BG483">
            <v>0</v>
          </cell>
          <cell r="BH483">
            <v>3148618.67</v>
          </cell>
          <cell r="BI483">
            <v>100431.01000000001</v>
          </cell>
          <cell r="BJ483">
            <v>510400.33</v>
          </cell>
          <cell r="BK483">
            <v>24195.05</v>
          </cell>
          <cell r="BL483">
            <v>102529</v>
          </cell>
          <cell r="BM483">
            <v>737555.39000000013</v>
          </cell>
          <cell r="BN483">
            <v>117787.94000000018</v>
          </cell>
          <cell r="BO483">
            <v>0</v>
          </cell>
          <cell r="BP483">
            <v>0</v>
          </cell>
          <cell r="BQ483">
            <v>0</v>
          </cell>
          <cell r="BR483">
            <v>855343.33000000031</v>
          </cell>
          <cell r="BT483">
            <v>0</v>
          </cell>
          <cell r="CA483" t="str">
            <v>CP3404 - REVTOT - Base</v>
          </cell>
          <cell r="CC483" t="str">
            <v>CP3404 - REVTOT - Base - MR</v>
          </cell>
          <cell r="CD483" t="str">
            <v>CP3404 - REVTOT - Base - MR</v>
          </cell>
          <cell r="CF483" t="str">
            <v>CP3404 - Base - MR</v>
          </cell>
        </row>
        <row r="484">
          <cell r="D484">
            <v>470</v>
          </cell>
          <cell r="E484">
            <v>1</v>
          </cell>
          <cell r="F484">
            <v>2</v>
          </cell>
          <cell r="G484" t="str">
            <v>CP3404</v>
          </cell>
          <cell r="H484" t="str">
            <v>Jordan Group 4 Phase II (3404)</v>
          </cell>
          <cell r="I484" t="str">
            <v>MR</v>
          </cell>
          <cell r="J484" t="str">
            <v>MR Non-Proliferation and Security Services</v>
          </cell>
          <cell r="K484" t="str">
            <v>Foreign Government</v>
          </cell>
          <cell r="L484" t="str">
            <v>Non-US Gov't</v>
          </cell>
          <cell r="M484" t="str">
            <v>OH</v>
          </cell>
          <cell r="N484" t="str">
            <v>CONUS</v>
          </cell>
          <cell r="O484">
            <v>0</v>
          </cell>
          <cell r="P484">
            <v>0</v>
          </cell>
          <cell r="Q484">
            <v>0</v>
          </cell>
          <cell r="R484" t="str">
            <v>FFP</v>
          </cell>
          <cell r="S484">
            <v>0</v>
          </cell>
          <cell r="T484">
            <v>1</v>
          </cell>
          <cell r="U484" t="str">
            <v>REVTOT</v>
          </cell>
          <cell r="V484" t="str">
            <v>Identified - Recompete</v>
          </cell>
          <cell r="W484">
            <v>0</v>
          </cell>
          <cell r="X484">
            <v>0</v>
          </cell>
          <cell r="Y484">
            <v>0</v>
          </cell>
          <cell r="Z484">
            <v>0</v>
          </cell>
          <cell r="AA484">
            <v>0</v>
          </cell>
          <cell r="AB484">
            <v>0</v>
          </cell>
          <cell r="AC484">
            <v>0</v>
          </cell>
          <cell r="AD484">
            <v>0</v>
          </cell>
          <cell r="AI484">
            <v>0</v>
          </cell>
          <cell r="AJ484">
            <v>0</v>
          </cell>
          <cell r="AK484">
            <v>0</v>
          </cell>
          <cell r="BB484">
            <v>0</v>
          </cell>
          <cell r="BC484">
            <v>0</v>
          </cell>
          <cell r="BD484">
            <v>0</v>
          </cell>
          <cell r="BE484">
            <v>0</v>
          </cell>
          <cell r="BI484">
            <v>0</v>
          </cell>
          <cell r="BJ484">
            <v>0</v>
          </cell>
          <cell r="BK484">
            <v>0</v>
          </cell>
          <cell r="BL484">
            <v>0</v>
          </cell>
          <cell r="BM484">
            <v>0</v>
          </cell>
          <cell r="BN484">
            <v>0</v>
          </cell>
          <cell r="BO484">
            <v>0</v>
          </cell>
          <cell r="BP484">
            <v>0</v>
          </cell>
          <cell r="BQ484">
            <v>0</v>
          </cell>
          <cell r="BR484">
            <v>0</v>
          </cell>
          <cell r="BT484">
            <v>0</v>
          </cell>
          <cell r="CA484" t="str">
            <v>CP3404 - REVTOT - Identified - Recompete</v>
          </cell>
          <cell r="CC484" t="str">
            <v>CP3404 - REVTOT - Identified - Recompete - MR</v>
          </cell>
          <cell r="CD484" t="str">
            <v/>
          </cell>
          <cell r="CF484" t="str">
            <v>CP3404 - Identified - Recompete - MR</v>
          </cell>
        </row>
        <row r="485">
          <cell r="D485">
            <v>471</v>
          </cell>
          <cell r="E485">
            <v>2</v>
          </cell>
          <cell r="F485">
            <v>3</v>
          </cell>
          <cell r="G485" t="str">
            <v>CP3404</v>
          </cell>
          <cell r="H485" t="str">
            <v>Jordan Group 4 Phase II (3404)</v>
          </cell>
          <cell r="I485" t="str">
            <v>MR</v>
          </cell>
          <cell r="J485" t="str">
            <v>MR Non-Proliferation and Security Services</v>
          </cell>
          <cell r="K485" t="str">
            <v>Foreign Government</v>
          </cell>
          <cell r="L485" t="str">
            <v>Non-US Gov't</v>
          </cell>
          <cell r="M485" t="str">
            <v>OH</v>
          </cell>
          <cell r="N485" t="str">
            <v>CONUS</v>
          </cell>
          <cell r="O485">
            <v>43125</v>
          </cell>
          <cell r="P485">
            <v>43588</v>
          </cell>
          <cell r="Q485" t="str">
            <v>Prime</v>
          </cell>
          <cell r="R485" t="str">
            <v>FFP</v>
          </cell>
          <cell r="S485">
            <v>0</v>
          </cell>
          <cell r="T485">
            <v>1</v>
          </cell>
          <cell r="U485" t="str">
            <v>CONTRACT</v>
          </cell>
          <cell r="V485" t="str">
            <v>Base</v>
          </cell>
          <cell r="W485" t="str">
            <v>05 Won</v>
          </cell>
          <cell r="X485" t="str">
            <v>Active</v>
          </cell>
          <cell r="Y485">
            <v>1</v>
          </cell>
          <cell r="Z485">
            <v>0</v>
          </cell>
          <cell r="AA485">
            <v>117787.94000000018</v>
          </cell>
          <cell r="AB485">
            <v>0</v>
          </cell>
          <cell r="AC485">
            <v>0</v>
          </cell>
          <cell r="AD485">
            <v>117787.94000000018</v>
          </cell>
          <cell r="AL485">
            <v>0</v>
          </cell>
          <cell r="AM485">
            <v>0</v>
          </cell>
          <cell r="AN485">
            <v>0.20755931679716555</v>
          </cell>
          <cell r="AO485">
            <v>0.54825954156473589</v>
          </cell>
          <cell r="AP485">
            <v>0.26813490495349479</v>
          </cell>
          <cell r="AQ485">
            <v>0.26813490495349479</v>
          </cell>
          <cell r="AR485">
            <v>0.26813490495349479</v>
          </cell>
          <cell r="AS485">
            <v>0.26813490495349479</v>
          </cell>
          <cell r="BF485">
            <v>0</v>
          </cell>
          <cell r="BG485">
            <v>0</v>
          </cell>
          <cell r="BH485">
            <v>653525.14</v>
          </cell>
          <cell r="BI485">
            <v>25688.440000000006</v>
          </cell>
          <cell r="BJ485">
            <v>357848.77</v>
          </cell>
          <cell r="BK485">
            <v>8516.57</v>
          </cell>
          <cell r="BL485">
            <v>12318</v>
          </cell>
          <cell r="BM485">
            <v>404371.78</v>
          </cell>
          <cell r="BN485">
            <v>31583.058096567995</v>
          </cell>
          <cell r="BO485">
            <v>0</v>
          </cell>
          <cell r="BP485">
            <v>0</v>
          </cell>
          <cell r="BQ485">
            <v>0</v>
          </cell>
          <cell r="BR485">
            <v>435954.83809656801</v>
          </cell>
          <cell r="BT485">
            <v>0</v>
          </cell>
          <cell r="CA485" t="str">
            <v>CP3404 - CONTRACT - Base</v>
          </cell>
          <cell r="CC485" t="str">
            <v>CP3404 - CONTRACT - Base - MR</v>
          </cell>
          <cell r="CD485" t="str">
            <v/>
          </cell>
          <cell r="CF485" t="str">
            <v>CP3404 - Base - MR</v>
          </cell>
        </row>
        <row r="486">
          <cell r="D486">
            <v>472</v>
          </cell>
          <cell r="E486">
            <v>2</v>
          </cell>
          <cell r="F486">
            <v>4</v>
          </cell>
          <cell r="G486" t="str">
            <v>CP3404</v>
          </cell>
          <cell r="H486" t="str">
            <v>Jordan Group 4 Phase II (3404)</v>
          </cell>
          <cell r="I486" t="str">
            <v>MR</v>
          </cell>
          <cell r="J486" t="str">
            <v>MR Non-Proliferation and Security Services</v>
          </cell>
          <cell r="K486" t="str">
            <v>Foreign Government</v>
          </cell>
          <cell r="L486" t="str">
            <v>Non-US Gov't</v>
          </cell>
          <cell r="M486" t="str">
            <v>OH</v>
          </cell>
          <cell r="N486" t="str">
            <v>CONUS</v>
          </cell>
          <cell r="O486">
            <v>0</v>
          </cell>
          <cell r="P486">
            <v>0</v>
          </cell>
          <cell r="Q486">
            <v>0</v>
          </cell>
          <cell r="R486" t="str">
            <v>FFP</v>
          </cell>
          <cell r="S486">
            <v>0</v>
          </cell>
          <cell r="T486">
            <v>1</v>
          </cell>
          <cell r="U486" t="str">
            <v>CONTRACT</v>
          </cell>
          <cell r="V486" t="str">
            <v>Identified - Recompete</v>
          </cell>
          <cell r="W486">
            <v>0</v>
          </cell>
          <cell r="X486">
            <v>0</v>
          </cell>
          <cell r="Y486">
            <v>0</v>
          </cell>
          <cell r="Z486">
            <v>0</v>
          </cell>
          <cell r="AA486">
            <v>0</v>
          </cell>
          <cell r="AB486">
            <v>0</v>
          </cell>
          <cell r="AC486">
            <v>0</v>
          </cell>
          <cell r="AD486">
            <v>0</v>
          </cell>
          <cell r="AP486">
            <v>0</v>
          </cell>
          <cell r="AQ486">
            <v>0</v>
          </cell>
          <cell r="AR486">
            <v>0</v>
          </cell>
          <cell r="AS486">
            <v>0</v>
          </cell>
          <cell r="BI486">
            <v>0</v>
          </cell>
          <cell r="BJ486">
            <v>0</v>
          </cell>
          <cell r="BK486">
            <v>0</v>
          </cell>
          <cell r="BL486">
            <v>0</v>
          </cell>
          <cell r="BM486">
            <v>0</v>
          </cell>
          <cell r="BN486">
            <v>0</v>
          </cell>
          <cell r="BO486">
            <v>0</v>
          </cell>
          <cell r="BP486">
            <v>0</v>
          </cell>
          <cell r="BQ486">
            <v>0</v>
          </cell>
          <cell r="BR486">
            <v>0</v>
          </cell>
          <cell r="BT486">
            <v>0</v>
          </cell>
          <cell r="CA486" t="str">
            <v>CP3404 - CONTRACT - Identified - Recompete</v>
          </cell>
          <cell r="CC486" t="str">
            <v>CP3404 - CONTRACT - Identified - Recompete - MR</v>
          </cell>
          <cell r="CD486" t="str">
            <v/>
          </cell>
          <cell r="CF486" t="str">
            <v>CP3404 - Identified - Recompete - MR</v>
          </cell>
        </row>
        <row r="487">
          <cell r="D487">
            <v>473</v>
          </cell>
          <cell r="E487">
            <v>0</v>
          </cell>
          <cell r="F487">
            <v>5</v>
          </cell>
          <cell r="G487" t="str">
            <v>CP3404</v>
          </cell>
          <cell r="H487" t="str">
            <v>Jordan Group 4 Phase II (3404)</v>
          </cell>
          <cell r="I487" t="str">
            <v>MR</v>
          </cell>
          <cell r="J487" t="str">
            <v>MR Non-Proliferation and Security Services</v>
          </cell>
          <cell r="K487" t="str">
            <v>Foreign Government</v>
          </cell>
          <cell r="L487" t="str">
            <v>Non-US Gov't</v>
          </cell>
          <cell r="M487" t="str">
            <v>OH</v>
          </cell>
          <cell r="N487" t="str">
            <v>CONUS</v>
          </cell>
          <cell r="O487">
            <v>43125</v>
          </cell>
          <cell r="P487">
            <v>43588</v>
          </cell>
          <cell r="Q487" t="str">
            <v>Prime</v>
          </cell>
          <cell r="R487" t="str">
            <v>FFP</v>
          </cell>
          <cell r="S487">
            <v>0</v>
          </cell>
          <cell r="T487">
            <v>1</v>
          </cell>
          <cell r="U487" t="str">
            <v>EBITA</v>
          </cell>
          <cell r="V487" t="str">
            <v>Base</v>
          </cell>
          <cell r="W487" t="str">
            <v>05 Won</v>
          </cell>
          <cell r="X487" t="str">
            <v>Active</v>
          </cell>
          <cell r="Y487">
            <v>1</v>
          </cell>
          <cell r="Z487">
            <v>0</v>
          </cell>
          <cell r="AA487">
            <v>117787.94000000018</v>
          </cell>
          <cell r="AB487">
            <v>0</v>
          </cell>
          <cell r="AC487">
            <v>0</v>
          </cell>
          <cell r="AD487">
            <v>117787.94000000018</v>
          </cell>
          <cell r="AT487">
            <v>0</v>
          </cell>
          <cell r="AU487">
            <v>0</v>
          </cell>
          <cell r="AV487">
            <v>0.12404863876386786</v>
          </cell>
          <cell r="AW487">
            <v>0.48306123828882863</v>
          </cell>
          <cell r="AX487">
            <v>0.17122015526627521</v>
          </cell>
          <cell r="AY487">
            <v>0.17222015526627521</v>
          </cell>
          <cell r="AZ487">
            <v>0.17322015526627521</v>
          </cell>
          <cell r="BA487">
            <v>0.17422015526627521</v>
          </cell>
          <cell r="BF487">
            <v>0</v>
          </cell>
          <cell r="BG487">
            <v>0</v>
          </cell>
          <cell r="BH487">
            <v>390581.86000000004</v>
          </cell>
          <cell r="BI487">
            <v>12596.490000000005</v>
          </cell>
          <cell r="BJ487">
            <v>335165.21999999997</v>
          </cell>
          <cell r="BK487">
            <v>4767.7099999999991</v>
          </cell>
          <cell r="BL487">
            <v>3755</v>
          </cell>
          <cell r="BM487">
            <v>356284.42</v>
          </cell>
          <cell r="BN487">
            <v>20167.669375294739</v>
          </cell>
          <cell r="BO487">
            <v>0</v>
          </cell>
          <cell r="BP487">
            <v>0</v>
          </cell>
          <cell r="BQ487">
            <v>0</v>
          </cell>
          <cell r="BR487">
            <v>376452.08937529474</v>
          </cell>
          <cell r="BT487">
            <v>0</v>
          </cell>
          <cell r="CA487" t="str">
            <v>CP3404 - EBITA - Base</v>
          </cell>
          <cell r="CC487" t="str">
            <v>CP3404 - EBITA - Base - MR</v>
          </cell>
          <cell r="CD487" t="str">
            <v/>
          </cell>
          <cell r="CF487" t="str">
            <v>CP3404 - Base - MR</v>
          </cell>
        </row>
        <row r="488">
          <cell r="D488">
            <v>474</v>
          </cell>
          <cell r="E488">
            <v>0</v>
          </cell>
          <cell r="F488">
            <v>0</v>
          </cell>
          <cell r="G488" t="str">
            <v>CP3404</v>
          </cell>
          <cell r="H488" t="str">
            <v>Jordan Group 4 Phase II (3404)</v>
          </cell>
          <cell r="I488" t="str">
            <v>MR</v>
          </cell>
          <cell r="J488" t="str">
            <v>MR Non-Proliferation and Security Services</v>
          </cell>
          <cell r="K488" t="str">
            <v>Foreign Government</v>
          </cell>
          <cell r="L488" t="str">
            <v>Non-US Gov't</v>
          </cell>
          <cell r="M488" t="str">
            <v>OH</v>
          </cell>
          <cell r="N488" t="str">
            <v>CONUS</v>
          </cell>
          <cell r="O488">
            <v>0</v>
          </cell>
          <cell r="P488">
            <v>0</v>
          </cell>
          <cell r="Q488">
            <v>0</v>
          </cell>
          <cell r="R488" t="str">
            <v>FFP</v>
          </cell>
          <cell r="S488">
            <v>0</v>
          </cell>
          <cell r="T488">
            <v>1</v>
          </cell>
          <cell r="U488" t="str">
            <v>EBITA</v>
          </cell>
          <cell r="V488" t="str">
            <v>Identified - Recompete</v>
          </cell>
          <cell r="W488">
            <v>0</v>
          </cell>
          <cell r="X488">
            <v>0</v>
          </cell>
          <cell r="Y488">
            <v>0</v>
          </cell>
          <cell r="Z488">
            <v>0</v>
          </cell>
          <cell r="AA488">
            <v>0</v>
          </cell>
          <cell r="AB488">
            <v>0</v>
          </cell>
          <cell r="AC488">
            <v>0</v>
          </cell>
          <cell r="AD488">
            <v>0</v>
          </cell>
          <cell r="AX488">
            <v>0</v>
          </cell>
          <cell r="AY488">
            <v>0</v>
          </cell>
          <cell r="AZ488">
            <v>0</v>
          </cell>
          <cell r="BA488">
            <v>0</v>
          </cell>
          <cell r="BI488">
            <v>0</v>
          </cell>
          <cell r="BJ488">
            <v>0</v>
          </cell>
          <cell r="BK488">
            <v>0</v>
          </cell>
          <cell r="BL488">
            <v>0</v>
          </cell>
          <cell r="BM488">
            <v>0</v>
          </cell>
          <cell r="BN488">
            <v>0</v>
          </cell>
          <cell r="BO488">
            <v>0</v>
          </cell>
          <cell r="BP488">
            <v>0</v>
          </cell>
          <cell r="BQ488">
            <v>0</v>
          </cell>
          <cell r="BR488">
            <v>0</v>
          </cell>
          <cell r="BT488">
            <v>0</v>
          </cell>
          <cell r="CA488" t="str">
            <v>CP3404 - EBITA - Identified - Recompete</v>
          </cell>
          <cell r="CC488" t="str">
            <v>CP3404 - EBITA - Identified - Recompete - MR</v>
          </cell>
          <cell r="CD488" t="str">
            <v/>
          </cell>
          <cell r="CF488" t="str">
            <v>CP3404 - Identified - Recompete - MR</v>
          </cell>
        </row>
        <row r="489">
          <cell r="D489">
            <v>475</v>
          </cell>
          <cell r="E489">
            <v>1</v>
          </cell>
          <cell r="F489">
            <v>1</v>
          </cell>
          <cell r="G489" t="str">
            <v>001911</v>
          </cell>
          <cell r="H489" t="str">
            <v>CWS Seized Real Property</v>
          </cell>
          <cell r="I489" t="str">
            <v>MR</v>
          </cell>
          <cell r="J489" t="str">
            <v>MR Logistics &amp; Supply</v>
          </cell>
          <cell r="K489" t="str">
            <v>Other Civilian</v>
          </cell>
          <cell r="L489" t="str">
            <v>Other</v>
          </cell>
          <cell r="M489" t="str">
            <v>VA</v>
          </cell>
          <cell r="N489" t="str">
            <v>CONUS</v>
          </cell>
          <cell r="O489">
            <v>42783</v>
          </cell>
          <cell r="P489">
            <v>44957</v>
          </cell>
          <cell r="Q489" t="str">
            <v>Prime</v>
          </cell>
          <cell r="R489" t="str">
            <v>FFP</v>
          </cell>
          <cell r="S489">
            <v>0</v>
          </cell>
          <cell r="T489">
            <v>1</v>
          </cell>
          <cell r="U489" t="str">
            <v>REVTOT</v>
          </cell>
          <cell r="V489" t="str">
            <v>Base</v>
          </cell>
          <cell r="W489" t="str">
            <v>05 Won</v>
          </cell>
          <cell r="X489" t="str">
            <v>Active</v>
          </cell>
          <cell r="Y489">
            <v>1</v>
          </cell>
          <cell r="Z489">
            <v>0</v>
          </cell>
          <cell r="AA489">
            <v>442895.24000000057</v>
          </cell>
          <cell r="AB489">
            <v>466520.91999999993</v>
          </cell>
          <cell r="AC489">
            <v>0</v>
          </cell>
          <cell r="AD489">
            <v>909416.1600000005</v>
          </cell>
          <cell r="AE489">
            <v>8.8050084999598432E-2</v>
          </cell>
          <cell r="AF489">
            <v>6.4400764868350446E-2</v>
          </cell>
          <cell r="AG489">
            <v>-3.3743389766913712E-2</v>
          </cell>
          <cell r="AH489">
            <v>4.9754523288138452E-2</v>
          </cell>
          <cell r="AI489">
            <v>0</v>
          </cell>
          <cell r="AJ489">
            <v>0</v>
          </cell>
          <cell r="AK489">
            <v>0</v>
          </cell>
          <cell r="BB489">
            <v>687089.96000000008</v>
          </cell>
          <cell r="BC489">
            <v>687089.96000000008</v>
          </cell>
          <cell r="BD489">
            <v>687089.96000000008</v>
          </cell>
          <cell r="BE489">
            <v>687089.96000000008</v>
          </cell>
          <cell r="BF489">
            <v>584896.88</v>
          </cell>
          <cell r="BG489">
            <v>636397.1</v>
          </cell>
          <cell r="BH489">
            <v>677381.56</v>
          </cell>
          <cell r="BI489">
            <v>146196.44</v>
          </cell>
          <cell r="BJ489">
            <v>184774.29</v>
          </cell>
          <cell r="BK489">
            <v>161861.15</v>
          </cell>
          <cell r="BL489">
            <v>161692.53</v>
          </cell>
          <cell r="BM489">
            <v>654524.41</v>
          </cell>
          <cell r="BN489">
            <v>687089.96000000008</v>
          </cell>
          <cell r="BO489">
            <v>222326.20000000042</v>
          </cell>
          <cell r="BP489">
            <v>0</v>
          </cell>
          <cell r="BQ489">
            <v>0</v>
          </cell>
          <cell r="BR489">
            <v>1563940.5700000005</v>
          </cell>
          <cell r="BT489">
            <v>0</v>
          </cell>
          <cell r="CA489" t="str">
            <v>001911 - REVTOT - Base</v>
          </cell>
          <cell r="CC489" t="str">
            <v>001911 - REVTOT - Base - MR</v>
          </cell>
          <cell r="CD489" t="str">
            <v>001911 - REVTOT - Base - MR</v>
          </cell>
          <cell r="CF489" t="str">
            <v>001911 - Base - MR</v>
          </cell>
        </row>
        <row r="490">
          <cell r="D490">
            <v>476</v>
          </cell>
          <cell r="E490">
            <v>1</v>
          </cell>
          <cell r="F490">
            <v>2</v>
          </cell>
          <cell r="G490" t="str">
            <v>001911</v>
          </cell>
          <cell r="H490" t="str">
            <v>CWS Seized Real Property</v>
          </cell>
          <cell r="I490" t="str">
            <v>MR</v>
          </cell>
          <cell r="J490" t="str">
            <v>MR Logistics &amp; Supply</v>
          </cell>
          <cell r="K490" t="str">
            <v>Other Civilian</v>
          </cell>
          <cell r="L490" t="str">
            <v>Other</v>
          </cell>
          <cell r="M490" t="str">
            <v>VA</v>
          </cell>
          <cell r="N490" t="str">
            <v>CONUS</v>
          </cell>
          <cell r="O490">
            <v>0</v>
          </cell>
          <cell r="P490">
            <v>0</v>
          </cell>
          <cell r="Q490">
            <v>0</v>
          </cell>
          <cell r="R490" t="str">
            <v>FFP</v>
          </cell>
          <cell r="S490">
            <v>0</v>
          </cell>
          <cell r="T490">
            <v>1</v>
          </cell>
          <cell r="U490" t="str">
            <v>REVTOT</v>
          </cell>
          <cell r="V490" t="str">
            <v>Identified - Recompete</v>
          </cell>
          <cell r="W490">
            <v>0</v>
          </cell>
          <cell r="X490">
            <v>0</v>
          </cell>
          <cell r="Y490">
            <v>0</v>
          </cell>
          <cell r="Z490">
            <v>0</v>
          </cell>
          <cell r="AA490">
            <v>0</v>
          </cell>
          <cell r="AB490">
            <v>0</v>
          </cell>
          <cell r="AC490">
            <v>0</v>
          </cell>
          <cell r="AD490">
            <v>0</v>
          </cell>
          <cell r="AI490">
            <v>0</v>
          </cell>
          <cell r="AJ490">
            <v>0</v>
          </cell>
          <cell r="AK490">
            <v>0</v>
          </cell>
          <cell r="BB490">
            <v>0</v>
          </cell>
          <cell r="BC490">
            <v>0</v>
          </cell>
          <cell r="BD490">
            <v>0</v>
          </cell>
          <cell r="BE490">
            <v>0</v>
          </cell>
          <cell r="BI490">
            <v>0</v>
          </cell>
          <cell r="BJ490">
            <v>0</v>
          </cell>
          <cell r="BK490">
            <v>0</v>
          </cell>
          <cell r="BL490">
            <v>0</v>
          </cell>
          <cell r="BM490">
            <v>0</v>
          </cell>
          <cell r="BN490">
            <v>0</v>
          </cell>
          <cell r="BO490">
            <v>0</v>
          </cell>
          <cell r="BP490">
            <v>0</v>
          </cell>
          <cell r="BQ490">
            <v>0</v>
          </cell>
          <cell r="BR490">
            <v>0</v>
          </cell>
          <cell r="BT490">
            <v>0</v>
          </cell>
          <cell r="CA490" t="str">
            <v>001911 - REVTOT - Identified - Recompete</v>
          </cell>
          <cell r="CC490" t="str">
            <v>001911 - REVTOT - Identified - Recompete - MR</v>
          </cell>
          <cell r="CD490" t="str">
            <v/>
          </cell>
          <cell r="CF490" t="str">
            <v>001911 - Identified - Recompete - MR</v>
          </cell>
        </row>
        <row r="491">
          <cell r="D491">
            <v>477</v>
          </cell>
          <cell r="E491">
            <v>2</v>
          </cell>
          <cell r="F491">
            <v>3</v>
          </cell>
          <cell r="G491" t="str">
            <v>001911</v>
          </cell>
          <cell r="H491" t="str">
            <v>CWS Seized Real Property</v>
          </cell>
          <cell r="I491" t="str">
            <v>MR</v>
          </cell>
          <cell r="J491" t="str">
            <v>MR Logistics &amp; Supply</v>
          </cell>
          <cell r="K491" t="str">
            <v>Other Civilian</v>
          </cell>
          <cell r="L491" t="str">
            <v>Other</v>
          </cell>
          <cell r="M491" t="str">
            <v>VA</v>
          </cell>
          <cell r="N491" t="str">
            <v>CONUS</v>
          </cell>
          <cell r="O491">
            <v>42783</v>
          </cell>
          <cell r="P491">
            <v>44957</v>
          </cell>
          <cell r="Q491" t="str">
            <v>Prime</v>
          </cell>
          <cell r="R491" t="str">
            <v>FFP</v>
          </cell>
          <cell r="S491">
            <v>0</v>
          </cell>
          <cell r="T491">
            <v>1</v>
          </cell>
          <cell r="U491" t="str">
            <v>CONTRACT</v>
          </cell>
          <cell r="V491" t="str">
            <v>Base</v>
          </cell>
          <cell r="W491" t="str">
            <v>05 Won</v>
          </cell>
          <cell r="X491" t="str">
            <v>Active</v>
          </cell>
          <cell r="Y491">
            <v>1</v>
          </cell>
          <cell r="Z491">
            <v>0</v>
          </cell>
          <cell r="AA491">
            <v>442895.24000000057</v>
          </cell>
          <cell r="AB491">
            <v>466520.91999999993</v>
          </cell>
          <cell r="AC491">
            <v>0</v>
          </cell>
          <cell r="AD491">
            <v>909416.1600000005</v>
          </cell>
          <cell r="AL491">
            <v>0.14951620189870049</v>
          </cell>
          <cell r="AM491">
            <v>0.17539270684922981</v>
          </cell>
          <cell r="AN491">
            <v>0.14544552999051222</v>
          </cell>
          <cell r="AO491">
            <v>0.10948028275064636</v>
          </cell>
          <cell r="AP491">
            <v>0.11888800833995095</v>
          </cell>
          <cell r="AQ491">
            <v>0.11888800833995095</v>
          </cell>
          <cell r="AR491">
            <v>0.11888800833995095</v>
          </cell>
          <cell r="AS491">
            <v>0.11888800833995095</v>
          </cell>
          <cell r="BF491">
            <v>87451.56</v>
          </cell>
          <cell r="BG491">
            <v>111619.40999999997</v>
          </cell>
          <cell r="BH491">
            <v>98522.119999999966</v>
          </cell>
          <cell r="BI491">
            <v>13030.159999999996</v>
          </cell>
          <cell r="BJ491">
            <v>20907.739999999991</v>
          </cell>
          <cell r="BK491">
            <v>22016.750000000015</v>
          </cell>
          <cell r="BL491">
            <v>15702.867473999991</v>
          </cell>
          <cell r="BM491">
            <v>71657.517473999993</v>
          </cell>
          <cell r="BN491">
            <v>81686.756894776569</v>
          </cell>
          <cell r="BO491">
            <v>26431.919119789651</v>
          </cell>
          <cell r="BP491">
            <v>0</v>
          </cell>
          <cell r="BQ491">
            <v>0</v>
          </cell>
          <cell r="BR491">
            <v>179776.1934885662</v>
          </cell>
          <cell r="BT491">
            <v>0</v>
          </cell>
          <cell r="CA491" t="str">
            <v>001911 - CONTRACT - Base</v>
          </cell>
          <cell r="CC491" t="str">
            <v>001911 - CONTRACT - Base - MR</v>
          </cell>
          <cell r="CD491" t="str">
            <v/>
          </cell>
          <cell r="CF491" t="str">
            <v>001911 - Base - MR</v>
          </cell>
        </row>
        <row r="492">
          <cell r="D492">
            <v>478</v>
          </cell>
          <cell r="E492">
            <v>2</v>
          </cell>
          <cell r="F492">
            <v>4</v>
          </cell>
          <cell r="G492" t="str">
            <v>001911</v>
          </cell>
          <cell r="H492" t="str">
            <v>CWS Seized Real Property</v>
          </cell>
          <cell r="I492" t="str">
            <v>MR</v>
          </cell>
          <cell r="J492" t="str">
            <v>MR Logistics &amp; Supply</v>
          </cell>
          <cell r="K492" t="str">
            <v>Other Civilian</v>
          </cell>
          <cell r="L492" t="str">
            <v>Other</v>
          </cell>
          <cell r="M492" t="str">
            <v>VA</v>
          </cell>
          <cell r="N492" t="str">
            <v>CONUS</v>
          </cell>
          <cell r="O492">
            <v>0</v>
          </cell>
          <cell r="P492">
            <v>0</v>
          </cell>
          <cell r="Q492">
            <v>0</v>
          </cell>
          <cell r="R492" t="str">
            <v>FFP</v>
          </cell>
          <cell r="S492">
            <v>0</v>
          </cell>
          <cell r="T492">
            <v>1</v>
          </cell>
          <cell r="U492" t="str">
            <v>CONTRACT</v>
          </cell>
          <cell r="V492" t="str">
            <v>Identified - Recompete</v>
          </cell>
          <cell r="W492">
            <v>0</v>
          </cell>
          <cell r="X492">
            <v>0</v>
          </cell>
          <cell r="Y492">
            <v>0</v>
          </cell>
          <cell r="Z492">
            <v>0</v>
          </cell>
          <cell r="AA492">
            <v>0</v>
          </cell>
          <cell r="AB492">
            <v>0</v>
          </cell>
          <cell r="AC492">
            <v>0</v>
          </cell>
          <cell r="AD492">
            <v>0</v>
          </cell>
          <cell r="AP492">
            <v>0</v>
          </cell>
          <cell r="AQ492">
            <v>0</v>
          </cell>
          <cell r="AR492">
            <v>0</v>
          </cell>
          <cell r="AS492">
            <v>0</v>
          </cell>
          <cell r="BI492">
            <v>0</v>
          </cell>
          <cell r="BJ492">
            <v>0</v>
          </cell>
          <cell r="BK492">
            <v>0</v>
          </cell>
          <cell r="BL492">
            <v>0</v>
          </cell>
          <cell r="BM492">
            <v>0</v>
          </cell>
          <cell r="BN492">
            <v>0</v>
          </cell>
          <cell r="BO492">
            <v>0</v>
          </cell>
          <cell r="BP492">
            <v>0</v>
          </cell>
          <cell r="BQ492">
            <v>0</v>
          </cell>
          <cell r="BR492">
            <v>0</v>
          </cell>
          <cell r="BT492">
            <v>0</v>
          </cell>
          <cell r="CA492" t="str">
            <v>001911 - CONTRACT - Identified - Recompete</v>
          </cell>
          <cell r="CC492" t="str">
            <v>001911 - CONTRACT - Identified - Recompete - MR</v>
          </cell>
          <cell r="CD492" t="str">
            <v/>
          </cell>
          <cell r="CF492" t="str">
            <v>001911 - Identified - Recompete - MR</v>
          </cell>
        </row>
        <row r="493">
          <cell r="D493">
            <v>479</v>
          </cell>
          <cell r="E493">
            <v>0</v>
          </cell>
          <cell r="F493">
            <v>5</v>
          </cell>
          <cell r="G493" t="str">
            <v>001911</v>
          </cell>
          <cell r="H493" t="str">
            <v>CWS Seized Real Property</v>
          </cell>
          <cell r="I493" t="str">
            <v>MR</v>
          </cell>
          <cell r="J493" t="str">
            <v>MR Logistics &amp; Supply</v>
          </cell>
          <cell r="K493" t="str">
            <v>Other Civilian</v>
          </cell>
          <cell r="L493" t="str">
            <v>Other</v>
          </cell>
          <cell r="M493" t="str">
            <v>VA</v>
          </cell>
          <cell r="N493" t="str">
            <v>CONUS</v>
          </cell>
          <cell r="O493">
            <v>42783</v>
          </cell>
          <cell r="P493">
            <v>44957</v>
          </cell>
          <cell r="Q493" t="str">
            <v>Prime</v>
          </cell>
          <cell r="R493" t="str">
            <v>FFP</v>
          </cell>
          <cell r="S493">
            <v>0</v>
          </cell>
          <cell r="T493">
            <v>1</v>
          </cell>
          <cell r="U493" t="str">
            <v>EBITA</v>
          </cell>
          <cell r="V493" t="str">
            <v>Base</v>
          </cell>
          <cell r="W493" t="str">
            <v>05 Won</v>
          </cell>
          <cell r="X493" t="str">
            <v>Active</v>
          </cell>
          <cell r="Y493">
            <v>1</v>
          </cell>
          <cell r="Z493">
            <v>0</v>
          </cell>
          <cell r="AA493">
            <v>442895.24000000057</v>
          </cell>
          <cell r="AB493">
            <v>466520.91999999993</v>
          </cell>
          <cell r="AC493">
            <v>0</v>
          </cell>
          <cell r="AD493">
            <v>909416.1600000005</v>
          </cell>
          <cell r="AT493">
            <v>1.3480290748003285E-2</v>
          </cell>
          <cell r="AU493">
            <v>4.6018782926572049E-2</v>
          </cell>
          <cell r="AV493">
            <v>3.9293171783418429E-2</v>
          </cell>
          <cell r="AW493">
            <v>2.4371484735362818E-2</v>
          </cell>
          <cell r="AX493">
            <v>3.9645471006052764E-2</v>
          </cell>
          <cell r="AY493">
            <v>4.0645471006052765E-2</v>
          </cell>
          <cell r="AZ493">
            <v>4.1645471006052766E-2</v>
          </cell>
          <cell r="BA493">
            <v>4.2645471006052767E-2</v>
          </cell>
          <cell r="BF493">
            <v>7884.5799999999872</v>
          </cell>
          <cell r="BG493">
            <v>29286.219999999965</v>
          </cell>
          <cell r="BH493">
            <v>26616.469999999958</v>
          </cell>
          <cell r="BI493">
            <v>-819.86000000000331</v>
          </cell>
          <cell r="BJ493">
            <v>5007.8699999999917</v>
          </cell>
          <cell r="BK493">
            <v>7777.7000000000135</v>
          </cell>
          <cell r="BL493">
            <v>3986.0216672373535</v>
          </cell>
          <cell r="BM493">
            <v>15951.731667237356</v>
          </cell>
          <cell r="BN493">
            <v>27240.005087729958</v>
          </cell>
          <cell r="BO493">
            <v>9036.5531159859056</v>
          </cell>
          <cell r="BP493">
            <v>0</v>
          </cell>
          <cell r="BQ493">
            <v>0</v>
          </cell>
          <cell r="BR493">
            <v>52228.289870953216</v>
          </cell>
          <cell r="BT493">
            <v>0</v>
          </cell>
          <cell r="CA493" t="str">
            <v>001911 - EBITA - Base</v>
          </cell>
          <cell r="CC493" t="str">
            <v>001911 - EBITA - Base - MR</v>
          </cell>
          <cell r="CD493" t="str">
            <v/>
          </cell>
          <cell r="CF493" t="str">
            <v>001911 - Base - MR</v>
          </cell>
        </row>
        <row r="494">
          <cell r="D494">
            <v>480</v>
          </cell>
          <cell r="E494">
            <v>0</v>
          </cell>
          <cell r="F494">
            <v>0</v>
          </cell>
          <cell r="G494" t="str">
            <v>001911</v>
          </cell>
          <cell r="H494" t="str">
            <v>CWS Seized Real Property</v>
          </cell>
          <cell r="I494" t="str">
            <v>MR</v>
          </cell>
          <cell r="J494" t="str">
            <v>MR Logistics &amp; Supply</v>
          </cell>
          <cell r="K494" t="str">
            <v>Other Civilian</v>
          </cell>
          <cell r="L494" t="str">
            <v>Other</v>
          </cell>
          <cell r="M494" t="str">
            <v>VA</v>
          </cell>
          <cell r="N494" t="str">
            <v>CONUS</v>
          </cell>
          <cell r="O494">
            <v>0</v>
          </cell>
          <cell r="P494">
            <v>0</v>
          </cell>
          <cell r="Q494">
            <v>0</v>
          </cell>
          <cell r="R494" t="str">
            <v>FFP</v>
          </cell>
          <cell r="S494">
            <v>0</v>
          </cell>
          <cell r="T494">
            <v>1</v>
          </cell>
          <cell r="U494" t="str">
            <v>EBITA</v>
          </cell>
          <cell r="V494" t="str">
            <v>Identified - Recompete</v>
          </cell>
          <cell r="W494">
            <v>0</v>
          </cell>
          <cell r="X494">
            <v>0</v>
          </cell>
          <cell r="Y494">
            <v>0</v>
          </cell>
          <cell r="Z494">
            <v>0</v>
          </cell>
          <cell r="AA494">
            <v>0</v>
          </cell>
          <cell r="AB494">
            <v>0</v>
          </cell>
          <cell r="AC494">
            <v>0</v>
          </cell>
          <cell r="AD494">
            <v>0</v>
          </cell>
          <cell r="AX494">
            <v>0</v>
          </cell>
          <cell r="AY494">
            <v>0</v>
          </cell>
          <cell r="AZ494">
            <v>0</v>
          </cell>
          <cell r="BA494">
            <v>0</v>
          </cell>
          <cell r="BI494">
            <v>0</v>
          </cell>
          <cell r="BJ494">
            <v>0</v>
          </cell>
          <cell r="BK494">
            <v>0</v>
          </cell>
          <cell r="BL494">
            <v>0</v>
          </cell>
          <cell r="BM494">
            <v>0</v>
          </cell>
          <cell r="BN494">
            <v>0</v>
          </cell>
          <cell r="BO494">
            <v>0</v>
          </cell>
          <cell r="BP494">
            <v>0</v>
          </cell>
          <cell r="BQ494">
            <v>0</v>
          </cell>
          <cell r="BR494">
            <v>0</v>
          </cell>
          <cell r="BT494">
            <v>0</v>
          </cell>
          <cell r="CA494" t="str">
            <v>001911 - EBITA - Identified - Recompete</v>
          </cell>
          <cell r="CC494" t="str">
            <v>001911 - EBITA - Identified - Recompete - MR</v>
          </cell>
          <cell r="CD494" t="str">
            <v/>
          </cell>
          <cell r="CF494" t="str">
            <v>001911 - Identified - Recompete - MR</v>
          </cell>
        </row>
        <row r="495">
          <cell r="D495">
            <v>481</v>
          </cell>
          <cell r="E495">
            <v>1</v>
          </cell>
          <cell r="F495">
            <v>1</v>
          </cell>
          <cell r="G495" t="str">
            <v>TCOM00</v>
          </cell>
          <cell r="H495" t="str">
            <v>TCOM Aerostat Payload Operators</v>
          </cell>
          <cell r="I495" t="str">
            <v>MR</v>
          </cell>
          <cell r="J495" t="str">
            <v>MR Logistics &amp; Supply</v>
          </cell>
          <cell r="K495" t="str">
            <v>Army</v>
          </cell>
          <cell r="L495" t="str">
            <v>DOD</v>
          </cell>
          <cell r="M495" t="str">
            <v>AFG</v>
          </cell>
          <cell r="N495" t="str">
            <v>OCONUS</v>
          </cell>
          <cell r="O495">
            <v>43262</v>
          </cell>
          <cell r="P495">
            <v>43777</v>
          </cell>
          <cell r="Q495" t="str">
            <v>Prime</v>
          </cell>
          <cell r="R495" t="str">
            <v>T&amp;M</v>
          </cell>
          <cell r="S495">
            <v>0</v>
          </cell>
          <cell r="T495">
            <v>1</v>
          </cell>
          <cell r="U495" t="str">
            <v>REVTOT</v>
          </cell>
          <cell r="V495" t="str">
            <v>Base</v>
          </cell>
          <cell r="W495" t="str">
            <v>05 Won</v>
          </cell>
          <cell r="X495" t="str">
            <v>Active</v>
          </cell>
          <cell r="Y495">
            <v>1</v>
          </cell>
          <cell r="Z495">
            <v>0</v>
          </cell>
          <cell r="AA495">
            <v>173298.80999999994</v>
          </cell>
          <cell r="AB495">
            <v>0</v>
          </cell>
          <cell r="AC495">
            <v>0</v>
          </cell>
          <cell r="AD495">
            <v>173298.80999999994</v>
          </cell>
          <cell r="AE495">
            <v>0</v>
          </cell>
          <cell r="AF495">
            <v>0</v>
          </cell>
          <cell r="AG495">
            <v>1.5747713118442723</v>
          </cell>
          <cell r="AH495">
            <v>-0.92125141585128401</v>
          </cell>
          <cell r="AI495">
            <v>0</v>
          </cell>
          <cell r="AJ495">
            <v>0</v>
          </cell>
          <cell r="AK495">
            <v>0</v>
          </cell>
          <cell r="BB495">
            <v>81818</v>
          </cell>
          <cell r="BC495">
            <v>81818</v>
          </cell>
          <cell r="BD495">
            <v>81818</v>
          </cell>
          <cell r="BE495">
            <v>81818</v>
          </cell>
          <cell r="BF495">
            <v>0</v>
          </cell>
          <cell r="BG495">
            <v>0</v>
          </cell>
          <cell r="BH495">
            <v>403522.21</v>
          </cell>
          <cell r="BI495">
            <v>310724.39</v>
          </cell>
          <cell r="BJ495">
            <v>242782.28</v>
          </cell>
          <cell r="BK495">
            <v>231356.31</v>
          </cell>
          <cell r="BL495">
            <v>254114.43</v>
          </cell>
          <cell r="BM495">
            <v>1038977.4099999999</v>
          </cell>
          <cell r="BN495">
            <v>81818</v>
          </cell>
          <cell r="BO495">
            <v>81818</v>
          </cell>
          <cell r="BP495">
            <v>9662.8099999999395</v>
          </cell>
          <cell r="BQ495">
            <v>0</v>
          </cell>
          <cell r="BR495">
            <v>1212276.2199999997</v>
          </cell>
          <cell r="BT495">
            <v>0</v>
          </cell>
          <cell r="CA495" t="str">
            <v>TCOM00 - REVTOT - Base</v>
          </cell>
          <cell r="CC495" t="str">
            <v>TCOM00 - REVTOT - Base - MR</v>
          </cell>
          <cell r="CD495" t="str">
            <v>TCOM00 - REVTOT - Base - MR</v>
          </cell>
          <cell r="CF495" t="str">
            <v>TCOM00 - Base - MR</v>
          </cell>
        </row>
        <row r="496">
          <cell r="D496">
            <v>482</v>
          </cell>
          <cell r="E496">
            <v>1</v>
          </cell>
          <cell r="F496">
            <v>2</v>
          </cell>
          <cell r="G496" t="str">
            <v>TCOM00</v>
          </cell>
          <cell r="H496" t="str">
            <v>TCOM Aerostat Payload Operators</v>
          </cell>
          <cell r="I496" t="str">
            <v>MR</v>
          </cell>
          <cell r="J496" t="str">
            <v>MR Logistics &amp; Supply</v>
          </cell>
          <cell r="K496" t="str">
            <v>Army</v>
          </cell>
          <cell r="L496" t="str">
            <v>DOD</v>
          </cell>
          <cell r="M496" t="str">
            <v>AFG</v>
          </cell>
          <cell r="N496" t="str">
            <v>OCONUS</v>
          </cell>
          <cell r="O496">
            <v>0</v>
          </cell>
          <cell r="P496">
            <v>0</v>
          </cell>
          <cell r="Q496">
            <v>0</v>
          </cell>
          <cell r="R496" t="str">
            <v>T&amp;M</v>
          </cell>
          <cell r="S496">
            <v>0</v>
          </cell>
          <cell r="T496">
            <v>1</v>
          </cell>
          <cell r="U496" t="str">
            <v>REVTOT</v>
          </cell>
          <cell r="V496" t="str">
            <v>Identified - Recompete</v>
          </cell>
          <cell r="W496">
            <v>0</v>
          </cell>
          <cell r="X496">
            <v>0</v>
          </cell>
          <cell r="Y496">
            <v>0</v>
          </cell>
          <cell r="Z496">
            <v>0</v>
          </cell>
          <cell r="AA496">
            <v>0</v>
          </cell>
          <cell r="AB496">
            <v>0</v>
          </cell>
          <cell r="AC496">
            <v>0</v>
          </cell>
          <cell r="AD496">
            <v>0</v>
          </cell>
          <cell r="AI496">
            <v>0</v>
          </cell>
          <cell r="AJ496">
            <v>0</v>
          </cell>
          <cell r="AK496">
            <v>0</v>
          </cell>
          <cell r="BB496">
            <v>0</v>
          </cell>
          <cell r="BC496">
            <v>0</v>
          </cell>
          <cell r="BD496">
            <v>0</v>
          </cell>
          <cell r="BE496">
            <v>0</v>
          </cell>
          <cell r="BI496">
            <v>0</v>
          </cell>
          <cell r="BJ496">
            <v>0</v>
          </cell>
          <cell r="BK496">
            <v>0</v>
          </cell>
          <cell r="BL496">
            <v>0</v>
          </cell>
          <cell r="BM496">
            <v>0</v>
          </cell>
          <cell r="BN496">
            <v>0</v>
          </cell>
          <cell r="BO496">
            <v>0</v>
          </cell>
          <cell r="BP496">
            <v>0</v>
          </cell>
          <cell r="BQ496">
            <v>0</v>
          </cell>
          <cell r="BR496">
            <v>0</v>
          </cell>
          <cell r="BT496">
            <v>0</v>
          </cell>
          <cell r="CA496" t="str">
            <v>TCOM00 - REVTOT - Identified - Recompete</v>
          </cell>
          <cell r="CC496" t="str">
            <v>TCOM00 - REVTOT - Identified - Recompete - MR</v>
          </cell>
          <cell r="CD496" t="str">
            <v/>
          </cell>
          <cell r="CF496" t="str">
            <v>TCOM00 - Identified - Recompete - MR</v>
          </cell>
        </row>
        <row r="497">
          <cell r="D497">
            <v>483</v>
          </cell>
          <cell r="E497">
            <v>2</v>
          </cell>
          <cell r="F497">
            <v>3</v>
          </cell>
          <cell r="G497" t="str">
            <v>TCOM00</v>
          </cell>
          <cell r="H497" t="str">
            <v>TCOM Aerostat Payload Operators</v>
          </cell>
          <cell r="I497" t="str">
            <v>MR</v>
          </cell>
          <cell r="J497" t="str">
            <v>MR Logistics &amp; Supply</v>
          </cell>
          <cell r="K497" t="str">
            <v>Army</v>
          </cell>
          <cell r="L497" t="str">
            <v>DOD</v>
          </cell>
          <cell r="M497" t="str">
            <v>AFG</v>
          </cell>
          <cell r="N497" t="str">
            <v>OCONUS</v>
          </cell>
          <cell r="O497">
            <v>43262</v>
          </cell>
          <cell r="P497">
            <v>43777</v>
          </cell>
          <cell r="Q497" t="str">
            <v>Prime</v>
          </cell>
          <cell r="R497" t="str">
            <v>T&amp;M</v>
          </cell>
          <cell r="S497">
            <v>0</v>
          </cell>
          <cell r="T497">
            <v>1</v>
          </cell>
          <cell r="U497" t="str">
            <v>CONTRACT</v>
          </cell>
          <cell r="V497" t="str">
            <v>Base</v>
          </cell>
          <cell r="W497" t="str">
            <v>05 Won</v>
          </cell>
          <cell r="X497" t="str">
            <v>Active</v>
          </cell>
          <cell r="Y497">
            <v>1</v>
          </cell>
          <cell r="Z497">
            <v>0</v>
          </cell>
          <cell r="AA497">
            <v>173298.80999999994</v>
          </cell>
          <cell r="AB497">
            <v>0</v>
          </cell>
          <cell r="AC497">
            <v>0</v>
          </cell>
          <cell r="AD497">
            <v>173298.80999999994</v>
          </cell>
          <cell r="AL497">
            <v>0</v>
          </cell>
          <cell r="AM497">
            <v>0</v>
          </cell>
          <cell r="AN497">
            <v>0.32335503911916014</v>
          </cell>
          <cell r="AO497">
            <v>0.21393105168667717</v>
          </cell>
          <cell r="AP497">
            <v>0.17008433352074107</v>
          </cell>
          <cell r="AQ497">
            <v>0.17008433352074107</v>
          </cell>
          <cell r="AR497">
            <v>0.17008433352074107</v>
          </cell>
          <cell r="AS497">
            <v>0.17008433352074107</v>
          </cell>
          <cell r="BF497">
            <v>0</v>
          </cell>
          <cell r="BG497">
            <v>0</v>
          </cell>
          <cell r="BH497">
            <v>130480.93999999996</v>
          </cell>
          <cell r="BI497">
            <v>27956.019999999975</v>
          </cell>
          <cell r="BJ497">
            <v>83198.83</v>
          </cell>
          <cell r="BK497">
            <v>63690.25</v>
          </cell>
          <cell r="BL497">
            <v>47424.429999999993</v>
          </cell>
          <cell r="BM497">
            <v>222269.52999999997</v>
          </cell>
          <cell r="BN497">
            <v>13915.959999999992</v>
          </cell>
          <cell r="BO497">
            <v>13915.959999999992</v>
          </cell>
          <cell r="BP497">
            <v>1643.4925987875417</v>
          </cell>
          <cell r="BQ497">
            <v>0</v>
          </cell>
          <cell r="BR497">
            <v>251744.94259878749</v>
          </cell>
          <cell r="BT497">
            <v>0</v>
          </cell>
          <cell r="CA497" t="str">
            <v>TCOM00 - CONTRACT - Base</v>
          </cell>
          <cell r="CC497" t="str">
            <v>TCOM00 - CONTRACT - Base - MR</v>
          </cell>
          <cell r="CD497" t="str">
            <v/>
          </cell>
          <cell r="CF497" t="str">
            <v>TCOM00 - Base - MR</v>
          </cell>
        </row>
        <row r="498">
          <cell r="D498">
            <v>484</v>
          </cell>
          <cell r="E498">
            <v>2</v>
          </cell>
          <cell r="F498">
            <v>4</v>
          </cell>
          <cell r="G498" t="str">
            <v>TCOM00</v>
          </cell>
          <cell r="H498" t="str">
            <v>TCOM Aerostat Payload Operators</v>
          </cell>
          <cell r="I498" t="str">
            <v>MR</v>
          </cell>
          <cell r="J498" t="str">
            <v>MR Logistics &amp; Supply</v>
          </cell>
          <cell r="K498" t="str">
            <v>Army</v>
          </cell>
          <cell r="L498" t="str">
            <v>DOD</v>
          </cell>
          <cell r="M498" t="str">
            <v>AFG</v>
          </cell>
          <cell r="N498" t="str">
            <v>OCONUS</v>
          </cell>
          <cell r="O498">
            <v>0</v>
          </cell>
          <cell r="P498">
            <v>0</v>
          </cell>
          <cell r="Q498">
            <v>0</v>
          </cell>
          <cell r="R498" t="str">
            <v>T&amp;M</v>
          </cell>
          <cell r="S498">
            <v>0</v>
          </cell>
          <cell r="T498">
            <v>1</v>
          </cell>
          <cell r="U498" t="str">
            <v>CONTRACT</v>
          </cell>
          <cell r="V498" t="str">
            <v>Identified - Recompete</v>
          </cell>
          <cell r="W498">
            <v>0</v>
          </cell>
          <cell r="X498">
            <v>0</v>
          </cell>
          <cell r="Y498">
            <v>0</v>
          </cell>
          <cell r="Z498">
            <v>0</v>
          </cell>
          <cell r="AA498">
            <v>0</v>
          </cell>
          <cell r="AB498">
            <v>0</v>
          </cell>
          <cell r="AC498">
            <v>0</v>
          </cell>
          <cell r="AD498">
            <v>0</v>
          </cell>
          <cell r="AP498">
            <v>0</v>
          </cell>
          <cell r="AQ498">
            <v>0</v>
          </cell>
          <cell r="AR498">
            <v>0</v>
          </cell>
          <cell r="AS498">
            <v>0</v>
          </cell>
          <cell r="BI498">
            <v>0</v>
          </cell>
          <cell r="BJ498">
            <v>0</v>
          </cell>
          <cell r="BK498">
            <v>0</v>
          </cell>
          <cell r="BL498">
            <v>0</v>
          </cell>
          <cell r="BM498">
            <v>0</v>
          </cell>
          <cell r="BN498">
            <v>0</v>
          </cell>
          <cell r="BO498">
            <v>0</v>
          </cell>
          <cell r="BP498">
            <v>0</v>
          </cell>
          <cell r="BQ498">
            <v>0</v>
          </cell>
          <cell r="BR498">
            <v>0</v>
          </cell>
          <cell r="BT498">
            <v>0</v>
          </cell>
          <cell r="CA498" t="str">
            <v>TCOM00 - CONTRACT - Identified - Recompete</v>
          </cell>
          <cell r="CC498" t="str">
            <v>TCOM00 - CONTRACT - Identified - Recompete - MR</v>
          </cell>
          <cell r="CD498" t="str">
            <v/>
          </cell>
          <cell r="CF498" t="str">
            <v>TCOM00 - Identified - Recompete - MR</v>
          </cell>
        </row>
        <row r="499">
          <cell r="D499">
            <v>485</v>
          </cell>
          <cell r="E499">
            <v>0</v>
          </cell>
          <cell r="F499">
            <v>5</v>
          </cell>
          <cell r="G499" t="str">
            <v>TCOM00</v>
          </cell>
          <cell r="H499" t="str">
            <v>TCOM Aerostat Payload Operators</v>
          </cell>
          <cell r="I499" t="str">
            <v>MR</v>
          </cell>
          <cell r="J499" t="str">
            <v>MR Logistics &amp; Supply</v>
          </cell>
          <cell r="K499" t="str">
            <v>Army</v>
          </cell>
          <cell r="L499" t="str">
            <v>DOD</v>
          </cell>
          <cell r="M499" t="str">
            <v>AFG</v>
          </cell>
          <cell r="N499" t="str">
            <v>OCONUS</v>
          </cell>
          <cell r="O499">
            <v>43262</v>
          </cell>
          <cell r="P499">
            <v>43777</v>
          </cell>
          <cell r="Q499" t="str">
            <v>Prime</v>
          </cell>
          <cell r="R499" t="str">
            <v>T&amp;M</v>
          </cell>
          <cell r="S499">
            <v>0</v>
          </cell>
          <cell r="T499">
            <v>1</v>
          </cell>
          <cell r="U499" t="str">
            <v>EBITA</v>
          </cell>
          <cell r="V499" t="str">
            <v>Base</v>
          </cell>
          <cell r="W499" t="str">
            <v>05 Won</v>
          </cell>
          <cell r="X499" t="str">
            <v>Active</v>
          </cell>
          <cell r="Y499">
            <v>1</v>
          </cell>
          <cell r="Z499">
            <v>0</v>
          </cell>
          <cell r="AA499">
            <v>173298.80999999994</v>
          </cell>
          <cell r="AB499">
            <v>0</v>
          </cell>
          <cell r="AC499">
            <v>0</v>
          </cell>
          <cell r="AD499">
            <v>173298.80999999994</v>
          </cell>
          <cell r="AT499">
            <v>0</v>
          </cell>
          <cell r="AU499">
            <v>0</v>
          </cell>
          <cell r="AV499">
            <v>0.26656634339904106</v>
          </cell>
          <cell r="AW499">
            <v>0.15017674927118962</v>
          </cell>
          <cell r="AX499">
            <v>0.1022993203083092</v>
          </cell>
          <cell r="AY499">
            <v>0.1032993203083092</v>
          </cell>
          <cell r="AZ499">
            <v>0.1042993203083092</v>
          </cell>
          <cell r="BA499">
            <v>0.1052993203083092</v>
          </cell>
          <cell r="BF499">
            <v>0</v>
          </cell>
          <cell r="BG499">
            <v>0</v>
          </cell>
          <cell r="BH499">
            <v>107565.43999999997</v>
          </cell>
          <cell r="BI499">
            <v>3171.019999999975</v>
          </cell>
          <cell r="BJ499">
            <v>70411.45</v>
          </cell>
          <cell r="BK499">
            <v>49503.35</v>
          </cell>
          <cell r="BL499">
            <v>32944.429999999993</v>
          </cell>
          <cell r="BM499">
            <v>156030.24999999997</v>
          </cell>
          <cell r="BN499">
            <v>8369.9257889852415</v>
          </cell>
          <cell r="BO499">
            <v>8451.7437889852426</v>
          </cell>
          <cell r="BP499">
            <v>1007.8245152683269</v>
          </cell>
          <cell r="BQ499">
            <v>0</v>
          </cell>
          <cell r="BR499">
            <v>173859.74409323878</v>
          </cell>
          <cell r="BT499">
            <v>0</v>
          </cell>
          <cell r="CA499" t="str">
            <v>TCOM00 - EBITA - Base</v>
          </cell>
          <cell r="CC499" t="str">
            <v>TCOM00 - EBITA - Base - MR</v>
          </cell>
          <cell r="CD499" t="str">
            <v/>
          </cell>
          <cell r="CF499" t="str">
            <v>TCOM00 - Base - MR</v>
          </cell>
        </row>
        <row r="500">
          <cell r="D500">
            <v>486</v>
          </cell>
          <cell r="E500">
            <v>0</v>
          </cell>
          <cell r="F500">
            <v>0</v>
          </cell>
          <cell r="G500" t="str">
            <v>TCOM00</v>
          </cell>
          <cell r="H500" t="str">
            <v>TCOM Aerostat Payload Operators</v>
          </cell>
          <cell r="I500" t="str">
            <v>MR</v>
          </cell>
          <cell r="J500" t="str">
            <v>MR Logistics &amp; Supply</v>
          </cell>
          <cell r="K500" t="str">
            <v>Army</v>
          </cell>
          <cell r="L500" t="str">
            <v>DOD</v>
          </cell>
          <cell r="M500" t="str">
            <v>AFG</v>
          </cell>
          <cell r="N500" t="str">
            <v>OCONUS</v>
          </cell>
          <cell r="O500">
            <v>0</v>
          </cell>
          <cell r="P500">
            <v>0</v>
          </cell>
          <cell r="Q500">
            <v>0</v>
          </cell>
          <cell r="R500" t="str">
            <v>T&amp;M</v>
          </cell>
          <cell r="S500">
            <v>0</v>
          </cell>
          <cell r="T500">
            <v>1</v>
          </cell>
          <cell r="U500" t="str">
            <v>EBITA</v>
          </cell>
          <cell r="V500" t="str">
            <v>Identified - Recompete</v>
          </cell>
          <cell r="W500">
            <v>0</v>
          </cell>
          <cell r="X500">
            <v>0</v>
          </cell>
          <cell r="Y500">
            <v>0</v>
          </cell>
          <cell r="Z500">
            <v>0</v>
          </cell>
          <cell r="AA500">
            <v>0</v>
          </cell>
          <cell r="AB500">
            <v>0</v>
          </cell>
          <cell r="AC500">
            <v>0</v>
          </cell>
          <cell r="AD500">
            <v>0</v>
          </cell>
          <cell r="AX500">
            <v>0</v>
          </cell>
          <cell r="AY500">
            <v>0</v>
          </cell>
          <cell r="AZ500">
            <v>0</v>
          </cell>
          <cell r="BA500">
            <v>0</v>
          </cell>
          <cell r="BI500">
            <v>0</v>
          </cell>
          <cell r="BJ500">
            <v>0</v>
          </cell>
          <cell r="BK500">
            <v>0</v>
          </cell>
          <cell r="BL500">
            <v>0</v>
          </cell>
          <cell r="BM500">
            <v>0</v>
          </cell>
          <cell r="BN500">
            <v>0</v>
          </cell>
          <cell r="BO500">
            <v>0</v>
          </cell>
          <cell r="BP500">
            <v>0</v>
          </cell>
          <cell r="BQ500">
            <v>0</v>
          </cell>
          <cell r="BR500">
            <v>0</v>
          </cell>
          <cell r="BT500">
            <v>0</v>
          </cell>
          <cell r="CA500" t="str">
            <v>TCOM00 - EBITA - Identified - Recompete</v>
          </cell>
          <cell r="CC500" t="str">
            <v>TCOM00 - EBITA - Identified - Recompete - MR</v>
          </cell>
          <cell r="CD500" t="str">
            <v/>
          </cell>
          <cell r="CF500" t="str">
            <v>TCOM00 - Identified - Recompete - MR</v>
          </cell>
        </row>
        <row r="501">
          <cell r="D501">
            <v>487</v>
          </cell>
          <cell r="E501">
            <v>1</v>
          </cell>
          <cell r="F501">
            <v>1</v>
          </cell>
          <cell r="G501" t="str">
            <v>C13722</v>
          </cell>
          <cell r="H501" t="str">
            <v>NSDD DICCE II Djibouti (13722)</v>
          </cell>
          <cell r="I501" t="str">
            <v>MR</v>
          </cell>
          <cell r="J501" t="str">
            <v>MR Non-Proliferation and Security Services</v>
          </cell>
          <cell r="K501" t="str">
            <v>DOE</v>
          </cell>
          <cell r="L501" t="str">
            <v>DOE</v>
          </cell>
          <cell r="M501" t="str">
            <v>OH</v>
          </cell>
          <cell r="N501" t="str">
            <v>CONUS</v>
          </cell>
          <cell r="O501">
            <v>42950</v>
          </cell>
          <cell r="P501">
            <v>43616</v>
          </cell>
          <cell r="Q501" t="str">
            <v>Sub</v>
          </cell>
          <cell r="R501" t="str">
            <v>CPFF</v>
          </cell>
          <cell r="S501">
            <v>0</v>
          </cell>
          <cell r="T501">
            <v>1</v>
          </cell>
          <cell r="U501" t="str">
            <v>REVTOT</v>
          </cell>
          <cell r="V501" t="str">
            <v>Base</v>
          </cell>
          <cell r="W501" t="str">
            <v>05 Won</v>
          </cell>
          <cell r="X501" t="str">
            <v>Active</v>
          </cell>
          <cell r="Y501">
            <v>1</v>
          </cell>
          <cell r="Z501">
            <v>0</v>
          </cell>
          <cell r="AA501">
            <v>127313.3599999999</v>
          </cell>
          <cell r="AB501">
            <v>0</v>
          </cell>
          <cell r="AC501">
            <v>0</v>
          </cell>
          <cell r="AD501">
            <v>127313.3599999999</v>
          </cell>
          <cell r="AE501">
            <v>0</v>
          </cell>
          <cell r="AF501">
            <v>22.689076954760584</v>
          </cell>
          <cell r="AG501">
            <v>0.43297333526957482</v>
          </cell>
          <cell r="AH501">
            <v>-1</v>
          </cell>
          <cell r="AI501">
            <v>0</v>
          </cell>
          <cell r="AJ501">
            <v>0</v>
          </cell>
          <cell r="AK501">
            <v>0</v>
          </cell>
          <cell r="BB501">
            <v>0</v>
          </cell>
          <cell r="BC501">
            <v>0</v>
          </cell>
          <cell r="BD501">
            <v>0</v>
          </cell>
          <cell r="BE501">
            <v>0</v>
          </cell>
          <cell r="BF501">
            <v>0</v>
          </cell>
          <cell r="BG501">
            <v>31659.120000000003</v>
          </cell>
          <cell r="BH501">
            <v>749975.33</v>
          </cell>
          <cell r="BI501">
            <v>31164.479999999996</v>
          </cell>
          <cell r="BJ501">
            <v>730484.7</v>
          </cell>
          <cell r="BK501">
            <v>289796.22000000003</v>
          </cell>
          <cell r="BL501">
            <v>23249.25</v>
          </cell>
          <cell r="BM501">
            <v>1074694.6499999999</v>
          </cell>
          <cell r="BN501">
            <v>0</v>
          </cell>
          <cell r="BO501">
            <v>0</v>
          </cell>
          <cell r="BP501">
            <v>0</v>
          </cell>
          <cell r="BQ501">
            <v>0</v>
          </cell>
          <cell r="BR501">
            <v>1074694.6499999999</v>
          </cell>
          <cell r="BT501">
            <v>0</v>
          </cell>
          <cell r="CA501" t="str">
            <v>C13722 - REVTOT - Base</v>
          </cell>
          <cell r="CC501" t="str">
            <v>C13722 - REVTOT - Base - MR</v>
          </cell>
          <cell r="CD501" t="str">
            <v>C13722 - REVTOT - Base - MR</v>
          </cell>
          <cell r="CF501" t="str">
            <v>C13722 - Base - MR</v>
          </cell>
        </row>
        <row r="502">
          <cell r="D502">
            <v>488</v>
          </cell>
          <cell r="E502">
            <v>1</v>
          </cell>
          <cell r="F502">
            <v>2</v>
          </cell>
          <cell r="G502" t="str">
            <v>C13722</v>
          </cell>
          <cell r="H502" t="str">
            <v>NSDD DICCE II Djibouti (13722)</v>
          </cell>
          <cell r="I502" t="str">
            <v>MR</v>
          </cell>
          <cell r="J502" t="str">
            <v>MR Non-Proliferation and Security Services</v>
          </cell>
          <cell r="K502" t="str">
            <v>DOE</v>
          </cell>
          <cell r="L502" t="str">
            <v>DOE</v>
          </cell>
          <cell r="M502" t="str">
            <v>OH</v>
          </cell>
          <cell r="N502" t="str">
            <v>CONUS</v>
          </cell>
          <cell r="O502">
            <v>0</v>
          </cell>
          <cell r="P502">
            <v>0</v>
          </cell>
          <cell r="Q502">
            <v>0</v>
          </cell>
          <cell r="R502" t="str">
            <v>CPFF</v>
          </cell>
          <cell r="S502">
            <v>0</v>
          </cell>
          <cell r="T502">
            <v>1</v>
          </cell>
          <cell r="U502" t="str">
            <v>REVTOT</v>
          </cell>
          <cell r="V502" t="str">
            <v>Identified - Recompete</v>
          </cell>
          <cell r="W502">
            <v>0</v>
          </cell>
          <cell r="X502">
            <v>0</v>
          </cell>
          <cell r="Y502">
            <v>0</v>
          </cell>
          <cell r="Z502">
            <v>0</v>
          </cell>
          <cell r="AA502">
            <v>0</v>
          </cell>
          <cell r="AB502">
            <v>0</v>
          </cell>
          <cell r="AC502">
            <v>0</v>
          </cell>
          <cell r="AD502">
            <v>0</v>
          </cell>
          <cell r="AI502">
            <v>0</v>
          </cell>
          <cell r="AJ502">
            <v>0</v>
          </cell>
          <cell r="AK502">
            <v>0</v>
          </cell>
          <cell r="BB502">
            <v>0</v>
          </cell>
          <cell r="BC502">
            <v>0</v>
          </cell>
          <cell r="BD502">
            <v>0</v>
          </cell>
          <cell r="BE502">
            <v>0</v>
          </cell>
          <cell r="BI502">
            <v>0</v>
          </cell>
          <cell r="BJ502">
            <v>0</v>
          </cell>
          <cell r="BK502">
            <v>0</v>
          </cell>
          <cell r="BL502">
            <v>0</v>
          </cell>
          <cell r="BM502">
            <v>0</v>
          </cell>
          <cell r="BN502">
            <v>0</v>
          </cell>
          <cell r="BO502">
            <v>0</v>
          </cell>
          <cell r="BP502">
            <v>0</v>
          </cell>
          <cell r="BQ502">
            <v>0</v>
          </cell>
          <cell r="BR502">
            <v>0</v>
          </cell>
          <cell r="BT502">
            <v>0</v>
          </cell>
          <cell r="CA502" t="str">
            <v>C13722 - REVTOT - Identified - Recompete</v>
          </cell>
          <cell r="CC502" t="str">
            <v>C13722 - REVTOT - Identified - Recompete - MR</v>
          </cell>
          <cell r="CD502" t="str">
            <v/>
          </cell>
          <cell r="CF502" t="str">
            <v>C13722 - Identified - Recompete - MR</v>
          </cell>
        </row>
        <row r="503">
          <cell r="D503">
            <v>489</v>
          </cell>
          <cell r="E503">
            <v>2</v>
          </cell>
          <cell r="F503">
            <v>3</v>
          </cell>
          <cell r="G503" t="str">
            <v>C13722</v>
          </cell>
          <cell r="H503" t="str">
            <v>NSDD DICCE II Djibouti (13722)</v>
          </cell>
          <cell r="I503" t="str">
            <v>MR</v>
          </cell>
          <cell r="J503" t="str">
            <v>MR Non-Proliferation and Security Services</v>
          </cell>
          <cell r="K503" t="str">
            <v>DOE</v>
          </cell>
          <cell r="L503" t="str">
            <v>DOE</v>
          </cell>
          <cell r="M503" t="str">
            <v>OH</v>
          </cell>
          <cell r="N503" t="str">
            <v>CONUS</v>
          </cell>
          <cell r="O503">
            <v>42950</v>
          </cell>
          <cell r="P503">
            <v>43616</v>
          </cell>
          <cell r="Q503" t="str">
            <v>Sub</v>
          </cell>
          <cell r="R503" t="str">
            <v>CPFF</v>
          </cell>
          <cell r="S503">
            <v>0</v>
          </cell>
          <cell r="T503">
            <v>1</v>
          </cell>
          <cell r="U503" t="str">
            <v>CONTRACT</v>
          </cell>
          <cell r="V503" t="str">
            <v>Base</v>
          </cell>
          <cell r="W503" t="str">
            <v>05 Won</v>
          </cell>
          <cell r="X503" t="str">
            <v>Active</v>
          </cell>
          <cell r="Y503">
            <v>1</v>
          </cell>
          <cell r="Z503">
            <v>0</v>
          </cell>
          <cell r="AA503">
            <v>127313.3599999999</v>
          </cell>
          <cell r="AB503">
            <v>0</v>
          </cell>
          <cell r="AC503">
            <v>0</v>
          </cell>
          <cell r="AD503">
            <v>127313.3599999999</v>
          </cell>
          <cell r="AL503">
            <v>0</v>
          </cell>
          <cell r="AM503">
            <v>9.6356121079802626E-2</v>
          </cell>
          <cell r="AN503">
            <v>0.19478111366676557</v>
          </cell>
          <cell r="AO503">
            <v>0.14534088357097535</v>
          </cell>
          <cell r="AP503">
            <v>0.16447980587062935</v>
          </cell>
          <cell r="AQ503">
            <v>0.16447980587062935</v>
          </cell>
          <cell r="AR503">
            <v>0.16447980587062935</v>
          </cell>
          <cell r="AS503">
            <v>0.16447980587062935</v>
          </cell>
          <cell r="BF503">
            <v>0</v>
          </cell>
          <cell r="BG503">
            <v>3050.5500000000011</v>
          </cell>
          <cell r="BH503">
            <v>146081.03</v>
          </cell>
          <cell r="BI503">
            <v>6168.6599999999962</v>
          </cell>
          <cell r="BJ503">
            <v>125282.7600000001</v>
          </cell>
          <cell r="BK503">
            <v>20689.210000000003</v>
          </cell>
          <cell r="BL503">
            <v>4056.4399999999987</v>
          </cell>
          <cell r="BM503">
            <v>156197.07000000009</v>
          </cell>
          <cell r="BN503">
            <v>0</v>
          </cell>
          <cell r="BO503">
            <v>0</v>
          </cell>
          <cell r="BP503">
            <v>0</v>
          </cell>
          <cell r="BQ503">
            <v>0</v>
          </cell>
          <cell r="BR503">
            <v>156197.07000000009</v>
          </cell>
          <cell r="BT503">
            <v>0</v>
          </cell>
          <cell r="CA503" t="str">
            <v>C13722 - CONTRACT - Base</v>
          </cell>
          <cell r="CC503" t="str">
            <v>C13722 - CONTRACT - Base - MR</v>
          </cell>
          <cell r="CD503" t="str">
            <v/>
          </cell>
          <cell r="CF503" t="str">
            <v>C13722 - Base - MR</v>
          </cell>
        </row>
        <row r="504">
          <cell r="D504">
            <v>490</v>
          </cell>
          <cell r="E504">
            <v>2</v>
          </cell>
          <cell r="F504">
            <v>4</v>
          </cell>
          <cell r="G504" t="str">
            <v>C13722</v>
          </cell>
          <cell r="H504" t="str">
            <v>NSDD DICCE II Djibouti (13722)</v>
          </cell>
          <cell r="I504" t="str">
            <v>MR</v>
          </cell>
          <cell r="J504" t="str">
            <v>MR Non-Proliferation and Security Services</v>
          </cell>
          <cell r="K504" t="str">
            <v>DOE</v>
          </cell>
          <cell r="L504" t="str">
            <v>DOE</v>
          </cell>
          <cell r="M504" t="str">
            <v>OH</v>
          </cell>
          <cell r="N504" t="str">
            <v>CONUS</v>
          </cell>
          <cell r="O504">
            <v>0</v>
          </cell>
          <cell r="P504">
            <v>0</v>
          </cell>
          <cell r="Q504">
            <v>0</v>
          </cell>
          <cell r="R504" t="str">
            <v>CPFF</v>
          </cell>
          <cell r="S504">
            <v>0</v>
          </cell>
          <cell r="T504">
            <v>1</v>
          </cell>
          <cell r="U504" t="str">
            <v>CONTRACT</v>
          </cell>
          <cell r="V504" t="str">
            <v>Identified - Recompete</v>
          </cell>
          <cell r="W504">
            <v>0</v>
          </cell>
          <cell r="X504">
            <v>0</v>
          </cell>
          <cell r="Y504">
            <v>0</v>
          </cell>
          <cell r="Z504">
            <v>0</v>
          </cell>
          <cell r="AA504">
            <v>0</v>
          </cell>
          <cell r="AB504">
            <v>0</v>
          </cell>
          <cell r="AC504">
            <v>0</v>
          </cell>
          <cell r="AD504">
            <v>0</v>
          </cell>
          <cell r="AP504">
            <v>0</v>
          </cell>
          <cell r="AQ504">
            <v>0</v>
          </cell>
          <cell r="AR504">
            <v>0</v>
          </cell>
          <cell r="AS504">
            <v>0</v>
          </cell>
          <cell r="BI504">
            <v>0</v>
          </cell>
          <cell r="BJ504">
            <v>0</v>
          </cell>
          <cell r="BK504">
            <v>0</v>
          </cell>
          <cell r="BL504">
            <v>0</v>
          </cell>
          <cell r="BM504">
            <v>0</v>
          </cell>
          <cell r="BN504">
            <v>0</v>
          </cell>
          <cell r="BO504">
            <v>0</v>
          </cell>
          <cell r="BP504">
            <v>0</v>
          </cell>
          <cell r="BQ504">
            <v>0</v>
          </cell>
          <cell r="BR504">
            <v>0</v>
          </cell>
          <cell r="BT504">
            <v>0</v>
          </cell>
          <cell r="CA504" t="str">
            <v>C13722 - CONTRACT - Identified - Recompete</v>
          </cell>
          <cell r="CC504" t="str">
            <v>C13722 - CONTRACT - Identified - Recompete - MR</v>
          </cell>
          <cell r="CD504" t="str">
            <v/>
          </cell>
          <cell r="CF504" t="str">
            <v>C13722 - Identified - Recompete - MR</v>
          </cell>
        </row>
        <row r="505">
          <cell r="D505">
            <v>491</v>
          </cell>
          <cell r="E505">
            <v>0</v>
          </cell>
          <cell r="F505">
            <v>5</v>
          </cell>
          <cell r="G505" t="str">
            <v>C13722</v>
          </cell>
          <cell r="H505" t="str">
            <v>NSDD DICCE II Djibouti (13722)</v>
          </cell>
          <cell r="I505" t="str">
            <v>MR</v>
          </cell>
          <cell r="J505" t="str">
            <v>MR Non-Proliferation and Security Services</v>
          </cell>
          <cell r="K505" t="str">
            <v>DOE</v>
          </cell>
          <cell r="L505" t="str">
            <v>DOE</v>
          </cell>
          <cell r="M505" t="str">
            <v>OH</v>
          </cell>
          <cell r="N505" t="str">
            <v>CONUS</v>
          </cell>
          <cell r="O505">
            <v>42950</v>
          </cell>
          <cell r="P505">
            <v>43616</v>
          </cell>
          <cell r="Q505" t="str">
            <v>Sub</v>
          </cell>
          <cell r="R505" t="str">
            <v>CPFF</v>
          </cell>
          <cell r="S505">
            <v>0</v>
          </cell>
          <cell r="T505">
            <v>1</v>
          </cell>
          <cell r="U505" t="str">
            <v>EBITA</v>
          </cell>
          <cell r="V505" t="str">
            <v>Base</v>
          </cell>
          <cell r="W505" t="str">
            <v>05 Won</v>
          </cell>
          <cell r="X505" t="str">
            <v>Active</v>
          </cell>
          <cell r="Y505">
            <v>1</v>
          </cell>
          <cell r="Z505">
            <v>0</v>
          </cell>
          <cell r="AA505">
            <v>127313.3599999999</v>
          </cell>
          <cell r="AB505">
            <v>0</v>
          </cell>
          <cell r="AC505">
            <v>0</v>
          </cell>
          <cell r="AD505">
            <v>127313.3599999999</v>
          </cell>
          <cell r="AT505">
            <v>0</v>
          </cell>
          <cell r="AU505">
            <v>-8.3843454903357983E-2</v>
          </cell>
          <cell r="AV505">
            <v>8.3051971856194257E-2</v>
          </cell>
          <cell r="AW505">
            <v>5.853652477008247E-2</v>
          </cell>
          <cell r="AX505">
            <v>6.6012761422530153E-2</v>
          </cell>
          <cell r="AY505">
            <v>6.6012761422530153E-2</v>
          </cell>
          <cell r="AZ505">
            <v>6.6012761422530153E-2</v>
          </cell>
          <cell r="BA505">
            <v>6.6012761422530153E-2</v>
          </cell>
          <cell r="BF505">
            <v>0</v>
          </cell>
          <cell r="BG505">
            <v>-2654.4099999999989</v>
          </cell>
          <cell r="BH505">
            <v>62286.93</v>
          </cell>
          <cell r="BI505">
            <v>2807.3299999999963</v>
          </cell>
          <cell r="BJ505">
            <v>65850.370000000097</v>
          </cell>
          <cell r="BK505">
            <v>-7207.6399999999967</v>
          </cell>
          <cell r="BL505">
            <v>1458.829999999999</v>
          </cell>
          <cell r="BM505">
            <v>62908.890000000101</v>
          </cell>
          <cell r="BN505">
            <v>0</v>
          </cell>
          <cell r="BO505">
            <v>0</v>
          </cell>
          <cell r="BP505">
            <v>0</v>
          </cell>
          <cell r="BQ505">
            <v>0</v>
          </cell>
          <cell r="BR505">
            <v>62908.890000000101</v>
          </cell>
          <cell r="BT505">
            <v>0</v>
          </cell>
          <cell r="CA505" t="str">
            <v>C13722 - EBITA - Base</v>
          </cell>
          <cell r="CC505" t="str">
            <v>C13722 - EBITA - Base - MR</v>
          </cell>
          <cell r="CD505" t="str">
            <v/>
          </cell>
          <cell r="CF505" t="str">
            <v>C13722 - Base - MR</v>
          </cell>
        </row>
        <row r="506">
          <cell r="D506">
            <v>492</v>
          </cell>
          <cell r="E506">
            <v>0</v>
          </cell>
          <cell r="F506">
            <v>0</v>
          </cell>
          <cell r="G506" t="str">
            <v>C13722</v>
          </cell>
          <cell r="H506" t="str">
            <v>NSDD DICCE II Djibouti (13722)</v>
          </cell>
          <cell r="I506" t="str">
            <v>MR</v>
          </cell>
          <cell r="J506" t="str">
            <v>MR Non-Proliferation and Security Services</v>
          </cell>
          <cell r="K506" t="str">
            <v>DOE</v>
          </cell>
          <cell r="L506" t="str">
            <v>DOE</v>
          </cell>
          <cell r="M506" t="str">
            <v>OH</v>
          </cell>
          <cell r="N506" t="str">
            <v>CONUS</v>
          </cell>
          <cell r="O506">
            <v>0</v>
          </cell>
          <cell r="P506">
            <v>0</v>
          </cell>
          <cell r="Q506">
            <v>0</v>
          </cell>
          <cell r="R506" t="str">
            <v>CPFF</v>
          </cell>
          <cell r="S506">
            <v>0</v>
          </cell>
          <cell r="T506">
            <v>1</v>
          </cell>
          <cell r="U506" t="str">
            <v>EBITA</v>
          </cell>
          <cell r="V506" t="str">
            <v>Identified - Recompete</v>
          </cell>
          <cell r="W506">
            <v>0</v>
          </cell>
          <cell r="X506">
            <v>0</v>
          </cell>
          <cell r="Y506">
            <v>0</v>
          </cell>
          <cell r="Z506">
            <v>0</v>
          </cell>
          <cell r="AA506">
            <v>0</v>
          </cell>
          <cell r="AB506">
            <v>0</v>
          </cell>
          <cell r="AC506">
            <v>0</v>
          </cell>
          <cell r="AD506">
            <v>0</v>
          </cell>
          <cell r="AX506">
            <v>0</v>
          </cell>
          <cell r="AY506">
            <v>0</v>
          </cell>
          <cell r="AZ506">
            <v>0</v>
          </cell>
          <cell r="BA506">
            <v>0</v>
          </cell>
          <cell r="BI506">
            <v>0</v>
          </cell>
          <cell r="BJ506">
            <v>0</v>
          </cell>
          <cell r="BK506">
            <v>0</v>
          </cell>
          <cell r="BL506">
            <v>0</v>
          </cell>
          <cell r="BM506">
            <v>0</v>
          </cell>
          <cell r="BN506">
            <v>0</v>
          </cell>
          <cell r="BO506">
            <v>0</v>
          </cell>
          <cell r="BP506">
            <v>0</v>
          </cell>
          <cell r="BQ506">
            <v>0</v>
          </cell>
          <cell r="BR506">
            <v>0</v>
          </cell>
          <cell r="BT506">
            <v>0</v>
          </cell>
          <cell r="CA506" t="str">
            <v>C13722 - EBITA - Identified - Recompete</v>
          </cell>
          <cell r="CC506" t="str">
            <v>C13722 - EBITA - Identified - Recompete - MR</v>
          </cell>
          <cell r="CD506" t="str">
            <v/>
          </cell>
          <cell r="CF506" t="str">
            <v>C13722 - Identified - Recompete - MR</v>
          </cell>
        </row>
        <row r="507">
          <cell r="D507">
            <v>493</v>
          </cell>
          <cell r="E507">
            <v>1</v>
          </cell>
          <cell r="F507">
            <v>1</v>
          </cell>
          <cell r="G507" t="str">
            <v>C13241</v>
          </cell>
          <cell r="H507" t="str">
            <v>NSDD DICCE II Mongolia (13241)</v>
          </cell>
          <cell r="I507" t="str">
            <v>MR</v>
          </cell>
          <cell r="J507" t="str">
            <v>MR Non-Proliferation and Security Services</v>
          </cell>
          <cell r="K507" t="str">
            <v>DOE</v>
          </cell>
          <cell r="L507" t="str">
            <v>DOE</v>
          </cell>
          <cell r="M507" t="str">
            <v>OH</v>
          </cell>
          <cell r="N507" t="str">
            <v>CONUS</v>
          </cell>
          <cell r="O507">
            <v>42858</v>
          </cell>
          <cell r="P507">
            <v>43992</v>
          </cell>
          <cell r="Q507" t="str">
            <v>Sub</v>
          </cell>
          <cell r="R507" t="str">
            <v>CPFF</v>
          </cell>
          <cell r="S507">
            <v>0</v>
          </cell>
          <cell r="T507">
            <v>1</v>
          </cell>
          <cell r="U507" t="str">
            <v>REVTOT</v>
          </cell>
          <cell r="V507" t="str">
            <v>Base</v>
          </cell>
          <cell r="W507" t="str">
            <v>05 Won</v>
          </cell>
          <cell r="X507" t="str">
            <v>Active</v>
          </cell>
          <cell r="Y507">
            <v>1</v>
          </cell>
          <cell r="Z507">
            <v>0</v>
          </cell>
          <cell r="AA507">
            <v>327534.1399999999</v>
          </cell>
          <cell r="AB507">
            <v>0</v>
          </cell>
          <cell r="AC507">
            <v>0</v>
          </cell>
          <cell r="AD507">
            <v>327534.1399999999</v>
          </cell>
          <cell r="AE507">
            <v>0</v>
          </cell>
          <cell r="AF507">
            <v>5.7511327019588077</v>
          </cell>
          <cell r="AG507">
            <v>-0.31282591880839472</v>
          </cell>
          <cell r="AH507">
            <v>-1</v>
          </cell>
          <cell r="AI507">
            <v>0</v>
          </cell>
          <cell r="AJ507">
            <v>0</v>
          </cell>
          <cell r="AK507">
            <v>0</v>
          </cell>
          <cell r="BB507">
            <v>0</v>
          </cell>
          <cell r="BC507">
            <v>0</v>
          </cell>
          <cell r="BD507">
            <v>0</v>
          </cell>
          <cell r="BE507">
            <v>0</v>
          </cell>
          <cell r="BF507">
            <v>0</v>
          </cell>
          <cell r="BG507">
            <v>203250.72999999998</v>
          </cell>
          <cell r="BH507">
            <v>1372172.65</v>
          </cell>
          <cell r="BI507">
            <v>786815.33000000007</v>
          </cell>
          <cell r="BJ507">
            <v>100054.24000000002</v>
          </cell>
          <cell r="BK507">
            <v>18647.91</v>
          </cell>
          <cell r="BL507">
            <v>37404</v>
          </cell>
          <cell r="BM507">
            <v>942921.4800000001</v>
          </cell>
          <cell r="BN507">
            <v>0</v>
          </cell>
          <cell r="BO507">
            <v>0</v>
          </cell>
          <cell r="BP507">
            <v>0</v>
          </cell>
          <cell r="BQ507">
            <v>0</v>
          </cell>
          <cell r="BR507">
            <v>942921.4800000001</v>
          </cell>
          <cell r="BT507">
            <v>0</v>
          </cell>
          <cell r="CA507" t="str">
            <v>C13241 - REVTOT - Base</v>
          </cell>
          <cell r="CC507" t="str">
            <v>C13241 - REVTOT - Base - MR</v>
          </cell>
          <cell r="CD507" t="str">
            <v>C13241 - REVTOT - Base - MR</v>
          </cell>
          <cell r="CF507" t="str">
            <v>C13241 - Base - MR</v>
          </cell>
        </row>
        <row r="508">
          <cell r="D508">
            <v>494</v>
          </cell>
          <cell r="E508">
            <v>1</v>
          </cell>
          <cell r="F508">
            <v>2</v>
          </cell>
          <cell r="G508" t="str">
            <v>C13241</v>
          </cell>
          <cell r="H508" t="str">
            <v>NSDD DICCE II Mongolia (13241)</v>
          </cell>
          <cell r="I508" t="str">
            <v>MR</v>
          </cell>
          <cell r="J508" t="str">
            <v>MR Non-Proliferation and Security Services</v>
          </cell>
          <cell r="K508" t="str">
            <v>DOE</v>
          </cell>
          <cell r="L508" t="str">
            <v>DOE</v>
          </cell>
          <cell r="M508" t="str">
            <v>OH</v>
          </cell>
          <cell r="N508" t="str">
            <v>CONUS</v>
          </cell>
          <cell r="O508">
            <v>0</v>
          </cell>
          <cell r="P508">
            <v>0</v>
          </cell>
          <cell r="Q508">
            <v>0</v>
          </cell>
          <cell r="R508" t="str">
            <v>CPFF</v>
          </cell>
          <cell r="S508">
            <v>0</v>
          </cell>
          <cell r="T508">
            <v>1</v>
          </cell>
          <cell r="U508" t="str">
            <v>REVTOT</v>
          </cell>
          <cell r="V508" t="str">
            <v>Identified - Recompete</v>
          </cell>
          <cell r="W508">
            <v>0</v>
          </cell>
          <cell r="X508">
            <v>0</v>
          </cell>
          <cell r="Y508">
            <v>0</v>
          </cell>
          <cell r="Z508">
            <v>0</v>
          </cell>
          <cell r="AA508">
            <v>0</v>
          </cell>
          <cell r="AB508">
            <v>0</v>
          </cell>
          <cell r="AC508">
            <v>0</v>
          </cell>
          <cell r="AD508">
            <v>0</v>
          </cell>
          <cell r="AI508">
            <v>0</v>
          </cell>
          <cell r="AJ508">
            <v>0</v>
          </cell>
          <cell r="AK508">
            <v>0</v>
          </cell>
          <cell r="BB508">
            <v>0</v>
          </cell>
          <cell r="BC508">
            <v>0</v>
          </cell>
          <cell r="BD508">
            <v>0</v>
          </cell>
          <cell r="BE508">
            <v>0</v>
          </cell>
          <cell r="BI508">
            <v>0</v>
          </cell>
          <cell r="BJ508">
            <v>0</v>
          </cell>
          <cell r="BK508">
            <v>0</v>
          </cell>
          <cell r="BL508">
            <v>0</v>
          </cell>
          <cell r="BM508">
            <v>0</v>
          </cell>
          <cell r="BN508">
            <v>0</v>
          </cell>
          <cell r="BO508">
            <v>0</v>
          </cell>
          <cell r="BP508">
            <v>0</v>
          </cell>
          <cell r="BQ508">
            <v>0</v>
          </cell>
          <cell r="BR508">
            <v>0</v>
          </cell>
          <cell r="BT508">
            <v>0</v>
          </cell>
          <cell r="CA508" t="str">
            <v>C13241 - REVTOT - Identified - Recompete</v>
          </cell>
          <cell r="CC508" t="str">
            <v>C13241 - REVTOT - Identified - Recompete - MR</v>
          </cell>
          <cell r="CD508" t="str">
            <v/>
          </cell>
          <cell r="CF508" t="str">
            <v>C13241 - Identified - Recompete - MR</v>
          </cell>
        </row>
        <row r="509">
          <cell r="D509">
            <v>495</v>
          </cell>
          <cell r="E509">
            <v>2</v>
          </cell>
          <cell r="F509">
            <v>3</v>
          </cell>
          <cell r="G509" t="str">
            <v>C13241</v>
          </cell>
          <cell r="H509" t="str">
            <v>NSDD DICCE II Mongolia (13241)</v>
          </cell>
          <cell r="I509" t="str">
            <v>MR</v>
          </cell>
          <cell r="J509" t="str">
            <v>MR Non-Proliferation and Security Services</v>
          </cell>
          <cell r="K509" t="str">
            <v>DOE</v>
          </cell>
          <cell r="L509" t="str">
            <v>DOE</v>
          </cell>
          <cell r="M509" t="str">
            <v>OH</v>
          </cell>
          <cell r="N509" t="str">
            <v>CONUS</v>
          </cell>
          <cell r="O509">
            <v>42858</v>
          </cell>
          <cell r="P509">
            <v>43992</v>
          </cell>
          <cell r="Q509" t="str">
            <v>Sub</v>
          </cell>
          <cell r="R509" t="str">
            <v>CPFF</v>
          </cell>
          <cell r="S509">
            <v>0</v>
          </cell>
          <cell r="T509">
            <v>1</v>
          </cell>
          <cell r="U509" t="str">
            <v>CONTRACT</v>
          </cell>
          <cell r="V509" t="str">
            <v>Base</v>
          </cell>
          <cell r="W509" t="str">
            <v>05 Won</v>
          </cell>
          <cell r="X509" t="str">
            <v>Active</v>
          </cell>
          <cell r="Y509">
            <v>1</v>
          </cell>
          <cell r="Z509">
            <v>0</v>
          </cell>
          <cell r="AA509">
            <v>327534.1399999999</v>
          </cell>
          <cell r="AB509">
            <v>0</v>
          </cell>
          <cell r="AC509">
            <v>0</v>
          </cell>
          <cell r="AD509">
            <v>327534.1399999999</v>
          </cell>
          <cell r="AL509">
            <v>0</v>
          </cell>
          <cell r="AM509">
            <v>0.20657426421051475</v>
          </cell>
          <cell r="AN509">
            <v>0.17782991083519992</v>
          </cell>
          <cell r="AO509">
            <v>0.16118133187505709</v>
          </cell>
          <cell r="AP509">
            <v>0.17391623242576873</v>
          </cell>
          <cell r="AQ509">
            <v>0.17391623242576873</v>
          </cell>
          <cell r="AR509">
            <v>0.17391623242576873</v>
          </cell>
          <cell r="AS509">
            <v>0.17391623242576873</v>
          </cell>
          <cell r="BF509">
            <v>0</v>
          </cell>
          <cell r="BG509">
            <v>41986.369999999995</v>
          </cell>
          <cell r="BH509">
            <v>244013.33999999997</v>
          </cell>
          <cell r="BI509">
            <v>130682.49</v>
          </cell>
          <cell r="BJ509">
            <v>12018.790000000034</v>
          </cell>
          <cell r="BK509">
            <v>2828.9800000000014</v>
          </cell>
          <cell r="BL509">
            <v>6451.0799999999963</v>
          </cell>
          <cell r="BM509">
            <v>151981.34000000003</v>
          </cell>
          <cell r="BN509">
            <v>0</v>
          </cell>
          <cell r="BO509">
            <v>0</v>
          </cell>
          <cell r="BP509">
            <v>0</v>
          </cell>
          <cell r="BQ509">
            <v>0</v>
          </cell>
          <cell r="BR509">
            <v>151981.34000000003</v>
          </cell>
          <cell r="BT509">
            <v>0</v>
          </cell>
          <cell r="CA509" t="str">
            <v>C13241 - CONTRACT - Base</v>
          </cell>
          <cell r="CC509" t="str">
            <v>C13241 - CONTRACT - Base - MR</v>
          </cell>
          <cell r="CD509" t="str">
            <v/>
          </cell>
          <cell r="CF509" t="str">
            <v>C13241 - Base - MR</v>
          </cell>
        </row>
        <row r="510">
          <cell r="D510">
            <v>496</v>
          </cell>
          <cell r="E510">
            <v>2</v>
          </cell>
          <cell r="F510">
            <v>4</v>
          </cell>
          <cell r="G510" t="str">
            <v>C13241</v>
          </cell>
          <cell r="H510" t="str">
            <v>NSDD DICCE II Mongolia (13241)</v>
          </cell>
          <cell r="I510" t="str">
            <v>MR</v>
          </cell>
          <cell r="J510" t="str">
            <v>MR Non-Proliferation and Security Services</v>
          </cell>
          <cell r="K510" t="str">
            <v>DOE</v>
          </cell>
          <cell r="L510" t="str">
            <v>DOE</v>
          </cell>
          <cell r="M510" t="str">
            <v>OH</v>
          </cell>
          <cell r="N510" t="str">
            <v>CONUS</v>
          </cell>
          <cell r="O510">
            <v>0</v>
          </cell>
          <cell r="P510">
            <v>0</v>
          </cell>
          <cell r="Q510">
            <v>0</v>
          </cell>
          <cell r="R510" t="str">
            <v>CPFF</v>
          </cell>
          <cell r="S510">
            <v>0</v>
          </cell>
          <cell r="T510">
            <v>1</v>
          </cell>
          <cell r="U510" t="str">
            <v>CONTRACT</v>
          </cell>
          <cell r="V510" t="str">
            <v>Identified - Recompete</v>
          </cell>
          <cell r="W510">
            <v>0</v>
          </cell>
          <cell r="X510">
            <v>0</v>
          </cell>
          <cell r="Y510">
            <v>0</v>
          </cell>
          <cell r="Z510">
            <v>0</v>
          </cell>
          <cell r="AA510">
            <v>0</v>
          </cell>
          <cell r="AB510">
            <v>0</v>
          </cell>
          <cell r="AC510">
            <v>0</v>
          </cell>
          <cell r="AD510">
            <v>0</v>
          </cell>
          <cell r="AP510">
            <v>0</v>
          </cell>
          <cell r="AQ510">
            <v>0</v>
          </cell>
          <cell r="AR510">
            <v>0</v>
          </cell>
          <cell r="AS510">
            <v>0</v>
          </cell>
          <cell r="BI510">
            <v>0</v>
          </cell>
          <cell r="BJ510">
            <v>0</v>
          </cell>
          <cell r="BK510">
            <v>0</v>
          </cell>
          <cell r="BL510">
            <v>0</v>
          </cell>
          <cell r="BM510">
            <v>0</v>
          </cell>
          <cell r="BN510">
            <v>0</v>
          </cell>
          <cell r="BO510">
            <v>0</v>
          </cell>
          <cell r="BP510">
            <v>0</v>
          </cell>
          <cell r="BQ510">
            <v>0</v>
          </cell>
          <cell r="BR510">
            <v>0</v>
          </cell>
          <cell r="BT510">
            <v>0</v>
          </cell>
          <cell r="CA510" t="str">
            <v>C13241 - CONTRACT - Identified - Recompete</v>
          </cell>
          <cell r="CC510" t="str">
            <v>C13241 - CONTRACT - Identified - Recompete - MR</v>
          </cell>
          <cell r="CD510" t="str">
            <v/>
          </cell>
          <cell r="CF510" t="str">
            <v>C13241 - Identified - Recompete - MR</v>
          </cell>
        </row>
        <row r="511">
          <cell r="D511">
            <v>497</v>
          </cell>
          <cell r="E511">
            <v>0</v>
          </cell>
          <cell r="F511">
            <v>5</v>
          </cell>
          <cell r="G511" t="str">
            <v>C13241</v>
          </cell>
          <cell r="H511" t="str">
            <v>NSDD DICCE II Mongolia (13241)</v>
          </cell>
          <cell r="I511" t="str">
            <v>MR</v>
          </cell>
          <cell r="J511" t="str">
            <v>MR Non-Proliferation and Security Services</v>
          </cell>
          <cell r="K511" t="str">
            <v>DOE</v>
          </cell>
          <cell r="L511" t="str">
            <v>DOE</v>
          </cell>
          <cell r="M511" t="str">
            <v>OH</v>
          </cell>
          <cell r="N511" t="str">
            <v>CONUS</v>
          </cell>
          <cell r="O511">
            <v>42858</v>
          </cell>
          <cell r="P511">
            <v>43992</v>
          </cell>
          <cell r="Q511" t="str">
            <v>Sub</v>
          </cell>
          <cell r="R511" t="str">
            <v>CPFF</v>
          </cell>
          <cell r="S511">
            <v>0</v>
          </cell>
          <cell r="T511">
            <v>1</v>
          </cell>
          <cell r="U511" t="str">
            <v>EBITA</v>
          </cell>
          <cell r="V511" t="str">
            <v>Base</v>
          </cell>
          <cell r="W511" t="str">
            <v>05 Won</v>
          </cell>
          <cell r="X511" t="str">
            <v>Active</v>
          </cell>
          <cell r="Y511">
            <v>1</v>
          </cell>
          <cell r="Z511">
            <v>0</v>
          </cell>
          <cell r="AA511">
            <v>327534.1399999999</v>
          </cell>
          <cell r="AB511">
            <v>0</v>
          </cell>
          <cell r="AC511">
            <v>0</v>
          </cell>
          <cell r="AD511">
            <v>327534.1399999999</v>
          </cell>
          <cell r="AT511">
            <v>0</v>
          </cell>
          <cell r="AU511">
            <v>9.0082382483939905E-2</v>
          </cell>
          <cell r="AV511">
            <v>7.7964795465060452E-2</v>
          </cell>
          <cell r="AW511">
            <v>6.7569327193606865E-2</v>
          </cell>
          <cell r="AX511">
            <v>7.5050499636495377E-2</v>
          </cell>
          <cell r="AY511">
            <v>7.5050499636495377E-2</v>
          </cell>
          <cell r="AZ511">
            <v>7.5050499636495377E-2</v>
          </cell>
          <cell r="BA511">
            <v>7.5050499636495377E-2</v>
          </cell>
          <cell r="BF511">
            <v>0</v>
          </cell>
          <cell r="BG511">
            <v>18309.309999999998</v>
          </cell>
          <cell r="BH511">
            <v>106981.15999999997</v>
          </cell>
          <cell r="BI511">
            <v>58261.380000000012</v>
          </cell>
          <cell r="BJ511">
            <v>1528.4900000000341</v>
          </cell>
          <cell r="BK511">
            <v>1206.9500000000012</v>
          </cell>
          <cell r="BL511">
            <v>2715.7499999999959</v>
          </cell>
          <cell r="BM511">
            <v>63712.570000000043</v>
          </cell>
          <cell r="BN511">
            <v>0</v>
          </cell>
          <cell r="BO511">
            <v>0</v>
          </cell>
          <cell r="BP511">
            <v>0</v>
          </cell>
          <cell r="BQ511">
            <v>0</v>
          </cell>
          <cell r="BR511">
            <v>63712.570000000043</v>
          </cell>
          <cell r="BT511">
            <v>0</v>
          </cell>
          <cell r="CA511" t="str">
            <v>C13241 - EBITA - Base</v>
          </cell>
          <cell r="CC511" t="str">
            <v>C13241 - EBITA - Base - MR</v>
          </cell>
          <cell r="CD511" t="str">
            <v/>
          </cell>
          <cell r="CF511" t="str">
            <v>C13241 - Base - MR</v>
          </cell>
        </row>
        <row r="512">
          <cell r="D512">
            <v>498</v>
          </cell>
          <cell r="E512">
            <v>0</v>
          </cell>
          <cell r="F512">
            <v>0</v>
          </cell>
          <cell r="G512" t="str">
            <v>C13241</v>
          </cell>
          <cell r="H512" t="str">
            <v>NSDD DICCE II Mongolia (13241)</v>
          </cell>
          <cell r="I512" t="str">
            <v>MR</v>
          </cell>
          <cell r="J512" t="str">
            <v>MR Non-Proliferation and Security Services</v>
          </cell>
          <cell r="K512" t="str">
            <v>DOE</v>
          </cell>
          <cell r="L512" t="str">
            <v>DOE</v>
          </cell>
          <cell r="M512" t="str">
            <v>OH</v>
          </cell>
          <cell r="N512" t="str">
            <v>CONUS</v>
          </cell>
          <cell r="O512">
            <v>0</v>
          </cell>
          <cell r="P512">
            <v>0</v>
          </cell>
          <cell r="Q512">
            <v>0</v>
          </cell>
          <cell r="R512" t="str">
            <v>CPFF</v>
          </cell>
          <cell r="S512">
            <v>0</v>
          </cell>
          <cell r="T512">
            <v>1</v>
          </cell>
          <cell r="U512" t="str">
            <v>EBITA</v>
          </cell>
          <cell r="V512" t="str">
            <v>Identified - Recompete</v>
          </cell>
          <cell r="W512">
            <v>0</v>
          </cell>
          <cell r="X512">
            <v>0</v>
          </cell>
          <cell r="Y512">
            <v>0</v>
          </cell>
          <cell r="Z512">
            <v>0</v>
          </cell>
          <cell r="AA512">
            <v>0</v>
          </cell>
          <cell r="AB512">
            <v>0</v>
          </cell>
          <cell r="AC512">
            <v>0</v>
          </cell>
          <cell r="AD512">
            <v>0</v>
          </cell>
          <cell r="AX512">
            <v>0</v>
          </cell>
          <cell r="AY512">
            <v>0</v>
          </cell>
          <cell r="AZ512">
            <v>0</v>
          </cell>
          <cell r="BA512">
            <v>0</v>
          </cell>
          <cell r="BI512">
            <v>0</v>
          </cell>
          <cell r="BJ512">
            <v>0</v>
          </cell>
          <cell r="BK512">
            <v>0</v>
          </cell>
          <cell r="BL512">
            <v>0</v>
          </cell>
          <cell r="BM512">
            <v>0</v>
          </cell>
          <cell r="BN512">
            <v>0</v>
          </cell>
          <cell r="BO512">
            <v>0</v>
          </cell>
          <cell r="BP512">
            <v>0</v>
          </cell>
          <cell r="BQ512">
            <v>0</v>
          </cell>
          <cell r="BR512">
            <v>0</v>
          </cell>
          <cell r="BT512">
            <v>0</v>
          </cell>
          <cell r="CA512" t="str">
            <v>C13241 - EBITA - Identified - Recompete</v>
          </cell>
          <cell r="CC512" t="str">
            <v>C13241 - EBITA - Identified - Recompete - MR</v>
          </cell>
          <cell r="CD512" t="str">
            <v/>
          </cell>
          <cell r="CF512" t="str">
            <v>C13241 - Identified - Recompete - MR</v>
          </cell>
        </row>
        <row r="513">
          <cell r="D513">
            <v>499</v>
          </cell>
          <cell r="E513">
            <v>1</v>
          </cell>
          <cell r="F513">
            <v>1</v>
          </cell>
          <cell r="G513" t="str">
            <v>000018</v>
          </cell>
          <cell r="H513" t="str">
            <v>AISS Subcontract</v>
          </cell>
          <cell r="I513" t="str">
            <v>MR</v>
          </cell>
          <cell r="J513" t="str">
            <v>MR Maintenance &amp; Sustainment</v>
          </cell>
          <cell r="K513" t="str">
            <v>Other DOD</v>
          </cell>
          <cell r="L513" t="str">
            <v>DOD</v>
          </cell>
          <cell r="M513" t="str">
            <v>US_State</v>
          </cell>
          <cell r="N513" t="str">
            <v>CONUS</v>
          </cell>
          <cell r="O513">
            <v>40542</v>
          </cell>
          <cell r="P513">
            <v>43097</v>
          </cell>
          <cell r="Q513" t="str">
            <v>Sub</v>
          </cell>
          <cell r="R513" t="str">
            <v>FFP</v>
          </cell>
          <cell r="S513">
            <v>0</v>
          </cell>
          <cell r="T513">
            <v>1</v>
          </cell>
          <cell r="U513" t="str">
            <v>REVTOT</v>
          </cell>
          <cell r="V513" t="str">
            <v>Base</v>
          </cell>
          <cell r="W513" t="str">
            <v>05 Won</v>
          </cell>
          <cell r="X513" t="str">
            <v>Active</v>
          </cell>
          <cell r="Y513">
            <v>1</v>
          </cell>
          <cell r="Z513">
            <v>0</v>
          </cell>
          <cell r="AA513">
            <v>233724.92058990631</v>
          </cell>
          <cell r="AB513">
            <v>1.0000000009313226E-2</v>
          </cell>
          <cell r="AC513">
            <v>0</v>
          </cell>
          <cell r="AD513">
            <v>233724.93058990632</v>
          </cell>
          <cell r="AE513">
            <v>2.9555487431260468</v>
          </cell>
          <cell r="AF513">
            <v>-0.58682438554080796</v>
          </cell>
          <cell r="AG513">
            <v>-0.83445111929453197</v>
          </cell>
          <cell r="AH513">
            <v>-1</v>
          </cell>
          <cell r="AI513">
            <v>0</v>
          </cell>
          <cell r="AJ513">
            <v>0</v>
          </cell>
          <cell r="AK513">
            <v>0</v>
          </cell>
          <cell r="BB513">
            <v>0</v>
          </cell>
          <cell r="BC513">
            <v>0</v>
          </cell>
          <cell r="BD513">
            <v>0</v>
          </cell>
          <cell r="BE513">
            <v>0</v>
          </cell>
          <cell r="BF513">
            <v>2203031.9700000002</v>
          </cell>
          <cell r="BG513">
            <v>8714200.3399999999</v>
          </cell>
          <cell r="BH513">
            <v>3600495.08</v>
          </cell>
          <cell r="BI513">
            <v>349439.63999999996</v>
          </cell>
          <cell r="BJ513">
            <v>109673.54000000001</v>
          </cell>
          <cell r="BK513">
            <v>39032.089999999997</v>
          </cell>
          <cell r="BL513">
            <v>97912.660479544807</v>
          </cell>
          <cell r="BM513">
            <v>596057.93047954468</v>
          </cell>
          <cell r="BN513">
            <v>0</v>
          </cell>
          <cell r="BO513">
            <v>0</v>
          </cell>
          <cell r="BP513">
            <v>0</v>
          </cell>
          <cell r="BQ513">
            <v>0</v>
          </cell>
          <cell r="BR513">
            <v>596057.93047954468</v>
          </cell>
          <cell r="BT513">
            <v>0</v>
          </cell>
          <cell r="CA513" t="str">
            <v>000018 - REVTOT - Base</v>
          </cell>
          <cell r="CC513" t="str">
            <v>000018 - REVTOT - Base - MR</v>
          </cell>
          <cell r="CD513" t="str">
            <v>000018 - REVTOT - Base - MR</v>
          </cell>
          <cell r="CF513" t="str">
            <v>000018 - Base - MR</v>
          </cell>
        </row>
        <row r="514">
          <cell r="D514">
            <v>500</v>
          </cell>
          <cell r="E514">
            <v>1</v>
          </cell>
          <cell r="F514">
            <v>2</v>
          </cell>
          <cell r="G514" t="str">
            <v>000018</v>
          </cell>
          <cell r="H514" t="str">
            <v>AISS Subcontract</v>
          </cell>
          <cell r="I514" t="str">
            <v>MR</v>
          </cell>
          <cell r="J514" t="str">
            <v>MR Maintenance &amp; Sustainment</v>
          </cell>
          <cell r="K514" t="str">
            <v>Other DOD</v>
          </cell>
          <cell r="L514" t="str">
            <v>DOD</v>
          </cell>
          <cell r="M514" t="str">
            <v>US_State</v>
          </cell>
          <cell r="N514" t="str">
            <v>CONUS</v>
          </cell>
          <cell r="O514">
            <v>0</v>
          </cell>
          <cell r="P514">
            <v>0</v>
          </cell>
          <cell r="Q514">
            <v>0</v>
          </cell>
          <cell r="R514" t="str">
            <v>FFP</v>
          </cell>
          <cell r="S514">
            <v>0</v>
          </cell>
          <cell r="T514">
            <v>1</v>
          </cell>
          <cell r="U514" t="str">
            <v>REVTOT</v>
          </cell>
          <cell r="V514" t="str">
            <v>Identified - Recompete</v>
          </cell>
          <cell r="W514">
            <v>0</v>
          </cell>
          <cell r="X514">
            <v>0</v>
          </cell>
          <cell r="Y514">
            <v>0</v>
          </cell>
          <cell r="Z514">
            <v>0</v>
          </cell>
          <cell r="AA514">
            <v>0</v>
          </cell>
          <cell r="AB514">
            <v>0</v>
          </cell>
          <cell r="AC514">
            <v>0</v>
          </cell>
          <cell r="AD514">
            <v>0</v>
          </cell>
          <cell r="AI514">
            <v>0</v>
          </cell>
          <cell r="AJ514">
            <v>0</v>
          </cell>
          <cell r="AK514">
            <v>0</v>
          </cell>
          <cell r="BB514">
            <v>0</v>
          </cell>
          <cell r="BC514">
            <v>0</v>
          </cell>
          <cell r="BD514">
            <v>0</v>
          </cell>
          <cell r="BE514">
            <v>0</v>
          </cell>
          <cell r="BI514">
            <v>0</v>
          </cell>
          <cell r="BJ514">
            <v>0</v>
          </cell>
          <cell r="BK514">
            <v>0</v>
          </cell>
          <cell r="BL514">
            <v>0</v>
          </cell>
          <cell r="BM514">
            <v>0</v>
          </cell>
          <cell r="BN514">
            <v>0</v>
          </cell>
          <cell r="BO514">
            <v>0</v>
          </cell>
          <cell r="BP514">
            <v>0</v>
          </cell>
          <cell r="BQ514">
            <v>0</v>
          </cell>
          <cell r="BR514">
            <v>0</v>
          </cell>
          <cell r="BT514">
            <v>0</v>
          </cell>
          <cell r="CA514" t="str">
            <v>000018 - REVTOT - Identified - Recompete</v>
          </cell>
          <cell r="CC514" t="str">
            <v>000018 - REVTOT - Identified - Recompete - MR</v>
          </cell>
          <cell r="CD514" t="str">
            <v/>
          </cell>
          <cell r="CF514" t="str">
            <v>000018 - Identified - Recompete - MR</v>
          </cell>
        </row>
        <row r="515">
          <cell r="D515">
            <v>501</v>
          </cell>
          <cell r="E515">
            <v>2</v>
          </cell>
          <cell r="F515">
            <v>3</v>
          </cell>
          <cell r="G515" t="str">
            <v>000018</v>
          </cell>
          <cell r="H515" t="str">
            <v>AISS Subcontract</v>
          </cell>
          <cell r="I515" t="str">
            <v>MR</v>
          </cell>
          <cell r="J515" t="str">
            <v>MR Maintenance &amp; Sustainment</v>
          </cell>
          <cell r="K515" t="str">
            <v>Other DOD</v>
          </cell>
          <cell r="L515" t="str">
            <v>DOD</v>
          </cell>
          <cell r="M515" t="str">
            <v>US_State</v>
          </cell>
          <cell r="N515" t="str">
            <v>CONUS</v>
          </cell>
          <cell r="O515">
            <v>40542</v>
          </cell>
          <cell r="P515">
            <v>43097</v>
          </cell>
          <cell r="Q515" t="str">
            <v>Sub</v>
          </cell>
          <cell r="R515" t="str">
            <v>FFP</v>
          </cell>
          <cell r="S515">
            <v>0</v>
          </cell>
          <cell r="T515">
            <v>1</v>
          </cell>
          <cell r="U515" t="str">
            <v>CONTRACT</v>
          </cell>
          <cell r="V515" t="str">
            <v>Base</v>
          </cell>
          <cell r="W515" t="str">
            <v>05 Won</v>
          </cell>
          <cell r="X515" t="str">
            <v>Active</v>
          </cell>
          <cell r="Y515">
            <v>1</v>
          </cell>
          <cell r="Z515">
            <v>0</v>
          </cell>
          <cell r="AA515">
            <v>233724.92058990631</v>
          </cell>
          <cell r="AB515">
            <v>1.0000000009313226E-2</v>
          </cell>
          <cell r="AC515">
            <v>0</v>
          </cell>
          <cell r="AD515">
            <v>233724.93058990632</v>
          </cell>
          <cell r="AL515">
            <v>0.40862945806455997</v>
          </cell>
          <cell r="AM515">
            <v>0.39896804231608934</v>
          </cell>
          <cell r="AN515">
            <v>0.36133178940491706</v>
          </cell>
          <cell r="AO515">
            <v>0.47193020358479781</v>
          </cell>
          <cell r="AP515">
            <v>0.3942878738924992</v>
          </cell>
          <cell r="AQ515">
            <v>0.3942878738924992</v>
          </cell>
          <cell r="AR515">
            <v>0.3942878738924992</v>
          </cell>
          <cell r="AS515">
            <v>0.3942878738924992</v>
          </cell>
          <cell r="BF515">
            <v>900223.76</v>
          </cell>
          <cell r="BG515">
            <v>3476687.45</v>
          </cell>
          <cell r="BH515">
            <v>1300973.33</v>
          </cell>
          <cell r="BI515">
            <v>258145.52999999997</v>
          </cell>
          <cell r="BJ515">
            <v>11160.780000000008</v>
          </cell>
          <cell r="BK515">
            <v>3872.6900000000019</v>
          </cell>
          <cell r="BL515">
            <v>8118.7404795448092</v>
          </cell>
          <cell r="BM515">
            <v>281297.74047954479</v>
          </cell>
          <cell r="BN515">
            <v>0</v>
          </cell>
          <cell r="BO515">
            <v>0</v>
          </cell>
          <cell r="BP515">
            <v>0</v>
          </cell>
          <cell r="BQ515">
            <v>0</v>
          </cell>
          <cell r="BR515">
            <v>281297.74047954479</v>
          </cell>
          <cell r="BT515">
            <v>0</v>
          </cell>
          <cell r="CA515" t="str">
            <v>000018 - CONTRACT - Base</v>
          </cell>
          <cell r="CC515" t="str">
            <v>000018 - CONTRACT - Base - MR</v>
          </cell>
          <cell r="CD515" t="str">
            <v/>
          </cell>
          <cell r="CF515" t="str">
            <v>000018 - Base - MR</v>
          </cell>
        </row>
        <row r="516">
          <cell r="D516">
            <v>502</v>
          </cell>
          <cell r="E516">
            <v>2</v>
          </cell>
          <cell r="F516">
            <v>4</v>
          </cell>
          <cell r="G516" t="str">
            <v>000018</v>
          </cell>
          <cell r="H516" t="str">
            <v>AISS Subcontract</v>
          </cell>
          <cell r="I516" t="str">
            <v>MR</v>
          </cell>
          <cell r="J516" t="str">
            <v>MR Maintenance &amp; Sustainment</v>
          </cell>
          <cell r="K516" t="str">
            <v>Other DOD</v>
          </cell>
          <cell r="L516" t="str">
            <v>DOD</v>
          </cell>
          <cell r="M516" t="str">
            <v>US_State</v>
          </cell>
          <cell r="N516" t="str">
            <v>CONUS</v>
          </cell>
          <cell r="O516">
            <v>0</v>
          </cell>
          <cell r="P516">
            <v>0</v>
          </cell>
          <cell r="Q516">
            <v>0</v>
          </cell>
          <cell r="R516" t="str">
            <v>FFP</v>
          </cell>
          <cell r="S516">
            <v>0</v>
          </cell>
          <cell r="T516">
            <v>1</v>
          </cell>
          <cell r="U516" t="str">
            <v>CONTRACT</v>
          </cell>
          <cell r="V516" t="str">
            <v>Identified - Recompete</v>
          </cell>
          <cell r="W516">
            <v>0</v>
          </cell>
          <cell r="X516">
            <v>0</v>
          </cell>
          <cell r="Y516">
            <v>0</v>
          </cell>
          <cell r="Z516">
            <v>0</v>
          </cell>
          <cell r="AA516">
            <v>0</v>
          </cell>
          <cell r="AB516">
            <v>0</v>
          </cell>
          <cell r="AC516">
            <v>0</v>
          </cell>
          <cell r="AD516">
            <v>0</v>
          </cell>
          <cell r="AP516">
            <v>0</v>
          </cell>
          <cell r="AQ516">
            <v>0</v>
          </cell>
          <cell r="AR516">
            <v>0</v>
          </cell>
          <cell r="AS516">
            <v>0</v>
          </cell>
          <cell r="BI516">
            <v>0</v>
          </cell>
          <cell r="BJ516">
            <v>0</v>
          </cell>
          <cell r="BK516">
            <v>0</v>
          </cell>
          <cell r="BL516">
            <v>0</v>
          </cell>
          <cell r="BM516">
            <v>0</v>
          </cell>
          <cell r="BN516">
            <v>0</v>
          </cell>
          <cell r="BO516">
            <v>0</v>
          </cell>
          <cell r="BP516">
            <v>0</v>
          </cell>
          <cell r="BQ516">
            <v>0</v>
          </cell>
          <cell r="BR516">
            <v>0</v>
          </cell>
          <cell r="BT516">
            <v>0</v>
          </cell>
          <cell r="CA516" t="str">
            <v>000018 - CONTRACT - Identified - Recompete</v>
          </cell>
          <cell r="CC516" t="str">
            <v>000018 - CONTRACT - Identified - Recompete - MR</v>
          </cell>
          <cell r="CD516" t="str">
            <v/>
          </cell>
          <cell r="CF516" t="str">
            <v>000018 - Identified - Recompete - MR</v>
          </cell>
        </row>
        <row r="517">
          <cell r="D517">
            <v>503</v>
          </cell>
          <cell r="E517">
            <v>0</v>
          </cell>
          <cell r="F517">
            <v>5</v>
          </cell>
          <cell r="G517" t="str">
            <v>000018</v>
          </cell>
          <cell r="H517" t="str">
            <v>AISS Subcontract</v>
          </cell>
          <cell r="I517" t="str">
            <v>MR</v>
          </cell>
          <cell r="J517" t="str">
            <v>MR Maintenance &amp; Sustainment</v>
          </cell>
          <cell r="K517" t="str">
            <v>Other DOD</v>
          </cell>
          <cell r="L517" t="str">
            <v>DOD</v>
          </cell>
          <cell r="M517" t="str">
            <v>US_State</v>
          </cell>
          <cell r="N517" t="str">
            <v>CONUS</v>
          </cell>
          <cell r="O517">
            <v>40542</v>
          </cell>
          <cell r="P517">
            <v>43097</v>
          </cell>
          <cell r="Q517" t="str">
            <v>Sub</v>
          </cell>
          <cell r="R517" t="str">
            <v>FFP</v>
          </cell>
          <cell r="S517">
            <v>0</v>
          </cell>
          <cell r="T517">
            <v>1</v>
          </cell>
          <cell r="U517" t="str">
            <v>EBITA</v>
          </cell>
          <cell r="V517" t="str">
            <v>Base</v>
          </cell>
          <cell r="W517" t="str">
            <v>05 Won</v>
          </cell>
          <cell r="X517" t="str">
            <v>Active</v>
          </cell>
          <cell r="Y517">
            <v>1</v>
          </cell>
          <cell r="Z517">
            <v>0</v>
          </cell>
          <cell r="AA517">
            <v>233724.92058990631</v>
          </cell>
          <cell r="AB517">
            <v>1.0000000009313226E-2</v>
          </cell>
          <cell r="AC517">
            <v>0</v>
          </cell>
          <cell r="AD517">
            <v>233724.93058990632</v>
          </cell>
          <cell r="AT517">
            <v>0.34833603890006187</v>
          </cell>
          <cell r="AU517">
            <v>0.33119509276739906</v>
          </cell>
          <cell r="AV517">
            <v>0.28880871849434658</v>
          </cell>
          <cell r="AW517">
            <v>0.41942235345961792</v>
          </cell>
          <cell r="AX517">
            <v>0.32807558729854663</v>
          </cell>
          <cell r="AY517">
            <v>0.32907558729854663</v>
          </cell>
          <cell r="AZ517">
            <v>0.33007558729854664</v>
          </cell>
          <cell r="BA517">
            <v>0.33107558729854664</v>
          </cell>
          <cell r="BF517">
            <v>767395.43</v>
          </cell>
          <cell r="BG517">
            <v>2886100.3900000006</v>
          </cell>
          <cell r="BH517">
            <v>1039854.37</v>
          </cell>
          <cell r="BI517">
            <v>249999.99999999997</v>
          </cell>
          <cell r="BJ517">
            <v>3.0000000008840289E-2</v>
          </cell>
          <cell r="BK517">
            <v>-9.9999999981719156E-3</v>
          </cell>
          <cell r="BL517">
            <v>9.0949470177292824E-12</v>
          </cell>
          <cell r="BM517">
            <v>250000.01999999996</v>
          </cell>
          <cell r="BN517">
            <v>0</v>
          </cell>
          <cell r="BO517">
            <v>0</v>
          </cell>
          <cell r="BP517">
            <v>0</v>
          </cell>
          <cell r="BQ517">
            <v>0</v>
          </cell>
          <cell r="BR517">
            <v>250000.01999999996</v>
          </cell>
          <cell r="BT517">
            <v>0</v>
          </cell>
          <cell r="CA517" t="str">
            <v>000018 - EBITA - Base</v>
          </cell>
          <cell r="CC517" t="str">
            <v>000018 - EBITA - Base - MR</v>
          </cell>
          <cell r="CD517" t="str">
            <v/>
          </cell>
          <cell r="CF517" t="str">
            <v>000018 - Base - MR</v>
          </cell>
        </row>
        <row r="518">
          <cell r="D518">
            <v>504</v>
          </cell>
          <cell r="E518">
            <v>0</v>
          </cell>
          <cell r="F518">
            <v>0</v>
          </cell>
          <cell r="G518" t="str">
            <v>000018</v>
          </cell>
          <cell r="H518" t="str">
            <v>AISS Subcontract</v>
          </cell>
          <cell r="I518" t="str">
            <v>MR</v>
          </cell>
          <cell r="J518" t="str">
            <v>MR Maintenance &amp; Sustainment</v>
          </cell>
          <cell r="K518" t="str">
            <v>Other DOD</v>
          </cell>
          <cell r="L518" t="str">
            <v>DOD</v>
          </cell>
          <cell r="M518" t="str">
            <v>US_State</v>
          </cell>
          <cell r="N518" t="str">
            <v>CONUS</v>
          </cell>
          <cell r="O518">
            <v>0</v>
          </cell>
          <cell r="P518">
            <v>0</v>
          </cell>
          <cell r="Q518">
            <v>0</v>
          </cell>
          <cell r="R518" t="str">
            <v>FFP</v>
          </cell>
          <cell r="S518">
            <v>0</v>
          </cell>
          <cell r="T518">
            <v>1</v>
          </cell>
          <cell r="U518" t="str">
            <v>EBITA</v>
          </cell>
          <cell r="V518" t="str">
            <v>Identified - Recompete</v>
          </cell>
          <cell r="W518">
            <v>0</v>
          </cell>
          <cell r="X518">
            <v>0</v>
          </cell>
          <cell r="Y518">
            <v>0</v>
          </cell>
          <cell r="Z518">
            <v>0</v>
          </cell>
          <cell r="AA518">
            <v>0</v>
          </cell>
          <cell r="AB518">
            <v>0</v>
          </cell>
          <cell r="AC518">
            <v>0</v>
          </cell>
          <cell r="AD518">
            <v>0</v>
          </cell>
          <cell r="AX518">
            <v>0</v>
          </cell>
          <cell r="AY518">
            <v>0</v>
          </cell>
          <cell r="AZ518">
            <v>0</v>
          </cell>
          <cell r="BA518">
            <v>0</v>
          </cell>
          <cell r="BI518">
            <v>0</v>
          </cell>
          <cell r="BJ518">
            <v>0</v>
          </cell>
          <cell r="BK518">
            <v>0</v>
          </cell>
          <cell r="BL518">
            <v>0</v>
          </cell>
          <cell r="BM518">
            <v>0</v>
          </cell>
          <cell r="BN518">
            <v>0</v>
          </cell>
          <cell r="BO518">
            <v>0</v>
          </cell>
          <cell r="BP518">
            <v>0</v>
          </cell>
          <cell r="BQ518">
            <v>0</v>
          </cell>
          <cell r="BR518">
            <v>0</v>
          </cell>
          <cell r="BT518">
            <v>0</v>
          </cell>
          <cell r="CA518" t="str">
            <v>000018 - EBITA - Identified - Recompete</v>
          </cell>
          <cell r="CC518" t="str">
            <v>000018 - EBITA - Identified - Recompete - MR</v>
          </cell>
          <cell r="CD518" t="str">
            <v/>
          </cell>
          <cell r="CF518" t="str">
            <v>000018 - Identified - Recompete - MR</v>
          </cell>
        </row>
        <row r="519">
          <cell r="D519">
            <v>505</v>
          </cell>
          <cell r="E519">
            <v>1</v>
          </cell>
          <cell r="F519">
            <v>1</v>
          </cell>
          <cell r="G519" t="str">
            <v>PMTRAS</v>
          </cell>
          <cell r="H519" t="str">
            <v>PM TRASYS</v>
          </cell>
          <cell r="I519" t="str">
            <v>MR</v>
          </cell>
          <cell r="J519" t="str">
            <v>MR Warfighter Support</v>
          </cell>
          <cell r="K519" t="str">
            <v>Marine Corps</v>
          </cell>
          <cell r="L519" t="str">
            <v>DOD</v>
          </cell>
          <cell r="M519" t="str">
            <v>FL</v>
          </cell>
          <cell r="N519" t="str">
            <v>CONUS</v>
          </cell>
          <cell r="O519">
            <v>43476</v>
          </cell>
          <cell r="P519">
            <v>43840</v>
          </cell>
          <cell r="Q519" t="str">
            <v>Other</v>
          </cell>
          <cell r="R519" t="str">
            <v>T&amp;M</v>
          </cell>
          <cell r="S519">
            <v>0</v>
          </cell>
          <cell r="T519">
            <v>1</v>
          </cell>
          <cell r="U519" t="str">
            <v>REVTOT</v>
          </cell>
          <cell r="V519" t="str">
            <v>Base</v>
          </cell>
          <cell r="W519" t="str">
            <v>05 Won</v>
          </cell>
          <cell r="X519" t="str">
            <v>Active</v>
          </cell>
          <cell r="Y519">
            <v>1</v>
          </cell>
          <cell r="Z519">
            <v>0</v>
          </cell>
          <cell r="AA519">
            <v>249848.80199999997</v>
          </cell>
          <cell r="AB519">
            <v>0</v>
          </cell>
          <cell r="AC519">
            <v>0</v>
          </cell>
          <cell r="AD519">
            <v>249848.80199999997</v>
          </cell>
          <cell r="AE519">
            <v>0</v>
          </cell>
          <cell r="AF519">
            <v>0</v>
          </cell>
          <cell r="AG519">
            <v>0</v>
          </cell>
          <cell r="AH519">
            <v>-9.494221581333695E-2</v>
          </cell>
          <cell r="AI519">
            <v>0</v>
          </cell>
          <cell r="AJ519">
            <v>0</v>
          </cell>
          <cell r="AK519">
            <v>0</v>
          </cell>
          <cell r="BB519">
            <v>528755.86400000006</v>
          </cell>
          <cell r="BC519">
            <v>528755.86400000006</v>
          </cell>
          <cell r="BD519">
            <v>528755.86400000006</v>
          </cell>
          <cell r="BE519">
            <v>528755.86400000006</v>
          </cell>
          <cell r="BF519">
            <v>0</v>
          </cell>
          <cell r="BG519">
            <v>0</v>
          </cell>
          <cell r="BH519">
            <v>0</v>
          </cell>
          <cell r="BI519">
            <v>0</v>
          </cell>
          <cell r="BJ519">
            <v>28011.599999999999</v>
          </cell>
          <cell r="BK519">
            <v>116898.69</v>
          </cell>
          <cell r="BL519">
            <v>131148.10800000001</v>
          </cell>
          <cell r="BM519">
            <v>276058.39800000004</v>
          </cell>
          <cell r="BN519">
            <v>249848.80199999997</v>
          </cell>
          <cell r="BO519">
            <v>0</v>
          </cell>
          <cell r="BP519">
            <v>0</v>
          </cell>
          <cell r="BQ519">
            <v>0</v>
          </cell>
          <cell r="BR519">
            <v>525907.19999999995</v>
          </cell>
          <cell r="BT519">
            <v>0</v>
          </cell>
          <cell r="CA519" t="str">
            <v>PMTRAS - REVTOT - Base</v>
          </cell>
          <cell r="CC519" t="str">
            <v>PMTRAS - REVTOT - Base - MR</v>
          </cell>
          <cell r="CD519" t="str">
            <v>PMTRAS - REVTOT - Base - MR</v>
          </cell>
          <cell r="CF519" t="str">
            <v>PMTRAS - Base - MR</v>
          </cell>
        </row>
        <row r="520">
          <cell r="D520">
            <v>506</v>
          </cell>
          <cell r="E520">
            <v>1</v>
          </cell>
          <cell r="F520">
            <v>2</v>
          </cell>
          <cell r="G520" t="str">
            <v>PMTRAS</v>
          </cell>
          <cell r="H520" t="str">
            <v>PM TRASYS</v>
          </cell>
          <cell r="I520" t="str">
            <v>MR</v>
          </cell>
          <cell r="J520" t="str">
            <v>MR Warfighter Support</v>
          </cell>
          <cell r="K520" t="str">
            <v>Marine Corps</v>
          </cell>
          <cell r="L520" t="str">
            <v>DOD</v>
          </cell>
          <cell r="M520" t="str">
            <v>FL</v>
          </cell>
          <cell r="N520" t="str">
            <v>CONUS</v>
          </cell>
          <cell r="O520">
            <v>0</v>
          </cell>
          <cell r="P520">
            <v>0</v>
          </cell>
          <cell r="Q520">
            <v>0</v>
          </cell>
          <cell r="R520" t="str">
            <v>T&amp;M</v>
          </cell>
          <cell r="S520">
            <v>0</v>
          </cell>
          <cell r="T520">
            <v>1</v>
          </cell>
          <cell r="U520" t="str">
            <v>REVTOT</v>
          </cell>
          <cell r="V520" t="str">
            <v>Identified - Recompete</v>
          </cell>
          <cell r="W520">
            <v>0</v>
          </cell>
          <cell r="X520">
            <v>0</v>
          </cell>
          <cell r="Y520">
            <v>0</v>
          </cell>
          <cell r="Z520">
            <v>0</v>
          </cell>
          <cell r="AA520">
            <v>0</v>
          </cell>
          <cell r="AB520">
            <v>0</v>
          </cell>
          <cell r="AC520">
            <v>0</v>
          </cell>
          <cell r="AD520">
            <v>0</v>
          </cell>
          <cell r="AI520">
            <v>0</v>
          </cell>
          <cell r="AJ520">
            <v>0</v>
          </cell>
          <cell r="AK520">
            <v>0</v>
          </cell>
          <cell r="BB520">
            <v>0</v>
          </cell>
          <cell r="BC520">
            <v>0</v>
          </cell>
          <cell r="BD520">
            <v>0</v>
          </cell>
          <cell r="BE520">
            <v>0</v>
          </cell>
          <cell r="BI520">
            <v>0</v>
          </cell>
          <cell r="BJ520">
            <v>0</v>
          </cell>
          <cell r="BK520">
            <v>0</v>
          </cell>
          <cell r="BL520">
            <v>0</v>
          </cell>
          <cell r="BM520">
            <v>0</v>
          </cell>
          <cell r="BN520">
            <v>0</v>
          </cell>
          <cell r="BO520">
            <v>0</v>
          </cell>
          <cell r="BP520">
            <v>0</v>
          </cell>
          <cell r="BQ520">
            <v>0</v>
          </cell>
          <cell r="BR520">
            <v>0</v>
          </cell>
          <cell r="BT520">
            <v>0</v>
          </cell>
          <cell r="CA520" t="str">
            <v>PMTRAS - REVTOT - Identified - Recompete</v>
          </cell>
          <cell r="CC520" t="str">
            <v>PMTRAS - REVTOT - Identified - Recompete - MR</v>
          </cell>
          <cell r="CD520" t="str">
            <v/>
          </cell>
          <cell r="CF520" t="str">
            <v>PMTRAS - Identified - Recompete - MR</v>
          </cell>
        </row>
        <row r="521">
          <cell r="D521">
            <v>507</v>
          </cell>
          <cell r="E521">
            <v>2</v>
          </cell>
          <cell r="F521">
            <v>3</v>
          </cell>
          <cell r="G521" t="str">
            <v>PMTRAS</v>
          </cell>
          <cell r="H521" t="str">
            <v>PM TRASYS</v>
          </cell>
          <cell r="I521" t="str">
            <v>MR</v>
          </cell>
          <cell r="J521" t="str">
            <v>MR Warfighter Support</v>
          </cell>
          <cell r="K521" t="str">
            <v>Marine Corps</v>
          </cell>
          <cell r="L521" t="str">
            <v>DOD</v>
          </cell>
          <cell r="M521" t="str">
            <v>FL</v>
          </cell>
          <cell r="N521" t="str">
            <v>CONUS</v>
          </cell>
          <cell r="O521">
            <v>43476</v>
          </cell>
          <cell r="P521">
            <v>43840</v>
          </cell>
          <cell r="Q521" t="str">
            <v>Other</v>
          </cell>
          <cell r="R521" t="str">
            <v>T&amp;M</v>
          </cell>
          <cell r="S521">
            <v>0</v>
          </cell>
          <cell r="T521">
            <v>1</v>
          </cell>
          <cell r="U521" t="str">
            <v>CONTRACT</v>
          </cell>
          <cell r="V521" t="str">
            <v>Base</v>
          </cell>
          <cell r="W521" t="str">
            <v>05 Won</v>
          </cell>
          <cell r="X521" t="str">
            <v>Active</v>
          </cell>
          <cell r="Y521">
            <v>1</v>
          </cell>
          <cell r="Z521">
            <v>0</v>
          </cell>
          <cell r="AA521">
            <v>249848.80199999997</v>
          </cell>
          <cell r="AB521">
            <v>0</v>
          </cell>
          <cell r="AC521">
            <v>0</v>
          </cell>
          <cell r="AD521">
            <v>249848.80199999997</v>
          </cell>
          <cell r="AL521">
            <v>0</v>
          </cell>
          <cell r="AM521">
            <v>0</v>
          </cell>
          <cell r="AN521">
            <v>0</v>
          </cell>
          <cell r="AO521">
            <v>0.17976076061993229</v>
          </cell>
          <cell r="AP521">
            <v>0.17409812611439895</v>
          </cell>
          <cell r="AQ521">
            <v>0.17409812611439895</v>
          </cell>
          <cell r="AR521">
            <v>0.17409812611439895</v>
          </cell>
          <cell r="AS521">
            <v>0.17409812611439895</v>
          </cell>
          <cell r="BF521">
            <v>0</v>
          </cell>
          <cell r="BG521">
            <v>0</v>
          </cell>
          <cell r="BH521">
            <v>0</v>
          </cell>
          <cell r="BI521">
            <v>0</v>
          </cell>
          <cell r="BJ521">
            <v>5432.6899999999951</v>
          </cell>
          <cell r="BK521">
            <v>21330.510000000002</v>
          </cell>
          <cell r="BL521">
            <v>22861.267600000006</v>
          </cell>
          <cell r="BM521">
            <v>49624.467600000004</v>
          </cell>
          <cell r="BN521">
            <v>43498.208240127489</v>
          </cell>
          <cell r="BO521">
            <v>0</v>
          </cell>
          <cell r="BP521">
            <v>0</v>
          </cell>
          <cell r="BQ521">
            <v>0</v>
          </cell>
          <cell r="BR521">
            <v>93122.675840127486</v>
          </cell>
          <cell r="BT521">
            <v>0</v>
          </cell>
          <cell r="CA521" t="str">
            <v>PMTRAS - CONTRACT - Base</v>
          </cell>
          <cell r="CC521" t="str">
            <v>PMTRAS - CONTRACT - Base - MR</v>
          </cell>
          <cell r="CD521" t="str">
            <v/>
          </cell>
          <cell r="CF521" t="str">
            <v>PMTRAS - Base - MR</v>
          </cell>
        </row>
        <row r="522">
          <cell r="D522">
            <v>508</v>
          </cell>
          <cell r="E522">
            <v>2</v>
          </cell>
          <cell r="F522">
            <v>4</v>
          </cell>
          <cell r="G522" t="str">
            <v>PMTRAS</v>
          </cell>
          <cell r="H522" t="str">
            <v>PM TRASYS</v>
          </cell>
          <cell r="I522" t="str">
            <v>MR</v>
          </cell>
          <cell r="J522" t="str">
            <v>MR Warfighter Support</v>
          </cell>
          <cell r="K522" t="str">
            <v>Marine Corps</v>
          </cell>
          <cell r="L522" t="str">
            <v>DOD</v>
          </cell>
          <cell r="M522" t="str">
            <v>FL</v>
          </cell>
          <cell r="N522" t="str">
            <v>CONUS</v>
          </cell>
          <cell r="O522">
            <v>0</v>
          </cell>
          <cell r="P522">
            <v>0</v>
          </cell>
          <cell r="Q522">
            <v>0</v>
          </cell>
          <cell r="R522" t="str">
            <v>T&amp;M</v>
          </cell>
          <cell r="S522">
            <v>0</v>
          </cell>
          <cell r="T522">
            <v>1</v>
          </cell>
          <cell r="U522" t="str">
            <v>CONTRACT</v>
          </cell>
          <cell r="V522" t="str">
            <v>Identified - Recompete</v>
          </cell>
          <cell r="W522">
            <v>0</v>
          </cell>
          <cell r="X522">
            <v>0</v>
          </cell>
          <cell r="Y522">
            <v>0</v>
          </cell>
          <cell r="Z522">
            <v>0</v>
          </cell>
          <cell r="AA522">
            <v>0</v>
          </cell>
          <cell r="AB522">
            <v>0</v>
          </cell>
          <cell r="AC522">
            <v>0</v>
          </cell>
          <cell r="AD522">
            <v>0</v>
          </cell>
          <cell r="AP522">
            <v>0</v>
          </cell>
          <cell r="AQ522">
            <v>0</v>
          </cell>
          <cell r="AR522">
            <v>0</v>
          </cell>
          <cell r="AS522">
            <v>0</v>
          </cell>
          <cell r="BI522">
            <v>0</v>
          </cell>
          <cell r="BJ522">
            <v>0</v>
          </cell>
          <cell r="BK522">
            <v>0</v>
          </cell>
          <cell r="BL522">
            <v>0</v>
          </cell>
          <cell r="BM522">
            <v>0</v>
          </cell>
          <cell r="BN522">
            <v>0</v>
          </cell>
          <cell r="BO522">
            <v>0</v>
          </cell>
          <cell r="BP522">
            <v>0</v>
          </cell>
          <cell r="BQ522">
            <v>0</v>
          </cell>
          <cell r="BR522">
            <v>0</v>
          </cell>
          <cell r="BT522">
            <v>0</v>
          </cell>
          <cell r="CA522" t="str">
            <v>PMTRAS - CONTRACT - Identified - Recompete</v>
          </cell>
          <cell r="CC522" t="str">
            <v>PMTRAS - CONTRACT - Identified - Recompete - MR</v>
          </cell>
          <cell r="CD522" t="str">
            <v/>
          </cell>
          <cell r="CF522" t="str">
            <v>PMTRAS - Identified - Recompete - MR</v>
          </cell>
        </row>
        <row r="523">
          <cell r="D523">
            <v>509</v>
          </cell>
          <cell r="E523">
            <v>0</v>
          </cell>
          <cell r="F523">
            <v>5</v>
          </cell>
          <cell r="G523" t="str">
            <v>PMTRAS</v>
          </cell>
          <cell r="H523" t="str">
            <v>PM TRASYS</v>
          </cell>
          <cell r="I523" t="str">
            <v>MR</v>
          </cell>
          <cell r="J523" t="str">
            <v>MR Warfighter Support</v>
          </cell>
          <cell r="K523" t="str">
            <v>Marine Corps</v>
          </cell>
          <cell r="L523" t="str">
            <v>DOD</v>
          </cell>
          <cell r="M523" t="str">
            <v>FL</v>
          </cell>
          <cell r="N523" t="str">
            <v>CONUS</v>
          </cell>
          <cell r="O523">
            <v>43476</v>
          </cell>
          <cell r="P523">
            <v>43840</v>
          </cell>
          <cell r="Q523" t="str">
            <v>Other</v>
          </cell>
          <cell r="R523" t="str">
            <v>T&amp;M</v>
          </cell>
          <cell r="S523">
            <v>0</v>
          </cell>
          <cell r="T523">
            <v>1</v>
          </cell>
          <cell r="U523" t="str">
            <v>EBITA</v>
          </cell>
          <cell r="V523" t="str">
            <v>Base</v>
          </cell>
          <cell r="W523" t="str">
            <v>05 Won</v>
          </cell>
          <cell r="X523" t="str">
            <v>Active</v>
          </cell>
          <cell r="Y523">
            <v>1</v>
          </cell>
          <cell r="Z523">
            <v>0</v>
          </cell>
          <cell r="AA523">
            <v>249848.80199999997</v>
          </cell>
          <cell r="AB523">
            <v>0</v>
          </cell>
          <cell r="AC523">
            <v>0</v>
          </cell>
          <cell r="AD523">
            <v>249848.80199999997</v>
          </cell>
          <cell r="AT523">
            <v>0</v>
          </cell>
          <cell r="AU523">
            <v>0</v>
          </cell>
          <cell r="AV523">
            <v>0</v>
          </cell>
          <cell r="AW523">
            <v>0.10964589335768006</v>
          </cell>
          <cell r="AX523">
            <v>0.10915312581223613</v>
          </cell>
          <cell r="AY523">
            <v>0.11015312581223613</v>
          </cell>
          <cell r="AZ523">
            <v>0.11115312581223613</v>
          </cell>
          <cell r="BA523">
            <v>0.11215312581223613</v>
          </cell>
          <cell r="BF523">
            <v>0</v>
          </cell>
          <cell r="BG523">
            <v>0</v>
          </cell>
          <cell r="BH523">
            <v>0</v>
          </cell>
          <cell r="BI523">
            <v>0</v>
          </cell>
          <cell r="BJ523">
            <v>3620.479999999995</v>
          </cell>
          <cell r="BK523">
            <v>13660.09</v>
          </cell>
          <cell r="BL523">
            <v>12988.099667600007</v>
          </cell>
          <cell r="BM523">
            <v>30268.669667600003</v>
          </cell>
          <cell r="BN523">
            <v>27271.777718742469</v>
          </cell>
          <cell r="BO523">
            <v>0</v>
          </cell>
          <cell r="BP523">
            <v>0</v>
          </cell>
          <cell r="BQ523">
            <v>0</v>
          </cell>
          <cell r="BR523">
            <v>57540.447386342472</v>
          </cell>
          <cell r="BT523">
            <v>0</v>
          </cell>
          <cell r="CA523" t="str">
            <v>PMTRAS - EBITA - Base</v>
          </cell>
          <cell r="CC523" t="str">
            <v>PMTRAS - EBITA - Base - MR</v>
          </cell>
          <cell r="CD523" t="str">
            <v/>
          </cell>
          <cell r="CF523" t="str">
            <v>PMTRAS - Base - MR</v>
          </cell>
        </row>
        <row r="524">
          <cell r="D524">
            <v>510</v>
          </cell>
          <cell r="E524">
            <v>0</v>
          </cell>
          <cell r="F524">
            <v>0</v>
          </cell>
          <cell r="G524" t="str">
            <v>PMTRAS</v>
          </cell>
          <cell r="H524" t="str">
            <v>PM TRASYS</v>
          </cell>
          <cell r="I524" t="str">
            <v>MR</v>
          </cell>
          <cell r="J524" t="str">
            <v>MR Warfighter Support</v>
          </cell>
          <cell r="K524" t="str">
            <v>Marine Corps</v>
          </cell>
          <cell r="L524" t="str">
            <v>DOD</v>
          </cell>
          <cell r="M524" t="str">
            <v>FL</v>
          </cell>
          <cell r="N524" t="str">
            <v>CONUS</v>
          </cell>
          <cell r="O524">
            <v>0</v>
          </cell>
          <cell r="P524">
            <v>0</v>
          </cell>
          <cell r="Q524">
            <v>0</v>
          </cell>
          <cell r="R524" t="str">
            <v>T&amp;M</v>
          </cell>
          <cell r="S524">
            <v>0</v>
          </cell>
          <cell r="T524">
            <v>1</v>
          </cell>
          <cell r="U524" t="str">
            <v>EBITA</v>
          </cell>
          <cell r="V524" t="str">
            <v>Identified - Recompete</v>
          </cell>
          <cell r="W524">
            <v>0</v>
          </cell>
          <cell r="X524">
            <v>0</v>
          </cell>
          <cell r="Y524">
            <v>0</v>
          </cell>
          <cell r="Z524">
            <v>0</v>
          </cell>
          <cell r="AA524">
            <v>0</v>
          </cell>
          <cell r="AB524">
            <v>0</v>
          </cell>
          <cell r="AC524">
            <v>0</v>
          </cell>
          <cell r="AD524">
            <v>0</v>
          </cell>
          <cell r="AX524">
            <v>0</v>
          </cell>
          <cell r="AY524">
            <v>0</v>
          </cell>
          <cell r="AZ524">
            <v>0</v>
          </cell>
          <cell r="BA524">
            <v>0</v>
          </cell>
          <cell r="BI524">
            <v>0</v>
          </cell>
          <cell r="BJ524">
            <v>0</v>
          </cell>
          <cell r="BK524">
            <v>0</v>
          </cell>
          <cell r="BL524">
            <v>0</v>
          </cell>
          <cell r="BM524">
            <v>0</v>
          </cell>
          <cell r="BN524">
            <v>0</v>
          </cell>
          <cell r="BO524">
            <v>0</v>
          </cell>
          <cell r="BP524">
            <v>0</v>
          </cell>
          <cell r="BQ524">
            <v>0</v>
          </cell>
          <cell r="BR524">
            <v>0</v>
          </cell>
          <cell r="BT524">
            <v>0</v>
          </cell>
          <cell r="CA524" t="str">
            <v>PMTRAS - EBITA - Identified - Recompete</v>
          </cell>
          <cell r="CC524" t="str">
            <v>PMTRAS - EBITA - Identified - Recompete - MR</v>
          </cell>
          <cell r="CD524" t="str">
            <v/>
          </cell>
          <cell r="CF524" t="str">
            <v>PMTRAS - Identified - Recompete - MR</v>
          </cell>
        </row>
        <row r="525">
          <cell r="D525">
            <v>511</v>
          </cell>
          <cell r="E525">
            <v>1</v>
          </cell>
          <cell r="F525">
            <v>1</v>
          </cell>
          <cell r="G525" t="str">
            <v>EIRWIN</v>
          </cell>
          <cell r="H525" t="str">
            <v>EAGLE - Ft. Irwin</v>
          </cell>
          <cell r="I525" t="str">
            <v>MR</v>
          </cell>
          <cell r="J525" t="str">
            <v>MR Maintenance &amp; Sustainment</v>
          </cell>
          <cell r="K525" t="str">
            <v>Army</v>
          </cell>
          <cell r="L525" t="str">
            <v>DOD</v>
          </cell>
          <cell r="M525" t="str">
            <v>CA</v>
          </cell>
          <cell r="N525" t="str">
            <v>CONUS</v>
          </cell>
          <cell r="O525">
            <v>42054</v>
          </cell>
          <cell r="P525">
            <v>43849</v>
          </cell>
          <cell r="Q525" t="str">
            <v>Sub</v>
          </cell>
          <cell r="R525" t="str">
            <v>CPFF</v>
          </cell>
          <cell r="S525">
            <v>0</v>
          </cell>
          <cell r="T525">
            <v>1</v>
          </cell>
          <cell r="U525" t="str">
            <v>REVTOT</v>
          </cell>
          <cell r="V525" t="str">
            <v>Base</v>
          </cell>
          <cell r="W525" t="str">
            <v>05 Won</v>
          </cell>
          <cell r="X525" t="str">
            <v>Active</v>
          </cell>
          <cell r="Y525">
            <v>1</v>
          </cell>
          <cell r="Z525">
            <v>0</v>
          </cell>
          <cell r="AA525">
            <v>249981.92769239168</v>
          </cell>
          <cell r="AB525">
            <v>0.10000000055879354</v>
          </cell>
          <cell r="AC525">
            <v>0</v>
          </cell>
          <cell r="AD525">
            <v>249982.02769239224</v>
          </cell>
          <cell r="AE525">
            <v>-0.41525645312862702</v>
          </cell>
          <cell r="AF525">
            <v>-0.47936816824922213</v>
          </cell>
          <cell r="AG525">
            <v>-9.2850508787836961E-2</v>
          </cell>
          <cell r="AH525">
            <v>-0.6641219021128425</v>
          </cell>
          <cell r="AI525">
            <v>0</v>
          </cell>
          <cell r="AJ525">
            <v>0</v>
          </cell>
          <cell r="AK525">
            <v>0</v>
          </cell>
          <cell r="BB525">
            <v>219338.25</v>
          </cell>
          <cell r="BC525">
            <v>219338.25</v>
          </cell>
          <cell r="BD525">
            <v>219338.25</v>
          </cell>
          <cell r="BE525">
            <v>219338.25</v>
          </cell>
          <cell r="BF525">
            <v>2364599.9299999997</v>
          </cell>
          <cell r="BG525">
            <v>1382684.55</v>
          </cell>
          <cell r="BH525">
            <v>719869.59000000008</v>
          </cell>
          <cell r="BI525">
            <v>170972.24</v>
          </cell>
          <cell r="BJ525">
            <v>162205.09</v>
          </cell>
          <cell r="BK525">
            <v>153192.72</v>
          </cell>
          <cell r="BL525">
            <v>166659.28230760849</v>
          </cell>
          <cell r="BM525">
            <v>653029.33230760845</v>
          </cell>
          <cell r="BN525">
            <v>219338.25</v>
          </cell>
          <cell r="BO525">
            <v>30643.777692392236</v>
          </cell>
          <cell r="BP525">
            <v>0</v>
          </cell>
          <cell r="BQ525">
            <v>0</v>
          </cell>
          <cell r="BR525">
            <v>903011.36000000068</v>
          </cell>
          <cell r="BT525">
            <v>0</v>
          </cell>
          <cell r="CA525" t="str">
            <v>EIRWIN - REVTOT - Base</v>
          </cell>
          <cell r="CC525" t="str">
            <v>EIRWIN - REVTOT - Base - MR</v>
          </cell>
          <cell r="CD525" t="str">
            <v>EIRWIN - REVTOT - Base - MR</v>
          </cell>
          <cell r="CF525" t="str">
            <v>EIRWIN - Base - MR</v>
          </cell>
        </row>
        <row r="526">
          <cell r="D526">
            <v>512</v>
          </cell>
          <cell r="E526">
            <v>1</v>
          </cell>
          <cell r="F526">
            <v>2</v>
          </cell>
          <cell r="G526" t="str">
            <v>EIRWIN</v>
          </cell>
          <cell r="H526" t="str">
            <v>EAGLE - Ft. Irwin</v>
          </cell>
          <cell r="I526" t="str">
            <v>MR</v>
          </cell>
          <cell r="J526" t="str">
            <v>MR Maintenance &amp; Sustainment</v>
          </cell>
          <cell r="K526" t="str">
            <v>Army</v>
          </cell>
          <cell r="L526" t="str">
            <v>DOD</v>
          </cell>
          <cell r="M526" t="str">
            <v>CA</v>
          </cell>
          <cell r="N526" t="str">
            <v>CONUS</v>
          </cell>
          <cell r="O526">
            <v>0</v>
          </cell>
          <cell r="P526">
            <v>0</v>
          </cell>
          <cell r="Q526">
            <v>0</v>
          </cell>
          <cell r="R526" t="str">
            <v>CPFF</v>
          </cell>
          <cell r="S526">
            <v>0</v>
          </cell>
          <cell r="T526">
            <v>1</v>
          </cell>
          <cell r="U526" t="str">
            <v>REVTOT</v>
          </cell>
          <cell r="V526" t="str">
            <v>Identified - Recompete</v>
          </cell>
          <cell r="W526">
            <v>0</v>
          </cell>
          <cell r="X526">
            <v>0</v>
          </cell>
          <cell r="Y526">
            <v>0</v>
          </cell>
          <cell r="Z526">
            <v>0</v>
          </cell>
          <cell r="AA526">
            <v>0</v>
          </cell>
          <cell r="AB526">
            <v>0</v>
          </cell>
          <cell r="AC526">
            <v>0</v>
          </cell>
          <cell r="AD526">
            <v>0</v>
          </cell>
          <cell r="AI526">
            <v>0</v>
          </cell>
          <cell r="AJ526">
            <v>0</v>
          </cell>
          <cell r="AK526">
            <v>0</v>
          </cell>
          <cell r="BB526">
            <v>0</v>
          </cell>
          <cell r="BC526">
            <v>0</v>
          </cell>
          <cell r="BD526">
            <v>0</v>
          </cell>
          <cell r="BE526">
            <v>0</v>
          </cell>
          <cell r="BI526">
            <v>0</v>
          </cell>
          <cell r="BJ526">
            <v>0</v>
          </cell>
          <cell r="BK526">
            <v>0</v>
          </cell>
          <cell r="BL526">
            <v>0</v>
          </cell>
          <cell r="BM526">
            <v>0</v>
          </cell>
          <cell r="BN526">
            <v>0</v>
          </cell>
          <cell r="BO526">
            <v>0</v>
          </cell>
          <cell r="BP526">
            <v>0</v>
          </cell>
          <cell r="BQ526">
            <v>0</v>
          </cell>
          <cell r="BR526">
            <v>0</v>
          </cell>
          <cell r="BT526">
            <v>0</v>
          </cell>
          <cell r="CA526" t="str">
            <v>EIRWIN - REVTOT - Identified - Recompete</v>
          </cell>
          <cell r="CC526" t="str">
            <v>EIRWIN - REVTOT - Identified - Recompete - MR</v>
          </cell>
          <cell r="CD526" t="str">
            <v/>
          </cell>
          <cell r="CF526" t="str">
            <v>EIRWIN - Identified - Recompete - MR</v>
          </cell>
        </row>
        <row r="527">
          <cell r="D527">
            <v>513</v>
          </cell>
          <cell r="E527">
            <v>2</v>
          </cell>
          <cell r="F527">
            <v>3</v>
          </cell>
          <cell r="G527" t="str">
            <v>EIRWIN</v>
          </cell>
          <cell r="H527" t="str">
            <v>EAGLE - Ft. Irwin</v>
          </cell>
          <cell r="I527" t="str">
            <v>MR</v>
          </cell>
          <cell r="J527" t="str">
            <v>MR Maintenance &amp; Sustainment</v>
          </cell>
          <cell r="K527" t="str">
            <v>Army</v>
          </cell>
          <cell r="L527" t="str">
            <v>DOD</v>
          </cell>
          <cell r="M527" t="str">
            <v>CA</v>
          </cell>
          <cell r="N527" t="str">
            <v>CONUS</v>
          </cell>
          <cell r="O527">
            <v>42054</v>
          </cell>
          <cell r="P527">
            <v>43849</v>
          </cell>
          <cell r="Q527" t="str">
            <v>Sub</v>
          </cell>
          <cell r="R527" t="str">
            <v>CPFF</v>
          </cell>
          <cell r="S527">
            <v>0</v>
          </cell>
          <cell r="T527">
            <v>1</v>
          </cell>
          <cell r="U527" t="str">
            <v>CONTRACT</v>
          </cell>
          <cell r="V527" t="str">
            <v>Base</v>
          </cell>
          <cell r="W527" t="str">
            <v>05 Won</v>
          </cell>
          <cell r="X527" t="str">
            <v>Active</v>
          </cell>
          <cell r="Y527">
            <v>1</v>
          </cell>
          <cell r="Z527">
            <v>0</v>
          </cell>
          <cell r="AA527">
            <v>249981.92769239168</v>
          </cell>
          <cell r="AB527">
            <v>0.10000000055879354</v>
          </cell>
          <cell r="AC527">
            <v>0</v>
          </cell>
          <cell r="AD527">
            <v>249982.02769239224</v>
          </cell>
          <cell r="AL527">
            <v>0.11276782876332066</v>
          </cell>
          <cell r="AM527">
            <v>2.8297495621832189E-2</v>
          </cell>
          <cell r="AN527">
            <v>7.9888358667852613E-2</v>
          </cell>
          <cell r="AO527">
            <v>0.10953964664165071</v>
          </cell>
          <cell r="AP527">
            <v>9.3820845201418354E-2</v>
          </cell>
          <cell r="AQ527">
            <v>9.3820845201418354E-2</v>
          </cell>
          <cell r="AR527">
            <v>9.3820845201418354E-2</v>
          </cell>
          <cell r="AS527">
            <v>9.3820845201418354E-2</v>
          </cell>
          <cell r="BF527">
            <v>266650.8</v>
          </cell>
          <cell r="BG527">
            <v>39126.510000000009</v>
          </cell>
          <cell r="BH527">
            <v>57509.200000000012</v>
          </cell>
          <cell r="BI527">
            <v>17219.880000000005</v>
          </cell>
          <cell r="BJ527">
            <v>18277.920000000013</v>
          </cell>
          <cell r="BK527">
            <v>20000.020000000004</v>
          </cell>
          <cell r="BL527">
            <v>16034.782307608497</v>
          </cell>
          <cell r="BM527">
            <v>71532.602307608526</v>
          </cell>
          <cell r="BN527">
            <v>20578.5</v>
          </cell>
          <cell r="BO527">
            <v>2875.0251232646087</v>
          </cell>
          <cell r="BP527">
            <v>0</v>
          </cell>
          <cell r="BQ527">
            <v>0</v>
          </cell>
          <cell r="BR527">
            <v>94986.127430873137</v>
          </cell>
          <cell r="BT527">
            <v>0</v>
          </cell>
          <cell r="CA527" t="str">
            <v>EIRWIN - CONTRACT - Base</v>
          </cell>
          <cell r="CC527" t="str">
            <v>EIRWIN - CONTRACT - Base - MR</v>
          </cell>
          <cell r="CD527" t="str">
            <v/>
          </cell>
          <cell r="CF527" t="str">
            <v>EIRWIN - Base - MR</v>
          </cell>
        </row>
        <row r="528">
          <cell r="D528">
            <v>514</v>
          </cell>
          <cell r="E528">
            <v>2</v>
          </cell>
          <cell r="F528">
            <v>4</v>
          </cell>
          <cell r="G528" t="str">
            <v>EIRWIN</v>
          </cell>
          <cell r="H528" t="str">
            <v>EAGLE - Ft. Irwin</v>
          </cell>
          <cell r="I528" t="str">
            <v>MR</v>
          </cell>
          <cell r="J528" t="str">
            <v>MR Maintenance &amp; Sustainment</v>
          </cell>
          <cell r="K528" t="str">
            <v>Army</v>
          </cell>
          <cell r="L528" t="str">
            <v>DOD</v>
          </cell>
          <cell r="M528" t="str">
            <v>CA</v>
          </cell>
          <cell r="N528" t="str">
            <v>CONUS</v>
          </cell>
          <cell r="O528">
            <v>0</v>
          </cell>
          <cell r="P528">
            <v>0</v>
          </cell>
          <cell r="Q528">
            <v>0</v>
          </cell>
          <cell r="R528" t="str">
            <v>CPFF</v>
          </cell>
          <cell r="S528">
            <v>0</v>
          </cell>
          <cell r="T528">
            <v>1</v>
          </cell>
          <cell r="U528" t="str">
            <v>CONTRACT</v>
          </cell>
          <cell r="V528" t="str">
            <v>Identified - Recompete</v>
          </cell>
          <cell r="W528">
            <v>0</v>
          </cell>
          <cell r="X528">
            <v>0</v>
          </cell>
          <cell r="Y528">
            <v>0</v>
          </cell>
          <cell r="Z528">
            <v>0</v>
          </cell>
          <cell r="AA528">
            <v>0</v>
          </cell>
          <cell r="AB528">
            <v>0</v>
          </cell>
          <cell r="AC528">
            <v>0</v>
          </cell>
          <cell r="AD528">
            <v>0</v>
          </cell>
          <cell r="AP528">
            <v>0</v>
          </cell>
          <cell r="AQ528">
            <v>0</v>
          </cell>
          <cell r="AR528">
            <v>0</v>
          </cell>
          <cell r="AS528">
            <v>0</v>
          </cell>
          <cell r="BI528">
            <v>0</v>
          </cell>
          <cell r="BJ528">
            <v>0</v>
          </cell>
          <cell r="BK528">
            <v>0</v>
          </cell>
          <cell r="BL528">
            <v>0</v>
          </cell>
          <cell r="BM528">
            <v>0</v>
          </cell>
          <cell r="BN528">
            <v>0</v>
          </cell>
          <cell r="BO528">
            <v>0</v>
          </cell>
          <cell r="BP528">
            <v>0</v>
          </cell>
          <cell r="BQ528">
            <v>0</v>
          </cell>
          <cell r="BR528">
            <v>0</v>
          </cell>
          <cell r="BT528">
            <v>0</v>
          </cell>
          <cell r="CA528" t="str">
            <v>EIRWIN - CONTRACT - Identified - Recompete</v>
          </cell>
          <cell r="CC528" t="str">
            <v>EIRWIN - CONTRACT - Identified - Recompete - MR</v>
          </cell>
          <cell r="CD528" t="str">
            <v/>
          </cell>
          <cell r="CF528" t="str">
            <v>EIRWIN - Identified - Recompete - MR</v>
          </cell>
        </row>
        <row r="529">
          <cell r="D529">
            <v>515</v>
          </cell>
          <cell r="E529">
            <v>0</v>
          </cell>
          <cell r="F529">
            <v>5</v>
          </cell>
          <cell r="G529" t="str">
            <v>EIRWIN</v>
          </cell>
          <cell r="H529" t="str">
            <v>EAGLE - Ft. Irwin</v>
          </cell>
          <cell r="I529" t="str">
            <v>MR</v>
          </cell>
          <cell r="J529" t="str">
            <v>MR Maintenance &amp; Sustainment</v>
          </cell>
          <cell r="K529" t="str">
            <v>Army</v>
          </cell>
          <cell r="L529" t="str">
            <v>DOD</v>
          </cell>
          <cell r="M529" t="str">
            <v>CA</v>
          </cell>
          <cell r="N529" t="str">
            <v>CONUS</v>
          </cell>
          <cell r="O529">
            <v>42054</v>
          </cell>
          <cell r="P529">
            <v>43849</v>
          </cell>
          <cell r="Q529" t="str">
            <v>Sub</v>
          </cell>
          <cell r="R529" t="str">
            <v>CPFF</v>
          </cell>
          <cell r="S529">
            <v>0</v>
          </cell>
          <cell r="T529">
            <v>1</v>
          </cell>
          <cell r="U529" t="str">
            <v>EBITA</v>
          </cell>
          <cell r="V529" t="str">
            <v>Base</v>
          </cell>
          <cell r="W529" t="str">
            <v>05 Won</v>
          </cell>
          <cell r="X529" t="str">
            <v>Active</v>
          </cell>
          <cell r="Y529">
            <v>1</v>
          </cell>
          <cell r="Z529">
            <v>0</v>
          </cell>
          <cell r="AA529">
            <v>249981.92769239168</v>
          </cell>
          <cell r="AB529">
            <v>0.10000000055879354</v>
          </cell>
          <cell r="AC529">
            <v>0</v>
          </cell>
          <cell r="AD529">
            <v>249982.02769239224</v>
          </cell>
          <cell r="AT529">
            <v>3.407353141552364E-2</v>
          </cell>
          <cell r="AU529">
            <v>-5.6368909307621895E-2</v>
          </cell>
          <cell r="AV529">
            <v>2.886661735495742E-3</v>
          </cell>
          <cell r="AW529">
            <v>3.4064134586800902E-2</v>
          </cell>
          <cell r="AX529">
            <v>1.9536571069467528E-2</v>
          </cell>
          <cell r="AY529">
            <v>1.9536571069467528E-2</v>
          </cell>
          <cell r="AZ529">
            <v>1.9536571069467528E-2</v>
          </cell>
          <cell r="BA529">
            <v>1.9536571069467528E-2</v>
          </cell>
          <cell r="BF529">
            <v>80570.26999999999</v>
          </cell>
          <cell r="BG529">
            <v>-77940.42</v>
          </cell>
          <cell r="BH529">
            <v>2078.0200000000086</v>
          </cell>
          <cell r="BI529">
            <v>3870.6400000000049</v>
          </cell>
          <cell r="BJ529">
            <v>6395.8100000000131</v>
          </cell>
          <cell r="BK529">
            <v>8710.6000000000058</v>
          </cell>
          <cell r="BL529">
            <v>3267.8290648550801</v>
          </cell>
          <cell r="BM529">
            <v>22244.879064855104</v>
          </cell>
          <cell r="BN529">
            <v>4285.117309377636</v>
          </cell>
          <cell r="BO529">
            <v>598.67434072438459</v>
          </cell>
          <cell r="BP529">
            <v>0</v>
          </cell>
          <cell r="BQ529">
            <v>0</v>
          </cell>
          <cell r="BR529">
            <v>27128.670714957123</v>
          </cell>
          <cell r="BT529">
            <v>0</v>
          </cell>
          <cell r="CA529" t="str">
            <v>EIRWIN - EBITA - Base</v>
          </cell>
          <cell r="CC529" t="str">
            <v>EIRWIN - EBITA - Base - MR</v>
          </cell>
          <cell r="CD529" t="str">
            <v/>
          </cell>
          <cell r="CF529" t="str">
            <v>EIRWIN - Base - MR</v>
          </cell>
        </row>
        <row r="530">
          <cell r="D530">
            <v>516</v>
          </cell>
          <cell r="E530">
            <v>0</v>
          </cell>
          <cell r="F530">
            <v>0</v>
          </cell>
          <cell r="G530" t="str">
            <v>EIRWIN</v>
          </cell>
          <cell r="H530" t="str">
            <v>EAGLE - Ft. Irwin</v>
          </cell>
          <cell r="I530" t="str">
            <v>MR</v>
          </cell>
          <cell r="J530" t="str">
            <v>MR Maintenance &amp; Sustainment</v>
          </cell>
          <cell r="K530" t="str">
            <v>Army</v>
          </cell>
          <cell r="L530" t="str">
            <v>DOD</v>
          </cell>
          <cell r="M530" t="str">
            <v>CA</v>
          </cell>
          <cell r="N530" t="str">
            <v>CONUS</v>
          </cell>
          <cell r="O530">
            <v>0</v>
          </cell>
          <cell r="P530">
            <v>0</v>
          </cell>
          <cell r="Q530">
            <v>0</v>
          </cell>
          <cell r="R530" t="str">
            <v>CPFF</v>
          </cell>
          <cell r="S530">
            <v>0</v>
          </cell>
          <cell r="T530">
            <v>1</v>
          </cell>
          <cell r="U530" t="str">
            <v>EBITA</v>
          </cell>
          <cell r="V530" t="str">
            <v>Identified - Recompete</v>
          </cell>
          <cell r="W530">
            <v>0</v>
          </cell>
          <cell r="X530">
            <v>0</v>
          </cell>
          <cell r="Y530">
            <v>0</v>
          </cell>
          <cell r="Z530">
            <v>0</v>
          </cell>
          <cell r="AA530">
            <v>0</v>
          </cell>
          <cell r="AB530">
            <v>0</v>
          </cell>
          <cell r="AC530">
            <v>0</v>
          </cell>
          <cell r="AD530">
            <v>0</v>
          </cell>
          <cell r="AX530">
            <v>0</v>
          </cell>
          <cell r="AY530">
            <v>0</v>
          </cell>
          <cell r="AZ530">
            <v>0</v>
          </cell>
          <cell r="BA530">
            <v>0</v>
          </cell>
          <cell r="BI530">
            <v>0</v>
          </cell>
          <cell r="BJ530">
            <v>0</v>
          </cell>
          <cell r="BK530">
            <v>0</v>
          </cell>
          <cell r="BL530">
            <v>0</v>
          </cell>
          <cell r="BM530">
            <v>0</v>
          </cell>
          <cell r="BN530">
            <v>0</v>
          </cell>
          <cell r="BO530">
            <v>0</v>
          </cell>
          <cell r="BP530">
            <v>0</v>
          </cell>
          <cell r="BQ530">
            <v>0</v>
          </cell>
          <cell r="BR530">
            <v>0</v>
          </cell>
          <cell r="BT530">
            <v>0</v>
          </cell>
          <cell r="CA530" t="str">
            <v>EIRWIN - EBITA - Identified - Recompete</v>
          </cell>
          <cell r="CC530" t="str">
            <v>EIRWIN - EBITA - Identified - Recompete - MR</v>
          </cell>
          <cell r="CD530" t="str">
            <v/>
          </cell>
          <cell r="CF530" t="str">
            <v>EIRWIN - Identified - Recompete - MR</v>
          </cell>
        </row>
        <row r="531">
          <cell r="D531">
            <v>517</v>
          </cell>
          <cell r="E531">
            <v>1</v>
          </cell>
          <cell r="F531">
            <v>1</v>
          </cell>
          <cell r="G531" t="str">
            <v>MSFCCO</v>
          </cell>
          <cell r="H531" t="str">
            <v>MSFC COSS</v>
          </cell>
          <cell r="I531" t="str">
            <v>MR</v>
          </cell>
          <cell r="J531" t="str">
            <v>MR NASA</v>
          </cell>
          <cell r="K531" t="str">
            <v>NASA</v>
          </cell>
          <cell r="L531" t="str">
            <v>NASA</v>
          </cell>
          <cell r="M531" t="str">
            <v>AL</v>
          </cell>
          <cell r="N531" t="str">
            <v>CONUS</v>
          </cell>
          <cell r="O531">
            <v>39630</v>
          </cell>
          <cell r="P531">
            <v>42916</v>
          </cell>
          <cell r="Q531" t="str">
            <v>Prime</v>
          </cell>
          <cell r="R531" t="str">
            <v>FFP</v>
          </cell>
          <cell r="S531">
            <v>0</v>
          </cell>
          <cell r="T531">
            <v>1</v>
          </cell>
          <cell r="U531" t="str">
            <v>REVTOT</v>
          </cell>
          <cell r="V531" t="str">
            <v>Base</v>
          </cell>
          <cell r="W531" t="str">
            <v>05 Won</v>
          </cell>
          <cell r="X531" t="str">
            <v>Active</v>
          </cell>
          <cell r="Y531">
            <v>1</v>
          </cell>
          <cell r="Z531">
            <v>0</v>
          </cell>
          <cell r="AA531">
            <v>0.14000000787200406</v>
          </cell>
          <cell r="AB531">
            <v>0</v>
          </cell>
          <cell r="AC531">
            <v>0</v>
          </cell>
          <cell r="AD531">
            <v>0.14000000787200406</v>
          </cell>
          <cell r="AE531">
            <v>-0.19822649096033806</v>
          </cell>
          <cell r="AF531">
            <v>-0.97485626217161259</v>
          </cell>
          <cell r="AG531">
            <v>-0.39976865227498815</v>
          </cell>
          <cell r="AH531">
            <v>-1</v>
          </cell>
          <cell r="AI531">
            <v>0</v>
          </cell>
          <cell r="AJ531">
            <v>0</v>
          </cell>
          <cell r="AK531">
            <v>0</v>
          </cell>
          <cell r="BB531">
            <v>0</v>
          </cell>
          <cell r="BC531">
            <v>0</v>
          </cell>
          <cell r="BD531">
            <v>0</v>
          </cell>
          <cell r="BE531">
            <v>0</v>
          </cell>
          <cell r="BF531">
            <v>27030320.640000001</v>
          </cell>
          <cell r="BG531">
            <v>21672195.030000001</v>
          </cell>
          <cell r="BH531">
            <v>544919.99</v>
          </cell>
          <cell r="BI531">
            <v>0</v>
          </cell>
          <cell r="BJ531">
            <v>0</v>
          </cell>
          <cell r="BK531">
            <v>327078.06</v>
          </cell>
          <cell r="BL531">
            <v>0</v>
          </cell>
          <cell r="BM531">
            <v>327078.06</v>
          </cell>
          <cell r="BN531">
            <v>0</v>
          </cell>
          <cell r="BO531">
            <v>0</v>
          </cell>
          <cell r="BP531">
            <v>0</v>
          </cell>
          <cell r="BQ531">
            <v>0</v>
          </cell>
          <cell r="BR531">
            <v>327078.06</v>
          </cell>
          <cell r="BT531">
            <v>0</v>
          </cell>
          <cell r="CA531" t="str">
            <v>MSFCCO - REVTOT - Base</v>
          </cell>
          <cell r="CC531" t="str">
            <v>MSFCCO - REVTOT - Base - MR</v>
          </cell>
          <cell r="CD531" t="str">
            <v>MSFCCO - REVTOT - Base - MR</v>
          </cell>
          <cell r="CF531" t="str">
            <v>MSFCCO - Base - MR</v>
          </cell>
        </row>
        <row r="532">
          <cell r="D532">
            <v>518</v>
          </cell>
          <cell r="E532">
            <v>1</v>
          </cell>
          <cell r="F532">
            <v>2</v>
          </cell>
          <cell r="G532" t="str">
            <v>MSFCCO</v>
          </cell>
          <cell r="H532" t="str">
            <v>MSFC COSS</v>
          </cell>
          <cell r="I532" t="str">
            <v>MR</v>
          </cell>
          <cell r="J532" t="str">
            <v>MR NASA</v>
          </cell>
          <cell r="K532" t="str">
            <v>NASA</v>
          </cell>
          <cell r="L532" t="str">
            <v>NASA</v>
          </cell>
          <cell r="M532" t="str">
            <v>AL</v>
          </cell>
          <cell r="N532" t="str">
            <v>CONUS</v>
          </cell>
          <cell r="O532">
            <v>0</v>
          </cell>
          <cell r="P532">
            <v>0</v>
          </cell>
          <cell r="Q532">
            <v>0</v>
          </cell>
          <cell r="R532" t="str">
            <v>FFP</v>
          </cell>
          <cell r="S532">
            <v>0</v>
          </cell>
          <cell r="T532">
            <v>1</v>
          </cell>
          <cell r="U532" t="str">
            <v>REVTOT</v>
          </cell>
          <cell r="V532" t="str">
            <v>Identified - Recompete</v>
          </cell>
          <cell r="W532">
            <v>0</v>
          </cell>
          <cell r="X532">
            <v>0</v>
          </cell>
          <cell r="Y532">
            <v>0</v>
          </cell>
          <cell r="Z532">
            <v>0</v>
          </cell>
          <cell r="AA532">
            <v>0</v>
          </cell>
          <cell r="AB532">
            <v>0</v>
          </cell>
          <cell r="AC532">
            <v>0</v>
          </cell>
          <cell r="AD532">
            <v>0</v>
          </cell>
          <cell r="AI532">
            <v>0</v>
          </cell>
          <cell r="AJ532">
            <v>0</v>
          </cell>
          <cell r="AK532">
            <v>0</v>
          </cell>
          <cell r="BB532">
            <v>0</v>
          </cell>
          <cell r="BC532">
            <v>0</v>
          </cell>
          <cell r="BD532">
            <v>0</v>
          </cell>
          <cell r="BE532">
            <v>0</v>
          </cell>
          <cell r="BI532">
            <v>0</v>
          </cell>
          <cell r="BJ532">
            <v>0</v>
          </cell>
          <cell r="BK532">
            <v>0</v>
          </cell>
          <cell r="BL532">
            <v>0</v>
          </cell>
          <cell r="BM532">
            <v>0</v>
          </cell>
          <cell r="BN532">
            <v>0</v>
          </cell>
          <cell r="BO532">
            <v>0</v>
          </cell>
          <cell r="BP532">
            <v>0</v>
          </cell>
          <cell r="BQ532">
            <v>0</v>
          </cell>
          <cell r="BR532">
            <v>0</v>
          </cell>
          <cell r="BT532">
            <v>0</v>
          </cell>
          <cell r="CA532" t="str">
            <v>MSFCCO - REVTOT - Identified - Recompete</v>
          </cell>
          <cell r="CC532" t="str">
            <v>MSFCCO - REVTOT - Identified - Recompete - MR</v>
          </cell>
          <cell r="CD532" t="str">
            <v/>
          </cell>
          <cell r="CF532" t="str">
            <v>MSFCCO - Identified - Recompete - MR</v>
          </cell>
        </row>
        <row r="533">
          <cell r="D533">
            <v>519</v>
          </cell>
          <cell r="E533">
            <v>2</v>
          </cell>
          <cell r="F533">
            <v>3</v>
          </cell>
          <cell r="G533" t="str">
            <v>MSFCCO</v>
          </cell>
          <cell r="H533" t="str">
            <v>MSFC COSS</v>
          </cell>
          <cell r="I533" t="str">
            <v>MR</v>
          </cell>
          <cell r="J533" t="str">
            <v>MR NASA</v>
          </cell>
          <cell r="K533" t="str">
            <v>NASA</v>
          </cell>
          <cell r="L533" t="str">
            <v>NASA</v>
          </cell>
          <cell r="M533" t="str">
            <v>AL</v>
          </cell>
          <cell r="N533" t="str">
            <v>CONUS</v>
          </cell>
          <cell r="O533">
            <v>39630</v>
          </cell>
          <cell r="P533">
            <v>42916</v>
          </cell>
          <cell r="Q533" t="str">
            <v>Prime</v>
          </cell>
          <cell r="R533" t="str">
            <v>FFP</v>
          </cell>
          <cell r="S533">
            <v>0</v>
          </cell>
          <cell r="T533">
            <v>1</v>
          </cell>
          <cell r="U533" t="str">
            <v>CONTRACT</v>
          </cell>
          <cell r="V533" t="str">
            <v>Base</v>
          </cell>
          <cell r="W533" t="str">
            <v>05 Won</v>
          </cell>
          <cell r="X533" t="str">
            <v>Active</v>
          </cell>
          <cell r="Y533">
            <v>1</v>
          </cell>
          <cell r="Z533">
            <v>0</v>
          </cell>
          <cell r="AA533">
            <v>0.14000000787200406</v>
          </cell>
          <cell r="AB533">
            <v>0</v>
          </cell>
          <cell r="AC533">
            <v>0</v>
          </cell>
          <cell r="AD533">
            <v>0.14000000787200406</v>
          </cell>
          <cell r="AL533">
            <v>0.23446090316152457</v>
          </cell>
          <cell r="AM533">
            <v>0.2337565102652179</v>
          </cell>
          <cell r="AN533">
            <v>0.552849364179134</v>
          </cell>
          <cell r="AO533">
            <v>0.99674349909009485</v>
          </cell>
          <cell r="AP533">
            <v>0.24268199054762199</v>
          </cell>
          <cell r="AQ533">
            <v>0.24268199054762199</v>
          </cell>
          <cell r="AR533">
            <v>0.24268199054762199</v>
          </cell>
          <cell r="AS533">
            <v>0.24268199054762199</v>
          </cell>
          <cell r="BF533">
            <v>6337553.3899999987</v>
          </cell>
          <cell r="BG533">
            <v>5066016.68</v>
          </cell>
          <cell r="BH533">
            <v>301258.67000000004</v>
          </cell>
          <cell r="BI533">
            <v>0</v>
          </cell>
          <cell r="BJ533">
            <v>-1065.1299999999999</v>
          </cell>
          <cell r="BK533">
            <v>327078.06</v>
          </cell>
          <cell r="BL533">
            <v>0</v>
          </cell>
          <cell r="BM533">
            <v>326012.93</v>
          </cell>
          <cell r="BN533">
            <v>0</v>
          </cell>
          <cell r="BO533">
            <v>0</v>
          </cell>
          <cell r="BP533">
            <v>0</v>
          </cell>
          <cell r="BQ533">
            <v>0</v>
          </cell>
          <cell r="BR533">
            <v>326012.93</v>
          </cell>
          <cell r="BT533">
            <v>0</v>
          </cell>
          <cell r="CA533" t="str">
            <v>MSFCCO - CONTRACT - Base</v>
          </cell>
          <cell r="CC533" t="str">
            <v>MSFCCO - CONTRACT - Base - MR</v>
          </cell>
          <cell r="CD533" t="str">
            <v/>
          </cell>
          <cell r="CF533" t="str">
            <v>MSFCCO - Base - MR</v>
          </cell>
        </row>
        <row r="534">
          <cell r="D534">
            <v>520</v>
          </cell>
          <cell r="E534">
            <v>2</v>
          </cell>
          <cell r="F534">
            <v>4</v>
          </cell>
          <cell r="G534" t="str">
            <v>MSFCCO</v>
          </cell>
          <cell r="H534" t="str">
            <v>MSFC COSS</v>
          </cell>
          <cell r="I534" t="str">
            <v>MR</v>
          </cell>
          <cell r="J534" t="str">
            <v>MR NASA</v>
          </cell>
          <cell r="K534" t="str">
            <v>NASA</v>
          </cell>
          <cell r="L534" t="str">
            <v>NASA</v>
          </cell>
          <cell r="M534" t="str">
            <v>AL</v>
          </cell>
          <cell r="N534" t="str">
            <v>CONUS</v>
          </cell>
          <cell r="O534">
            <v>0</v>
          </cell>
          <cell r="P534">
            <v>0</v>
          </cell>
          <cell r="Q534">
            <v>0</v>
          </cell>
          <cell r="R534" t="str">
            <v>FFP</v>
          </cell>
          <cell r="S534">
            <v>0</v>
          </cell>
          <cell r="T534">
            <v>1</v>
          </cell>
          <cell r="U534" t="str">
            <v>CONTRACT</v>
          </cell>
          <cell r="V534" t="str">
            <v>Identified - Recompete</v>
          </cell>
          <cell r="W534">
            <v>0</v>
          </cell>
          <cell r="X534">
            <v>0</v>
          </cell>
          <cell r="Y534">
            <v>0</v>
          </cell>
          <cell r="Z534">
            <v>0</v>
          </cell>
          <cell r="AA534">
            <v>0</v>
          </cell>
          <cell r="AB534">
            <v>0</v>
          </cell>
          <cell r="AC534">
            <v>0</v>
          </cell>
          <cell r="AD534">
            <v>0</v>
          </cell>
          <cell r="AP534">
            <v>0</v>
          </cell>
          <cell r="AQ534">
            <v>0</v>
          </cell>
          <cell r="AR534">
            <v>0</v>
          </cell>
          <cell r="AS534">
            <v>0</v>
          </cell>
          <cell r="BI534">
            <v>0</v>
          </cell>
          <cell r="BJ534">
            <v>0</v>
          </cell>
          <cell r="BK534">
            <v>0</v>
          </cell>
          <cell r="BL534">
            <v>0</v>
          </cell>
          <cell r="BM534">
            <v>0</v>
          </cell>
          <cell r="BN534">
            <v>0</v>
          </cell>
          <cell r="BO534">
            <v>0</v>
          </cell>
          <cell r="BP534">
            <v>0</v>
          </cell>
          <cell r="BQ534">
            <v>0</v>
          </cell>
          <cell r="BR534">
            <v>0</v>
          </cell>
          <cell r="BT534">
            <v>0</v>
          </cell>
          <cell r="CA534" t="str">
            <v>MSFCCO - CONTRACT - Identified - Recompete</v>
          </cell>
          <cell r="CC534" t="str">
            <v>MSFCCO - CONTRACT - Identified - Recompete - MR</v>
          </cell>
          <cell r="CD534" t="str">
            <v/>
          </cell>
          <cell r="CF534" t="str">
            <v>MSFCCO - Identified - Recompete - MR</v>
          </cell>
        </row>
        <row r="535">
          <cell r="D535">
            <v>521</v>
          </cell>
          <cell r="E535">
            <v>0</v>
          </cell>
          <cell r="F535">
            <v>5</v>
          </cell>
          <cell r="G535" t="str">
            <v>MSFCCO</v>
          </cell>
          <cell r="H535" t="str">
            <v>MSFC COSS</v>
          </cell>
          <cell r="I535" t="str">
            <v>MR</v>
          </cell>
          <cell r="J535" t="str">
            <v>MR NASA</v>
          </cell>
          <cell r="K535" t="str">
            <v>NASA</v>
          </cell>
          <cell r="L535" t="str">
            <v>NASA</v>
          </cell>
          <cell r="M535" t="str">
            <v>AL</v>
          </cell>
          <cell r="N535" t="str">
            <v>CONUS</v>
          </cell>
          <cell r="O535">
            <v>39630</v>
          </cell>
          <cell r="P535">
            <v>42916</v>
          </cell>
          <cell r="Q535" t="str">
            <v>Prime</v>
          </cell>
          <cell r="R535" t="str">
            <v>FFP</v>
          </cell>
          <cell r="S535">
            <v>0</v>
          </cell>
          <cell r="T535">
            <v>1</v>
          </cell>
          <cell r="U535" t="str">
            <v>EBITA</v>
          </cell>
          <cell r="V535" t="str">
            <v>Base</v>
          </cell>
          <cell r="W535" t="str">
            <v>05 Won</v>
          </cell>
          <cell r="X535" t="str">
            <v>Active</v>
          </cell>
          <cell r="Y535">
            <v>1</v>
          </cell>
          <cell r="Z535">
            <v>0</v>
          </cell>
          <cell r="AA535">
            <v>0.14000000787200406</v>
          </cell>
          <cell r="AB535">
            <v>0</v>
          </cell>
          <cell r="AC535">
            <v>0</v>
          </cell>
          <cell r="AD535">
            <v>0.14000000787200406</v>
          </cell>
          <cell r="AT535">
            <v>2.6779218405897497E-2</v>
          </cell>
          <cell r="AU535">
            <v>1.9247627636359455E-2</v>
          </cell>
          <cell r="AV535">
            <v>0.49917260330273433</v>
          </cell>
          <cell r="AW535">
            <v>0.99643925979015524</v>
          </cell>
          <cell r="AX535">
            <v>3.6076728333060061E-2</v>
          </cell>
          <cell r="AY535">
            <v>3.7076728333060062E-2</v>
          </cell>
          <cell r="AZ535">
            <v>3.8076728333060063E-2</v>
          </cell>
          <cell r="BA535">
            <v>3.9076728333060064E-2</v>
          </cell>
          <cell r="BF535">
            <v>723850.85999999905</v>
          </cell>
          <cell r="BG535">
            <v>417138.34</v>
          </cell>
          <cell r="BH535">
            <v>272009.12999999995</v>
          </cell>
          <cell r="BI535">
            <v>0</v>
          </cell>
          <cell r="BJ535">
            <v>-1164.6399999999999</v>
          </cell>
          <cell r="BK535">
            <v>327078.06</v>
          </cell>
          <cell r="BL535">
            <v>0</v>
          </cell>
          <cell r="BM535">
            <v>325913.42</v>
          </cell>
          <cell r="BN535">
            <v>0</v>
          </cell>
          <cell r="BO535">
            <v>0</v>
          </cell>
          <cell r="BP535">
            <v>0</v>
          </cell>
          <cell r="BQ535">
            <v>0</v>
          </cell>
          <cell r="BR535">
            <v>325913.42</v>
          </cell>
          <cell r="BT535">
            <v>0</v>
          </cell>
          <cell r="CA535" t="str">
            <v>MSFCCO - EBITA - Base</v>
          </cell>
          <cell r="CC535" t="str">
            <v>MSFCCO - EBITA - Base - MR</v>
          </cell>
          <cell r="CD535" t="str">
            <v/>
          </cell>
          <cell r="CF535" t="str">
            <v>MSFCCO - Base - MR</v>
          </cell>
        </row>
        <row r="536">
          <cell r="D536">
            <v>522</v>
          </cell>
          <cell r="E536">
            <v>0</v>
          </cell>
          <cell r="F536">
            <v>0</v>
          </cell>
          <cell r="G536" t="str">
            <v>MSFCCO</v>
          </cell>
          <cell r="H536" t="str">
            <v>MSFC COSS</v>
          </cell>
          <cell r="I536" t="str">
            <v>MR</v>
          </cell>
          <cell r="J536" t="str">
            <v>MR NASA</v>
          </cell>
          <cell r="K536" t="str">
            <v>NASA</v>
          </cell>
          <cell r="L536" t="str">
            <v>NASA</v>
          </cell>
          <cell r="M536" t="str">
            <v>AL</v>
          </cell>
          <cell r="N536" t="str">
            <v>CONUS</v>
          </cell>
          <cell r="O536">
            <v>0</v>
          </cell>
          <cell r="P536">
            <v>0</v>
          </cell>
          <cell r="Q536">
            <v>0</v>
          </cell>
          <cell r="R536" t="str">
            <v>FFP</v>
          </cell>
          <cell r="S536">
            <v>0</v>
          </cell>
          <cell r="T536">
            <v>1</v>
          </cell>
          <cell r="U536" t="str">
            <v>EBITA</v>
          </cell>
          <cell r="V536" t="str">
            <v>Identified - Recompete</v>
          </cell>
          <cell r="W536">
            <v>0</v>
          </cell>
          <cell r="X536">
            <v>0</v>
          </cell>
          <cell r="Y536">
            <v>0</v>
          </cell>
          <cell r="Z536">
            <v>0</v>
          </cell>
          <cell r="AA536">
            <v>0</v>
          </cell>
          <cell r="AB536">
            <v>0</v>
          </cell>
          <cell r="AC536">
            <v>0</v>
          </cell>
          <cell r="AD536">
            <v>0</v>
          </cell>
          <cell r="AX536">
            <v>0</v>
          </cell>
          <cell r="AY536">
            <v>0</v>
          </cell>
          <cell r="AZ536">
            <v>0</v>
          </cell>
          <cell r="BA536">
            <v>0</v>
          </cell>
          <cell r="BI536">
            <v>0</v>
          </cell>
          <cell r="BJ536">
            <v>0</v>
          </cell>
          <cell r="BK536">
            <v>0</v>
          </cell>
          <cell r="BL536">
            <v>0</v>
          </cell>
          <cell r="BM536">
            <v>0</v>
          </cell>
          <cell r="BN536">
            <v>0</v>
          </cell>
          <cell r="BO536">
            <v>0</v>
          </cell>
          <cell r="BP536">
            <v>0</v>
          </cell>
          <cell r="BQ536">
            <v>0</v>
          </cell>
          <cell r="BR536">
            <v>0</v>
          </cell>
          <cell r="BT536">
            <v>0</v>
          </cell>
          <cell r="CA536" t="str">
            <v>MSFCCO - EBITA - Identified - Recompete</v>
          </cell>
          <cell r="CC536" t="str">
            <v>MSFCCO - EBITA - Identified - Recompete - MR</v>
          </cell>
          <cell r="CD536" t="str">
            <v/>
          </cell>
          <cell r="CF536" t="str">
            <v>MSFCCO - Identified - Recompete - MR</v>
          </cell>
        </row>
        <row r="537">
          <cell r="D537">
            <v>523</v>
          </cell>
          <cell r="E537">
            <v>1</v>
          </cell>
          <cell r="F537">
            <v>1</v>
          </cell>
          <cell r="G537" t="str">
            <v>R23G12</v>
          </cell>
          <cell r="H537" t="str">
            <v>R23G Tobyhanna Radars</v>
          </cell>
          <cell r="I537" t="str">
            <v>MR</v>
          </cell>
          <cell r="J537" t="str">
            <v>MR Maintenance &amp; Sustainment</v>
          </cell>
          <cell r="K537" t="str">
            <v>Army</v>
          </cell>
          <cell r="L537" t="str">
            <v>DOD</v>
          </cell>
          <cell r="M537" t="str">
            <v>PA</v>
          </cell>
          <cell r="N537" t="str">
            <v>CONUS</v>
          </cell>
          <cell r="O537">
            <v>43047</v>
          </cell>
          <cell r="P537">
            <v>44142</v>
          </cell>
          <cell r="Q537" t="str">
            <v>Prime</v>
          </cell>
          <cell r="R537" t="str">
            <v>CPFF</v>
          </cell>
          <cell r="S537">
            <v>0</v>
          </cell>
          <cell r="T537">
            <v>1</v>
          </cell>
          <cell r="U537" t="str">
            <v>REVTOT</v>
          </cell>
          <cell r="V537" t="str">
            <v>Base</v>
          </cell>
          <cell r="W537" t="str">
            <v>05 Won</v>
          </cell>
          <cell r="X537" t="str">
            <v>Active</v>
          </cell>
          <cell r="Y537">
            <v>1</v>
          </cell>
          <cell r="Z537">
            <v>0</v>
          </cell>
          <cell r="AA537">
            <v>303320.45844999992</v>
          </cell>
          <cell r="AB537">
            <v>0</v>
          </cell>
          <cell r="AC537">
            <v>0</v>
          </cell>
          <cell r="AD537">
            <v>303320.45844999992</v>
          </cell>
          <cell r="AE537">
            <v>-0.24814367620267064</v>
          </cell>
          <cell r="AF537">
            <v>-0.12463783331992973</v>
          </cell>
          <cell r="AG537">
            <v>-7.4248872139414113E-3</v>
          </cell>
          <cell r="AH537">
            <v>-0.24428184477909154</v>
          </cell>
          <cell r="AI537">
            <v>0</v>
          </cell>
          <cell r="AJ537">
            <v>0</v>
          </cell>
          <cell r="AK537">
            <v>0</v>
          </cell>
          <cell r="BB537">
            <v>398715.77326000005</v>
          </cell>
          <cell r="BC537">
            <v>398715.77326000005</v>
          </cell>
          <cell r="BD537">
            <v>398715.77326000005</v>
          </cell>
          <cell r="BE537">
            <v>398715.77326000005</v>
          </cell>
          <cell r="BF537">
            <v>614406.54999999993</v>
          </cell>
          <cell r="BG537">
            <v>461945.44999999995</v>
          </cell>
          <cell r="BH537">
            <v>404369.57</v>
          </cell>
          <cell r="BI537">
            <v>85829.440000000002</v>
          </cell>
          <cell r="BJ537">
            <v>96927.07</v>
          </cell>
          <cell r="BK537">
            <v>119630.39000000001</v>
          </cell>
          <cell r="BL537">
            <v>98980.271550000005</v>
          </cell>
          <cell r="BM537">
            <v>401367.17155000003</v>
          </cell>
          <cell r="BN537">
            <v>303320.45844999992</v>
          </cell>
          <cell r="BO537">
            <v>0</v>
          </cell>
          <cell r="BP537">
            <v>0</v>
          </cell>
          <cell r="BQ537">
            <v>0</v>
          </cell>
          <cell r="BR537">
            <v>704687.62999999989</v>
          </cell>
          <cell r="BT537">
            <v>0</v>
          </cell>
          <cell r="CA537" t="str">
            <v>R23G12 - REVTOT - Base</v>
          </cell>
          <cell r="CC537" t="str">
            <v>R23G12 - REVTOT - Base - MR</v>
          </cell>
          <cell r="CD537" t="str">
            <v>R23G12 - REVTOT - Base - MR</v>
          </cell>
          <cell r="CF537" t="str">
            <v>R23G12 - Base - MR</v>
          </cell>
        </row>
        <row r="538">
          <cell r="D538">
            <v>524</v>
          </cell>
          <cell r="E538">
            <v>1</v>
          </cell>
          <cell r="F538">
            <v>2</v>
          </cell>
          <cell r="G538" t="str">
            <v>R23G12</v>
          </cell>
          <cell r="H538" t="str">
            <v>R23G Tobyhanna Radars</v>
          </cell>
          <cell r="I538" t="str">
            <v>MR</v>
          </cell>
          <cell r="J538" t="str">
            <v>MR Maintenance &amp; Sustainment</v>
          </cell>
          <cell r="K538" t="str">
            <v>Army</v>
          </cell>
          <cell r="L538" t="str">
            <v>DOD</v>
          </cell>
          <cell r="M538" t="str">
            <v>PA</v>
          </cell>
          <cell r="N538" t="str">
            <v>CONUS</v>
          </cell>
          <cell r="O538">
            <v>0</v>
          </cell>
          <cell r="P538">
            <v>0</v>
          </cell>
          <cell r="Q538">
            <v>0</v>
          </cell>
          <cell r="R538" t="str">
            <v>CPFF</v>
          </cell>
          <cell r="S538">
            <v>0</v>
          </cell>
          <cell r="T538">
            <v>1</v>
          </cell>
          <cell r="U538" t="str">
            <v>REVTOT</v>
          </cell>
          <cell r="V538" t="str">
            <v>Identified - Recompete</v>
          </cell>
          <cell r="W538">
            <v>0</v>
          </cell>
          <cell r="X538">
            <v>0</v>
          </cell>
          <cell r="Y538">
            <v>0</v>
          </cell>
          <cell r="Z538">
            <v>0</v>
          </cell>
          <cell r="AA538">
            <v>0</v>
          </cell>
          <cell r="AB538">
            <v>0</v>
          </cell>
          <cell r="AC538">
            <v>0</v>
          </cell>
          <cell r="AD538">
            <v>0</v>
          </cell>
          <cell r="AI538">
            <v>0</v>
          </cell>
          <cell r="AJ538">
            <v>0</v>
          </cell>
          <cell r="AK538">
            <v>0</v>
          </cell>
          <cell r="BB538">
            <v>0</v>
          </cell>
          <cell r="BC538">
            <v>0</v>
          </cell>
          <cell r="BD538">
            <v>0</v>
          </cell>
          <cell r="BE538">
            <v>0</v>
          </cell>
          <cell r="BI538">
            <v>0</v>
          </cell>
          <cell r="BJ538">
            <v>0</v>
          </cell>
          <cell r="BK538">
            <v>0</v>
          </cell>
          <cell r="BL538">
            <v>0</v>
          </cell>
          <cell r="BM538">
            <v>0</v>
          </cell>
          <cell r="BN538">
            <v>0</v>
          </cell>
          <cell r="BO538">
            <v>0</v>
          </cell>
          <cell r="BP538">
            <v>0</v>
          </cell>
          <cell r="BQ538">
            <v>0</v>
          </cell>
          <cell r="BR538">
            <v>0</v>
          </cell>
          <cell r="BT538">
            <v>0</v>
          </cell>
          <cell r="CA538" t="str">
            <v>R23G12 - REVTOT - Identified - Recompete</v>
          </cell>
          <cell r="CC538" t="str">
            <v>R23G12 - REVTOT - Identified - Recompete - MR</v>
          </cell>
          <cell r="CD538" t="str">
            <v/>
          </cell>
          <cell r="CF538" t="str">
            <v>R23G12 - Identified - Recompete - MR</v>
          </cell>
        </row>
        <row r="539">
          <cell r="D539">
            <v>525</v>
          </cell>
          <cell r="E539">
            <v>2</v>
          </cell>
          <cell r="F539">
            <v>3</v>
          </cell>
          <cell r="G539" t="str">
            <v>R23G12</v>
          </cell>
          <cell r="H539" t="str">
            <v>R23G Tobyhanna Radars</v>
          </cell>
          <cell r="I539" t="str">
            <v>MR</v>
          </cell>
          <cell r="J539" t="str">
            <v>MR Maintenance &amp; Sustainment</v>
          </cell>
          <cell r="K539" t="str">
            <v>Army</v>
          </cell>
          <cell r="L539" t="str">
            <v>DOD</v>
          </cell>
          <cell r="M539" t="str">
            <v>PA</v>
          </cell>
          <cell r="N539" t="str">
            <v>CONUS</v>
          </cell>
          <cell r="O539">
            <v>43047</v>
          </cell>
          <cell r="P539">
            <v>44142</v>
          </cell>
          <cell r="Q539" t="str">
            <v>Prime</v>
          </cell>
          <cell r="R539" t="str">
            <v>CPFF</v>
          </cell>
          <cell r="S539">
            <v>0</v>
          </cell>
          <cell r="T539">
            <v>1</v>
          </cell>
          <cell r="U539" t="str">
            <v>CONTRACT</v>
          </cell>
          <cell r="V539" t="str">
            <v>Base</v>
          </cell>
          <cell r="W539" t="str">
            <v>05 Won</v>
          </cell>
          <cell r="X539" t="str">
            <v>Active</v>
          </cell>
          <cell r="Y539">
            <v>1</v>
          </cell>
          <cell r="Z539">
            <v>0</v>
          </cell>
          <cell r="AA539">
            <v>303320.45844999992</v>
          </cell>
          <cell r="AB539">
            <v>0</v>
          </cell>
          <cell r="AC539">
            <v>0</v>
          </cell>
          <cell r="AD539">
            <v>303320.45844999992</v>
          </cell>
          <cell r="AL539">
            <v>0.13109454969189377</v>
          </cell>
          <cell r="AM539">
            <v>0.11816585702922289</v>
          </cell>
          <cell r="AN539">
            <v>0.12804383376325773</v>
          </cell>
          <cell r="AO539">
            <v>0.10579338162117309</v>
          </cell>
          <cell r="AP539">
            <v>0.11318028345613786</v>
          </cell>
          <cell r="AQ539">
            <v>0.11318028345613786</v>
          </cell>
          <cell r="AR539">
            <v>0.11318028345613786</v>
          </cell>
          <cell r="AS539">
            <v>0.11318028345613786</v>
          </cell>
          <cell r="BF539">
            <v>80545.350000000006</v>
          </cell>
          <cell r="BG539">
            <v>54586.180000000022</v>
          </cell>
          <cell r="BH539">
            <v>51777.030000000013</v>
          </cell>
          <cell r="BI539">
            <v>6988.59</v>
          </cell>
          <cell r="BJ539">
            <v>10863.379999999997</v>
          </cell>
          <cell r="BK539">
            <v>13589.240000000005</v>
          </cell>
          <cell r="BL539">
            <v>11020.780349999997</v>
          </cell>
          <cell r="BM539">
            <v>42461.99035</v>
          </cell>
          <cell r="BN539">
            <v>34329.895465416674</v>
          </cell>
          <cell r="BO539">
            <v>0</v>
          </cell>
          <cell r="BP539">
            <v>0</v>
          </cell>
          <cell r="BQ539">
            <v>0</v>
          </cell>
          <cell r="BR539">
            <v>76791.885815416666</v>
          </cell>
          <cell r="BT539">
            <v>0</v>
          </cell>
          <cell r="CA539" t="str">
            <v>R23G12 - CONTRACT - Base</v>
          </cell>
          <cell r="CC539" t="str">
            <v>R23G12 - CONTRACT - Base - MR</v>
          </cell>
          <cell r="CD539" t="str">
            <v/>
          </cell>
          <cell r="CF539" t="str">
            <v>R23G12 - Base - MR</v>
          </cell>
        </row>
        <row r="540">
          <cell r="D540">
            <v>526</v>
          </cell>
          <cell r="E540">
            <v>2</v>
          </cell>
          <cell r="F540">
            <v>4</v>
          </cell>
          <cell r="G540" t="str">
            <v>R23G12</v>
          </cell>
          <cell r="H540" t="str">
            <v>R23G Tobyhanna Radars</v>
          </cell>
          <cell r="I540" t="str">
            <v>MR</v>
          </cell>
          <cell r="J540" t="str">
            <v>MR Maintenance &amp; Sustainment</v>
          </cell>
          <cell r="K540" t="str">
            <v>Army</v>
          </cell>
          <cell r="L540" t="str">
            <v>DOD</v>
          </cell>
          <cell r="M540" t="str">
            <v>PA</v>
          </cell>
          <cell r="N540" t="str">
            <v>CONUS</v>
          </cell>
          <cell r="O540">
            <v>0</v>
          </cell>
          <cell r="P540">
            <v>0</v>
          </cell>
          <cell r="Q540">
            <v>0</v>
          </cell>
          <cell r="R540" t="str">
            <v>CPFF</v>
          </cell>
          <cell r="S540">
            <v>0</v>
          </cell>
          <cell r="T540">
            <v>1</v>
          </cell>
          <cell r="U540" t="str">
            <v>CONTRACT</v>
          </cell>
          <cell r="V540" t="str">
            <v>Identified - Recompete</v>
          </cell>
          <cell r="W540">
            <v>0</v>
          </cell>
          <cell r="X540">
            <v>0</v>
          </cell>
          <cell r="Y540">
            <v>0</v>
          </cell>
          <cell r="Z540">
            <v>0</v>
          </cell>
          <cell r="AA540">
            <v>0</v>
          </cell>
          <cell r="AB540">
            <v>0</v>
          </cell>
          <cell r="AC540">
            <v>0</v>
          </cell>
          <cell r="AD540">
            <v>0</v>
          </cell>
          <cell r="AP540">
            <v>0</v>
          </cell>
          <cell r="AQ540">
            <v>0</v>
          </cell>
          <cell r="AR540">
            <v>0</v>
          </cell>
          <cell r="AS540">
            <v>0</v>
          </cell>
          <cell r="BI540">
            <v>0</v>
          </cell>
          <cell r="BJ540">
            <v>0</v>
          </cell>
          <cell r="BK540">
            <v>0</v>
          </cell>
          <cell r="BL540">
            <v>0</v>
          </cell>
          <cell r="BM540">
            <v>0</v>
          </cell>
          <cell r="BN540">
            <v>0</v>
          </cell>
          <cell r="BO540">
            <v>0</v>
          </cell>
          <cell r="BP540">
            <v>0</v>
          </cell>
          <cell r="BQ540">
            <v>0</v>
          </cell>
          <cell r="BR540">
            <v>0</v>
          </cell>
          <cell r="BT540">
            <v>0</v>
          </cell>
          <cell r="CA540" t="str">
            <v>R23G12 - CONTRACT - Identified - Recompete</v>
          </cell>
          <cell r="CC540" t="str">
            <v>R23G12 - CONTRACT - Identified - Recompete - MR</v>
          </cell>
          <cell r="CD540" t="str">
            <v/>
          </cell>
          <cell r="CF540" t="str">
            <v>R23G12 - Identified - Recompete - MR</v>
          </cell>
        </row>
        <row r="541">
          <cell r="D541">
            <v>527</v>
          </cell>
          <cell r="E541">
            <v>0</v>
          </cell>
          <cell r="F541">
            <v>5</v>
          </cell>
          <cell r="G541" t="str">
            <v>R23G12</v>
          </cell>
          <cell r="H541" t="str">
            <v>R23G Tobyhanna Radars</v>
          </cell>
          <cell r="I541" t="str">
            <v>MR</v>
          </cell>
          <cell r="J541" t="str">
            <v>MR Maintenance &amp; Sustainment</v>
          </cell>
          <cell r="K541" t="str">
            <v>Army</v>
          </cell>
          <cell r="L541" t="str">
            <v>DOD</v>
          </cell>
          <cell r="M541" t="str">
            <v>PA</v>
          </cell>
          <cell r="N541" t="str">
            <v>CONUS</v>
          </cell>
          <cell r="O541">
            <v>43047</v>
          </cell>
          <cell r="P541">
            <v>44142</v>
          </cell>
          <cell r="Q541" t="str">
            <v>Prime</v>
          </cell>
          <cell r="R541" t="str">
            <v>CPFF</v>
          </cell>
          <cell r="S541">
            <v>0</v>
          </cell>
          <cell r="T541">
            <v>1</v>
          </cell>
          <cell r="U541" t="str">
            <v>EBITA</v>
          </cell>
          <cell r="V541" t="str">
            <v>Base</v>
          </cell>
          <cell r="W541" t="str">
            <v>05 Won</v>
          </cell>
          <cell r="X541" t="str">
            <v>Active</v>
          </cell>
          <cell r="Y541">
            <v>1</v>
          </cell>
          <cell r="Z541">
            <v>0</v>
          </cell>
          <cell r="AA541">
            <v>303320.45844999992</v>
          </cell>
          <cell r="AB541">
            <v>0</v>
          </cell>
          <cell r="AC541">
            <v>0</v>
          </cell>
          <cell r="AD541">
            <v>303320.45844999992</v>
          </cell>
          <cell r="AT541">
            <v>5.4224015027183547E-2</v>
          </cell>
          <cell r="AU541">
            <v>4.132981502469614E-2</v>
          </cell>
          <cell r="AV541">
            <v>5.5072195467131733E-2</v>
          </cell>
          <cell r="AW541">
            <v>3.0031789876712445E-2</v>
          </cell>
          <cell r="AX541">
            <v>4.0483004357938189E-2</v>
          </cell>
          <cell r="AY541">
            <v>4.0483004357938189E-2</v>
          </cell>
          <cell r="AZ541">
            <v>4.0483004357938189E-2</v>
          </cell>
          <cell r="BA541">
            <v>4.0483004357938189E-2</v>
          </cell>
          <cell r="BF541">
            <v>33315.589999999997</v>
          </cell>
          <cell r="BG541">
            <v>19092.120000000017</v>
          </cell>
          <cell r="BH541">
            <v>22269.520000000008</v>
          </cell>
          <cell r="BI541">
            <v>143.40999999999985</v>
          </cell>
          <cell r="BJ541">
            <v>3731.2599999999975</v>
          </cell>
          <cell r="BK541">
            <v>4601.1800000000057</v>
          </cell>
          <cell r="BL541">
            <v>3577.9245593999972</v>
          </cell>
          <cell r="BM541">
            <v>12053.774559399999</v>
          </cell>
          <cell r="BN541">
            <v>12279.323441283155</v>
          </cell>
          <cell r="BO541">
            <v>0</v>
          </cell>
          <cell r="BP541">
            <v>0</v>
          </cell>
          <cell r="BQ541">
            <v>0</v>
          </cell>
          <cell r="BR541">
            <v>24333.098000683152</v>
          </cell>
          <cell r="BT541">
            <v>0</v>
          </cell>
          <cell r="CA541" t="str">
            <v>R23G12 - EBITA - Base</v>
          </cell>
          <cell r="CC541" t="str">
            <v>R23G12 - EBITA - Base - MR</v>
          </cell>
          <cell r="CD541" t="str">
            <v/>
          </cell>
          <cell r="CF541" t="str">
            <v>R23G12 - Base - MR</v>
          </cell>
        </row>
        <row r="542">
          <cell r="D542">
            <v>528</v>
          </cell>
          <cell r="E542">
            <v>0</v>
          </cell>
          <cell r="F542">
            <v>0</v>
          </cell>
          <cell r="G542" t="str">
            <v>R23G12</v>
          </cell>
          <cell r="H542" t="str">
            <v>R23G Tobyhanna Radars</v>
          </cell>
          <cell r="I542" t="str">
            <v>MR</v>
          </cell>
          <cell r="J542" t="str">
            <v>MR Maintenance &amp; Sustainment</v>
          </cell>
          <cell r="K542" t="str">
            <v>Army</v>
          </cell>
          <cell r="L542" t="str">
            <v>DOD</v>
          </cell>
          <cell r="M542" t="str">
            <v>PA</v>
          </cell>
          <cell r="N542" t="str">
            <v>CONUS</v>
          </cell>
          <cell r="O542">
            <v>0</v>
          </cell>
          <cell r="P542">
            <v>0</v>
          </cell>
          <cell r="Q542">
            <v>0</v>
          </cell>
          <cell r="R542" t="str">
            <v>CPFF</v>
          </cell>
          <cell r="S542">
            <v>0</v>
          </cell>
          <cell r="T542">
            <v>1</v>
          </cell>
          <cell r="U542" t="str">
            <v>EBITA</v>
          </cell>
          <cell r="V542" t="str">
            <v>Identified - Recompete</v>
          </cell>
          <cell r="W542">
            <v>0</v>
          </cell>
          <cell r="X542">
            <v>0</v>
          </cell>
          <cell r="Y542">
            <v>0</v>
          </cell>
          <cell r="Z542">
            <v>0</v>
          </cell>
          <cell r="AA542">
            <v>0</v>
          </cell>
          <cell r="AB542">
            <v>0</v>
          </cell>
          <cell r="AC542">
            <v>0</v>
          </cell>
          <cell r="AD542">
            <v>0</v>
          </cell>
          <cell r="AX542">
            <v>0</v>
          </cell>
          <cell r="AY542">
            <v>0</v>
          </cell>
          <cell r="AZ542">
            <v>0</v>
          </cell>
          <cell r="BA542">
            <v>0</v>
          </cell>
          <cell r="BI542">
            <v>0</v>
          </cell>
          <cell r="BJ542">
            <v>0</v>
          </cell>
          <cell r="BK542">
            <v>0</v>
          </cell>
          <cell r="BL542">
            <v>0</v>
          </cell>
          <cell r="BM542">
            <v>0</v>
          </cell>
          <cell r="BN542">
            <v>0</v>
          </cell>
          <cell r="BO542">
            <v>0</v>
          </cell>
          <cell r="BP542">
            <v>0</v>
          </cell>
          <cell r="BQ542">
            <v>0</v>
          </cell>
          <cell r="BR542">
            <v>0</v>
          </cell>
          <cell r="BT542">
            <v>0</v>
          </cell>
          <cell r="CA542" t="str">
            <v>R23G12 - EBITA - Identified - Recompete</v>
          </cell>
          <cell r="CC542" t="str">
            <v>R23G12 - EBITA - Identified - Recompete - MR</v>
          </cell>
          <cell r="CD542" t="str">
            <v/>
          </cell>
          <cell r="CF542" t="str">
            <v>R23G12 - Identified - Recompete - MR</v>
          </cell>
        </row>
        <row r="543">
          <cell r="D543">
            <v>529</v>
          </cell>
          <cell r="E543">
            <v>1</v>
          </cell>
          <cell r="F543">
            <v>1</v>
          </cell>
          <cell r="G543" t="str">
            <v>JPARCF</v>
          </cell>
          <cell r="H543" t="str">
            <v>JPARC F</v>
          </cell>
          <cell r="I543" t="str">
            <v>MR</v>
          </cell>
          <cell r="J543" t="str">
            <v>MR Warfighter Support</v>
          </cell>
          <cell r="K543" t="str">
            <v>Navy</v>
          </cell>
          <cell r="L543" t="str">
            <v>DOD</v>
          </cell>
          <cell r="M543" t="str">
            <v>NV</v>
          </cell>
          <cell r="N543" t="str">
            <v>CONUS</v>
          </cell>
          <cell r="O543">
            <v>43047</v>
          </cell>
          <cell r="P543">
            <v>44142</v>
          </cell>
          <cell r="Q543" t="str">
            <v>Prime</v>
          </cell>
          <cell r="R543" t="str">
            <v>FFP</v>
          </cell>
          <cell r="S543">
            <v>0</v>
          </cell>
          <cell r="T543">
            <v>1</v>
          </cell>
          <cell r="U543" t="str">
            <v>REVTOT</v>
          </cell>
          <cell r="V543" t="str">
            <v>Base</v>
          </cell>
          <cell r="W543" t="str">
            <v>05 Won</v>
          </cell>
          <cell r="X543" t="str">
            <v>Active</v>
          </cell>
          <cell r="Y543">
            <v>1</v>
          </cell>
          <cell r="Z543">
            <v>0</v>
          </cell>
          <cell r="AA543">
            <v>181054.15256999998</v>
          </cell>
          <cell r="AB543">
            <v>42285</v>
          </cell>
          <cell r="AC543">
            <v>0</v>
          </cell>
          <cell r="AD543">
            <v>223339.15256999998</v>
          </cell>
          <cell r="AE543">
            <v>0</v>
          </cell>
          <cell r="AF543">
            <v>0</v>
          </cell>
          <cell r="AG543">
            <v>5.9567626614142126</v>
          </cell>
          <cell r="AH543">
            <v>-0.29544196678648327</v>
          </cell>
          <cell r="AI543">
            <v>0</v>
          </cell>
          <cell r="AJ543">
            <v>0</v>
          </cell>
          <cell r="AK543">
            <v>0</v>
          </cell>
          <cell r="BB543">
            <v>361373</v>
          </cell>
          <cell r="BC543">
            <v>361373</v>
          </cell>
          <cell r="BD543">
            <v>361373</v>
          </cell>
          <cell r="BE543">
            <v>361373</v>
          </cell>
          <cell r="BF543">
            <v>0</v>
          </cell>
          <cell r="BG543">
            <v>0</v>
          </cell>
          <cell r="BH543">
            <v>45566</v>
          </cell>
          <cell r="BI543">
            <v>62470</v>
          </cell>
          <cell r="BJ543">
            <v>25356</v>
          </cell>
          <cell r="BK543">
            <v>99108.48000000001</v>
          </cell>
          <cell r="BL543">
            <v>130057.36743</v>
          </cell>
          <cell r="BM543">
            <v>316991.84743000002</v>
          </cell>
          <cell r="BN543">
            <v>223339.15256999998</v>
          </cell>
          <cell r="BO543">
            <v>0</v>
          </cell>
          <cell r="BP543">
            <v>0</v>
          </cell>
          <cell r="BQ543">
            <v>0</v>
          </cell>
          <cell r="BR543">
            <v>540331</v>
          </cell>
          <cell r="BT543">
            <v>0</v>
          </cell>
          <cell r="CA543" t="str">
            <v>JPARCF - REVTOT - Base</v>
          </cell>
          <cell r="CC543" t="str">
            <v>JPARCF - REVTOT - Base - MR</v>
          </cell>
          <cell r="CD543" t="str">
            <v>JPARCF - REVTOT - Base - MR</v>
          </cell>
          <cell r="CF543" t="str">
            <v>JPARCF - Base - MR</v>
          </cell>
        </row>
        <row r="544">
          <cell r="D544">
            <v>530</v>
          </cell>
          <cell r="E544">
            <v>1</v>
          </cell>
          <cell r="F544">
            <v>2</v>
          </cell>
          <cell r="G544" t="str">
            <v>JPARCF</v>
          </cell>
          <cell r="H544" t="str">
            <v>JPARC F</v>
          </cell>
          <cell r="I544" t="str">
            <v>MR</v>
          </cell>
          <cell r="J544" t="str">
            <v>MR Warfighter Support</v>
          </cell>
          <cell r="K544" t="str">
            <v>Navy</v>
          </cell>
          <cell r="L544" t="str">
            <v>DOD</v>
          </cell>
          <cell r="M544" t="str">
            <v>NV</v>
          </cell>
          <cell r="N544" t="str">
            <v>CONUS</v>
          </cell>
          <cell r="O544">
            <v>44105</v>
          </cell>
          <cell r="P544">
            <v>46661</v>
          </cell>
          <cell r="Q544" t="str">
            <v>Sub</v>
          </cell>
          <cell r="R544" t="str">
            <v>FFP</v>
          </cell>
          <cell r="S544">
            <v>0</v>
          </cell>
          <cell r="T544">
            <v>1</v>
          </cell>
          <cell r="U544" t="str">
            <v>REVTOT</v>
          </cell>
          <cell r="V544" t="str">
            <v>Identified - Recompete</v>
          </cell>
          <cell r="W544" t="str">
            <v>02 Capture</v>
          </cell>
          <cell r="X544" t="str">
            <v>Priority 3</v>
          </cell>
          <cell r="Y544">
            <v>0.45</v>
          </cell>
          <cell r="Z544">
            <v>25000000</v>
          </cell>
          <cell r="AA544">
            <v>0</v>
          </cell>
          <cell r="AB544">
            <v>0</v>
          </cell>
          <cell r="AC544">
            <v>0</v>
          </cell>
          <cell r="AD544">
            <v>0</v>
          </cell>
          <cell r="AI544">
            <v>0</v>
          </cell>
          <cell r="AJ544">
            <v>0</v>
          </cell>
          <cell r="AK544">
            <v>0</v>
          </cell>
          <cell r="BB544">
            <v>3571428.5714285714</v>
          </cell>
          <cell r="BC544">
            <v>3571428.5714285714</v>
          </cell>
          <cell r="BD544">
            <v>3571428.5714285714</v>
          </cell>
          <cell r="BE544">
            <v>3571428.5714285714</v>
          </cell>
          <cell r="BI544">
            <v>0</v>
          </cell>
          <cell r="BJ544">
            <v>0</v>
          </cell>
          <cell r="BK544">
            <v>0</v>
          </cell>
          <cell r="BL544">
            <v>0</v>
          </cell>
          <cell r="BM544">
            <v>0</v>
          </cell>
          <cell r="BN544">
            <v>0</v>
          </cell>
          <cell r="BO544">
            <v>1607142.857142857</v>
          </cell>
          <cell r="BP544">
            <v>1607142.857142857</v>
          </cell>
          <cell r="BQ544">
            <v>1607142.857142857</v>
          </cell>
          <cell r="BR544">
            <v>4821428.5714285709</v>
          </cell>
          <cell r="BT544">
            <v>0</v>
          </cell>
          <cell r="CA544" t="str">
            <v>JPARCF - REVTOT - Identified - Recompete</v>
          </cell>
          <cell r="CC544" t="str">
            <v>JPARCF - REVTOT - Identified - Recompete - MR</v>
          </cell>
          <cell r="CD544" t="str">
            <v/>
          </cell>
          <cell r="CF544" t="str">
            <v>JPARCF - Identified - Recompete - MR</v>
          </cell>
        </row>
        <row r="545">
          <cell r="D545">
            <v>531</v>
          </cell>
          <cell r="E545">
            <v>2</v>
          </cell>
          <cell r="F545">
            <v>3</v>
          </cell>
          <cell r="G545" t="str">
            <v>JPARCF</v>
          </cell>
          <cell r="H545" t="str">
            <v>JPARC F</v>
          </cell>
          <cell r="I545" t="str">
            <v>MR</v>
          </cell>
          <cell r="J545" t="str">
            <v>MR Warfighter Support</v>
          </cell>
          <cell r="K545" t="str">
            <v>Navy</v>
          </cell>
          <cell r="L545" t="str">
            <v>DOD</v>
          </cell>
          <cell r="M545" t="str">
            <v>NV</v>
          </cell>
          <cell r="N545" t="str">
            <v>CONUS</v>
          </cell>
          <cell r="O545">
            <v>43047</v>
          </cell>
          <cell r="P545">
            <v>44142</v>
          </cell>
          <cell r="Q545" t="str">
            <v>Prime</v>
          </cell>
          <cell r="R545" t="str">
            <v>FFP</v>
          </cell>
          <cell r="S545">
            <v>0</v>
          </cell>
          <cell r="T545">
            <v>1</v>
          </cell>
          <cell r="U545" t="str">
            <v>CONTRACT</v>
          </cell>
          <cell r="V545" t="str">
            <v>Base</v>
          </cell>
          <cell r="W545" t="str">
            <v>05 Won</v>
          </cell>
          <cell r="X545" t="str">
            <v>Active</v>
          </cell>
          <cell r="Y545">
            <v>1</v>
          </cell>
          <cell r="Z545">
            <v>0</v>
          </cell>
          <cell r="AA545">
            <v>181054.15256999998</v>
          </cell>
          <cell r="AB545">
            <v>42285</v>
          </cell>
          <cell r="AC545">
            <v>0</v>
          </cell>
          <cell r="AD545">
            <v>223339.15256999998</v>
          </cell>
          <cell r="AL545">
            <v>0</v>
          </cell>
          <cell r="AM545">
            <v>0</v>
          </cell>
          <cell r="AN545">
            <v>1</v>
          </cell>
          <cell r="AO545">
            <v>0.17470972808210686</v>
          </cell>
          <cell r="AP545">
            <v>0.16384278030748453</v>
          </cell>
          <cell r="AQ545">
            <v>0.16384278030748453</v>
          </cell>
          <cell r="AR545">
            <v>0.16384278030748453</v>
          </cell>
          <cell r="AS545">
            <v>0.16384278030748453</v>
          </cell>
          <cell r="BF545">
            <v>0</v>
          </cell>
          <cell r="BG545">
            <v>0</v>
          </cell>
          <cell r="BH545">
            <v>45566</v>
          </cell>
          <cell r="BI545">
            <v>32182.65</v>
          </cell>
          <cell r="BJ545">
            <v>4159.25</v>
          </cell>
          <cell r="BK545">
            <v>-449.57999999999811</v>
          </cell>
          <cell r="BL545">
            <v>19489.239468740001</v>
          </cell>
          <cell r="BM545">
            <v>55381.559468740008</v>
          </cell>
          <cell r="BN545">
            <v>36592.507708586272</v>
          </cell>
          <cell r="BO545">
            <v>0</v>
          </cell>
          <cell r="BP545">
            <v>0</v>
          </cell>
          <cell r="BQ545">
            <v>0</v>
          </cell>
          <cell r="BR545">
            <v>91974.067177326273</v>
          </cell>
          <cell r="BT545">
            <v>0</v>
          </cell>
          <cell r="CA545" t="str">
            <v>JPARCF - CONTRACT - Base</v>
          </cell>
          <cell r="CC545" t="str">
            <v>JPARCF - CONTRACT - Base - MR</v>
          </cell>
          <cell r="CD545" t="str">
            <v/>
          </cell>
          <cell r="CF545" t="str">
            <v>JPARCF - Base - MR</v>
          </cell>
        </row>
        <row r="546">
          <cell r="D546">
            <v>532</v>
          </cell>
          <cell r="E546">
            <v>2</v>
          </cell>
          <cell r="F546">
            <v>4</v>
          </cell>
          <cell r="G546" t="str">
            <v>JPARCF</v>
          </cell>
          <cell r="H546" t="str">
            <v>JPARC F</v>
          </cell>
          <cell r="I546" t="str">
            <v>MR</v>
          </cell>
          <cell r="J546" t="str">
            <v>MR Warfighter Support</v>
          </cell>
          <cell r="K546" t="str">
            <v>Navy</v>
          </cell>
          <cell r="L546" t="str">
            <v>DOD</v>
          </cell>
          <cell r="M546" t="str">
            <v>NV</v>
          </cell>
          <cell r="N546" t="str">
            <v>CONUS</v>
          </cell>
          <cell r="O546">
            <v>44105</v>
          </cell>
          <cell r="P546">
            <v>46661</v>
          </cell>
          <cell r="Q546" t="str">
            <v>Sub</v>
          </cell>
          <cell r="R546" t="str">
            <v>FFP</v>
          </cell>
          <cell r="S546">
            <v>0</v>
          </cell>
          <cell r="T546">
            <v>1</v>
          </cell>
          <cell r="U546" t="str">
            <v>CONTRACT</v>
          </cell>
          <cell r="V546" t="str">
            <v>Identified - Recompete</v>
          </cell>
          <cell r="W546" t="str">
            <v>02 Capture</v>
          </cell>
          <cell r="X546" t="str">
            <v>Priority 3</v>
          </cell>
          <cell r="Y546">
            <v>0.45</v>
          </cell>
          <cell r="Z546">
            <v>25000000</v>
          </cell>
          <cell r="AA546">
            <v>0</v>
          </cell>
          <cell r="AB546">
            <v>0</v>
          </cell>
          <cell r="AC546">
            <v>0</v>
          </cell>
          <cell r="AD546">
            <v>0</v>
          </cell>
          <cell r="AP546">
            <v>0.16384278030748453</v>
          </cell>
          <cell r="AQ546">
            <v>0.16384278030748453</v>
          </cell>
          <cell r="AR546">
            <v>0.16384278030748453</v>
          </cell>
          <cell r="AS546">
            <v>0.16384278030748453</v>
          </cell>
          <cell r="BI546">
            <v>0</v>
          </cell>
          <cell r="BJ546">
            <v>0</v>
          </cell>
          <cell r="BK546">
            <v>0</v>
          </cell>
          <cell r="BL546">
            <v>0</v>
          </cell>
          <cell r="BM546">
            <v>0</v>
          </cell>
          <cell r="BN546">
            <v>0</v>
          </cell>
          <cell r="BO546">
            <v>263318.75406560011</v>
          </cell>
          <cell r="BP546">
            <v>263318.75406560011</v>
          </cell>
          <cell r="BQ546">
            <v>263318.75406560011</v>
          </cell>
          <cell r="BR546">
            <v>789956.26219680032</v>
          </cell>
          <cell r="BT546">
            <v>0</v>
          </cell>
          <cell r="CA546" t="str">
            <v>JPARCF - CONTRACT - Identified - Recompete</v>
          </cell>
          <cell r="CC546" t="str">
            <v>JPARCF - CONTRACT - Identified - Recompete - MR</v>
          </cell>
          <cell r="CD546" t="str">
            <v/>
          </cell>
          <cell r="CF546" t="str">
            <v>JPARCF - Identified - Recompete - MR</v>
          </cell>
        </row>
        <row r="547">
          <cell r="D547">
            <v>533</v>
          </cell>
          <cell r="E547">
            <v>0</v>
          </cell>
          <cell r="F547">
            <v>5</v>
          </cell>
          <cell r="G547" t="str">
            <v>JPARCF</v>
          </cell>
          <cell r="H547" t="str">
            <v>JPARC F</v>
          </cell>
          <cell r="I547" t="str">
            <v>MR</v>
          </cell>
          <cell r="J547" t="str">
            <v>MR Warfighter Support</v>
          </cell>
          <cell r="K547" t="str">
            <v>Navy</v>
          </cell>
          <cell r="L547" t="str">
            <v>DOD</v>
          </cell>
          <cell r="M547" t="str">
            <v>NV</v>
          </cell>
          <cell r="N547" t="str">
            <v>CONUS</v>
          </cell>
          <cell r="O547">
            <v>43047</v>
          </cell>
          <cell r="P547">
            <v>44142</v>
          </cell>
          <cell r="Q547" t="str">
            <v>Prime</v>
          </cell>
          <cell r="R547" t="str">
            <v>FFP</v>
          </cell>
          <cell r="S547">
            <v>0</v>
          </cell>
          <cell r="T547">
            <v>1</v>
          </cell>
          <cell r="U547" t="str">
            <v>EBITA</v>
          </cell>
          <cell r="V547" t="str">
            <v>Base</v>
          </cell>
          <cell r="W547" t="str">
            <v>05 Won</v>
          </cell>
          <cell r="X547" t="str">
            <v>Active</v>
          </cell>
          <cell r="Y547">
            <v>1</v>
          </cell>
          <cell r="Z547">
            <v>0</v>
          </cell>
          <cell r="AA547">
            <v>181054.15256999998</v>
          </cell>
          <cell r="AB547">
            <v>42285</v>
          </cell>
          <cell r="AC547">
            <v>0</v>
          </cell>
          <cell r="AD547">
            <v>223339.15256999998</v>
          </cell>
          <cell r="AT547">
            <v>0</v>
          </cell>
          <cell r="AU547">
            <v>0</v>
          </cell>
          <cell r="AV547">
            <v>1</v>
          </cell>
          <cell r="AW547">
            <v>0.11175884569639331</v>
          </cell>
          <cell r="AX547">
            <v>9.8078931176278583E-2</v>
          </cell>
          <cell r="AY547">
            <v>9.9078931176278584E-2</v>
          </cell>
          <cell r="AZ547">
            <v>0.10007893117627858</v>
          </cell>
          <cell r="BA547">
            <v>0.10107893117627859</v>
          </cell>
          <cell r="BF547">
            <v>0</v>
          </cell>
          <cell r="BG547">
            <v>0</v>
          </cell>
          <cell r="BH547">
            <v>45566</v>
          </cell>
          <cell r="BI547">
            <v>29676.020000000004</v>
          </cell>
          <cell r="BJ547">
            <v>2520.21</v>
          </cell>
          <cell r="BK547">
            <v>-6853.1499999999978</v>
          </cell>
          <cell r="BL547">
            <v>10083.562963944019</v>
          </cell>
          <cell r="BM547">
            <v>35426.642963944025</v>
          </cell>
          <cell r="BN547">
            <v>21904.86537388141</v>
          </cell>
          <cell r="BO547">
            <v>0</v>
          </cell>
          <cell r="BP547">
            <v>0</v>
          </cell>
          <cell r="BQ547">
            <v>0</v>
          </cell>
          <cell r="BR547">
            <v>57331.508337825435</v>
          </cell>
          <cell r="BT547">
            <v>0</v>
          </cell>
          <cell r="CA547" t="str">
            <v>JPARCF - EBITA - Base</v>
          </cell>
          <cell r="CC547" t="str">
            <v>JPARCF - EBITA - Base - MR</v>
          </cell>
          <cell r="CD547" t="str">
            <v/>
          </cell>
          <cell r="CF547" t="str">
            <v>JPARCF - Base - MR</v>
          </cell>
        </row>
        <row r="548">
          <cell r="D548">
            <v>534</v>
          </cell>
          <cell r="E548">
            <v>0</v>
          </cell>
          <cell r="F548">
            <v>0</v>
          </cell>
          <cell r="G548" t="str">
            <v>JPARCF</v>
          </cell>
          <cell r="H548" t="str">
            <v>JPARC F</v>
          </cell>
          <cell r="I548" t="str">
            <v>MR</v>
          </cell>
          <cell r="J548" t="str">
            <v>MR Warfighter Support</v>
          </cell>
          <cell r="K548" t="str">
            <v>Navy</v>
          </cell>
          <cell r="L548" t="str">
            <v>DOD</v>
          </cell>
          <cell r="M548" t="str">
            <v>NV</v>
          </cell>
          <cell r="N548" t="str">
            <v>CONUS</v>
          </cell>
          <cell r="O548">
            <v>44105</v>
          </cell>
          <cell r="P548">
            <v>46661</v>
          </cell>
          <cell r="Q548" t="str">
            <v>Sub</v>
          </cell>
          <cell r="R548" t="str">
            <v>FFP</v>
          </cell>
          <cell r="S548">
            <v>0</v>
          </cell>
          <cell r="T548">
            <v>1</v>
          </cell>
          <cell r="U548" t="str">
            <v>EBITA</v>
          </cell>
          <cell r="V548" t="str">
            <v>Identified - Recompete</v>
          </cell>
          <cell r="W548" t="str">
            <v>02 Capture</v>
          </cell>
          <cell r="X548" t="str">
            <v>Priority 3</v>
          </cell>
          <cell r="Y548">
            <v>0.45</v>
          </cell>
          <cell r="Z548">
            <v>25000000</v>
          </cell>
          <cell r="AA548">
            <v>0</v>
          </cell>
          <cell r="AB548">
            <v>0</v>
          </cell>
          <cell r="AC548">
            <v>0</v>
          </cell>
          <cell r="AD548">
            <v>0</v>
          </cell>
          <cell r="AX548">
            <v>9.8078931176278583E-2</v>
          </cell>
          <cell r="AY548">
            <v>9.9078931176278584E-2</v>
          </cell>
          <cell r="AZ548">
            <v>0.10007893117627858</v>
          </cell>
          <cell r="BA548">
            <v>0.10107893117627859</v>
          </cell>
          <cell r="BI548">
            <v>0</v>
          </cell>
          <cell r="BJ548">
            <v>0</v>
          </cell>
          <cell r="BK548">
            <v>0</v>
          </cell>
          <cell r="BL548">
            <v>0</v>
          </cell>
          <cell r="BM548">
            <v>0</v>
          </cell>
          <cell r="BN548">
            <v>0</v>
          </cell>
          <cell r="BO548">
            <v>159233.99653330486</v>
          </cell>
          <cell r="BP548">
            <v>160841.13939044773</v>
          </cell>
          <cell r="BQ548">
            <v>162448.28224759057</v>
          </cell>
          <cell r="BR548">
            <v>482523.41817134316</v>
          </cell>
          <cell r="BT548">
            <v>0</v>
          </cell>
          <cell r="CA548" t="str">
            <v>JPARCF - EBITA - Identified - Recompete</v>
          </cell>
          <cell r="CC548" t="str">
            <v>JPARCF - EBITA - Identified - Recompete - MR</v>
          </cell>
          <cell r="CD548" t="str">
            <v/>
          </cell>
          <cell r="CF548" t="str">
            <v>JPARCF - Identified - Recompete - MR</v>
          </cell>
        </row>
        <row r="549">
          <cell r="D549">
            <v>535</v>
          </cell>
          <cell r="E549">
            <v>1</v>
          </cell>
          <cell r="F549">
            <v>1</v>
          </cell>
          <cell r="G549" t="str">
            <v>000013</v>
          </cell>
          <cell r="H549" t="str">
            <v>Redstone</v>
          </cell>
          <cell r="I549" t="str">
            <v>MR</v>
          </cell>
          <cell r="J549" t="str">
            <v>MR Maintenance &amp; Sustainment</v>
          </cell>
          <cell r="K549" t="str">
            <v>Other DOD</v>
          </cell>
          <cell r="L549" t="str">
            <v>DOD</v>
          </cell>
          <cell r="M549" t="str">
            <v>AL</v>
          </cell>
          <cell r="N549" t="str">
            <v>CONUS</v>
          </cell>
          <cell r="O549">
            <v>41609</v>
          </cell>
          <cell r="P549">
            <v>43494</v>
          </cell>
          <cell r="Q549" t="str">
            <v>Sub</v>
          </cell>
          <cell r="R549" t="str">
            <v>CPFF</v>
          </cell>
          <cell r="S549">
            <v>0</v>
          </cell>
          <cell r="T549">
            <v>1</v>
          </cell>
          <cell r="U549" t="str">
            <v>REVTOT</v>
          </cell>
          <cell r="V549" t="str">
            <v>Base</v>
          </cell>
          <cell r="W549" t="str">
            <v>05 Won</v>
          </cell>
          <cell r="X549" t="str">
            <v>Active</v>
          </cell>
          <cell r="Y549">
            <v>1</v>
          </cell>
          <cell r="Z549">
            <v>0</v>
          </cell>
          <cell r="AA549">
            <v>-0.34430903824977577</v>
          </cell>
          <cell r="AB549">
            <v>0</v>
          </cell>
          <cell r="AC549">
            <v>0</v>
          </cell>
          <cell r="AD549">
            <v>-0.34430903824977577</v>
          </cell>
          <cell r="AE549">
            <v>-7.8881267270665689E-2</v>
          </cell>
          <cell r="AF549">
            <v>6.564900736725221E-2</v>
          </cell>
          <cell r="AG549">
            <v>-0.68114880989000803</v>
          </cell>
          <cell r="AH549">
            <v>-1</v>
          </cell>
          <cell r="AI549">
            <v>0</v>
          </cell>
          <cell r="AJ549">
            <v>0</v>
          </cell>
          <cell r="AK549">
            <v>0</v>
          </cell>
          <cell r="BB549">
            <v>0</v>
          </cell>
          <cell r="BC549">
            <v>0</v>
          </cell>
          <cell r="BD549">
            <v>0</v>
          </cell>
          <cell r="BE549">
            <v>0</v>
          </cell>
          <cell r="BF549">
            <v>2295130.85</v>
          </cell>
          <cell r="BG549">
            <v>2114088.02</v>
          </cell>
          <cell r="BH549">
            <v>2252875.7999999998</v>
          </cell>
          <cell r="BI549">
            <v>538083.31000000006</v>
          </cell>
          <cell r="BJ549">
            <v>180248.82000000004</v>
          </cell>
          <cell r="BK549">
            <v>0</v>
          </cell>
          <cell r="BL549">
            <v>0</v>
          </cell>
          <cell r="BM549">
            <v>718332.13000000012</v>
          </cell>
          <cell r="BN549">
            <v>0</v>
          </cell>
          <cell r="BO549">
            <v>0</v>
          </cell>
          <cell r="BP549">
            <v>0</v>
          </cell>
          <cell r="BQ549">
            <v>0</v>
          </cell>
          <cell r="BR549">
            <v>718332.13000000012</v>
          </cell>
          <cell r="BT549">
            <v>0</v>
          </cell>
          <cell r="CA549" t="str">
            <v>000013 - REVTOT - Base</v>
          </cell>
          <cell r="CC549" t="str">
            <v>000013 - REVTOT - Base - MR</v>
          </cell>
          <cell r="CD549" t="str">
            <v>000013 - REVTOT - Base - MR</v>
          </cell>
          <cell r="CF549" t="str">
            <v>000013 - Base - MR</v>
          </cell>
        </row>
        <row r="550">
          <cell r="D550">
            <v>536</v>
          </cell>
          <cell r="E550">
            <v>1</v>
          </cell>
          <cell r="F550">
            <v>2</v>
          </cell>
          <cell r="G550" t="str">
            <v>000013</v>
          </cell>
          <cell r="H550" t="str">
            <v>Redstone</v>
          </cell>
          <cell r="I550" t="str">
            <v>MR</v>
          </cell>
          <cell r="J550" t="str">
            <v>MR Maintenance &amp; Sustainment</v>
          </cell>
          <cell r="K550" t="str">
            <v>Other DOD</v>
          </cell>
          <cell r="L550" t="str">
            <v>DOD</v>
          </cell>
          <cell r="M550" t="str">
            <v>AL</v>
          </cell>
          <cell r="N550" t="str">
            <v>CONUS</v>
          </cell>
          <cell r="O550">
            <v>0</v>
          </cell>
          <cell r="P550">
            <v>0</v>
          </cell>
          <cell r="Q550">
            <v>0</v>
          </cell>
          <cell r="R550" t="str">
            <v>CPFF</v>
          </cell>
          <cell r="S550">
            <v>0</v>
          </cell>
          <cell r="T550">
            <v>1</v>
          </cell>
          <cell r="U550" t="str">
            <v>REVTOT</v>
          </cell>
          <cell r="V550" t="str">
            <v>Identified - Recompete</v>
          </cell>
          <cell r="W550">
            <v>0</v>
          </cell>
          <cell r="X550">
            <v>0</v>
          </cell>
          <cell r="Y550">
            <v>0</v>
          </cell>
          <cell r="Z550">
            <v>0</v>
          </cell>
          <cell r="AA550">
            <v>0</v>
          </cell>
          <cell r="AB550">
            <v>0</v>
          </cell>
          <cell r="AC550">
            <v>0</v>
          </cell>
          <cell r="AD550">
            <v>0</v>
          </cell>
          <cell r="AI550">
            <v>0</v>
          </cell>
          <cell r="AJ550">
            <v>0</v>
          </cell>
          <cell r="AK550">
            <v>0</v>
          </cell>
          <cell r="BB550">
            <v>0</v>
          </cell>
          <cell r="BC550">
            <v>0</v>
          </cell>
          <cell r="BD550">
            <v>0</v>
          </cell>
          <cell r="BE550">
            <v>0</v>
          </cell>
          <cell r="BI550">
            <v>0</v>
          </cell>
          <cell r="BJ550">
            <v>0</v>
          </cell>
          <cell r="BK550">
            <v>0</v>
          </cell>
          <cell r="BL550">
            <v>0</v>
          </cell>
          <cell r="BM550">
            <v>0</v>
          </cell>
          <cell r="BN550">
            <v>0</v>
          </cell>
          <cell r="BO550">
            <v>0</v>
          </cell>
          <cell r="BP550">
            <v>0</v>
          </cell>
          <cell r="BQ550">
            <v>0</v>
          </cell>
          <cell r="BR550">
            <v>0</v>
          </cell>
          <cell r="BT550">
            <v>0</v>
          </cell>
          <cell r="CA550" t="str">
            <v>000013 - REVTOT - Identified - Recompete</v>
          </cell>
          <cell r="CC550" t="str">
            <v>000013 - REVTOT - Identified - Recompete - MR</v>
          </cell>
          <cell r="CD550" t="str">
            <v/>
          </cell>
          <cell r="CF550" t="str">
            <v>000013 - Identified - Recompete - MR</v>
          </cell>
        </row>
        <row r="551">
          <cell r="D551">
            <v>537</v>
          </cell>
          <cell r="E551">
            <v>2</v>
          </cell>
          <cell r="F551">
            <v>3</v>
          </cell>
          <cell r="G551" t="str">
            <v>000013</v>
          </cell>
          <cell r="H551" t="str">
            <v>Redstone</v>
          </cell>
          <cell r="I551" t="str">
            <v>MR</v>
          </cell>
          <cell r="J551" t="str">
            <v>MR Maintenance &amp; Sustainment</v>
          </cell>
          <cell r="K551" t="str">
            <v>Other DOD</v>
          </cell>
          <cell r="L551" t="str">
            <v>DOD</v>
          </cell>
          <cell r="M551" t="str">
            <v>AL</v>
          </cell>
          <cell r="N551" t="str">
            <v>CONUS</v>
          </cell>
          <cell r="O551">
            <v>41609</v>
          </cell>
          <cell r="P551">
            <v>43494</v>
          </cell>
          <cell r="Q551" t="str">
            <v>Sub</v>
          </cell>
          <cell r="R551" t="str">
            <v>CPFF</v>
          </cell>
          <cell r="S551">
            <v>0</v>
          </cell>
          <cell r="T551">
            <v>1</v>
          </cell>
          <cell r="U551" t="str">
            <v>CONTRACT</v>
          </cell>
          <cell r="V551" t="str">
            <v>Base</v>
          </cell>
          <cell r="W551" t="str">
            <v>05 Won</v>
          </cell>
          <cell r="X551" t="str">
            <v>Active</v>
          </cell>
          <cell r="Y551">
            <v>1</v>
          </cell>
          <cell r="Z551">
            <v>0</v>
          </cell>
          <cell r="AA551">
            <v>-0.34430903824977577</v>
          </cell>
          <cell r="AB551">
            <v>0</v>
          </cell>
          <cell r="AC551">
            <v>0</v>
          </cell>
          <cell r="AD551">
            <v>-0.34430903824977577</v>
          </cell>
          <cell r="AL551">
            <v>0.11392355690744166</v>
          </cell>
          <cell r="AM551">
            <v>3.2400779604247511E-2</v>
          </cell>
          <cell r="AN551">
            <v>0.10455014874765846</v>
          </cell>
          <cell r="AO551">
            <v>0.127867286125709</v>
          </cell>
          <cell r="AP551">
            <v>8.9067647144742357E-2</v>
          </cell>
          <cell r="AQ551">
            <v>8.9067647144742357E-2</v>
          </cell>
          <cell r="AR551">
            <v>8.9067647144742357E-2</v>
          </cell>
          <cell r="AS551">
            <v>8.9067647144742357E-2</v>
          </cell>
          <cell r="BF551">
            <v>261469.46999999997</v>
          </cell>
          <cell r="BG551">
            <v>68498.100000000006</v>
          </cell>
          <cell r="BH551">
            <v>235538.50000000003</v>
          </cell>
          <cell r="BI551">
            <v>59285.22</v>
          </cell>
          <cell r="BJ551">
            <v>32565.960000000006</v>
          </cell>
          <cell r="BK551">
            <v>0</v>
          </cell>
          <cell r="BL551">
            <v>0</v>
          </cell>
          <cell r="BM551">
            <v>91851.180000000008</v>
          </cell>
          <cell r="BN551">
            <v>0</v>
          </cell>
          <cell r="BO551">
            <v>0</v>
          </cell>
          <cell r="BP551">
            <v>0</v>
          </cell>
          <cell r="BQ551">
            <v>0</v>
          </cell>
          <cell r="BR551">
            <v>91851.180000000008</v>
          </cell>
          <cell r="BT551">
            <v>0</v>
          </cell>
          <cell r="CA551" t="str">
            <v>000013 - CONTRACT - Base</v>
          </cell>
          <cell r="CC551" t="str">
            <v>000013 - CONTRACT - Base - MR</v>
          </cell>
          <cell r="CD551" t="str">
            <v/>
          </cell>
          <cell r="CF551" t="str">
            <v>000013 - Base - MR</v>
          </cell>
        </row>
        <row r="552">
          <cell r="D552">
            <v>538</v>
          </cell>
          <cell r="E552">
            <v>2</v>
          </cell>
          <cell r="F552">
            <v>4</v>
          </cell>
          <cell r="G552" t="str">
            <v>000013</v>
          </cell>
          <cell r="H552" t="str">
            <v>Redstone</v>
          </cell>
          <cell r="I552" t="str">
            <v>MR</v>
          </cell>
          <cell r="J552" t="str">
            <v>MR Maintenance &amp; Sustainment</v>
          </cell>
          <cell r="K552" t="str">
            <v>Other DOD</v>
          </cell>
          <cell r="L552" t="str">
            <v>DOD</v>
          </cell>
          <cell r="M552" t="str">
            <v>AL</v>
          </cell>
          <cell r="N552" t="str">
            <v>CONUS</v>
          </cell>
          <cell r="O552">
            <v>0</v>
          </cell>
          <cell r="P552">
            <v>0</v>
          </cell>
          <cell r="Q552">
            <v>0</v>
          </cell>
          <cell r="R552" t="str">
            <v>CPFF</v>
          </cell>
          <cell r="S552">
            <v>0</v>
          </cell>
          <cell r="T552">
            <v>1</v>
          </cell>
          <cell r="U552" t="str">
            <v>CONTRACT</v>
          </cell>
          <cell r="V552" t="str">
            <v>Identified - Recompete</v>
          </cell>
          <cell r="W552">
            <v>0</v>
          </cell>
          <cell r="X552">
            <v>0</v>
          </cell>
          <cell r="Y552">
            <v>0</v>
          </cell>
          <cell r="Z552">
            <v>0</v>
          </cell>
          <cell r="AA552">
            <v>0</v>
          </cell>
          <cell r="AB552">
            <v>0</v>
          </cell>
          <cell r="AC552">
            <v>0</v>
          </cell>
          <cell r="AD552">
            <v>0</v>
          </cell>
          <cell r="AP552">
            <v>0</v>
          </cell>
          <cell r="AQ552">
            <v>0</v>
          </cell>
          <cell r="AR552">
            <v>0</v>
          </cell>
          <cell r="AS552">
            <v>0</v>
          </cell>
          <cell r="BI552">
            <v>0</v>
          </cell>
          <cell r="BJ552">
            <v>0</v>
          </cell>
          <cell r="BK552">
            <v>0</v>
          </cell>
          <cell r="BL552">
            <v>0</v>
          </cell>
          <cell r="BM552">
            <v>0</v>
          </cell>
          <cell r="BN552">
            <v>0</v>
          </cell>
          <cell r="BO552">
            <v>0</v>
          </cell>
          <cell r="BP552">
            <v>0</v>
          </cell>
          <cell r="BQ552">
            <v>0</v>
          </cell>
          <cell r="BR552">
            <v>0</v>
          </cell>
          <cell r="BT552">
            <v>0</v>
          </cell>
          <cell r="CA552" t="str">
            <v>000013 - CONTRACT - Identified - Recompete</v>
          </cell>
          <cell r="CC552" t="str">
            <v>000013 - CONTRACT - Identified - Recompete - MR</v>
          </cell>
          <cell r="CD552" t="str">
            <v/>
          </cell>
          <cell r="CF552" t="str">
            <v>000013 - Identified - Recompete - MR</v>
          </cell>
        </row>
        <row r="553">
          <cell r="D553">
            <v>539</v>
          </cell>
          <cell r="E553">
            <v>0</v>
          </cell>
          <cell r="F553">
            <v>5</v>
          </cell>
          <cell r="G553" t="str">
            <v>000013</v>
          </cell>
          <cell r="H553" t="str">
            <v>Redstone</v>
          </cell>
          <cell r="I553" t="str">
            <v>MR</v>
          </cell>
          <cell r="J553" t="str">
            <v>MR Maintenance &amp; Sustainment</v>
          </cell>
          <cell r="K553" t="str">
            <v>Other DOD</v>
          </cell>
          <cell r="L553" t="str">
            <v>DOD</v>
          </cell>
          <cell r="M553" t="str">
            <v>AL</v>
          </cell>
          <cell r="N553" t="str">
            <v>CONUS</v>
          </cell>
          <cell r="O553">
            <v>41609</v>
          </cell>
          <cell r="P553">
            <v>43494</v>
          </cell>
          <cell r="Q553" t="str">
            <v>Sub</v>
          </cell>
          <cell r="R553" t="str">
            <v>CPFF</v>
          </cell>
          <cell r="S553">
            <v>0</v>
          </cell>
          <cell r="T553">
            <v>1</v>
          </cell>
          <cell r="U553" t="str">
            <v>EBITA</v>
          </cell>
          <cell r="V553" t="str">
            <v>Base</v>
          </cell>
          <cell r="W553" t="str">
            <v>05 Won</v>
          </cell>
          <cell r="X553" t="str">
            <v>Active</v>
          </cell>
          <cell r="Y553">
            <v>1</v>
          </cell>
          <cell r="Z553">
            <v>0</v>
          </cell>
          <cell r="AA553">
            <v>-0.34430903824977577</v>
          </cell>
          <cell r="AB553">
            <v>0</v>
          </cell>
          <cell r="AC553">
            <v>0</v>
          </cell>
          <cell r="AD553">
            <v>-0.34430903824977577</v>
          </cell>
          <cell r="AT553">
            <v>3.5331750257289241E-2</v>
          </cell>
          <cell r="AU553">
            <v>-5.1908108348298572E-2</v>
          </cell>
          <cell r="AV553">
            <v>2.961235590528339E-2</v>
          </cell>
          <cell r="AW553">
            <v>5.3945213337457158E-2</v>
          </cell>
          <cell r="AX553">
            <v>1.0408099976006812E-2</v>
          </cell>
          <cell r="AY553">
            <v>1.0408099976006812E-2</v>
          </cell>
          <cell r="AZ553">
            <v>1.0408099976006812E-2</v>
          </cell>
          <cell r="BA553">
            <v>1.0408099976006812E-2</v>
          </cell>
          <cell r="BF553">
            <v>81090.989999999976</v>
          </cell>
          <cell r="BG553">
            <v>-109738.31</v>
          </cell>
          <cell r="BH553">
            <v>66712.960000000036</v>
          </cell>
          <cell r="BI553">
            <v>17714.520000000004</v>
          </cell>
          <cell r="BJ553">
            <v>21036.060000000012</v>
          </cell>
          <cell r="BK553">
            <v>0</v>
          </cell>
          <cell r="BL553">
            <v>0</v>
          </cell>
          <cell r="BM553">
            <v>38750.580000000016</v>
          </cell>
          <cell r="BN553">
            <v>0</v>
          </cell>
          <cell r="BO553">
            <v>0</v>
          </cell>
          <cell r="BP553">
            <v>0</v>
          </cell>
          <cell r="BQ553">
            <v>0</v>
          </cell>
          <cell r="BR553">
            <v>38750.580000000016</v>
          </cell>
          <cell r="BT553">
            <v>0</v>
          </cell>
          <cell r="CA553" t="str">
            <v>000013 - EBITA - Base</v>
          </cell>
          <cell r="CC553" t="str">
            <v>000013 - EBITA - Base - MR</v>
          </cell>
          <cell r="CD553" t="str">
            <v/>
          </cell>
          <cell r="CF553" t="str">
            <v>000013 - Base - MR</v>
          </cell>
        </row>
        <row r="554">
          <cell r="D554">
            <v>540</v>
          </cell>
          <cell r="E554">
            <v>0</v>
          </cell>
          <cell r="F554">
            <v>0</v>
          </cell>
          <cell r="G554" t="str">
            <v>000013</v>
          </cell>
          <cell r="H554" t="str">
            <v>Redstone</v>
          </cell>
          <cell r="I554" t="str">
            <v>MR</v>
          </cell>
          <cell r="J554" t="str">
            <v>MR Maintenance &amp; Sustainment</v>
          </cell>
          <cell r="K554" t="str">
            <v>Other DOD</v>
          </cell>
          <cell r="L554" t="str">
            <v>DOD</v>
          </cell>
          <cell r="M554" t="str">
            <v>AL</v>
          </cell>
          <cell r="N554" t="str">
            <v>CONUS</v>
          </cell>
          <cell r="O554">
            <v>0</v>
          </cell>
          <cell r="P554">
            <v>0</v>
          </cell>
          <cell r="Q554">
            <v>0</v>
          </cell>
          <cell r="R554" t="str">
            <v>CPFF</v>
          </cell>
          <cell r="S554">
            <v>0</v>
          </cell>
          <cell r="T554">
            <v>1</v>
          </cell>
          <cell r="U554" t="str">
            <v>EBITA</v>
          </cell>
          <cell r="V554" t="str">
            <v>Identified - Recompete</v>
          </cell>
          <cell r="W554">
            <v>0</v>
          </cell>
          <cell r="X554">
            <v>0</v>
          </cell>
          <cell r="Y554">
            <v>0</v>
          </cell>
          <cell r="Z554">
            <v>0</v>
          </cell>
          <cell r="AA554">
            <v>0</v>
          </cell>
          <cell r="AB554">
            <v>0</v>
          </cell>
          <cell r="AC554">
            <v>0</v>
          </cell>
          <cell r="AD554">
            <v>0</v>
          </cell>
          <cell r="AX554">
            <v>0</v>
          </cell>
          <cell r="AY554">
            <v>0</v>
          </cell>
          <cell r="AZ554">
            <v>0</v>
          </cell>
          <cell r="BA554">
            <v>0</v>
          </cell>
          <cell r="BI554">
            <v>0</v>
          </cell>
          <cell r="BJ554">
            <v>0</v>
          </cell>
          <cell r="BK554">
            <v>0</v>
          </cell>
          <cell r="BL554">
            <v>0</v>
          </cell>
          <cell r="BM554">
            <v>0</v>
          </cell>
          <cell r="BN554">
            <v>0</v>
          </cell>
          <cell r="BO554">
            <v>0</v>
          </cell>
          <cell r="BP554">
            <v>0</v>
          </cell>
          <cell r="BQ554">
            <v>0</v>
          </cell>
          <cell r="BR554">
            <v>0</v>
          </cell>
          <cell r="BT554">
            <v>0</v>
          </cell>
          <cell r="CA554" t="str">
            <v>000013 - EBITA - Identified - Recompete</v>
          </cell>
          <cell r="CC554" t="str">
            <v>000013 - EBITA - Identified - Recompete - MR</v>
          </cell>
          <cell r="CD554" t="str">
            <v/>
          </cell>
          <cell r="CF554" t="str">
            <v>000013 - Identified - Recompete - MR</v>
          </cell>
        </row>
        <row r="555">
          <cell r="D555">
            <v>541</v>
          </cell>
          <cell r="E555">
            <v>1</v>
          </cell>
          <cell r="F555">
            <v>1</v>
          </cell>
          <cell r="G555" t="str">
            <v>BLISSX</v>
          </cell>
          <cell r="H555" t="str">
            <v>PAE BLISS Iraq</v>
          </cell>
          <cell r="I555" t="str">
            <v>MR</v>
          </cell>
          <cell r="J555" t="str">
            <v>MR Maintenance &amp; Sustainment</v>
          </cell>
          <cell r="K555" t="str">
            <v>Dept. of State</v>
          </cell>
          <cell r="L555" t="str">
            <v>DOS</v>
          </cell>
          <cell r="M555" t="str">
            <v>IRAQ</v>
          </cell>
          <cell r="N555" t="str">
            <v>OCONUS</v>
          </cell>
          <cell r="O555">
            <v>41979</v>
          </cell>
          <cell r="P555">
            <v>43439</v>
          </cell>
          <cell r="Q555" t="str">
            <v>Sub</v>
          </cell>
          <cell r="R555" t="str">
            <v>FFP</v>
          </cell>
          <cell r="S555">
            <v>0</v>
          </cell>
          <cell r="T555">
            <v>1</v>
          </cell>
          <cell r="U555" t="str">
            <v>REVTOT</v>
          </cell>
          <cell r="V555" t="str">
            <v>Base</v>
          </cell>
          <cell r="W555" t="str">
            <v>05 Won</v>
          </cell>
          <cell r="X555" t="str">
            <v>Active</v>
          </cell>
          <cell r="Y555">
            <v>1</v>
          </cell>
          <cell r="Z555">
            <v>0</v>
          </cell>
          <cell r="AA555">
            <v>226159.64000000068</v>
          </cell>
          <cell r="AB555">
            <v>0</v>
          </cell>
          <cell r="AC555">
            <v>0</v>
          </cell>
          <cell r="AD555">
            <v>226159.64000000068</v>
          </cell>
          <cell r="AE555">
            <v>-0.58863835929887554</v>
          </cell>
          <cell r="AF555">
            <v>-4.7513099406393144E-2</v>
          </cell>
          <cell r="AG555">
            <v>-0.83063557170104518</v>
          </cell>
          <cell r="AH555">
            <v>-1</v>
          </cell>
          <cell r="AI555">
            <v>0</v>
          </cell>
          <cell r="AJ555">
            <v>0</v>
          </cell>
          <cell r="AK555">
            <v>0</v>
          </cell>
          <cell r="BB555">
            <v>0</v>
          </cell>
          <cell r="BC555">
            <v>0</v>
          </cell>
          <cell r="BD555">
            <v>0</v>
          </cell>
          <cell r="BE555">
            <v>0</v>
          </cell>
          <cell r="BF555">
            <v>7776672.4299999997</v>
          </cell>
          <cell r="BG555">
            <v>3199024.73</v>
          </cell>
          <cell r="BH555">
            <v>3047029.15</v>
          </cell>
          <cell r="BI555">
            <v>508774.69000000006</v>
          </cell>
          <cell r="BJ555">
            <v>4643.6099999999997</v>
          </cell>
          <cell r="BK555">
            <v>2640.05</v>
          </cell>
          <cell r="BL555">
            <v>0</v>
          </cell>
          <cell r="BM555">
            <v>516058.35000000003</v>
          </cell>
          <cell r="BN555">
            <v>0</v>
          </cell>
          <cell r="BO555">
            <v>0</v>
          </cell>
          <cell r="BP555">
            <v>0</v>
          </cell>
          <cell r="BQ555">
            <v>0</v>
          </cell>
          <cell r="BR555">
            <v>516058.35000000003</v>
          </cell>
          <cell r="BT555">
            <v>0</v>
          </cell>
          <cell r="CA555" t="str">
            <v>BLISSX - REVTOT - Base</v>
          </cell>
          <cell r="CC555" t="str">
            <v>BLISSX - REVTOT - Base - MR</v>
          </cell>
          <cell r="CD555" t="str">
            <v>BLISSX - REVTOT - Base - MR</v>
          </cell>
          <cell r="CF555" t="str">
            <v>BLISSX - Base - MR</v>
          </cell>
        </row>
        <row r="556">
          <cell r="D556">
            <v>542</v>
          </cell>
          <cell r="E556">
            <v>1</v>
          </cell>
          <cell r="F556">
            <v>2</v>
          </cell>
          <cell r="G556" t="str">
            <v>BLISSX</v>
          </cell>
          <cell r="H556" t="str">
            <v>PAE BLISS Iraq</v>
          </cell>
          <cell r="I556" t="str">
            <v>MR</v>
          </cell>
          <cell r="J556" t="str">
            <v>MR Maintenance &amp; Sustainment</v>
          </cell>
          <cell r="K556" t="str">
            <v>Dept. of State</v>
          </cell>
          <cell r="L556" t="str">
            <v>DOS</v>
          </cell>
          <cell r="M556" t="str">
            <v>IRAQ</v>
          </cell>
          <cell r="N556" t="str">
            <v>OCONUS</v>
          </cell>
          <cell r="O556">
            <v>0</v>
          </cell>
          <cell r="P556">
            <v>0</v>
          </cell>
          <cell r="Q556">
            <v>0</v>
          </cell>
          <cell r="R556" t="str">
            <v>FFP</v>
          </cell>
          <cell r="S556">
            <v>0</v>
          </cell>
          <cell r="T556">
            <v>1</v>
          </cell>
          <cell r="U556" t="str">
            <v>REVTOT</v>
          </cell>
          <cell r="V556" t="str">
            <v>Identified - Recompete</v>
          </cell>
          <cell r="W556">
            <v>0</v>
          </cell>
          <cell r="X556">
            <v>0</v>
          </cell>
          <cell r="Y556">
            <v>0</v>
          </cell>
          <cell r="Z556">
            <v>0</v>
          </cell>
          <cell r="AA556">
            <v>0</v>
          </cell>
          <cell r="AB556">
            <v>0</v>
          </cell>
          <cell r="AC556">
            <v>0</v>
          </cell>
          <cell r="AD556">
            <v>0</v>
          </cell>
          <cell r="AI556">
            <v>0</v>
          </cell>
          <cell r="AJ556">
            <v>0</v>
          </cell>
          <cell r="AK556">
            <v>0</v>
          </cell>
          <cell r="BB556">
            <v>0</v>
          </cell>
          <cell r="BC556">
            <v>0</v>
          </cell>
          <cell r="BD556">
            <v>0</v>
          </cell>
          <cell r="BE556">
            <v>0</v>
          </cell>
          <cell r="BI556">
            <v>0</v>
          </cell>
          <cell r="BJ556">
            <v>0</v>
          </cell>
          <cell r="BK556">
            <v>0</v>
          </cell>
          <cell r="BL556">
            <v>0</v>
          </cell>
          <cell r="BM556">
            <v>0</v>
          </cell>
          <cell r="BN556">
            <v>0</v>
          </cell>
          <cell r="BO556">
            <v>0</v>
          </cell>
          <cell r="BP556">
            <v>0</v>
          </cell>
          <cell r="BQ556">
            <v>0</v>
          </cell>
          <cell r="BR556">
            <v>0</v>
          </cell>
          <cell r="BT556">
            <v>0</v>
          </cell>
          <cell r="CA556" t="str">
            <v>BLISSX - REVTOT - Identified - Recompete</v>
          </cell>
          <cell r="CC556" t="str">
            <v>BLISSX - REVTOT - Identified - Recompete - MR</v>
          </cell>
          <cell r="CD556" t="str">
            <v/>
          </cell>
          <cell r="CF556" t="str">
            <v>BLISSX - Identified - Recompete - MR</v>
          </cell>
        </row>
        <row r="557">
          <cell r="D557">
            <v>543</v>
          </cell>
          <cell r="E557">
            <v>2</v>
          </cell>
          <cell r="F557">
            <v>3</v>
          </cell>
          <cell r="G557" t="str">
            <v>BLISSX</v>
          </cell>
          <cell r="H557" t="str">
            <v>PAE BLISS Iraq</v>
          </cell>
          <cell r="I557" t="str">
            <v>MR</v>
          </cell>
          <cell r="J557" t="str">
            <v>MR Maintenance &amp; Sustainment</v>
          </cell>
          <cell r="K557" t="str">
            <v>Dept. of State</v>
          </cell>
          <cell r="L557" t="str">
            <v>DOS</v>
          </cell>
          <cell r="M557" t="str">
            <v>IRAQ</v>
          </cell>
          <cell r="N557" t="str">
            <v>OCONUS</v>
          </cell>
          <cell r="O557">
            <v>41979</v>
          </cell>
          <cell r="P557">
            <v>43439</v>
          </cell>
          <cell r="Q557" t="str">
            <v>Sub</v>
          </cell>
          <cell r="R557" t="str">
            <v>FFP</v>
          </cell>
          <cell r="S557">
            <v>0</v>
          </cell>
          <cell r="T557">
            <v>1</v>
          </cell>
          <cell r="U557" t="str">
            <v>CONTRACT</v>
          </cell>
          <cell r="V557" t="str">
            <v>Base</v>
          </cell>
          <cell r="W557" t="str">
            <v>05 Won</v>
          </cell>
          <cell r="X557" t="str">
            <v>Active</v>
          </cell>
          <cell r="Y557">
            <v>1</v>
          </cell>
          <cell r="Z557">
            <v>0</v>
          </cell>
          <cell r="AA557">
            <v>226159.64000000068</v>
          </cell>
          <cell r="AB557">
            <v>0</v>
          </cell>
          <cell r="AC557">
            <v>0</v>
          </cell>
          <cell r="AD557">
            <v>226159.64000000068</v>
          </cell>
          <cell r="AL557">
            <v>0.225830090672856</v>
          </cell>
          <cell r="AM557">
            <v>0.26802721840790517</v>
          </cell>
          <cell r="AN557">
            <v>0.32712527216879433</v>
          </cell>
          <cell r="AO557">
            <v>0.30956784247362717</v>
          </cell>
          <cell r="AP557">
            <v>0.25931656174622775</v>
          </cell>
          <cell r="AQ557">
            <v>0.25931656174622775</v>
          </cell>
          <cell r="AR557">
            <v>0.25931656174622775</v>
          </cell>
          <cell r="AS557">
            <v>0.25931656174622775</v>
          </cell>
          <cell r="BF557">
            <v>1756206.6399999994</v>
          </cell>
          <cell r="BG557">
            <v>857425.69999999984</v>
          </cell>
          <cell r="BH557">
            <v>996760.24</v>
          </cell>
          <cell r="BI557">
            <v>159244.25999999998</v>
          </cell>
          <cell r="BJ557">
            <v>382.53999999999968</v>
          </cell>
          <cell r="BK557">
            <v>128.26999999999975</v>
          </cell>
          <cell r="BL557">
            <v>0</v>
          </cell>
          <cell r="BM557">
            <v>159755.06999999998</v>
          </cell>
          <cell r="BN557">
            <v>0</v>
          </cell>
          <cell r="BO557">
            <v>0</v>
          </cell>
          <cell r="BP557">
            <v>0</v>
          </cell>
          <cell r="BQ557">
            <v>0</v>
          </cell>
          <cell r="BR557">
            <v>159755.06999999998</v>
          </cell>
          <cell r="BT557">
            <v>0</v>
          </cell>
          <cell r="CA557" t="str">
            <v>BLISSX - CONTRACT - Base</v>
          </cell>
          <cell r="CC557" t="str">
            <v>BLISSX - CONTRACT - Base - MR</v>
          </cell>
          <cell r="CD557" t="str">
            <v/>
          </cell>
          <cell r="CF557" t="str">
            <v>BLISSX - Base - MR</v>
          </cell>
        </row>
        <row r="558">
          <cell r="D558">
            <v>544</v>
          </cell>
          <cell r="E558">
            <v>2</v>
          </cell>
          <cell r="F558">
            <v>4</v>
          </cell>
          <cell r="G558" t="str">
            <v>BLISSX</v>
          </cell>
          <cell r="H558" t="str">
            <v>PAE BLISS Iraq</v>
          </cell>
          <cell r="I558" t="str">
            <v>MR</v>
          </cell>
          <cell r="J558" t="str">
            <v>MR Maintenance &amp; Sustainment</v>
          </cell>
          <cell r="K558" t="str">
            <v>Dept. of State</v>
          </cell>
          <cell r="L558" t="str">
            <v>DOS</v>
          </cell>
          <cell r="M558" t="str">
            <v>IRAQ</v>
          </cell>
          <cell r="N558" t="str">
            <v>OCONUS</v>
          </cell>
          <cell r="O558">
            <v>0</v>
          </cell>
          <cell r="P558">
            <v>0</v>
          </cell>
          <cell r="Q558">
            <v>0</v>
          </cell>
          <cell r="R558" t="str">
            <v>FFP</v>
          </cell>
          <cell r="S558">
            <v>0</v>
          </cell>
          <cell r="T558">
            <v>1</v>
          </cell>
          <cell r="U558" t="str">
            <v>CONTRACT</v>
          </cell>
          <cell r="V558" t="str">
            <v>Identified - Recompete</v>
          </cell>
          <cell r="W558">
            <v>0</v>
          </cell>
          <cell r="X558">
            <v>0</v>
          </cell>
          <cell r="Y558">
            <v>0</v>
          </cell>
          <cell r="Z558">
            <v>0</v>
          </cell>
          <cell r="AA558">
            <v>0</v>
          </cell>
          <cell r="AB558">
            <v>0</v>
          </cell>
          <cell r="AC558">
            <v>0</v>
          </cell>
          <cell r="AD558">
            <v>0</v>
          </cell>
          <cell r="AP558">
            <v>0</v>
          </cell>
          <cell r="AQ558">
            <v>0</v>
          </cell>
          <cell r="AR558">
            <v>0</v>
          </cell>
          <cell r="AS558">
            <v>0</v>
          </cell>
          <cell r="BI558">
            <v>0</v>
          </cell>
          <cell r="BJ558">
            <v>0</v>
          </cell>
          <cell r="BK558">
            <v>0</v>
          </cell>
          <cell r="BL558">
            <v>0</v>
          </cell>
          <cell r="BM558">
            <v>0</v>
          </cell>
          <cell r="BN558">
            <v>0</v>
          </cell>
          <cell r="BO558">
            <v>0</v>
          </cell>
          <cell r="BP558">
            <v>0</v>
          </cell>
          <cell r="BQ558">
            <v>0</v>
          </cell>
          <cell r="BR558">
            <v>0</v>
          </cell>
          <cell r="BT558">
            <v>0</v>
          </cell>
          <cell r="CA558" t="str">
            <v>BLISSX - CONTRACT - Identified - Recompete</v>
          </cell>
          <cell r="CC558" t="str">
            <v>BLISSX - CONTRACT - Identified - Recompete - MR</v>
          </cell>
          <cell r="CD558" t="str">
            <v/>
          </cell>
          <cell r="CF558" t="str">
            <v>BLISSX - Identified - Recompete - MR</v>
          </cell>
        </row>
        <row r="559">
          <cell r="D559">
            <v>545</v>
          </cell>
          <cell r="E559">
            <v>0</v>
          </cell>
          <cell r="F559">
            <v>5</v>
          </cell>
          <cell r="G559" t="str">
            <v>BLISSX</v>
          </cell>
          <cell r="H559" t="str">
            <v>PAE BLISS Iraq</v>
          </cell>
          <cell r="I559" t="str">
            <v>MR</v>
          </cell>
          <cell r="J559" t="str">
            <v>MR Maintenance &amp; Sustainment</v>
          </cell>
          <cell r="K559" t="str">
            <v>Dept. of State</v>
          </cell>
          <cell r="L559" t="str">
            <v>DOS</v>
          </cell>
          <cell r="M559" t="str">
            <v>IRAQ</v>
          </cell>
          <cell r="N559" t="str">
            <v>OCONUS</v>
          </cell>
          <cell r="O559">
            <v>41979</v>
          </cell>
          <cell r="P559">
            <v>43439</v>
          </cell>
          <cell r="Q559" t="str">
            <v>Sub</v>
          </cell>
          <cell r="R559" t="str">
            <v>FFP</v>
          </cell>
          <cell r="S559">
            <v>0</v>
          </cell>
          <cell r="T559">
            <v>1</v>
          </cell>
          <cell r="U559" t="str">
            <v>EBITA</v>
          </cell>
          <cell r="V559" t="str">
            <v>Base</v>
          </cell>
          <cell r="W559" t="str">
            <v>05 Won</v>
          </cell>
          <cell r="X559" t="str">
            <v>Active</v>
          </cell>
          <cell r="Y559">
            <v>1</v>
          </cell>
          <cell r="Z559">
            <v>0</v>
          </cell>
          <cell r="AA559">
            <v>226159.64000000068</v>
          </cell>
          <cell r="AB559">
            <v>0</v>
          </cell>
          <cell r="AC559">
            <v>0</v>
          </cell>
          <cell r="AD559">
            <v>226159.64000000068</v>
          </cell>
          <cell r="AT559">
            <v>0.16371366178271696</v>
          </cell>
          <cell r="AU559">
            <v>0.20992180951348877</v>
          </cell>
          <cell r="AV559">
            <v>0.27816232411166791</v>
          </cell>
          <cell r="AW559">
            <v>0.25872124731631602</v>
          </cell>
          <cell r="AX559">
            <v>0.2022394170779333</v>
          </cell>
          <cell r="AY559">
            <v>0.2032394170779333</v>
          </cell>
          <cell r="AZ559">
            <v>0.20423941707793331</v>
          </cell>
          <cell r="BA559">
            <v>0.20523941707793331</v>
          </cell>
          <cell r="BF559">
            <v>1273147.5199999996</v>
          </cell>
          <cell r="BG559">
            <v>671545.05999999982</v>
          </cell>
          <cell r="BH559">
            <v>847568.71</v>
          </cell>
          <cell r="BI559">
            <v>132953.87999999998</v>
          </cell>
          <cell r="BJ559">
            <v>646.00999999999976</v>
          </cell>
          <cell r="BK559">
            <v>-84.630000000000251</v>
          </cell>
          <cell r="BL559">
            <v>0</v>
          </cell>
          <cell r="BM559">
            <v>133515.25999999998</v>
          </cell>
          <cell r="BN559">
            <v>0</v>
          </cell>
          <cell r="BO559">
            <v>0</v>
          </cell>
          <cell r="BP559">
            <v>0</v>
          </cell>
          <cell r="BQ559">
            <v>0</v>
          </cell>
          <cell r="BR559">
            <v>133515.25999999998</v>
          </cell>
          <cell r="BT559">
            <v>0</v>
          </cell>
          <cell r="CA559" t="str">
            <v>BLISSX - EBITA - Base</v>
          </cell>
          <cell r="CC559" t="str">
            <v>BLISSX - EBITA - Base - MR</v>
          </cell>
          <cell r="CD559" t="str">
            <v/>
          </cell>
          <cell r="CF559" t="str">
            <v>BLISSX - Base - MR</v>
          </cell>
        </row>
        <row r="560">
          <cell r="D560">
            <v>546</v>
          </cell>
          <cell r="E560">
            <v>0</v>
          </cell>
          <cell r="F560">
            <v>0</v>
          </cell>
          <cell r="G560" t="str">
            <v>BLISSX</v>
          </cell>
          <cell r="H560" t="str">
            <v>PAE BLISS Iraq</v>
          </cell>
          <cell r="I560" t="str">
            <v>MR</v>
          </cell>
          <cell r="J560" t="str">
            <v>MR Maintenance &amp; Sustainment</v>
          </cell>
          <cell r="K560" t="str">
            <v>Dept. of State</v>
          </cell>
          <cell r="L560" t="str">
            <v>DOS</v>
          </cell>
          <cell r="M560" t="str">
            <v>IRAQ</v>
          </cell>
          <cell r="N560" t="str">
            <v>OCONUS</v>
          </cell>
          <cell r="O560">
            <v>0</v>
          </cell>
          <cell r="P560">
            <v>0</v>
          </cell>
          <cell r="Q560">
            <v>0</v>
          </cell>
          <cell r="R560" t="str">
            <v>FFP</v>
          </cell>
          <cell r="S560">
            <v>0</v>
          </cell>
          <cell r="T560">
            <v>1</v>
          </cell>
          <cell r="U560" t="str">
            <v>EBITA</v>
          </cell>
          <cell r="V560" t="str">
            <v>Identified - Recompete</v>
          </cell>
          <cell r="W560">
            <v>0</v>
          </cell>
          <cell r="X560">
            <v>0</v>
          </cell>
          <cell r="Y560">
            <v>0</v>
          </cell>
          <cell r="Z560">
            <v>0</v>
          </cell>
          <cell r="AA560">
            <v>0</v>
          </cell>
          <cell r="AB560">
            <v>0</v>
          </cell>
          <cell r="AC560">
            <v>0</v>
          </cell>
          <cell r="AD560">
            <v>0</v>
          </cell>
          <cell r="AX560">
            <v>0</v>
          </cell>
          <cell r="AY560">
            <v>0</v>
          </cell>
          <cell r="AZ560">
            <v>0</v>
          </cell>
          <cell r="BA560">
            <v>0</v>
          </cell>
          <cell r="BI560">
            <v>0</v>
          </cell>
          <cell r="BJ560">
            <v>0</v>
          </cell>
          <cell r="BK560">
            <v>0</v>
          </cell>
          <cell r="BL560">
            <v>0</v>
          </cell>
          <cell r="BM560">
            <v>0</v>
          </cell>
          <cell r="BN560">
            <v>0</v>
          </cell>
          <cell r="BO560">
            <v>0</v>
          </cell>
          <cell r="BP560">
            <v>0</v>
          </cell>
          <cell r="BQ560">
            <v>0</v>
          </cell>
          <cell r="BR560">
            <v>0</v>
          </cell>
          <cell r="BT560">
            <v>0</v>
          </cell>
          <cell r="CA560" t="str">
            <v>BLISSX - EBITA - Identified - Recompete</v>
          </cell>
          <cell r="CC560" t="str">
            <v>BLISSX - EBITA - Identified - Recompete - MR</v>
          </cell>
          <cell r="CD560" t="str">
            <v/>
          </cell>
          <cell r="CF560" t="str">
            <v>BLISSX - Identified - Recompete - MR</v>
          </cell>
        </row>
        <row r="561">
          <cell r="D561">
            <v>547</v>
          </cell>
          <cell r="E561">
            <v>1</v>
          </cell>
          <cell r="F561">
            <v>1</v>
          </cell>
          <cell r="G561" t="str">
            <v>CP4410</v>
          </cell>
          <cell r="H561" t="str">
            <v>Jordan Grp 5 Ph 1 (4410)</v>
          </cell>
          <cell r="I561" t="str">
            <v>MR</v>
          </cell>
          <cell r="J561" t="str">
            <v>MR Non-Proliferation and Security Services</v>
          </cell>
          <cell r="K561" t="str">
            <v>Foreign Government</v>
          </cell>
          <cell r="L561" t="str">
            <v>Non-US Gov't</v>
          </cell>
          <cell r="M561" t="str">
            <v>OH</v>
          </cell>
          <cell r="N561" t="str">
            <v>CONUS</v>
          </cell>
          <cell r="O561">
            <v>43482</v>
          </cell>
          <cell r="P561">
            <v>43662</v>
          </cell>
          <cell r="Q561" t="str">
            <v>Prime</v>
          </cell>
          <cell r="R561" t="str">
            <v>FFP</v>
          </cell>
          <cell r="S561">
            <v>0</v>
          </cell>
          <cell r="T561">
            <v>1</v>
          </cell>
          <cell r="U561" t="str">
            <v>REVTOT</v>
          </cell>
          <cell r="V561" t="str">
            <v>Base</v>
          </cell>
          <cell r="W561" t="str">
            <v>05 Won</v>
          </cell>
          <cell r="X561" t="str">
            <v>Active</v>
          </cell>
          <cell r="Y561">
            <v>1</v>
          </cell>
          <cell r="Z561">
            <v>0</v>
          </cell>
          <cell r="AA561">
            <v>-5907.5000000000291</v>
          </cell>
          <cell r="AB561">
            <v>0</v>
          </cell>
          <cell r="AC561">
            <v>0</v>
          </cell>
          <cell r="AD561">
            <v>-5907.5000000000291</v>
          </cell>
          <cell r="AE561">
            <v>0</v>
          </cell>
          <cell r="AF561">
            <v>0</v>
          </cell>
          <cell r="AG561">
            <v>0</v>
          </cell>
          <cell r="AH561">
            <v>-1</v>
          </cell>
          <cell r="AI561">
            <v>0</v>
          </cell>
          <cell r="AJ561">
            <v>0</v>
          </cell>
          <cell r="AK561">
            <v>0</v>
          </cell>
          <cell r="BB561">
            <v>0</v>
          </cell>
          <cell r="BC561">
            <v>0</v>
          </cell>
          <cell r="BD561">
            <v>0</v>
          </cell>
          <cell r="BE561">
            <v>0</v>
          </cell>
          <cell r="BF561">
            <v>0</v>
          </cell>
          <cell r="BG561">
            <v>0</v>
          </cell>
          <cell r="BH561">
            <v>0</v>
          </cell>
          <cell r="BI561">
            <v>0</v>
          </cell>
          <cell r="BJ561">
            <v>121431.23999999999</v>
          </cell>
          <cell r="BK561">
            <v>229870.73000000004</v>
          </cell>
          <cell r="BL561">
            <v>178635.53</v>
          </cell>
          <cell r="BM561">
            <v>529937.5</v>
          </cell>
          <cell r="BN561">
            <v>0</v>
          </cell>
          <cell r="BO561">
            <v>0</v>
          </cell>
          <cell r="BP561">
            <v>0</v>
          </cell>
          <cell r="BQ561">
            <v>0</v>
          </cell>
          <cell r="BR561">
            <v>529937.5</v>
          </cell>
          <cell r="BT561">
            <v>0</v>
          </cell>
          <cell r="CA561" t="str">
            <v>CP4410 - REVTOT - Base</v>
          </cell>
          <cell r="CC561" t="str">
            <v>CP4410 - REVTOT - Base - MR</v>
          </cell>
          <cell r="CD561" t="str">
            <v>CP4410 - REVTOT - Base - MR</v>
          </cell>
          <cell r="CF561" t="str">
            <v>CP4410 - Base - MR</v>
          </cell>
        </row>
        <row r="562">
          <cell r="D562">
            <v>548</v>
          </cell>
          <cell r="E562">
            <v>1</v>
          </cell>
          <cell r="F562">
            <v>2</v>
          </cell>
          <cell r="G562" t="str">
            <v>CP4410</v>
          </cell>
          <cell r="H562" t="str">
            <v>Jordan Grp 5 Ph 1 (4410)</v>
          </cell>
          <cell r="I562" t="str">
            <v>MR</v>
          </cell>
          <cell r="J562" t="str">
            <v>MR Non-Proliferation and Security Services</v>
          </cell>
          <cell r="K562" t="str">
            <v>Foreign Government</v>
          </cell>
          <cell r="L562" t="str">
            <v>Non-US Gov't</v>
          </cell>
          <cell r="M562" t="str">
            <v>OH</v>
          </cell>
          <cell r="N562" t="str">
            <v>CONUS</v>
          </cell>
          <cell r="O562">
            <v>0</v>
          </cell>
          <cell r="P562">
            <v>0</v>
          </cell>
          <cell r="Q562">
            <v>0</v>
          </cell>
          <cell r="R562" t="str">
            <v>FFP</v>
          </cell>
          <cell r="S562">
            <v>0</v>
          </cell>
          <cell r="T562">
            <v>1</v>
          </cell>
          <cell r="U562" t="str">
            <v>REVTOT</v>
          </cell>
          <cell r="V562" t="str">
            <v>Identified - Recompete</v>
          </cell>
          <cell r="W562">
            <v>0</v>
          </cell>
          <cell r="X562">
            <v>0</v>
          </cell>
          <cell r="Y562">
            <v>0</v>
          </cell>
          <cell r="Z562">
            <v>0</v>
          </cell>
          <cell r="AA562">
            <v>0</v>
          </cell>
          <cell r="AB562">
            <v>0</v>
          </cell>
          <cell r="AC562">
            <v>0</v>
          </cell>
          <cell r="AD562">
            <v>0</v>
          </cell>
          <cell r="AI562">
            <v>0</v>
          </cell>
          <cell r="AJ562">
            <v>0</v>
          </cell>
          <cell r="AK562">
            <v>0</v>
          </cell>
          <cell r="BB562">
            <v>0</v>
          </cell>
          <cell r="BC562">
            <v>0</v>
          </cell>
          <cell r="BD562">
            <v>0</v>
          </cell>
          <cell r="BE562">
            <v>0</v>
          </cell>
          <cell r="BI562">
            <v>0</v>
          </cell>
          <cell r="BJ562">
            <v>0</v>
          </cell>
          <cell r="BK562">
            <v>0</v>
          </cell>
          <cell r="BL562">
            <v>0</v>
          </cell>
          <cell r="BM562">
            <v>0</v>
          </cell>
          <cell r="BN562">
            <v>0</v>
          </cell>
          <cell r="BO562">
            <v>0</v>
          </cell>
          <cell r="BP562">
            <v>0</v>
          </cell>
          <cell r="BQ562">
            <v>0</v>
          </cell>
          <cell r="BR562">
            <v>0</v>
          </cell>
          <cell r="BT562">
            <v>0</v>
          </cell>
          <cell r="CA562" t="str">
            <v>CP4410 - REVTOT - Identified - Recompete</v>
          </cell>
          <cell r="CC562" t="str">
            <v>CP4410 - REVTOT - Identified - Recompete - MR</v>
          </cell>
          <cell r="CD562" t="str">
            <v/>
          </cell>
          <cell r="CF562" t="str">
            <v>CP4410 - Identified - Recompete - MR</v>
          </cell>
        </row>
        <row r="563">
          <cell r="D563">
            <v>549</v>
          </cell>
          <cell r="E563">
            <v>2</v>
          </cell>
          <cell r="F563">
            <v>3</v>
          </cell>
          <cell r="G563" t="str">
            <v>CP4410</v>
          </cell>
          <cell r="H563" t="str">
            <v>Jordan Grp 5 Ph 1 (4410)</v>
          </cell>
          <cell r="I563" t="str">
            <v>MR</v>
          </cell>
          <cell r="J563" t="str">
            <v>MR Non-Proliferation and Security Services</v>
          </cell>
          <cell r="K563" t="str">
            <v>Foreign Government</v>
          </cell>
          <cell r="L563" t="str">
            <v>Non-US Gov't</v>
          </cell>
          <cell r="M563" t="str">
            <v>OH</v>
          </cell>
          <cell r="N563" t="str">
            <v>CONUS</v>
          </cell>
          <cell r="O563">
            <v>43482</v>
          </cell>
          <cell r="P563">
            <v>43662</v>
          </cell>
          <cell r="Q563" t="str">
            <v>Prime</v>
          </cell>
          <cell r="R563" t="str">
            <v>FFP</v>
          </cell>
          <cell r="S563">
            <v>0</v>
          </cell>
          <cell r="T563">
            <v>1</v>
          </cell>
          <cell r="U563" t="str">
            <v>CONTRACT</v>
          </cell>
          <cell r="V563" t="str">
            <v>Base</v>
          </cell>
          <cell r="W563" t="str">
            <v>05 Won</v>
          </cell>
          <cell r="X563" t="str">
            <v>Active</v>
          </cell>
          <cell r="Y563">
            <v>1</v>
          </cell>
          <cell r="Z563">
            <v>0</v>
          </cell>
          <cell r="AA563">
            <v>-5907.5000000000291</v>
          </cell>
          <cell r="AB563">
            <v>0</v>
          </cell>
          <cell r="AC563">
            <v>0</v>
          </cell>
          <cell r="AD563">
            <v>-5907.5000000000291</v>
          </cell>
          <cell r="AL563">
            <v>0</v>
          </cell>
          <cell r="AM563">
            <v>0</v>
          </cell>
          <cell r="AN563">
            <v>0</v>
          </cell>
          <cell r="AO563">
            <v>0.26779850454062981</v>
          </cell>
          <cell r="AP563">
            <v>0.26779850454062981</v>
          </cell>
          <cell r="AQ563">
            <v>0.26779850454062981</v>
          </cell>
          <cell r="AR563">
            <v>0.26779850454062981</v>
          </cell>
          <cell r="AS563">
            <v>0.26779850454062981</v>
          </cell>
          <cell r="BF563">
            <v>0</v>
          </cell>
          <cell r="BG563">
            <v>0</v>
          </cell>
          <cell r="BH563">
            <v>0</v>
          </cell>
          <cell r="BI563">
            <v>0</v>
          </cell>
          <cell r="BJ563">
            <v>24375.879999999997</v>
          </cell>
          <cell r="BK563">
            <v>50233.98</v>
          </cell>
          <cell r="BL563">
            <v>67306.61</v>
          </cell>
          <cell r="BM563">
            <v>141916.47</v>
          </cell>
          <cell r="BN563">
            <v>0</v>
          </cell>
          <cell r="BO563">
            <v>0</v>
          </cell>
          <cell r="BP563">
            <v>0</v>
          </cell>
          <cell r="BQ563">
            <v>0</v>
          </cell>
          <cell r="BR563">
            <v>141916.47</v>
          </cell>
          <cell r="BT563">
            <v>0</v>
          </cell>
          <cell r="CA563" t="str">
            <v>CP4410 - CONTRACT - Base</v>
          </cell>
          <cell r="CC563" t="str">
            <v>CP4410 - CONTRACT - Base - MR</v>
          </cell>
          <cell r="CD563" t="str">
            <v/>
          </cell>
          <cell r="CF563" t="str">
            <v>CP4410 - Base - MR</v>
          </cell>
        </row>
        <row r="564">
          <cell r="D564">
            <v>550</v>
          </cell>
          <cell r="E564">
            <v>2</v>
          </cell>
          <cell r="F564">
            <v>4</v>
          </cell>
          <cell r="G564" t="str">
            <v>CP4410</v>
          </cell>
          <cell r="H564" t="str">
            <v>Jordan Grp 5 Ph 1 (4410)</v>
          </cell>
          <cell r="I564" t="str">
            <v>MR</v>
          </cell>
          <cell r="J564" t="str">
            <v>MR Non-Proliferation and Security Services</v>
          </cell>
          <cell r="K564" t="str">
            <v>Foreign Government</v>
          </cell>
          <cell r="L564" t="str">
            <v>Non-US Gov't</v>
          </cell>
          <cell r="M564" t="str">
            <v>OH</v>
          </cell>
          <cell r="N564" t="str">
            <v>CONUS</v>
          </cell>
          <cell r="O564">
            <v>0</v>
          </cell>
          <cell r="P564">
            <v>0</v>
          </cell>
          <cell r="Q564">
            <v>0</v>
          </cell>
          <cell r="R564" t="str">
            <v>FFP</v>
          </cell>
          <cell r="S564">
            <v>0</v>
          </cell>
          <cell r="T564">
            <v>1</v>
          </cell>
          <cell r="U564" t="str">
            <v>CONTRACT</v>
          </cell>
          <cell r="V564" t="str">
            <v>Identified - Recompete</v>
          </cell>
          <cell r="W564">
            <v>0</v>
          </cell>
          <cell r="X564">
            <v>0</v>
          </cell>
          <cell r="Y564">
            <v>0</v>
          </cell>
          <cell r="Z564">
            <v>0</v>
          </cell>
          <cell r="AA564">
            <v>0</v>
          </cell>
          <cell r="AB564">
            <v>0</v>
          </cell>
          <cell r="AC564">
            <v>0</v>
          </cell>
          <cell r="AD564">
            <v>0</v>
          </cell>
          <cell r="AP564">
            <v>0</v>
          </cell>
          <cell r="AQ564">
            <v>0</v>
          </cell>
          <cell r="AR564">
            <v>0</v>
          </cell>
          <cell r="AS564">
            <v>0</v>
          </cell>
          <cell r="BI564">
            <v>0</v>
          </cell>
          <cell r="BJ564">
            <v>0</v>
          </cell>
          <cell r="BK564">
            <v>0</v>
          </cell>
          <cell r="BL564">
            <v>0</v>
          </cell>
          <cell r="BM564">
            <v>0</v>
          </cell>
          <cell r="BN564">
            <v>0</v>
          </cell>
          <cell r="BO564">
            <v>0</v>
          </cell>
          <cell r="BP564">
            <v>0</v>
          </cell>
          <cell r="BQ564">
            <v>0</v>
          </cell>
          <cell r="BR564">
            <v>0</v>
          </cell>
          <cell r="BT564">
            <v>0</v>
          </cell>
          <cell r="CA564" t="str">
            <v>CP4410 - CONTRACT - Identified - Recompete</v>
          </cell>
          <cell r="CC564" t="str">
            <v>CP4410 - CONTRACT - Identified - Recompete - MR</v>
          </cell>
          <cell r="CD564" t="str">
            <v/>
          </cell>
          <cell r="CF564" t="str">
            <v>CP4410 - Identified - Recompete - MR</v>
          </cell>
        </row>
        <row r="565">
          <cell r="D565">
            <v>551</v>
          </cell>
          <cell r="E565">
            <v>0</v>
          </cell>
          <cell r="F565">
            <v>5</v>
          </cell>
          <cell r="G565" t="str">
            <v>CP4410</v>
          </cell>
          <cell r="H565" t="str">
            <v>Jordan Grp 5 Ph 1 (4410)</v>
          </cell>
          <cell r="I565" t="str">
            <v>MR</v>
          </cell>
          <cell r="J565" t="str">
            <v>MR Non-Proliferation and Security Services</v>
          </cell>
          <cell r="K565" t="str">
            <v>Foreign Government</v>
          </cell>
          <cell r="L565" t="str">
            <v>Non-US Gov't</v>
          </cell>
          <cell r="M565" t="str">
            <v>OH</v>
          </cell>
          <cell r="N565" t="str">
            <v>CONUS</v>
          </cell>
          <cell r="O565">
            <v>43482</v>
          </cell>
          <cell r="P565">
            <v>43662</v>
          </cell>
          <cell r="Q565" t="str">
            <v>Prime</v>
          </cell>
          <cell r="R565" t="str">
            <v>FFP</v>
          </cell>
          <cell r="S565">
            <v>0</v>
          </cell>
          <cell r="T565">
            <v>1</v>
          </cell>
          <cell r="U565" t="str">
            <v>EBITA</v>
          </cell>
          <cell r="V565" t="str">
            <v>Base</v>
          </cell>
          <cell r="W565" t="str">
            <v>05 Won</v>
          </cell>
          <cell r="X565" t="str">
            <v>Active</v>
          </cell>
          <cell r="Y565">
            <v>1</v>
          </cell>
          <cell r="Z565">
            <v>0</v>
          </cell>
          <cell r="AA565">
            <v>-5907.5000000000291</v>
          </cell>
          <cell r="AB565">
            <v>0</v>
          </cell>
          <cell r="AC565">
            <v>0</v>
          </cell>
          <cell r="AD565">
            <v>-5907.5000000000291</v>
          </cell>
          <cell r="AT565">
            <v>0</v>
          </cell>
          <cell r="AU565">
            <v>0</v>
          </cell>
          <cell r="AV565">
            <v>0</v>
          </cell>
          <cell r="AW565">
            <v>8.4902691355112622E-2</v>
          </cell>
          <cell r="AX565">
            <v>8.5902691355112623E-2</v>
          </cell>
          <cell r="AY565">
            <v>8.6902691355112624E-2</v>
          </cell>
          <cell r="AZ565">
            <v>8.7902691355112625E-2</v>
          </cell>
          <cell r="BA565">
            <v>8.8902691355112626E-2</v>
          </cell>
          <cell r="BF565">
            <v>0</v>
          </cell>
          <cell r="BG565">
            <v>0</v>
          </cell>
          <cell r="BH565">
            <v>0</v>
          </cell>
          <cell r="BI565">
            <v>0</v>
          </cell>
          <cell r="BJ565">
            <v>10290.829999999998</v>
          </cell>
          <cell r="BK565">
            <v>19670.7</v>
          </cell>
          <cell r="BL565">
            <v>15031.59</v>
          </cell>
          <cell r="BM565">
            <v>44993.119999999995</v>
          </cell>
          <cell r="BN565">
            <v>0</v>
          </cell>
          <cell r="BO565">
            <v>0</v>
          </cell>
          <cell r="BP565">
            <v>0</v>
          </cell>
          <cell r="BQ565">
            <v>0</v>
          </cell>
          <cell r="BR565">
            <v>44993.119999999995</v>
          </cell>
          <cell r="BT565">
            <v>0</v>
          </cell>
          <cell r="CA565" t="str">
            <v>CP4410 - EBITA - Base</v>
          </cell>
          <cell r="CC565" t="str">
            <v>CP4410 - EBITA - Base - MR</v>
          </cell>
          <cell r="CD565" t="str">
            <v/>
          </cell>
          <cell r="CF565" t="str">
            <v>CP4410 - Base - MR</v>
          </cell>
        </row>
        <row r="566">
          <cell r="D566">
            <v>552</v>
          </cell>
          <cell r="E566">
            <v>0</v>
          </cell>
          <cell r="F566">
            <v>0</v>
          </cell>
          <cell r="G566" t="str">
            <v>CP4410</v>
          </cell>
          <cell r="H566" t="str">
            <v>Jordan Grp 5 Ph 1 (4410)</v>
          </cell>
          <cell r="I566" t="str">
            <v>MR</v>
          </cell>
          <cell r="J566" t="str">
            <v>MR Non-Proliferation and Security Services</v>
          </cell>
          <cell r="K566" t="str">
            <v>Foreign Government</v>
          </cell>
          <cell r="L566" t="str">
            <v>Non-US Gov't</v>
          </cell>
          <cell r="M566" t="str">
            <v>OH</v>
          </cell>
          <cell r="N566" t="str">
            <v>CONUS</v>
          </cell>
          <cell r="O566">
            <v>0</v>
          </cell>
          <cell r="P566">
            <v>0</v>
          </cell>
          <cell r="Q566">
            <v>0</v>
          </cell>
          <cell r="R566" t="str">
            <v>FFP</v>
          </cell>
          <cell r="S566">
            <v>0</v>
          </cell>
          <cell r="T566">
            <v>1</v>
          </cell>
          <cell r="U566" t="str">
            <v>EBITA</v>
          </cell>
          <cell r="V566" t="str">
            <v>Identified - Recompete</v>
          </cell>
          <cell r="W566">
            <v>0</v>
          </cell>
          <cell r="X566">
            <v>0</v>
          </cell>
          <cell r="Y566">
            <v>0</v>
          </cell>
          <cell r="Z566">
            <v>0</v>
          </cell>
          <cell r="AA566">
            <v>0</v>
          </cell>
          <cell r="AB566">
            <v>0</v>
          </cell>
          <cell r="AC566">
            <v>0</v>
          </cell>
          <cell r="AD566">
            <v>0</v>
          </cell>
          <cell r="AX566">
            <v>0</v>
          </cell>
          <cell r="AY566">
            <v>0</v>
          </cell>
          <cell r="AZ566">
            <v>0</v>
          </cell>
          <cell r="BA566">
            <v>0</v>
          </cell>
          <cell r="BI566">
            <v>0</v>
          </cell>
          <cell r="BJ566">
            <v>0</v>
          </cell>
          <cell r="BK566">
            <v>0</v>
          </cell>
          <cell r="BL566">
            <v>0</v>
          </cell>
          <cell r="BM566">
            <v>0</v>
          </cell>
          <cell r="BN566">
            <v>0</v>
          </cell>
          <cell r="BO566">
            <v>0</v>
          </cell>
          <cell r="BP566">
            <v>0</v>
          </cell>
          <cell r="BQ566">
            <v>0</v>
          </cell>
          <cell r="BR566">
            <v>0</v>
          </cell>
          <cell r="BT566">
            <v>0</v>
          </cell>
          <cell r="CA566" t="str">
            <v>CP4410 - EBITA - Identified - Recompete</v>
          </cell>
          <cell r="CC566" t="str">
            <v>CP4410 - EBITA - Identified - Recompete - MR</v>
          </cell>
          <cell r="CD566" t="str">
            <v/>
          </cell>
          <cell r="CF566" t="str">
            <v>CP4410 - Identified - Recompete - MR</v>
          </cell>
        </row>
        <row r="567">
          <cell r="D567">
            <v>553</v>
          </cell>
          <cell r="E567">
            <v>1</v>
          </cell>
          <cell r="F567">
            <v>1</v>
          </cell>
          <cell r="G567" t="str">
            <v>ERTICX</v>
          </cell>
          <cell r="H567" t="str">
            <v>Enviro Response Team Interco w DCS</v>
          </cell>
          <cell r="I567" t="str">
            <v>MR</v>
          </cell>
          <cell r="J567" t="str">
            <v>MR Maintenance &amp; Sustainment</v>
          </cell>
          <cell r="K567" t="str">
            <v>Army</v>
          </cell>
          <cell r="L567" t="str">
            <v>DOD</v>
          </cell>
          <cell r="M567" t="str">
            <v>AFG</v>
          </cell>
          <cell r="N567" t="str">
            <v>OCONUS</v>
          </cell>
          <cell r="O567">
            <v>43313</v>
          </cell>
          <cell r="P567">
            <v>43707</v>
          </cell>
          <cell r="Q567" t="str">
            <v>Prime</v>
          </cell>
          <cell r="R567" t="str">
            <v>FFP</v>
          </cell>
          <cell r="S567">
            <v>0</v>
          </cell>
          <cell r="T567">
            <v>1</v>
          </cell>
          <cell r="U567" t="str">
            <v>REVTOT</v>
          </cell>
          <cell r="V567" t="str">
            <v>Base</v>
          </cell>
          <cell r="W567" t="str">
            <v>05 Won</v>
          </cell>
          <cell r="X567" t="str">
            <v>Active</v>
          </cell>
          <cell r="Y567">
            <v>1</v>
          </cell>
          <cell r="Z567">
            <v>0</v>
          </cell>
          <cell r="AA567">
            <v>21732.709100114796</v>
          </cell>
          <cell r="AB567">
            <v>0</v>
          </cell>
          <cell r="AC567">
            <v>0</v>
          </cell>
          <cell r="AD567">
            <v>21732.709100114796</v>
          </cell>
          <cell r="AE567">
            <v>39.85501120483903</v>
          </cell>
          <cell r="AF567">
            <v>0.49312362603916471</v>
          </cell>
          <cell r="AG567">
            <v>0.45010702742585385</v>
          </cell>
          <cell r="AH567">
            <v>-1</v>
          </cell>
          <cell r="AI567">
            <v>0</v>
          </cell>
          <cell r="AJ567">
            <v>0</v>
          </cell>
          <cell r="AK567">
            <v>0</v>
          </cell>
          <cell r="BB567">
            <v>0</v>
          </cell>
          <cell r="BC567">
            <v>0</v>
          </cell>
          <cell r="BD567">
            <v>0</v>
          </cell>
          <cell r="BE567">
            <v>0</v>
          </cell>
          <cell r="BF567">
            <v>3842.09</v>
          </cell>
          <cell r="BG567">
            <v>156968.63</v>
          </cell>
          <cell r="BH567">
            <v>234373.57</v>
          </cell>
          <cell r="BI567">
            <v>73842.62</v>
          </cell>
          <cell r="BJ567">
            <v>98498.55</v>
          </cell>
          <cell r="BK567">
            <v>78339.349999999991</v>
          </cell>
          <cell r="BL567">
            <v>89186.240899885321</v>
          </cell>
          <cell r="BM567">
            <v>339866.76089988527</v>
          </cell>
          <cell r="BN567">
            <v>0</v>
          </cell>
          <cell r="BO567">
            <v>0</v>
          </cell>
          <cell r="BP567">
            <v>0</v>
          </cell>
          <cell r="BQ567">
            <v>0</v>
          </cell>
          <cell r="BR567">
            <v>339866.76089988527</v>
          </cell>
          <cell r="BT567">
            <v>0</v>
          </cell>
          <cell r="CA567" t="str">
            <v>ERTICX - REVTOT - Base</v>
          </cell>
          <cell r="CC567" t="str">
            <v>ERTICX - REVTOT - Base - MR</v>
          </cell>
          <cell r="CD567" t="str">
            <v>ERTICX - REVTOT - Base - MR</v>
          </cell>
          <cell r="CF567" t="str">
            <v>ERTICX - Base - MR</v>
          </cell>
        </row>
        <row r="568">
          <cell r="D568">
            <v>554</v>
          </cell>
          <cell r="E568">
            <v>1</v>
          </cell>
          <cell r="F568">
            <v>2</v>
          </cell>
          <cell r="G568" t="str">
            <v>ERTICX</v>
          </cell>
          <cell r="H568" t="str">
            <v>Enviro Response Team Interco w DCS</v>
          </cell>
          <cell r="I568" t="str">
            <v>MR</v>
          </cell>
          <cell r="J568" t="str">
            <v>MR Maintenance &amp; Sustainment</v>
          </cell>
          <cell r="K568" t="str">
            <v>Army</v>
          </cell>
          <cell r="L568" t="str">
            <v>DOD</v>
          </cell>
          <cell r="M568" t="str">
            <v>AFG</v>
          </cell>
          <cell r="N568" t="str">
            <v>OCONUS</v>
          </cell>
          <cell r="O568">
            <v>0</v>
          </cell>
          <cell r="P568">
            <v>0</v>
          </cell>
          <cell r="Q568">
            <v>0</v>
          </cell>
          <cell r="R568" t="str">
            <v>FFP</v>
          </cell>
          <cell r="S568">
            <v>0</v>
          </cell>
          <cell r="T568">
            <v>1</v>
          </cell>
          <cell r="U568" t="str">
            <v>REVTOT</v>
          </cell>
          <cell r="V568" t="str">
            <v>Identified - Recompete</v>
          </cell>
          <cell r="W568">
            <v>0</v>
          </cell>
          <cell r="X568">
            <v>0</v>
          </cell>
          <cell r="Y568">
            <v>0</v>
          </cell>
          <cell r="Z568">
            <v>0</v>
          </cell>
          <cell r="AA568">
            <v>0</v>
          </cell>
          <cell r="AB568">
            <v>0</v>
          </cell>
          <cell r="AC568">
            <v>0</v>
          </cell>
          <cell r="AD568">
            <v>0</v>
          </cell>
          <cell r="AI568">
            <v>0</v>
          </cell>
          <cell r="AJ568">
            <v>0</v>
          </cell>
          <cell r="AK568">
            <v>0</v>
          </cell>
          <cell r="BB568">
            <v>0</v>
          </cell>
          <cell r="BC568">
            <v>0</v>
          </cell>
          <cell r="BD568">
            <v>0</v>
          </cell>
          <cell r="BE568">
            <v>0</v>
          </cell>
          <cell r="BI568">
            <v>0</v>
          </cell>
          <cell r="BJ568">
            <v>0</v>
          </cell>
          <cell r="BK568">
            <v>0</v>
          </cell>
          <cell r="BL568">
            <v>0</v>
          </cell>
          <cell r="BM568">
            <v>0</v>
          </cell>
          <cell r="BN568">
            <v>0</v>
          </cell>
          <cell r="BO568">
            <v>0</v>
          </cell>
          <cell r="BP568">
            <v>0</v>
          </cell>
          <cell r="BQ568">
            <v>0</v>
          </cell>
          <cell r="BR568">
            <v>0</v>
          </cell>
          <cell r="BT568">
            <v>0</v>
          </cell>
          <cell r="CA568" t="str">
            <v>ERTICX - REVTOT - Identified - Recompete</v>
          </cell>
          <cell r="CC568" t="str">
            <v>ERTICX - REVTOT - Identified - Recompete - MR</v>
          </cell>
          <cell r="CD568" t="str">
            <v/>
          </cell>
          <cell r="CF568" t="str">
            <v>ERTICX - Identified - Recompete - MR</v>
          </cell>
        </row>
        <row r="569">
          <cell r="D569">
            <v>555</v>
          </cell>
          <cell r="E569">
            <v>2</v>
          </cell>
          <cell r="F569">
            <v>3</v>
          </cell>
          <cell r="G569" t="str">
            <v>ERTICX</v>
          </cell>
          <cell r="H569" t="str">
            <v>Enviro Response Team Interco w DCS</v>
          </cell>
          <cell r="I569" t="str">
            <v>MR</v>
          </cell>
          <cell r="J569" t="str">
            <v>MR Maintenance &amp; Sustainment</v>
          </cell>
          <cell r="K569" t="str">
            <v>Army</v>
          </cell>
          <cell r="L569" t="str">
            <v>DOD</v>
          </cell>
          <cell r="M569" t="str">
            <v>AFG</v>
          </cell>
          <cell r="N569" t="str">
            <v>OCONUS</v>
          </cell>
          <cell r="O569">
            <v>43313</v>
          </cell>
          <cell r="P569">
            <v>43707</v>
          </cell>
          <cell r="Q569" t="str">
            <v>Prime</v>
          </cell>
          <cell r="R569" t="str">
            <v>FFP</v>
          </cell>
          <cell r="S569">
            <v>0</v>
          </cell>
          <cell r="T569">
            <v>1</v>
          </cell>
          <cell r="U569" t="str">
            <v>CONTRACT</v>
          </cell>
          <cell r="V569" t="str">
            <v>Base</v>
          </cell>
          <cell r="W569" t="str">
            <v>05 Won</v>
          </cell>
          <cell r="X569" t="str">
            <v>Active</v>
          </cell>
          <cell r="Y569">
            <v>1</v>
          </cell>
          <cell r="Z569">
            <v>0</v>
          </cell>
          <cell r="AA569">
            <v>21732.709100114796</v>
          </cell>
          <cell r="AB569">
            <v>0</v>
          </cell>
          <cell r="AC569">
            <v>0</v>
          </cell>
          <cell r="AD569">
            <v>21732.709100114796</v>
          </cell>
          <cell r="AL569">
            <v>9.2920780096249753E-2</v>
          </cell>
          <cell r="AM569">
            <v>0.23301566688834577</v>
          </cell>
          <cell r="AN569">
            <v>0.27838079182733788</v>
          </cell>
          <cell r="AO569">
            <v>0.16365377575793436</v>
          </cell>
          <cell r="AP569">
            <v>0.214677250624566</v>
          </cell>
          <cell r="AQ569">
            <v>0.214677250624566</v>
          </cell>
          <cell r="AR569">
            <v>0.214677250624566</v>
          </cell>
          <cell r="AS569">
            <v>0.214677250624566</v>
          </cell>
          <cell r="BF569">
            <v>357.01000000000022</v>
          </cell>
          <cell r="BG569">
            <v>36576.15</v>
          </cell>
          <cell r="BH569">
            <v>65245.100000000006</v>
          </cell>
          <cell r="BI569">
            <v>13435.030000000002</v>
          </cell>
          <cell r="BJ569">
            <v>18266.320000000007</v>
          </cell>
          <cell r="BK569">
            <v>10470.039999999994</v>
          </cell>
          <cell r="BL569">
            <v>13449.088675885312</v>
          </cell>
          <cell r="BM569">
            <v>55620.478675885315</v>
          </cell>
          <cell r="BN569">
            <v>0</v>
          </cell>
          <cell r="BO569">
            <v>0</v>
          </cell>
          <cell r="BP569">
            <v>0</v>
          </cell>
          <cell r="BQ569">
            <v>0</v>
          </cell>
          <cell r="BR569">
            <v>55620.478675885315</v>
          </cell>
          <cell r="BT569">
            <v>0</v>
          </cell>
          <cell r="CA569" t="str">
            <v>ERTICX - CONTRACT - Base</v>
          </cell>
          <cell r="CC569" t="str">
            <v>ERTICX - CONTRACT - Base - MR</v>
          </cell>
          <cell r="CD569" t="str">
            <v/>
          </cell>
          <cell r="CF569" t="str">
            <v>ERTICX - Base - MR</v>
          </cell>
        </row>
        <row r="570">
          <cell r="D570">
            <v>556</v>
          </cell>
          <cell r="E570">
            <v>2</v>
          </cell>
          <cell r="F570">
            <v>4</v>
          </cell>
          <cell r="G570" t="str">
            <v>ERTICX</v>
          </cell>
          <cell r="H570" t="str">
            <v>Enviro Response Team Interco w DCS</v>
          </cell>
          <cell r="I570" t="str">
            <v>MR</v>
          </cell>
          <cell r="J570" t="str">
            <v>MR Maintenance &amp; Sustainment</v>
          </cell>
          <cell r="K570" t="str">
            <v>Army</v>
          </cell>
          <cell r="L570" t="str">
            <v>DOD</v>
          </cell>
          <cell r="M570" t="str">
            <v>AFG</v>
          </cell>
          <cell r="N570" t="str">
            <v>OCONUS</v>
          </cell>
          <cell r="O570">
            <v>0</v>
          </cell>
          <cell r="P570">
            <v>0</v>
          </cell>
          <cell r="Q570">
            <v>0</v>
          </cell>
          <cell r="R570" t="str">
            <v>FFP</v>
          </cell>
          <cell r="S570">
            <v>0</v>
          </cell>
          <cell r="T570">
            <v>1</v>
          </cell>
          <cell r="U570" t="str">
            <v>CONTRACT</v>
          </cell>
          <cell r="V570" t="str">
            <v>Identified - Recompete</v>
          </cell>
          <cell r="W570">
            <v>0</v>
          </cell>
          <cell r="X570">
            <v>0</v>
          </cell>
          <cell r="Y570">
            <v>0</v>
          </cell>
          <cell r="Z570">
            <v>0</v>
          </cell>
          <cell r="AA570">
            <v>0</v>
          </cell>
          <cell r="AB570">
            <v>0</v>
          </cell>
          <cell r="AC570">
            <v>0</v>
          </cell>
          <cell r="AD570">
            <v>0</v>
          </cell>
          <cell r="AP570">
            <v>0</v>
          </cell>
          <cell r="AQ570">
            <v>0</v>
          </cell>
          <cell r="AR570">
            <v>0</v>
          </cell>
          <cell r="AS570">
            <v>0</v>
          </cell>
          <cell r="BI570">
            <v>0</v>
          </cell>
          <cell r="BJ570">
            <v>0</v>
          </cell>
          <cell r="BK570">
            <v>0</v>
          </cell>
          <cell r="BL570">
            <v>0</v>
          </cell>
          <cell r="BM570">
            <v>0</v>
          </cell>
          <cell r="BN570">
            <v>0</v>
          </cell>
          <cell r="BO570">
            <v>0</v>
          </cell>
          <cell r="BP570">
            <v>0</v>
          </cell>
          <cell r="BQ570">
            <v>0</v>
          </cell>
          <cell r="BR570">
            <v>0</v>
          </cell>
          <cell r="BT570">
            <v>0</v>
          </cell>
          <cell r="CA570" t="str">
            <v>ERTICX - CONTRACT - Identified - Recompete</v>
          </cell>
          <cell r="CC570" t="str">
            <v>ERTICX - CONTRACT - Identified - Recompete - MR</v>
          </cell>
          <cell r="CD570" t="str">
            <v/>
          </cell>
          <cell r="CF570" t="str">
            <v>ERTICX - Identified - Recompete - MR</v>
          </cell>
        </row>
        <row r="571">
          <cell r="D571">
            <v>557</v>
          </cell>
          <cell r="E571">
            <v>0</v>
          </cell>
          <cell r="F571">
            <v>5</v>
          </cell>
          <cell r="G571" t="str">
            <v>ERTICX</v>
          </cell>
          <cell r="H571" t="str">
            <v>Enviro Response Team Interco w DCS</v>
          </cell>
          <cell r="I571" t="str">
            <v>MR</v>
          </cell>
          <cell r="J571" t="str">
            <v>MR Maintenance &amp; Sustainment</v>
          </cell>
          <cell r="K571" t="str">
            <v>Army</v>
          </cell>
          <cell r="L571" t="str">
            <v>DOD</v>
          </cell>
          <cell r="M571" t="str">
            <v>AFG</v>
          </cell>
          <cell r="N571" t="str">
            <v>OCONUS</v>
          </cell>
          <cell r="O571">
            <v>43313</v>
          </cell>
          <cell r="P571">
            <v>43707</v>
          </cell>
          <cell r="Q571" t="str">
            <v>Prime</v>
          </cell>
          <cell r="R571" t="str">
            <v>FFP</v>
          </cell>
          <cell r="S571">
            <v>0</v>
          </cell>
          <cell r="T571">
            <v>1</v>
          </cell>
          <cell r="U571" t="str">
            <v>EBITA</v>
          </cell>
          <cell r="V571" t="str">
            <v>Base</v>
          </cell>
          <cell r="W571" t="str">
            <v>05 Won</v>
          </cell>
          <cell r="X571" t="str">
            <v>Active</v>
          </cell>
          <cell r="Y571">
            <v>1</v>
          </cell>
          <cell r="Z571">
            <v>0</v>
          </cell>
          <cell r="AA571">
            <v>21732.709100114796</v>
          </cell>
          <cell r="AB571">
            <v>0</v>
          </cell>
          <cell r="AC571">
            <v>0</v>
          </cell>
          <cell r="AD571">
            <v>21732.709100114796</v>
          </cell>
          <cell r="AT571">
            <v>-2.6027500656578921E-6</v>
          </cell>
          <cell r="AU571">
            <v>0.14620787605778301</v>
          </cell>
          <cell r="AV571">
            <v>0.19180729294689675</v>
          </cell>
          <cell r="AW571">
            <v>6.2037028265280486E-2</v>
          </cell>
          <cell r="AX571">
            <v>0.12206495697602357</v>
          </cell>
          <cell r="AY571">
            <v>0.12306495697602357</v>
          </cell>
          <cell r="AZ571">
            <v>0.12406495697602357</v>
          </cell>
          <cell r="BA571">
            <v>0.12506495697602357</v>
          </cell>
          <cell r="BF571">
            <v>-9.9999999997635314E-3</v>
          </cell>
          <cell r="BG571">
            <v>22950.050000000003</v>
          </cell>
          <cell r="BH571">
            <v>44954.560000000012</v>
          </cell>
          <cell r="BI571">
            <v>5966.6000000000031</v>
          </cell>
          <cell r="BJ571">
            <v>8646.8900000000067</v>
          </cell>
          <cell r="BK571">
            <v>2223.869999999994</v>
          </cell>
          <cell r="BL571">
            <v>4246.963852375502</v>
          </cell>
          <cell r="BM571">
            <v>21084.323852375506</v>
          </cell>
          <cell r="BN571">
            <v>0</v>
          </cell>
          <cell r="BO571">
            <v>0</v>
          </cell>
          <cell r="BP571">
            <v>0</v>
          </cell>
          <cell r="BQ571">
            <v>0</v>
          </cell>
          <cell r="BR571">
            <v>21084.323852375506</v>
          </cell>
          <cell r="BT571">
            <v>0</v>
          </cell>
          <cell r="CA571" t="str">
            <v>ERTICX - EBITA - Base</v>
          </cell>
          <cell r="CC571" t="str">
            <v>ERTICX - EBITA - Base - MR</v>
          </cell>
          <cell r="CD571" t="str">
            <v/>
          </cell>
          <cell r="CF571" t="str">
            <v>ERTICX - Base - MR</v>
          </cell>
        </row>
        <row r="572">
          <cell r="D572">
            <v>558</v>
          </cell>
          <cell r="E572">
            <v>0</v>
          </cell>
          <cell r="F572">
            <v>0</v>
          </cell>
          <cell r="G572" t="str">
            <v>ERTICX</v>
          </cell>
          <cell r="H572" t="str">
            <v>Enviro Response Team Interco w DCS</v>
          </cell>
          <cell r="I572" t="str">
            <v>MR</v>
          </cell>
          <cell r="J572" t="str">
            <v>MR Maintenance &amp; Sustainment</v>
          </cell>
          <cell r="K572" t="str">
            <v>Army</v>
          </cell>
          <cell r="L572" t="str">
            <v>DOD</v>
          </cell>
          <cell r="M572" t="str">
            <v>AFG</v>
          </cell>
          <cell r="N572" t="str">
            <v>OCONUS</v>
          </cell>
          <cell r="O572">
            <v>0</v>
          </cell>
          <cell r="P572">
            <v>0</v>
          </cell>
          <cell r="Q572">
            <v>0</v>
          </cell>
          <cell r="R572" t="str">
            <v>FFP</v>
          </cell>
          <cell r="S572">
            <v>0</v>
          </cell>
          <cell r="T572">
            <v>1</v>
          </cell>
          <cell r="U572" t="str">
            <v>EBITA</v>
          </cell>
          <cell r="V572" t="str">
            <v>Identified - Recompete</v>
          </cell>
          <cell r="W572">
            <v>0</v>
          </cell>
          <cell r="X572">
            <v>0</v>
          </cell>
          <cell r="Y572">
            <v>0</v>
          </cell>
          <cell r="Z572">
            <v>0</v>
          </cell>
          <cell r="AA572">
            <v>0</v>
          </cell>
          <cell r="AB572">
            <v>0</v>
          </cell>
          <cell r="AC572">
            <v>0</v>
          </cell>
          <cell r="AD572">
            <v>0</v>
          </cell>
          <cell r="AX572">
            <v>0</v>
          </cell>
          <cell r="AY572">
            <v>0</v>
          </cell>
          <cell r="AZ572">
            <v>0</v>
          </cell>
          <cell r="BA572">
            <v>0</v>
          </cell>
          <cell r="BI572">
            <v>0</v>
          </cell>
          <cell r="BJ572">
            <v>0</v>
          </cell>
          <cell r="BK572">
            <v>0</v>
          </cell>
          <cell r="BL572">
            <v>0</v>
          </cell>
          <cell r="BM572">
            <v>0</v>
          </cell>
          <cell r="BN572">
            <v>0</v>
          </cell>
          <cell r="BO572">
            <v>0</v>
          </cell>
          <cell r="BP572">
            <v>0</v>
          </cell>
          <cell r="BQ572">
            <v>0</v>
          </cell>
          <cell r="BR572">
            <v>0</v>
          </cell>
          <cell r="BT572">
            <v>0</v>
          </cell>
          <cell r="CA572" t="str">
            <v>ERTICX - EBITA - Identified - Recompete</v>
          </cell>
          <cell r="CC572" t="str">
            <v>ERTICX - EBITA - Identified - Recompete - MR</v>
          </cell>
          <cell r="CD572" t="str">
            <v/>
          </cell>
          <cell r="CF572" t="str">
            <v>ERTICX - Identified - Recompete - MR</v>
          </cell>
        </row>
        <row r="573">
          <cell r="D573">
            <v>559</v>
          </cell>
          <cell r="E573">
            <v>1</v>
          </cell>
          <cell r="F573">
            <v>1</v>
          </cell>
          <cell r="G573" t="str">
            <v>AF4MSA</v>
          </cell>
          <cell r="H573" t="str">
            <v>AFCAP IV - MSAB Jordan</v>
          </cell>
          <cell r="I573" t="str">
            <v>MR</v>
          </cell>
          <cell r="J573" t="str">
            <v>MR Logistics &amp; Supply</v>
          </cell>
          <cell r="K573" t="str">
            <v>Air Force</v>
          </cell>
          <cell r="L573" t="str">
            <v>DOD</v>
          </cell>
          <cell r="M573" t="str">
            <v>Jordan</v>
          </cell>
          <cell r="N573" t="str">
            <v>OCONUS</v>
          </cell>
          <cell r="O573">
            <v>42821</v>
          </cell>
          <cell r="P573">
            <v>44281</v>
          </cell>
          <cell r="Q573" t="str">
            <v>JV</v>
          </cell>
          <cell r="R573" t="str">
            <v>FFP</v>
          </cell>
          <cell r="S573">
            <v>0</v>
          </cell>
          <cell r="T573">
            <v>1</v>
          </cell>
          <cell r="U573" t="str">
            <v>REVTOT</v>
          </cell>
          <cell r="V573" t="str">
            <v>Base</v>
          </cell>
          <cell r="W573" t="str">
            <v>05 Won</v>
          </cell>
          <cell r="X573" t="str">
            <v>Active</v>
          </cell>
          <cell r="Y573">
            <v>1</v>
          </cell>
          <cell r="Z573">
            <v>0</v>
          </cell>
          <cell r="AA573">
            <v>280131.16999999952</v>
          </cell>
          <cell r="AB573">
            <v>484704</v>
          </cell>
          <cell r="AC573">
            <v>0</v>
          </cell>
          <cell r="AD573">
            <v>764835.16999999946</v>
          </cell>
          <cell r="AE573">
            <v>0</v>
          </cell>
          <cell r="AF573">
            <v>0</v>
          </cell>
          <cell r="AG573">
            <v>-5.5108498560068275E-2</v>
          </cell>
          <cell r="AH573">
            <v>3.210876845313404E-3</v>
          </cell>
          <cell r="AI573">
            <v>0</v>
          </cell>
          <cell r="AJ573">
            <v>0</v>
          </cell>
          <cell r="AK573">
            <v>0</v>
          </cell>
          <cell r="BB573">
            <v>479910</v>
          </cell>
          <cell r="BC573">
            <v>479910</v>
          </cell>
          <cell r="BD573">
            <v>479910</v>
          </cell>
          <cell r="BE573">
            <v>479910</v>
          </cell>
          <cell r="BF573">
            <v>0</v>
          </cell>
          <cell r="BG573">
            <v>0</v>
          </cell>
          <cell r="BH573">
            <v>506274</v>
          </cell>
          <cell r="BI573">
            <v>120408.00000000003</v>
          </cell>
          <cell r="BJ573">
            <v>120408</v>
          </cell>
          <cell r="BK573">
            <v>118779</v>
          </cell>
          <cell r="BL573">
            <v>118779</v>
          </cell>
          <cell r="BM573">
            <v>478374</v>
          </cell>
          <cell r="BN573">
            <v>479910</v>
          </cell>
          <cell r="BO573">
            <v>284925.16999999946</v>
          </cell>
          <cell r="BP573">
            <v>0</v>
          </cell>
          <cell r="BQ573">
            <v>0</v>
          </cell>
          <cell r="BR573">
            <v>1243209.1699999995</v>
          </cell>
          <cell r="BT573">
            <v>0</v>
          </cell>
          <cell r="CA573" t="str">
            <v>AF4MSA - REVTOT - Base</v>
          </cell>
          <cell r="CC573" t="str">
            <v>AF4MSA - REVTOT - Base - MR</v>
          </cell>
          <cell r="CD573" t="str">
            <v>AF4MSA - REVTOT - Base - MR</v>
          </cell>
          <cell r="CF573" t="str">
            <v>AF4MSA - Base - MR</v>
          </cell>
        </row>
        <row r="574">
          <cell r="D574">
            <v>560</v>
          </cell>
          <cell r="E574">
            <v>1</v>
          </cell>
          <cell r="F574">
            <v>2</v>
          </cell>
          <cell r="G574" t="str">
            <v>AF4MSA</v>
          </cell>
          <cell r="H574" t="str">
            <v>AFCAP IV - MSAB Jordan</v>
          </cell>
          <cell r="I574" t="str">
            <v>MR</v>
          </cell>
          <cell r="J574" t="str">
            <v>MR Logistics &amp; Supply</v>
          </cell>
          <cell r="K574" t="str">
            <v>Air Force</v>
          </cell>
          <cell r="L574" t="str">
            <v>DOD</v>
          </cell>
          <cell r="M574" t="str">
            <v>Jordan</v>
          </cell>
          <cell r="N574" t="str">
            <v>OCONUS</v>
          </cell>
          <cell r="O574">
            <v>0</v>
          </cell>
          <cell r="P574">
            <v>0</v>
          </cell>
          <cell r="Q574">
            <v>0</v>
          </cell>
          <cell r="R574" t="str">
            <v>FFP</v>
          </cell>
          <cell r="S574">
            <v>0</v>
          </cell>
          <cell r="T574">
            <v>1</v>
          </cell>
          <cell r="U574" t="str">
            <v>REVTOT</v>
          </cell>
          <cell r="V574" t="str">
            <v>Identified - Recompete</v>
          </cell>
          <cell r="W574">
            <v>0</v>
          </cell>
          <cell r="X574">
            <v>0</v>
          </cell>
          <cell r="Y574">
            <v>0</v>
          </cell>
          <cell r="Z574">
            <v>0</v>
          </cell>
          <cell r="AA574">
            <v>0</v>
          </cell>
          <cell r="AB574">
            <v>0</v>
          </cell>
          <cell r="AC574">
            <v>0</v>
          </cell>
          <cell r="AD574">
            <v>0</v>
          </cell>
          <cell r="AI574">
            <v>0</v>
          </cell>
          <cell r="AJ574">
            <v>0</v>
          </cell>
          <cell r="AK574">
            <v>0</v>
          </cell>
          <cell r="BB574">
            <v>0</v>
          </cell>
          <cell r="BC574">
            <v>0</v>
          </cell>
          <cell r="BD574">
            <v>0</v>
          </cell>
          <cell r="BE574">
            <v>0</v>
          </cell>
          <cell r="BI574">
            <v>0</v>
          </cell>
          <cell r="BJ574">
            <v>0</v>
          </cell>
          <cell r="BK574">
            <v>0</v>
          </cell>
          <cell r="BL574">
            <v>0</v>
          </cell>
          <cell r="BM574">
            <v>0</v>
          </cell>
          <cell r="BN574">
            <v>0</v>
          </cell>
          <cell r="BO574">
            <v>0</v>
          </cell>
          <cell r="BP574">
            <v>0</v>
          </cell>
          <cell r="BQ574">
            <v>0</v>
          </cell>
          <cell r="BR574">
            <v>0</v>
          </cell>
          <cell r="BT574">
            <v>0</v>
          </cell>
          <cell r="CA574" t="str">
            <v>AF4MSA - REVTOT - Identified - Recompete</v>
          </cell>
          <cell r="CC574" t="str">
            <v>AF4MSA - REVTOT - Identified - Recompete - MR</v>
          </cell>
          <cell r="CD574" t="str">
            <v/>
          </cell>
          <cell r="CF574" t="str">
            <v>AF4MSA - Identified - Recompete - MR</v>
          </cell>
        </row>
        <row r="575">
          <cell r="D575">
            <v>561</v>
          </cell>
          <cell r="E575">
            <v>2</v>
          </cell>
          <cell r="F575">
            <v>3</v>
          </cell>
          <cell r="G575" t="str">
            <v>AF4MSA</v>
          </cell>
          <cell r="H575" t="str">
            <v>AFCAP IV - MSAB Jordan</v>
          </cell>
          <cell r="I575" t="str">
            <v>MR</v>
          </cell>
          <cell r="J575" t="str">
            <v>MR Logistics &amp; Supply</v>
          </cell>
          <cell r="K575" t="str">
            <v>Air Force</v>
          </cell>
          <cell r="L575" t="str">
            <v>DOD</v>
          </cell>
          <cell r="M575" t="str">
            <v>Jordan</v>
          </cell>
          <cell r="N575" t="str">
            <v>OCONUS</v>
          </cell>
          <cell r="O575">
            <v>42821</v>
          </cell>
          <cell r="P575">
            <v>44281</v>
          </cell>
          <cell r="Q575" t="str">
            <v>JV</v>
          </cell>
          <cell r="R575" t="str">
            <v>FFP</v>
          </cell>
          <cell r="S575">
            <v>0</v>
          </cell>
          <cell r="T575">
            <v>1</v>
          </cell>
          <cell r="U575" t="str">
            <v>CONTRACT</v>
          </cell>
          <cell r="V575" t="str">
            <v>Base</v>
          </cell>
          <cell r="W575" t="str">
            <v>05 Won</v>
          </cell>
          <cell r="X575" t="str">
            <v>Active</v>
          </cell>
          <cell r="Y575">
            <v>1</v>
          </cell>
          <cell r="Z575">
            <v>0</v>
          </cell>
          <cell r="AA575">
            <v>280131.16999999952</v>
          </cell>
          <cell r="AB575">
            <v>484704</v>
          </cell>
          <cell r="AC575">
            <v>0</v>
          </cell>
          <cell r="AD575">
            <v>764835.16999999946</v>
          </cell>
          <cell r="AL575">
            <v>0</v>
          </cell>
          <cell r="AM575">
            <v>0</v>
          </cell>
          <cell r="AN575">
            <v>0.17695512706558125</v>
          </cell>
          <cell r="AO575">
            <v>-0.2264399402977586</v>
          </cell>
          <cell r="AP575">
            <v>-0.20103815886121493</v>
          </cell>
          <cell r="AQ575">
            <v>-0.20103815886121493</v>
          </cell>
          <cell r="AR575">
            <v>-0.20103815886121493</v>
          </cell>
          <cell r="AS575">
            <v>-0.20103815886121493</v>
          </cell>
          <cell r="BF575">
            <v>0</v>
          </cell>
          <cell r="BG575">
            <v>0</v>
          </cell>
          <cell r="BH575">
            <v>89587.780000000086</v>
          </cell>
          <cell r="BI575">
            <v>-71782.379999999976</v>
          </cell>
          <cell r="BJ575">
            <v>-14416.86</v>
          </cell>
          <cell r="BK575">
            <v>16544.520000000011</v>
          </cell>
          <cell r="BL575">
            <v>-38668.259999999995</v>
          </cell>
          <cell r="BM575">
            <v>-108322.97999999997</v>
          </cell>
          <cell r="BN575">
            <v>-96480.222819085655</v>
          </cell>
          <cell r="BO575">
            <v>-57280.831590018563</v>
          </cell>
          <cell r="BP575">
            <v>0</v>
          </cell>
          <cell r="BQ575">
            <v>0</v>
          </cell>
          <cell r="BR575">
            <v>-262084.03440910418</v>
          </cell>
          <cell r="BT575">
            <v>0</v>
          </cell>
          <cell r="CA575" t="str">
            <v>AF4MSA - CONTRACT - Base</v>
          </cell>
          <cell r="CC575" t="str">
            <v>AF4MSA - CONTRACT - Base - MR</v>
          </cell>
          <cell r="CD575" t="str">
            <v/>
          </cell>
          <cell r="CF575" t="str">
            <v>AF4MSA - Base - MR</v>
          </cell>
        </row>
        <row r="576">
          <cell r="D576">
            <v>562</v>
          </cell>
          <cell r="E576">
            <v>2</v>
          </cell>
          <cell r="F576">
            <v>4</v>
          </cell>
          <cell r="G576" t="str">
            <v>AF4MSA</v>
          </cell>
          <cell r="H576" t="str">
            <v>AFCAP IV - MSAB Jordan</v>
          </cell>
          <cell r="I576" t="str">
            <v>MR</v>
          </cell>
          <cell r="J576" t="str">
            <v>MR Logistics &amp; Supply</v>
          </cell>
          <cell r="K576" t="str">
            <v>Air Force</v>
          </cell>
          <cell r="L576" t="str">
            <v>DOD</v>
          </cell>
          <cell r="M576" t="str">
            <v>Jordan</v>
          </cell>
          <cell r="N576" t="str">
            <v>OCONUS</v>
          </cell>
          <cell r="O576">
            <v>0</v>
          </cell>
          <cell r="P576">
            <v>0</v>
          </cell>
          <cell r="Q576">
            <v>0</v>
          </cell>
          <cell r="R576" t="str">
            <v>FFP</v>
          </cell>
          <cell r="S576">
            <v>0</v>
          </cell>
          <cell r="T576">
            <v>1</v>
          </cell>
          <cell r="U576" t="str">
            <v>CONTRACT</v>
          </cell>
          <cell r="V576" t="str">
            <v>Identified - Recompete</v>
          </cell>
          <cell r="W576">
            <v>0</v>
          </cell>
          <cell r="X576">
            <v>0</v>
          </cell>
          <cell r="Y576">
            <v>0</v>
          </cell>
          <cell r="Z576">
            <v>0</v>
          </cell>
          <cell r="AA576">
            <v>0</v>
          </cell>
          <cell r="AB576">
            <v>0</v>
          </cell>
          <cell r="AC576">
            <v>0</v>
          </cell>
          <cell r="AD576">
            <v>0</v>
          </cell>
          <cell r="AP576">
            <v>0</v>
          </cell>
          <cell r="AQ576">
            <v>0</v>
          </cell>
          <cell r="AR576">
            <v>0</v>
          </cell>
          <cell r="AS576">
            <v>0</v>
          </cell>
          <cell r="BI576">
            <v>0</v>
          </cell>
          <cell r="BJ576">
            <v>0</v>
          </cell>
          <cell r="BK576">
            <v>0</v>
          </cell>
          <cell r="BL576">
            <v>0</v>
          </cell>
          <cell r="BM576">
            <v>0</v>
          </cell>
          <cell r="BN576">
            <v>0</v>
          </cell>
          <cell r="BO576">
            <v>0</v>
          </cell>
          <cell r="BP576">
            <v>0</v>
          </cell>
          <cell r="BQ576">
            <v>0</v>
          </cell>
          <cell r="BR576">
            <v>0</v>
          </cell>
          <cell r="BT576">
            <v>0</v>
          </cell>
          <cell r="CA576" t="str">
            <v>AF4MSA - CONTRACT - Identified - Recompete</v>
          </cell>
          <cell r="CC576" t="str">
            <v>AF4MSA - CONTRACT - Identified - Recompete - MR</v>
          </cell>
          <cell r="CD576" t="str">
            <v/>
          </cell>
          <cell r="CF576" t="str">
            <v>AF4MSA - Identified - Recompete - MR</v>
          </cell>
        </row>
        <row r="577">
          <cell r="D577">
            <v>563</v>
          </cell>
          <cell r="E577">
            <v>0</v>
          </cell>
          <cell r="F577">
            <v>5</v>
          </cell>
          <cell r="G577" t="str">
            <v>AF4MSA</v>
          </cell>
          <cell r="H577" t="str">
            <v>AFCAP IV - MSAB Jordan</v>
          </cell>
          <cell r="I577" t="str">
            <v>MR</v>
          </cell>
          <cell r="J577" t="str">
            <v>MR Logistics &amp; Supply</v>
          </cell>
          <cell r="K577" t="str">
            <v>Air Force</v>
          </cell>
          <cell r="L577" t="str">
            <v>DOD</v>
          </cell>
          <cell r="M577" t="str">
            <v>Jordan</v>
          </cell>
          <cell r="N577" t="str">
            <v>OCONUS</v>
          </cell>
          <cell r="O577">
            <v>42821</v>
          </cell>
          <cell r="P577">
            <v>44281</v>
          </cell>
          <cell r="Q577" t="str">
            <v>JV</v>
          </cell>
          <cell r="R577" t="str">
            <v>FFP</v>
          </cell>
          <cell r="S577">
            <v>0</v>
          </cell>
          <cell r="T577">
            <v>1</v>
          </cell>
          <cell r="U577" t="str">
            <v>EBITA</v>
          </cell>
          <cell r="V577" t="str">
            <v>Base</v>
          </cell>
          <cell r="W577" t="str">
            <v>05 Won</v>
          </cell>
          <cell r="X577" t="str">
            <v>Active</v>
          </cell>
          <cell r="Y577">
            <v>1</v>
          </cell>
          <cell r="Z577">
            <v>0</v>
          </cell>
          <cell r="AA577">
            <v>280131.16999999952</v>
          </cell>
          <cell r="AB577">
            <v>484704</v>
          </cell>
          <cell r="AC577">
            <v>0</v>
          </cell>
          <cell r="AD577">
            <v>764835.16999999946</v>
          </cell>
          <cell r="AT577">
            <v>0</v>
          </cell>
          <cell r="AU577">
            <v>0</v>
          </cell>
          <cell r="AV577">
            <v>1.4917989073110774E-2</v>
          </cell>
          <cell r="AW577">
            <v>-0.37963863002587933</v>
          </cell>
          <cell r="AX577">
            <v>-0.32934041477140713</v>
          </cell>
          <cell r="AY577">
            <v>-0.32834041477140713</v>
          </cell>
          <cell r="AZ577">
            <v>-0.32734041477140713</v>
          </cell>
          <cell r="BA577">
            <v>-0.32634041477140713</v>
          </cell>
          <cell r="BF577">
            <v>0</v>
          </cell>
          <cell r="BG577">
            <v>0</v>
          </cell>
          <cell r="BH577">
            <v>7552.5900000000838</v>
          </cell>
          <cell r="BI577">
            <v>-96586.829999999987</v>
          </cell>
          <cell r="BJ577">
            <v>-30246.57</v>
          </cell>
          <cell r="BK577">
            <v>3120.6900000000096</v>
          </cell>
          <cell r="BL577">
            <v>-57896.539999999994</v>
          </cell>
          <cell r="BM577">
            <v>-181609.25</v>
          </cell>
          <cell r="BN577">
            <v>-158053.758452946</v>
          </cell>
          <cell r="BO577">
            <v>-93552.448496613506</v>
          </cell>
          <cell r="BP577">
            <v>0</v>
          </cell>
          <cell r="BQ577">
            <v>0</v>
          </cell>
          <cell r="BR577">
            <v>-433215.45694955951</v>
          </cell>
          <cell r="BT577">
            <v>0</v>
          </cell>
          <cell r="CA577" t="str">
            <v>AF4MSA - EBITA - Base</v>
          </cell>
          <cell r="CC577" t="str">
            <v>AF4MSA - EBITA - Base - MR</v>
          </cell>
          <cell r="CD577" t="str">
            <v/>
          </cell>
          <cell r="CF577" t="str">
            <v>AF4MSA - Base - MR</v>
          </cell>
        </row>
        <row r="578">
          <cell r="D578">
            <v>564</v>
          </cell>
          <cell r="E578">
            <v>0</v>
          </cell>
          <cell r="F578">
            <v>0</v>
          </cell>
          <cell r="G578" t="str">
            <v>AF4MSA</v>
          </cell>
          <cell r="H578" t="str">
            <v>AFCAP IV - MSAB Jordan</v>
          </cell>
          <cell r="I578" t="str">
            <v>MR</v>
          </cell>
          <cell r="J578" t="str">
            <v>MR Logistics &amp; Supply</v>
          </cell>
          <cell r="K578" t="str">
            <v>Air Force</v>
          </cell>
          <cell r="L578" t="str">
            <v>DOD</v>
          </cell>
          <cell r="M578" t="str">
            <v>Jordan</v>
          </cell>
          <cell r="N578" t="str">
            <v>OCONUS</v>
          </cell>
          <cell r="O578">
            <v>0</v>
          </cell>
          <cell r="P578">
            <v>0</v>
          </cell>
          <cell r="Q578">
            <v>0</v>
          </cell>
          <cell r="R578" t="str">
            <v>FFP</v>
          </cell>
          <cell r="S578">
            <v>0</v>
          </cell>
          <cell r="T578">
            <v>1</v>
          </cell>
          <cell r="U578" t="str">
            <v>EBITA</v>
          </cell>
          <cell r="V578" t="str">
            <v>Identified - Recompete</v>
          </cell>
          <cell r="W578">
            <v>0</v>
          </cell>
          <cell r="X578">
            <v>0</v>
          </cell>
          <cell r="Y578">
            <v>0</v>
          </cell>
          <cell r="Z578">
            <v>0</v>
          </cell>
          <cell r="AA578">
            <v>0</v>
          </cell>
          <cell r="AB578">
            <v>0</v>
          </cell>
          <cell r="AC578">
            <v>0</v>
          </cell>
          <cell r="AD578">
            <v>0</v>
          </cell>
          <cell r="AX578">
            <v>0</v>
          </cell>
          <cell r="AY578">
            <v>0</v>
          </cell>
          <cell r="AZ578">
            <v>0</v>
          </cell>
          <cell r="BA578">
            <v>0</v>
          </cell>
          <cell r="BI578">
            <v>0</v>
          </cell>
          <cell r="BJ578">
            <v>0</v>
          </cell>
          <cell r="BK578">
            <v>0</v>
          </cell>
          <cell r="BL578">
            <v>0</v>
          </cell>
          <cell r="BM578">
            <v>0</v>
          </cell>
          <cell r="BN578">
            <v>0</v>
          </cell>
          <cell r="BO578">
            <v>0</v>
          </cell>
          <cell r="BP578">
            <v>0</v>
          </cell>
          <cell r="BQ578">
            <v>0</v>
          </cell>
          <cell r="BR578">
            <v>0</v>
          </cell>
          <cell r="BT578">
            <v>0</v>
          </cell>
          <cell r="CA578" t="str">
            <v>AF4MSA - EBITA - Identified - Recompete</v>
          </cell>
          <cell r="CC578" t="str">
            <v>AF4MSA - EBITA - Identified - Recompete - MR</v>
          </cell>
          <cell r="CD578" t="str">
            <v/>
          </cell>
          <cell r="CF578" t="str">
            <v>AF4MSA - Identified - Recompete - MR</v>
          </cell>
        </row>
        <row r="579">
          <cell r="D579">
            <v>565</v>
          </cell>
          <cell r="E579">
            <v>1</v>
          </cell>
          <cell r="F579">
            <v>1</v>
          </cell>
          <cell r="G579" t="str">
            <v>AF4ADR</v>
          </cell>
          <cell r="H579" t="str">
            <v>AFCAP IV - ADR</v>
          </cell>
          <cell r="I579" t="str">
            <v>MR</v>
          </cell>
          <cell r="J579" t="str">
            <v>MR Logistics &amp; Supply</v>
          </cell>
          <cell r="K579" t="str">
            <v>Air Force</v>
          </cell>
          <cell r="L579" t="str">
            <v>DOD</v>
          </cell>
          <cell r="M579" t="str">
            <v>GUM</v>
          </cell>
          <cell r="N579" t="str">
            <v>OCONUS</v>
          </cell>
          <cell r="O579">
            <v>43374</v>
          </cell>
          <cell r="P579">
            <v>43738</v>
          </cell>
          <cell r="Q579" t="str">
            <v>JV</v>
          </cell>
          <cell r="R579" t="str">
            <v>FFP</v>
          </cell>
          <cell r="S579">
            <v>0</v>
          </cell>
          <cell r="T579">
            <v>1</v>
          </cell>
          <cell r="U579" t="str">
            <v>REVTOT</v>
          </cell>
          <cell r="V579" t="str">
            <v>Base</v>
          </cell>
          <cell r="W579" t="str">
            <v>05 Won</v>
          </cell>
          <cell r="X579" t="str">
            <v>Active</v>
          </cell>
          <cell r="Y579">
            <v>1</v>
          </cell>
          <cell r="Z579">
            <v>0</v>
          </cell>
          <cell r="AA579">
            <v>0</v>
          </cell>
          <cell r="AB579">
            <v>0</v>
          </cell>
          <cell r="AC579">
            <v>0</v>
          </cell>
          <cell r="AD579">
            <v>0</v>
          </cell>
          <cell r="AE579">
            <v>0</v>
          </cell>
          <cell r="AF579">
            <v>0</v>
          </cell>
          <cell r="AG579">
            <v>0</v>
          </cell>
          <cell r="AH579">
            <v>-1</v>
          </cell>
          <cell r="AI579">
            <v>0</v>
          </cell>
          <cell r="AJ579">
            <v>0</v>
          </cell>
          <cell r="AK579">
            <v>0</v>
          </cell>
          <cell r="BB579">
            <v>0</v>
          </cell>
          <cell r="BC579">
            <v>0</v>
          </cell>
          <cell r="BD579">
            <v>0</v>
          </cell>
          <cell r="BE579">
            <v>0</v>
          </cell>
          <cell r="BF579">
            <v>0</v>
          </cell>
          <cell r="BG579">
            <v>0</v>
          </cell>
          <cell r="BH579">
            <v>0</v>
          </cell>
          <cell r="BI579">
            <v>0</v>
          </cell>
          <cell r="BJ579">
            <v>157467.04999999999</v>
          </cell>
          <cell r="BK579">
            <v>89957.64</v>
          </cell>
          <cell r="BL579">
            <v>0</v>
          </cell>
          <cell r="BM579">
            <v>247424.69</v>
          </cell>
          <cell r="BN579">
            <v>0</v>
          </cell>
          <cell r="BO579">
            <v>0</v>
          </cell>
          <cell r="BP579">
            <v>0</v>
          </cell>
          <cell r="BQ579">
            <v>0</v>
          </cell>
          <cell r="BR579">
            <v>247424.69</v>
          </cell>
          <cell r="BT579">
            <v>0</v>
          </cell>
          <cell r="CA579" t="str">
            <v>AF4ADR - REVTOT - Base</v>
          </cell>
          <cell r="CC579" t="str">
            <v>AF4ADR - REVTOT - Base - MR</v>
          </cell>
          <cell r="CD579" t="str">
            <v>AF4ADR - REVTOT - Base - MR</v>
          </cell>
          <cell r="CF579" t="str">
            <v>AF4ADR - Base - MR</v>
          </cell>
        </row>
        <row r="580">
          <cell r="D580">
            <v>566</v>
          </cell>
          <cell r="E580">
            <v>1</v>
          </cell>
          <cell r="F580">
            <v>2</v>
          </cell>
          <cell r="G580" t="str">
            <v>AF4ADR</v>
          </cell>
          <cell r="H580" t="str">
            <v>AFCAP IV - ADR</v>
          </cell>
          <cell r="I580" t="str">
            <v>MR</v>
          </cell>
          <cell r="J580" t="str">
            <v>MR Logistics &amp; Supply</v>
          </cell>
          <cell r="K580" t="str">
            <v>Air Force</v>
          </cell>
          <cell r="L580" t="str">
            <v>DOD</v>
          </cell>
          <cell r="M580" t="str">
            <v>GUM</v>
          </cell>
          <cell r="N580" t="str">
            <v>OCONUS</v>
          </cell>
          <cell r="O580">
            <v>0</v>
          </cell>
          <cell r="P580">
            <v>0</v>
          </cell>
          <cell r="Q580">
            <v>0</v>
          </cell>
          <cell r="R580" t="str">
            <v>FFP</v>
          </cell>
          <cell r="S580">
            <v>0</v>
          </cell>
          <cell r="T580">
            <v>1</v>
          </cell>
          <cell r="U580" t="str">
            <v>REVTOT</v>
          </cell>
          <cell r="V580" t="str">
            <v>Identified - Recompete</v>
          </cell>
          <cell r="W580">
            <v>0</v>
          </cell>
          <cell r="X580">
            <v>0</v>
          </cell>
          <cell r="Y580">
            <v>0</v>
          </cell>
          <cell r="Z580">
            <v>0</v>
          </cell>
          <cell r="AA580">
            <v>0</v>
          </cell>
          <cell r="AB580">
            <v>0</v>
          </cell>
          <cell r="AC580">
            <v>0</v>
          </cell>
          <cell r="AD580">
            <v>0</v>
          </cell>
          <cell r="AI580">
            <v>0</v>
          </cell>
          <cell r="AJ580">
            <v>0</v>
          </cell>
          <cell r="AK580">
            <v>0</v>
          </cell>
          <cell r="BB580">
            <v>0</v>
          </cell>
          <cell r="BC580">
            <v>0</v>
          </cell>
          <cell r="BD580">
            <v>0</v>
          </cell>
          <cell r="BE580">
            <v>0</v>
          </cell>
          <cell r="BI580">
            <v>0</v>
          </cell>
          <cell r="BJ580">
            <v>0</v>
          </cell>
          <cell r="BK580">
            <v>0</v>
          </cell>
          <cell r="BL580">
            <v>0</v>
          </cell>
          <cell r="BM580">
            <v>0</v>
          </cell>
          <cell r="BN580">
            <v>0</v>
          </cell>
          <cell r="BO580">
            <v>0</v>
          </cell>
          <cell r="BP580">
            <v>0</v>
          </cell>
          <cell r="BQ580">
            <v>0</v>
          </cell>
          <cell r="BR580">
            <v>0</v>
          </cell>
          <cell r="BT580">
            <v>0</v>
          </cell>
          <cell r="CA580" t="str">
            <v>AF4ADR - REVTOT - Identified - Recompete</v>
          </cell>
          <cell r="CC580" t="str">
            <v>AF4ADR - REVTOT - Identified - Recompete - MR</v>
          </cell>
          <cell r="CD580" t="str">
            <v/>
          </cell>
          <cell r="CF580" t="str">
            <v>AF4ADR - Identified - Recompete - MR</v>
          </cell>
        </row>
        <row r="581">
          <cell r="D581">
            <v>567</v>
          </cell>
          <cell r="E581">
            <v>2</v>
          </cell>
          <cell r="F581">
            <v>3</v>
          </cell>
          <cell r="G581" t="str">
            <v>AF4ADR</v>
          </cell>
          <cell r="H581" t="str">
            <v>AFCAP IV - ADR</v>
          </cell>
          <cell r="I581" t="str">
            <v>MR</v>
          </cell>
          <cell r="J581" t="str">
            <v>MR Logistics &amp; Supply</v>
          </cell>
          <cell r="K581" t="str">
            <v>Air Force</v>
          </cell>
          <cell r="L581" t="str">
            <v>DOD</v>
          </cell>
          <cell r="M581" t="str">
            <v>GUM</v>
          </cell>
          <cell r="N581" t="str">
            <v>OCONUS</v>
          </cell>
          <cell r="O581">
            <v>43374</v>
          </cell>
          <cell r="P581">
            <v>43738</v>
          </cell>
          <cell r="Q581" t="str">
            <v>JV</v>
          </cell>
          <cell r="R581" t="str">
            <v>FFP</v>
          </cell>
          <cell r="S581">
            <v>0</v>
          </cell>
          <cell r="T581">
            <v>1</v>
          </cell>
          <cell r="U581" t="str">
            <v>CONTRACT</v>
          </cell>
          <cell r="V581" t="str">
            <v>Base</v>
          </cell>
          <cell r="W581" t="str">
            <v>05 Won</v>
          </cell>
          <cell r="X581" t="str">
            <v>Active</v>
          </cell>
          <cell r="Y581">
            <v>1</v>
          </cell>
          <cell r="Z581">
            <v>0</v>
          </cell>
          <cell r="AA581">
            <v>0</v>
          </cell>
          <cell r="AB581">
            <v>0</v>
          </cell>
          <cell r="AC581">
            <v>0</v>
          </cell>
          <cell r="AD581">
            <v>0</v>
          </cell>
          <cell r="AL581">
            <v>0</v>
          </cell>
          <cell r="AM581">
            <v>0</v>
          </cell>
          <cell r="AN581">
            <v>0</v>
          </cell>
          <cell r="AO581">
            <v>0.11685955835692877</v>
          </cell>
          <cell r="AP581">
            <v>0.11685955835692877</v>
          </cell>
          <cell r="AQ581">
            <v>0.11685955835692877</v>
          </cell>
          <cell r="AR581">
            <v>0.11685955835692877</v>
          </cell>
          <cell r="AS581">
            <v>0.11685955835692877</v>
          </cell>
          <cell r="BF581">
            <v>0</v>
          </cell>
          <cell r="BG581">
            <v>0</v>
          </cell>
          <cell r="BH581">
            <v>0</v>
          </cell>
          <cell r="BI581">
            <v>-559.38</v>
          </cell>
          <cell r="BJ581">
            <v>13353.010000000002</v>
          </cell>
          <cell r="BK581">
            <v>16120.310000000005</v>
          </cell>
          <cell r="BL581">
            <v>0</v>
          </cell>
          <cell r="BM581">
            <v>28913.94000000001</v>
          </cell>
          <cell r="BN581">
            <v>0</v>
          </cell>
          <cell r="BO581">
            <v>0</v>
          </cell>
          <cell r="BP581">
            <v>0</v>
          </cell>
          <cell r="BQ581">
            <v>0</v>
          </cell>
          <cell r="BR581">
            <v>28913.94000000001</v>
          </cell>
          <cell r="BT581">
            <v>0</v>
          </cell>
          <cell r="CA581" t="str">
            <v>AF4ADR - CONTRACT - Base</v>
          </cell>
          <cell r="CC581" t="str">
            <v>AF4ADR - CONTRACT - Base - MR</v>
          </cell>
          <cell r="CD581" t="str">
            <v/>
          </cell>
          <cell r="CF581" t="str">
            <v>AF4ADR - Base - MR</v>
          </cell>
        </row>
        <row r="582">
          <cell r="D582">
            <v>568</v>
          </cell>
          <cell r="E582">
            <v>2</v>
          </cell>
          <cell r="F582">
            <v>4</v>
          </cell>
          <cell r="G582" t="str">
            <v>AF4ADR</v>
          </cell>
          <cell r="H582" t="str">
            <v>AFCAP IV - ADR</v>
          </cell>
          <cell r="I582" t="str">
            <v>MR</v>
          </cell>
          <cell r="J582" t="str">
            <v>MR Logistics &amp; Supply</v>
          </cell>
          <cell r="K582" t="str">
            <v>Air Force</v>
          </cell>
          <cell r="L582" t="str">
            <v>DOD</v>
          </cell>
          <cell r="M582" t="str">
            <v>GUM</v>
          </cell>
          <cell r="N582" t="str">
            <v>OCONUS</v>
          </cell>
          <cell r="O582">
            <v>0</v>
          </cell>
          <cell r="P582">
            <v>0</v>
          </cell>
          <cell r="Q582">
            <v>0</v>
          </cell>
          <cell r="R582" t="str">
            <v>FFP</v>
          </cell>
          <cell r="S582">
            <v>0</v>
          </cell>
          <cell r="T582">
            <v>1</v>
          </cell>
          <cell r="U582" t="str">
            <v>CONTRACT</v>
          </cell>
          <cell r="V582" t="str">
            <v>Identified - Recompete</v>
          </cell>
          <cell r="W582">
            <v>0</v>
          </cell>
          <cell r="X582">
            <v>0</v>
          </cell>
          <cell r="Y582">
            <v>0</v>
          </cell>
          <cell r="Z582">
            <v>0</v>
          </cell>
          <cell r="AA582">
            <v>0</v>
          </cell>
          <cell r="AB582">
            <v>0</v>
          </cell>
          <cell r="AC582">
            <v>0</v>
          </cell>
          <cell r="AD582">
            <v>0</v>
          </cell>
          <cell r="AP582">
            <v>0</v>
          </cell>
          <cell r="AQ582">
            <v>0</v>
          </cell>
          <cell r="AR582">
            <v>0</v>
          </cell>
          <cell r="AS582">
            <v>0</v>
          </cell>
          <cell r="BI582">
            <v>0</v>
          </cell>
          <cell r="BJ582">
            <v>0</v>
          </cell>
          <cell r="BK582">
            <v>0</v>
          </cell>
          <cell r="BL582">
            <v>0</v>
          </cell>
          <cell r="BM582">
            <v>0</v>
          </cell>
          <cell r="BN582">
            <v>0</v>
          </cell>
          <cell r="BO582">
            <v>0</v>
          </cell>
          <cell r="BP582">
            <v>0</v>
          </cell>
          <cell r="BQ582">
            <v>0</v>
          </cell>
          <cell r="BR582">
            <v>0</v>
          </cell>
          <cell r="BT582">
            <v>0</v>
          </cell>
          <cell r="CA582" t="str">
            <v>AF4ADR - CONTRACT - Identified - Recompete</v>
          </cell>
          <cell r="CC582" t="str">
            <v>AF4ADR - CONTRACT - Identified - Recompete - MR</v>
          </cell>
          <cell r="CD582" t="str">
            <v/>
          </cell>
          <cell r="CF582" t="str">
            <v>AF4ADR - Identified - Recompete - MR</v>
          </cell>
        </row>
        <row r="583">
          <cell r="D583">
            <v>569</v>
          </cell>
          <cell r="E583">
            <v>0</v>
          </cell>
          <cell r="F583">
            <v>5</v>
          </cell>
          <cell r="G583" t="str">
            <v>AF4ADR</v>
          </cell>
          <cell r="H583" t="str">
            <v>AFCAP IV - ADR</v>
          </cell>
          <cell r="I583" t="str">
            <v>MR</v>
          </cell>
          <cell r="J583" t="str">
            <v>MR Logistics &amp; Supply</v>
          </cell>
          <cell r="K583" t="str">
            <v>Air Force</v>
          </cell>
          <cell r="L583" t="str">
            <v>DOD</v>
          </cell>
          <cell r="M583" t="str">
            <v>GUM</v>
          </cell>
          <cell r="N583" t="str">
            <v>OCONUS</v>
          </cell>
          <cell r="O583">
            <v>43374</v>
          </cell>
          <cell r="P583">
            <v>43738</v>
          </cell>
          <cell r="Q583" t="str">
            <v>JV</v>
          </cell>
          <cell r="R583" t="str">
            <v>FFP</v>
          </cell>
          <cell r="S583">
            <v>0</v>
          </cell>
          <cell r="T583">
            <v>1</v>
          </cell>
          <cell r="U583" t="str">
            <v>EBITA</v>
          </cell>
          <cell r="V583" t="str">
            <v>Base</v>
          </cell>
          <cell r="W583" t="str">
            <v>05 Won</v>
          </cell>
          <cell r="X583" t="str">
            <v>Active</v>
          </cell>
          <cell r="Y583">
            <v>1</v>
          </cell>
          <cell r="Z583">
            <v>0</v>
          </cell>
          <cell r="AA583">
            <v>0</v>
          </cell>
          <cell r="AB583">
            <v>0</v>
          </cell>
          <cell r="AC583">
            <v>0</v>
          </cell>
          <cell r="AD583">
            <v>0</v>
          </cell>
          <cell r="AT583">
            <v>0</v>
          </cell>
          <cell r="AU583">
            <v>0</v>
          </cell>
          <cell r="AV583">
            <v>0</v>
          </cell>
          <cell r="AW583">
            <v>3.9410577820669417E-2</v>
          </cell>
          <cell r="AX583">
            <v>4.0410577820669417E-2</v>
          </cell>
          <cell r="AY583">
            <v>4.1410577820669418E-2</v>
          </cell>
          <cell r="AZ583">
            <v>4.2410577820669419E-2</v>
          </cell>
          <cell r="BA583">
            <v>4.341057782066942E-2</v>
          </cell>
          <cell r="BF583">
            <v>0</v>
          </cell>
          <cell r="BG583">
            <v>0</v>
          </cell>
          <cell r="BH583">
            <v>0</v>
          </cell>
          <cell r="BI583">
            <v>-621.34</v>
          </cell>
          <cell r="BJ583">
            <v>694.04000000000269</v>
          </cell>
          <cell r="BK583">
            <v>9678.4500000000044</v>
          </cell>
          <cell r="BL583">
            <v>0</v>
          </cell>
          <cell r="BM583">
            <v>9751.1500000000069</v>
          </cell>
          <cell r="BN583">
            <v>0</v>
          </cell>
          <cell r="BO583">
            <v>0</v>
          </cell>
          <cell r="BP583">
            <v>0</v>
          </cell>
          <cell r="BQ583">
            <v>0</v>
          </cell>
          <cell r="BR583">
            <v>9751.1500000000069</v>
          </cell>
          <cell r="BT583">
            <v>0</v>
          </cell>
          <cell r="CA583" t="str">
            <v>AF4ADR - EBITA - Base</v>
          </cell>
          <cell r="CC583" t="str">
            <v>AF4ADR - EBITA - Base - MR</v>
          </cell>
          <cell r="CD583" t="str">
            <v/>
          </cell>
          <cell r="CF583" t="str">
            <v>AF4ADR - Base - MR</v>
          </cell>
        </row>
        <row r="584">
          <cell r="D584">
            <v>570</v>
          </cell>
          <cell r="E584">
            <v>0</v>
          </cell>
          <cell r="F584">
            <v>0</v>
          </cell>
          <cell r="G584" t="str">
            <v>AF4ADR</v>
          </cell>
          <cell r="H584" t="str">
            <v>AFCAP IV - ADR</v>
          </cell>
          <cell r="I584" t="str">
            <v>MR</v>
          </cell>
          <cell r="J584" t="str">
            <v>MR Logistics &amp; Supply</v>
          </cell>
          <cell r="K584" t="str">
            <v>Air Force</v>
          </cell>
          <cell r="L584" t="str">
            <v>DOD</v>
          </cell>
          <cell r="M584" t="str">
            <v>GUM</v>
          </cell>
          <cell r="N584" t="str">
            <v>OCONUS</v>
          </cell>
          <cell r="O584">
            <v>0</v>
          </cell>
          <cell r="P584">
            <v>0</v>
          </cell>
          <cell r="Q584">
            <v>0</v>
          </cell>
          <cell r="R584" t="str">
            <v>FFP</v>
          </cell>
          <cell r="S584">
            <v>0</v>
          </cell>
          <cell r="T584">
            <v>1</v>
          </cell>
          <cell r="U584" t="str">
            <v>EBITA</v>
          </cell>
          <cell r="V584" t="str">
            <v>Identified - Recompete</v>
          </cell>
          <cell r="W584">
            <v>0</v>
          </cell>
          <cell r="X584">
            <v>0</v>
          </cell>
          <cell r="Y584">
            <v>0</v>
          </cell>
          <cell r="Z584">
            <v>0</v>
          </cell>
          <cell r="AA584">
            <v>0</v>
          </cell>
          <cell r="AB584">
            <v>0</v>
          </cell>
          <cell r="AC584">
            <v>0</v>
          </cell>
          <cell r="AD584">
            <v>0</v>
          </cell>
          <cell r="AX584">
            <v>0</v>
          </cell>
          <cell r="AY584">
            <v>0</v>
          </cell>
          <cell r="AZ584">
            <v>0</v>
          </cell>
          <cell r="BA584">
            <v>0</v>
          </cell>
          <cell r="BI584">
            <v>0</v>
          </cell>
          <cell r="BJ584">
            <v>0</v>
          </cell>
          <cell r="BK584">
            <v>0</v>
          </cell>
          <cell r="BL584">
            <v>0</v>
          </cell>
          <cell r="BM584">
            <v>0</v>
          </cell>
          <cell r="BN584">
            <v>0</v>
          </cell>
          <cell r="BO584">
            <v>0</v>
          </cell>
          <cell r="BP584">
            <v>0</v>
          </cell>
          <cell r="BQ584">
            <v>0</v>
          </cell>
          <cell r="BR584">
            <v>0</v>
          </cell>
          <cell r="BT584">
            <v>0</v>
          </cell>
          <cell r="CA584" t="str">
            <v>AF4ADR - EBITA - Identified - Recompete</v>
          </cell>
          <cell r="CC584" t="str">
            <v>AF4ADR - EBITA - Identified - Recompete - MR</v>
          </cell>
          <cell r="CD584" t="str">
            <v/>
          </cell>
          <cell r="CF584" t="str">
            <v>AF4ADR - Identified - Recompete - MR</v>
          </cell>
        </row>
        <row r="585">
          <cell r="D585">
            <v>571</v>
          </cell>
          <cell r="E585">
            <v>1</v>
          </cell>
          <cell r="F585">
            <v>1</v>
          </cell>
          <cell r="G585" t="str">
            <v>PROS34</v>
          </cell>
          <cell r="H585" t="str">
            <v>LSII PROS III &amp; IV</v>
          </cell>
          <cell r="I585" t="str">
            <v>MR</v>
          </cell>
          <cell r="J585" t="str">
            <v>MR Logistics &amp; Supply</v>
          </cell>
          <cell r="K585" t="str">
            <v>Air Force</v>
          </cell>
          <cell r="L585" t="str">
            <v>DOD</v>
          </cell>
          <cell r="M585" t="str">
            <v>TX</v>
          </cell>
          <cell r="N585" t="str">
            <v>CONUS</v>
          </cell>
          <cell r="O585">
            <v>38971</v>
          </cell>
          <cell r="P585">
            <v>41274</v>
          </cell>
          <cell r="Q585" t="str">
            <v>Other</v>
          </cell>
          <cell r="R585" t="str">
            <v>FFP</v>
          </cell>
          <cell r="S585">
            <v>0</v>
          </cell>
          <cell r="T585">
            <v>1</v>
          </cell>
          <cell r="U585" t="str">
            <v>REVTOT</v>
          </cell>
          <cell r="V585" t="str">
            <v>Base</v>
          </cell>
          <cell r="W585" t="str">
            <v>05 Won</v>
          </cell>
          <cell r="X585" t="str">
            <v>Active</v>
          </cell>
          <cell r="Y585">
            <v>1</v>
          </cell>
          <cell r="Z585">
            <v>0</v>
          </cell>
          <cell r="AA585">
            <v>0</v>
          </cell>
          <cell r="AB585">
            <v>0</v>
          </cell>
          <cell r="AC585">
            <v>0</v>
          </cell>
          <cell r="AD585">
            <v>0</v>
          </cell>
          <cell r="AE585">
            <v>-1</v>
          </cell>
          <cell r="AF585">
            <v>0</v>
          </cell>
          <cell r="AG585">
            <v>0</v>
          </cell>
          <cell r="AH585">
            <v>0</v>
          </cell>
          <cell r="AI585">
            <v>0</v>
          </cell>
          <cell r="AJ585">
            <v>0</v>
          </cell>
          <cell r="AK585">
            <v>0</v>
          </cell>
          <cell r="BB585">
            <v>0</v>
          </cell>
          <cell r="BC585">
            <v>0</v>
          </cell>
          <cell r="BD585">
            <v>0</v>
          </cell>
          <cell r="BE585">
            <v>0</v>
          </cell>
          <cell r="BF585">
            <v>443646.71</v>
          </cell>
          <cell r="BG585">
            <v>0</v>
          </cell>
          <cell r="BH585">
            <v>0</v>
          </cell>
          <cell r="BI585">
            <v>0</v>
          </cell>
          <cell r="BJ585">
            <v>0</v>
          </cell>
          <cell r="BK585">
            <v>0</v>
          </cell>
          <cell r="BL585">
            <v>0</v>
          </cell>
          <cell r="BM585">
            <v>0</v>
          </cell>
          <cell r="BN585">
            <v>0</v>
          </cell>
          <cell r="BO585">
            <v>0</v>
          </cell>
          <cell r="BP585">
            <v>0</v>
          </cell>
          <cell r="BQ585">
            <v>0</v>
          </cell>
          <cell r="BR585">
            <v>0</v>
          </cell>
          <cell r="BT585">
            <v>0</v>
          </cell>
          <cell r="CA585" t="str">
            <v>PROS34 - REVTOT - Base</v>
          </cell>
          <cell r="CC585" t="str">
            <v>PROS34 - REVTOT - Base - MR</v>
          </cell>
          <cell r="CD585" t="str">
            <v>PROS34 - REVTOT - Base - MR</v>
          </cell>
          <cell r="CF585" t="str">
            <v>PROS34 - Base - MR</v>
          </cell>
        </row>
        <row r="586">
          <cell r="D586">
            <v>572</v>
          </cell>
          <cell r="E586">
            <v>1</v>
          </cell>
          <cell r="F586">
            <v>2</v>
          </cell>
          <cell r="G586" t="str">
            <v>PROS34</v>
          </cell>
          <cell r="H586" t="str">
            <v>LSII PROS III &amp; IV</v>
          </cell>
          <cell r="I586" t="str">
            <v>MR</v>
          </cell>
          <cell r="J586" t="str">
            <v>MR Logistics &amp; Supply</v>
          </cell>
          <cell r="K586" t="str">
            <v>Air Force</v>
          </cell>
          <cell r="L586" t="str">
            <v>DOD</v>
          </cell>
          <cell r="M586" t="str">
            <v>TX</v>
          </cell>
          <cell r="N586" t="str">
            <v>CONUS</v>
          </cell>
          <cell r="O586">
            <v>0</v>
          </cell>
          <cell r="P586">
            <v>0</v>
          </cell>
          <cell r="Q586">
            <v>0</v>
          </cell>
          <cell r="R586" t="str">
            <v>FFP</v>
          </cell>
          <cell r="S586">
            <v>0</v>
          </cell>
          <cell r="T586">
            <v>1</v>
          </cell>
          <cell r="U586" t="str">
            <v>REVTOT</v>
          </cell>
          <cell r="V586" t="str">
            <v>Identified - Recompete</v>
          </cell>
          <cell r="W586">
            <v>0</v>
          </cell>
          <cell r="X586">
            <v>0</v>
          </cell>
          <cell r="Y586">
            <v>0</v>
          </cell>
          <cell r="Z586">
            <v>0</v>
          </cell>
          <cell r="AA586">
            <v>0</v>
          </cell>
          <cell r="AB586">
            <v>0</v>
          </cell>
          <cell r="AC586">
            <v>0</v>
          </cell>
          <cell r="AD586">
            <v>0</v>
          </cell>
          <cell r="AI586">
            <v>0</v>
          </cell>
          <cell r="AJ586">
            <v>0</v>
          </cell>
          <cell r="AK586">
            <v>0</v>
          </cell>
          <cell r="BB586">
            <v>0</v>
          </cell>
          <cell r="BC586">
            <v>0</v>
          </cell>
          <cell r="BD586">
            <v>0</v>
          </cell>
          <cell r="BE586">
            <v>0</v>
          </cell>
          <cell r="BI586">
            <v>0</v>
          </cell>
          <cell r="BJ586">
            <v>0</v>
          </cell>
          <cell r="BK586">
            <v>0</v>
          </cell>
          <cell r="BL586">
            <v>0</v>
          </cell>
          <cell r="BM586">
            <v>0</v>
          </cell>
          <cell r="BN586">
            <v>0</v>
          </cell>
          <cell r="BO586">
            <v>0</v>
          </cell>
          <cell r="BP586">
            <v>0</v>
          </cell>
          <cell r="BQ586">
            <v>0</v>
          </cell>
          <cell r="BR586">
            <v>0</v>
          </cell>
          <cell r="BT586">
            <v>0</v>
          </cell>
          <cell r="CA586" t="str">
            <v>PROS34 - REVTOT - Identified - Recompete</v>
          </cell>
          <cell r="CC586" t="str">
            <v>PROS34 - REVTOT - Identified - Recompete - MR</v>
          </cell>
          <cell r="CD586" t="str">
            <v/>
          </cell>
          <cell r="CF586" t="str">
            <v>PROS34 - Identified - Recompete - MR</v>
          </cell>
        </row>
        <row r="587">
          <cell r="D587">
            <v>573</v>
          </cell>
          <cell r="E587">
            <v>2</v>
          </cell>
          <cell r="F587">
            <v>3</v>
          </cell>
          <cell r="G587" t="str">
            <v>PROS34</v>
          </cell>
          <cell r="H587" t="str">
            <v>LSII PROS III &amp; IV</v>
          </cell>
          <cell r="I587" t="str">
            <v>MR</v>
          </cell>
          <cell r="J587" t="str">
            <v>MR Logistics &amp; Supply</v>
          </cell>
          <cell r="K587" t="str">
            <v>Air Force</v>
          </cell>
          <cell r="L587" t="str">
            <v>DOD</v>
          </cell>
          <cell r="M587" t="str">
            <v>TX</v>
          </cell>
          <cell r="N587" t="str">
            <v>CONUS</v>
          </cell>
          <cell r="O587">
            <v>38971</v>
          </cell>
          <cell r="P587">
            <v>41274</v>
          </cell>
          <cell r="Q587" t="str">
            <v>Other</v>
          </cell>
          <cell r="R587" t="str">
            <v>FFP</v>
          </cell>
          <cell r="S587">
            <v>0</v>
          </cell>
          <cell r="T587">
            <v>1</v>
          </cell>
          <cell r="U587" t="str">
            <v>CONTRACT</v>
          </cell>
          <cell r="V587" t="str">
            <v>Base</v>
          </cell>
          <cell r="W587" t="str">
            <v>05 Won</v>
          </cell>
          <cell r="X587" t="str">
            <v>Active</v>
          </cell>
          <cell r="Y587">
            <v>1</v>
          </cell>
          <cell r="Z587">
            <v>0</v>
          </cell>
          <cell r="AA587">
            <v>0</v>
          </cell>
          <cell r="AB587">
            <v>0</v>
          </cell>
          <cell r="AC587">
            <v>0</v>
          </cell>
          <cell r="AD587">
            <v>0</v>
          </cell>
          <cell r="AL587">
            <v>0.57883828328175813</v>
          </cell>
          <cell r="AM587">
            <v>0</v>
          </cell>
          <cell r="AN587">
            <v>0</v>
          </cell>
          <cell r="AO587">
            <v>0</v>
          </cell>
          <cell r="AP587">
            <v>0.82852741092118087</v>
          </cell>
          <cell r="AQ587">
            <v>0.82852741092118087</v>
          </cell>
          <cell r="AR587">
            <v>0.82852741092118087</v>
          </cell>
          <cell r="AS587">
            <v>0.82852741092118087</v>
          </cell>
          <cell r="BF587">
            <v>256799.7</v>
          </cell>
          <cell r="BG587">
            <v>18340.490000000002</v>
          </cell>
          <cell r="BH587">
            <v>-15779.260000000002</v>
          </cell>
          <cell r="BI587">
            <v>-34302.69</v>
          </cell>
          <cell r="BJ587">
            <v>145122.59</v>
          </cell>
          <cell r="BK587">
            <v>-2607.3700000000003</v>
          </cell>
          <cell r="BL587">
            <v>0</v>
          </cell>
          <cell r="BM587">
            <v>108212.53</v>
          </cell>
          <cell r="BN587">
            <v>0</v>
          </cell>
          <cell r="BO587">
            <v>0</v>
          </cell>
          <cell r="BP587">
            <v>0</v>
          </cell>
          <cell r="BQ587">
            <v>0</v>
          </cell>
          <cell r="BR587">
            <v>108212.53</v>
          </cell>
          <cell r="BT587">
            <v>0</v>
          </cell>
          <cell r="CA587" t="str">
            <v>PROS34 - CONTRACT - Base</v>
          </cell>
          <cell r="CC587" t="str">
            <v>PROS34 - CONTRACT - Base - MR</v>
          </cell>
          <cell r="CD587" t="str">
            <v/>
          </cell>
          <cell r="CF587" t="str">
            <v>PROS34 - Base - MR</v>
          </cell>
        </row>
        <row r="588">
          <cell r="D588">
            <v>574</v>
          </cell>
          <cell r="E588">
            <v>2</v>
          </cell>
          <cell r="F588">
            <v>4</v>
          </cell>
          <cell r="G588" t="str">
            <v>PROS34</v>
          </cell>
          <cell r="H588" t="str">
            <v>LSII PROS III &amp; IV</v>
          </cell>
          <cell r="I588" t="str">
            <v>MR</v>
          </cell>
          <cell r="J588" t="str">
            <v>MR Logistics &amp; Supply</v>
          </cell>
          <cell r="K588" t="str">
            <v>Air Force</v>
          </cell>
          <cell r="L588" t="str">
            <v>DOD</v>
          </cell>
          <cell r="M588" t="str">
            <v>TX</v>
          </cell>
          <cell r="N588" t="str">
            <v>CONUS</v>
          </cell>
          <cell r="O588">
            <v>0</v>
          </cell>
          <cell r="P588">
            <v>0</v>
          </cell>
          <cell r="Q588">
            <v>0</v>
          </cell>
          <cell r="R588" t="str">
            <v>FFP</v>
          </cell>
          <cell r="S588">
            <v>0</v>
          </cell>
          <cell r="T588">
            <v>1</v>
          </cell>
          <cell r="U588" t="str">
            <v>CONTRACT</v>
          </cell>
          <cell r="V588" t="str">
            <v>Identified - Recompete</v>
          </cell>
          <cell r="W588">
            <v>0</v>
          </cell>
          <cell r="X588">
            <v>0</v>
          </cell>
          <cell r="Y588">
            <v>0</v>
          </cell>
          <cell r="Z588">
            <v>0</v>
          </cell>
          <cell r="AA588">
            <v>0</v>
          </cell>
          <cell r="AB588">
            <v>0</v>
          </cell>
          <cell r="AC588">
            <v>0</v>
          </cell>
          <cell r="AD588">
            <v>0</v>
          </cell>
          <cell r="AP588">
            <v>0</v>
          </cell>
          <cell r="AQ588">
            <v>0</v>
          </cell>
          <cell r="AR588">
            <v>0</v>
          </cell>
          <cell r="AS588">
            <v>0</v>
          </cell>
          <cell r="BI588">
            <v>0</v>
          </cell>
          <cell r="BJ588">
            <v>0</v>
          </cell>
          <cell r="BK588">
            <v>0</v>
          </cell>
          <cell r="BL588">
            <v>0</v>
          </cell>
          <cell r="BM588">
            <v>0</v>
          </cell>
          <cell r="BN588">
            <v>0</v>
          </cell>
          <cell r="BO588">
            <v>0</v>
          </cell>
          <cell r="BP588">
            <v>0</v>
          </cell>
          <cell r="BQ588">
            <v>0</v>
          </cell>
          <cell r="BR588">
            <v>0</v>
          </cell>
          <cell r="BT588">
            <v>0</v>
          </cell>
          <cell r="CA588" t="str">
            <v>PROS34 - CONTRACT - Identified - Recompete</v>
          </cell>
          <cell r="CC588" t="str">
            <v>PROS34 - CONTRACT - Identified - Recompete - MR</v>
          </cell>
          <cell r="CD588" t="str">
            <v/>
          </cell>
          <cell r="CF588" t="str">
            <v>PROS34 - Identified - Recompete - MR</v>
          </cell>
        </row>
        <row r="589">
          <cell r="D589">
            <v>575</v>
          </cell>
          <cell r="E589">
            <v>0</v>
          </cell>
          <cell r="F589">
            <v>5</v>
          </cell>
          <cell r="G589" t="str">
            <v>PROS34</v>
          </cell>
          <cell r="H589" t="str">
            <v>LSII PROS III &amp; IV</v>
          </cell>
          <cell r="I589" t="str">
            <v>MR</v>
          </cell>
          <cell r="J589" t="str">
            <v>MR Logistics &amp; Supply</v>
          </cell>
          <cell r="K589" t="str">
            <v>Air Force</v>
          </cell>
          <cell r="L589" t="str">
            <v>DOD</v>
          </cell>
          <cell r="M589" t="str">
            <v>TX</v>
          </cell>
          <cell r="N589" t="str">
            <v>CONUS</v>
          </cell>
          <cell r="O589">
            <v>38971</v>
          </cell>
          <cell r="P589">
            <v>41274</v>
          </cell>
          <cell r="Q589" t="str">
            <v>Other</v>
          </cell>
          <cell r="R589" t="str">
            <v>FFP</v>
          </cell>
          <cell r="S589">
            <v>0</v>
          </cell>
          <cell r="T589">
            <v>1</v>
          </cell>
          <cell r="U589" t="str">
            <v>EBITA</v>
          </cell>
          <cell r="V589" t="str">
            <v>Base</v>
          </cell>
          <cell r="W589" t="str">
            <v>05 Won</v>
          </cell>
          <cell r="X589" t="str">
            <v>Active</v>
          </cell>
          <cell r="Y589">
            <v>1</v>
          </cell>
          <cell r="Z589">
            <v>0</v>
          </cell>
          <cell r="AA589">
            <v>0</v>
          </cell>
          <cell r="AB589">
            <v>0</v>
          </cell>
          <cell r="AC589">
            <v>0</v>
          </cell>
          <cell r="AD589">
            <v>0</v>
          </cell>
          <cell r="AT589">
            <v>0.53165472589664864</v>
          </cell>
          <cell r="AU589">
            <v>0</v>
          </cell>
          <cell r="AV589">
            <v>0</v>
          </cell>
          <cell r="AW589">
            <v>0</v>
          </cell>
          <cell r="AX589">
            <v>0.8037699563014904</v>
          </cell>
          <cell r="AY589">
            <v>0.8047699563014904</v>
          </cell>
          <cell r="AZ589">
            <v>0.8057699563014904</v>
          </cell>
          <cell r="BA589">
            <v>0.8067699563014904</v>
          </cell>
          <cell r="BF589">
            <v>235866.87</v>
          </cell>
          <cell r="BG589">
            <v>19755.960000000003</v>
          </cell>
          <cell r="BH589">
            <v>-17127.829999999998</v>
          </cell>
          <cell r="BI589">
            <v>-37365.630000000005</v>
          </cell>
          <cell r="BJ589">
            <v>157851.66999999998</v>
          </cell>
          <cell r="BK589">
            <v>-2834.7900000000004</v>
          </cell>
          <cell r="BL589">
            <v>0</v>
          </cell>
          <cell r="BM589">
            <v>117651.24999999999</v>
          </cell>
          <cell r="BN589">
            <v>0</v>
          </cell>
          <cell r="BO589">
            <v>0</v>
          </cell>
          <cell r="BP589">
            <v>0</v>
          </cell>
          <cell r="BQ589">
            <v>0</v>
          </cell>
          <cell r="BR589">
            <v>117651.24999999999</v>
          </cell>
          <cell r="BT589">
            <v>0</v>
          </cell>
          <cell r="CA589" t="str">
            <v>PROS34 - EBITA - Base</v>
          </cell>
          <cell r="CC589" t="str">
            <v>PROS34 - EBITA - Base - MR</v>
          </cell>
          <cell r="CD589" t="str">
            <v/>
          </cell>
          <cell r="CF589" t="str">
            <v>PROS34 - Base - MR</v>
          </cell>
        </row>
        <row r="590">
          <cell r="D590">
            <v>576</v>
          </cell>
          <cell r="E590">
            <v>0</v>
          </cell>
          <cell r="F590">
            <v>0</v>
          </cell>
          <cell r="G590" t="str">
            <v>PROS34</v>
          </cell>
          <cell r="H590" t="str">
            <v>LSII PROS III &amp; IV</v>
          </cell>
          <cell r="I590" t="str">
            <v>MR</v>
          </cell>
          <cell r="J590" t="str">
            <v>MR Logistics &amp; Supply</v>
          </cell>
          <cell r="K590" t="str">
            <v>Air Force</v>
          </cell>
          <cell r="L590" t="str">
            <v>DOD</v>
          </cell>
          <cell r="M590" t="str">
            <v>TX</v>
          </cell>
          <cell r="N590" t="str">
            <v>CONUS</v>
          </cell>
          <cell r="O590">
            <v>0</v>
          </cell>
          <cell r="P590">
            <v>0</v>
          </cell>
          <cell r="Q590">
            <v>0</v>
          </cell>
          <cell r="R590" t="str">
            <v>FFP</v>
          </cell>
          <cell r="S590">
            <v>0</v>
          </cell>
          <cell r="T590">
            <v>1</v>
          </cell>
          <cell r="U590" t="str">
            <v>EBITA</v>
          </cell>
          <cell r="V590" t="str">
            <v>Identified - Recompete</v>
          </cell>
          <cell r="W590">
            <v>0</v>
          </cell>
          <cell r="X590">
            <v>0</v>
          </cell>
          <cell r="Y590">
            <v>0</v>
          </cell>
          <cell r="Z590">
            <v>0</v>
          </cell>
          <cell r="AA590">
            <v>0</v>
          </cell>
          <cell r="AB590">
            <v>0</v>
          </cell>
          <cell r="AC590">
            <v>0</v>
          </cell>
          <cell r="AD590">
            <v>0</v>
          </cell>
          <cell r="AX590">
            <v>0</v>
          </cell>
          <cell r="AY590">
            <v>0</v>
          </cell>
          <cell r="AZ590">
            <v>0</v>
          </cell>
          <cell r="BA590">
            <v>0</v>
          </cell>
          <cell r="BI590">
            <v>0</v>
          </cell>
          <cell r="BJ590">
            <v>0</v>
          </cell>
          <cell r="BK590">
            <v>0</v>
          </cell>
          <cell r="BL590">
            <v>0</v>
          </cell>
          <cell r="BM590">
            <v>0</v>
          </cell>
          <cell r="BN590">
            <v>0</v>
          </cell>
          <cell r="BO590">
            <v>0</v>
          </cell>
          <cell r="BP590">
            <v>0</v>
          </cell>
          <cell r="BQ590">
            <v>0</v>
          </cell>
          <cell r="BR590">
            <v>0</v>
          </cell>
          <cell r="BT590">
            <v>0</v>
          </cell>
          <cell r="CA590" t="str">
            <v>PROS34 - EBITA - Identified - Recompete</v>
          </cell>
          <cell r="CC590" t="str">
            <v>PROS34 - EBITA - Identified - Recompete - MR</v>
          </cell>
          <cell r="CD590" t="str">
            <v/>
          </cell>
          <cell r="CF590" t="str">
            <v>PROS34 - Identified - Recompete - MR</v>
          </cell>
        </row>
        <row r="591">
          <cell r="D591">
            <v>577</v>
          </cell>
          <cell r="E591">
            <v>1</v>
          </cell>
          <cell r="F591">
            <v>1</v>
          </cell>
          <cell r="G591" t="str">
            <v>TS3002</v>
          </cell>
          <cell r="H591" t="str">
            <v>TS3 002 Robotics</v>
          </cell>
          <cell r="I591" t="str">
            <v>MR</v>
          </cell>
          <cell r="J591" t="str">
            <v>MR Maintenance &amp; Sustainment</v>
          </cell>
          <cell r="K591" t="str">
            <v>Army</v>
          </cell>
          <cell r="L591" t="str">
            <v>DOD</v>
          </cell>
          <cell r="M591" t="str">
            <v>US_State</v>
          </cell>
          <cell r="N591" t="str">
            <v>CONUS</v>
          </cell>
          <cell r="O591">
            <v>42165</v>
          </cell>
          <cell r="P591">
            <v>43361</v>
          </cell>
          <cell r="Q591" t="str">
            <v>Prime</v>
          </cell>
          <cell r="R591" t="str">
            <v>CPFF</v>
          </cell>
          <cell r="S591">
            <v>0</v>
          </cell>
          <cell r="T591">
            <v>1</v>
          </cell>
          <cell r="U591" t="str">
            <v>REVTOT</v>
          </cell>
          <cell r="V591" t="str">
            <v>Base</v>
          </cell>
          <cell r="W591" t="str">
            <v>05 Won</v>
          </cell>
          <cell r="X591" t="str">
            <v>Active</v>
          </cell>
          <cell r="Y591">
            <v>1</v>
          </cell>
          <cell r="Z591">
            <v>0</v>
          </cell>
          <cell r="AA591">
            <v>69784.020000001692</v>
          </cell>
          <cell r="AB591">
            <v>0</v>
          </cell>
          <cell r="AC591">
            <v>0</v>
          </cell>
          <cell r="AD591">
            <v>69784.020000001692</v>
          </cell>
          <cell r="AE591">
            <v>4.7216035791945998E-2</v>
          </cell>
          <cell r="AF591">
            <v>5.7723816124219951E-3</v>
          </cell>
          <cell r="AG591">
            <v>-0.99245566615317471</v>
          </cell>
          <cell r="AH591">
            <v>-1</v>
          </cell>
          <cell r="AI591">
            <v>0</v>
          </cell>
          <cell r="AJ591">
            <v>0</v>
          </cell>
          <cell r="AK591">
            <v>0</v>
          </cell>
          <cell r="BB591">
            <v>0</v>
          </cell>
          <cell r="BC591">
            <v>0</v>
          </cell>
          <cell r="BD591">
            <v>0</v>
          </cell>
          <cell r="BE591">
            <v>0</v>
          </cell>
          <cell r="BF591">
            <v>5695363.9900000002</v>
          </cell>
          <cell r="BG591">
            <v>5964276.5</v>
          </cell>
          <cell r="BH591">
            <v>5998704.5800000001</v>
          </cell>
          <cell r="BI591">
            <v>49296.570000000007</v>
          </cell>
          <cell r="BJ591">
            <v>-2464.46</v>
          </cell>
          <cell r="BK591">
            <v>-1575.88</v>
          </cell>
          <cell r="BL591">
            <v>0</v>
          </cell>
          <cell r="BM591">
            <v>45256.23000000001</v>
          </cell>
          <cell r="BN591">
            <v>0</v>
          </cell>
          <cell r="BO591">
            <v>0</v>
          </cell>
          <cell r="BP591">
            <v>0</v>
          </cell>
          <cell r="BQ591">
            <v>0</v>
          </cell>
          <cell r="BR591">
            <v>45256.23000000001</v>
          </cell>
          <cell r="BT591">
            <v>0</v>
          </cell>
          <cell r="CA591" t="str">
            <v>TS3002 - REVTOT - Base</v>
          </cell>
          <cell r="CC591" t="str">
            <v>TS3002 - REVTOT - Base - MR</v>
          </cell>
          <cell r="CD591" t="str">
            <v>TS3002 - REVTOT - Base - MR</v>
          </cell>
          <cell r="CF591" t="str">
            <v>TS3002 - Base - MR</v>
          </cell>
        </row>
        <row r="592">
          <cell r="D592">
            <v>578</v>
          </cell>
          <cell r="E592">
            <v>1</v>
          </cell>
          <cell r="F592">
            <v>2</v>
          </cell>
          <cell r="G592" t="str">
            <v>TS3002</v>
          </cell>
          <cell r="H592" t="str">
            <v>TS3 002 Robotics</v>
          </cell>
          <cell r="I592" t="str">
            <v>MR</v>
          </cell>
          <cell r="J592" t="str">
            <v>MR Maintenance &amp; Sustainment</v>
          </cell>
          <cell r="K592" t="str">
            <v>Army</v>
          </cell>
          <cell r="L592" t="str">
            <v>DOD</v>
          </cell>
          <cell r="M592" t="str">
            <v>US_State</v>
          </cell>
          <cell r="N592" t="str">
            <v>CONUS</v>
          </cell>
          <cell r="O592">
            <v>0</v>
          </cell>
          <cell r="P592">
            <v>0</v>
          </cell>
          <cell r="Q592">
            <v>0</v>
          </cell>
          <cell r="R592" t="str">
            <v>CPFF</v>
          </cell>
          <cell r="S592">
            <v>0</v>
          </cell>
          <cell r="T592">
            <v>1</v>
          </cell>
          <cell r="U592" t="str">
            <v>REVTOT</v>
          </cell>
          <cell r="V592" t="str">
            <v>Identified - Recompete</v>
          </cell>
          <cell r="W592">
            <v>0</v>
          </cell>
          <cell r="X592">
            <v>0</v>
          </cell>
          <cell r="Y592">
            <v>0</v>
          </cell>
          <cell r="Z592">
            <v>0</v>
          </cell>
          <cell r="AA592">
            <v>0</v>
          </cell>
          <cell r="AB592">
            <v>0</v>
          </cell>
          <cell r="AC592">
            <v>0</v>
          </cell>
          <cell r="AD592">
            <v>0</v>
          </cell>
          <cell r="AI592">
            <v>0</v>
          </cell>
          <cell r="AJ592">
            <v>0</v>
          </cell>
          <cell r="AK592">
            <v>0</v>
          </cell>
          <cell r="BB592">
            <v>0</v>
          </cell>
          <cell r="BC592">
            <v>0</v>
          </cell>
          <cell r="BD592">
            <v>0</v>
          </cell>
          <cell r="BE592">
            <v>0</v>
          </cell>
          <cell r="BI592">
            <v>0</v>
          </cell>
          <cell r="BJ592">
            <v>0</v>
          </cell>
          <cell r="BK592">
            <v>0</v>
          </cell>
          <cell r="BL592">
            <v>0</v>
          </cell>
          <cell r="BM592">
            <v>0</v>
          </cell>
          <cell r="BN592">
            <v>0</v>
          </cell>
          <cell r="BO592">
            <v>0</v>
          </cell>
          <cell r="BP592">
            <v>0</v>
          </cell>
          <cell r="BQ592">
            <v>0</v>
          </cell>
          <cell r="BR592">
            <v>0</v>
          </cell>
          <cell r="BT592">
            <v>0</v>
          </cell>
          <cell r="CA592" t="str">
            <v>TS3002 - REVTOT - Identified - Recompete</v>
          </cell>
          <cell r="CC592" t="str">
            <v>TS3002 - REVTOT - Identified - Recompete - MR</v>
          </cell>
          <cell r="CD592" t="str">
            <v/>
          </cell>
          <cell r="CF592" t="str">
            <v>TS3002 - Identified - Recompete - MR</v>
          </cell>
        </row>
        <row r="593">
          <cell r="D593">
            <v>579</v>
          </cell>
          <cell r="E593">
            <v>2</v>
          </cell>
          <cell r="F593">
            <v>3</v>
          </cell>
          <cell r="G593" t="str">
            <v>TS3002</v>
          </cell>
          <cell r="H593" t="str">
            <v>TS3 002 Robotics</v>
          </cell>
          <cell r="I593" t="str">
            <v>MR</v>
          </cell>
          <cell r="J593" t="str">
            <v>MR Maintenance &amp; Sustainment</v>
          </cell>
          <cell r="K593" t="str">
            <v>Army</v>
          </cell>
          <cell r="L593" t="str">
            <v>DOD</v>
          </cell>
          <cell r="M593" t="str">
            <v>US_State</v>
          </cell>
          <cell r="N593" t="str">
            <v>CONUS</v>
          </cell>
          <cell r="O593">
            <v>42165</v>
          </cell>
          <cell r="P593">
            <v>43361</v>
          </cell>
          <cell r="Q593" t="str">
            <v>Prime</v>
          </cell>
          <cell r="R593" t="str">
            <v>CPFF</v>
          </cell>
          <cell r="S593">
            <v>0</v>
          </cell>
          <cell r="T593">
            <v>1</v>
          </cell>
          <cell r="U593" t="str">
            <v>CONTRACT</v>
          </cell>
          <cell r="V593" t="str">
            <v>Base</v>
          </cell>
          <cell r="W593" t="str">
            <v>05 Won</v>
          </cell>
          <cell r="X593" t="str">
            <v>Active</v>
          </cell>
          <cell r="Y593">
            <v>1</v>
          </cell>
          <cell r="Z593">
            <v>0</v>
          </cell>
          <cell r="AA593">
            <v>69784.020000001692</v>
          </cell>
          <cell r="AB593">
            <v>0</v>
          </cell>
          <cell r="AC593">
            <v>0</v>
          </cell>
          <cell r="AD593">
            <v>69784.020000001692</v>
          </cell>
          <cell r="AL593">
            <v>8.0078520143889845E-2</v>
          </cell>
          <cell r="AM593">
            <v>6.4455155625330232E-2</v>
          </cell>
          <cell r="AN593">
            <v>6.1940916583693488E-2</v>
          </cell>
          <cell r="AO593">
            <v>0.97663260947719222</v>
          </cell>
          <cell r="AP593">
            <v>7.0961192511717938E-2</v>
          </cell>
          <cell r="AQ593">
            <v>7.0961192511717938E-2</v>
          </cell>
          <cell r="AR593">
            <v>7.0961192511717938E-2</v>
          </cell>
          <cell r="AS593">
            <v>7.0961192511717938E-2</v>
          </cell>
          <cell r="BF593">
            <v>456076.31999999989</v>
          </cell>
          <cell r="BG593">
            <v>384428.36999999994</v>
          </cell>
          <cell r="BH593">
            <v>371565.26000000007</v>
          </cell>
          <cell r="BI593">
            <v>50929.33</v>
          </cell>
          <cell r="BJ593">
            <v>-13128.380000000001</v>
          </cell>
          <cell r="BK593">
            <v>6397.76</v>
          </cell>
          <cell r="BL593">
            <v>0</v>
          </cell>
          <cell r="BM593">
            <v>44198.71</v>
          </cell>
          <cell r="BN593">
            <v>0</v>
          </cell>
          <cell r="BO593">
            <v>0</v>
          </cell>
          <cell r="BP593">
            <v>0</v>
          </cell>
          <cell r="BQ593">
            <v>0</v>
          </cell>
          <cell r="BR593">
            <v>44198.71</v>
          </cell>
          <cell r="BT593">
            <v>0</v>
          </cell>
          <cell r="CA593" t="str">
            <v>TS3002 - CONTRACT - Base</v>
          </cell>
          <cell r="CC593" t="str">
            <v>TS3002 - CONTRACT - Base - MR</v>
          </cell>
          <cell r="CD593" t="str">
            <v/>
          </cell>
          <cell r="CF593" t="str">
            <v>TS3002 - Base - MR</v>
          </cell>
        </row>
        <row r="594">
          <cell r="D594">
            <v>580</v>
          </cell>
          <cell r="E594">
            <v>2</v>
          </cell>
          <cell r="F594">
            <v>4</v>
          </cell>
          <cell r="G594" t="str">
            <v>TS3002</v>
          </cell>
          <cell r="H594" t="str">
            <v>TS3 002 Robotics</v>
          </cell>
          <cell r="I594" t="str">
            <v>MR</v>
          </cell>
          <cell r="J594" t="str">
            <v>MR Maintenance &amp; Sustainment</v>
          </cell>
          <cell r="K594" t="str">
            <v>Army</v>
          </cell>
          <cell r="L594" t="str">
            <v>DOD</v>
          </cell>
          <cell r="M594" t="str">
            <v>US_State</v>
          </cell>
          <cell r="N594" t="str">
            <v>CONUS</v>
          </cell>
          <cell r="O594">
            <v>0</v>
          </cell>
          <cell r="P594">
            <v>0</v>
          </cell>
          <cell r="Q594">
            <v>0</v>
          </cell>
          <cell r="R594" t="str">
            <v>CPFF</v>
          </cell>
          <cell r="S594">
            <v>0</v>
          </cell>
          <cell r="T594">
            <v>1</v>
          </cell>
          <cell r="U594" t="str">
            <v>CONTRACT</v>
          </cell>
          <cell r="V594" t="str">
            <v>Identified - Recompete</v>
          </cell>
          <cell r="W594">
            <v>0</v>
          </cell>
          <cell r="X594">
            <v>0</v>
          </cell>
          <cell r="Y594">
            <v>0</v>
          </cell>
          <cell r="Z594">
            <v>0</v>
          </cell>
          <cell r="AA594">
            <v>0</v>
          </cell>
          <cell r="AB594">
            <v>0</v>
          </cell>
          <cell r="AC594">
            <v>0</v>
          </cell>
          <cell r="AD594">
            <v>0</v>
          </cell>
          <cell r="AP594">
            <v>0</v>
          </cell>
          <cell r="AQ594">
            <v>0</v>
          </cell>
          <cell r="AR594">
            <v>0</v>
          </cell>
          <cell r="AS594">
            <v>0</v>
          </cell>
          <cell r="BI594">
            <v>0</v>
          </cell>
          <cell r="BJ594">
            <v>0</v>
          </cell>
          <cell r="BK594">
            <v>0</v>
          </cell>
          <cell r="BL594">
            <v>0</v>
          </cell>
          <cell r="BM594">
            <v>0</v>
          </cell>
          <cell r="BN594">
            <v>0</v>
          </cell>
          <cell r="BO594">
            <v>0</v>
          </cell>
          <cell r="BP594">
            <v>0</v>
          </cell>
          <cell r="BQ594">
            <v>0</v>
          </cell>
          <cell r="BR594">
            <v>0</v>
          </cell>
          <cell r="BT594">
            <v>0</v>
          </cell>
          <cell r="CA594" t="str">
            <v>TS3002 - CONTRACT - Identified - Recompete</v>
          </cell>
          <cell r="CC594" t="str">
            <v>TS3002 - CONTRACT - Identified - Recompete - MR</v>
          </cell>
          <cell r="CD594" t="str">
            <v/>
          </cell>
          <cell r="CF594" t="str">
            <v>TS3002 - Identified - Recompete - MR</v>
          </cell>
        </row>
        <row r="595">
          <cell r="D595">
            <v>581</v>
          </cell>
          <cell r="E595">
            <v>0</v>
          </cell>
          <cell r="F595">
            <v>5</v>
          </cell>
          <cell r="G595" t="str">
            <v>TS3002</v>
          </cell>
          <cell r="H595" t="str">
            <v>TS3 002 Robotics</v>
          </cell>
          <cell r="I595" t="str">
            <v>MR</v>
          </cell>
          <cell r="J595" t="str">
            <v>MR Maintenance &amp; Sustainment</v>
          </cell>
          <cell r="K595" t="str">
            <v>Army</v>
          </cell>
          <cell r="L595" t="str">
            <v>DOD</v>
          </cell>
          <cell r="M595" t="str">
            <v>US_State</v>
          </cell>
          <cell r="N595" t="str">
            <v>CONUS</v>
          </cell>
          <cell r="O595">
            <v>42165</v>
          </cell>
          <cell r="P595">
            <v>43361</v>
          </cell>
          <cell r="Q595" t="str">
            <v>Prime</v>
          </cell>
          <cell r="R595" t="str">
            <v>CPFF</v>
          </cell>
          <cell r="S595">
            <v>0</v>
          </cell>
          <cell r="T595">
            <v>1</v>
          </cell>
          <cell r="U595" t="str">
            <v>EBITA</v>
          </cell>
          <cell r="V595" t="str">
            <v>Base</v>
          </cell>
          <cell r="W595" t="str">
            <v>05 Won</v>
          </cell>
          <cell r="X595" t="str">
            <v>Active</v>
          </cell>
          <cell r="Y595">
            <v>1</v>
          </cell>
          <cell r="Z595">
            <v>0</v>
          </cell>
          <cell r="AA595">
            <v>69784.020000001692</v>
          </cell>
          <cell r="AB595">
            <v>0</v>
          </cell>
          <cell r="AC595">
            <v>0</v>
          </cell>
          <cell r="AD595">
            <v>69784.020000001692</v>
          </cell>
          <cell r="AT595">
            <v>-1.5280357875774892E-3</v>
          </cell>
          <cell r="AU595">
            <v>-1.7060739890244869E-2</v>
          </cell>
          <cell r="AV595">
            <v>-1.6562749286113357E-2</v>
          </cell>
          <cell r="AW595">
            <v>0.97465166674289894</v>
          </cell>
          <cell r="AX595">
            <v>-9.3598848726897214E-3</v>
          </cell>
          <cell r="AY595">
            <v>-9.3598848726897214E-3</v>
          </cell>
          <cell r="AZ595">
            <v>-9.3598848726897214E-3</v>
          </cell>
          <cell r="BA595">
            <v>-9.3598848726897214E-3</v>
          </cell>
          <cell r="BF595">
            <v>-8702.7200000001212</v>
          </cell>
          <cell r="BG595">
            <v>-101754.97000000004</v>
          </cell>
          <cell r="BH595">
            <v>-99355.039999999935</v>
          </cell>
          <cell r="BI595">
            <v>51071.09</v>
          </cell>
          <cell r="BJ595">
            <v>-14035.63</v>
          </cell>
          <cell r="BK595">
            <v>7073.6</v>
          </cell>
          <cell r="BL595">
            <v>0</v>
          </cell>
          <cell r="BM595">
            <v>44109.06</v>
          </cell>
          <cell r="BN595">
            <v>0</v>
          </cell>
          <cell r="BO595">
            <v>0</v>
          </cell>
          <cell r="BP595">
            <v>0</v>
          </cell>
          <cell r="BQ595">
            <v>0</v>
          </cell>
          <cell r="BR595">
            <v>44109.06</v>
          </cell>
          <cell r="BT595">
            <v>0</v>
          </cell>
          <cell r="CA595" t="str">
            <v>TS3002 - EBITA - Base</v>
          </cell>
          <cell r="CC595" t="str">
            <v>TS3002 - EBITA - Base - MR</v>
          </cell>
          <cell r="CD595" t="str">
            <v/>
          </cell>
          <cell r="CF595" t="str">
            <v>TS3002 - Base - MR</v>
          </cell>
        </row>
        <row r="596">
          <cell r="D596">
            <v>582</v>
          </cell>
          <cell r="E596">
            <v>0</v>
          </cell>
          <cell r="F596">
            <v>0</v>
          </cell>
          <cell r="G596" t="str">
            <v>TS3002</v>
          </cell>
          <cell r="H596" t="str">
            <v>TS3 002 Robotics</v>
          </cell>
          <cell r="I596" t="str">
            <v>MR</v>
          </cell>
          <cell r="J596" t="str">
            <v>MR Maintenance &amp; Sustainment</v>
          </cell>
          <cell r="K596" t="str">
            <v>Army</v>
          </cell>
          <cell r="L596" t="str">
            <v>DOD</v>
          </cell>
          <cell r="M596" t="str">
            <v>US_State</v>
          </cell>
          <cell r="N596" t="str">
            <v>CONUS</v>
          </cell>
          <cell r="O596">
            <v>0</v>
          </cell>
          <cell r="P596">
            <v>0</v>
          </cell>
          <cell r="Q596">
            <v>0</v>
          </cell>
          <cell r="R596" t="str">
            <v>CPFF</v>
          </cell>
          <cell r="S596">
            <v>0</v>
          </cell>
          <cell r="T596">
            <v>1</v>
          </cell>
          <cell r="U596" t="str">
            <v>EBITA</v>
          </cell>
          <cell r="V596" t="str">
            <v>Identified - Recompete</v>
          </cell>
          <cell r="W596">
            <v>0</v>
          </cell>
          <cell r="X596">
            <v>0</v>
          </cell>
          <cell r="Y596">
            <v>0</v>
          </cell>
          <cell r="Z596">
            <v>0</v>
          </cell>
          <cell r="AA596">
            <v>0</v>
          </cell>
          <cell r="AB596">
            <v>0</v>
          </cell>
          <cell r="AC596">
            <v>0</v>
          </cell>
          <cell r="AD596">
            <v>0</v>
          </cell>
          <cell r="AX596">
            <v>0</v>
          </cell>
          <cell r="AY596">
            <v>0</v>
          </cell>
          <cell r="AZ596">
            <v>0</v>
          </cell>
          <cell r="BA596">
            <v>0</v>
          </cell>
          <cell r="BI596">
            <v>0</v>
          </cell>
          <cell r="BJ596">
            <v>0</v>
          </cell>
          <cell r="BK596">
            <v>0</v>
          </cell>
          <cell r="BL596">
            <v>0</v>
          </cell>
          <cell r="BM596">
            <v>0</v>
          </cell>
          <cell r="BN596">
            <v>0</v>
          </cell>
          <cell r="BO596">
            <v>0</v>
          </cell>
          <cell r="BP596">
            <v>0</v>
          </cell>
          <cell r="BQ596">
            <v>0</v>
          </cell>
          <cell r="BR596">
            <v>0</v>
          </cell>
          <cell r="BT596">
            <v>0</v>
          </cell>
          <cell r="CA596" t="str">
            <v>TS3002 - EBITA - Identified - Recompete</v>
          </cell>
          <cell r="CC596" t="str">
            <v>TS3002 - EBITA - Identified - Recompete - MR</v>
          </cell>
          <cell r="CD596" t="str">
            <v/>
          </cell>
          <cell r="CF596" t="str">
            <v>TS3002 - Identified - Recompete - MR</v>
          </cell>
        </row>
        <row r="597">
          <cell r="D597">
            <v>583</v>
          </cell>
          <cell r="E597">
            <v>1</v>
          </cell>
          <cell r="F597">
            <v>1</v>
          </cell>
          <cell r="G597" t="str">
            <v>EEOH00</v>
          </cell>
          <cell r="H597" t="str">
            <v>MSFC Environmental</v>
          </cell>
          <cell r="I597" t="str">
            <v>MR</v>
          </cell>
          <cell r="J597" t="str">
            <v>MR NASA</v>
          </cell>
          <cell r="K597" t="str">
            <v>NASA</v>
          </cell>
          <cell r="L597" t="str">
            <v>NASA</v>
          </cell>
          <cell r="M597" t="str">
            <v>AL</v>
          </cell>
          <cell r="N597" t="str">
            <v>CONUS</v>
          </cell>
          <cell r="O597">
            <v>0</v>
          </cell>
          <cell r="P597">
            <v>0</v>
          </cell>
          <cell r="Q597" t="str">
            <v>Sub</v>
          </cell>
          <cell r="R597" t="str">
            <v>FFP</v>
          </cell>
          <cell r="S597">
            <v>0</v>
          </cell>
          <cell r="T597">
            <v>1</v>
          </cell>
          <cell r="U597" t="str">
            <v>REVTOT</v>
          </cell>
          <cell r="V597" t="str">
            <v>Base</v>
          </cell>
          <cell r="W597" t="str">
            <v>05 Won</v>
          </cell>
          <cell r="X597" t="str">
            <v>Active</v>
          </cell>
          <cell r="Y597">
            <v>1</v>
          </cell>
          <cell r="Z597">
            <v>0</v>
          </cell>
          <cell r="AA597">
            <v>-0.41000000017083948</v>
          </cell>
          <cell r="AB597">
            <v>3500667</v>
          </cell>
          <cell r="AC597">
            <v>0</v>
          </cell>
          <cell r="AD597">
            <v>3500666.59</v>
          </cell>
          <cell r="AE597">
            <v>5.044799448049142E-3</v>
          </cell>
          <cell r="AF597">
            <v>-3.5187021172956023E-2</v>
          </cell>
          <cell r="AG597">
            <v>-0.87364204056671224</v>
          </cell>
          <cell r="AH597">
            <v>-1</v>
          </cell>
          <cell r="AI597">
            <v>0</v>
          </cell>
          <cell r="AJ597">
            <v>0</v>
          </cell>
          <cell r="AK597">
            <v>0</v>
          </cell>
          <cell r="BB597">
            <v>0</v>
          </cell>
          <cell r="BC597">
            <v>0</v>
          </cell>
          <cell r="BD597">
            <v>0</v>
          </cell>
          <cell r="BE597">
            <v>0</v>
          </cell>
          <cell r="BF597">
            <v>786273.08000000007</v>
          </cell>
          <cell r="BG597">
            <v>790239.66999999993</v>
          </cell>
          <cell r="BH597">
            <v>762433.49000000011</v>
          </cell>
          <cell r="BI597">
            <v>96339.540000000008</v>
          </cell>
          <cell r="BJ597">
            <v>0</v>
          </cell>
          <cell r="BK597">
            <v>0</v>
          </cell>
          <cell r="BL597">
            <v>0</v>
          </cell>
          <cell r="BM597">
            <v>96339.540000000008</v>
          </cell>
          <cell r="BN597">
            <v>0</v>
          </cell>
          <cell r="BO597">
            <v>0</v>
          </cell>
          <cell r="BP597">
            <v>0</v>
          </cell>
          <cell r="BQ597">
            <v>0</v>
          </cell>
          <cell r="BR597">
            <v>96339.540000000008</v>
          </cell>
          <cell r="BT597">
            <v>0</v>
          </cell>
          <cell r="CA597" t="str">
            <v>EEOH00 - REVTOT - Base</v>
          </cell>
          <cell r="CC597" t="str">
            <v>EEOH00 - REVTOT - Base - MR</v>
          </cell>
          <cell r="CD597" t="str">
            <v>EEOH00 - REVTOT - Base - MR</v>
          </cell>
          <cell r="CF597" t="str">
            <v>EEOH00 - Base - MR</v>
          </cell>
        </row>
        <row r="598">
          <cell r="D598">
            <v>584</v>
          </cell>
          <cell r="E598">
            <v>1</v>
          </cell>
          <cell r="F598">
            <v>2</v>
          </cell>
          <cell r="G598" t="str">
            <v>EEOH00</v>
          </cell>
          <cell r="H598" t="str">
            <v>MSFC Environmental</v>
          </cell>
          <cell r="I598" t="str">
            <v>MR</v>
          </cell>
          <cell r="J598" t="str">
            <v>MR NASA</v>
          </cell>
          <cell r="K598" t="str">
            <v>NASA</v>
          </cell>
          <cell r="L598" t="str">
            <v>NASA</v>
          </cell>
          <cell r="M598" t="str">
            <v>AL</v>
          </cell>
          <cell r="N598" t="str">
            <v>CONUS</v>
          </cell>
          <cell r="O598">
            <v>0</v>
          </cell>
          <cell r="P598">
            <v>0</v>
          </cell>
          <cell r="Q598">
            <v>0</v>
          </cell>
          <cell r="R598" t="str">
            <v>FFP</v>
          </cell>
          <cell r="S598">
            <v>0</v>
          </cell>
          <cell r="T598">
            <v>1</v>
          </cell>
          <cell r="U598" t="str">
            <v>REVTOT</v>
          </cell>
          <cell r="V598" t="str">
            <v>Identified - Recompete</v>
          </cell>
          <cell r="W598">
            <v>0</v>
          </cell>
          <cell r="X598">
            <v>0</v>
          </cell>
          <cell r="Y598">
            <v>0</v>
          </cell>
          <cell r="Z598">
            <v>0</v>
          </cell>
          <cell r="AA598">
            <v>0</v>
          </cell>
          <cell r="AB598">
            <v>0</v>
          </cell>
          <cell r="AC598">
            <v>0</v>
          </cell>
          <cell r="AD598">
            <v>0</v>
          </cell>
          <cell r="AI598">
            <v>0</v>
          </cell>
          <cell r="AJ598">
            <v>0</v>
          </cell>
          <cell r="AK598">
            <v>0</v>
          </cell>
          <cell r="BB598">
            <v>0</v>
          </cell>
          <cell r="BC598">
            <v>0</v>
          </cell>
          <cell r="BD598">
            <v>0</v>
          </cell>
          <cell r="BE598">
            <v>0</v>
          </cell>
          <cell r="BI598">
            <v>0</v>
          </cell>
          <cell r="BJ598">
            <v>0</v>
          </cell>
          <cell r="BK598">
            <v>0</v>
          </cell>
          <cell r="BL598">
            <v>0</v>
          </cell>
          <cell r="BM598">
            <v>0</v>
          </cell>
          <cell r="BN598">
            <v>0</v>
          </cell>
          <cell r="BO598">
            <v>0</v>
          </cell>
          <cell r="BP598">
            <v>0</v>
          </cell>
          <cell r="BQ598">
            <v>0</v>
          </cell>
          <cell r="BR598">
            <v>0</v>
          </cell>
          <cell r="BT598">
            <v>0</v>
          </cell>
          <cell r="CA598" t="str">
            <v>EEOH00 - REVTOT - Identified - Recompete</v>
          </cell>
          <cell r="CC598" t="str">
            <v>EEOH00 - REVTOT - Identified - Recompete - MR</v>
          </cell>
          <cell r="CD598" t="str">
            <v/>
          </cell>
          <cell r="CF598" t="str">
            <v>EEOH00 - Identified - Recompete - MR</v>
          </cell>
        </row>
        <row r="599">
          <cell r="D599">
            <v>585</v>
          </cell>
          <cell r="E599">
            <v>2</v>
          </cell>
          <cell r="F599">
            <v>3</v>
          </cell>
          <cell r="G599" t="str">
            <v>EEOH00</v>
          </cell>
          <cell r="H599" t="str">
            <v>MSFC Environmental</v>
          </cell>
          <cell r="I599" t="str">
            <v>MR</v>
          </cell>
          <cell r="J599" t="str">
            <v>MR NASA</v>
          </cell>
          <cell r="K599" t="str">
            <v>NASA</v>
          </cell>
          <cell r="L599" t="str">
            <v>NASA</v>
          </cell>
          <cell r="M599" t="str">
            <v>AL</v>
          </cell>
          <cell r="N599" t="str">
            <v>CONUS</v>
          </cell>
          <cell r="O599">
            <v>0</v>
          </cell>
          <cell r="P599">
            <v>0</v>
          </cell>
          <cell r="Q599" t="str">
            <v>Sub</v>
          </cell>
          <cell r="R599" t="str">
            <v>FFP</v>
          </cell>
          <cell r="S599">
            <v>0</v>
          </cell>
          <cell r="T599">
            <v>1</v>
          </cell>
          <cell r="U599" t="str">
            <v>CONTRACT</v>
          </cell>
          <cell r="V599" t="str">
            <v>Base</v>
          </cell>
          <cell r="W599" t="str">
            <v>05 Won</v>
          </cell>
          <cell r="X599" t="str">
            <v>Active</v>
          </cell>
          <cell r="Y599">
            <v>1</v>
          </cell>
          <cell r="Z599">
            <v>0</v>
          </cell>
          <cell r="AA599">
            <v>-0.41000000017083948</v>
          </cell>
          <cell r="AB599">
            <v>3500667</v>
          </cell>
          <cell r="AC599">
            <v>0</v>
          </cell>
          <cell r="AD599">
            <v>3500666.59</v>
          </cell>
          <cell r="AL599">
            <v>0.17934613760399881</v>
          </cell>
          <cell r="AM599">
            <v>0.21233642952903142</v>
          </cell>
          <cell r="AN599">
            <v>0.19980818261275479</v>
          </cell>
          <cell r="AO599">
            <v>8.5445083088418181E-2</v>
          </cell>
          <cell r="AP599">
            <v>0.19274284104759154</v>
          </cell>
          <cell r="AQ599">
            <v>0.19274284104759154</v>
          </cell>
          <cell r="AR599">
            <v>0.19274284104759154</v>
          </cell>
          <cell r="AS599">
            <v>0.19274284104759154</v>
          </cell>
          <cell r="BF599">
            <v>141015.03999999998</v>
          </cell>
          <cell r="BG599">
            <v>167796.67000000004</v>
          </cell>
          <cell r="BH599">
            <v>152340.44999999998</v>
          </cell>
          <cell r="BI599">
            <v>40875.259999999995</v>
          </cell>
          <cell r="BJ599">
            <v>-13373.840000000002</v>
          </cell>
          <cell r="BK599">
            <v>-19269.680000000004</v>
          </cell>
          <cell r="BL599">
            <v>0</v>
          </cell>
          <cell r="BM599">
            <v>8231.739999999987</v>
          </cell>
          <cell r="BN599">
            <v>0</v>
          </cell>
          <cell r="BO599">
            <v>0</v>
          </cell>
          <cell r="BP599">
            <v>0</v>
          </cell>
          <cell r="BQ599">
            <v>0</v>
          </cell>
          <cell r="BR599">
            <v>8231.739999999987</v>
          </cell>
          <cell r="BT599">
            <v>0</v>
          </cell>
          <cell r="CA599" t="str">
            <v>EEOH00 - CONTRACT - Base</v>
          </cell>
          <cell r="CC599" t="str">
            <v>EEOH00 - CONTRACT - Base - MR</v>
          </cell>
          <cell r="CD599" t="str">
            <v/>
          </cell>
          <cell r="CF599" t="str">
            <v>EEOH00 - Base - MR</v>
          </cell>
        </row>
        <row r="600">
          <cell r="D600">
            <v>586</v>
          </cell>
          <cell r="E600">
            <v>2</v>
          </cell>
          <cell r="F600">
            <v>4</v>
          </cell>
          <cell r="G600" t="str">
            <v>EEOH00</v>
          </cell>
          <cell r="H600" t="str">
            <v>MSFC Environmental</v>
          </cell>
          <cell r="I600" t="str">
            <v>MR</v>
          </cell>
          <cell r="J600" t="str">
            <v>MR NASA</v>
          </cell>
          <cell r="K600" t="str">
            <v>NASA</v>
          </cell>
          <cell r="L600" t="str">
            <v>NASA</v>
          </cell>
          <cell r="M600" t="str">
            <v>AL</v>
          </cell>
          <cell r="N600" t="str">
            <v>CONUS</v>
          </cell>
          <cell r="O600">
            <v>0</v>
          </cell>
          <cell r="P600">
            <v>0</v>
          </cell>
          <cell r="Q600">
            <v>0</v>
          </cell>
          <cell r="R600" t="str">
            <v>FFP</v>
          </cell>
          <cell r="S600">
            <v>0</v>
          </cell>
          <cell r="T600">
            <v>1</v>
          </cell>
          <cell r="U600" t="str">
            <v>CONTRACT</v>
          </cell>
          <cell r="V600" t="str">
            <v>Identified - Recompete</v>
          </cell>
          <cell r="W600">
            <v>0</v>
          </cell>
          <cell r="X600">
            <v>0</v>
          </cell>
          <cell r="Y600">
            <v>0</v>
          </cell>
          <cell r="Z600">
            <v>0</v>
          </cell>
          <cell r="AA600">
            <v>0</v>
          </cell>
          <cell r="AB600">
            <v>0</v>
          </cell>
          <cell r="AC600">
            <v>0</v>
          </cell>
          <cell r="AD600">
            <v>0</v>
          </cell>
          <cell r="AP600">
            <v>0</v>
          </cell>
          <cell r="AQ600">
            <v>0</v>
          </cell>
          <cell r="AR600">
            <v>0</v>
          </cell>
          <cell r="AS600">
            <v>0</v>
          </cell>
          <cell r="BI600">
            <v>0</v>
          </cell>
          <cell r="BJ600">
            <v>0</v>
          </cell>
          <cell r="BK600">
            <v>0</v>
          </cell>
          <cell r="BL600">
            <v>0</v>
          </cell>
          <cell r="BM600">
            <v>0</v>
          </cell>
          <cell r="BN600">
            <v>0</v>
          </cell>
          <cell r="BO600">
            <v>0</v>
          </cell>
          <cell r="BP600">
            <v>0</v>
          </cell>
          <cell r="BQ600">
            <v>0</v>
          </cell>
          <cell r="BR600">
            <v>0</v>
          </cell>
          <cell r="BT600">
            <v>0</v>
          </cell>
          <cell r="CA600" t="str">
            <v>EEOH00 - CONTRACT - Identified - Recompete</v>
          </cell>
          <cell r="CC600" t="str">
            <v>EEOH00 - CONTRACT - Identified - Recompete - MR</v>
          </cell>
          <cell r="CD600" t="str">
            <v/>
          </cell>
          <cell r="CF600" t="str">
            <v>EEOH00 - Identified - Recompete - MR</v>
          </cell>
        </row>
        <row r="601">
          <cell r="D601">
            <v>587</v>
          </cell>
          <cell r="E601">
            <v>0</v>
          </cell>
          <cell r="F601">
            <v>5</v>
          </cell>
          <cell r="G601" t="str">
            <v>EEOH00</v>
          </cell>
          <cell r="H601" t="str">
            <v>MSFC Environmental</v>
          </cell>
          <cell r="I601" t="str">
            <v>MR</v>
          </cell>
          <cell r="J601" t="str">
            <v>MR NASA</v>
          </cell>
          <cell r="K601" t="str">
            <v>NASA</v>
          </cell>
          <cell r="L601" t="str">
            <v>NASA</v>
          </cell>
          <cell r="M601" t="str">
            <v>AL</v>
          </cell>
          <cell r="N601" t="str">
            <v>CONUS</v>
          </cell>
          <cell r="O601">
            <v>0</v>
          </cell>
          <cell r="P601">
            <v>0</v>
          </cell>
          <cell r="Q601" t="str">
            <v>Sub</v>
          </cell>
          <cell r="R601" t="str">
            <v>FFP</v>
          </cell>
          <cell r="S601">
            <v>0</v>
          </cell>
          <cell r="T601">
            <v>1</v>
          </cell>
          <cell r="U601" t="str">
            <v>EBITA</v>
          </cell>
          <cell r="V601" t="str">
            <v>Base</v>
          </cell>
          <cell r="W601" t="str">
            <v>05 Won</v>
          </cell>
          <cell r="X601" t="str">
            <v>Active</v>
          </cell>
          <cell r="Y601">
            <v>1</v>
          </cell>
          <cell r="Z601">
            <v>0</v>
          </cell>
          <cell r="AA601">
            <v>-0.41000000017083948</v>
          </cell>
          <cell r="AB601">
            <v>3500667</v>
          </cell>
          <cell r="AC601">
            <v>0</v>
          </cell>
          <cell r="AD601">
            <v>3500666.59</v>
          </cell>
          <cell r="AT601">
            <v>0.10609652310619612</v>
          </cell>
          <cell r="AU601">
            <v>0.14431545811918051</v>
          </cell>
          <cell r="AV601">
            <v>0.12875250272650007</v>
          </cell>
          <cell r="AW601">
            <v>-7.8887650906578676E-6</v>
          </cell>
          <cell r="AX601">
            <v>0.12239400740064271</v>
          </cell>
          <cell r="AY601">
            <v>0.12339400740064271</v>
          </cell>
          <cell r="AZ601">
            <v>0.12439400740064271</v>
          </cell>
          <cell r="BA601">
            <v>0.12539400740064272</v>
          </cell>
          <cell r="BF601">
            <v>83420.84</v>
          </cell>
          <cell r="BG601">
            <v>114043.80000000002</v>
          </cell>
          <cell r="BH601">
            <v>98165.219999999972</v>
          </cell>
          <cell r="BI601">
            <v>35577.53</v>
          </cell>
          <cell r="BJ601">
            <v>-14508.13</v>
          </cell>
          <cell r="BK601">
            <v>-21070.160000000003</v>
          </cell>
          <cell r="BL601">
            <v>0</v>
          </cell>
          <cell r="BM601">
            <v>-0.76000000000203727</v>
          </cell>
          <cell r="BN601">
            <v>0</v>
          </cell>
          <cell r="BO601">
            <v>0</v>
          </cell>
          <cell r="BP601">
            <v>0</v>
          </cell>
          <cell r="BQ601">
            <v>0</v>
          </cell>
          <cell r="BR601">
            <v>-0.76000000000203727</v>
          </cell>
          <cell r="BT601">
            <v>0</v>
          </cell>
          <cell r="CA601" t="str">
            <v>EEOH00 - EBITA - Base</v>
          </cell>
          <cell r="CC601" t="str">
            <v>EEOH00 - EBITA - Base - MR</v>
          </cell>
          <cell r="CD601" t="str">
            <v/>
          </cell>
          <cell r="CF601" t="str">
            <v>EEOH00 - Base - MR</v>
          </cell>
        </row>
        <row r="602">
          <cell r="D602">
            <v>588</v>
          </cell>
          <cell r="E602">
            <v>0</v>
          </cell>
          <cell r="F602">
            <v>0</v>
          </cell>
          <cell r="G602" t="str">
            <v>EEOH00</v>
          </cell>
          <cell r="H602" t="str">
            <v>MSFC Environmental</v>
          </cell>
          <cell r="I602" t="str">
            <v>MR</v>
          </cell>
          <cell r="J602" t="str">
            <v>MR NASA</v>
          </cell>
          <cell r="K602" t="str">
            <v>NASA</v>
          </cell>
          <cell r="L602" t="str">
            <v>NASA</v>
          </cell>
          <cell r="M602" t="str">
            <v>AL</v>
          </cell>
          <cell r="N602" t="str">
            <v>CONUS</v>
          </cell>
          <cell r="O602">
            <v>0</v>
          </cell>
          <cell r="P602">
            <v>0</v>
          </cell>
          <cell r="Q602">
            <v>0</v>
          </cell>
          <cell r="R602" t="str">
            <v>FFP</v>
          </cell>
          <cell r="S602">
            <v>0</v>
          </cell>
          <cell r="T602">
            <v>1</v>
          </cell>
          <cell r="U602" t="str">
            <v>EBITA</v>
          </cell>
          <cell r="V602" t="str">
            <v>Identified - Recompete</v>
          </cell>
          <cell r="W602">
            <v>0</v>
          </cell>
          <cell r="X602">
            <v>0</v>
          </cell>
          <cell r="Y602">
            <v>0</v>
          </cell>
          <cell r="Z602">
            <v>0</v>
          </cell>
          <cell r="AA602">
            <v>0</v>
          </cell>
          <cell r="AB602">
            <v>0</v>
          </cell>
          <cell r="AC602">
            <v>0</v>
          </cell>
          <cell r="AD602">
            <v>0</v>
          </cell>
          <cell r="AX602">
            <v>0</v>
          </cell>
          <cell r="AY602">
            <v>0</v>
          </cell>
          <cell r="AZ602">
            <v>0</v>
          </cell>
          <cell r="BA602">
            <v>0</v>
          </cell>
          <cell r="BI602">
            <v>0</v>
          </cell>
          <cell r="BJ602">
            <v>0</v>
          </cell>
          <cell r="BK602">
            <v>0</v>
          </cell>
          <cell r="BL602">
            <v>0</v>
          </cell>
          <cell r="BM602">
            <v>0</v>
          </cell>
          <cell r="BN602">
            <v>0</v>
          </cell>
          <cell r="BO602">
            <v>0</v>
          </cell>
          <cell r="BP602">
            <v>0</v>
          </cell>
          <cell r="BQ602">
            <v>0</v>
          </cell>
          <cell r="BR602">
            <v>0</v>
          </cell>
          <cell r="BT602">
            <v>0</v>
          </cell>
          <cell r="CA602" t="str">
            <v>EEOH00 - EBITA - Identified - Recompete</v>
          </cell>
          <cell r="CC602" t="str">
            <v>EEOH00 - EBITA - Identified - Recompete - MR</v>
          </cell>
          <cell r="CD602" t="str">
            <v/>
          </cell>
          <cell r="CF602" t="str">
            <v>EEOH00 - Identified - Recompete - MR</v>
          </cell>
        </row>
        <row r="603">
          <cell r="D603">
            <v>589</v>
          </cell>
          <cell r="E603">
            <v>1</v>
          </cell>
          <cell r="F603">
            <v>1</v>
          </cell>
          <cell r="G603" t="str">
            <v>ACAD</v>
          </cell>
          <cell r="H603" t="str">
            <v>Anniston Chemical Agent Disposal</v>
          </cell>
          <cell r="I603" t="str">
            <v>MR</v>
          </cell>
          <cell r="J603" t="str">
            <v>MR Non-Proliferation and Security Services</v>
          </cell>
          <cell r="K603" t="str">
            <v>Army</v>
          </cell>
          <cell r="L603" t="str">
            <v>DOD</v>
          </cell>
          <cell r="M603" t="str">
            <v>AL</v>
          </cell>
          <cell r="N603" t="str">
            <v>CONUS</v>
          </cell>
          <cell r="O603">
            <v>0</v>
          </cell>
          <cell r="P603">
            <v>0</v>
          </cell>
          <cell r="Q603" t="str">
            <v>Prime</v>
          </cell>
          <cell r="R603" t="str">
            <v>CPAF</v>
          </cell>
          <cell r="S603">
            <v>0</v>
          </cell>
          <cell r="T603">
            <v>1</v>
          </cell>
          <cell r="U603" t="str">
            <v>REVTOT</v>
          </cell>
          <cell r="V603" t="str">
            <v>Base</v>
          </cell>
          <cell r="W603" t="str">
            <v>05 Won</v>
          </cell>
          <cell r="X603" t="str">
            <v>Active</v>
          </cell>
          <cell r="Y603">
            <v>1</v>
          </cell>
          <cell r="Z603">
            <v>0</v>
          </cell>
          <cell r="AA603">
            <v>36147.759999999987</v>
          </cell>
          <cell r="AB603">
            <v>0</v>
          </cell>
          <cell r="AC603">
            <v>0</v>
          </cell>
          <cell r="AD603">
            <v>36147.759999999987</v>
          </cell>
          <cell r="AE603">
            <v>4.5886989975892192</v>
          </cell>
          <cell r="AF603">
            <v>-0.65499264356155795</v>
          </cell>
          <cell r="AG603">
            <v>-0.19790953156173396</v>
          </cell>
          <cell r="AH603">
            <v>-1</v>
          </cell>
          <cell r="AI603">
            <v>0</v>
          </cell>
          <cell r="AJ603">
            <v>0</v>
          </cell>
          <cell r="AK603">
            <v>0</v>
          </cell>
          <cell r="BB603">
            <v>0</v>
          </cell>
          <cell r="BC603">
            <v>0</v>
          </cell>
          <cell r="BD603">
            <v>0</v>
          </cell>
          <cell r="BE603">
            <v>0</v>
          </cell>
          <cell r="BF603">
            <v>50290.759999999995</v>
          </cell>
          <cell r="BG603">
            <v>281059.92</v>
          </cell>
          <cell r="BH603">
            <v>96967.74</v>
          </cell>
          <cell r="BI603">
            <v>91506.07</v>
          </cell>
          <cell r="BJ603">
            <v>13381.779999999999</v>
          </cell>
          <cell r="BK603">
            <v>-27110.950000000004</v>
          </cell>
          <cell r="BL603">
            <v>0</v>
          </cell>
          <cell r="BM603">
            <v>77776.899999999994</v>
          </cell>
          <cell r="BN603">
            <v>0</v>
          </cell>
          <cell r="BO603">
            <v>0</v>
          </cell>
          <cell r="BP603">
            <v>0</v>
          </cell>
          <cell r="BQ603">
            <v>0</v>
          </cell>
          <cell r="BR603">
            <v>77776.899999999994</v>
          </cell>
          <cell r="BT603">
            <v>0</v>
          </cell>
          <cell r="CA603" t="str">
            <v>ACAD - REVTOT - Base</v>
          </cell>
          <cell r="CC603" t="str">
            <v>ACAD - REVTOT - Base - MR</v>
          </cell>
          <cell r="CD603" t="str">
            <v>ACAD - REVTOT - Base - MR</v>
          </cell>
          <cell r="CF603" t="str">
            <v>ACAD - Base - MR</v>
          </cell>
        </row>
        <row r="604">
          <cell r="D604">
            <v>590</v>
          </cell>
          <cell r="E604">
            <v>1</v>
          </cell>
          <cell r="F604">
            <v>2</v>
          </cell>
          <cell r="G604" t="str">
            <v>ACAD</v>
          </cell>
          <cell r="H604" t="str">
            <v>Anniston Chemical Agent Disposal</v>
          </cell>
          <cell r="I604" t="str">
            <v>MR</v>
          </cell>
          <cell r="J604" t="str">
            <v>MR Non-Proliferation and Security Services</v>
          </cell>
          <cell r="K604" t="str">
            <v>Army</v>
          </cell>
          <cell r="L604" t="str">
            <v>DOD</v>
          </cell>
          <cell r="M604" t="str">
            <v>AL</v>
          </cell>
          <cell r="N604" t="str">
            <v>CONUS</v>
          </cell>
          <cell r="O604">
            <v>0</v>
          </cell>
          <cell r="P604">
            <v>0</v>
          </cell>
          <cell r="Q604">
            <v>0</v>
          </cell>
          <cell r="R604" t="str">
            <v>CPAF</v>
          </cell>
          <cell r="S604">
            <v>0</v>
          </cell>
          <cell r="T604">
            <v>1</v>
          </cell>
          <cell r="U604" t="str">
            <v>REVTOT</v>
          </cell>
          <cell r="V604" t="str">
            <v>Identified - Recompete</v>
          </cell>
          <cell r="W604">
            <v>0</v>
          </cell>
          <cell r="X604">
            <v>0</v>
          </cell>
          <cell r="Y604">
            <v>0</v>
          </cell>
          <cell r="Z604">
            <v>0</v>
          </cell>
          <cell r="AA604">
            <v>0</v>
          </cell>
          <cell r="AB604">
            <v>0</v>
          </cell>
          <cell r="AC604">
            <v>0</v>
          </cell>
          <cell r="AD604">
            <v>0</v>
          </cell>
          <cell r="AI604">
            <v>0</v>
          </cell>
          <cell r="AJ604">
            <v>0</v>
          </cell>
          <cell r="AK604">
            <v>0</v>
          </cell>
          <cell r="BB604">
            <v>0</v>
          </cell>
          <cell r="BC604">
            <v>0</v>
          </cell>
          <cell r="BD604">
            <v>0</v>
          </cell>
          <cell r="BE604">
            <v>0</v>
          </cell>
          <cell r="BI604">
            <v>0</v>
          </cell>
          <cell r="BJ604">
            <v>0</v>
          </cell>
          <cell r="BK604">
            <v>0</v>
          </cell>
          <cell r="BL604">
            <v>0</v>
          </cell>
          <cell r="BM604">
            <v>0</v>
          </cell>
          <cell r="BN604">
            <v>0</v>
          </cell>
          <cell r="BO604">
            <v>0</v>
          </cell>
          <cell r="BP604">
            <v>0</v>
          </cell>
          <cell r="BQ604">
            <v>0</v>
          </cell>
          <cell r="BR604">
            <v>0</v>
          </cell>
          <cell r="BT604">
            <v>0</v>
          </cell>
          <cell r="CA604" t="str">
            <v>ACAD - REVTOT - Identified - Recompete</v>
          </cell>
          <cell r="CC604" t="str">
            <v>ACAD - REVTOT - Identified - Recompete - MR</v>
          </cell>
          <cell r="CD604" t="str">
            <v/>
          </cell>
          <cell r="CF604" t="str">
            <v>ACAD - Identified - Recompete - MR</v>
          </cell>
        </row>
        <row r="605">
          <cell r="D605">
            <v>591</v>
          </cell>
          <cell r="E605">
            <v>2</v>
          </cell>
          <cell r="F605">
            <v>3</v>
          </cell>
          <cell r="G605" t="str">
            <v>ACAD</v>
          </cell>
          <cell r="H605" t="str">
            <v>Anniston Chemical Agent Disposal</v>
          </cell>
          <cell r="I605" t="str">
            <v>MR</v>
          </cell>
          <cell r="J605" t="str">
            <v>MR Non-Proliferation and Security Services</v>
          </cell>
          <cell r="K605" t="str">
            <v>Army</v>
          </cell>
          <cell r="L605" t="str">
            <v>DOD</v>
          </cell>
          <cell r="M605" t="str">
            <v>AL</v>
          </cell>
          <cell r="N605" t="str">
            <v>CONUS</v>
          </cell>
          <cell r="O605">
            <v>0</v>
          </cell>
          <cell r="P605">
            <v>0</v>
          </cell>
          <cell r="Q605" t="str">
            <v>Prime</v>
          </cell>
          <cell r="R605" t="str">
            <v>CPAF</v>
          </cell>
          <cell r="S605">
            <v>0</v>
          </cell>
          <cell r="T605">
            <v>1</v>
          </cell>
          <cell r="U605" t="str">
            <v>CONTRACT</v>
          </cell>
          <cell r="V605" t="str">
            <v>Base</v>
          </cell>
          <cell r="W605" t="str">
            <v>05 Won</v>
          </cell>
          <cell r="X605" t="str">
            <v>Active</v>
          </cell>
          <cell r="Y605">
            <v>1</v>
          </cell>
          <cell r="Z605">
            <v>0</v>
          </cell>
          <cell r="AA605">
            <v>36147.759999999987</v>
          </cell>
          <cell r="AB605">
            <v>0</v>
          </cell>
          <cell r="AC605">
            <v>0</v>
          </cell>
          <cell r="AD605">
            <v>36147.759999999987</v>
          </cell>
          <cell r="AL605">
            <v>34.003382927599425</v>
          </cell>
          <cell r="AM605">
            <v>6.1358139218142513</v>
          </cell>
          <cell r="AN605">
            <v>1.7320800711659363</v>
          </cell>
          <cell r="AO605">
            <v>7.940995334090202E-2</v>
          </cell>
          <cell r="AP605">
            <v>7.1305134574253719</v>
          </cell>
          <cell r="AQ605">
            <v>7.1305134574253719</v>
          </cell>
          <cell r="AR605">
            <v>7.1305134574253719</v>
          </cell>
          <cell r="AS605">
            <v>7.1305134574253719</v>
          </cell>
          <cell r="BF605">
            <v>1710055.97</v>
          </cell>
          <cell r="BG605">
            <v>1724531.3699999996</v>
          </cell>
          <cell r="BH605">
            <v>167955.89</v>
          </cell>
          <cell r="BI605">
            <v>37508.920000000006</v>
          </cell>
          <cell r="BJ605">
            <v>30985.269999999997</v>
          </cell>
          <cell r="BK605">
            <v>-62317.93</v>
          </cell>
          <cell r="BL605">
            <v>0</v>
          </cell>
          <cell r="BM605">
            <v>6176.260000000002</v>
          </cell>
          <cell r="BN605">
            <v>0</v>
          </cell>
          <cell r="BO605">
            <v>0</v>
          </cell>
          <cell r="BP605">
            <v>0</v>
          </cell>
          <cell r="BQ605">
            <v>0</v>
          </cell>
          <cell r="BR605">
            <v>6176.260000000002</v>
          </cell>
          <cell r="BT605">
            <v>0</v>
          </cell>
          <cell r="CA605" t="str">
            <v>ACAD - CONTRACT - Base</v>
          </cell>
          <cell r="CC605" t="str">
            <v>ACAD - CONTRACT - Base - MR</v>
          </cell>
          <cell r="CD605" t="str">
            <v/>
          </cell>
          <cell r="CF605" t="str">
            <v>ACAD - Base - MR</v>
          </cell>
        </row>
        <row r="606">
          <cell r="D606">
            <v>592</v>
          </cell>
          <cell r="E606">
            <v>2</v>
          </cell>
          <cell r="F606">
            <v>4</v>
          </cell>
          <cell r="G606" t="str">
            <v>ACAD</v>
          </cell>
          <cell r="H606" t="str">
            <v>Anniston Chemical Agent Disposal</v>
          </cell>
          <cell r="I606" t="str">
            <v>MR</v>
          </cell>
          <cell r="J606" t="str">
            <v>MR Non-Proliferation and Security Services</v>
          </cell>
          <cell r="K606" t="str">
            <v>Army</v>
          </cell>
          <cell r="L606" t="str">
            <v>DOD</v>
          </cell>
          <cell r="M606" t="str">
            <v>AL</v>
          </cell>
          <cell r="N606" t="str">
            <v>CONUS</v>
          </cell>
          <cell r="O606">
            <v>0</v>
          </cell>
          <cell r="P606">
            <v>0</v>
          </cell>
          <cell r="Q606">
            <v>0</v>
          </cell>
          <cell r="R606" t="str">
            <v>CPAF</v>
          </cell>
          <cell r="S606">
            <v>0</v>
          </cell>
          <cell r="T606">
            <v>1</v>
          </cell>
          <cell r="U606" t="str">
            <v>CONTRACT</v>
          </cell>
          <cell r="V606" t="str">
            <v>Identified - Recompete</v>
          </cell>
          <cell r="W606">
            <v>0</v>
          </cell>
          <cell r="X606">
            <v>0</v>
          </cell>
          <cell r="Y606">
            <v>0</v>
          </cell>
          <cell r="Z606">
            <v>0</v>
          </cell>
          <cell r="AA606">
            <v>0</v>
          </cell>
          <cell r="AB606">
            <v>0</v>
          </cell>
          <cell r="AC606">
            <v>0</v>
          </cell>
          <cell r="AD606">
            <v>0</v>
          </cell>
          <cell r="AP606">
            <v>0</v>
          </cell>
          <cell r="AQ606">
            <v>0</v>
          </cell>
          <cell r="AR606">
            <v>0</v>
          </cell>
          <cell r="AS606">
            <v>0</v>
          </cell>
          <cell r="BI606">
            <v>0</v>
          </cell>
          <cell r="BJ606">
            <v>0</v>
          </cell>
          <cell r="BK606">
            <v>0</v>
          </cell>
          <cell r="BL606">
            <v>0</v>
          </cell>
          <cell r="BM606">
            <v>0</v>
          </cell>
          <cell r="BN606">
            <v>0</v>
          </cell>
          <cell r="BO606">
            <v>0</v>
          </cell>
          <cell r="BP606">
            <v>0</v>
          </cell>
          <cell r="BQ606">
            <v>0</v>
          </cell>
          <cell r="BR606">
            <v>0</v>
          </cell>
          <cell r="BT606">
            <v>0</v>
          </cell>
          <cell r="CA606" t="str">
            <v>ACAD - CONTRACT - Identified - Recompete</v>
          </cell>
          <cell r="CC606" t="str">
            <v>ACAD - CONTRACT - Identified - Recompete - MR</v>
          </cell>
          <cell r="CD606" t="str">
            <v/>
          </cell>
          <cell r="CF606" t="str">
            <v>ACAD - Identified - Recompete - MR</v>
          </cell>
        </row>
        <row r="607">
          <cell r="D607">
            <v>593</v>
          </cell>
          <cell r="E607">
            <v>0</v>
          </cell>
          <cell r="F607">
            <v>5</v>
          </cell>
          <cell r="G607" t="str">
            <v>ACAD</v>
          </cell>
          <cell r="H607" t="str">
            <v>Anniston Chemical Agent Disposal</v>
          </cell>
          <cell r="I607" t="str">
            <v>MR</v>
          </cell>
          <cell r="J607" t="str">
            <v>MR Non-Proliferation and Security Services</v>
          </cell>
          <cell r="K607" t="str">
            <v>Army</v>
          </cell>
          <cell r="L607" t="str">
            <v>DOD</v>
          </cell>
          <cell r="M607" t="str">
            <v>AL</v>
          </cell>
          <cell r="N607" t="str">
            <v>CONUS</v>
          </cell>
          <cell r="O607">
            <v>0</v>
          </cell>
          <cell r="P607">
            <v>0</v>
          </cell>
          <cell r="Q607" t="str">
            <v>Prime</v>
          </cell>
          <cell r="R607" t="str">
            <v>CPAF</v>
          </cell>
          <cell r="S607">
            <v>0</v>
          </cell>
          <cell r="T607">
            <v>1</v>
          </cell>
          <cell r="U607" t="str">
            <v>EBITA</v>
          </cell>
          <cell r="V607" t="str">
            <v>Base</v>
          </cell>
          <cell r="W607" t="str">
            <v>05 Won</v>
          </cell>
          <cell r="X607" t="str">
            <v>Active</v>
          </cell>
          <cell r="Y607">
            <v>1</v>
          </cell>
          <cell r="Z607">
            <v>0</v>
          </cell>
          <cell r="AA607">
            <v>36147.759999999987</v>
          </cell>
          <cell r="AB607">
            <v>0</v>
          </cell>
          <cell r="AC607">
            <v>0</v>
          </cell>
          <cell r="AD607">
            <v>36147.759999999987</v>
          </cell>
          <cell r="AT607">
            <v>34.103497342255324</v>
          </cell>
          <cell r="AU607">
            <v>6.1609881266599649</v>
          </cell>
          <cell r="AV607">
            <v>1.7922089346415622</v>
          </cell>
          <cell r="AW607">
            <v>9.3549082236286441E-17</v>
          </cell>
          <cell r="AX607">
            <v>7.1537592562602645</v>
          </cell>
          <cell r="AY607">
            <v>7.1537592562602645</v>
          </cell>
          <cell r="AZ607">
            <v>7.1537592562602645</v>
          </cell>
          <cell r="BA607">
            <v>7.1537592562602645</v>
          </cell>
          <cell r="BF607">
            <v>1715090.8</v>
          </cell>
          <cell r="BG607">
            <v>1731606.8299999996</v>
          </cell>
          <cell r="BH607">
            <v>173786.45</v>
          </cell>
          <cell r="BI607">
            <v>32739.580000000009</v>
          </cell>
          <cell r="BJ607">
            <v>32615.309999999998</v>
          </cell>
          <cell r="BK607">
            <v>-65354.89</v>
          </cell>
          <cell r="BL607">
            <v>0</v>
          </cell>
          <cell r="BM607">
            <v>7.2759576141834259E-12</v>
          </cell>
          <cell r="BN607">
            <v>0</v>
          </cell>
          <cell r="BO607">
            <v>0</v>
          </cell>
          <cell r="BP607">
            <v>0</v>
          </cell>
          <cell r="BQ607">
            <v>0</v>
          </cell>
          <cell r="BR607">
            <v>7.2759576141834259E-12</v>
          </cell>
          <cell r="BT607">
            <v>0</v>
          </cell>
          <cell r="CA607" t="str">
            <v>ACAD - EBITA - Base</v>
          </cell>
          <cell r="CC607" t="str">
            <v>ACAD - EBITA - Base - MR</v>
          </cell>
          <cell r="CD607" t="str">
            <v/>
          </cell>
          <cell r="CF607" t="str">
            <v>ACAD - Base - MR</v>
          </cell>
        </row>
        <row r="608">
          <cell r="D608">
            <v>594</v>
          </cell>
          <cell r="E608">
            <v>0</v>
          </cell>
          <cell r="F608">
            <v>0</v>
          </cell>
          <cell r="G608" t="str">
            <v>ACAD</v>
          </cell>
          <cell r="H608" t="str">
            <v>Anniston Chemical Agent Disposal</v>
          </cell>
          <cell r="I608" t="str">
            <v>MR</v>
          </cell>
          <cell r="J608" t="str">
            <v>MR Non-Proliferation and Security Services</v>
          </cell>
          <cell r="K608" t="str">
            <v>Army</v>
          </cell>
          <cell r="L608" t="str">
            <v>DOD</v>
          </cell>
          <cell r="M608" t="str">
            <v>AL</v>
          </cell>
          <cell r="N608" t="str">
            <v>CONUS</v>
          </cell>
          <cell r="O608">
            <v>0</v>
          </cell>
          <cell r="P608">
            <v>0</v>
          </cell>
          <cell r="Q608">
            <v>0</v>
          </cell>
          <cell r="R608" t="str">
            <v>CPAF</v>
          </cell>
          <cell r="S608">
            <v>0</v>
          </cell>
          <cell r="T608">
            <v>1</v>
          </cell>
          <cell r="U608" t="str">
            <v>EBITA</v>
          </cell>
          <cell r="V608" t="str">
            <v>Identified - Recompete</v>
          </cell>
          <cell r="W608">
            <v>0</v>
          </cell>
          <cell r="X608">
            <v>0</v>
          </cell>
          <cell r="Y608">
            <v>0</v>
          </cell>
          <cell r="Z608">
            <v>0</v>
          </cell>
          <cell r="AA608">
            <v>0</v>
          </cell>
          <cell r="AB608">
            <v>0</v>
          </cell>
          <cell r="AC608">
            <v>0</v>
          </cell>
          <cell r="AD608">
            <v>0</v>
          </cell>
          <cell r="AX608">
            <v>0</v>
          </cell>
          <cell r="AY608">
            <v>0</v>
          </cell>
          <cell r="AZ608">
            <v>0</v>
          </cell>
          <cell r="BA608">
            <v>0</v>
          </cell>
          <cell r="BI608">
            <v>0</v>
          </cell>
          <cell r="BJ608">
            <v>0</v>
          </cell>
          <cell r="BK608">
            <v>0</v>
          </cell>
          <cell r="BL608">
            <v>0</v>
          </cell>
          <cell r="BM608">
            <v>0</v>
          </cell>
          <cell r="BN608">
            <v>0</v>
          </cell>
          <cell r="BO608">
            <v>0</v>
          </cell>
          <cell r="BP608">
            <v>0</v>
          </cell>
          <cell r="BQ608">
            <v>0</v>
          </cell>
          <cell r="BR608">
            <v>0</v>
          </cell>
          <cell r="BT608">
            <v>0</v>
          </cell>
          <cell r="CA608" t="str">
            <v>ACAD - EBITA - Identified - Recompete</v>
          </cell>
          <cell r="CC608" t="str">
            <v>ACAD - EBITA - Identified - Recompete - MR</v>
          </cell>
          <cell r="CD608" t="str">
            <v/>
          </cell>
          <cell r="CF608" t="str">
            <v>ACAD - Identified - Recompete - MR</v>
          </cell>
        </row>
        <row r="609">
          <cell r="D609">
            <v>595</v>
          </cell>
          <cell r="E609">
            <v>1</v>
          </cell>
          <cell r="F609">
            <v>1</v>
          </cell>
          <cell r="G609" t="str">
            <v>HMMSXX</v>
          </cell>
          <cell r="H609" t="str">
            <v>HMMS Logistics Service</v>
          </cell>
          <cell r="I609" t="str">
            <v>MR</v>
          </cell>
          <cell r="J609" t="str">
            <v>MR Logistics &amp; Supply</v>
          </cell>
          <cell r="K609" t="str">
            <v>D L A</v>
          </cell>
          <cell r="L609" t="str">
            <v>DOD</v>
          </cell>
          <cell r="M609" t="str">
            <v>FL</v>
          </cell>
          <cell r="N609" t="str">
            <v>CONUS</v>
          </cell>
          <cell r="O609">
            <v>40751</v>
          </cell>
          <cell r="P609">
            <v>42978</v>
          </cell>
          <cell r="Q609" t="str">
            <v>Prime</v>
          </cell>
          <cell r="R609" t="str">
            <v>CPNF</v>
          </cell>
          <cell r="S609">
            <v>0</v>
          </cell>
          <cell r="T609">
            <v>1</v>
          </cell>
          <cell r="U609" t="str">
            <v>REVTOT</v>
          </cell>
          <cell r="V609" t="str">
            <v>Base</v>
          </cell>
          <cell r="W609" t="str">
            <v>05 Won</v>
          </cell>
          <cell r="X609" t="str">
            <v>Active</v>
          </cell>
          <cell r="Y609">
            <v>1</v>
          </cell>
          <cell r="Z609">
            <v>0</v>
          </cell>
          <cell r="AA609">
            <v>272700.93000001198</v>
          </cell>
          <cell r="AB609">
            <v>0</v>
          </cell>
          <cell r="AC609">
            <v>0</v>
          </cell>
          <cell r="AD609">
            <v>272700.93000001198</v>
          </cell>
          <cell r="AE609">
            <v>8.16486798578544E-2</v>
          </cell>
          <cell r="AF609">
            <v>-1.0150235427069554</v>
          </cell>
          <cell r="AG609">
            <v>-1.0108640018560198</v>
          </cell>
          <cell r="AH609">
            <v>-1</v>
          </cell>
          <cell r="AI609">
            <v>0</v>
          </cell>
          <cell r="AJ609">
            <v>0</v>
          </cell>
          <cell r="AK609">
            <v>0</v>
          </cell>
          <cell r="BB609">
            <v>0</v>
          </cell>
          <cell r="BC609">
            <v>0</v>
          </cell>
          <cell r="BD609">
            <v>0</v>
          </cell>
          <cell r="BE609">
            <v>0</v>
          </cell>
          <cell r="BF609">
            <v>20832418.759999998</v>
          </cell>
          <cell r="BG609">
            <v>22533358.25</v>
          </cell>
          <cell r="BH609">
            <v>-338530.87</v>
          </cell>
          <cell r="BI609">
            <v>-21959.200000000001</v>
          </cell>
          <cell r="BJ609">
            <v>9.8100000000013097</v>
          </cell>
          <cell r="BK609">
            <v>25627.19</v>
          </cell>
          <cell r="BL609">
            <v>0</v>
          </cell>
          <cell r="BM609">
            <v>3677.7999999999993</v>
          </cell>
          <cell r="BN609">
            <v>0</v>
          </cell>
          <cell r="BO609">
            <v>0</v>
          </cell>
          <cell r="BP609">
            <v>0</v>
          </cell>
          <cell r="BQ609">
            <v>0</v>
          </cell>
          <cell r="BR609">
            <v>3677.7999999999993</v>
          </cell>
          <cell r="BT609">
            <v>0</v>
          </cell>
          <cell r="CA609" t="str">
            <v>HMMSXX - REVTOT - Base</v>
          </cell>
          <cell r="CC609" t="str">
            <v>HMMSXX - REVTOT - Base - MR</v>
          </cell>
          <cell r="CD609" t="str">
            <v>HMMSXX - REVTOT - Base - MR</v>
          </cell>
          <cell r="CF609" t="str">
            <v>HMMSXX - Base - MR</v>
          </cell>
        </row>
        <row r="610">
          <cell r="D610">
            <v>596</v>
          </cell>
          <cell r="E610">
            <v>1</v>
          </cell>
          <cell r="F610">
            <v>2</v>
          </cell>
          <cell r="G610" t="str">
            <v>HMMSXX</v>
          </cell>
          <cell r="H610" t="str">
            <v>HMMS Logistics Service</v>
          </cell>
          <cell r="I610" t="str">
            <v>MR</v>
          </cell>
          <cell r="J610" t="str">
            <v>MR Logistics &amp; Supply</v>
          </cell>
          <cell r="K610" t="str">
            <v>D L A</v>
          </cell>
          <cell r="L610" t="str">
            <v>DOD</v>
          </cell>
          <cell r="M610" t="str">
            <v>FL</v>
          </cell>
          <cell r="N610" t="str">
            <v>CONUS</v>
          </cell>
          <cell r="O610">
            <v>0</v>
          </cell>
          <cell r="P610">
            <v>0</v>
          </cell>
          <cell r="Q610">
            <v>0</v>
          </cell>
          <cell r="R610" t="str">
            <v>CPNF</v>
          </cell>
          <cell r="S610">
            <v>0</v>
          </cell>
          <cell r="T610">
            <v>1</v>
          </cell>
          <cell r="U610" t="str">
            <v>REVTOT</v>
          </cell>
          <cell r="V610" t="str">
            <v>Identified - Recompete</v>
          </cell>
          <cell r="W610">
            <v>0</v>
          </cell>
          <cell r="X610">
            <v>0</v>
          </cell>
          <cell r="Y610">
            <v>0</v>
          </cell>
          <cell r="Z610">
            <v>0</v>
          </cell>
          <cell r="AA610">
            <v>0</v>
          </cell>
          <cell r="AB610">
            <v>0</v>
          </cell>
          <cell r="AC610">
            <v>0</v>
          </cell>
          <cell r="AD610">
            <v>0</v>
          </cell>
          <cell r="AI610">
            <v>0</v>
          </cell>
          <cell r="AJ610">
            <v>0</v>
          </cell>
          <cell r="AK610">
            <v>0</v>
          </cell>
          <cell r="BB610">
            <v>0</v>
          </cell>
          <cell r="BC610">
            <v>0</v>
          </cell>
          <cell r="BD610">
            <v>0</v>
          </cell>
          <cell r="BE610">
            <v>0</v>
          </cell>
          <cell r="BI610">
            <v>0</v>
          </cell>
          <cell r="BJ610">
            <v>0</v>
          </cell>
          <cell r="BK610">
            <v>0</v>
          </cell>
          <cell r="BL610">
            <v>0</v>
          </cell>
          <cell r="BM610">
            <v>0</v>
          </cell>
          <cell r="BN610">
            <v>0</v>
          </cell>
          <cell r="BO610">
            <v>0</v>
          </cell>
          <cell r="BP610">
            <v>0</v>
          </cell>
          <cell r="BQ610">
            <v>0</v>
          </cell>
          <cell r="BR610">
            <v>0</v>
          </cell>
          <cell r="BT610">
            <v>0</v>
          </cell>
          <cell r="CA610" t="str">
            <v>HMMSXX - REVTOT - Identified - Recompete</v>
          </cell>
          <cell r="CC610" t="str">
            <v>HMMSXX - REVTOT - Identified - Recompete - MR</v>
          </cell>
          <cell r="CD610" t="str">
            <v/>
          </cell>
          <cell r="CF610" t="str">
            <v>HMMSXX - Identified - Recompete - MR</v>
          </cell>
        </row>
        <row r="611">
          <cell r="D611">
            <v>597</v>
          </cell>
          <cell r="E611">
            <v>2</v>
          </cell>
          <cell r="F611">
            <v>3</v>
          </cell>
          <cell r="G611" t="str">
            <v>HMMSXX</v>
          </cell>
          <cell r="H611" t="str">
            <v>HMMS Logistics Service</v>
          </cell>
          <cell r="I611" t="str">
            <v>MR</v>
          </cell>
          <cell r="J611" t="str">
            <v>MR Logistics &amp; Supply</v>
          </cell>
          <cell r="K611" t="str">
            <v>D L A</v>
          </cell>
          <cell r="L611" t="str">
            <v>DOD</v>
          </cell>
          <cell r="M611" t="str">
            <v>FL</v>
          </cell>
          <cell r="N611" t="str">
            <v>CONUS</v>
          </cell>
          <cell r="O611">
            <v>40751</v>
          </cell>
          <cell r="P611">
            <v>42978</v>
          </cell>
          <cell r="Q611" t="str">
            <v>Prime</v>
          </cell>
          <cell r="R611" t="str">
            <v>CPNF</v>
          </cell>
          <cell r="S611">
            <v>0</v>
          </cell>
          <cell r="T611">
            <v>1</v>
          </cell>
          <cell r="U611" t="str">
            <v>CONTRACT</v>
          </cell>
          <cell r="V611" t="str">
            <v>Base</v>
          </cell>
          <cell r="W611" t="str">
            <v>05 Won</v>
          </cell>
          <cell r="X611" t="str">
            <v>Active</v>
          </cell>
          <cell r="Y611">
            <v>1</v>
          </cell>
          <cell r="Z611">
            <v>0</v>
          </cell>
          <cell r="AA611">
            <v>272700.93000001198</v>
          </cell>
          <cell r="AB611">
            <v>0</v>
          </cell>
          <cell r="AC611">
            <v>0</v>
          </cell>
          <cell r="AD611">
            <v>272700.93000001198</v>
          </cell>
          <cell r="AL611">
            <v>7.0105757129087176E-2</v>
          </cell>
          <cell r="AM611">
            <v>0.11372560190845057</v>
          </cell>
          <cell r="AN611">
            <v>2.5453548150571916</v>
          </cell>
          <cell r="AO611">
            <v>1.3572597748654098</v>
          </cell>
          <cell r="AP611">
            <v>7.358435469373284E-2</v>
          </cell>
          <cell r="AQ611">
            <v>7.358435469373284E-2</v>
          </cell>
          <cell r="AR611">
            <v>7.358435469373284E-2</v>
          </cell>
          <cell r="AS611">
            <v>7.358435469373284E-2</v>
          </cell>
          <cell r="BF611">
            <v>1460472.4899999993</v>
          </cell>
          <cell r="BG611">
            <v>2562619.7300000004</v>
          </cell>
          <cell r="BH611">
            <v>-861681.18000000017</v>
          </cell>
          <cell r="BI611">
            <v>-3199.5199999999995</v>
          </cell>
          <cell r="BJ611">
            <v>-17435.939999999995</v>
          </cell>
          <cell r="BK611">
            <v>25627.19</v>
          </cell>
          <cell r="BL611">
            <v>0</v>
          </cell>
          <cell r="BM611">
            <v>4991.7300000000032</v>
          </cell>
          <cell r="BN611">
            <v>0</v>
          </cell>
          <cell r="BO611">
            <v>0</v>
          </cell>
          <cell r="BP611">
            <v>0</v>
          </cell>
          <cell r="BQ611">
            <v>0</v>
          </cell>
          <cell r="BR611">
            <v>4991.7300000000032</v>
          </cell>
          <cell r="BT611">
            <v>0</v>
          </cell>
          <cell r="CA611" t="str">
            <v>HMMSXX - CONTRACT - Base</v>
          </cell>
          <cell r="CC611" t="str">
            <v>HMMSXX - CONTRACT - Base - MR</v>
          </cell>
          <cell r="CD611" t="str">
            <v/>
          </cell>
          <cell r="CF611" t="str">
            <v>HMMSXX - Base - MR</v>
          </cell>
        </row>
        <row r="612">
          <cell r="D612">
            <v>598</v>
          </cell>
          <cell r="E612">
            <v>2</v>
          </cell>
          <cell r="F612">
            <v>4</v>
          </cell>
          <cell r="G612" t="str">
            <v>HMMSXX</v>
          </cell>
          <cell r="H612" t="str">
            <v>HMMS Logistics Service</v>
          </cell>
          <cell r="I612" t="str">
            <v>MR</v>
          </cell>
          <cell r="J612" t="str">
            <v>MR Logistics &amp; Supply</v>
          </cell>
          <cell r="K612" t="str">
            <v>D L A</v>
          </cell>
          <cell r="L612" t="str">
            <v>DOD</v>
          </cell>
          <cell r="M612" t="str">
            <v>FL</v>
          </cell>
          <cell r="N612" t="str">
            <v>CONUS</v>
          </cell>
          <cell r="O612">
            <v>0</v>
          </cell>
          <cell r="P612">
            <v>0</v>
          </cell>
          <cell r="Q612">
            <v>0</v>
          </cell>
          <cell r="R612" t="str">
            <v>CPNF</v>
          </cell>
          <cell r="S612">
            <v>0</v>
          </cell>
          <cell r="T612">
            <v>1</v>
          </cell>
          <cell r="U612" t="str">
            <v>CONTRACT</v>
          </cell>
          <cell r="V612" t="str">
            <v>Identified - Recompete</v>
          </cell>
          <cell r="W612">
            <v>0</v>
          </cell>
          <cell r="X612">
            <v>0</v>
          </cell>
          <cell r="Y612">
            <v>0</v>
          </cell>
          <cell r="Z612">
            <v>0</v>
          </cell>
          <cell r="AA612">
            <v>0</v>
          </cell>
          <cell r="AB612">
            <v>0</v>
          </cell>
          <cell r="AC612">
            <v>0</v>
          </cell>
          <cell r="AD612">
            <v>0</v>
          </cell>
          <cell r="AP612">
            <v>0</v>
          </cell>
          <cell r="AQ612">
            <v>0</v>
          </cell>
          <cell r="AR612">
            <v>0</v>
          </cell>
          <cell r="AS612">
            <v>0</v>
          </cell>
          <cell r="BI612">
            <v>0</v>
          </cell>
          <cell r="BJ612">
            <v>0</v>
          </cell>
          <cell r="BK612">
            <v>0</v>
          </cell>
          <cell r="BL612">
            <v>0</v>
          </cell>
          <cell r="BM612">
            <v>0</v>
          </cell>
          <cell r="BN612">
            <v>0</v>
          </cell>
          <cell r="BO612">
            <v>0</v>
          </cell>
          <cell r="BP612">
            <v>0</v>
          </cell>
          <cell r="BQ612">
            <v>0</v>
          </cell>
          <cell r="BR612">
            <v>0</v>
          </cell>
          <cell r="BT612">
            <v>0</v>
          </cell>
          <cell r="CA612" t="str">
            <v>HMMSXX - CONTRACT - Identified - Recompete</v>
          </cell>
          <cell r="CC612" t="str">
            <v>HMMSXX - CONTRACT - Identified - Recompete - MR</v>
          </cell>
          <cell r="CD612" t="str">
            <v/>
          </cell>
          <cell r="CF612" t="str">
            <v>HMMSXX - Identified - Recompete - MR</v>
          </cell>
        </row>
        <row r="613">
          <cell r="D613">
            <v>599</v>
          </cell>
          <cell r="E613">
            <v>0</v>
          </cell>
          <cell r="F613">
            <v>5</v>
          </cell>
          <cell r="G613" t="str">
            <v>HMMSXX</v>
          </cell>
          <cell r="H613" t="str">
            <v>HMMS Logistics Service</v>
          </cell>
          <cell r="I613" t="str">
            <v>MR</v>
          </cell>
          <cell r="J613" t="str">
            <v>MR Logistics &amp; Supply</v>
          </cell>
          <cell r="K613" t="str">
            <v>D L A</v>
          </cell>
          <cell r="L613" t="str">
            <v>DOD</v>
          </cell>
          <cell r="M613" t="str">
            <v>FL</v>
          </cell>
          <cell r="N613" t="str">
            <v>CONUS</v>
          </cell>
          <cell r="O613">
            <v>40751</v>
          </cell>
          <cell r="P613">
            <v>42978</v>
          </cell>
          <cell r="Q613" t="str">
            <v>Prime</v>
          </cell>
          <cell r="R613" t="str">
            <v>CPNF</v>
          </cell>
          <cell r="S613">
            <v>0</v>
          </cell>
          <cell r="T613">
            <v>1</v>
          </cell>
          <cell r="U613" t="str">
            <v>EBITA</v>
          </cell>
          <cell r="V613" t="str">
            <v>Base</v>
          </cell>
          <cell r="W613" t="str">
            <v>05 Won</v>
          </cell>
          <cell r="X613" t="str">
            <v>Active</v>
          </cell>
          <cell r="Y613">
            <v>1</v>
          </cell>
          <cell r="Z613">
            <v>0</v>
          </cell>
          <cell r="AA613">
            <v>272700.93000001198</v>
          </cell>
          <cell r="AB613">
            <v>0</v>
          </cell>
          <cell r="AC613">
            <v>0</v>
          </cell>
          <cell r="AD613">
            <v>272700.93000001198</v>
          </cell>
          <cell r="AT613">
            <v>9.461032934804511E-3</v>
          </cell>
          <cell r="AU613">
            <v>2.8161684688077962E-2</v>
          </cell>
          <cell r="AV613">
            <v>2.5790580634492808</v>
          </cell>
          <cell r="AW613">
            <v>1.2989096742617874</v>
          </cell>
          <cell r="AX613">
            <v>-8.5148322752933868E-4</v>
          </cell>
          <cell r="AY613">
            <v>-8.5148322752933868E-4</v>
          </cell>
          <cell r="AZ613">
            <v>-8.5148322752933868E-4</v>
          </cell>
          <cell r="BA613">
            <v>-8.5148322752933868E-4</v>
          </cell>
          <cell r="BF613">
            <v>197096.19999999934</v>
          </cell>
          <cell r="BG613">
            <v>634577.33000000019</v>
          </cell>
          <cell r="BH613">
            <v>-873090.77000000025</v>
          </cell>
          <cell r="BI613">
            <v>-2937.3099999999995</v>
          </cell>
          <cell r="BJ613">
            <v>-17912.749999999996</v>
          </cell>
          <cell r="BK613">
            <v>25627.19</v>
          </cell>
          <cell r="BL613">
            <v>0</v>
          </cell>
          <cell r="BM613">
            <v>4777.130000000001</v>
          </cell>
          <cell r="BN613">
            <v>0</v>
          </cell>
          <cell r="BO613">
            <v>0</v>
          </cell>
          <cell r="BP613">
            <v>0</v>
          </cell>
          <cell r="BQ613">
            <v>0</v>
          </cell>
          <cell r="BR613">
            <v>4777.130000000001</v>
          </cell>
          <cell r="BT613">
            <v>0</v>
          </cell>
          <cell r="CA613" t="str">
            <v>HMMSXX - EBITA - Base</v>
          </cell>
          <cell r="CC613" t="str">
            <v>HMMSXX - EBITA - Base - MR</v>
          </cell>
          <cell r="CD613" t="str">
            <v/>
          </cell>
          <cell r="CF613" t="str">
            <v>HMMSXX - Base - MR</v>
          </cell>
        </row>
        <row r="614">
          <cell r="D614">
            <v>600</v>
          </cell>
          <cell r="E614">
            <v>0</v>
          </cell>
          <cell r="F614">
            <v>0</v>
          </cell>
          <cell r="G614" t="str">
            <v>HMMSXX</v>
          </cell>
          <cell r="H614" t="str">
            <v>HMMS Logistics Service</v>
          </cell>
          <cell r="I614" t="str">
            <v>MR</v>
          </cell>
          <cell r="J614" t="str">
            <v>MR Logistics &amp; Supply</v>
          </cell>
          <cell r="K614" t="str">
            <v>D L A</v>
          </cell>
          <cell r="L614" t="str">
            <v>DOD</v>
          </cell>
          <cell r="M614" t="str">
            <v>FL</v>
          </cell>
          <cell r="N614" t="str">
            <v>CONUS</v>
          </cell>
          <cell r="O614">
            <v>0</v>
          </cell>
          <cell r="P614">
            <v>0</v>
          </cell>
          <cell r="Q614">
            <v>0</v>
          </cell>
          <cell r="R614" t="str">
            <v>CPNF</v>
          </cell>
          <cell r="S614">
            <v>0</v>
          </cell>
          <cell r="T614">
            <v>1</v>
          </cell>
          <cell r="U614" t="str">
            <v>EBITA</v>
          </cell>
          <cell r="V614" t="str">
            <v>Identified - Recompete</v>
          </cell>
          <cell r="W614">
            <v>0</v>
          </cell>
          <cell r="X614">
            <v>0</v>
          </cell>
          <cell r="Y614">
            <v>0</v>
          </cell>
          <cell r="Z614">
            <v>0</v>
          </cell>
          <cell r="AA614">
            <v>0</v>
          </cell>
          <cell r="AB614">
            <v>0</v>
          </cell>
          <cell r="AC614">
            <v>0</v>
          </cell>
          <cell r="AD614">
            <v>0</v>
          </cell>
          <cell r="AX614">
            <v>0</v>
          </cell>
          <cell r="AY614">
            <v>0</v>
          </cell>
          <cell r="AZ614">
            <v>0</v>
          </cell>
          <cell r="BA614">
            <v>0</v>
          </cell>
          <cell r="BI614">
            <v>0</v>
          </cell>
          <cell r="BJ614">
            <v>0</v>
          </cell>
          <cell r="BK614">
            <v>0</v>
          </cell>
          <cell r="BL614">
            <v>0</v>
          </cell>
          <cell r="BM614">
            <v>0</v>
          </cell>
          <cell r="BN614">
            <v>0</v>
          </cell>
          <cell r="BO614">
            <v>0</v>
          </cell>
          <cell r="BP614">
            <v>0</v>
          </cell>
          <cell r="BQ614">
            <v>0</v>
          </cell>
          <cell r="BR614">
            <v>0</v>
          </cell>
          <cell r="BT614">
            <v>0</v>
          </cell>
          <cell r="CA614" t="str">
            <v>HMMSXX - EBITA - Identified - Recompete</v>
          </cell>
          <cell r="CC614" t="str">
            <v>HMMSXX - EBITA - Identified - Recompete - MR</v>
          </cell>
          <cell r="CD614" t="str">
            <v/>
          </cell>
          <cell r="CF614" t="str">
            <v>HMMSXX - Identified - Recompete - MR</v>
          </cell>
        </row>
        <row r="615">
          <cell r="D615">
            <v>601</v>
          </cell>
          <cell r="E615">
            <v>1</v>
          </cell>
          <cell r="F615">
            <v>1</v>
          </cell>
          <cell r="G615" t="str">
            <v>FRCSEF</v>
          </cell>
          <cell r="H615" t="str">
            <v>Fleet Readiness Center South East, Jacksonville, Fl</v>
          </cell>
          <cell r="I615" t="str">
            <v>MR</v>
          </cell>
          <cell r="J615" t="str">
            <v>MR Maintenance &amp; Sustainment</v>
          </cell>
          <cell r="K615" t="str">
            <v>D L A</v>
          </cell>
          <cell r="L615" t="str">
            <v>DOD</v>
          </cell>
          <cell r="M615" t="str">
            <v>FL</v>
          </cell>
          <cell r="N615" t="str">
            <v>CONUS</v>
          </cell>
          <cell r="O615">
            <v>42095</v>
          </cell>
          <cell r="P615">
            <v>43861</v>
          </cell>
          <cell r="Q615" t="str">
            <v>Sub</v>
          </cell>
          <cell r="R615" t="str">
            <v>CPFF</v>
          </cell>
          <cell r="S615">
            <v>0</v>
          </cell>
          <cell r="T615">
            <v>1</v>
          </cell>
          <cell r="U615" t="str">
            <v>REVTOT</v>
          </cell>
          <cell r="V615" t="str">
            <v>Base</v>
          </cell>
          <cell r="W615" t="str">
            <v>05 Won</v>
          </cell>
          <cell r="X615" t="str">
            <v>Active</v>
          </cell>
          <cell r="Y615">
            <v>1</v>
          </cell>
          <cell r="Z615">
            <v>0</v>
          </cell>
          <cell r="AA615">
            <v>483417.64</v>
          </cell>
          <cell r="AB615">
            <v>6000000</v>
          </cell>
          <cell r="AC615">
            <v>0</v>
          </cell>
          <cell r="AD615">
            <v>6483417.6399999997</v>
          </cell>
          <cell r="AE615">
            <v>-2.0256919913401727E-2</v>
          </cell>
          <cell r="AF615">
            <v>-0.26742416247938783</v>
          </cell>
          <cell r="AG615">
            <v>-0.99937397476203738</v>
          </cell>
          <cell r="AH615">
            <v>-1</v>
          </cell>
          <cell r="AI615">
            <v>0</v>
          </cell>
          <cell r="AJ615">
            <v>0</v>
          </cell>
          <cell r="AK615">
            <v>0</v>
          </cell>
          <cell r="BB615">
            <v>0</v>
          </cell>
          <cell r="BC615">
            <v>0</v>
          </cell>
          <cell r="BD615">
            <v>0</v>
          </cell>
          <cell r="BE615">
            <v>0</v>
          </cell>
          <cell r="BF615">
            <v>5891891.2899999991</v>
          </cell>
          <cell r="BG615">
            <v>5772539.7199999997</v>
          </cell>
          <cell r="BH615">
            <v>4228823.12</v>
          </cell>
          <cell r="BI615">
            <v>2647.35</v>
          </cell>
          <cell r="BJ615">
            <v>0</v>
          </cell>
          <cell r="BK615">
            <v>0</v>
          </cell>
          <cell r="BL615">
            <v>0</v>
          </cell>
          <cell r="BM615">
            <v>2647.35</v>
          </cell>
          <cell r="BN615">
            <v>0</v>
          </cell>
          <cell r="BO615">
            <v>0</v>
          </cell>
          <cell r="BP615">
            <v>0</v>
          </cell>
          <cell r="BQ615">
            <v>0</v>
          </cell>
          <cell r="BR615">
            <v>2647.35</v>
          </cell>
          <cell r="BT615">
            <v>0</v>
          </cell>
          <cell r="CA615" t="str">
            <v>FRCSEF - REVTOT - Base</v>
          </cell>
          <cell r="CC615" t="str">
            <v>FRCSEF - REVTOT - Base - MR</v>
          </cell>
          <cell r="CD615" t="str">
            <v>FRCSEF - REVTOT - Base - MR</v>
          </cell>
          <cell r="CF615" t="str">
            <v>FRCSEF - Base - MR</v>
          </cell>
        </row>
        <row r="616">
          <cell r="D616">
            <v>602</v>
          </cell>
          <cell r="E616">
            <v>1</v>
          </cell>
          <cell r="F616">
            <v>2</v>
          </cell>
          <cell r="G616" t="str">
            <v>FRCSEF</v>
          </cell>
          <cell r="H616" t="str">
            <v>Fleet Readiness Center South East, Jacksonville, Fl</v>
          </cell>
          <cell r="I616" t="str">
            <v>MR</v>
          </cell>
          <cell r="J616" t="str">
            <v>MR Maintenance &amp; Sustainment</v>
          </cell>
          <cell r="K616" t="str">
            <v>D L A</v>
          </cell>
          <cell r="L616" t="str">
            <v>DOD</v>
          </cell>
          <cell r="M616" t="str">
            <v>FL</v>
          </cell>
          <cell r="N616" t="str">
            <v>CONUS</v>
          </cell>
          <cell r="O616">
            <v>0</v>
          </cell>
          <cell r="P616">
            <v>0</v>
          </cell>
          <cell r="Q616">
            <v>0</v>
          </cell>
          <cell r="R616" t="str">
            <v>CPFF</v>
          </cell>
          <cell r="S616">
            <v>0</v>
          </cell>
          <cell r="T616">
            <v>1</v>
          </cell>
          <cell r="U616" t="str">
            <v>REVTOT</v>
          </cell>
          <cell r="V616" t="str">
            <v>Identified - Recompete</v>
          </cell>
          <cell r="W616">
            <v>0</v>
          </cell>
          <cell r="X616">
            <v>0</v>
          </cell>
          <cell r="Y616">
            <v>0</v>
          </cell>
          <cell r="Z616">
            <v>0</v>
          </cell>
          <cell r="AA616">
            <v>0</v>
          </cell>
          <cell r="AB616">
            <v>0</v>
          </cell>
          <cell r="AC616">
            <v>0</v>
          </cell>
          <cell r="AD616">
            <v>0</v>
          </cell>
          <cell r="AI616">
            <v>0</v>
          </cell>
          <cell r="AJ616">
            <v>0</v>
          </cell>
          <cell r="AK616">
            <v>0</v>
          </cell>
          <cell r="BB616">
            <v>0</v>
          </cell>
          <cell r="BC616">
            <v>0</v>
          </cell>
          <cell r="BD616">
            <v>0</v>
          </cell>
          <cell r="BE616">
            <v>0</v>
          </cell>
          <cell r="BI616">
            <v>0</v>
          </cell>
          <cell r="BJ616">
            <v>0</v>
          </cell>
          <cell r="BK616">
            <v>0</v>
          </cell>
          <cell r="BL616">
            <v>0</v>
          </cell>
          <cell r="BM616">
            <v>0</v>
          </cell>
          <cell r="BN616">
            <v>0</v>
          </cell>
          <cell r="BO616">
            <v>0</v>
          </cell>
          <cell r="BP616">
            <v>0</v>
          </cell>
          <cell r="BQ616">
            <v>0</v>
          </cell>
          <cell r="BR616">
            <v>0</v>
          </cell>
          <cell r="BT616">
            <v>0</v>
          </cell>
          <cell r="CA616" t="str">
            <v>FRCSEF - REVTOT - Identified - Recompete</v>
          </cell>
          <cell r="CC616" t="str">
            <v>FRCSEF - REVTOT - Identified - Recompete - MR</v>
          </cell>
          <cell r="CD616" t="str">
            <v/>
          </cell>
          <cell r="CF616" t="str">
            <v>FRCSEF - Identified - Recompete - MR</v>
          </cell>
        </row>
        <row r="617">
          <cell r="D617">
            <v>603</v>
          </cell>
          <cell r="E617">
            <v>2</v>
          </cell>
          <cell r="F617">
            <v>3</v>
          </cell>
          <cell r="G617" t="str">
            <v>FRCSEF</v>
          </cell>
          <cell r="H617" t="str">
            <v>Fleet Readiness Center South East, Jacksonville, Fl</v>
          </cell>
          <cell r="I617" t="str">
            <v>MR</v>
          </cell>
          <cell r="J617" t="str">
            <v>MR Maintenance &amp; Sustainment</v>
          </cell>
          <cell r="K617" t="str">
            <v>D L A</v>
          </cell>
          <cell r="L617" t="str">
            <v>DOD</v>
          </cell>
          <cell r="M617" t="str">
            <v>FL</v>
          </cell>
          <cell r="N617" t="str">
            <v>CONUS</v>
          </cell>
          <cell r="O617">
            <v>42095</v>
          </cell>
          <cell r="P617">
            <v>43861</v>
          </cell>
          <cell r="Q617" t="str">
            <v>Sub</v>
          </cell>
          <cell r="R617" t="str">
            <v>CPFF</v>
          </cell>
          <cell r="S617">
            <v>0</v>
          </cell>
          <cell r="T617">
            <v>1</v>
          </cell>
          <cell r="U617" t="str">
            <v>CONTRACT</v>
          </cell>
          <cell r="V617" t="str">
            <v>Base</v>
          </cell>
          <cell r="W617" t="str">
            <v>05 Won</v>
          </cell>
          <cell r="X617" t="str">
            <v>Active</v>
          </cell>
          <cell r="Y617">
            <v>1</v>
          </cell>
          <cell r="Z617">
            <v>0</v>
          </cell>
          <cell r="AA617">
            <v>483417.64</v>
          </cell>
          <cell r="AB617">
            <v>6000000</v>
          </cell>
          <cell r="AC617">
            <v>0</v>
          </cell>
          <cell r="AD617">
            <v>6483417.6399999997</v>
          </cell>
          <cell r="AL617">
            <v>0.10147313325599394</v>
          </cell>
          <cell r="AM617">
            <v>0.1086324062573968</v>
          </cell>
          <cell r="AN617">
            <v>5.0880534345924627E-2</v>
          </cell>
          <cell r="AO617">
            <v>0.62806202428843949</v>
          </cell>
          <cell r="AP617">
            <v>9.0701432178227098E-2</v>
          </cell>
          <cell r="AQ617">
            <v>9.0701432178227098E-2</v>
          </cell>
          <cell r="AR617">
            <v>9.0701432178227098E-2</v>
          </cell>
          <cell r="AS617">
            <v>9.0701432178227098E-2</v>
          </cell>
          <cell r="BF617">
            <v>597868.66999999993</v>
          </cell>
          <cell r="BG617">
            <v>627084.87999999954</v>
          </cell>
          <cell r="BH617">
            <v>215164.78000000014</v>
          </cell>
          <cell r="BI617">
            <v>2113.84</v>
          </cell>
          <cell r="BJ617">
            <v>-286.08999999999997</v>
          </cell>
          <cell r="BK617">
            <v>-165.05</v>
          </cell>
          <cell r="BL617">
            <v>0</v>
          </cell>
          <cell r="BM617">
            <v>1662.7000000000003</v>
          </cell>
          <cell r="BN617">
            <v>0</v>
          </cell>
          <cell r="BO617">
            <v>0</v>
          </cell>
          <cell r="BP617">
            <v>0</v>
          </cell>
          <cell r="BQ617">
            <v>0</v>
          </cell>
          <cell r="BR617">
            <v>1662.7000000000003</v>
          </cell>
          <cell r="BT617">
            <v>0</v>
          </cell>
          <cell r="CA617" t="str">
            <v>FRCSEF - CONTRACT - Base</v>
          </cell>
          <cell r="CC617" t="str">
            <v>FRCSEF - CONTRACT - Base - MR</v>
          </cell>
          <cell r="CD617" t="str">
            <v/>
          </cell>
          <cell r="CF617" t="str">
            <v>FRCSEF - Base - MR</v>
          </cell>
        </row>
        <row r="618">
          <cell r="D618">
            <v>604</v>
          </cell>
          <cell r="E618">
            <v>2</v>
          </cell>
          <cell r="F618">
            <v>4</v>
          </cell>
          <cell r="G618" t="str">
            <v>FRCSEF</v>
          </cell>
          <cell r="H618" t="str">
            <v>Fleet Readiness Center South East, Jacksonville, Fl</v>
          </cell>
          <cell r="I618" t="str">
            <v>MR</v>
          </cell>
          <cell r="J618" t="str">
            <v>MR Maintenance &amp; Sustainment</v>
          </cell>
          <cell r="K618" t="str">
            <v>D L A</v>
          </cell>
          <cell r="L618" t="str">
            <v>DOD</v>
          </cell>
          <cell r="M618" t="str">
            <v>FL</v>
          </cell>
          <cell r="N618" t="str">
            <v>CONUS</v>
          </cell>
          <cell r="O618">
            <v>0</v>
          </cell>
          <cell r="P618">
            <v>0</v>
          </cell>
          <cell r="Q618">
            <v>0</v>
          </cell>
          <cell r="R618" t="str">
            <v>CPFF</v>
          </cell>
          <cell r="S618">
            <v>0</v>
          </cell>
          <cell r="T618">
            <v>1</v>
          </cell>
          <cell r="U618" t="str">
            <v>CONTRACT</v>
          </cell>
          <cell r="V618" t="str">
            <v>Identified - Recompete</v>
          </cell>
          <cell r="W618">
            <v>0</v>
          </cell>
          <cell r="X618">
            <v>0</v>
          </cell>
          <cell r="Y618">
            <v>0</v>
          </cell>
          <cell r="Z618">
            <v>0</v>
          </cell>
          <cell r="AA618">
            <v>0</v>
          </cell>
          <cell r="AB618">
            <v>0</v>
          </cell>
          <cell r="AC618">
            <v>0</v>
          </cell>
          <cell r="AD618">
            <v>0</v>
          </cell>
          <cell r="AP618">
            <v>0</v>
          </cell>
          <cell r="AQ618">
            <v>0</v>
          </cell>
          <cell r="AR618">
            <v>0</v>
          </cell>
          <cell r="AS618">
            <v>0</v>
          </cell>
          <cell r="BI618">
            <v>0</v>
          </cell>
          <cell r="BJ618">
            <v>0</v>
          </cell>
          <cell r="BK618">
            <v>0</v>
          </cell>
          <cell r="BL618">
            <v>0</v>
          </cell>
          <cell r="BM618">
            <v>0</v>
          </cell>
          <cell r="BN618">
            <v>0</v>
          </cell>
          <cell r="BO618">
            <v>0</v>
          </cell>
          <cell r="BP618">
            <v>0</v>
          </cell>
          <cell r="BQ618">
            <v>0</v>
          </cell>
          <cell r="BR618">
            <v>0</v>
          </cell>
          <cell r="BT618">
            <v>0</v>
          </cell>
          <cell r="CA618" t="str">
            <v>FRCSEF - CONTRACT - Identified - Recompete</v>
          </cell>
          <cell r="CC618" t="str">
            <v>FRCSEF - CONTRACT - Identified - Recompete - MR</v>
          </cell>
          <cell r="CD618" t="str">
            <v/>
          </cell>
          <cell r="CF618" t="str">
            <v>FRCSEF - Identified - Recompete - MR</v>
          </cell>
        </row>
        <row r="619">
          <cell r="D619">
            <v>605</v>
          </cell>
          <cell r="E619">
            <v>0</v>
          </cell>
          <cell r="F619">
            <v>5</v>
          </cell>
          <cell r="G619" t="str">
            <v>FRCSEF</v>
          </cell>
          <cell r="H619" t="str">
            <v>Fleet Readiness Center South East, Jacksonville, Fl</v>
          </cell>
          <cell r="I619" t="str">
            <v>MR</v>
          </cell>
          <cell r="J619" t="str">
            <v>MR Maintenance &amp; Sustainment</v>
          </cell>
          <cell r="K619" t="str">
            <v>D L A</v>
          </cell>
          <cell r="L619" t="str">
            <v>DOD</v>
          </cell>
          <cell r="M619" t="str">
            <v>FL</v>
          </cell>
          <cell r="N619" t="str">
            <v>CONUS</v>
          </cell>
          <cell r="O619">
            <v>42095</v>
          </cell>
          <cell r="P619">
            <v>43861</v>
          </cell>
          <cell r="Q619" t="str">
            <v>Sub</v>
          </cell>
          <cell r="R619" t="str">
            <v>CPFF</v>
          </cell>
          <cell r="S619">
            <v>0</v>
          </cell>
          <cell r="T619">
            <v>1</v>
          </cell>
          <cell r="U619" t="str">
            <v>EBITA</v>
          </cell>
          <cell r="V619" t="str">
            <v>Base</v>
          </cell>
          <cell r="W619" t="str">
            <v>05 Won</v>
          </cell>
          <cell r="X619" t="str">
            <v>Active</v>
          </cell>
          <cell r="Y619">
            <v>1</v>
          </cell>
          <cell r="Z619">
            <v>0</v>
          </cell>
          <cell r="AA619">
            <v>483417.64</v>
          </cell>
          <cell r="AB619">
            <v>6000000</v>
          </cell>
          <cell r="AC619">
            <v>0</v>
          </cell>
          <cell r="AD619">
            <v>6483417.6399999997</v>
          </cell>
          <cell r="AT619">
            <v>1.9082558463158612E-2</v>
          </cell>
          <cell r="AU619">
            <v>2.9344546459006349E-2</v>
          </cell>
          <cell r="AV619">
            <v>-3.0318484921639341E-2</v>
          </cell>
          <cell r="AW619">
            <v>0.59625663399248319</v>
          </cell>
          <cell r="AX619">
            <v>9.7630140822941008E-3</v>
          </cell>
          <cell r="AY619">
            <v>9.7630140822941008E-3</v>
          </cell>
          <cell r="AZ619">
            <v>9.7630140822941008E-3</v>
          </cell>
          <cell r="BA619">
            <v>9.7630140822941008E-3</v>
          </cell>
          <cell r="BF619">
            <v>112432.35999999999</v>
          </cell>
          <cell r="BG619">
            <v>169392.5599999995</v>
          </cell>
          <cell r="BH619">
            <v>-128211.50999999983</v>
          </cell>
          <cell r="BI619">
            <v>2066.7800000000002</v>
          </cell>
          <cell r="BJ619">
            <v>-309.24</v>
          </cell>
          <cell r="BK619">
            <v>-179.04</v>
          </cell>
          <cell r="BL619">
            <v>0</v>
          </cell>
          <cell r="BM619">
            <v>1578.5000000000002</v>
          </cell>
          <cell r="BN619">
            <v>0</v>
          </cell>
          <cell r="BO619">
            <v>0</v>
          </cell>
          <cell r="BP619">
            <v>0</v>
          </cell>
          <cell r="BQ619">
            <v>0</v>
          </cell>
          <cell r="BR619">
            <v>1578.5000000000002</v>
          </cell>
          <cell r="BT619">
            <v>0</v>
          </cell>
          <cell r="CA619" t="str">
            <v>FRCSEF - EBITA - Base</v>
          </cell>
          <cell r="CC619" t="str">
            <v>FRCSEF - EBITA - Base - MR</v>
          </cell>
          <cell r="CD619" t="str">
            <v/>
          </cell>
          <cell r="CF619" t="str">
            <v>FRCSEF - Base - MR</v>
          </cell>
        </row>
        <row r="620">
          <cell r="D620">
            <v>606</v>
          </cell>
          <cell r="E620">
            <v>0</v>
          </cell>
          <cell r="F620">
            <v>0</v>
          </cell>
          <cell r="G620" t="str">
            <v>FRCSEF</v>
          </cell>
          <cell r="H620" t="str">
            <v>Fleet Readiness Center South East, Jacksonville, Fl</v>
          </cell>
          <cell r="I620" t="str">
            <v>MR</v>
          </cell>
          <cell r="J620" t="str">
            <v>MR Maintenance &amp; Sustainment</v>
          </cell>
          <cell r="K620" t="str">
            <v>D L A</v>
          </cell>
          <cell r="L620" t="str">
            <v>DOD</v>
          </cell>
          <cell r="M620" t="str">
            <v>FL</v>
          </cell>
          <cell r="N620" t="str">
            <v>CONUS</v>
          </cell>
          <cell r="O620">
            <v>0</v>
          </cell>
          <cell r="P620">
            <v>0</v>
          </cell>
          <cell r="Q620">
            <v>0</v>
          </cell>
          <cell r="R620" t="str">
            <v>CPFF</v>
          </cell>
          <cell r="S620">
            <v>0</v>
          </cell>
          <cell r="T620">
            <v>1</v>
          </cell>
          <cell r="U620" t="str">
            <v>EBITA</v>
          </cell>
          <cell r="V620" t="str">
            <v>Identified - Recompete</v>
          </cell>
          <cell r="W620">
            <v>0</v>
          </cell>
          <cell r="X620">
            <v>0</v>
          </cell>
          <cell r="Y620">
            <v>0</v>
          </cell>
          <cell r="Z620">
            <v>0</v>
          </cell>
          <cell r="AA620">
            <v>0</v>
          </cell>
          <cell r="AB620">
            <v>0</v>
          </cell>
          <cell r="AC620">
            <v>0</v>
          </cell>
          <cell r="AD620">
            <v>0</v>
          </cell>
          <cell r="AX620">
            <v>0</v>
          </cell>
          <cell r="AY620">
            <v>0</v>
          </cell>
          <cell r="AZ620">
            <v>0</v>
          </cell>
          <cell r="BA620">
            <v>0</v>
          </cell>
          <cell r="BI620">
            <v>0</v>
          </cell>
          <cell r="BJ620">
            <v>0</v>
          </cell>
          <cell r="BK620">
            <v>0</v>
          </cell>
          <cell r="BL620">
            <v>0</v>
          </cell>
          <cell r="BM620">
            <v>0</v>
          </cell>
          <cell r="BN620">
            <v>0</v>
          </cell>
          <cell r="BO620">
            <v>0</v>
          </cell>
          <cell r="BP620">
            <v>0</v>
          </cell>
          <cell r="BQ620">
            <v>0</v>
          </cell>
          <cell r="BR620">
            <v>0</v>
          </cell>
          <cell r="BT620">
            <v>0</v>
          </cell>
          <cell r="CA620" t="str">
            <v>FRCSEF - EBITA - Identified - Recompete</v>
          </cell>
          <cell r="CC620" t="str">
            <v>FRCSEF - EBITA - Identified - Recompete - MR</v>
          </cell>
          <cell r="CD620" t="str">
            <v/>
          </cell>
          <cell r="CF620" t="str">
            <v>FRCSEF - Identified - Recompete - MR</v>
          </cell>
        </row>
        <row r="621">
          <cell r="D621">
            <v>607</v>
          </cell>
          <cell r="E621">
            <v>1</v>
          </cell>
          <cell r="F621">
            <v>1</v>
          </cell>
          <cell r="G621" t="str">
            <v>RUCKCP</v>
          </cell>
          <cell r="H621" t="str">
            <v>Fort Rucker CPFF</v>
          </cell>
          <cell r="I621" t="str">
            <v>MR</v>
          </cell>
          <cell r="J621" t="str">
            <v>MR Warfighter Support</v>
          </cell>
          <cell r="K621" t="str">
            <v>Army</v>
          </cell>
          <cell r="L621" t="str">
            <v>DOD</v>
          </cell>
          <cell r="M621" t="str">
            <v>AL</v>
          </cell>
          <cell r="N621" t="str">
            <v>CONUS</v>
          </cell>
          <cell r="O621">
            <v>42278</v>
          </cell>
          <cell r="P621">
            <v>43109</v>
          </cell>
          <cell r="Q621" t="str">
            <v>Other</v>
          </cell>
          <cell r="R621" t="str">
            <v>CPFF</v>
          </cell>
          <cell r="S621">
            <v>0</v>
          </cell>
          <cell r="T621">
            <v>1</v>
          </cell>
          <cell r="U621" t="str">
            <v>REVTOT</v>
          </cell>
          <cell r="V621" t="str">
            <v>Base</v>
          </cell>
          <cell r="W621" t="str">
            <v>05 Won</v>
          </cell>
          <cell r="X621" t="str">
            <v>Active</v>
          </cell>
          <cell r="Y621">
            <v>1</v>
          </cell>
          <cell r="Z621">
            <v>0</v>
          </cell>
          <cell r="AA621">
            <v>1334751.9000000036</v>
          </cell>
          <cell r="AB621">
            <v>0</v>
          </cell>
          <cell r="AC621">
            <v>0</v>
          </cell>
          <cell r="AD621">
            <v>1334751.9000000036</v>
          </cell>
          <cell r="AE621">
            <v>3.2219489124906575E-2</v>
          </cell>
          <cell r="AF621">
            <v>-0.75542084750103478</v>
          </cell>
          <cell r="AG621">
            <v>-1.0001323783676765</v>
          </cell>
          <cell r="AH621">
            <v>-1</v>
          </cell>
          <cell r="AI621">
            <v>0</v>
          </cell>
          <cell r="AJ621">
            <v>0</v>
          </cell>
          <cell r="AK621">
            <v>0</v>
          </cell>
          <cell r="BB621">
            <v>0</v>
          </cell>
          <cell r="BC621">
            <v>0</v>
          </cell>
          <cell r="BD621">
            <v>0</v>
          </cell>
          <cell r="BE621">
            <v>0</v>
          </cell>
          <cell r="BF621">
            <v>52222671.920000002</v>
          </cell>
          <cell r="BG621">
            <v>53905259.730000004</v>
          </cell>
          <cell r="BH621">
            <v>13184102.74</v>
          </cell>
          <cell r="BI621">
            <v>-3390.7599999999998</v>
          </cell>
          <cell r="BJ621">
            <v>-68354.53</v>
          </cell>
          <cell r="BK621">
            <v>0</v>
          </cell>
          <cell r="BL621">
            <v>70000</v>
          </cell>
          <cell r="BM621">
            <v>-1745.2899999999936</v>
          </cell>
          <cell r="BN621">
            <v>0</v>
          </cell>
          <cell r="BO621">
            <v>0</v>
          </cell>
          <cell r="BP621">
            <v>0</v>
          </cell>
          <cell r="BQ621">
            <v>0</v>
          </cell>
          <cell r="BR621">
            <v>-1745.2899999999936</v>
          </cell>
          <cell r="BT621">
            <v>0</v>
          </cell>
          <cell r="CA621" t="str">
            <v>RUCKCP - REVTOT - Base</v>
          </cell>
          <cell r="CC621" t="str">
            <v>RUCKCP - REVTOT - Base - MR</v>
          </cell>
          <cell r="CD621" t="str">
            <v>RUCKCP - REVTOT - Base - MR</v>
          </cell>
          <cell r="CF621" t="str">
            <v>RUCKCP - Base - MR</v>
          </cell>
        </row>
        <row r="622">
          <cell r="D622">
            <v>608</v>
          </cell>
          <cell r="E622">
            <v>1</v>
          </cell>
          <cell r="F622">
            <v>2</v>
          </cell>
          <cell r="G622" t="str">
            <v>RUCKCP</v>
          </cell>
          <cell r="H622" t="str">
            <v>Fort Rucker CPFF</v>
          </cell>
          <cell r="I622" t="str">
            <v>MR</v>
          </cell>
          <cell r="J622" t="str">
            <v>MR Warfighter Support</v>
          </cell>
          <cell r="K622" t="str">
            <v>Army</v>
          </cell>
          <cell r="L622" t="str">
            <v>DOD</v>
          </cell>
          <cell r="M622" t="str">
            <v>AL</v>
          </cell>
          <cell r="N622" t="str">
            <v>CONUS</v>
          </cell>
          <cell r="O622">
            <v>0</v>
          </cell>
          <cell r="P622">
            <v>0</v>
          </cell>
          <cell r="Q622">
            <v>0</v>
          </cell>
          <cell r="R622" t="str">
            <v>CPFF</v>
          </cell>
          <cell r="S622">
            <v>0</v>
          </cell>
          <cell r="T622">
            <v>1</v>
          </cell>
          <cell r="U622" t="str">
            <v>REVTOT</v>
          </cell>
          <cell r="V622" t="str">
            <v>Identified - Recompete</v>
          </cell>
          <cell r="W622">
            <v>0</v>
          </cell>
          <cell r="X622">
            <v>0</v>
          </cell>
          <cell r="Y622">
            <v>0</v>
          </cell>
          <cell r="Z622">
            <v>0</v>
          </cell>
          <cell r="AA622">
            <v>0</v>
          </cell>
          <cell r="AB622">
            <v>0</v>
          </cell>
          <cell r="AC622">
            <v>0</v>
          </cell>
          <cell r="AD622">
            <v>0</v>
          </cell>
          <cell r="AI622">
            <v>0</v>
          </cell>
          <cell r="AJ622">
            <v>0</v>
          </cell>
          <cell r="AK622">
            <v>0</v>
          </cell>
          <cell r="BB622">
            <v>0</v>
          </cell>
          <cell r="BC622">
            <v>0</v>
          </cell>
          <cell r="BD622">
            <v>0</v>
          </cell>
          <cell r="BE622">
            <v>0</v>
          </cell>
          <cell r="BI622">
            <v>0</v>
          </cell>
          <cell r="BJ622">
            <v>0</v>
          </cell>
          <cell r="BK622">
            <v>0</v>
          </cell>
          <cell r="BL622">
            <v>0</v>
          </cell>
          <cell r="BM622">
            <v>0</v>
          </cell>
          <cell r="BN622">
            <v>0</v>
          </cell>
          <cell r="BO622">
            <v>0</v>
          </cell>
          <cell r="BP622">
            <v>0</v>
          </cell>
          <cell r="BQ622">
            <v>0</v>
          </cell>
          <cell r="BR622">
            <v>0</v>
          </cell>
          <cell r="BT622">
            <v>0</v>
          </cell>
          <cell r="CA622" t="str">
            <v>RUCKCP - REVTOT - Identified - Recompete</v>
          </cell>
          <cell r="CC622" t="str">
            <v>RUCKCP - REVTOT - Identified - Recompete - MR</v>
          </cell>
          <cell r="CD622" t="str">
            <v/>
          </cell>
          <cell r="CF622" t="str">
            <v>RUCKCP - Identified - Recompete - MR</v>
          </cell>
        </row>
        <row r="623">
          <cell r="D623">
            <v>609</v>
          </cell>
          <cell r="E623">
            <v>2</v>
          </cell>
          <cell r="F623">
            <v>3</v>
          </cell>
          <cell r="G623" t="str">
            <v>RUCKCP</v>
          </cell>
          <cell r="H623" t="str">
            <v>Fort Rucker CPFF</v>
          </cell>
          <cell r="I623" t="str">
            <v>MR</v>
          </cell>
          <cell r="J623" t="str">
            <v>MR Warfighter Support</v>
          </cell>
          <cell r="K623" t="str">
            <v>Army</v>
          </cell>
          <cell r="L623" t="str">
            <v>DOD</v>
          </cell>
          <cell r="M623" t="str">
            <v>AL</v>
          </cell>
          <cell r="N623" t="str">
            <v>CONUS</v>
          </cell>
          <cell r="O623">
            <v>42278</v>
          </cell>
          <cell r="P623">
            <v>43109</v>
          </cell>
          <cell r="Q623" t="str">
            <v>Other</v>
          </cell>
          <cell r="R623" t="str">
            <v>CPFF</v>
          </cell>
          <cell r="S623">
            <v>0</v>
          </cell>
          <cell r="T623">
            <v>1</v>
          </cell>
          <cell r="U623" t="str">
            <v>CONTRACT</v>
          </cell>
          <cell r="V623" t="str">
            <v>Base</v>
          </cell>
          <cell r="W623" t="str">
            <v>05 Won</v>
          </cell>
          <cell r="X623" t="str">
            <v>Active</v>
          </cell>
          <cell r="Y623">
            <v>1</v>
          </cell>
          <cell r="Z623">
            <v>0</v>
          </cell>
          <cell r="AA623">
            <v>1334751.9000000036</v>
          </cell>
          <cell r="AB623">
            <v>0</v>
          </cell>
          <cell r="AC623">
            <v>0</v>
          </cell>
          <cell r="AD623">
            <v>1334751.9000000036</v>
          </cell>
          <cell r="AL623">
            <v>0.12549481612200131</v>
          </cell>
          <cell r="AM623">
            <v>0.12207357877431381</v>
          </cell>
          <cell r="AN623">
            <v>0.11410918738031614</v>
          </cell>
          <cell r="AO623">
            <v>0.97036595637401157</v>
          </cell>
          <cell r="AP623">
            <v>0.1226785750869495</v>
          </cell>
          <cell r="AQ623">
            <v>0.1226785750869495</v>
          </cell>
          <cell r="AR623">
            <v>0.1226785750869495</v>
          </cell>
          <cell r="AS623">
            <v>0.1226785750869495</v>
          </cell>
          <cell r="BF623">
            <v>6553674.6100000013</v>
          </cell>
          <cell r="BG623">
            <v>6580407.9700000016</v>
          </cell>
          <cell r="BH623">
            <v>1504427.2499999995</v>
          </cell>
          <cell r="BI623">
            <v>-1550.5399999999997</v>
          </cell>
          <cell r="BJ623">
            <v>-70143.03</v>
          </cell>
          <cell r="BK623">
            <v>0</v>
          </cell>
          <cell r="BL623">
            <v>70000</v>
          </cell>
          <cell r="BM623">
            <v>-1693.5699999999924</v>
          </cell>
          <cell r="BN623">
            <v>0</v>
          </cell>
          <cell r="BO623">
            <v>0</v>
          </cell>
          <cell r="BP623">
            <v>0</v>
          </cell>
          <cell r="BQ623">
            <v>0</v>
          </cell>
          <cell r="BR623">
            <v>-1693.5699999999924</v>
          </cell>
          <cell r="BT623">
            <v>0</v>
          </cell>
          <cell r="CA623" t="str">
            <v>RUCKCP - CONTRACT - Base</v>
          </cell>
          <cell r="CC623" t="str">
            <v>RUCKCP - CONTRACT - Base - MR</v>
          </cell>
          <cell r="CD623" t="str">
            <v/>
          </cell>
          <cell r="CF623" t="str">
            <v>RUCKCP - Base - MR</v>
          </cell>
        </row>
        <row r="624">
          <cell r="D624">
            <v>610</v>
          </cell>
          <cell r="E624">
            <v>2</v>
          </cell>
          <cell r="F624">
            <v>4</v>
          </cell>
          <cell r="G624" t="str">
            <v>RUCKCP</v>
          </cell>
          <cell r="H624" t="str">
            <v>Fort Rucker CPFF</v>
          </cell>
          <cell r="I624" t="str">
            <v>MR</v>
          </cell>
          <cell r="J624" t="str">
            <v>MR Warfighter Support</v>
          </cell>
          <cell r="K624" t="str">
            <v>Army</v>
          </cell>
          <cell r="L624" t="str">
            <v>DOD</v>
          </cell>
          <cell r="M624" t="str">
            <v>AL</v>
          </cell>
          <cell r="N624" t="str">
            <v>CONUS</v>
          </cell>
          <cell r="O624">
            <v>0</v>
          </cell>
          <cell r="P624">
            <v>0</v>
          </cell>
          <cell r="Q624">
            <v>0</v>
          </cell>
          <cell r="R624" t="str">
            <v>CPFF</v>
          </cell>
          <cell r="S624">
            <v>0</v>
          </cell>
          <cell r="T624">
            <v>1</v>
          </cell>
          <cell r="U624" t="str">
            <v>CONTRACT</v>
          </cell>
          <cell r="V624" t="str">
            <v>Identified - Recompete</v>
          </cell>
          <cell r="W624">
            <v>0</v>
          </cell>
          <cell r="X624">
            <v>0</v>
          </cell>
          <cell r="Y624">
            <v>0</v>
          </cell>
          <cell r="Z624">
            <v>0</v>
          </cell>
          <cell r="AA624">
            <v>0</v>
          </cell>
          <cell r="AB624">
            <v>0</v>
          </cell>
          <cell r="AC624">
            <v>0</v>
          </cell>
          <cell r="AD624">
            <v>0</v>
          </cell>
          <cell r="AP624">
            <v>0</v>
          </cell>
          <cell r="AQ624">
            <v>0</v>
          </cell>
          <cell r="AR624">
            <v>0</v>
          </cell>
          <cell r="AS624">
            <v>0</v>
          </cell>
          <cell r="BI624">
            <v>0</v>
          </cell>
          <cell r="BJ624">
            <v>0</v>
          </cell>
          <cell r="BK624">
            <v>0</v>
          </cell>
          <cell r="BL624">
            <v>0</v>
          </cell>
          <cell r="BM624">
            <v>0</v>
          </cell>
          <cell r="BN624">
            <v>0</v>
          </cell>
          <cell r="BO624">
            <v>0</v>
          </cell>
          <cell r="BP624">
            <v>0</v>
          </cell>
          <cell r="BQ624">
            <v>0</v>
          </cell>
          <cell r="BR624">
            <v>0</v>
          </cell>
          <cell r="BT624">
            <v>0</v>
          </cell>
          <cell r="CA624" t="str">
            <v>RUCKCP - CONTRACT - Identified - Recompete</v>
          </cell>
          <cell r="CC624" t="str">
            <v>RUCKCP - CONTRACT - Identified - Recompete - MR</v>
          </cell>
          <cell r="CD624" t="str">
            <v/>
          </cell>
          <cell r="CF624" t="str">
            <v>RUCKCP - Identified - Recompete - MR</v>
          </cell>
        </row>
        <row r="625">
          <cell r="D625">
            <v>611</v>
          </cell>
          <cell r="E625">
            <v>0</v>
          </cell>
          <cell r="F625">
            <v>5</v>
          </cell>
          <cell r="G625" t="str">
            <v>RUCKCP</v>
          </cell>
          <cell r="H625" t="str">
            <v>Fort Rucker CPFF</v>
          </cell>
          <cell r="I625" t="str">
            <v>MR</v>
          </cell>
          <cell r="J625" t="str">
            <v>MR Warfighter Support</v>
          </cell>
          <cell r="K625" t="str">
            <v>Army</v>
          </cell>
          <cell r="L625" t="str">
            <v>DOD</v>
          </cell>
          <cell r="M625" t="str">
            <v>AL</v>
          </cell>
          <cell r="N625" t="str">
            <v>CONUS</v>
          </cell>
          <cell r="O625">
            <v>42278</v>
          </cell>
          <cell r="P625">
            <v>43109</v>
          </cell>
          <cell r="Q625" t="str">
            <v>Other</v>
          </cell>
          <cell r="R625" t="str">
            <v>CPFF</v>
          </cell>
          <cell r="S625">
            <v>0</v>
          </cell>
          <cell r="T625">
            <v>1</v>
          </cell>
          <cell r="U625" t="str">
            <v>EBITA</v>
          </cell>
          <cell r="V625" t="str">
            <v>Base</v>
          </cell>
          <cell r="W625" t="str">
            <v>05 Won</v>
          </cell>
          <cell r="X625" t="str">
            <v>Active</v>
          </cell>
          <cell r="Y625">
            <v>1</v>
          </cell>
          <cell r="Z625">
            <v>0</v>
          </cell>
          <cell r="AA625">
            <v>1334751.9000000036</v>
          </cell>
          <cell r="AB625">
            <v>0</v>
          </cell>
          <cell r="AC625">
            <v>0</v>
          </cell>
          <cell r="AD625">
            <v>1334751.9000000036</v>
          </cell>
          <cell r="AT625">
            <v>3.9028746616456174E-2</v>
          </cell>
          <cell r="AU625">
            <v>4.3980793189288298E-2</v>
          </cell>
          <cell r="AV625">
            <v>4.4334659060765134E-2</v>
          </cell>
          <cell r="AW625">
            <v>0.9679652092202421</v>
          </cell>
          <cell r="AX625">
            <v>4.1838846151953553E-2</v>
          </cell>
          <cell r="AY625">
            <v>4.1838846151953553E-2</v>
          </cell>
          <cell r="AZ625">
            <v>4.1838846151953553E-2</v>
          </cell>
          <cell r="BA625">
            <v>4.1838846151953553E-2</v>
          </cell>
          <cell r="BF625">
            <v>2038185.4300000009</v>
          </cell>
          <cell r="BG625">
            <v>2370796.080000001</v>
          </cell>
          <cell r="BH625">
            <v>584512.69999999949</v>
          </cell>
          <cell r="BI625">
            <v>-1399.0399999999997</v>
          </cell>
          <cell r="BJ625">
            <v>-70290.34</v>
          </cell>
          <cell r="BK625">
            <v>0</v>
          </cell>
          <cell r="BL625">
            <v>70000</v>
          </cell>
          <cell r="BM625">
            <v>-1689.3799999999901</v>
          </cell>
          <cell r="BN625">
            <v>0</v>
          </cell>
          <cell r="BO625">
            <v>0</v>
          </cell>
          <cell r="BP625">
            <v>0</v>
          </cell>
          <cell r="BQ625">
            <v>0</v>
          </cell>
          <cell r="BR625">
            <v>-1689.3799999999901</v>
          </cell>
          <cell r="BT625">
            <v>0</v>
          </cell>
          <cell r="CA625" t="str">
            <v>RUCKCP - EBITA - Base</v>
          </cell>
          <cell r="CC625" t="str">
            <v>RUCKCP - EBITA - Base - MR</v>
          </cell>
          <cell r="CD625" t="str">
            <v/>
          </cell>
          <cell r="CF625" t="str">
            <v>RUCKCP - Base - MR</v>
          </cell>
        </row>
        <row r="626">
          <cell r="D626">
            <v>612</v>
          </cell>
          <cell r="E626">
            <v>0</v>
          </cell>
          <cell r="F626">
            <v>0</v>
          </cell>
          <cell r="G626" t="str">
            <v>RUCKCP</v>
          </cell>
          <cell r="H626" t="str">
            <v>Fort Rucker CPFF</v>
          </cell>
          <cell r="I626" t="str">
            <v>MR</v>
          </cell>
          <cell r="J626" t="str">
            <v>MR Warfighter Support</v>
          </cell>
          <cell r="K626" t="str">
            <v>Army</v>
          </cell>
          <cell r="L626" t="str">
            <v>DOD</v>
          </cell>
          <cell r="M626" t="str">
            <v>AL</v>
          </cell>
          <cell r="N626" t="str">
            <v>CONUS</v>
          </cell>
          <cell r="O626">
            <v>0</v>
          </cell>
          <cell r="P626">
            <v>0</v>
          </cell>
          <cell r="Q626">
            <v>0</v>
          </cell>
          <cell r="R626" t="str">
            <v>CPFF</v>
          </cell>
          <cell r="S626">
            <v>0</v>
          </cell>
          <cell r="T626">
            <v>1</v>
          </cell>
          <cell r="U626" t="str">
            <v>EBITA</v>
          </cell>
          <cell r="V626" t="str">
            <v>Identified - Recompete</v>
          </cell>
          <cell r="W626">
            <v>0</v>
          </cell>
          <cell r="X626">
            <v>0</v>
          </cell>
          <cell r="Y626">
            <v>0</v>
          </cell>
          <cell r="Z626">
            <v>0</v>
          </cell>
          <cell r="AA626">
            <v>0</v>
          </cell>
          <cell r="AB626">
            <v>0</v>
          </cell>
          <cell r="AC626">
            <v>0</v>
          </cell>
          <cell r="AD626">
            <v>0</v>
          </cell>
          <cell r="AX626">
            <v>0</v>
          </cell>
          <cell r="AY626">
            <v>0</v>
          </cell>
          <cell r="AZ626">
            <v>0</v>
          </cell>
          <cell r="BA626">
            <v>0</v>
          </cell>
          <cell r="BI626">
            <v>0</v>
          </cell>
          <cell r="BJ626">
            <v>0</v>
          </cell>
          <cell r="BK626">
            <v>0</v>
          </cell>
          <cell r="BL626">
            <v>0</v>
          </cell>
          <cell r="BM626">
            <v>0</v>
          </cell>
          <cell r="BN626">
            <v>0</v>
          </cell>
          <cell r="BO626">
            <v>0</v>
          </cell>
          <cell r="BP626">
            <v>0</v>
          </cell>
          <cell r="BQ626">
            <v>0</v>
          </cell>
          <cell r="BR626">
            <v>0</v>
          </cell>
          <cell r="BT626">
            <v>0</v>
          </cell>
          <cell r="CA626" t="str">
            <v>RUCKCP - EBITA - Identified - Recompete</v>
          </cell>
          <cell r="CC626" t="str">
            <v>RUCKCP - EBITA - Identified - Recompete - MR</v>
          </cell>
          <cell r="CD626" t="str">
            <v/>
          </cell>
          <cell r="CF626" t="str">
            <v>RUCKCP - Identified - Recompete - MR</v>
          </cell>
        </row>
        <row r="627">
          <cell r="D627">
            <v>613</v>
          </cell>
          <cell r="E627">
            <v>1</v>
          </cell>
          <cell r="F627">
            <v>1</v>
          </cell>
          <cell r="G627" t="str">
            <v>JPARCX</v>
          </cell>
          <cell r="H627" t="str">
            <v>Joint Pacific Alaska Range Complex</v>
          </cell>
          <cell r="I627" t="str">
            <v>MR</v>
          </cell>
          <cell r="J627" t="str">
            <v>MR Warfighter Support</v>
          </cell>
          <cell r="K627" t="str">
            <v>Air Force</v>
          </cell>
          <cell r="L627" t="str">
            <v>DOD</v>
          </cell>
          <cell r="M627" t="str">
            <v>AK</v>
          </cell>
          <cell r="N627" t="str">
            <v>CONUS</v>
          </cell>
          <cell r="O627">
            <v>41530</v>
          </cell>
          <cell r="P627">
            <v>43343</v>
          </cell>
          <cell r="Q627" t="str">
            <v>Other</v>
          </cell>
          <cell r="R627" t="str">
            <v>CPFF</v>
          </cell>
          <cell r="S627">
            <v>0</v>
          </cell>
          <cell r="T627">
            <v>1</v>
          </cell>
          <cell r="U627" t="str">
            <v>REVTOT</v>
          </cell>
          <cell r="V627" t="str">
            <v>Base</v>
          </cell>
          <cell r="W627" t="str">
            <v>05 Won</v>
          </cell>
          <cell r="X627" t="str">
            <v>Active</v>
          </cell>
          <cell r="Y627">
            <v>1</v>
          </cell>
          <cell r="Z627">
            <v>0</v>
          </cell>
          <cell r="AA627">
            <v>23079.800000000047</v>
          </cell>
          <cell r="AB627">
            <v>0.31999999994877726</v>
          </cell>
          <cell r="AC627">
            <v>0</v>
          </cell>
          <cell r="AD627">
            <v>23080.119999999995</v>
          </cell>
          <cell r="AE627">
            <v>0.16527816721235</v>
          </cell>
          <cell r="AF627">
            <v>-0.17648906033877187</v>
          </cell>
          <cell r="AG627">
            <v>-1</v>
          </cell>
          <cell r="AH627">
            <v>0</v>
          </cell>
          <cell r="AI627">
            <v>0</v>
          </cell>
          <cell r="AJ627">
            <v>0</v>
          </cell>
          <cell r="AK627">
            <v>0</v>
          </cell>
          <cell r="BB627">
            <v>0</v>
          </cell>
          <cell r="BC627">
            <v>0</v>
          </cell>
          <cell r="BD627">
            <v>0</v>
          </cell>
          <cell r="BE627">
            <v>0</v>
          </cell>
          <cell r="BF627">
            <v>297190.13</v>
          </cell>
          <cell r="BG627">
            <v>346309.17000000004</v>
          </cell>
          <cell r="BH627">
            <v>285189.39</v>
          </cell>
          <cell r="BI627">
            <v>0</v>
          </cell>
          <cell r="BJ627">
            <v>0</v>
          </cell>
          <cell r="BK627">
            <v>0</v>
          </cell>
          <cell r="BL627">
            <v>0</v>
          </cell>
          <cell r="BM627">
            <v>0</v>
          </cell>
          <cell r="BN627">
            <v>0</v>
          </cell>
          <cell r="BO627">
            <v>0</v>
          </cell>
          <cell r="BP627">
            <v>0</v>
          </cell>
          <cell r="BQ627">
            <v>0</v>
          </cell>
          <cell r="BR627">
            <v>0</v>
          </cell>
          <cell r="BT627">
            <v>0</v>
          </cell>
          <cell r="CA627" t="str">
            <v>JPARCX - REVTOT - Base</v>
          </cell>
          <cell r="CC627" t="str">
            <v>JPARCX - REVTOT - Base - MR</v>
          </cell>
          <cell r="CD627" t="str">
            <v>JPARCX - REVTOT - Base - MR</v>
          </cell>
          <cell r="CF627" t="str">
            <v>JPARCX - Base - MR</v>
          </cell>
        </row>
        <row r="628">
          <cell r="D628">
            <v>614</v>
          </cell>
          <cell r="E628">
            <v>1</v>
          </cell>
          <cell r="F628">
            <v>2</v>
          </cell>
          <cell r="G628" t="str">
            <v>JPARCX</v>
          </cell>
          <cell r="H628" t="str">
            <v>Joint Pacific Alaska Range Complex</v>
          </cell>
          <cell r="I628" t="str">
            <v>MR</v>
          </cell>
          <cell r="J628" t="str">
            <v>MR Warfighter Support</v>
          </cell>
          <cell r="K628" t="str">
            <v>Air Force</v>
          </cell>
          <cell r="L628" t="str">
            <v>DOD</v>
          </cell>
          <cell r="M628" t="str">
            <v>AK</v>
          </cell>
          <cell r="N628" t="str">
            <v>CONUS</v>
          </cell>
          <cell r="O628">
            <v>0</v>
          </cell>
          <cell r="P628">
            <v>0</v>
          </cell>
          <cell r="Q628">
            <v>0</v>
          </cell>
          <cell r="R628" t="str">
            <v>CPFF</v>
          </cell>
          <cell r="S628">
            <v>0</v>
          </cell>
          <cell r="T628">
            <v>1</v>
          </cell>
          <cell r="U628" t="str">
            <v>REVTOT</v>
          </cell>
          <cell r="V628" t="str">
            <v>Identified - Recompete</v>
          </cell>
          <cell r="W628">
            <v>0</v>
          </cell>
          <cell r="X628">
            <v>0</v>
          </cell>
          <cell r="Y628">
            <v>0</v>
          </cell>
          <cell r="Z628">
            <v>0</v>
          </cell>
          <cell r="AA628">
            <v>0</v>
          </cell>
          <cell r="AB628">
            <v>0</v>
          </cell>
          <cell r="AC628">
            <v>0</v>
          </cell>
          <cell r="AD628">
            <v>0</v>
          </cell>
          <cell r="AI628">
            <v>0</v>
          </cell>
          <cell r="AJ628">
            <v>0</v>
          </cell>
          <cell r="AK628">
            <v>0</v>
          </cell>
          <cell r="BB628">
            <v>0</v>
          </cell>
          <cell r="BC628">
            <v>0</v>
          </cell>
          <cell r="BD628">
            <v>0</v>
          </cell>
          <cell r="BE628">
            <v>0</v>
          </cell>
          <cell r="BI628">
            <v>0</v>
          </cell>
          <cell r="BJ628">
            <v>0</v>
          </cell>
          <cell r="BK628">
            <v>0</v>
          </cell>
          <cell r="BL628">
            <v>0</v>
          </cell>
          <cell r="BM628">
            <v>0</v>
          </cell>
          <cell r="BN628">
            <v>0</v>
          </cell>
          <cell r="BO628">
            <v>0</v>
          </cell>
          <cell r="BP628">
            <v>0</v>
          </cell>
          <cell r="BQ628">
            <v>0</v>
          </cell>
          <cell r="BR628">
            <v>0</v>
          </cell>
          <cell r="BT628">
            <v>0</v>
          </cell>
          <cell r="CA628" t="str">
            <v>JPARCX - REVTOT - Identified - Recompete</v>
          </cell>
          <cell r="CC628" t="str">
            <v>JPARCX - REVTOT - Identified - Recompete - MR</v>
          </cell>
          <cell r="CD628" t="str">
            <v/>
          </cell>
          <cell r="CF628" t="str">
            <v>JPARCX - Identified - Recompete - MR</v>
          </cell>
        </row>
        <row r="629">
          <cell r="D629">
            <v>615</v>
          </cell>
          <cell r="E629">
            <v>2</v>
          </cell>
          <cell r="F629">
            <v>3</v>
          </cell>
          <cell r="G629" t="str">
            <v>JPARCX</v>
          </cell>
          <cell r="H629" t="str">
            <v>Joint Pacific Alaska Range Complex</v>
          </cell>
          <cell r="I629" t="str">
            <v>MR</v>
          </cell>
          <cell r="J629" t="str">
            <v>MR Warfighter Support</v>
          </cell>
          <cell r="K629" t="str">
            <v>Air Force</v>
          </cell>
          <cell r="L629" t="str">
            <v>DOD</v>
          </cell>
          <cell r="M629" t="str">
            <v>AK</v>
          </cell>
          <cell r="N629" t="str">
            <v>CONUS</v>
          </cell>
          <cell r="O629">
            <v>41530</v>
          </cell>
          <cell r="P629">
            <v>43343</v>
          </cell>
          <cell r="Q629" t="str">
            <v>Other</v>
          </cell>
          <cell r="R629" t="str">
            <v>CPFF</v>
          </cell>
          <cell r="S629">
            <v>0</v>
          </cell>
          <cell r="T629">
            <v>1</v>
          </cell>
          <cell r="U629" t="str">
            <v>CONTRACT</v>
          </cell>
          <cell r="V629" t="str">
            <v>Base</v>
          </cell>
          <cell r="W629" t="str">
            <v>05 Won</v>
          </cell>
          <cell r="X629" t="str">
            <v>Active</v>
          </cell>
          <cell r="Y629">
            <v>1</v>
          </cell>
          <cell r="Z629">
            <v>0</v>
          </cell>
          <cell r="AA629">
            <v>23079.800000000047</v>
          </cell>
          <cell r="AB629">
            <v>0.31999999994877726</v>
          </cell>
          <cell r="AC629">
            <v>0</v>
          </cell>
          <cell r="AD629">
            <v>23080.119999999995</v>
          </cell>
          <cell r="AL629">
            <v>0.10582743780892051</v>
          </cell>
          <cell r="AM629">
            <v>0.16619678306525931</v>
          </cell>
          <cell r="AN629">
            <v>7.3702566564625677E-2</v>
          </cell>
          <cell r="AO629">
            <v>0</v>
          </cell>
          <cell r="AP629">
            <v>8.7401807380684302E-2</v>
          </cell>
          <cell r="AQ629">
            <v>8.7401807380684302E-2</v>
          </cell>
          <cell r="AR629">
            <v>8.7401807380684302E-2</v>
          </cell>
          <cell r="AS629">
            <v>8.7401807380684302E-2</v>
          </cell>
          <cell r="BF629">
            <v>31450.870000000003</v>
          </cell>
          <cell r="BG629">
            <v>57555.470000000016</v>
          </cell>
          <cell r="BH629">
            <v>21019.189999999995</v>
          </cell>
          <cell r="BI629">
            <v>-28856.46</v>
          </cell>
          <cell r="BJ629">
            <v>0</v>
          </cell>
          <cell r="BK629">
            <v>0</v>
          </cell>
          <cell r="BL629">
            <v>0</v>
          </cell>
          <cell r="BM629">
            <v>-28856.46</v>
          </cell>
          <cell r="BN629">
            <v>0</v>
          </cell>
          <cell r="BO629">
            <v>0</v>
          </cell>
          <cell r="BP629">
            <v>0</v>
          </cell>
          <cell r="BQ629">
            <v>0</v>
          </cell>
          <cell r="BR629">
            <v>-28856.46</v>
          </cell>
          <cell r="BT629">
            <v>0</v>
          </cell>
          <cell r="CA629" t="str">
            <v>JPARCX - CONTRACT - Base</v>
          </cell>
          <cell r="CC629" t="str">
            <v>JPARCX - CONTRACT - Base - MR</v>
          </cell>
          <cell r="CD629" t="str">
            <v/>
          </cell>
          <cell r="CF629" t="str">
            <v>JPARCX - Base - MR</v>
          </cell>
        </row>
        <row r="630">
          <cell r="D630">
            <v>616</v>
          </cell>
          <cell r="E630">
            <v>2</v>
          </cell>
          <cell r="F630">
            <v>4</v>
          </cell>
          <cell r="G630" t="str">
            <v>JPARCX</v>
          </cell>
          <cell r="H630" t="str">
            <v>Joint Pacific Alaska Range Complex</v>
          </cell>
          <cell r="I630" t="str">
            <v>MR</v>
          </cell>
          <cell r="J630" t="str">
            <v>MR Warfighter Support</v>
          </cell>
          <cell r="K630" t="str">
            <v>Air Force</v>
          </cell>
          <cell r="L630" t="str">
            <v>DOD</v>
          </cell>
          <cell r="M630" t="str">
            <v>AK</v>
          </cell>
          <cell r="N630" t="str">
            <v>CONUS</v>
          </cell>
          <cell r="O630">
            <v>0</v>
          </cell>
          <cell r="P630">
            <v>0</v>
          </cell>
          <cell r="Q630">
            <v>0</v>
          </cell>
          <cell r="R630" t="str">
            <v>CPFF</v>
          </cell>
          <cell r="S630">
            <v>0</v>
          </cell>
          <cell r="T630">
            <v>1</v>
          </cell>
          <cell r="U630" t="str">
            <v>CONTRACT</v>
          </cell>
          <cell r="V630" t="str">
            <v>Identified - Recompete</v>
          </cell>
          <cell r="W630">
            <v>0</v>
          </cell>
          <cell r="X630">
            <v>0</v>
          </cell>
          <cell r="Y630">
            <v>0</v>
          </cell>
          <cell r="Z630">
            <v>0</v>
          </cell>
          <cell r="AA630">
            <v>0</v>
          </cell>
          <cell r="AB630">
            <v>0</v>
          </cell>
          <cell r="AC630">
            <v>0</v>
          </cell>
          <cell r="AD630">
            <v>0</v>
          </cell>
          <cell r="AP630">
            <v>0</v>
          </cell>
          <cell r="AQ630">
            <v>0</v>
          </cell>
          <cell r="AR630">
            <v>0</v>
          </cell>
          <cell r="AS630">
            <v>0</v>
          </cell>
          <cell r="BI630">
            <v>0</v>
          </cell>
          <cell r="BJ630">
            <v>0</v>
          </cell>
          <cell r="BK630">
            <v>0</v>
          </cell>
          <cell r="BL630">
            <v>0</v>
          </cell>
          <cell r="BM630">
            <v>0</v>
          </cell>
          <cell r="BN630">
            <v>0</v>
          </cell>
          <cell r="BO630">
            <v>0</v>
          </cell>
          <cell r="BP630">
            <v>0</v>
          </cell>
          <cell r="BQ630">
            <v>0</v>
          </cell>
          <cell r="BR630">
            <v>0</v>
          </cell>
          <cell r="BT630">
            <v>0</v>
          </cell>
          <cell r="CA630" t="str">
            <v>JPARCX - CONTRACT - Identified - Recompete</v>
          </cell>
          <cell r="CC630" t="str">
            <v>JPARCX - CONTRACT - Identified - Recompete - MR</v>
          </cell>
          <cell r="CD630" t="str">
            <v/>
          </cell>
          <cell r="CF630" t="str">
            <v>JPARCX - Identified - Recompete - MR</v>
          </cell>
        </row>
        <row r="631">
          <cell r="D631">
            <v>617</v>
          </cell>
          <cell r="E631">
            <v>0</v>
          </cell>
          <cell r="F631">
            <v>5</v>
          </cell>
          <cell r="G631" t="str">
            <v>JPARCX</v>
          </cell>
          <cell r="H631" t="str">
            <v>Joint Pacific Alaska Range Complex</v>
          </cell>
          <cell r="I631" t="str">
            <v>MR</v>
          </cell>
          <cell r="J631" t="str">
            <v>MR Warfighter Support</v>
          </cell>
          <cell r="K631" t="str">
            <v>Air Force</v>
          </cell>
          <cell r="L631" t="str">
            <v>DOD</v>
          </cell>
          <cell r="M631" t="str">
            <v>AK</v>
          </cell>
          <cell r="N631" t="str">
            <v>CONUS</v>
          </cell>
          <cell r="O631">
            <v>41530</v>
          </cell>
          <cell r="P631">
            <v>43343</v>
          </cell>
          <cell r="Q631" t="str">
            <v>Other</v>
          </cell>
          <cell r="R631" t="str">
            <v>CPFF</v>
          </cell>
          <cell r="S631">
            <v>0</v>
          </cell>
          <cell r="T631">
            <v>1</v>
          </cell>
          <cell r="U631" t="str">
            <v>EBITA</v>
          </cell>
          <cell r="V631" t="str">
            <v>Base</v>
          </cell>
          <cell r="W631" t="str">
            <v>05 Won</v>
          </cell>
          <cell r="X631" t="str">
            <v>Active</v>
          </cell>
          <cell r="Y631">
            <v>1</v>
          </cell>
          <cell r="Z631">
            <v>0</v>
          </cell>
          <cell r="AA631">
            <v>23079.800000000047</v>
          </cell>
          <cell r="AB631">
            <v>0.31999999994877726</v>
          </cell>
          <cell r="AC631">
            <v>0</v>
          </cell>
          <cell r="AD631">
            <v>23080.119999999995</v>
          </cell>
          <cell r="AT631">
            <v>2.6015736121519247E-2</v>
          </cell>
          <cell r="AU631">
            <v>9.4022604137222257E-2</v>
          </cell>
          <cell r="AV631">
            <v>1.4410073249919832E-3</v>
          </cell>
          <cell r="AW631">
            <v>0</v>
          </cell>
          <cell r="AX631">
            <v>1.0262814765193281E-2</v>
          </cell>
          <cell r="AY631">
            <v>1.0262814765193281E-2</v>
          </cell>
          <cell r="AZ631">
            <v>1.0262814765193281E-2</v>
          </cell>
          <cell r="BA631">
            <v>1.0262814765193281E-2</v>
          </cell>
          <cell r="BF631">
            <v>7731.6200000000008</v>
          </cell>
          <cell r="BG631">
            <v>32560.89000000001</v>
          </cell>
          <cell r="BH631">
            <v>410.95999999999549</v>
          </cell>
          <cell r="BI631">
            <v>-31231.799999999996</v>
          </cell>
          <cell r="BJ631">
            <v>59.29</v>
          </cell>
          <cell r="BK631">
            <v>0</v>
          </cell>
          <cell r="BL631">
            <v>0</v>
          </cell>
          <cell r="BM631">
            <v>-31172.509999999995</v>
          </cell>
          <cell r="BN631">
            <v>0</v>
          </cell>
          <cell r="BO631">
            <v>0</v>
          </cell>
          <cell r="BP631">
            <v>0</v>
          </cell>
          <cell r="BQ631">
            <v>0</v>
          </cell>
          <cell r="BR631">
            <v>-31172.509999999995</v>
          </cell>
          <cell r="BT631">
            <v>0</v>
          </cell>
          <cell r="CA631" t="str">
            <v>JPARCX - EBITA - Base</v>
          </cell>
          <cell r="CC631" t="str">
            <v>JPARCX - EBITA - Base - MR</v>
          </cell>
          <cell r="CD631" t="str">
            <v/>
          </cell>
          <cell r="CF631" t="str">
            <v>JPARCX - Base - MR</v>
          </cell>
        </row>
        <row r="632">
          <cell r="D632">
            <v>618</v>
          </cell>
          <cell r="E632">
            <v>0</v>
          </cell>
          <cell r="F632">
            <v>0</v>
          </cell>
          <cell r="G632" t="str">
            <v>JPARCX</v>
          </cell>
          <cell r="H632" t="str">
            <v>Joint Pacific Alaska Range Complex</v>
          </cell>
          <cell r="I632" t="str">
            <v>MR</v>
          </cell>
          <cell r="J632" t="str">
            <v>MR Warfighter Support</v>
          </cell>
          <cell r="K632" t="str">
            <v>Air Force</v>
          </cell>
          <cell r="L632" t="str">
            <v>DOD</v>
          </cell>
          <cell r="M632" t="str">
            <v>AK</v>
          </cell>
          <cell r="N632" t="str">
            <v>CONUS</v>
          </cell>
          <cell r="O632">
            <v>0</v>
          </cell>
          <cell r="P632">
            <v>0</v>
          </cell>
          <cell r="Q632">
            <v>0</v>
          </cell>
          <cell r="R632" t="str">
            <v>CPFF</v>
          </cell>
          <cell r="S632">
            <v>0</v>
          </cell>
          <cell r="T632">
            <v>1</v>
          </cell>
          <cell r="U632" t="str">
            <v>EBITA</v>
          </cell>
          <cell r="V632" t="str">
            <v>Identified - Recompete</v>
          </cell>
          <cell r="W632">
            <v>0</v>
          </cell>
          <cell r="X632">
            <v>0</v>
          </cell>
          <cell r="Y632">
            <v>0</v>
          </cell>
          <cell r="Z632">
            <v>0</v>
          </cell>
          <cell r="AA632">
            <v>0</v>
          </cell>
          <cell r="AB632">
            <v>0</v>
          </cell>
          <cell r="AC632">
            <v>0</v>
          </cell>
          <cell r="AD632">
            <v>0</v>
          </cell>
          <cell r="AX632">
            <v>0</v>
          </cell>
          <cell r="AY632">
            <v>0</v>
          </cell>
          <cell r="AZ632">
            <v>0</v>
          </cell>
          <cell r="BA632">
            <v>0</v>
          </cell>
          <cell r="BI632">
            <v>0</v>
          </cell>
          <cell r="BJ632">
            <v>0</v>
          </cell>
          <cell r="BK632">
            <v>0</v>
          </cell>
          <cell r="BL632">
            <v>0</v>
          </cell>
          <cell r="BM632">
            <v>0</v>
          </cell>
          <cell r="BN632">
            <v>0</v>
          </cell>
          <cell r="BO632">
            <v>0</v>
          </cell>
          <cell r="BP632">
            <v>0</v>
          </cell>
          <cell r="BQ632">
            <v>0</v>
          </cell>
          <cell r="BR632">
            <v>0</v>
          </cell>
          <cell r="BT632">
            <v>0</v>
          </cell>
          <cell r="CA632" t="str">
            <v>JPARCX - EBITA - Identified - Recompete</v>
          </cell>
          <cell r="CC632" t="str">
            <v>JPARCX - EBITA - Identified - Recompete - MR</v>
          </cell>
          <cell r="CD632" t="str">
            <v/>
          </cell>
          <cell r="CF632" t="str">
            <v>JPARCX - Identified - Recompete - MR</v>
          </cell>
        </row>
        <row r="633">
          <cell r="D633">
            <v>619</v>
          </cell>
          <cell r="E633">
            <v>1</v>
          </cell>
          <cell r="F633">
            <v>1</v>
          </cell>
          <cell r="G633" t="str">
            <v>RRFMTV</v>
          </cell>
          <cell r="H633" t="str">
            <v>FMTV Reset at Red River Army Depot</v>
          </cell>
          <cell r="I633" t="str">
            <v>MR</v>
          </cell>
          <cell r="J633" t="str">
            <v>MR Logistics &amp; Supply</v>
          </cell>
          <cell r="K633" t="str">
            <v>Army</v>
          </cell>
          <cell r="L633" t="str">
            <v>DOD</v>
          </cell>
          <cell r="M633" t="str">
            <v>TX</v>
          </cell>
          <cell r="N633" t="str">
            <v>CONUS</v>
          </cell>
          <cell r="O633">
            <v>40960</v>
          </cell>
          <cell r="P633">
            <v>42603</v>
          </cell>
          <cell r="Q633" t="str">
            <v>Sub</v>
          </cell>
          <cell r="R633" t="str">
            <v>CPNF</v>
          </cell>
          <cell r="S633">
            <v>0</v>
          </cell>
          <cell r="T633">
            <v>1</v>
          </cell>
          <cell r="U633" t="str">
            <v>REVTOT</v>
          </cell>
          <cell r="V633" t="str">
            <v>Base</v>
          </cell>
          <cell r="W633" t="str">
            <v>05 Won</v>
          </cell>
          <cell r="X633" t="str">
            <v>Active</v>
          </cell>
          <cell r="Y633">
            <v>1</v>
          </cell>
          <cell r="Z633">
            <v>0</v>
          </cell>
          <cell r="AA633">
            <v>6490.11</v>
          </cell>
          <cell r="AB633">
            <v>0</v>
          </cell>
          <cell r="AC633">
            <v>0</v>
          </cell>
          <cell r="AD633">
            <v>6490.11</v>
          </cell>
          <cell r="AE633">
            <v>-0.94513665570670691</v>
          </cell>
          <cell r="AF633">
            <v>-0.78061718684651393</v>
          </cell>
          <cell r="AG633">
            <v>-1.5199086117037177</v>
          </cell>
          <cell r="AH633">
            <v>-1</v>
          </cell>
          <cell r="AI633">
            <v>0</v>
          </cell>
          <cell r="AJ633">
            <v>0</v>
          </cell>
          <cell r="AK633">
            <v>0</v>
          </cell>
          <cell r="BB633">
            <v>0</v>
          </cell>
          <cell r="BC633">
            <v>0</v>
          </cell>
          <cell r="BD633">
            <v>0</v>
          </cell>
          <cell r="BE633">
            <v>0</v>
          </cell>
          <cell r="BF633">
            <v>8949445.870000001</v>
          </cell>
          <cell r="BG633">
            <v>490996.53</v>
          </cell>
          <cell r="BH633">
            <v>107716.2</v>
          </cell>
          <cell r="BI633">
            <v>-49512.47</v>
          </cell>
          <cell r="BJ633">
            <v>0</v>
          </cell>
          <cell r="BK633">
            <v>-6490.11</v>
          </cell>
          <cell r="BL633">
            <v>0</v>
          </cell>
          <cell r="BM633">
            <v>-56002.58</v>
          </cell>
          <cell r="BN633">
            <v>0</v>
          </cell>
          <cell r="BO633">
            <v>0</v>
          </cell>
          <cell r="BP633">
            <v>0</v>
          </cell>
          <cell r="BQ633">
            <v>0</v>
          </cell>
          <cell r="BR633">
            <v>-56002.58</v>
          </cell>
          <cell r="BT633">
            <v>0</v>
          </cell>
          <cell r="CA633" t="str">
            <v>RRFMTV - REVTOT - Base</v>
          </cell>
          <cell r="CC633" t="str">
            <v>RRFMTV - REVTOT - Base - MR</v>
          </cell>
          <cell r="CD633" t="str">
            <v>RRFMTV - REVTOT - Base - MR</v>
          </cell>
          <cell r="CF633" t="str">
            <v>RRFMTV - Base - MR</v>
          </cell>
        </row>
        <row r="634">
          <cell r="D634">
            <v>620</v>
          </cell>
          <cell r="E634">
            <v>1</v>
          </cell>
          <cell r="F634">
            <v>2</v>
          </cell>
          <cell r="G634" t="str">
            <v>RRFMTV</v>
          </cell>
          <cell r="H634" t="str">
            <v>FMTV Reset at Red River Army Depot</v>
          </cell>
          <cell r="I634" t="str">
            <v>MR</v>
          </cell>
          <cell r="J634" t="str">
            <v>MR Logistics &amp; Supply</v>
          </cell>
          <cell r="K634" t="str">
            <v>Army</v>
          </cell>
          <cell r="L634" t="str">
            <v>DOD</v>
          </cell>
          <cell r="M634" t="str">
            <v>TX</v>
          </cell>
          <cell r="N634" t="str">
            <v>CONUS</v>
          </cell>
          <cell r="O634">
            <v>0</v>
          </cell>
          <cell r="P634">
            <v>0</v>
          </cell>
          <cell r="Q634">
            <v>0</v>
          </cell>
          <cell r="R634" t="str">
            <v>CPNF</v>
          </cell>
          <cell r="S634">
            <v>0</v>
          </cell>
          <cell r="T634">
            <v>1</v>
          </cell>
          <cell r="U634" t="str">
            <v>REVTOT</v>
          </cell>
          <cell r="V634" t="str">
            <v>Identified - Recompete</v>
          </cell>
          <cell r="W634">
            <v>0</v>
          </cell>
          <cell r="X634">
            <v>0</v>
          </cell>
          <cell r="Y634">
            <v>0</v>
          </cell>
          <cell r="Z634">
            <v>0</v>
          </cell>
          <cell r="AA634">
            <v>0</v>
          </cell>
          <cell r="AB634">
            <v>0</v>
          </cell>
          <cell r="AC634">
            <v>0</v>
          </cell>
          <cell r="AD634">
            <v>0</v>
          </cell>
          <cell r="AI634">
            <v>0</v>
          </cell>
          <cell r="AJ634">
            <v>0</v>
          </cell>
          <cell r="AK634">
            <v>0</v>
          </cell>
          <cell r="BB634">
            <v>0</v>
          </cell>
          <cell r="BC634">
            <v>0</v>
          </cell>
          <cell r="BD634">
            <v>0</v>
          </cell>
          <cell r="BE634">
            <v>0</v>
          </cell>
          <cell r="BI634">
            <v>0</v>
          </cell>
          <cell r="BJ634">
            <v>0</v>
          </cell>
          <cell r="BK634">
            <v>0</v>
          </cell>
          <cell r="BL634">
            <v>0</v>
          </cell>
          <cell r="BM634">
            <v>0</v>
          </cell>
          <cell r="BN634">
            <v>0</v>
          </cell>
          <cell r="BO634">
            <v>0</v>
          </cell>
          <cell r="BP634">
            <v>0</v>
          </cell>
          <cell r="BQ634">
            <v>0</v>
          </cell>
          <cell r="BR634">
            <v>0</v>
          </cell>
          <cell r="BT634">
            <v>0</v>
          </cell>
          <cell r="CA634" t="str">
            <v>RRFMTV - REVTOT - Identified - Recompete</v>
          </cell>
          <cell r="CC634" t="str">
            <v>RRFMTV - REVTOT - Identified - Recompete - MR</v>
          </cell>
          <cell r="CD634" t="str">
            <v/>
          </cell>
          <cell r="CF634" t="str">
            <v>RRFMTV - Identified - Recompete - MR</v>
          </cell>
        </row>
        <row r="635">
          <cell r="D635">
            <v>621</v>
          </cell>
          <cell r="E635">
            <v>2</v>
          </cell>
          <cell r="F635">
            <v>3</v>
          </cell>
          <cell r="G635" t="str">
            <v>RRFMTV</v>
          </cell>
          <cell r="H635" t="str">
            <v>FMTV Reset at Red River Army Depot</v>
          </cell>
          <cell r="I635" t="str">
            <v>MR</v>
          </cell>
          <cell r="J635" t="str">
            <v>MR Logistics &amp; Supply</v>
          </cell>
          <cell r="K635" t="str">
            <v>Army</v>
          </cell>
          <cell r="L635" t="str">
            <v>DOD</v>
          </cell>
          <cell r="M635" t="str">
            <v>TX</v>
          </cell>
          <cell r="N635" t="str">
            <v>CONUS</v>
          </cell>
          <cell r="O635">
            <v>40960</v>
          </cell>
          <cell r="P635">
            <v>42603</v>
          </cell>
          <cell r="Q635" t="str">
            <v>Sub</v>
          </cell>
          <cell r="R635" t="str">
            <v>CPNF</v>
          </cell>
          <cell r="S635">
            <v>0</v>
          </cell>
          <cell r="T635">
            <v>1</v>
          </cell>
          <cell r="U635" t="str">
            <v>CONTRACT</v>
          </cell>
          <cell r="V635" t="str">
            <v>Base</v>
          </cell>
          <cell r="W635" t="str">
            <v>05 Won</v>
          </cell>
          <cell r="X635" t="str">
            <v>Active</v>
          </cell>
          <cell r="Y635">
            <v>1</v>
          </cell>
          <cell r="Z635">
            <v>0</v>
          </cell>
          <cell r="AA635">
            <v>6490.11</v>
          </cell>
          <cell r="AB635">
            <v>0</v>
          </cell>
          <cell r="AC635">
            <v>0</v>
          </cell>
          <cell r="AD635">
            <v>6490.11</v>
          </cell>
          <cell r="AL635">
            <v>8.8614473065693825E-2</v>
          </cell>
          <cell r="AM635">
            <v>0.57770768766940161</v>
          </cell>
          <cell r="AN635">
            <v>0.98420664672537661</v>
          </cell>
          <cell r="AO635">
            <v>0.90872795503350023</v>
          </cell>
          <cell r="AP635">
            <v>0.11923811488298734</v>
          </cell>
          <cell r="AQ635">
            <v>0.11923811488298734</v>
          </cell>
          <cell r="AR635">
            <v>0.11923811488298734</v>
          </cell>
          <cell r="AS635">
            <v>0.11923811488298734</v>
          </cell>
          <cell r="BF635">
            <v>793050.42999999993</v>
          </cell>
          <cell r="BG635">
            <v>283652.46999999997</v>
          </cell>
          <cell r="BH635">
            <v>106015.00000000001</v>
          </cell>
          <cell r="BI635">
            <v>-49945.740000000005</v>
          </cell>
          <cell r="BJ635">
            <v>-234.23999999999998</v>
          </cell>
          <cell r="BK635">
            <v>-711.12999999999943</v>
          </cell>
          <cell r="BL635">
            <v>0</v>
          </cell>
          <cell r="BM635">
            <v>-50891.11</v>
          </cell>
          <cell r="BN635">
            <v>0</v>
          </cell>
          <cell r="BO635">
            <v>0</v>
          </cell>
          <cell r="BP635">
            <v>0</v>
          </cell>
          <cell r="BQ635">
            <v>0</v>
          </cell>
          <cell r="BR635">
            <v>-50891.11</v>
          </cell>
          <cell r="BT635">
            <v>0</v>
          </cell>
          <cell r="CA635" t="str">
            <v>RRFMTV - CONTRACT - Base</v>
          </cell>
          <cell r="CC635" t="str">
            <v>RRFMTV - CONTRACT - Base - MR</v>
          </cell>
          <cell r="CD635" t="str">
            <v/>
          </cell>
          <cell r="CF635" t="str">
            <v>RRFMTV - Base - MR</v>
          </cell>
        </row>
        <row r="636">
          <cell r="D636">
            <v>622</v>
          </cell>
          <cell r="E636">
            <v>2</v>
          </cell>
          <cell r="F636">
            <v>4</v>
          </cell>
          <cell r="G636" t="str">
            <v>RRFMTV</v>
          </cell>
          <cell r="H636" t="str">
            <v>FMTV Reset at Red River Army Depot</v>
          </cell>
          <cell r="I636" t="str">
            <v>MR</v>
          </cell>
          <cell r="J636" t="str">
            <v>MR Logistics &amp; Supply</v>
          </cell>
          <cell r="K636" t="str">
            <v>Army</v>
          </cell>
          <cell r="L636" t="str">
            <v>DOD</v>
          </cell>
          <cell r="M636" t="str">
            <v>TX</v>
          </cell>
          <cell r="N636" t="str">
            <v>CONUS</v>
          </cell>
          <cell r="O636">
            <v>0</v>
          </cell>
          <cell r="P636">
            <v>0</v>
          </cell>
          <cell r="Q636">
            <v>0</v>
          </cell>
          <cell r="R636" t="str">
            <v>CPNF</v>
          </cell>
          <cell r="S636">
            <v>0</v>
          </cell>
          <cell r="T636">
            <v>1</v>
          </cell>
          <cell r="U636" t="str">
            <v>CONTRACT</v>
          </cell>
          <cell r="V636" t="str">
            <v>Identified - Recompete</v>
          </cell>
          <cell r="W636">
            <v>0</v>
          </cell>
          <cell r="X636">
            <v>0</v>
          </cell>
          <cell r="Y636">
            <v>0</v>
          </cell>
          <cell r="Z636">
            <v>0</v>
          </cell>
          <cell r="AA636">
            <v>0</v>
          </cell>
          <cell r="AB636">
            <v>0</v>
          </cell>
          <cell r="AC636">
            <v>0</v>
          </cell>
          <cell r="AD636">
            <v>0</v>
          </cell>
          <cell r="AP636">
            <v>0</v>
          </cell>
          <cell r="AQ636">
            <v>0</v>
          </cell>
          <cell r="AR636">
            <v>0</v>
          </cell>
          <cell r="AS636">
            <v>0</v>
          </cell>
          <cell r="BI636">
            <v>0</v>
          </cell>
          <cell r="BJ636">
            <v>0</v>
          </cell>
          <cell r="BK636">
            <v>0</v>
          </cell>
          <cell r="BL636">
            <v>0</v>
          </cell>
          <cell r="BM636">
            <v>0</v>
          </cell>
          <cell r="BN636">
            <v>0</v>
          </cell>
          <cell r="BO636">
            <v>0</v>
          </cell>
          <cell r="BP636">
            <v>0</v>
          </cell>
          <cell r="BQ636">
            <v>0</v>
          </cell>
          <cell r="BR636">
            <v>0</v>
          </cell>
          <cell r="BT636">
            <v>0</v>
          </cell>
          <cell r="CA636" t="str">
            <v>RRFMTV - CONTRACT - Identified - Recompete</v>
          </cell>
          <cell r="CC636" t="str">
            <v>RRFMTV - CONTRACT - Identified - Recompete - MR</v>
          </cell>
          <cell r="CD636" t="str">
            <v/>
          </cell>
          <cell r="CF636" t="str">
            <v>RRFMTV - Identified - Recompete - MR</v>
          </cell>
        </row>
        <row r="637">
          <cell r="D637">
            <v>623</v>
          </cell>
          <cell r="E637">
            <v>0</v>
          </cell>
          <cell r="F637">
            <v>5</v>
          </cell>
          <cell r="G637" t="str">
            <v>RRFMTV</v>
          </cell>
          <cell r="H637" t="str">
            <v>FMTV Reset at Red River Army Depot</v>
          </cell>
          <cell r="I637" t="str">
            <v>MR</v>
          </cell>
          <cell r="J637" t="str">
            <v>MR Logistics &amp; Supply</v>
          </cell>
          <cell r="K637" t="str">
            <v>Army</v>
          </cell>
          <cell r="L637" t="str">
            <v>DOD</v>
          </cell>
          <cell r="M637" t="str">
            <v>TX</v>
          </cell>
          <cell r="N637" t="str">
            <v>CONUS</v>
          </cell>
          <cell r="O637">
            <v>40960</v>
          </cell>
          <cell r="P637">
            <v>42603</v>
          </cell>
          <cell r="Q637" t="str">
            <v>Sub</v>
          </cell>
          <cell r="R637" t="str">
            <v>CPNF</v>
          </cell>
          <cell r="S637">
            <v>0</v>
          </cell>
          <cell r="T637">
            <v>1</v>
          </cell>
          <cell r="U637" t="str">
            <v>EBITA</v>
          </cell>
          <cell r="V637" t="str">
            <v>Base</v>
          </cell>
          <cell r="W637" t="str">
            <v>05 Won</v>
          </cell>
          <cell r="X637" t="str">
            <v>Active</v>
          </cell>
          <cell r="Y637">
            <v>1</v>
          </cell>
          <cell r="Z637">
            <v>0</v>
          </cell>
          <cell r="AA637">
            <v>6490.11</v>
          </cell>
          <cell r="AB637">
            <v>0</v>
          </cell>
          <cell r="AC637">
            <v>0</v>
          </cell>
          <cell r="AD637">
            <v>6490.11</v>
          </cell>
          <cell r="AT637">
            <v>1.0677428679726739E-2</v>
          </cell>
          <cell r="AU637">
            <v>0.54474346285094932</v>
          </cell>
          <cell r="AV637">
            <v>0.98287741305393239</v>
          </cell>
          <cell r="AW637">
            <v>0.9007665361131576</v>
          </cell>
          <cell r="AX637">
            <v>4.4083850825705255E-2</v>
          </cell>
          <cell r="AY637">
            <v>4.4083850825705255E-2</v>
          </cell>
          <cell r="AZ637">
            <v>4.4083850825705255E-2</v>
          </cell>
          <cell r="BA637">
            <v>4.4083850825705255E-2</v>
          </cell>
          <cell r="BF637">
            <v>95557.070000000036</v>
          </cell>
          <cell r="BG637">
            <v>267467.15000000002</v>
          </cell>
          <cell r="BH637">
            <v>105871.81999999999</v>
          </cell>
          <cell r="BI637">
            <v>-49984.43</v>
          </cell>
          <cell r="BJ637">
            <v>-253.77</v>
          </cell>
          <cell r="BK637">
            <v>-207.04999999999933</v>
          </cell>
          <cell r="BL637">
            <v>0</v>
          </cell>
          <cell r="BM637">
            <v>-50445.25</v>
          </cell>
          <cell r="BN637">
            <v>0</v>
          </cell>
          <cell r="BO637">
            <v>0</v>
          </cell>
          <cell r="BP637">
            <v>0</v>
          </cell>
          <cell r="BQ637">
            <v>0</v>
          </cell>
          <cell r="BR637">
            <v>-50445.25</v>
          </cell>
          <cell r="BT637">
            <v>0</v>
          </cell>
          <cell r="CA637" t="str">
            <v>RRFMTV - EBITA - Base</v>
          </cell>
          <cell r="CC637" t="str">
            <v>RRFMTV - EBITA - Base - MR</v>
          </cell>
          <cell r="CD637" t="str">
            <v/>
          </cell>
          <cell r="CF637" t="str">
            <v>RRFMTV - Base - MR</v>
          </cell>
        </row>
        <row r="638">
          <cell r="D638">
            <v>624</v>
          </cell>
          <cell r="E638">
            <v>0</v>
          </cell>
          <cell r="F638">
            <v>0</v>
          </cell>
          <cell r="G638" t="str">
            <v>RRFMTV</v>
          </cell>
          <cell r="H638" t="str">
            <v>FMTV Reset at Red River Army Depot</v>
          </cell>
          <cell r="I638" t="str">
            <v>MR</v>
          </cell>
          <cell r="J638" t="str">
            <v>MR Logistics &amp; Supply</v>
          </cell>
          <cell r="K638" t="str">
            <v>Army</v>
          </cell>
          <cell r="L638" t="str">
            <v>DOD</v>
          </cell>
          <cell r="M638" t="str">
            <v>TX</v>
          </cell>
          <cell r="N638" t="str">
            <v>CONUS</v>
          </cell>
          <cell r="O638">
            <v>0</v>
          </cell>
          <cell r="P638">
            <v>0</v>
          </cell>
          <cell r="Q638">
            <v>0</v>
          </cell>
          <cell r="R638" t="str">
            <v>CPNF</v>
          </cell>
          <cell r="S638">
            <v>0</v>
          </cell>
          <cell r="T638">
            <v>1</v>
          </cell>
          <cell r="U638" t="str">
            <v>EBITA</v>
          </cell>
          <cell r="V638" t="str">
            <v>Identified - Recompete</v>
          </cell>
          <cell r="W638">
            <v>0</v>
          </cell>
          <cell r="X638">
            <v>0</v>
          </cell>
          <cell r="Y638">
            <v>0</v>
          </cell>
          <cell r="Z638">
            <v>0</v>
          </cell>
          <cell r="AA638">
            <v>0</v>
          </cell>
          <cell r="AB638">
            <v>0</v>
          </cell>
          <cell r="AC638">
            <v>0</v>
          </cell>
          <cell r="AD638">
            <v>0</v>
          </cell>
          <cell r="AX638">
            <v>0</v>
          </cell>
          <cell r="AY638">
            <v>0</v>
          </cell>
          <cell r="AZ638">
            <v>0</v>
          </cell>
          <cell r="BA638">
            <v>0</v>
          </cell>
          <cell r="BI638">
            <v>0</v>
          </cell>
          <cell r="BJ638">
            <v>0</v>
          </cell>
          <cell r="BK638">
            <v>0</v>
          </cell>
          <cell r="BL638">
            <v>0</v>
          </cell>
          <cell r="BM638">
            <v>0</v>
          </cell>
          <cell r="BN638">
            <v>0</v>
          </cell>
          <cell r="BO638">
            <v>0</v>
          </cell>
          <cell r="BP638">
            <v>0</v>
          </cell>
          <cell r="BQ638">
            <v>0</v>
          </cell>
          <cell r="BR638">
            <v>0</v>
          </cell>
          <cell r="BT638">
            <v>0</v>
          </cell>
          <cell r="CA638" t="str">
            <v>RRFMTV - EBITA - Identified - Recompete</v>
          </cell>
          <cell r="CC638" t="str">
            <v>RRFMTV - EBITA - Identified - Recompete - MR</v>
          </cell>
          <cell r="CD638" t="str">
            <v/>
          </cell>
          <cell r="CF638" t="str">
            <v>RRFMTV - Identified - Recompete - MR</v>
          </cell>
        </row>
        <row r="639">
          <cell r="D639">
            <v>625</v>
          </cell>
          <cell r="E639">
            <v>1</v>
          </cell>
          <cell r="F639">
            <v>1</v>
          </cell>
          <cell r="G639" t="str">
            <v>AFBOKO</v>
          </cell>
          <cell r="H639" t="str">
            <v>AFRICAP Counter Boko Haram</v>
          </cell>
          <cell r="I639" t="str">
            <v>MR</v>
          </cell>
          <cell r="J639" t="str">
            <v>MR Logistics &amp; Supply</v>
          </cell>
          <cell r="K639" t="str">
            <v>Dept. of State</v>
          </cell>
          <cell r="L639" t="str">
            <v>DOS</v>
          </cell>
          <cell r="M639" t="str">
            <v>Camerun</v>
          </cell>
          <cell r="N639" t="str">
            <v>OCONUS</v>
          </cell>
          <cell r="O639">
            <v>42277</v>
          </cell>
          <cell r="P639">
            <v>43372</v>
          </cell>
          <cell r="Q639" t="str">
            <v>JV</v>
          </cell>
          <cell r="R639" t="str">
            <v>CPFF</v>
          </cell>
          <cell r="S639">
            <v>0</v>
          </cell>
          <cell r="T639">
            <v>1</v>
          </cell>
          <cell r="U639" t="str">
            <v>REVTOT</v>
          </cell>
          <cell r="V639" t="str">
            <v>Base</v>
          </cell>
          <cell r="W639" t="str">
            <v>05 Won</v>
          </cell>
          <cell r="X639" t="str">
            <v>Active</v>
          </cell>
          <cell r="Y639">
            <v>1</v>
          </cell>
          <cell r="Z639">
            <v>0</v>
          </cell>
          <cell r="AA639">
            <v>152153.23000000004</v>
          </cell>
          <cell r="AB639">
            <v>0</v>
          </cell>
          <cell r="AC639">
            <v>0</v>
          </cell>
          <cell r="AD639">
            <v>152153.23000000004</v>
          </cell>
          <cell r="AE639">
            <v>-0.69810814715467928</v>
          </cell>
          <cell r="AF639">
            <v>-0.36170475413436254</v>
          </cell>
          <cell r="AG639">
            <v>-1.0517716440839151</v>
          </cell>
          <cell r="AH639">
            <v>-1</v>
          </cell>
          <cell r="AI639">
            <v>0</v>
          </cell>
          <cell r="AJ639">
            <v>0</v>
          </cell>
          <cell r="AK639">
            <v>0</v>
          </cell>
          <cell r="BB639">
            <v>0</v>
          </cell>
          <cell r="BC639">
            <v>0</v>
          </cell>
          <cell r="BD639">
            <v>0</v>
          </cell>
          <cell r="BE639">
            <v>0</v>
          </cell>
          <cell r="BF639">
            <v>43024852.699999996</v>
          </cell>
          <cell r="BG639">
            <v>12988852.5</v>
          </cell>
          <cell r="BH639">
            <v>8290722.7999999998</v>
          </cell>
          <cell r="BI639">
            <v>-430116.6</v>
          </cell>
          <cell r="BJ639">
            <v>925.74</v>
          </cell>
          <cell r="BK639">
            <v>-33.49</v>
          </cell>
          <cell r="BL639">
            <v>0</v>
          </cell>
          <cell r="BM639">
            <v>-429224.35</v>
          </cell>
          <cell r="BN639">
            <v>0</v>
          </cell>
          <cell r="BO639">
            <v>0</v>
          </cell>
          <cell r="BP639">
            <v>0</v>
          </cell>
          <cell r="BQ639">
            <v>0</v>
          </cell>
          <cell r="BR639">
            <v>-429224.35</v>
          </cell>
          <cell r="BT639">
            <v>0</v>
          </cell>
          <cell r="CA639" t="str">
            <v>AFBOKO - REVTOT - Base</v>
          </cell>
          <cell r="CC639" t="str">
            <v>AFBOKO - REVTOT - Base - MR</v>
          </cell>
          <cell r="CD639" t="str">
            <v>AFBOKO - REVTOT - Base - MR</v>
          </cell>
          <cell r="CF639" t="str">
            <v>AFBOKO - Base - MR</v>
          </cell>
        </row>
        <row r="640">
          <cell r="D640">
            <v>626</v>
          </cell>
          <cell r="E640">
            <v>1</v>
          </cell>
          <cell r="F640">
            <v>2</v>
          </cell>
          <cell r="G640" t="str">
            <v>AFBOKO</v>
          </cell>
          <cell r="H640" t="str">
            <v>AFRICAP Counter Boko Haram</v>
          </cell>
          <cell r="I640" t="str">
            <v>MR</v>
          </cell>
          <cell r="J640" t="str">
            <v>MR Logistics &amp; Supply</v>
          </cell>
          <cell r="K640" t="str">
            <v>Dept. of State</v>
          </cell>
          <cell r="L640" t="str">
            <v>DOS</v>
          </cell>
          <cell r="M640" t="str">
            <v>Camerun</v>
          </cell>
          <cell r="N640" t="str">
            <v>OCONUS</v>
          </cell>
          <cell r="O640">
            <v>0</v>
          </cell>
          <cell r="P640">
            <v>0</v>
          </cell>
          <cell r="Q640">
            <v>0</v>
          </cell>
          <cell r="R640" t="str">
            <v>CPFF</v>
          </cell>
          <cell r="S640">
            <v>0</v>
          </cell>
          <cell r="T640">
            <v>1</v>
          </cell>
          <cell r="U640" t="str">
            <v>REVTOT</v>
          </cell>
          <cell r="V640" t="str">
            <v>Identified - Recompete</v>
          </cell>
          <cell r="W640">
            <v>0</v>
          </cell>
          <cell r="X640">
            <v>0</v>
          </cell>
          <cell r="Y640">
            <v>0</v>
          </cell>
          <cell r="Z640">
            <v>0</v>
          </cell>
          <cell r="AA640">
            <v>0</v>
          </cell>
          <cell r="AB640">
            <v>0</v>
          </cell>
          <cell r="AC640">
            <v>0</v>
          </cell>
          <cell r="AD640">
            <v>0</v>
          </cell>
          <cell r="AI640">
            <v>0</v>
          </cell>
          <cell r="AJ640">
            <v>0</v>
          </cell>
          <cell r="AK640">
            <v>0</v>
          </cell>
          <cell r="BB640">
            <v>0</v>
          </cell>
          <cell r="BC640">
            <v>0</v>
          </cell>
          <cell r="BD640">
            <v>0</v>
          </cell>
          <cell r="BE640">
            <v>0</v>
          </cell>
          <cell r="BI640">
            <v>0</v>
          </cell>
          <cell r="BJ640">
            <v>0</v>
          </cell>
          <cell r="BK640">
            <v>0</v>
          </cell>
          <cell r="BL640">
            <v>0</v>
          </cell>
          <cell r="BM640">
            <v>0</v>
          </cell>
          <cell r="BN640">
            <v>0</v>
          </cell>
          <cell r="BO640">
            <v>0</v>
          </cell>
          <cell r="BP640">
            <v>0</v>
          </cell>
          <cell r="BQ640">
            <v>0</v>
          </cell>
          <cell r="BR640">
            <v>0</v>
          </cell>
          <cell r="BT640">
            <v>0</v>
          </cell>
          <cell r="CA640" t="str">
            <v>AFBOKO - REVTOT - Identified - Recompete</v>
          </cell>
          <cell r="CC640" t="str">
            <v>AFBOKO - REVTOT - Identified - Recompete - MR</v>
          </cell>
          <cell r="CD640" t="str">
            <v/>
          </cell>
          <cell r="CF640" t="str">
            <v>AFBOKO - Identified - Recompete - MR</v>
          </cell>
        </row>
        <row r="641">
          <cell r="D641">
            <v>627</v>
          </cell>
          <cell r="E641">
            <v>2</v>
          </cell>
          <cell r="F641">
            <v>3</v>
          </cell>
          <cell r="G641" t="str">
            <v>AFBOKO</v>
          </cell>
          <cell r="H641" t="str">
            <v>AFRICAP Counter Boko Haram</v>
          </cell>
          <cell r="I641" t="str">
            <v>MR</v>
          </cell>
          <cell r="J641" t="str">
            <v>MR Logistics &amp; Supply</v>
          </cell>
          <cell r="K641" t="str">
            <v>Dept. of State</v>
          </cell>
          <cell r="L641" t="str">
            <v>DOS</v>
          </cell>
          <cell r="M641" t="str">
            <v>Camerun</v>
          </cell>
          <cell r="N641" t="str">
            <v>OCONUS</v>
          </cell>
          <cell r="O641">
            <v>42277</v>
          </cell>
          <cell r="P641">
            <v>43372</v>
          </cell>
          <cell r="Q641" t="str">
            <v>JV</v>
          </cell>
          <cell r="R641" t="str">
            <v>CPFF</v>
          </cell>
          <cell r="S641">
            <v>0</v>
          </cell>
          <cell r="T641">
            <v>1</v>
          </cell>
          <cell r="U641" t="str">
            <v>CONTRACT</v>
          </cell>
          <cell r="V641" t="str">
            <v>Base</v>
          </cell>
          <cell r="W641" t="str">
            <v>05 Won</v>
          </cell>
          <cell r="X641" t="str">
            <v>Active</v>
          </cell>
          <cell r="Y641">
            <v>1</v>
          </cell>
          <cell r="Z641">
            <v>0</v>
          </cell>
          <cell r="AA641">
            <v>152153.23000000004</v>
          </cell>
          <cell r="AB641">
            <v>0</v>
          </cell>
          <cell r="AC641">
            <v>0</v>
          </cell>
          <cell r="AD641">
            <v>152153.23000000004</v>
          </cell>
          <cell r="AL641">
            <v>0.11178304626711706</v>
          </cell>
          <cell r="AM641">
            <v>0.13910061570104057</v>
          </cell>
          <cell r="AN641">
            <v>0.11689774020668017</v>
          </cell>
          <cell r="AO641">
            <v>-2.0428710533313566E-3</v>
          </cell>
          <cell r="AP641">
            <v>0.11876674603760728</v>
          </cell>
          <cell r="AQ641">
            <v>0.11876674603760728</v>
          </cell>
          <cell r="AR641">
            <v>0.11876674603760728</v>
          </cell>
          <cell r="AS641">
            <v>0.11876674603760728</v>
          </cell>
          <cell r="BF641">
            <v>4809449.0999999959</v>
          </cell>
          <cell r="BG641">
            <v>1806757.38</v>
          </cell>
          <cell r="BH641">
            <v>969166.76</v>
          </cell>
          <cell r="BI641">
            <v>-45.020000000033178</v>
          </cell>
          <cell r="BJ641">
            <v>925.74</v>
          </cell>
          <cell r="BK641">
            <v>-3.870000000000001</v>
          </cell>
          <cell r="BL641">
            <v>0</v>
          </cell>
          <cell r="BM641">
            <v>876.84999999996683</v>
          </cell>
          <cell r="BN641">
            <v>0</v>
          </cell>
          <cell r="BO641">
            <v>0</v>
          </cell>
          <cell r="BP641">
            <v>0</v>
          </cell>
          <cell r="BQ641">
            <v>0</v>
          </cell>
          <cell r="BR641">
            <v>876.84999999996683</v>
          </cell>
          <cell r="BT641">
            <v>0</v>
          </cell>
          <cell r="CA641" t="str">
            <v>AFBOKO - CONTRACT - Base</v>
          </cell>
          <cell r="CC641" t="str">
            <v>AFBOKO - CONTRACT - Base - MR</v>
          </cell>
          <cell r="CD641" t="str">
            <v/>
          </cell>
          <cell r="CF641" t="str">
            <v>AFBOKO - Base - MR</v>
          </cell>
        </row>
        <row r="642">
          <cell r="D642">
            <v>628</v>
          </cell>
          <cell r="E642">
            <v>2</v>
          </cell>
          <cell r="F642">
            <v>4</v>
          </cell>
          <cell r="G642" t="str">
            <v>AFBOKO</v>
          </cell>
          <cell r="H642" t="str">
            <v>AFRICAP Counter Boko Haram</v>
          </cell>
          <cell r="I642" t="str">
            <v>MR</v>
          </cell>
          <cell r="J642" t="str">
            <v>MR Logistics &amp; Supply</v>
          </cell>
          <cell r="K642" t="str">
            <v>Dept. of State</v>
          </cell>
          <cell r="L642" t="str">
            <v>DOS</v>
          </cell>
          <cell r="M642" t="str">
            <v>Camerun</v>
          </cell>
          <cell r="N642" t="str">
            <v>OCONUS</v>
          </cell>
          <cell r="O642">
            <v>0</v>
          </cell>
          <cell r="P642">
            <v>0</v>
          </cell>
          <cell r="Q642">
            <v>0</v>
          </cell>
          <cell r="R642" t="str">
            <v>CPFF</v>
          </cell>
          <cell r="S642">
            <v>0</v>
          </cell>
          <cell r="T642">
            <v>1</v>
          </cell>
          <cell r="U642" t="str">
            <v>CONTRACT</v>
          </cell>
          <cell r="V642" t="str">
            <v>Identified - Recompete</v>
          </cell>
          <cell r="W642">
            <v>0</v>
          </cell>
          <cell r="X642">
            <v>0</v>
          </cell>
          <cell r="Y642">
            <v>0</v>
          </cell>
          <cell r="Z642">
            <v>0</v>
          </cell>
          <cell r="AA642">
            <v>0</v>
          </cell>
          <cell r="AB642">
            <v>0</v>
          </cell>
          <cell r="AC642">
            <v>0</v>
          </cell>
          <cell r="AD642">
            <v>0</v>
          </cell>
          <cell r="AP642">
            <v>0</v>
          </cell>
          <cell r="AQ642">
            <v>0</v>
          </cell>
          <cell r="AR642">
            <v>0</v>
          </cell>
          <cell r="AS642">
            <v>0</v>
          </cell>
          <cell r="BI642">
            <v>0</v>
          </cell>
          <cell r="BJ642">
            <v>0</v>
          </cell>
          <cell r="BK642">
            <v>0</v>
          </cell>
          <cell r="BL642">
            <v>0</v>
          </cell>
          <cell r="BM642">
            <v>0</v>
          </cell>
          <cell r="BN642">
            <v>0</v>
          </cell>
          <cell r="BO642">
            <v>0</v>
          </cell>
          <cell r="BP642">
            <v>0</v>
          </cell>
          <cell r="BQ642">
            <v>0</v>
          </cell>
          <cell r="BR642">
            <v>0</v>
          </cell>
          <cell r="BT642">
            <v>0</v>
          </cell>
          <cell r="CA642" t="str">
            <v>AFBOKO - CONTRACT - Identified - Recompete</v>
          </cell>
          <cell r="CC642" t="str">
            <v>AFBOKO - CONTRACT - Identified - Recompete - MR</v>
          </cell>
          <cell r="CD642" t="str">
            <v/>
          </cell>
          <cell r="CF642" t="str">
            <v>AFBOKO - Identified - Recompete - MR</v>
          </cell>
        </row>
        <row r="643">
          <cell r="D643">
            <v>629</v>
          </cell>
          <cell r="E643">
            <v>0</v>
          </cell>
          <cell r="F643">
            <v>5</v>
          </cell>
          <cell r="G643" t="str">
            <v>AFBOKO</v>
          </cell>
          <cell r="H643" t="str">
            <v>AFRICAP Counter Boko Haram</v>
          </cell>
          <cell r="I643" t="str">
            <v>MR</v>
          </cell>
          <cell r="J643" t="str">
            <v>MR Logistics &amp; Supply</v>
          </cell>
          <cell r="K643" t="str">
            <v>Dept. of State</v>
          </cell>
          <cell r="L643" t="str">
            <v>DOS</v>
          </cell>
          <cell r="M643" t="str">
            <v>Camerun</v>
          </cell>
          <cell r="N643" t="str">
            <v>OCONUS</v>
          </cell>
          <cell r="O643">
            <v>42277</v>
          </cell>
          <cell r="P643">
            <v>43372</v>
          </cell>
          <cell r="Q643" t="str">
            <v>JV</v>
          </cell>
          <cell r="R643" t="str">
            <v>CPFF</v>
          </cell>
          <cell r="S643">
            <v>0</v>
          </cell>
          <cell r="T643">
            <v>1</v>
          </cell>
          <cell r="U643" t="str">
            <v>EBITA</v>
          </cell>
          <cell r="V643" t="str">
            <v>Base</v>
          </cell>
          <cell r="W643" t="str">
            <v>05 Won</v>
          </cell>
          <cell r="X643" t="str">
            <v>Active</v>
          </cell>
          <cell r="Y643">
            <v>1</v>
          </cell>
          <cell r="Z643">
            <v>0</v>
          </cell>
          <cell r="AA643">
            <v>152153.23000000004</v>
          </cell>
          <cell r="AB643">
            <v>0</v>
          </cell>
          <cell r="AC643">
            <v>0</v>
          </cell>
          <cell r="AD643">
            <v>152153.23000000004</v>
          </cell>
          <cell r="AT643">
            <v>2.0795017155282338E-2</v>
          </cell>
          <cell r="AU643">
            <v>2.0523777600831152E-2</v>
          </cell>
          <cell r="AV643">
            <v>1.8623510123870007E-2</v>
          </cell>
          <cell r="AW643">
            <v>-0.11091178773990797</v>
          </cell>
          <cell r="AX643">
            <v>2.1343043811962788E-2</v>
          </cell>
          <cell r="AY643">
            <v>2.1343043811962788E-2</v>
          </cell>
          <cell r="AZ643">
            <v>2.1343043811962788E-2</v>
          </cell>
          <cell r="BA643">
            <v>2.1343043811962788E-2</v>
          </cell>
          <cell r="BF643">
            <v>894702.54999999551</v>
          </cell>
          <cell r="BG643">
            <v>266580.31999999972</v>
          </cell>
          <cell r="BH643">
            <v>154402.3599999999</v>
          </cell>
          <cell r="BI643">
            <v>47587.649999999965</v>
          </cell>
          <cell r="BJ643">
            <v>19.039999999999964</v>
          </cell>
          <cell r="BK643">
            <v>-0.65000000000000124</v>
          </cell>
          <cell r="BL643">
            <v>0</v>
          </cell>
          <cell r="BM643">
            <v>47606.039999999964</v>
          </cell>
          <cell r="BN643">
            <v>0</v>
          </cell>
          <cell r="BO643">
            <v>0</v>
          </cell>
          <cell r="BP643">
            <v>0</v>
          </cell>
          <cell r="BQ643">
            <v>0</v>
          </cell>
          <cell r="BR643">
            <v>47606.039999999964</v>
          </cell>
          <cell r="BT643">
            <v>0</v>
          </cell>
          <cell r="CA643" t="str">
            <v>AFBOKO - EBITA - Base</v>
          </cell>
          <cell r="CC643" t="str">
            <v>AFBOKO - EBITA - Base - MR</v>
          </cell>
          <cell r="CD643" t="str">
            <v/>
          </cell>
          <cell r="CF643" t="str">
            <v>AFBOKO - Base - MR</v>
          </cell>
        </row>
        <row r="644">
          <cell r="D644">
            <v>630</v>
          </cell>
          <cell r="E644">
            <v>0</v>
          </cell>
          <cell r="F644">
            <v>0</v>
          </cell>
          <cell r="G644" t="str">
            <v>AFBOKO</v>
          </cell>
          <cell r="H644" t="str">
            <v>AFRICAP Counter Boko Haram</v>
          </cell>
          <cell r="I644" t="str">
            <v>MR</v>
          </cell>
          <cell r="J644" t="str">
            <v>MR Logistics &amp; Supply</v>
          </cell>
          <cell r="K644" t="str">
            <v>Dept. of State</v>
          </cell>
          <cell r="L644" t="str">
            <v>DOS</v>
          </cell>
          <cell r="M644" t="str">
            <v>Camerun</v>
          </cell>
          <cell r="N644" t="str">
            <v>OCONUS</v>
          </cell>
          <cell r="O644">
            <v>0</v>
          </cell>
          <cell r="P644">
            <v>0</v>
          </cell>
          <cell r="Q644">
            <v>0</v>
          </cell>
          <cell r="R644" t="str">
            <v>CPFF</v>
          </cell>
          <cell r="S644">
            <v>0</v>
          </cell>
          <cell r="T644">
            <v>1</v>
          </cell>
          <cell r="U644" t="str">
            <v>EBITA</v>
          </cell>
          <cell r="V644" t="str">
            <v>Identified - Recompete</v>
          </cell>
          <cell r="W644">
            <v>0</v>
          </cell>
          <cell r="X644">
            <v>0</v>
          </cell>
          <cell r="Y644">
            <v>0</v>
          </cell>
          <cell r="Z644">
            <v>0</v>
          </cell>
          <cell r="AA644">
            <v>0</v>
          </cell>
          <cell r="AB644">
            <v>0</v>
          </cell>
          <cell r="AC644">
            <v>0</v>
          </cell>
          <cell r="AD644">
            <v>0</v>
          </cell>
          <cell r="AX644">
            <v>0</v>
          </cell>
          <cell r="AY644">
            <v>0</v>
          </cell>
          <cell r="AZ644">
            <v>0</v>
          </cell>
          <cell r="BA644">
            <v>0</v>
          </cell>
          <cell r="BI644">
            <v>0</v>
          </cell>
          <cell r="BJ644">
            <v>0</v>
          </cell>
          <cell r="BK644">
            <v>0</v>
          </cell>
          <cell r="BL644">
            <v>0</v>
          </cell>
          <cell r="BM644">
            <v>0</v>
          </cell>
          <cell r="BN644">
            <v>0</v>
          </cell>
          <cell r="BO644">
            <v>0</v>
          </cell>
          <cell r="BP644">
            <v>0</v>
          </cell>
          <cell r="BQ644">
            <v>0</v>
          </cell>
          <cell r="BR644">
            <v>0</v>
          </cell>
          <cell r="BT644">
            <v>0</v>
          </cell>
          <cell r="CA644" t="str">
            <v>AFBOKO - EBITA - Identified - Recompete</v>
          </cell>
          <cell r="CC644" t="str">
            <v>AFBOKO - EBITA - Identified - Recompete - MR</v>
          </cell>
          <cell r="CD644" t="str">
            <v/>
          </cell>
          <cell r="CF644" t="str">
            <v>AFBOKO - Identified - Recompete - MR</v>
          </cell>
        </row>
        <row r="645">
          <cell r="D645">
            <v>631</v>
          </cell>
          <cell r="E645">
            <v>1</v>
          </cell>
          <cell r="F645">
            <v>1</v>
          </cell>
          <cell r="G645" t="str">
            <v>000105</v>
          </cell>
          <cell r="H645" t="str">
            <v>Sentinal</v>
          </cell>
          <cell r="I645" t="str">
            <v>IS4</v>
          </cell>
          <cell r="J645" t="str">
            <v>IS4 Global Mission Solutions</v>
          </cell>
          <cell r="K645" t="str">
            <v>Classified Agency</v>
          </cell>
          <cell r="L645" t="str">
            <v>Classified</v>
          </cell>
          <cell r="M645" t="str">
            <v>Classified Location</v>
          </cell>
          <cell r="N645" t="str">
            <v>Other</v>
          </cell>
          <cell r="O645">
            <v>41050</v>
          </cell>
          <cell r="P645">
            <v>43738</v>
          </cell>
          <cell r="Q645" t="str">
            <v>Prime</v>
          </cell>
          <cell r="R645" t="str">
            <v>FPAF</v>
          </cell>
          <cell r="S645">
            <v>0</v>
          </cell>
          <cell r="T645">
            <v>1</v>
          </cell>
          <cell r="U645" t="str">
            <v>REVTOT</v>
          </cell>
          <cell r="V645" t="str">
            <v>Base</v>
          </cell>
          <cell r="W645" t="str">
            <v>05 Won</v>
          </cell>
          <cell r="X645" t="str">
            <v>Active</v>
          </cell>
          <cell r="Y645">
            <v>1</v>
          </cell>
          <cell r="Z645">
            <v>0</v>
          </cell>
          <cell r="AA645">
            <v>8654709.0399999954</v>
          </cell>
          <cell r="AB645">
            <v>61859269.00000003</v>
          </cell>
          <cell r="AC645">
            <v>0</v>
          </cell>
          <cell r="AD645">
            <v>70513978.040000021</v>
          </cell>
          <cell r="AE645">
            <v>1.9981597605746915E-2</v>
          </cell>
          <cell r="AF645">
            <v>0.43618946277569681</v>
          </cell>
          <cell r="AG645">
            <v>0.30020063900515459</v>
          </cell>
          <cell r="AH645">
            <v>-1</v>
          </cell>
          <cell r="AI645">
            <v>0</v>
          </cell>
          <cell r="AJ645">
            <v>0</v>
          </cell>
          <cell r="AK645">
            <v>0</v>
          </cell>
          <cell r="BB645">
            <v>0</v>
          </cell>
          <cell r="BC645">
            <v>0</v>
          </cell>
          <cell r="BD645">
            <v>0</v>
          </cell>
          <cell r="BE645">
            <v>0</v>
          </cell>
          <cell r="BF645">
            <v>59925702.319999993</v>
          </cell>
          <cell r="BG645">
            <v>61123113.590000004</v>
          </cell>
          <cell r="BH645">
            <v>87784371.670000002</v>
          </cell>
          <cell r="BI645">
            <v>27429997.440000001</v>
          </cell>
          <cell r="BJ645">
            <v>31008952</v>
          </cell>
          <cell r="BK645">
            <v>30069461.719999999</v>
          </cell>
          <cell r="BL645">
            <v>25628884.98</v>
          </cell>
          <cell r="BM645">
            <v>114137296.14</v>
          </cell>
          <cell r="BN645">
            <v>0</v>
          </cell>
          <cell r="BO645">
            <v>0</v>
          </cell>
          <cell r="BP645">
            <v>0</v>
          </cell>
          <cell r="BQ645">
            <v>0</v>
          </cell>
          <cell r="BR645">
            <v>114137296.14</v>
          </cell>
          <cell r="BT645">
            <v>34</v>
          </cell>
          <cell r="CA645" t="str">
            <v>000105 - REVTOT - Base</v>
          </cell>
          <cell r="CC645" t="str">
            <v>000105 - REVTOT - Base - IS4</v>
          </cell>
          <cell r="CD645" t="str">
            <v/>
          </cell>
          <cell r="CF645" t="str">
            <v>000105 - Base - IS4</v>
          </cell>
        </row>
        <row r="646">
          <cell r="D646">
            <v>632</v>
          </cell>
          <cell r="E646">
            <v>1</v>
          </cell>
          <cell r="F646">
            <v>2</v>
          </cell>
          <cell r="G646" t="str">
            <v>000105</v>
          </cell>
          <cell r="H646" t="str">
            <v>Sentinal</v>
          </cell>
          <cell r="I646" t="str">
            <v>IS4</v>
          </cell>
          <cell r="J646" t="str">
            <v>IS4 Global Mission Solutions</v>
          </cell>
          <cell r="K646" t="str">
            <v>Classified Agency</v>
          </cell>
          <cell r="L646" t="str">
            <v>Classified</v>
          </cell>
          <cell r="M646" t="str">
            <v>Classified Location</v>
          </cell>
          <cell r="N646" t="str">
            <v>Other</v>
          </cell>
          <cell r="O646">
            <v>43739</v>
          </cell>
          <cell r="P646">
            <v>45566</v>
          </cell>
          <cell r="Q646" t="str">
            <v>Prime</v>
          </cell>
          <cell r="R646" t="str">
            <v>FPAF</v>
          </cell>
          <cell r="S646">
            <v>0</v>
          </cell>
          <cell r="T646">
            <v>1</v>
          </cell>
          <cell r="U646" t="str">
            <v>REVTOT</v>
          </cell>
          <cell r="V646" t="str">
            <v>Identified - Recompete</v>
          </cell>
          <cell r="W646" t="str">
            <v>04 Submitted</v>
          </cell>
          <cell r="X646" t="str">
            <v>Priority 1</v>
          </cell>
          <cell r="Y646">
            <v>0.9</v>
          </cell>
          <cell r="Z646">
            <v>651000000</v>
          </cell>
          <cell r="AA646">
            <v>0</v>
          </cell>
          <cell r="AB646">
            <v>0</v>
          </cell>
          <cell r="AC646">
            <v>0</v>
          </cell>
          <cell r="AD646">
            <v>0</v>
          </cell>
          <cell r="AI646">
            <v>0</v>
          </cell>
          <cell r="AJ646">
            <v>0</v>
          </cell>
          <cell r="AK646">
            <v>0</v>
          </cell>
          <cell r="BB646">
            <v>130200000</v>
          </cell>
          <cell r="BC646">
            <v>130200000</v>
          </cell>
          <cell r="BD646">
            <v>130200000</v>
          </cell>
          <cell r="BE646">
            <v>130200000</v>
          </cell>
          <cell r="BI646">
            <v>0</v>
          </cell>
          <cell r="BJ646">
            <v>0</v>
          </cell>
          <cell r="BK646">
            <v>0</v>
          </cell>
          <cell r="BL646">
            <v>0</v>
          </cell>
          <cell r="BM646">
            <v>0</v>
          </cell>
          <cell r="BN646">
            <v>117180000</v>
          </cell>
          <cell r="BO646">
            <v>117180000</v>
          </cell>
          <cell r="BP646">
            <v>117180000</v>
          </cell>
          <cell r="BQ646">
            <v>117180000</v>
          </cell>
          <cell r="BR646">
            <v>468720000</v>
          </cell>
          <cell r="BT646">
            <v>34</v>
          </cell>
          <cell r="CA646" t="str">
            <v>000105 - REVTOT - Identified - Recompete</v>
          </cell>
          <cell r="CC646" t="str">
            <v>000105 - REVTOT - Identified - Recompete - IS4</v>
          </cell>
          <cell r="CD646" t="str">
            <v/>
          </cell>
          <cell r="CF646" t="str">
            <v>000105 - Identified - Recompete - IS4</v>
          </cell>
        </row>
        <row r="647">
          <cell r="D647">
            <v>633</v>
          </cell>
          <cell r="E647">
            <v>2</v>
          </cell>
          <cell r="F647">
            <v>3</v>
          </cell>
          <cell r="G647" t="str">
            <v>000105</v>
          </cell>
          <cell r="H647" t="str">
            <v>Sentinal</v>
          </cell>
          <cell r="I647" t="str">
            <v>IS4</v>
          </cell>
          <cell r="J647" t="str">
            <v>IS4 Global Mission Solutions</v>
          </cell>
          <cell r="K647" t="str">
            <v>Classified Agency</v>
          </cell>
          <cell r="L647" t="str">
            <v>Classified</v>
          </cell>
          <cell r="M647" t="str">
            <v>Classified Location</v>
          </cell>
          <cell r="N647" t="str">
            <v>Other</v>
          </cell>
          <cell r="O647">
            <v>41050</v>
          </cell>
          <cell r="P647">
            <v>43738</v>
          </cell>
          <cell r="Q647" t="str">
            <v>Prime</v>
          </cell>
          <cell r="R647" t="str">
            <v>FPAF</v>
          </cell>
          <cell r="S647">
            <v>0</v>
          </cell>
          <cell r="T647">
            <v>1</v>
          </cell>
          <cell r="U647" t="str">
            <v>CONTRACT</v>
          </cell>
          <cell r="V647" t="str">
            <v>Base</v>
          </cell>
          <cell r="W647" t="str">
            <v>05 Won</v>
          </cell>
          <cell r="X647" t="str">
            <v>Active</v>
          </cell>
          <cell r="Y647">
            <v>1</v>
          </cell>
          <cell r="Z647">
            <v>0</v>
          </cell>
          <cell r="AA647">
            <v>8654709.0399999954</v>
          </cell>
          <cell r="AB647">
            <v>61859269.00000003</v>
          </cell>
          <cell r="AC647">
            <v>0</v>
          </cell>
          <cell r="AD647">
            <v>70513978.040000021</v>
          </cell>
          <cell r="AL647">
            <v>0.10422636995804507</v>
          </cell>
          <cell r="AM647">
            <v>9.1146211846633796E-2</v>
          </cell>
          <cell r="AN647">
            <v>7.4474855212004018E-2</v>
          </cell>
          <cell r="AO647">
            <v>7.1770684579316749E-2</v>
          </cell>
          <cell r="AP647">
            <v>7.1770684579316749E-2</v>
          </cell>
          <cell r="AQ647">
            <v>7.1770684579316749E-2</v>
          </cell>
          <cell r="AR647">
            <v>7.1770684579316749E-2</v>
          </cell>
          <cell r="AS647">
            <v>7.1770684579316749E-2</v>
          </cell>
          <cell r="BF647">
            <v>6245838.419999999</v>
          </cell>
          <cell r="BG647">
            <v>5571140.2600000016</v>
          </cell>
          <cell r="BH647">
            <v>6537728.3699999973</v>
          </cell>
          <cell r="BI647">
            <v>1524642.9299999978</v>
          </cell>
          <cell r="BJ647">
            <v>2789563.4400000051</v>
          </cell>
          <cell r="BK647">
            <v>2241804.5400000028</v>
          </cell>
          <cell r="BL647">
            <v>1635700.9700000007</v>
          </cell>
          <cell r="BM647">
            <v>8191711.8800000064</v>
          </cell>
          <cell r="BN647">
            <v>0</v>
          </cell>
          <cell r="BO647">
            <v>0</v>
          </cell>
          <cell r="BP647">
            <v>0</v>
          </cell>
          <cell r="BQ647">
            <v>0</v>
          </cell>
          <cell r="BR647">
            <v>8191711.8800000064</v>
          </cell>
          <cell r="BT647">
            <v>34</v>
          </cell>
          <cell r="CA647" t="str">
            <v>000105 - CONTRACT - Base</v>
          </cell>
          <cell r="CC647" t="str">
            <v>000105 - CONTRACT - Base - IS4</v>
          </cell>
          <cell r="CD647" t="str">
            <v/>
          </cell>
          <cell r="CF647" t="str">
            <v>000105 - Base - IS4</v>
          </cell>
        </row>
        <row r="648">
          <cell r="D648">
            <v>634</v>
          </cell>
          <cell r="E648">
            <v>2</v>
          </cell>
          <cell r="F648">
            <v>4</v>
          </cell>
          <cell r="G648" t="str">
            <v>000105</v>
          </cell>
          <cell r="H648" t="str">
            <v>Sentinal</v>
          </cell>
          <cell r="I648" t="str">
            <v>IS4</v>
          </cell>
          <cell r="J648" t="str">
            <v>IS4 Global Mission Solutions</v>
          </cell>
          <cell r="K648" t="str">
            <v>Classified Agency</v>
          </cell>
          <cell r="L648" t="str">
            <v>Classified</v>
          </cell>
          <cell r="M648" t="str">
            <v>Classified Location</v>
          </cell>
          <cell r="N648" t="str">
            <v>Other</v>
          </cell>
          <cell r="O648">
            <v>43739</v>
          </cell>
          <cell r="P648">
            <v>45566</v>
          </cell>
          <cell r="Q648" t="str">
            <v>Prime</v>
          </cell>
          <cell r="R648" t="str">
            <v>FPAF</v>
          </cell>
          <cell r="S648">
            <v>0</v>
          </cell>
          <cell r="T648">
            <v>1</v>
          </cell>
          <cell r="U648" t="str">
            <v>CONTRACT</v>
          </cell>
          <cell r="V648" t="str">
            <v>Identified - Recompete</v>
          </cell>
          <cell r="W648" t="str">
            <v>04 Submitted</v>
          </cell>
          <cell r="X648" t="str">
            <v>Priority 1</v>
          </cell>
          <cell r="Y648">
            <v>0.9</v>
          </cell>
          <cell r="Z648">
            <v>651000000</v>
          </cell>
          <cell r="AA648">
            <v>0</v>
          </cell>
          <cell r="AB648">
            <v>0</v>
          </cell>
          <cell r="AC648">
            <v>0</v>
          </cell>
          <cell r="AD648">
            <v>0</v>
          </cell>
          <cell r="AP648">
            <v>7.1770684579316749E-2</v>
          </cell>
          <cell r="AQ648">
            <v>7.1770684579316749E-2</v>
          </cell>
          <cell r="AR648">
            <v>7.1770684579316749E-2</v>
          </cell>
          <cell r="AS648">
            <v>7.1770684579316749E-2</v>
          </cell>
          <cell r="BI648">
            <v>0</v>
          </cell>
          <cell r="BJ648">
            <v>0</v>
          </cell>
          <cell r="BK648">
            <v>0</v>
          </cell>
          <cell r="BL648">
            <v>0</v>
          </cell>
          <cell r="BM648">
            <v>0</v>
          </cell>
          <cell r="BN648">
            <v>8410088.8190043364</v>
          </cell>
          <cell r="BO648">
            <v>8410088.8190043364</v>
          </cell>
          <cell r="BP648">
            <v>8410088.8190043364</v>
          </cell>
          <cell r="BQ648">
            <v>8410088.8190043364</v>
          </cell>
          <cell r="BR648">
            <v>33640355.276017345</v>
          </cell>
          <cell r="BT648">
            <v>34</v>
          </cell>
          <cell r="CA648" t="str">
            <v>000105 - CONTRACT - Identified - Recompete</v>
          </cell>
          <cell r="CC648" t="str">
            <v>000105 - CONTRACT - Identified - Recompete - IS4</v>
          </cell>
          <cell r="CD648" t="str">
            <v/>
          </cell>
          <cell r="CF648" t="str">
            <v>000105 - Identified - Recompete - IS4</v>
          </cell>
        </row>
        <row r="649">
          <cell r="D649">
            <v>635</v>
          </cell>
          <cell r="E649">
            <v>0</v>
          </cell>
          <cell r="F649">
            <v>5</v>
          </cell>
          <cell r="G649" t="str">
            <v>000105</v>
          </cell>
          <cell r="H649" t="str">
            <v>Sentinal</v>
          </cell>
          <cell r="I649" t="str">
            <v>IS4</v>
          </cell>
          <cell r="J649" t="str">
            <v>IS4 Global Mission Solutions</v>
          </cell>
          <cell r="K649" t="str">
            <v>Classified Agency</v>
          </cell>
          <cell r="L649" t="str">
            <v>Classified</v>
          </cell>
          <cell r="M649" t="str">
            <v>Classified Location</v>
          </cell>
          <cell r="N649" t="str">
            <v>Other</v>
          </cell>
          <cell r="O649">
            <v>41050</v>
          </cell>
          <cell r="P649">
            <v>43738</v>
          </cell>
          <cell r="Q649" t="str">
            <v>Prime</v>
          </cell>
          <cell r="R649" t="str">
            <v>FPAF</v>
          </cell>
          <cell r="S649">
            <v>0</v>
          </cell>
          <cell r="T649">
            <v>1</v>
          </cell>
          <cell r="U649" t="str">
            <v>EBITA</v>
          </cell>
          <cell r="V649" t="str">
            <v>Base</v>
          </cell>
          <cell r="W649" t="str">
            <v>05 Won</v>
          </cell>
          <cell r="X649" t="str">
            <v>Active</v>
          </cell>
          <cell r="Y649">
            <v>1</v>
          </cell>
          <cell r="Z649">
            <v>0</v>
          </cell>
          <cell r="AA649">
            <v>8654709.0399999954</v>
          </cell>
          <cell r="AB649">
            <v>61859269.00000003</v>
          </cell>
          <cell r="AC649">
            <v>0</v>
          </cell>
          <cell r="AD649">
            <v>70513978.040000021</v>
          </cell>
          <cell r="AT649">
            <v>8.7376431435705865E-2</v>
          </cell>
          <cell r="AU649">
            <v>7.0270838930278412E-2</v>
          </cell>
          <cell r="AV649">
            <v>5.5679891044551302E-2</v>
          </cell>
          <cell r="AW649">
            <v>5.6929971794932047E-2</v>
          </cell>
          <cell r="AX649">
            <v>5.6929971794932047E-2</v>
          </cell>
          <cell r="AY649">
            <v>5.6929971794932047E-2</v>
          </cell>
          <cell r="AZ649">
            <v>5.6929971794932047E-2</v>
          </cell>
          <cell r="BA649">
            <v>5.6929971794932047E-2</v>
          </cell>
          <cell r="BF649">
            <v>5236094.0199999996</v>
          </cell>
          <cell r="BG649">
            <v>4295172.4700000016</v>
          </cell>
          <cell r="BH649">
            <v>4887824.2499999963</v>
          </cell>
          <cell r="BI649">
            <v>1092394.0799999977</v>
          </cell>
          <cell r="BJ649">
            <v>2320517.2600000054</v>
          </cell>
          <cell r="BK649">
            <v>1792488.5800000029</v>
          </cell>
          <cell r="BL649">
            <v>1292433.1300000008</v>
          </cell>
          <cell r="BM649">
            <v>6497833.0500000063</v>
          </cell>
          <cell r="BN649">
            <v>0</v>
          </cell>
          <cell r="BO649">
            <v>0</v>
          </cell>
          <cell r="BP649">
            <v>0</v>
          </cell>
          <cell r="BQ649">
            <v>0</v>
          </cell>
          <cell r="BR649">
            <v>6497833.0500000063</v>
          </cell>
          <cell r="BT649">
            <v>34</v>
          </cell>
          <cell r="CA649" t="str">
            <v>000105 - EBITA - Base</v>
          </cell>
          <cell r="CC649" t="str">
            <v>000105 - EBITA - Base - IS4</v>
          </cell>
          <cell r="CD649" t="str">
            <v/>
          </cell>
          <cell r="CF649" t="str">
            <v>000105 - Base - IS4</v>
          </cell>
        </row>
        <row r="650">
          <cell r="D650">
            <v>636</v>
          </cell>
          <cell r="E650">
            <v>0</v>
          </cell>
          <cell r="F650">
            <v>0</v>
          </cell>
          <cell r="G650" t="str">
            <v>000105</v>
          </cell>
          <cell r="H650" t="str">
            <v>Sentinal</v>
          </cell>
          <cell r="I650" t="str">
            <v>IS4</v>
          </cell>
          <cell r="J650" t="str">
            <v>IS4 Global Mission Solutions</v>
          </cell>
          <cell r="K650" t="str">
            <v>Classified Agency</v>
          </cell>
          <cell r="L650" t="str">
            <v>Classified</v>
          </cell>
          <cell r="M650" t="str">
            <v>Classified Location</v>
          </cell>
          <cell r="N650" t="str">
            <v>Other</v>
          </cell>
          <cell r="O650">
            <v>43739</v>
          </cell>
          <cell r="P650">
            <v>45566</v>
          </cell>
          <cell r="Q650" t="str">
            <v>Prime</v>
          </cell>
          <cell r="R650" t="str">
            <v>FPAF</v>
          </cell>
          <cell r="S650">
            <v>0</v>
          </cell>
          <cell r="T650">
            <v>1</v>
          </cell>
          <cell r="U650" t="str">
            <v>EBITA</v>
          </cell>
          <cell r="V650" t="str">
            <v>Identified - Recompete</v>
          </cell>
          <cell r="W650" t="str">
            <v>04 Submitted</v>
          </cell>
          <cell r="X650" t="str">
            <v>Priority 1</v>
          </cell>
          <cell r="Y650">
            <v>0.9</v>
          </cell>
          <cell r="Z650">
            <v>651000000</v>
          </cell>
          <cell r="AA650">
            <v>0</v>
          </cell>
          <cell r="AB650">
            <v>0</v>
          </cell>
          <cell r="AC650">
            <v>0</v>
          </cell>
          <cell r="AD650">
            <v>0</v>
          </cell>
          <cell r="AX650">
            <v>5.7929971794932048E-2</v>
          </cell>
          <cell r="AY650">
            <v>5.8929971794932048E-2</v>
          </cell>
          <cell r="AZ650">
            <v>5.9929971794932049E-2</v>
          </cell>
          <cell r="BA650">
            <v>6.092997179493205E-2</v>
          </cell>
          <cell r="BI650">
            <v>0</v>
          </cell>
          <cell r="BJ650">
            <v>0</v>
          </cell>
          <cell r="BK650">
            <v>0</v>
          </cell>
          <cell r="BL650">
            <v>0</v>
          </cell>
          <cell r="BM650">
            <v>0</v>
          </cell>
          <cell r="BN650">
            <v>6788234.0949301375</v>
          </cell>
          <cell r="BO650">
            <v>6905414.0949301375</v>
          </cell>
          <cell r="BP650">
            <v>7022594.0949301375</v>
          </cell>
          <cell r="BQ650">
            <v>7139774.0949301375</v>
          </cell>
          <cell r="BR650">
            <v>27856016.37972055</v>
          </cell>
          <cell r="BT650">
            <v>34</v>
          </cell>
          <cell r="CA650" t="str">
            <v>000105 - EBITA - Identified - Recompete</v>
          </cell>
          <cell r="CC650" t="str">
            <v>000105 - EBITA - Identified - Recompete - IS4</v>
          </cell>
          <cell r="CD650" t="str">
            <v/>
          </cell>
          <cell r="CF650" t="str">
            <v>000105 - Identified - Recompete - IS4</v>
          </cell>
        </row>
        <row r="651">
          <cell r="D651">
            <v>637</v>
          </cell>
          <cell r="E651">
            <v>1</v>
          </cell>
          <cell r="F651">
            <v>1</v>
          </cell>
          <cell r="G651" t="str">
            <v>915383</v>
          </cell>
          <cell r="H651" t="str">
            <v>0915.F3083 SPAWAR</v>
          </cell>
          <cell r="I651" t="str">
            <v>IS4</v>
          </cell>
          <cell r="J651" t="str">
            <v>IS4 Sustainment Engineering and Acquisition</v>
          </cell>
          <cell r="K651" t="str">
            <v>Navy</v>
          </cell>
          <cell r="L651" t="str">
            <v>DOD</v>
          </cell>
          <cell r="M651" t="str">
            <v>VA</v>
          </cell>
          <cell r="N651" t="str">
            <v>CONUS</v>
          </cell>
          <cell r="O651">
            <v>42937</v>
          </cell>
          <cell r="P651">
            <v>44762</v>
          </cell>
          <cell r="Q651" t="str">
            <v>Prime</v>
          </cell>
          <cell r="R651" t="str">
            <v>CPFF</v>
          </cell>
          <cell r="S651">
            <v>0</v>
          </cell>
          <cell r="T651">
            <v>1</v>
          </cell>
          <cell r="U651" t="str">
            <v>REVTOT</v>
          </cell>
          <cell r="V651" t="str">
            <v>Base</v>
          </cell>
          <cell r="W651" t="str">
            <v>05 Won</v>
          </cell>
          <cell r="X651" t="str">
            <v>Active</v>
          </cell>
          <cell r="Y651">
            <v>1</v>
          </cell>
          <cell r="Z651">
            <v>0</v>
          </cell>
          <cell r="AA651">
            <v>60312818.049999997</v>
          </cell>
          <cell r="AB651">
            <v>84574476.569999993</v>
          </cell>
          <cell r="AC651">
            <v>0</v>
          </cell>
          <cell r="AD651">
            <v>144887294.62</v>
          </cell>
          <cell r="AE651">
            <v>0</v>
          </cell>
          <cell r="AF651">
            <v>157.87103555263181</v>
          </cell>
          <cell r="AG651">
            <v>0.31023814495191826</v>
          </cell>
          <cell r="AH651">
            <v>-6.4424371289806714E-2</v>
          </cell>
          <cell r="AI651">
            <v>2.5000000000000001E-2</v>
          </cell>
          <cell r="AJ651">
            <v>2.5000000000000001E-2</v>
          </cell>
          <cell r="AK651">
            <v>0</v>
          </cell>
          <cell r="BB651">
            <v>32987496.130000003</v>
          </cell>
          <cell r="BC651">
            <v>33812183.533249997</v>
          </cell>
          <cell r="BD651">
            <v>34657488.121581241</v>
          </cell>
          <cell r="BE651">
            <v>34657488.121581241</v>
          </cell>
          <cell r="BF651">
            <v>0</v>
          </cell>
          <cell r="BG651">
            <v>169385.21</v>
          </cell>
          <cell r="BH651">
            <v>26910403.720000003</v>
          </cell>
          <cell r="BI651">
            <v>7877542.6299999999</v>
          </cell>
          <cell r="BJ651">
            <v>8314297.2400000002</v>
          </cell>
          <cell r="BK651">
            <v>10387971.760000002</v>
          </cell>
          <cell r="BL651">
            <v>8679225.8200000003</v>
          </cell>
          <cell r="BM651">
            <v>35259037.450000003</v>
          </cell>
          <cell r="BN651">
            <v>32987496.130000003</v>
          </cell>
          <cell r="BO651">
            <v>33812183.533249997</v>
          </cell>
          <cell r="BP651">
            <v>27918532.097940445</v>
          </cell>
          <cell r="BQ651">
            <v>0</v>
          </cell>
          <cell r="BR651">
            <v>129977249.21119046</v>
          </cell>
          <cell r="BT651">
            <v>36</v>
          </cell>
          <cell r="CA651" t="str">
            <v>915383 - REVTOT - Base</v>
          </cell>
          <cell r="CC651" t="str">
            <v>915383 - REVTOT - Base - IS4</v>
          </cell>
          <cell r="CD651" t="str">
            <v/>
          </cell>
          <cell r="CF651" t="str">
            <v>915383 - Base - IS4</v>
          </cell>
        </row>
        <row r="652">
          <cell r="D652">
            <v>638</v>
          </cell>
          <cell r="E652">
            <v>1</v>
          </cell>
          <cell r="F652">
            <v>2</v>
          </cell>
          <cell r="G652" t="str">
            <v>915383</v>
          </cell>
          <cell r="H652" t="str">
            <v>0915.F3083 SPAWAR</v>
          </cell>
          <cell r="I652" t="str">
            <v>IS4</v>
          </cell>
          <cell r="J652" t="str">
            <v>IS4 Sustainment Engineering and Acquisition</v>
          </cell>
          <cell r="K652" t="str">
            <v>Navy</v>
          </cell>
          <cell r="L652" t="str">
            <v>DOD</v>
          </cell>
          <cell r="M652" t="str">
            <v>VA</v>
          </cell>
          <cell r="N652" t="str">
            <v>CONUS</v>
          </cell>
          <cell r="O652">
            <v>44763</v>
          </cell>
          <cell r="P652">
            <v>46588</v>
          </cell>
          <cell r="Q652" t="str">
            <v>Prime</v>
          </cell>
          <cell r="R652" t="str">
            <v>CPFF</v>
          </cell>
          <cell r="S652">
            <v>0</v>
          </cell>
          <cell r="T652">
            <v>1</v>
          </cell>
          <cell r="U652" t="str">
            <v>REVTOT</v>
          </cell>
          <cell r="V652" t="str">
            <v>Identified - Recompete</v>
          </cell>
          <cell r="W652" t="str">
            <v>02 Capture</v>
          </cell>
          <cell r="X652" t="str">
            <v>Priority 2</v>
          </cell>
          <cell r="Y652">
            <v>0.9</v>
          </cell>
          <cell r="Z652">
            <v>280000000</v>
          </cell>
          <cell r="AA652">
            <v>0</v>
          </cell>
          <cell r="AB652">
            <v>0</v>
          </cell>
          <cell r="AC652">
            <v>0</v>
          </cell>
          <cell r="AD652">
            <v>0</v>
          </cell>
          <cell r="AI652">
            <v>2.5000000000000001E-2</v>
          </cell>
          <cell r="AJ652">
            <v>2.5000000000000001E-2</v>
          </cell>
          <cell r="AK652">
            <v>2.5000000000000001E-2</v>
          </cell>
          <cell r="BB652">
            <v>32987496.130000003</v>
          </cell>
          <cell r="BC652">
            <v>33812183.533249997</v>
          </cell>
          <cell r="BD652">
            <v>34657488.121581241</v>
          </cell>
          <cell r="BE652">
            <v>35523925.324620768</v>
          </cell>
          <cell r="BI652">
            <v>0</v>
          </cell>
          <cell r="BJ652">
            <v>0</v>
          </cell>
          <cell r="BK652">
            <v>0</v>
          </cell>
          <cell r="BL652">
            <v>0</v>
          </cell>
          <cell r="BM652">
            <v>0</v>
          </cell>
          <cell r="BN652">
            <v>0</v>
          </cell>
          <cell r="BO652">
            <v>0</v>
          </cell>
          <cell r="BP652">
            <v>5978416.7009727648</v>
          </cell>
          <cell r="BQ652">
            <v>31971532.792158693</v>
          </cell>
          <cell r="BR652">
            <v>37949949.493131459</v>
          </cell>
          <cell r="BT652">
            <v>36</v>
          </cell>
          <cell r="CA652" t="str">
            <v>915383 - REVTOT - Identified - Recompete</v>
          </cell>
          <cell r="CC652" t="str">
            <v>915383 - REVTOT - Identified - Recompete - IS4</v>
          </cell>
          <cell r="CD652" t="str">
            <v/>
          </cell>
          <cell r="CF652" t="str">
            <v>915383 - Identified - Recompete - IS4</v>
          </cell>
        </row>
        <row r="653">
          <cell r="D653">
            <v>639</v>
          </cell>
          <cell r="E653">
            <v>2</v>
          </cell>
          <cell r="F653">
            <v>3</v>
          </cell>
          <cell r="G653" t="str">
            <v>915383</v>
          </cell>
          <cell r="H653" t="str">
            <v>0915.F3083 SPAWAR</v>
          </cell>
          <cell r="I653" t="str">
            <v>IS4</v>
          </cell>
          <cell r="J653" t="str">
            <v>IS4 Sustainment Engineering and Acquisition</v>
          </cell>
          <cell r="K653" t="str">
            <v>Navy</v>
          </cell>
          <cell r="L653" t="str">
            <v>DOD</v>
          </cell>
          <cell r="M653" t="str">
            <v>VA</v>
          </cell>
          <cell r="N653" t="str">
            <v>CONUS</v>
          </cell>
          <cell r="O653">
            <v>42937</v>
          </cell>
          <cell r="P653">
            <v>44762</v>
          </cell>
          <cell r="Q653" t="str">
            <v>Prime</v>
          </cell>
          <cell r="R653" t="str">
            <v>CPFF</v>
          </cell>
          <cell r="S653">
            <v>0</v>
          </cell>
          <cell r="T653">
            <v>1</v>
          </cell>
          <cell r="U653" t="str">
            <v>CONTRACT</v>
          </cell>
          <cell r="V653" t="str">
            <v>Base</v>
          </cell>
          <cell r="W653" t="str">
            <v>05 Won</v>
          </cell>
          <cell r="X653" t="str">
            <v>Active</v>
          </cell>
          <cell r="Y653">
            <v>1</v>
          </cell>
          <cell r="Z653">
            <v>0</v>
          </cell>
          <cell r="AA653">
            <v>60312818.049999997</v>
          </cell>
          <cell r="AB653">
            <v>84574476.569999993</v>
          </cell>
          <cell r="AC653">
            <v>0</v>
          </cell>
          <cell r="AD653">
            <v>144887294.62</v>
          </cell>
          <cell r="AL653">
            <v>0</v>
          </cell>
          <cell r="AM653">
            <v>0.23849201473965762</v>
          </cell>
          <cell r="AN653">
            <v>0.16210041757039836</v>
          </cell>
          <cell r="AO653">
            <v>0.15265104833427609</v>
          </cell>
          <cell r="AP653">
            <v>0.15696339341318219</v>
          </cell>
          <cell r="AQ653">
            <v>0.15696339341318219</v>
          </cell>
          <cell r="AR653">
            <v>0.15696339341318219</v>
          </cell>
          <cell r="AS653">
            <v>0.15696339341318219</v>
          </cell>
          <cell r="BF653">
            <v>0</v>
          </cell>
          <cell r="BG653">
            <v>40397.019999999997</v>
          </cell>
          <cell r="BH653">
            <v>4362187.6800000016</v>
          </cell>
          <cell r="BI653">
            <v>1240529.7499999995</v>
          </cell>
          <cell r="BJ653">
            <v>1313533.3700000003</v>
          </cell>
          <cell r="BK653">
            <v>1479808.1</v>
          </cell>
          <cell r="BL653">
            <v>1348457.8100000005</v>
          </cell>
          <cell r="BM653">
            <v>5382329.0300000012</v>
          </cell>
          <cell r="BN653">
            <v>5177829.3327690158</v>
          </cell>
          <cell r="BO653">
            <v>5307275.0660882397</v>
          </cell>
          <cell r="BP653">
            <v>4382187.5372075811</v>
          </cell>
          <cell r="BQ653">
            <v>0</v>
          </cell>
          <cell r="BR653">
            <v>20249620.966064837</v>
          </cell>
          <cell r="BT653">
            <v>36</v>
          </cell>
          <cell r="CA653" t="str">
            <v>915383 - CONTRACT - Base</v>
          </cell>
          <cell r="CC653" t="str">
            <v>915383 - CONTRACT - Base - IS4</v>
          </cell>
          <cell r="CD653" t="str">
            <v/>
          </cell>
          <cell r="CF653" t="str">
            <v>915383 - Base - IS4</v>
          </cell>
        </row>
        <row r="654">
          <cell r="D654">
            <v>640</v>
          </cell>
          <cell r="E654">
            <v>2</v>
          </cell>
          <cell r="F654">
            <v>4</v>
          </cell>
          <cell r="G654" t="str">
            <v>915383</v>
          </cell>
          <cell r="H654" t="str">
            <v>0915.F3083 SPAWAR</v>
          </cell>
          <cell r="I654" t="str">
            <v>IS4</v>
          </cell>
          <cell r="J654" t="str">
            <v>IS4 Sustainment Engineering and Acquisition</v>
          </cell>
          <cell r="K654" t="str">
            <v>Navy</v>
          </cell>
          <cell r="L654" t="str">
            <v>DOD</v>
          </cell>
          <cell r="M654" t="str">
            <v>VA</v>
          </cell>
          <cell r="N654" t="str">
            <v>CONUS</v>
          </cell>
          <cell r="O654">
            <v>44683</v>
          </cell>
          <cell r="P654">
            <v>46509</v>
          </cell>
          <cell r="Q654" t="str">
            <v>Prime</v>
          </cell>
          <cell r="R654" t="str">
            <v>CPFF</v>
          </cell>
          <cell r="S654">
            <v>0</v>
          </cell>
          <cell r="T654">
            <v>1</v>
          </cell>
          <cell r="U654" t="str">
            <v>CONTRACT</v>
          </cell>
          <cell r="V654" t="str">
            <v>Identified - Recompete</v>
          </cell>
          <cell r="W654" t="str">
            <v>02 Capture</v>
          </cell>
          <cell r="X654" t="str">
            <v>Priority 2</v>
          </cell>
          <cell r="Y654">
            <v>0.9</v>
          </cell>
          <cell r="Z654">
            <v>280000000</v>
          </cell>
          <cell r="AA654">
            <v>0</v>
          </cell>
          <cell r="AB654">
            <v>0</v>
          </cell>
          <cell r="AC654">
            <v>0</v>
          </cell>
          <cell r="AD654">
            <v>0</v>
          </cell>
          <cell r="AP654">
            <v>0.15696339341318219</v>
          </cell>
          <cell r="AQ654">
            <v>0.15696339341318219</v>
          </cell>
          <cell r="AR654">
            <v>0.15696339341318219</v>
          </cell>
          <cell r="AS654">
            <v>0.15696339341318219</v>
          </cell>
          <cell r="BI654">
            <v>0</v>
          </cell>
          <cell r="BJ654">
            <v>0</v>
          </cell>
          <cell r="BK654">
            <v>0</v>
          </cell>
          <cell r="BL654">
            <v>0</v>
          </cell>
          <cell r="BM654">
            <v>0</v>
          </cell>
          <cell r="BN654">
            <v>0</v>
          </cell>
          <cell r="BO654">
            <v>0</v>
          </cell>
          <cell r="BP654">
            <v>938392.5726227269</v>
          </cell>
          <cell r="BQ654">
            <v>5018360.2796780597</v>
          </cell>
          <cell r="BR654">
            <v>5956752.8523007864</v>
          </cell>
          <cell r="BT654">
            <v>36</v>
          </cell>
          <cell r="CA654" t="str">
            <v>915383 - CONTRACT - Identified - Recompete</v>
          </cell>
          <cell r="CC654" t="str">
            <v>915383 - CONTRACT - Identified - Recompete - IS4</v>
          </cell>
          <cell r="CD654" t="str">
            <v/>
          </cell>
          <cell r="CF654" t="str">
            <v>915383 - Identified - Recompete - IS4</v>
          </cell>
        </row>
        <row r="655">
          <cell r="D655">
            <v>641</v>
          </cell>
          <cell r="E655">
            <v>0</v>
          </cell>
          <cell r="F655">
            <v>5</v>
          </cell>
          <cell r="G655" t="str">
            <v>915383</v>
          </cell>
          <cell r="H655" t="str">
            <v>0915.F3083 SPAWAR</v>
          </cell>
          <cell r="I655" t="str">
            <v>IS4</v>
          </cell>
          <cell r="J655" t="str">
            <v>IS4 Sustainment Engineering and Acquisition</v>
          </cell>
          <cell r="K655" t="str">
            <v>Navy</v>
          </cell>
          <cell r="L655" t="str">
            <v>DOD</v>
          </cell>
          <cell r="M655" t="str">
            <v>VA</v>
          </cell>
          <cell r="N655" t="str">
            <v>CONUS</v>
          </cell>
          <cell r="O655">
            <v>42937</v>
          </cell>
          <cell r="P655">
            <v>44762</v>
          </cell>
          <cell r="Q655" t="str">
            <v>Prime</v>
          </cell>
          <cell r="R655" t="str">
            <v>CPFF</v>
          </cell>
          <cell r="S655">
            <v>0</v>
          </cell>
          <cell r="T655">
            <v>1</v>
          </cell>
          <cell r="U655" t="str">
            <v>EBITA</v>
          </cell>
          <cell r="V655" t="str">
            <v>Base</v>
          </cell>
          <cell r="W655" t="str">
            <v>05 Won</v>
          </cell>
          <cell r="X655" t="str">
            <v>Active</v>
          </cell>
          <cell r="Y655">
            <v>1</v>
          </cell>
          <cell r="Z655">
            <v>0</v>
          </cell>
          <cell r="AA655">
            <v>60312818.049999997</v>
          </cell>
          <cell r="AB655">
            <v>84574476.569999993</v>
          </cell>
          <cell r="AC655">
            <v>0</v>
          </cell>
          <cell r="AD655">
            <v>144887294.62</v>
          </cell>
          <cell r="AT655">
            <v>0</v>
          </cell>
          <cell r="AU655">
            <v>7.0593825753736086E-2</v>
          </cell>
          <cell r="AV655">
            <v>5.5874797555805711E-2</v>
          </cell>
          <cell r="AW655">
            <v>5.3776955842565144E-2</v>
          </cell>
          <cell r="AX655">
            <v>5.8975994188575735E-2</v>
          </cell>
          <cell r="AY655">
            <v>5.8975994188575735E-2</v>
          </cell>
          <cell r="AZ655">
            <v>5.8975994188575735E-2</v>
          </cell>
          <cell r="BA655">
            <v>5.8975994188575735E-2</v>
          </cell>
          <cell r="BF655">
            <v>0</v>
          </cell>
          <cell r="BG655">
            <v>11957.549999999996</v>
          </cell>
          <cell r="BH655">
            <v>1503613.360000001</v>
          </cell>
          <cell r="BI655">
            <v>418613.30999999959</v>
          </cell>
          <cell r="BJ655">
            <v>470825.48000000039</v>
          </cell>
          <cell r="BK655">
            <v>522341.72000000009</v>
          </cell>
          <cell r="BL655">
            <v>484343.19000000064</v>
          </cell>
          <cell r="BM655">
            <v>1896123.7000000009</v>
          </cell>
          <cell r="BN655">
            <v>1945470.3800585447</v>
          </cell>
          <cell r="BO655">
            <v>1994107.139560008</v>
          </cell>
          <cell r="BP655">
            <v>1646523.1867617008</v>
          </cell>
          <cell r="BQ655">
            <v>0</v>
          </cell>
          <cell r="BR655">
            <v>7482224.4063802538</v>
          </cell>
          <cell r="BT655">
            <v>36</v>
          </cell>
          <cell r="CA655" t="str">
            <v>915383 - EBITA - Base</v>
          </cell>
          <cell r="CC655" t="str">
            <v>915383 - EBITA - Base - IS4</v>
          </cell>
          <cell r="CD655" t="str">
            <v/>
          </cell>
          <cell r="CF655" t="str">
            <v>915383 - Base - IS4</v>
          </cell>
        </row>
        <row r="656">
          <cell r="D656">
            <v>642</v>
          </cell>
          <cell r="E656">
            <v>0</v>
          </cell>
          <cell r="F656">
            <v>0</v>
          </cell>
          <cell r="G656" t="str">
            <v>915383</v>
          </cell>
          <cell r="H656" t="str">
            <v>0915.F3083 SPAWAR</v>
          </cell>
          <cell r="I656" t="str">
            <v>IS4</v>
          </cell>
          <cell r="J656" t="str">
            <v>IS4 Sustainment Engineering and Acquisition</v>
          </cell>
          <cell r="K656" t="str">
            <v>Navy</v>
          </cell>
          <cell r="L656" t="str">
            <v>DOD</v>
          </cell>
          <cell r="M656" t="str">
            <v>VA</v>
          </cell>
          <cell r="N656" t="str">
            <v>CONUS</v>
          </cell>
          <cell r="O656">
            <v>44683</v>
          </cell>
          <cell r="P656">
            <v>46509</v>
          </cell>
          <cell r="Q656" t="str">
            <v>Prime</v>
          </cell>
          <cell r="R656" t="str">
            <v>CPFF</v>
          </cell>
          <cell r="S656">
            <v>0</v>
          </cell>
          <cell r="T656">
            <v>1</v>
          </cell>
          <cell r="U656" t="str">
            <v>EBITA</v>
          </cell>
          <cell r="V656" t="str">
            <v>Identified - Recompete</v>
          </cell>
          <cell r="W656" t="str">
            <v>02 Capture</v>
          </cell>
          <cell r="X656" t="str">
            <v>Priority 2</v>
          </cell>
          <cell r="Y656">
            <v>0.9</v>
          </cell>
          <cell r="Z656">
            <v>280000000</v>
          </cell>
          <cell r="AA656">
            <v>0</v>
          </cell>
          <cell r="AB656">
            <v>0</v>
          </cell>
          <cell r="AC656">
            <v>0</v>
          </cell>
          <cell r="AD656">
            <v>0</v>
          </cell>
          <cell r="AX656">
            <v>5.8975994188575735E-2</v>
          </cell>
          <cell r="AY656">
            <v>5.8975994188575735E-2</v>
          </cell>
          <cell r="AZ656">
            <v>5.8975994188575735E-2</v>
          </cell>
          <cell r="BA656">
            <v>5.8975994188575735E-2</v>
          </cell>
          <cell r="BI656">
            <v>0</v>
          </cell>
          <cell r="BJ656">
            <v>0</v>
          </cell>
          <cell r="BK656">
            <v>0</v>
          </cell>
          <cell r="BL656">
            <v>0</v>
          </cell>
          <cell r="BM656">
            <v>0</v>
          </cell>
          <cell r="BN656">
            <v>0</v>
          </cell>
          <cell r="BO656">
            <v>0</v>
          </cell>
          <cell r="BP656">
            <v>352583.06861345388</v>
          </cell>
          <cell r="BQ656">
            <v>1885552.9321502096</v>
          </cell>
          <cell r="BR656">
            <v>2238136.0007636636</v>
          </cell>
          <cell r="BT656">
            <v>36</v>
          </cell>
          <cell r="CA656" t="str">
            <v>915383 - EBITA - Identified - Recompete</v>
          </cell>
          <cell r="CC656" t="str">
            <v>915383 - EBITA - Identified - Recompete - IS4</v>
          </cell>
          <cell r="CD656" t="str">
            <v/>
          </cell>
          <cell r="CF656" t="str">
            <v>915383 - Identified - Recompete - IS4</v>
          </cell>
        </row>
        <row r="657">
          <cell r="D657">
            <v>643</v>
          </cell>
          <cell r="E657">
            <v>1</v>
          </cell>
          <cell r="F657">
            <v>1</v>
          </cell>
          <cell r="G657" t="str">
            <v>000065</v>
          </cell>
          <cell r="H657" t="str">
            <v>OASIS (Fosters)</v>
          </cell>
          <cell r="I657" t="str">
            <v>IS4</v>
          </cell>
          <cell r="J657" t="str">
            <v>IS4 Infrastructure and Engineering</v>
          </cell>
          <cell r="K657" t="str">
            <v>Classified Agency</v>
          </cell>
          <cell r="L657" t="str">
            <v>Classified</v>
          </cell>
          <cell r="M657" t="str">
            <v>Australia</v>
          </cell>
          <cell r="N657" t="str">
            <v>OCONUS</v>
          </cell>
          <cell r="O657">
            <v>41671</v>
          </cell>
          <cell r="P657">
            <v>45046</v>
          </cell>
          <cell r="Q657" t="str">
            <v>Prime</v>
          </cell>
          <cell r="R657" t="str">
            <v>CPAF</v>
          </cell>
          <cell r="S657">
            <v>0</v>
          </cell>
          <cell r="T657">
            <v>1</v>
          </cell>
          <cell r="U657" t="str">
            <v>REVTOT</v>
          </cell>
          <cell r="V657" t="str">
            <v>Base</v>
          </cell>
          <cell r="W657" t="str">
            <v>05 Won</v>
          </cell>
          <cell r="X657" t="str">
            <v>Active</v>
          </cell>
          <cell r="Y657">
            <v>1</v>
          </cell>
          <cell r="Z657">
            <v>0</v>
          </cell>
          <cell r="AA657">
            <v>121278358.03999996</v>
          </cell>
          <cell r="AB657">
            <v>226831762</v>
          </cell>
          <cell r="AC657">
            <v>0</v>
          </cell>
          <cell r="AD657">
            <v>348110120.03999996</v>
          </cell>
          <cell r="AE657">
            <v>2.0939493156082234E-2</v>
          </cell>
          <cell r="AF657">
            <v>0.10827117801217589</v>
          </cell>
          <cell r="AG657">
            <v>-0.14161717726494405</v>
          </cell>
          <cell r="AH657">
            <v>-6.5535508080138971E-4</v>
          </cell>
          <cell r="AI657">
            <v>0</v>
          </cell>
          <cell r="AJ657">
            <v>0</v>
          </cell>
          <cell r="AK657">
            <v>0</v>
          </cell>
          <cell r="BB657">
            <v>77746413</v>
          </cell>
          <cell r="BC657">
            <v>77746413</v>
          </cell>
          <cell r="BD657">
            <v>77746413</v>
          </cell>
          <cell r="BE657">
            <v>77746413</v>
          </cell>
          <cell r="BF657">
            <v>80101013.310000002</v>
          </cell>
          <cell r="BG657">
            <v>81778287.929999992</v>
          </cell>
          <cell r="BH657">
            <v>90632519.5</v>
          </cell>
          <cell r="BI657">
            <v>20674806.57</v>
          </cell>
          <cell r="BJ657">
            <v>17473672.690000001</v>
          </cell>
          <cell r="BK657">
            <v>18598918.66</v>
          </cell>
          <cell r="BL657">
            <v>21050000</v>
          </cell>
          <cell r="BM657">
            <v>77797397.920000002</v>
          </cell>
          <cell r="BN657">
            <v>77746413</v>
          </cell>
          <cell r="BO657">
            <v>77746413</v>
          </cell>
          <cell r="BP657">
            <v>77746413</v>
          </cell>
          <cell r="BQ657">
            <v>45352074.25</v>
          </cell>
          <cell r="BR657">
            <v>356388711.17000002</v>
          </cell>
          <cell r="BT657">
            <v>37</v>
          </cell>
          <cell r="CA657" t="str">
            <v>000065 - REVTOT - Base</v>
          </cell>
          <cell r="CC657" t="str">
            <v>000065 - REVTOT - Base - IS4</v>
          </cell>
          <cell r="CD657" t="str">
            <v/>
          </cell>
          <cell r="CF657" t="str">
            <v>000065 - Base - IS4</v>
          </cell>
        </row>
        <row r="658">
          <cell r="D658">
            <v>644</v>
          </cell>
          <cell r="E658">
            <v>1</v>
          </cell>
          <cell r="F658">
            <v>2</v>
          </cell>
          <cell r="G658" t="str">
            <v>000065</v>
          </cell>
          <cell r="H658" t="str">
            <v>OASIS (Fosters)</v>
          </cell>
          <cell r="I658" t="str">
            <v>IS4</v>
          </cell>
          <cell r="J658" t="str">
            <v>IS4 Infrastructure and Engineering</v>
          </cell>
          <cell r="K658" t="str">
            <v>Classified Agency</v>
          </cell>
          <cell r="L658" t="str">
            <v>Classified</v>
          </cell>
          <cell r="M658" t="str">
            <v>Australia</v>
          </cell>
          <cell r="N658" t="str">
            <v>OCONUS</v>
          </cell>
          <cell r="O658">
            <v>45047</v>
          </cell>
          <cell r="P658">
            <v>48700</v>
          </cell>
          <cell r="Q658" t="str">
            <v>Prime</v>
          </cell>
          <cell r="R658" t="str">
            <v>CPAF</v>
          </cell>
          <cell r="S658">
            <v>0</v>
          </cell>
          <cell r="T658">
            <v>1</v>
          </cell>
          <cell r="U658" t="str">
            <v>REVTOT</v>
          </cell>
          <cell r="V658" t="str">
            <v>Identified - Recompete</v>
          </cell>
          <cell r="W658" t="str">
            <v>02 Capture</v>
          </cell>
          <cell r="X658" t="str">
            <v>Priority 1</v>
          </cell>
          <cell r="Y658">
            <v>0.75</v>
          </cell>
          <cell r="Z658">
            <v>800000000</v>
          </cell>
          <cell r="AA658">
            <v>0</v>
          </cell>
          <cell r="AB658">
            <v>0</v>
          </cell>
          <cell r="AC658">
            <v>0</v>
          </cell>
          <cell r="AD658">
            <v>0</v>
          </cell>
          <cell r="AI658">
            <v>0</v>
          </cell>
          <cell r="AJ658">
            <v>0</v>
          </cell>
          <cell r="AK658">
            <v>0</v>
          </cell>
          <cell r="BB658">
            <v>80000000</v>
          </cell>
          <cell r="BC658">
            <v>80000000</v>
          </cell>
          <cell r="BD658">
            <v>80000000</v>
          </cell>
          <cell r="BE658">
            <v>80000000</v>
          </cell>
          <cell r="BI658">
            <v>0</v>
          </cell>
          <cell r="BJ658">
            <v>0</v>
          </cell>
          <cell r="BK658">
            <v>0</v>
          </cell>
          <cell r="BL658">
            <v>0</v>
          </cell>
          <cell r="BM658">
            <v>0</v>
          </cell>
          <cell r="BN658">
            <v>0</v>
          </cell>
          <cell r="BO658">
            <v>0</v>
          </cell>
          <cell r="BP658">
            <v>0</v>
          </cell>
          <cell r="BQ658">
            <v>24833333.333333332</v>
          </cell>
          <cell r="BR658">
            <v>24833333.333333332</v>
          </cell>
          <cell r="BT658">
            <v>37</v>
          </cell>
          <cell r="CA658" t="str">
            <v>000065 - REVTOT - Identified - Recompete</v>
          </cell>
          <cell r="CC658" t="str">
            <v>000065 - REVTOT - Identified - Recompete - IS4</v>
          </cell>
          <cell r="CD658" t="str">
            <v/>
          </cell>
          <cell r="CF658" t="str">
            <v>000065 - Identified - Recompete - IS4</v>
          </cell>
        </row>
        <row r="659">
          <cell r="D659">
            <v>645</v>
          </cell>
          <cell r="E659">
            <v>2</v>
          </cell>
          <cell r="F659">
            <v>3</v>
          </cell>
          <cell r="G659" t="str">
            <v>000065</v>
          </cell>
          <cell r="H659" t="str">
            <v>OASIS (Fosters)</v>
          </cell>
          <cell r="I659" t="str">
            <v>IS4</v>
          </cell>
          <cell r="J659" t="str">
            <v>IS4 Infrastructure and Engineering</v>
          </cell>
          <cell r="K659" t="str">
            <v>Classified Agency</v>
          </cell>
          <cell r="L659" t="str">
            <v>Classified</v>
          </cell>
          <cell r="M659" t="str">
            <v>Australia</v>
          </cell>
          <cell r="N659" t="str">
            <v>OCONUS</v>
          </cell>
          <cell r="O659">
            <v>41671</v>
          </cell>
          <cell r="P659">
            <v>45046</v>
          </cell>
          <cell r="Q659" t="str">
            <v>Prime</v>
          </cell>
          <cell r="R659" t="str">
            <v>CPAF</v>
          </cell>
          <cell r="S659">
            <v>0</v>
          </cell>
          <cell r="T659">
            <v>1</v>
          </cell>
          <cell r="U659" t="str">
            <v>CONTRACT</v>
          </cell>
          <cell r="V659" t="str">
            <v>Base</v>
          </cell>
          <cell r="W659" t="str">
            <v>05 Won</v>
          </cell>
          <cell r="X659" t="str">
            <v>Active</v>
          </cell>
          <cell r="Y659">
            <v>1</v>
          </cell>
          <cell r="Z659">
            <v>0</v>
          </cell>
          <cell r="AA659">
            <v>121278358.03999996</v>
          </cell>
          <cell r="AB659">
            <v>226831762</v>
          </cell>
          <cell r="AC659">
            <v>0</v>
          </cell>
          <cell r="AD659">
            <v>348110120.03999996</v>
          </cell>
          <cell r="AL659">
            <v>0.11848471708178947</v>
          </cell>
          <cell r="AM659">
            <v>0.13510140551557034</v>
          </cell>
          <cell r="AN659">
            <v>0.12383687987400591</v>
          </cell>
          <cell r="AO659">
            <v>0.13518378966957897</v>
          </cell>
          <cell r="AP659">
            <v>0.15473656790936033</v>
          </cell>
          <cell r="AQ659">
            <v>0.15473656790936033</v>
          </cell>
          <cell r="AR659">
            <v>0.15473656790936033</v>
          </cell>
          <cell r="AS659">
            <v>0.15473656790936033</v>
          </cell>
          <cell r="BF659">
            <v>9490745.9000000022</v>
          </cell>
          <cell r="BG659">
            <v>11048361.640000001</v>
          </cell>
          <cell r="BH659">
            <v>11223648.429999998</v>
          </cell>
          <cell r="BI659">
            <v>2790030.620000001</v>
          </cell>
          <cell r="BJ659">
            <v>2317685.9600000028</v>
          </cell>
          <cell r="BK659">
            <v>2557496.1500000004</v>
          </cell>
          <cell r="BL659">
            <v>2851734.3472578172</v>
          </cell>
          <cell r="BM659">
            <v>10516947.077257821</v>
          </cell>
          <cell r="BN659">
            <v>12030213.114883674</v>
          </cell>
          <cell r="BO659">
            <v>12030213.114883674</v>
          </cell>
          <cell r="BP659">
            <v>12030213.114883674</v>
          </cell>
          <cell r="BQ659">
            <v>7017624.3170154765</v>
          </cell>
          <cell r="BR659">
            <v>53625210.738924325</v>
          </cell>
          <cell r="BT659">
            <v>37</v>
          </cell>
          <cell r="CA659" t="str">
            <v>000065 - CONTRACT - Base</v>
          </cell>
          <cell r="CC659" t="str">
            <v>000065 - CONTRACT - Base - IS4</v>
          </cell>
          <cell r="CD659" t="str">
            <v/>
          </cell>
          <cell r="CF659" t="str">
            <v>000065 - Base - IS4</v>
          </cell>
        </row>
        <row r="660">
          <cell r="D660">
            <v>646</v>
          </cell>
          <cell r="E660">
            <v>2</v>
          </cell>
          <cell r="F660">
            <v>4</v>
          </cell>
          <cell r="G660" t="str">
            <v>000065</v>
          </cell>
          <cell r="H660" t="str">
            <v>OASIS (Fosters)</v>
          </cell>
          <cell r="I660" t="str">
            <v>IS4</v>
          </cell>
          <cell r="J660" t="str">
            <v>IS4 Infrastructure and Engineering</v>
          </cell>
          <cell r="K660" t="str">
            <v>Classified Agency</v>
          </cell>
          <cell r="L660" t="str">
            <v>Classified</v>
          </cell>
          <cell r="M660" t="str">
            <v>Australia</v>
          </cell>
          <cell r="N660" t="str">
            <v>OCONUS</v>
          </cell>
          <cell r="O660">
            <v>45047</v>
          </cell>
          <cell r="P660">
            <v>48700</v>
          </cell>
          <cell r="Q660" t="str">
            <v>Prime</v>
          </cell>
          <cell r="R660" t="str">
            <v>CPAF</v>
          </cell>
          <cell r="S660">
            <v>0</v>
          </cell>
          <cell r="T660">
            <v>1</v>
          </cell>
          <cell r="U660" t="str">
            <v>CONTRACT</v>
          </cell>
          <cell r="V660" t="str">
            <v>Identified - Recompete</v>
          </cell>
          <cell r="W660" t="str">
            <v>02 Capture</v>
          </cell>
          <cell r="X660" t="str">
            <v>Priority 1</v>
          </cell>
          <cell r="Y660">
            <v>0.75</v>
          </cell>
          <cell r="Z660">
            <v>800000000</v>
          </cell>
          <cell r="AA660">
            <v>0</v>
          </cell>
          <cell r="AB660">
            <v>0</v>
          </cell>
          <cell r="AC660">
            <v>0</v>
          </cell>
          <cell r="AD660">
            <v>0</v>
          </cell>
          <cell r="AP660">
            <v>0.128</v>
          </cell>
          <cell r="AQ660">
            <v>0.128</v>
          </cell>
          <cell r="AR660">
            <v>0.128</v>
          </cell>
          <cell r="AS660">
            <v>0.128</v>
          </cell>
          <cell r="BI660">
            <v>0</v>
          </cell>
          <cell r="BJ660">
            <v>0</v>
          </cell>
          <cell r="BK660">
            <v>0</v>
          </cell>
          <cell r="BL660">
            <v>0</v>
          </cell>
          <cell r="BM660">
            <v>0</v>
          </cell>
          <cell r="BN660">
            <v>0</v>
          </cell>
          <cell r="BO660">
            <v>0</v>
          </cell>
          <cell r="BP660">
            <v>0</v>
          </cell>
          <cell r="BQ660">
            <v>3178666.6666666665</v>
          </cell>
          <cell r="BR660">
            <v>3178666.6666666665</v>
          </cell>
          <cell r="BT660">
            <v>37</v>
          </cell>
          <cell r="CA660" t="str">
            <v>000065 - CONTRACT - Identified - Recompete</v>
          </cell>
          <cell r="CC660" t="str">
            <v>000065 - CONTRACT - Identified - Recompete - IS4</v>
          </cell>
          <cell r="CD660" t="str">
            <v/>
          </cell>
          <cell r="CF660" t="str">
            <v>000065 - Identified - Recompete - IS4</v>
          </cell>
        </row>
        <row r="661">
          <cell r="D661">
            <v>647</v>
          </cell>
          <cell r="E661">
            <v>0</v>
          </cell>
          <cell r="F661">
            <v>5</v>
          </cell>
          <cell r="G661" t="str">
            <v>000065</v>
          </cell>
          <cell r="H661" t="str">
            <v>OASIS (Fosters)</v>
          </cell>
          <cell r="I661" t="str">
            <v>IS4</v>
          </cell>
          <cell r="J661" t="str">
            <v>IS4 Infrastructure and Engineering</v>
          </cell>
          <cell r="K661" t="str">
            <v>Classified Agency</v>
          </cell>
          <cell r="L661" t="str">
            <v>Classified</v>
          </cell>
          <cell r="M661" t="str">
            <v>Australia</v>
          </cell>
          <cell r="N661" t="str">
            <v>OCONUS</v>
          </cell>
          <cell r="O661">
            <v>41671</v>
          </cell>
          <cell r="P661">
            <v>45046</v>
          </cell>
          <cell r="Q661" t="str">
            <v>Prime</v>
          </cell>
          <cell r="R661" t="str">
            <v>CPAF</v>
          </cell>
          <cell r="S661">
            <v>0</v>
          </cell>
          <cell r="T661">
            <v>1</v>
          </cell>
          <cell r="U661" t="str">
            <v>EBITA</v>
          </cell>
          <cell r="V661" t="str">
            <v>Base</v>
          </cell>
          <cell r="W661" t="str">
            <v>05 Won</v>
          </cell>
          <cell r="X661" t="str">
            <v>Active</v>
          </cell>
          <cell r="Y661">
            <v>1</v>
          </cell>
          <cell r="Z661">
            <v>0</v>
          </cell>
          <cell r="AA661">
            <v>121278358.03999996</v>
          </cell>
          <cell r="AB661">
            <v>226831762</v>
          </cell>
          <cell r="AC661">
            <v>0</v>
          </cell>
          <cell r="AD661">
            <v>348110120.03999996</v>
          </cell>
          <cell r="AT661">
            <v>4.773242861738798E-3</v>
          </cell>
          <cell r="AU661">
            <v>1.5369711592346855E-2</v>
          </cell>
          <cell r="AV661">
            <v>2.0431104974412612E-2</v>
          </cell>
          <cell r="AW661">
            <v>2.0594761093524986E-2</v>
          </cell>
          <cell r="AX661">
            <v>2.1997663567184925E-2</v>
          </cell>
          <cell r="AY661">
            <v>2.2997663567184926E-2</v>
          </cell>
          <cell r="AZ661">
            <v>2.2997663567184926E-2</v>
          </cell>
          <cell r="BA661">
            <v>2.2997663567184926E-2</v>
          </cell>
          <cell r="BF661">
            <v>382341.59000000195</v>
          </cell>
          <cell r="BG661">
            <v>1256908.6999999997</v>
          </cell>
          <cell r="BH661">
            <v>1851722.5199999982</v>
          </cell>
          <cell r="BI661">
            <v>416492.76000000106</v>
          </cell>
          <cell r="BJ661">
            <v>303617.37000000267</v>
          </cell>
          <cell r="BK661">
            <v>402312.00000000047</v>
          </cell>
          <cell r="BL661">
            <v>479796.6938602936</v>
          </cell>
          <cell r="BM661">
            <v>1602218.8238602977</v>
          </cell>
          <cell r="BN661">
            <v>1710239.4367294123</v>
          </cell>
          <cell r="BO661">
            <v>1787985.8497294125</v>
          </cell>
          <cell r="BP661">
            <v>1787985.8497294125</v>
          </cell>
          <cell r="BQ661">
            <v>1042991.7456754906</v>
          </cell>
          <cell r="BR661">
            <v>7931421.7057240251</v>
          </cell>
          <cell r="BT661">
            <v>37</v>
          </cell>
          <cell r="CA661" t="str">
            <v>000065 - EBITA - Base</v>
          </cell>
          <cell r="CC661" t="str">
            <v>000065 - EBITA - Base - IS4</v>
          </cell>
          <cell r="CD661" t="str">
            <v/>
          </cell>
          <cell r="CF661" t="str">
            <v>000065 - Base - IS4</v>
          </cell>
        </row>
        <row r="662">
          <cell r="D662">
            <v>648</v>
          </cell>
          <cell r="E662">
            <v>0</v>
          </cell>
          <cell r="F662">
            <v>0</v>
          </cell>
          <cell r="G662" t="str">
            <v>000065</v>
          </cell>
          <cell r="H662" t="str">
            <v>OASIS (Fosters)</v>
          </cell>
          <cell r="I662" t="str">
            <v>IS4</v>
          </cell>
          <cell r="J662" t="str">
            <v>IS4 Infrastructure and Engineering</v>
          </cell>
          <cell r="K662" t="str">
            <v>Classified Agency</v>
          </cell>
          <cell r="L662" t="str">
            <v>Classified</v>
          </cell>
          <cell r="M662" t="str">
            <v>Australia</v>
          </cell>
          <cell r="N662" t="str">
            <v>OCONUS</v>
          </cell>
          <cell r="O662">
            <v>45047</v>
          </cell>
          <cell r="P662">
            <v>48700</v>
          </cell>
          <cell r="Q662" t="str">
            <v>Prime</v>
          </cell>
          <cell r="R662" t="str">
            <v>CPAF</v>
          </cell>
          <cell r="S662">
            <v>0</v>
          </cell>
          <cell r="T662">
            <v>1</v>
          </cell>
          <cell r="U662" t="str">
            <v>EBITA</v>
          </cell>
          <cell r="V662" t="str">
            <v>Identified - Recompete</v>
          </cell>
          <cell r="W662" t="str">
            <v>02 Capture</v>
          </cell>
          <cell r="X662" t="str">
            <v>Priority 1</v>
          </cell>
          <cell r="Y662">
            <v>0.75</v>
          </cell>
          <cell r="Z662">
            <v>800000000</v>
          </cell>
          <cell r="AA662">
            <v>0</v>
          </cell>
          <cell r="AB662">
            <v>0</v>
          </cell>
          <cell r="AC662">
            <v>0</v>
          </cell>
          <cell r="AD662">
            <v>0</v>
          </cell>
          <cell r="AX662">
            <v>0.03</v>
          </cell>
          <cell r="AY662">
            <v>0.03</v>
          </cell>
          <cell r="AZ662">
            <v>0.03</v>
          </cell>
          <cell r="BA662">
            <v>0.03</v>
          </cell>
          <cell r="BI662">
            <v>0</v>
          </cell>
          <cell r="BJ662">
            <v>0</v>
          </cell>
          <cell r="BK662">
            <v>0</v>
          </cell>
          <cell r="BL662">
            <v>0</v>
          </cell>
          <cell r="BM662">
            <v>0</v>
          </cell>
          <cell r="BN662">
            <v>0</v>
          </cell>
          <cell r="BO662">
            <v>0</v>
          </cell>
          <cell r="BP662">
            <v>0</v>
          </cell>
          <cell r="BQ662">
            <v>744999.99999999988</v>
          </cell>
          <cell r="BR662">
            <v>744999.99999999988</v>
          </cell>
          <cell r="BT662">
            <v>37</v>
          </cell>
          <cell r="CA662" t="str">
            <v>000065 - EBITA - Identified - Recompete</v>
          </cell>
          <cell r="CC662" t="str">
            <v>000065 - EBITA - Identified - Recompete - IS4</v>
          </cell>
          <cell r="CD662" t="str">
            <v/>
          </cell>
          <cell r="CF662" t="str">
            <v>000065 - Identified - Recompete - IS4</v>
          </cell>
        </row>
        <row r="663">
          <cell r="D663">
            <v>649</v>
          </cell>
          <cell r="E663">
            <v>1</v>
          </cell>
          <cell r="F663">
            <v>1</v>
          </cell>
          <cell r="G663" t="str">
            <v>DISAPC</v>
          </cell>
          <cell r="H663" t="str">
            <v>DISA PCS System Z</v>
          </cell>
          <cell r="I663" t="str">
            <v>IS4</v>
          </cell>
          <cell r="J663" t="str">
            <v>IS4 Engineering and Technology Services</v>
          </cell>
          <cell r="K663" t="str">
            <v>DISA</v>
          </cell>
          <cell r="L663" t="str">
            <v>DOD</v>
          </cell>
          <cell r="M663" t="str">
            <v>US_State</v>
          </cell>
          <cell r="N663" t="str">
            <v>CONUS</v>
          </cell>
          <cell r="O663">
            <v>43203</v>
          </cell>
          <cell r="P663">
            <v>46660</v>
          </cell>
          <cell r="Q663" t="str">
            <v>Prime</v>
          </cell>
          <cell r="R663" t="str">
            <v>FFP</v>
          </cell>
          <cell r="S663">
            <v>0</v>
          </cell>
          <cell r="T663">
            <v>1</v>
          </cell>
          <cell r="U663" t="str">
            <v>REVTOT</v>
          </cell>
          <cell r="V663" t="str">
            <v>Base</v>
          </cell>
          <cell r="W663" t="str">
            <v>05 Won</v>
          </cell>
          <cell r="X663" t="str">
            <v>Active</v>
          </cell>
          <cell r="Y663">
            <v>1</v>
          </cell>
          <cell r="Z663">
            <v>0</v>
          </cell>
          <cell r="AA663">
            <v>41586547.129999995</v>
          </cell>
          <cell r="AB663">
            <v>61673083</v>
          </cell>
          <cell r="AC663">
            <v>0</v>
          </cell>
          <cell r="AD663">
            <v>103259630.13</v>
          </cell>
          <cell r="AE663">
            <v>0</v>
          </cell>
          <cell r="AF663">
            <v>0</v>
          </cell>
          <cell r="AG663">
            <v>5.0090917706455667</v>
          </cell>
          <cell r="AH663">
            <v>-7.346731046555588E-3</v>
          </cell>
          <cell r="AI663">
            <v>0</v>
          </cell>
          <cell r="AJ663">
            <v>0</v>
          </cell>
          <cell r="AK663">
            <v>0</v>
          </cell>
          <cell r="BB663">
            <v>10618709</v>
          </cell>
          <cell r="BC663">
            <v>10618709</v>
          </cell>
          <cell r="BD663">
            <v>10618709</v>
          </cell>
          <cell r="BE663">
            <v>10618709</v>
          </cell>
          <cell r="BF663">
            <v>0</v>
          </cell>
          <cell r="BG663">
            <v>0</v>
          </cell>
          <cell r="BH663">
            <v>1780185.69</v>
          </cell>
          <cell r="BI663">
            <v>2022088.16</v>
          </cell>
          <cell r="BJ663">
            <v>2333228.6199999996</v>
          </cell>
          <cell r="BK663">
            <v>3539277.4</v>
          </cell>
          <cell r="BL663">
            <v>2802705</v>
          </cell>
          <cell r="BM663">
            <v>10697299.18</v>
          </cell>
          <cell r="BN663">
            <v>10618709</v>
          </cell>
          <cell r="BO663">
            <v>10618709</v>
          </cell>
          <cell r="BP663">
            <v>10618709</v>
          </cell>
          <cell r="BQ663">
            <v>10618709</v>
          </cell>
          <cell r="BR663">
            <v>53172135.18</v>
          </cell>
          <cell r="BT663">
            <v>38</v>
          </cell>
          <cell r="CA663" t="str">
            <v>DISAPC - REVTOT - Base</v>
          </cell>
          <cell r="CC663" t="str">
            <v>DISAPC - REVTOT - Base - IS4</v>
          </cell>
          <cell r="CD663" t="str">
            <v/>
          </cell>
          <cell r="CF663" t="str">
            <v>DISAPC - Base - IS4</v>
          </cell>
        </row>
        <row r="664">
          <cell r="D664">
            <v>650</v>
          </cell>
          <cell r="E664">
            <v>1</v>
          </cell>
          <cell r="F664">
            <v>2</v>
          </cell>
          <cell r="G664" t="str">
            <v>DISAPC</v>
          </cell>
          <cell r="H664" t="str">
            <v>DISA PCS System Z</v>
          </cell>
          <cell r="I664" t="str">
            <v>IS4</v>
          </cell>
          <cell r="J664" t="str">
            <v>IS4 Engineering and Technology Services</v>
          </cell>
          <cell r="K664" t="str">
            <v>DISA</v>
          </cell>
          <cell r="L664" t="str">
            <v>DOD</v>
          </cell>
          <cell r="M664" t="str">
            <v>US_State</v>
          </cell>
          <cell r="N664" t="str">
            <v>CONUS</v>
          </cell>
          <cell r="O664">
            <v>0</v>
          </cell>
          <cell r="P664">
            <v>0</v>
          </cell>
          <cell r="Q664">
            <v>0</v>
          </cell>
          <cell r="R664" t="str">
            <v>FFP</v>
          </cell>
          <cell r="S664">
            <v>0</v>
          </cell>
          <cell r="T664">
            <v>1</v>
          </cell>
          <cell r="U664" t="str">
            <v>REVTOT</v>
          </cell>
          <cell r="V664" t="str">
            <v>Identified - Recompete</v>
          </cell>
          <cell r="W664">
            <v>0</v>
          </cell>
          <cell r="X664">
            <v>0</v>
          </cell>
          <cell r="Y664">
            <v>0</v>
          </cell>
          <cell r="Z664">
            <v>0</v>
          </cell>
          <cell r="AA664">
            <v>0</v>
          </cell>
          <cell r="AB664">
            <v>0</v>
          </cell>
          <cell r="AC664">
            <v>0</v>
          </cell>
          <cell r="AD664">
            <v>0</v>
          </cell>
          <cell r="AI664">
            <v>0</v>
          </cell>
          <cell r="AJ664">
            <v>0</v>
          </cell>
          <cell r="AK664">
            <v>0</v>
          </cell>
          <cell r="BB664">
            <v>0</v>
          </cell>
          <cell r="BC664">
            <v>0</v>
          </cell>
          <cell r="BD664">
            <v>0</v>
          </cell>
          <cell r="BE664">
            <v>0</v>
          </cell>
          <cell r="BI664">
            <v>0</v>
          </cell>
          <cell r="BJ664">
            <v>0</v>
          </cell>
          <cell r="BK664">
            <v>0</v>
          </cell>
          <cell r="BL664">
            <v>0</v>
          </cell>
          <cell r="BM664">
            <v>0</v>
          </cell>
          <cell r="BN664">
            <v>0</v>
          </cell>
          <cell r="BO664">
            <v>0</v>
          </cell>
          <cell r="BP664">
            <v>0</v>
          </cell>
          <cell r="BQ664">
            <v>0</v>
          </cell>
          <cell r="BR664">
            <v>0</v>
          </cell>
          <cell r="BT664">
            <v>38</v>
          </cell>
          <cell r="CA664" t="str">
            <v>DISAPC - REVTOT - Identified - Recompete</v>
          </cell>
          <cell r="CC664" t="str">
            <v>DISAPC - REVTOT - Identified - Recompete - IS4</v>
          </cell>
          <cell r="CD664" t="str">
            <v/>
          </cell>
          <cell r="CF664" t="str">
            <v>DISAPC - Identified - Recompete - IS4</v>
          </cell>
        </row>
        <row r="665">
          <cell r="D665">
            <v>651</v>
          </cell>
          <cell r="E665">
            <v>2</v>
          </cell>
          <cell r="F665">
            <v>3</v>
          </cell>
          <cell r="G665" t="str">
            <v>DISAPC</v>
          </cell>
          <cell r="H665" t="str">
            <v>DISA PCS System Z</v>
          </cell>
          <cell r="I665" t="str">
            <v>IS4</v>
          </cell>
          <cell r="J665" t="str">
            <v>IS4 Engineering and Technology Services</v>
          </cell>
          <cell r="K665" t="str">
            <v>DISA</v>
          </cell>
          <cell r="L665" t="str">
            <v>DOD</v>
          </cell>
          <cell r="M665" t="str">
            <v>US_State</v>
          </cell>
          <cell r="N665" t="str">
            <v>CONUS</v>
          </cell>
          <cell r="O665">
            <v>43203</v>
          </cell>
          <cell r="P665">
            <v>46660</v>
          </cell>
          <cell r="Q665" t="str">
            <v>Prime</v>
          </cell>
          <cell r="R665" t="str">
            <v>FFP</v>
          </cell>
          <cell r="S665">
            <v>0</v>
          </cell>
          <cell r="T665">
            <v>1</v>
          </cell>
          <cell r="U665" t="str">
            <v>CONTRACT</v>
          </cell>
          <cell r="V665" t="str">
            <v>Base</v>
          </cell>
          <cell r="W665" t="str">
            <v>05 Won</v>
          </cell>
          <cell r="X665" t="str">
            <v>Active</v>
          </cell>
          <cell r="Y665">
            <v>1</v>
          </cell>
          <cell r="Z665">
            <v>0</v>
          </cell>
          <cell r="AA665">
            <v>41586547.129999995</v>
          </cell>
          <cell r="AB665">
            <v>61673083</v>
          </cell>
          <cell r="AC665">
            <v>0</v>
          </cell>
          <cell r="AD665">
            <v>103259630.13</v>
          </cell>
          <cell r="AL665">
            <v>0</v>
          </cell>
          <cell r="AM665">
            <v>0</v>
          </cell>
          <cell r="AN665">
            <v>0.17984644624348148</v>
          </cell>
          <cell r="AO665">
            <v>0.21229400541081248</v>
          </cell>
          <cell r="AP665">
            <v>0.2088922349035085</v>
          </cell>
          <cell r="AQ665">
            <v>0.2088922349035085</v>
          </cell>
          <cell r="AR665">
            <v>0.2088922349035085</v>
          </cell>
          <cell r="AS665">
            <v>0.2088922349035085</v>
          </cell>
          <cell r="BF665">
            <v>0</v>
          </cell>
          <cell r="BG665">
            <v>0</v>
          </cell>
          <cell r="BH665">
            <v>320160.06999999995</v>
          </cell>
          <cell r="BI665">
            <v>417999.93999999983</v>
          </cell>
          <cell r="BJ665">
            <v>471834.14999999991</v>
          </cell>
          <cell r="BK665">
            <v>731172.39999999991</v>
          </cell>
          <cell r="BL665">
            <v>649966</v>
          </cell>
          <cell r="BM665">
            <v>2270972.4899999998</v>
          </cell>
          <cell r="BN665">
            <v>2218165.8547999999</v>
          </cell>
          <cell r="BO665">
            <v>2218165.8547999999</v>
          </cell>
          <cell r="BP665">
            <v>2218165.8547999999</v>
          </cell>
          <cell r="BQ665">
            <v>2218165.8547999999</v>
          </cell>
          <cell r="BR665">
            <v>11143635.909199998</v>
          </cell>
          <cell r="BT665">
            <v>38</v>
          </cell>
          <cell r="CA665" t="str">
            <v>DISAPC - CONTRACT - Base</v>
          </cell>
          <cell r="CC665" t="str">
            <v>DISAPC - CONTRACT - Base - IS4</v>
          </cell>
          <cell r="CD665" t="str">
            <v/>
          </cell>
          <cell r="CF665" t="str">
            <v>DISAPC - Base - IS4</v>
          </cell>
        </row>
        <row r="666">
          <cell r="D666">
            <v>652</v>
          </cell>
          <cell r="E666">
            <v>2</v>
          </cell>
          <cell r="F666">
            <v>4</v>
          </cell>
          <cell r="G666" t="str">
            <v>DISAPC</v>
          </cell>
          <cell r="H666" t="str">
            <v>DISA PCS System Z</v>
          </cell>
          <cell r="I666" t="str">
            <v>IS4</v>
          </cell>
          <cell r="J666" t="str">
            <v>IS4 Engineering and Technology Services</v>
          </cell>
          <cell r="K666" t="str">
            <v>DISA</v>
          </cell>
          <cell r="L666" t="str">
            <v>DOD</v>
          </cell>
          <cell r="M666" t="str">
            <v>US_State</v>
          </cell>
          <cell r="N666" t="str">
            <v>CONUS</v>
          </cell>
          <cell r="O666">
            <v>0</v>
          </cell>
          <cell r="P666">
            <v>0</v>
          </cell>
          <cell r="Q666">
            <v>0</v>
          </cell>
          <cell r="R666" t="str">
            <v>FFP</v>
          </cell>
          <cell r="S666">
            <v>0</v>
          </cell>
          <cell r="T666">
            <v>1</v>
          </cell>
          <cell r="U666" t="str">
            <v>CONTRACT</v>
          </cell>
          <cell r="V666" t="str">
            <v>Identified - Recompete</v>
          </cell>
          <cell r="W666">
            <v>0</v>
          </cell>
          <cell r="X666">
            <v>0</v>
          </cell>
          <cell r="Y666">
            <v>0</v>
          </cell>
          <cell r="Z666">
            <v>0</v>
          </cell>
          <cell r="AA666">
            <v>0</v>
          </cell>
          <cell r="AB666">
            <v>0</v>
          </cell>
          <cell r="AC666">
            <v>0</v>
          </cell>
          <cell r="AD666">
            <v>0</v>
          </cell>
          <cell r="AP666">
            <v>0.2088922349035085</v>
          </cell>
          <cell r="AQ666">
            <v>0.2088922349035085</v>
          </cell>
          <cell r="AR666">
            <v>0.2088922349035085</v>
          </cell>
          <cell r="AS666">
            <v>0.2088922349035085</v>
          </cell>
          <cell r="BI666">
            <v>0</v>
          </cell>
          <cell r="BJ666">
            <v>0</v>
          </cell>
          <cell r="BK666">
            <v>0</v>
          </cell>
          <cell r="BL666">
            <v>0</v>
          </cell>
          <cell r="BM666">
            <v>0</v>
          </cell>
          <cell r="BN666">
            <v>0</v>
          </cell>
          <cell r="BO666">
            <v>0</v>
          </cell>
          <cell r="BP666">
            <v>0</v>
          </cell>
          <cell r="BQ666">
            <v>0</v>
          </cell>
          <cell r="BR666">
            <v>0</v>
          </cell>
          <cell r="BT666">
            <v>38</v>
          </cell>
          <cell r="CA666" t="str">
            <v>DISAPC - CONTRACT - Identified - Recompete</v>
          </cell>
          <cell r="CC666" t="str">
            <v>DISAPC - CONTRACT - Identified - Recompete - IS4</v>
          </cell>
          <cell r="CD666" t="str">
            <v/>
          </cell>
          <cell r="CF666" t="str">
            <v>DISAPC - Identified - Recompete - IS4</v>
          </cell>
        </row>
        <row r="667">
          <cell r="D667">
            <v>653</v>
          </cell>
          <cell r="E667">
            <v>0</v>
          </cell>
          <cell r="F667">
            <v>5</v>
          </cell>
          <cell r="G667" t="str">
            <v>DISAPC</v>
          </cell>
          <cell r="H667" t="str">
            <v>DISA PCS System Z</v>
          </cell>
          <cell r="I667" t="str">
            <v>IS4</v>
          </cell>
          <cell r="J667" t="str">
            <v>IS4 Engineering and Technology Services</v>
          </cell>
          <cell r="K667" t="str">
            <v>DISA</v>
          </cell>
          <cell r="L667" t="str">
            <v>DOD</v>
          </cell>
          <cell r="M667" t="str">
            <v>US_State</v>
          </cell>
          <cell r="N667" t="str">
            <v>CONUS</v>
          </cell>
          <cell r="O667">
            <v>43203</v>
          </cell>
          <cell r="P667">
            <v>46660</v>
          </cell>
          <cell r="Q667" t="str">
            <v>Prime</v>
          </cell>
          <cell r="R667" t="str">
            <v>FFP</v>
          </cell>
          <cell r="S667">
            <v>0</v>
          </cell>
          <cell r="T667">
            <v>1</v>
          </cell>
          <cell r="U667" t="str">
            <v>EBITA</v>
          </cell>
          <cell r="V667" t="str">
            <v>Base</v>
          </cell>
          <cell r="W667" t="str">
            <v>05 Won</v>
          </cell>
          <cell r="X667" t="str">
            <v>Active</v>
          </cell>
          <cell r="Y667">
            <v>1</v>
          </cell>
          <cell r="Z667">
            <v>0</v>
          </cell>
          <cell r="AA667">
            <v>41586547.129999995</v>
          </cell>
          <cell r="AB667">
            <v>61673083</v>
          </cell>
          <cell r="AC667">
            <v>0</v>
          </cell>
          <cell r="AD667">
            <v>103259630.13</v>
          </cell>
          <cell r="AT667">
            <v>0</v>
          </cell>
          <cell r="AU667">
            <v>0</v>
          </cell>
          <cell r="AV667">
            <v>0.12080668393643811</v>
          </cell>
          <cell r="AW667">
            <v>0.15232151429834084</v>
          </cell>
          <cell r="AX667">
            <v>0.14896327596660491</v>
          </cell>
          <cell r="AY667">
            <v>0.15096327596660492</v>
          </cell>
          <cell r="AZ667">
            <v>0.15296327596660492</v>
          </cell>
          <cell r="BA667">
            <v>0.15496327596660492</v>
          </cell>
          <cell r="BF667">
            <v>0</v>
          </cell>
          <cell r="BG667">
            <v>0</v>
          </cell>
          <cell r="BH667">
            <v>215058.33</v>
          </cell>
          <cell r="BI667">
            <v>297578.45999999985</v>
          </cell>
          <cell r="BJ667">
            <v>336759.2099999999</v>
          </cell>
          <cell r="BK667">
            <v>514416.1399999999</v>
          </cell>
          <cell r="BL667">
            <v>480675</v>
          </cell>
          <cell r="BM667">
            <v>1629428.8099999996</v>
          </cell>
          <cell r="BN667">
            <v>1581797.6791760712</v>
          </cell>
          <cell r="BO667">
            <v>1603035.0971760713</v>
          </cell>
          <cell r="BP667">
            <v>1624272.5151760713</v>
          </cell>
          <cell r="BQ667">
            <v>1645509.9331760714</v>
          </cell>
          <cell r="BR667">
            <v>8084044.0347042838</v>
          </cell>
          <cell r="BT667">
            <v>38</v>
          </cell>
          <cell r="CA667" t="str">
            <v>DISAPC - EBITA - Base</v>
          </cell>
          <cell r="CC667" t="str">
            <v>DISAPC - EBITA - Base - IS4</v>
          </cell>
          <cell r="CD667" t="str">
            <v/>
          </cell>
          <cell r="CF667" t="str">
            <v>DISAPC - Base - IS4</v>
          </cell>
        </row>
        <row r="668">
          <cell r="D668">
            <v>654</v>
          </cell>
          <cell r="E668">
            <v>0</v>
          </cell>
          <cell r="F668">
            <v>0</v>
          </cell>
          <cell r="G668" t="str">
            <v>DISAPC</v>
          </cell>
          <cell r="H668" t="str">
            <v>DISA PCS System Z</v>
          </cell>
          <cell r="I668" t="str">
            <v>IS4</v>
          </cell>
          <cell r="J668" t="str">
            <v>IS4 Engineering and Technology Services</v>
          </cell>
          <cell r="K668" t="str">
            <v>DISA</v>
          </cell>
          <cell r="L668" t="str">
            <v>DOD</v>
          </cell>
          <cell r="M668" t="str">
            <v>US_State</v>
          </cell>
          <cell r="N668" t="str">
            <v>CONUS</v>
          </cell>
          <cell r="O668">
            <v>0</v>
          </cell>
          <cell r="P668">
            <v>0</v>
          </cell>
          <cell r="Q668">
            <v>0</v>
          </cell>
          <cell r="R668" t="str">
            <v>FFP</v>
          </cell>
          <cell r="S668">
            <v>0</v>
          </cell>
          <cell r="T668">
            <v>1</v>
          </cell>
          <cell r="U668" t="str">
            <v>EBITA</v>
          </cell>
          <cell r="V668" t="str">
            <v>Identified - Recompete</v>
          </cell>
          <cell r="W668">
            <v>0</v>
          </cell>
          <cell r="X668">
            <v>0</v>
          </cell>
          <cell r="Y668">
            <v>0</v>
          </cell>
          <cell r="Z668">
            <v>0</v>
          </cell>
          <cell r="AA668">
            <v>0</v>
          </cell>
          <cell r="AB668">
            <v>0</v>
          </cell>
          <cell r="AC668">
            <v>0</v>
          </cell>
          <cell r="AD668">
            <v>0</v>
          </cell>
          <cell r="AX668">
            <v>0.14896327596660491</v>
          </cell>
          <cell r="AY668">
            <v>0.15096327596660492</v>
          </cell>
          <cell r="AZ668">
            <v>0.15296327596660492</v>
          </cell>
          <cell r="BA668">
            <v>0.15496327596660492</v>
          </cell>
          <cell r="BI668">
            <v>0</v>
          </cell>
          <cell r="BJ668">
            <v>0</v>
          </cell>
          <cell r="BK668">
            <v>0</v>
          </cell>
          <cell r="BL668">
            <v>0</v>
          </cell>
          <cell r="BM668">
            <v>0</v>
          </cell>
          <cell r="BN668">
            <v>0</v>
          </cell>
          <cell r="BO668">
            <v>0</v>
          </cell>
          <cell r="BP668">
            <v>0</v>
          </cell>
          <cell r="BQ668">
            <v>0</v>
          </cell>
          <cell r="BR668">
            <v>0</v>
          </cell>
          <cell r="BT668">
            <v>38</v>
          </cell>
          <cell r="CA668" t="str">
            <v>DISAPC - EBITA - Identified - Recompete</v>
          </cell>
          <cell r="CC668" t="str">
            <v>DISAPC - EBITA - Identified - Recompete - IS4</v>
          </cell>
          <cell r="CD668" t="str">
            <v/>
          </cell>
          <cell r="CF668" t="str">
            <v>DISAPC - Identified - Recompete - IS4</v>
          </cell>
        </row>
        <row r="669">
          <cell r="D669">
            <v>655</v>
          </cell>
          <cell r="E669">
            <v>1</v>
          </cell>
          <cell r="F669">
            <v>1</v>
          </cell>
          <cell r="G669" t="str">
            <v>NMEC18</v>
          </cell>
          <cell r="H669" t="str">
            <v>EMPTYPOCKETS</v>
          </cell>
          <cell r="I669" t="str">
            <v>IS4</v>
          </cell>
          <cell r="J669" t="str">
            <v>IS4 Global Mission Solutions</v>
          </cell>
          <cell r="K669" t="str">
            <v>Classified Agency</v>
          </cell>
          <cell r="L669" t="str">
            <v>Classified</v>
          </cell>
          <cell r="M669" t="str">
            <v>MD</v>
          </cell>
          <cell r="N669" t="str">
            <v>CONUS</v>
          </cell>
          <cell r="O669">
            <v>43466</v>
          </cell>
          <cell r="P669">
            <v>45291</v>
          </cell>
          <cell r="Q669" t="str">
            <v>Prime</v>
          </cell>
          <cell r="R669" t="str">
            <v>FFP</v>
          </cell>
          <cell r="S669">
            <v>0</v>
          </cell>
          <cell r="T669">
            <v>1</v>
          </cell>
          <cell r="U669" t="str">
            <v>REVTOT</v>
          </cell>
          <cell r="V669" t="str">
            <v>Base</v>
          </cell>
          <cell r="W669" t="str">
            <v>05 Won</v>
          </cell>
          <cell r="X669" t="str">
            <v>Active</v>
          </cell>
          <cell r="Y669">
            <v>1</v>
          </cell>
          <cell r="Z669">
            <v>0</v>
          </cell>
          <cell r="AA669">
            <v>9965151.5270000026</v>
          </cell>
          <cell r="AB669">
            <v>196484800.97999999</v>
          </cell>
          <cell r="AC669">
            <v>0</v>
          </cell>
          <cell r="AD669">
            <v>206449952.507</v>
          </cell>
          <cell r="AE669">
            <v>0</v>
          </cell>
          <cell r="AF669">
            <v>0</v>
          </cell>
          <cell r="AG669">
            <v>0</v>
          </cell>
          <cell r="AH669">
            <v>1.9298818340311481</v>
          </cell>
          <cell r="AI669">
            <v>0</v>
          </cell>
          <cell r="AJ669">
            <v>0</v>
          </cell>
          <cell r="AK669">
            <v>0</v>
          </cell>
          <cell r="BB669">
            <v>39700038</v>
          </cell>
          <cell r="BC669">
            <v>39700038</v>
          </cell>
          <cell r="BD669">
            <v>39700038</v>
          </cell>
          <cell r="BE669">
            <v>39700038</v>
          </cell>
          <cell r="BF669">
            <v>0</v>
          </cell>
          <cell r="BG669">
            <v>0</v>
          </cell>
          <cell r="BH669">
            <v>0</v>
          </cell>
          <cell r="BI669">
            <v>0</v>
          </cell>
          <cell r="BJ669">
            <v>354413.36</v>
          </cell>
          <cell r="BK669">
            <v>5271668.6500000004</v>
          </cell>
          <cell r="BL669">
            <v>7923965.483</v>
          </cell>
          <cell r="BM669">
            <v>13550047.493000001</v>
          </cell>
          <cell r="BN669">
            <v>39700038</v>
          </cell>
          <cell r="BO669">
            <v>39700038</v>
          </cell>
          <cell r="BP669">
            <v>39700038</v>
          </cell>
          <cell r="BQ669">
            <v>39700038</v>
          </cell>
          <cell r="BR669">
            <v>172350199.493</v>
          </cell>
          <cell r="BT669">
            <v>39</v>
          </cell>
          <cell r="CA669" t="str">
            <v>NMEC18 - REVTOT - Base</v>
          </cell>
          <cell r="CC669" t="str">
            <v>NMEC18 - REVTOT - Base - IS4</v>
          </cell>
          <cell r="CD669" t="str">
            <v/>
          </cell>
          <cell r="CF669" t="str">
            <v>NMEC18 - Base - IS4</v>
          </cell>
        </row>
        <row r="670">
          <cell r="D670">
            <v>656</v>
          </cell>
          <cell r="E670">
            <v>1</v>
          </cell>
          <cell r="F670">
            <v>2</v>
          </cell>
          <cell r="G670" t="str">
            <v>NMEC18</v>
          </cell>
          <cell r="H670" t="str">
            <v>EMPTYPOCKETS</v>
          </cell>
          <cell r="I670" t="str">
            <v>IS4</v>
          </cell>
          <cell r="J670" t="str">
            <v>IS4 Global Mission Solutions</v>
          </cell>
          <cell r="K670" t="str">
            <v>Classified Agency</v>
          </cell>
          <cell r="L670" t="str">
            <v>Classified</v>
          </cell>
          <cell r="M670" t="str">
            <v>MD</v>
          </cell>
          <cell r="N670" t="str">
            <v>CONUS</v>
          </cell>
          <cell r="O670">
            <v>0</v>
          </cell>
          <cell r="P670">
            <v>0</v>
          </cell>
          <cell r="Q670">
            <v>0</v>
          </cell>
          <cell r="R670" t="str">
            <v>FFP</v>
          </cell>
          <cell r="S670">
            <v>0</v>
          </cell>
          <cell r="T670">
            <v>1</v>
          </cell>
          <cell r="U670" t="str">
            <v>REVTOT</v>
          </cell>
          <cell r="V670" t="str">
            <v>Identified - Recompete</v>
          </cell>
          <cell r="W670">
            <v>0</v>
          </cell>
          <cell r="X670">
            <v>0</v>
          </cell>
          <cell r="Y670">
            <v>0</v>
          </cell>
          <cell r="Z670">
            <v>0</v>
          </cell>
          <cell r="AA670">
            <v>0</v>
          </cell>
          <cell r="AB670">
            <v>0</v>
          </cell>
          <cell r="AC670">
            <v>0</v>
          </cell>
          <cell r="AD670">
            <v>0</v>
          </cell>
          <cell r="AI670">
            <v>0</v>
          </cell>
          <cell r="AJ670">
            <v>0</v>
          </cell>
          <cell r="AK670">
            <v>0</v>
          </cell>
          <cell r="BB670">
            <v>0</v>
          </cell>
          <cell r="BC670">
            <v>0</v>
          </cell>
          <cell r="BD670">
            <v>0</v>
          </cell>
          <cell r="BE670">
            <v>0</v>
          </cell>
          <cell r="BI670">
            <v>0</v>
          </cell>
          <cell r="BJ670">
            <v>0</v>
          </cell>
          <cell r="BK670">
            <v>0</v>
          </cell>
          <cell r="BL670">
            <v>0</v>
          </cell>
          <cell r="BM670">
            <v>0</v>
          </cell>
          <cell r="BN670">
            <v>0</v>
          </cell>
          <cell r="BO670">
            <v>0</v>
          </cell>
          <cell r="BP670">
            <v>0</v>
          </cell>
          <cell r="BQ670">
            <v>0</v>
          </cell>
          <cell r="BR670">
            <v>0</v>
          </cell>
          <cell r="BT670">
            <v>39</v>
          </cell>
          <cell r="CA670" t="str">
            <v>NMEC18 - REVTOT - Identified - Recompete</v>
          </cell>
          <cell r="CC670" t="str">
            <v>NMEC18 - REVTOT - Identified - Recompete - IS4</v>
          </cell>
          <cell r="CD670" t="str">
            <v/>
          </cell>
          <cell r="CF670" t="str">
            <v>NMEC18 - Identified - Recompete - IS4</v>
          </cell>
        </row>
        <row r="671">
          <cell r="D671">
            <v>657</v>
          </cell>
          <cell r="E671">
            <v>2</v>
          </cell>
          <cell r="F671">
            <v>3</v>
          </cell>
          <cell r="G671" t="str">
            <v>NMEC18</v>
          </cell>
          <cell r="H671" t="str">
            <v>EMPTYPOCKETS</v>
          </cell>
          <cell r="I671" t="str">
            <v>IS4</v>
          </cell>
          <cell r="J671" t="str">
            <v>IS4 Global Mission Solutions</v>
          </cell>
          <cell r="K671" t="str">
            <v>Classified Agency</v>
          </cell>
          <cell r="L671" t="str">
            <v>Classified</v>
          </cell>
          <cell r="M671" t="str">
            <v>MD</v>
          </cell>
          <cell r="N671" t="str">
            <v>CONUS</v>
          </cell>
          <cell r="O671">
            <v>43466</v>
          </cell>
          <cell r="P671">
            <v>45291</v>
          </cell>
          <cell r="Q671" t="str">
            <v>Prime</v>
          </cell>
          <cell r="R671" t="str">
            <v>FFP</v>
          </cell>
          <cell r="S671">
            <v>0</v>
          </cell>
          <cell r="T671">
            <v>1</v>
          </cell>
          <cell r="U671" t="str">
            <v>CONTRACT</v>
          </cell>
          <cell r="V671" t="str">
            <v>Base</v>
          </cell>
          <cell r="W671" t="str">
            <v>05 Won</v>
          </cell>
          <cell r="X671" t="str">
            <v>Active</v>
          </cell>
          <cell r="Y671">
            <v>1</v>
          </cell>
          <cell r="Z671">
            <v>0</v>
          </cell>
          <cell r="AA671">
            <v>9965151.5270000026</v>
          </cell>
          <cell r="AB671">
            <v>196484800.97999999</v>
          </cell>
          <cell r="AC671">
            <v>0</v>
          </cell>
          <cell r="AD671">
            <v>206449952.507</v>
          </cell>
          <cell r="AL671">
            <v>0</v>
          </cell>
          <cell r="AM671">
            <v>0</v>
          </cell>
          <cell r="AN671">
            <v>0</v>
          </cell>
          <cell r="AO671">
            <v>8.4546902185680756E-2</v>
          </cell>
          <cell r="AP671">
            <v>0.12345590936210186</v>
          </cell>
          <cell r="AQ671">
            <v>0.12345590936210186</v>
          </cell>
          <cell r="AR671">
            <v>0.12345590936210186</v>
          </cell>
          <cell r="AS671">
            <v>0.12345590936210186</v>
          </cell>
          <cell r="BF671">
            <v>0</v>
          </cell>
          <cell r="BG671">
            <v>0</v>
          </cell>
          <cell r="BH671">
            <v>0</v>
          </cell>
          <cell r="BI671">
            <v>0</v>
          </cell>
          <cell r="BJ671">
            <v>34265.339999999997</v>
          </cell>
          <cell r="BK671">
            <v>474223.69999999937</v>
          </cell>
          <cell r="BL671">
            <v>637125.50000200048</v>
          </cell>
          <cell r="BM671">
            <v>1145614.5400019998</v>
          </cell>
          <cell r="BN671">
            <v>4901204.2929999996</v>
          </cell>
          <cell r="BO671">
            <v>4901204.2929999996</v>
          </cell>
          <cell r="BP671">
            <v>4901204.2929999996</v>
          </cell>
          <cell r="BQ671">
            <v>4901204.2929999996</v>
          </cell>
          <cell r="BR671">
            <v>20750431.712001998</v>
          </cell>
          <cell r="BT671">
            <v>39</v>
          </cell>
          <cell r="CA671" t="str">
            <v>NMEC18 - CONTRACT - Base</v>
          </cell>
          <cell r="CC671" t="str">
            <v>NMEC18 - CONTRACT - Base - IS4</v>
          </cell>
          <cell r="CD671" t="str">
            <v/>
          </cell>
          <cell r="CF671" t="str">
            <v>NMEC18 - Base - IS4</v>
          </cell>
        </row>
        <row r="672">
          <cell r="D672">
            <v>658</v>
          </cell>
          <cell r="E672">
            <v>2</v>
          </cell>
          <cell r="F672">
            <v>4</v>
          </cell>
          <cell r="G672" t="str">
            <v>NMEC18</v>
          </cell>
          <cell r="H672" t="str">
            <v>EMPTYPOCKETS</v>
          </cell>
          <cell r="I672" t="str">
            <v>IS4</v>
          </cell>
          <cell r="J672" t="str">
            <v>IS4 Global Mission Solutions</v>
          </cell>
          <cell r="K672" t="str">
            <v>Classified Agency</v>
          </cell>
          <cell r="L672" t="str">
            <v>Classified</v>
          </cell>
          <cell r="M672" t="str">
            <v>MD</v>
          </cell>
          <cell r="N672" t="str">
            <v>CONUS</v>
          </cell>
          <cell r="O672">
            <v>0</v>
          </cell>
          <cell r="P672">
            <v>0</v>
          </cell>
          <cell r="Q672">
            <v>0</v>
          </cell>
          <cell r="R672" t="str">
            <v>FFP</v>
          </cell>
          <cell r="S672">
            <v>0</v>
          </cell>
          <cell r="T672">
            <v>1</v>
          </cell>
          <cell r="U672" t="str">
            <v>CONTRACT</v>
          </cell>
          <cell r="V672" t="str">
            <v>Identified - Recompete</v>
          </cell>
          <cell r="W672">
            <v>0</v>
          </cell>
          <cell r="X672">
            <v>0</v>
          </cell>
          <cell r="Y672">
            <v>0</v>
          </cell>
          <cell r="Z672">
            <v>0</v>
          </cell>
          <cell r="AA672">
            <v>0</v>
          </cell>
          <cell r="AB672">
            <v>0</v>
          </cell>
          <cell r="AC672">
            <v>0</v>
          </cell>
          <cell r="AD672">
            <v>0</v>
          </cell>
          <cell r="AP672">
            <v>0.12345590936210186</v>
          </cell>
          <cell r="AQ672">
            <v>0.12345590936210186</v>
          </cell>
          <cell r="AR672">
            <v>0.12345590936210186</v>
          </cell>
          <cell r="AS672">
            <v>0.12345590936210186</v>
          </cell>
          <cell r="BI672">
            <v>0</v>
          </cell>
          <cell r="BJ672">
            <v>0</v>
          </cell>
          <cell r="BK672">
            <v>0</v>
          </cell>
          <cell r="BL672">
            <v>0</v>
          </cell>
          <cell r="BM672">
            <v>0</v>
          </cell>
          <cell r="BN672">
            <v>0</v>
          </cell>
          <cell r="BO672">
            <v>0</v>
          </cell>
          <cell r="BP672">
            <v>0</v>
          </cell>
          <cell r="BQ672">
            <v>0</v>
          </cell>
          <cell r="BR672">
            <v>0</v>
          </cell>
          <cell r="BT672">
            <v>39</v>
          </cell>
          <cell r="CA672" t="str">
            <v>NMEC18 - CONTRACT - Identified - Recompete</v>
          </cell>
          <cell r="CC672" t="str">
            <v>NMEC18 - CONTRACT - Identified - Recompete - IS4</v>
          </cell>
          <cell r="CD672" t="str">
            <v/>
          </cell>
          <cell r="CF672" t="str">
            <v>NMEC18 - Identified - Recompete - IS4</v>
          </cell>
        </row>
        <row r="673">
          <cell r="D673">
            <v>659</v>
          </cell>
          <cell r="E673">
            <v>0</v>
          </cell>
          <cell r="F673">
            <v>5</v>
          </cell>
          <cell r="G673" t="str">
            <v>NMEC18</v>
          </cell>
          <cell r="H673" t="str">
            <v>EMPTYPOCKETS</v>
          </cell>
          <cell r="I673" t="str">
            <v>IS4</v>
          </cell>
          <cell r="J673" t="str">
            <v>IS4 Global Mission Solutions</v>
          </cell>
          <cell r="K673" t="str">
            <v>Classified Agency</v>
          </cell>
          <cell r="L673" t="str">
            <v>Classified</v>
          </cell>
          <cell r="M673" t="str">
            <v>MD</v>
          </cell>
          <cell r="N673" t="str">
            <v>CONUS</v>
          </cell>
          <cell r="O673">
            <v>43466</v>
          </cell>
          <cell r="P673">
            <v>45291</v>
          </cell>
          <cell r="Q673" t="str">
            <v>Prime</v>
          </cell>
          <cell r="R673" t="str">
            <v>FFP</v>
          </cell>
          <cell r="S673">
            <v>0</v>
          </cell>
          <cell r="T673">
            <v>1</v>
          </cell>
          <cell r="U673" t="str">
            <v>EBITA</v>
          </cell>
          <cell r="V673" t="str">
            <v>Base</v>
          </cell>
          <cell r="W673" t="str">
            <v>05 Won</v>
          </cell>
          <cell r="X673" t="str">
            <v>Active</v>
          </cell>
          <cell r="Y673">
            <v>1</v>
          </cell>
          <cell r="Z673">
            <v>0</v>
          </cell>
          <cell r="AA673">
            <v>9965151.5270000026</v>
          </cell>
          <cell r="AB673">
            <v>196484800.97999999</v>
          </cell>
          <cell r="AC673">
            <v>0</v>
          </cell>
          <cell r="AD673">
            <v>206449952.507</v>
          </cell>
          <cell r="AT673">
            <v>0</v>
          </cell>
          <cell r="AU673">
            <v>0</v>
          </cell>
          <cell r="AV673">
            <v>0</v>
          </cell>
          <cell r="AW673">
            <v>1.475918801631665E-13</v>
          </cell>
          <cell r="AX673">
            <v>4.1050339500471822E-2</v>
          </cell>
          <cell r="AY673">
            <v>4.3050339500471824E-2</v>
          </cell>
          <cell r="AZ673">
            <v>4.5050339500471825E-2</v>
          </cell>
          <cell r="BA673">
            <v>4.7050339500471827E-2</v>
          </cell>
          <cell r="BF673">
            <v>0</v>
          </cell>
          <cell r="BG673">
            <v>0</v>
          </cell>
          <cell r="BH673">
            <v>0</v>
          </cell>
          <cell r="BI673">
            <v>0</v>
          </cell>
          <cell r="BJ673">
            <v>-8.0000000005384209E-2</v>
          </cell>
          <cell r="BK673">
            <v>7.9999999430583557E-2</v>
          </cell>
          <cell r="BL673">
            <v>2.0004517864435911E-6</v>
          </cell>
          <cell r="BM673">
            <v>1.9998769857920706E-6</v>
          </cell>
          <cell r="BN673">
            <v>1629700.0380816325</v>
          </cell>
          <cell r="BO673">
            <v>1709100.1140816323</v>
          </cell>
          <cell r="BP673">
            <v>1788500.1900816325</v>
          </cell>
          <cell r="BQ673">
            <v>1867900.2660816326</v>
          </cell>
          <cell r="BR673">
            <v>6995200.6083285306</v>
          </cell>
          <cell r="BT673">
            <v>39</v>
          </cell>
          <cell r="CA673" t="str">
            <v>NMEC18 - EBITA - Base</v>
          </cell>
          <cell r="CC673" t="str">
            <v>NMEC18 - EBITA - Base - IS4</v>
          </cell>
          <cell r="CD673" t="str">
            <v/>
          </cell>
          <cell r="CF673" t="str">
            <v>NMEC18 - Base - IS4</v>
          </cell>
        </row>
        <row r="674">
          <cell r="D674">
            <v>660</v>
          </cell>
          <cell r="E674">
            <v>0</v>
          </cell>
          <cell r="F674">
            <v>0</v>
          </cell>
          <cell r="G674" t="str">
            <v>NMEC18</v>
          </cell>
          <cell r="H674" t="str">
            <v>EMPTYPOCKETS</v>
          </cell>
          <cell r="I674" t="str">
            <v>IS4</v>
          </cell>
          <cell r="J674" t="str">
            <v>IS4 Global Mission Solutions</v>
          </cell>
          <cell r="K674" t="str">
            <v>Classified Agency</v>
          </cell>
          <cell r="L674" t="str">
            <v>Classified</v>
          </cell>
          <cell r="M674" t="str">
            <v>MD</v>
          </cell>
          <cell r="N674" t="str">
            <v>CONUS</v>
          </cell>
          <cell r="O674">
            <v>0</v>
          </cell>
          <cell r="P674">
            <v>0</v>
          </cell>
          <cell r="Q674">
            <v>0</v>
          </cell>
          <cell r="R674" t="str">
            <v>FFP</v>
          </cell>
          <cell r="S674">
            <v>0</v>
          </cell>
          <cell r="T674">
            <v>1</v>
          </cell>
          <cell r="U674" t="str">
            <v>EBITA</v>
          </cell>
          <cell r="V674" t="str">
            <v>Identified - Recompete</v>
          </cell>
          <cell r="W674">
            <v>0</v>
          </cell>
          <cell r="X674">
            <v>0</v>
          </cell>
          <cell r="Y674">
            <v>0</v>
          </cell>
          <cell r="Z674">
            <v>0</v>
          </cell>
          <cell r="AA674">
            <v>0</v>
          </cell>
          <cell r="AB674">
            <v>0</v>
          </cell>
          <cell r="AC674">
            <v>0</v>
          </cell>
          <cell r="AD674">
            <v>0</v>
          </cell>
          <cell r="AX674">
            <v>4.1050339500471822E-2</v>
          </cell>
          <cell r="AY674">
            <v>4.3050339500471824E-2</v>
          </cell>
          <cell r="AZ674">
            <v>4.5050339500471825E-2</v>
          </cell>
          <cell r="BA674">
            <v>4.7050339500471827E-2</v>
          </cell>
          <cell r="BI674">
            <v>0</v>
          </cell>
          <cell r="BJ674">
            <v>0</v>
          </cell>
          <cell r="BK674">
            <v>0</v>
          </cell>
          <cell r="BL674">
            <v>0</v>
          </cell>
          <cell r="BM674">
            <v>0</v>
          </cell>
          <cell r="BN674">
            <v>0</v>
          </cell>
          <cell r="BO674">
            <v>0</v>
          </cell>
          <cell r="BP674">
            <v>0</v>
          </cell>
          <cell r="BQ674">
            <v>0</v>
          </cell>
          <cell r="BR674">
            <v>0</v>
          </cell>
          <cell r="BT674">
            <v>39</v>
          </cell>
          <cell r="CA674" t="str">
            <v>NMEC18 - EBITA - Identified - Recompete</v>
          </cell>
          <cell r="CC674" t="str">
            <v>NMEC18 - EBITA - Identified - Recompete - IS4</v>
          </cell>
          <cell r="CD674" t="str">
            <v/>
          </cell>
          <cell r="CF674" t="str">
            <v>NMEC18 - Identified - Recompete - IS4</v>
          </cell>
        </row>
        <row r="675">
          <cell r="D675">
            <v>661</v>
          </cell>
          <cell r="E675">
            <v>1</v>
          </cell>
          <cell r="F675">
            <v>1</v>
          </cell>
          <cell r="G675" t="str">
            <v>000017</v>
          </cell>
          <cell r="H675" t="str">
            <v>GS Frame</v>
          </cell>
          <cell r="I675" t="str">
            <v>IS4</v>
          </cell>
          <cell r="J675" t="str">
            <v>IS4 Global Mission Solutions</v>
          </cell>
          <cell r="K675" t="str">
            <v>Classified Agency</v>
          </cell>
          <cell r="L675" t="str">
            <v>Classified</v>
          </cell>
          <cell r="M675" t="str">
            <v>US_State</v>
          </cell>
          <cell r="N675" t="str">
            <v>CONUS</v>
          </cell>
          <cell r="O675">
            <v>41652</v>
          </cell>
          <cell r="P675">
            <v>45473</v>
          </cell>
          <cell r="Q675" t="str">
            <v>Prime</v>
          </cell>
          <cell r="R675" t="str">
            <v>CPAF</v>
          </cell>
          <cell r="S675">
            <v>0</v>
          </cell>
          <cell r="T675">
            <v>1</v>
          </cell>
          <cell r="U675" t="str">
            <v>REVTOT</v>
          </cell>
          <cell r="V675" t="str">
            <v>Base</v>
          </cell>
          <cell r="W675" t="str">
            <v>05 Won</v>
          </cell>
          <cell r="X675" t="str">
            <v>Active</v>
          </cell>
          <cell r="Y675">
            <v>1</v>
          </cell>
          <cell r="Z675">
            <v>0</v>
          </cell>
          <cell r="AA675">
            <v>77943496.959999993</v>
          </cell>
          <cell r="AB675">
            <v>327185173</v>
          </cell>
          <cell r="AC675">
            <v>0</v>
          </cell>
          <cell r="AD675">
            <v>405128669.95999998</v>
          </cell>
          <cell r="AE675">
            <v>-6.5981080870651909E-2</v>
          </cell>
          <cell r="AF675">
            <v>-1.9911621958103032E-3</v>
          </cell>
          <cell r="AG675">
            <v>6.3239454494715019E-2</v>
          </cell>
          <cell r="AH675">
            <v>3.4274771561304984E-2</v>
          </cell>
          <cell r="AI675">
            <v>0</v>
          </cell>
          <cell r="AJ675">
            <v>0</v>
          </cell>
          <cell r="AK675">
            <v>0</v>
          </cell>
          <cell r="BB675">
            <v>69353982.123999998</v>
          </cell>
          <cell r="BC675">
            <v>69353982.123999998</v>
          </cell>
          <cell r="BD675">
            <v>69353982.123999998</v>
          </cell>
          <cell r="BE675">
            <v>69353982.123999998</v>
          </cell>
          <cell r="BF675">
            <v>67657247.670000002</v>
          </cell>
          <cell r="BG675">
            <v>63193149.340000004</v>
          </cell>
          <cell r="BH675">
            <v>63067321.530000001</v>
          </cell>
          <cell r="BI675">
            <v>15749309.33</v>
          </cell>
          <cell r="BJ675">
            <v>17550532.260000002</v>
          </cell>
          <cell r="BK675">
            <v>17279442.689999998</v>
          </cell>
          <cell r="BL675">
            <v>16476380.26</v>
          </cell>
          <cell r="BM675">
            <v>67055664.539999999</v>
          </cell>
          <cell r="BN675">
            <v>69353982.123999998</v>
          </cell>
          <cell r="BO675">
            <v>69353982.123999998</v>
          </cell>
          <cell r="BP675">
            <v>69353982.123999998</v>
          </cell>
          <cell r="BQ675">
            <v>69353982.123999998</v>
          </cell>
          <cell r="BR675">
            <v>344471593.03600001</v>
          </cell>
          <cell r="BT675">
            <v>40</v>
          </cell>
          <cell r="CA675" t="str">
            <v>000017 - REVTOT - Base</v>
          </cell>
          <cell r="CC675" t="str">
            <v>000017 - REVTOT - Base - IS4</v>
          </cell>
          <cell r="CD675" t="str">
            <v/>
          </cell>
          <cell r="CF675" t="str">
            <v>000017 - Base - IS4</v>
          </cell>
        </row>
        <row r="676">
          <cell r="D676">
            <v>662</v>
          </cell>
          <cell r="E676">
            <v>1</v>
          </cell>
          <cell r="F676">
            <v>2</v>
          </cell>
          <cell r="G676" t="str">
            <v>000017</v>
          </cell>
          <cell r="H676" t="str">
            <v>GS Frame</v>
          </cell>
          <cell r="I676" t="str">
            <v>IS4</v>
          </cell>
          <cell r="J676" t="str">
            <v>IS4 Global Mission Solutions</v>
          </cell>
          <cell r="K676" t="str">
            <v>Classified Agency</v>
          </cell>
          <cell r="L676" t="str">
            <v>Classified</v>
          </cell>
          <cell r="M676" t="str">
            <v>US_State</v>
          </cell>
          <cell r="N676" t="str">
            <v>CONUS</v>
          </cell>
          <cell r="O676">
            <v>45474</v>
          </cell>
          <cell r="P676">
            <v>48761</v>
          </cell>
          <cell r="Q676" t="str">
            <v>Prime</v>
          </cell>
          <cell r="R676" t="str">
            <v>CPAF</v>
          </cell>
          <cell r="S676">
            <v>0</v>
          </cell>
          <cell r="T676">
            <v>1</v>
          </cell>
          <cell r="U676" t="str">
            <v>REVTOT</v>
          </cell>
          <cell r="V676" t="str">
            <v>Identified - Recompete</v>
          </cell>
          <cell r="W676" t="str">
            <v>00 Investigate</v>
          </cell>
          <cell r="X676" t="str">
            <v>Priority 1</v>
          </cell>
          <cell r="Y676">
            <v>0.4</v>
          </cell>
          <cell r="Z676">
            <v>850000000</v>
          </cell>
          <cell r="AA676">
            <v>0</v>
          </cell>
          <cell r="AB676">
            <v>0</v>
          </cell>
          <cell r="AC676">
            <v>0</v>
          </cell>
          <cell r="AD676">
            <v>0</v>
          </cell>
          <cell r="AI676">
            <v>0</v>
          </cell>
          <cell r="AJ676">
            <v>0</v>
          </cell>
          <cell r="AK676">
            <v>0</v>
          </cell>
          <cell r="BB676">
            <v>69353982.123999998</v>
          </cell>
          <cell r="BC676">
            <v>69353982.123999998</v>
          </cell>
          <cell r="BD676">
            <v>69353982.123999998</v>
          </cell>
          <cell r="BE676">
            <v>69353982.123999998</v>
          </cell>
          <cell r="BI676">
            <v>0</v>
          </cell>
          <cell r="BJ676">
            <v>0</v>
          </cell>
          <cell r="BK676">
            <v>0</v>
          </cell>
          <cell r="BL676">
            <v>0</v>
          </cell>
          <cell r="BM676">
            <v>0</v>
          </cell>
          <cell r="BN676">
            <v>0</v>
          </cell>
          <cell r="BO676">
            <v>0</v>
          </cell>
          <cell r="BP676">
            <v>0</v>
          </cell>
          <cell r="BQ676">
            <v>0</v>
          </cell>
          <cell r="BR676">
            <v>0</v>
          </cell>
          <cell r="BT676">
            <v>40</v>
          </cell>
          <cell r="CA676" t="str">
            <v>000017 - REVTOT - Identified - Recompete</v>
          </cell>
          <cell r="CC676" t="str">
            <v>000017 - REVTOT - Identified - Recompete - IS4</v>
          </cell>
          <cell r="CD676" t="str">
            <v/>
          </cell>
          <cell r="CF676" t="str">
            <v>000017 - Identified - Recompete - IS4</v>
          </cell>
        </row>
        <row r="677">
          <cell r="D677">
            <v>663</v>
          </cell>
          <cell r="E677">
            <v>2</v>
          </cell>
          <cell r="F677">
            <v>3</v>
          </cell>
          <cell r="G677" t="str">
            <v>000017</v>
          </cell>
          <cell r="H677" t="str">
            <v>GS Frame</v>
          </cell>
          <cell r="I677" t="str">
            <v>IS4</v>
          </cell>
          <cell r="J677" t="str">
            <v>IS4 Global Mission Solutions</v>
          </cell>
          <cell r="K677" t="str">
            <v>Classified Agency</v>
          </cell>
          <cell r="L677" t="str">
            <v>Classified</v>
          </cell>
          <cell r="M677" t="str">
            <v>US_State</v>
          </cell>
          <cell r="N677" t="str">
            <v>CONUS</v>
          </cell>
          <cell r="O677">
            <v>41652</v>
          </cell>
          <cell r="P677">
            <v>45473</v>
          </cell>
          <cell r="Q677" t="str">
            <v>Prime</v>
          </cell>
          <cell r="R677" t="str">
            <v>CPAF</v>
          </cell>
          <cell r="S677">
            <v>0</v>
          </cell>
          <cell r="T677">
            <v>1</v>
          </cell>
          <cell r="U677" t="str">
            <v>CONTRACT</v>
          </cell>
          <cell r="V677" t="str">
            <v>Base</v>
          </cell>
          <cell r="W677" t="str">
            <v>05 Won</v>
          </cell>
          <cell r="X677" t="str">
            <v>Active</v>
          </cell>
          <cell r="Y677">
            <v>1</v>
          </cell>
          <cell r="Z677">
            <v>0</v>
          </cell>
          <cell r="AA677">
            <v>77943496.959999993</v>
          </cell>
          <cell r="AB677">
            <v>327185173</v>
          </cell>
          <cell r="AC677">
            <v>0</v>
          </cell>
          <cell r="AD677">
            <v>405128669.95999998</v>
          </cell>
          <cell r="AL677">
            <v>0.14713064901122072</v>
          </cell>
          <cell r="AM677">
            <v>0.1189629337755047</v>
          </cell>
          <cell r="AN677">
            <v>9.5945815094139172E-2</v>
          </cell>
          <cell r="AO677">
            <v>0.10640649793491705</v>
          </cell>
          <cell r="AP677">
            <v>0.1174767358976293</v>
          </cell>
          <cell r="AQ677">
            <v>0.1174767358976293</v>
          </cell>
          <cell r="AR677">
            <v>0.1174767358976293</v>
          </cell>
          <cell r="AS677">
            <v>0.1174767358976293</v>
          </cell>
          <cell r="BF677">
            <v>9954454.7600000016</v>
          </cell>
          <cell r="BG677">
            <v>7517642.4399999985</v>
          </cell>
          <cell r="BH677">
            <v>6051045.5700000022</v>
          </cell>
          <cell r="BI677">
            <v>1709330.7400000021</v>
          </cell>
          <cell r="BJ677">
            <v>1931738.5700000012</v>
          </cell>
          <cell r="BK677">
            <v>1825109.7299999977</v>
          </cell>
          <cell r="BL677">
            <v>1668979.390399999</v>
          </cell>
          <cell r="BM677">
            <v>7135158.4304</v>
          </cell>
          <cell r="BN677">
            <v>8147479.4414300518</v>
          </cell>
          <cell r="BO677">
            <v>8147479.4414300518</v>
          </cell>
          <cell r="BP677">
            <v>8147479.4414300518</v>
          </cell>
          <cell r="BQ677">
            <v>8147479.4414300518</v>
          </cell>
          <cell r="BR677">
            <v>39725076.19612021</v>
          </cell>
          <cell r="BT677">
            <v>40</v>
          </cell>
          <cell r="CA677" t="str">
            <v>000017 - CONTRACT - Base</v>
          </cell>
          <cell r="CC677" t="str">
            <v>000017 - CONTRACT - Base - IS4</v>
          </cell>
          <cell r="CD677" t="str">
            <v/>
          </cell>
          <cell r="CF677" t="str">
            <v>000017 - Base - IS4</v>
          </cell>
        </row>
        <row r="678">
          <cell r="D678">
            <v>664</v>
          </cell>
          <cell r="E678">
            <v>2</v>
          </cell>
          <cell r="F678">
            <v>4</v>
          </cell>
          <cell r="G678" t="str">
            <v>000017</v>
          </cell>
          <cell r="H678" t="str">
            <v>GS Frame</v>
          </cell>
          <cell r="I678" t="str">
            <v>IS4</v>
          </cell>
          <cell r="J678" t="str">
            <v>IS4 Global Mission Solutions</v>
          </cell>
          <cell r="K678" t="str">
            <v>Classified Agency</v>
          </cell>
          <cell r="L678" t="str">
            <v>Classified</v>
          </cell>
          <cell r="M678" t="str">
            <v>US_State</v>
          </cell>
          <cell r="N678" t="str">
            <v>CONUS</v>
          </cell>
          <cell r="O678">
            <v>45474</v>
          </cell>
          <cell r="P678">
            <v>48761</v>
          </cell>
          <cell r="Q678" t="str">
            <v>Prime</v>
          </cell>
          <cell r="R678" t="str">
            <v>CPAF</v>
          </cell>
          <cell r="S678">
            <v>0</v>
          </cell>
          <cell r="T678">
            <v>1</v>
          </cell>
          <cell r="U678" t="str">
            <v>CONTRACT</v>
          </cell>
          <cell r="V678" t="str">
            <v>Identified - Recompete</v>
          </cell>
          <cell r="W678" t="str">
            <v>00 Investigate</v>
          </cell>
          <cell r="X678" t="str">
            <v>Priority 1</v>
          </cell>
          <cell r="Y678">
            <v>0.4</v>
          </cell>
          <cell r="Z678">
            <v>850000000</v>
          </cell>
          <cell r="AA678">
            <v>0</v>
          </cell>
          <cell r="AB678">
            <v>0</v>
          </cell>
          <cell r="AC678">
            <v>0</v>
          </cell>
          <cell r="AD678">
            <v>0</v>
          </cell>
          <cell r="AP678">
            <v>0.1174767358976293</v>
          </cell>
          <cell r="AQ678">
            <v>0.1174767358976293</v>
          </cell>
          <cell r="AR678">
            <v>0.1174767358976293</v>
          </cell>
          <cell r="AS678">
            <v>0.1174767358976293</v>
          </cell>
          <cell r="BI678">
            <v>0</v>
          </cell>
          <cell r="BJ678">
            <v>0</v>
          </cell>
          <cell r="BK678">
            <v>0</v>
          </cell>
          <cell r="BL678">
            <v>0</v>
          </cell>
          <cell r="BM678">
            <v>0</v>
          </cell>
          <cell r="BN678">
            <v>0</v>
          </cell>
          <cell r="BO678">
            <v>0</v>
          </cell>
          <cell r="BP678">
            <v>0</v>
          </cell>
          <cell r="BQ678">
            <v>0</v>
          </cell>
          <cell r="BR678">
            <v>0</v>
          </cell>
          <cell r="BT678">
            <v>40</v>
          </cell>
          <cell r="CA678" t="str">
            <v>000017 - CONTRACT - Identified - Recompete</v>
          </cell>
          <cell r="CC678" t="str">
            <v>000017 - CONTRACT - Identified - Recompete - IS4</v>
          </cell>
          <cell r="CD678" t="str">
            <v/>
          </cell>
          <cell r="CF678" t="str">
            <v>000017 - Identified - Recompete - IS4</v>
          </cell>
        </row>
        <row r="679">
          <cell r="D679">
            <v>665</v>
          </cell>
          <cell r="E679">
            <v>0</v>
          </cell>
          <cell r="F679">
            <v>5</v>
          </cell>
          <cell r="G679" t="str">
            <v>000017</v>
          </cell>
          <cell r="H679" t="str">
            <v>GS Frame</v>
          </cell>
          <cell r="I679" t="str">
            <v>IS4</v>
          </cell>
          <cell r="J679" t="str">
            <v>IS4 Global Mission Solutions</v>
          </cell>
          <cell r="K679" t="str">
            <v>Classified Agency</v>
          </cell>
          <cell r="L679" t="str">
            <v>Classified</v>
          </cell>
          <cell r="M679" t="str">
            <v>US_State</v>
          </cell>
          <cell r="N679" t="str">
            <v>CONUS</v>
          </cell>
          <cell r="O679">
            <v>41652</v>
          </cell>
          <cell r="P679">
            <v>45473</v>
          </cell>
          <cell r="Q679" t="str">
            <v>Prime</v>
          </cell>
          <cell r="R679" t="str">
            <v>CPAF</v>
          </cell>
          <cell r="S679">
            <v>0</v>
          </cell>
          <cell r="T679">
            <v>1</v>
          </cell>
          <cell r="U679" t="str">
            <v>EBITA</v>
          </cell>
          <cell r="V679" t="str">
            <v>Base</v>
          </cell>
          <cell r="W679" t="str">
            <v>05 Won</v>
          </cell>
          <cell r="X679" t="str">
            <v>Active</v>
          </cell>
          <cell r="Y679">
            <v>1</v>
          </cell>
          <cell r="Z679">
            <v>0</v>
          </cell>
          <cell r="AA679">
            <v>77943496.959999993</v>
          </cell>
          <cell r="AB679">
            <v>327185173</v>
          </cell>
          <cell r="AC679">
            <v>0</v>
          </cell>
          <cell r="AD679">
            <v>405128669.95999998</v>
          </cell>
          <cell r="AT679">
            <v>-4.4566407943564404E-3</v>
          </cell>
          <cell r="AU679">
            <v>2.1933375286340793E-2</v>
          </cell>
          <cell r="AV679">
            <v>1.1781810166879332E-2</v>
          </cell>
          <cell r="AW679">
            <v>1.8033004737258537E-2</v>
          </cell>
          <cell r="AX679">
            <v>1.840491930181783E-2</v>
          </cell>
          <cell r="AY679">
            <v>0.02</v>
          </cell>
          <cell r="AZ679">
            <v>0.02</v>
          </cell>
          <cell r="BA679">
            <v>0.02</v>
          </cell>
          <cell r="BF679">
            <v>-301524.04999999923</v>
          </cell>
          <cell r="BG679">
            <v>1386039.0599999991</v>
          </cell>
          <cell r="BH679">
            <v>743047.21000000183</v>
          </cell>
          <cell r="BI679">
            <v>269829.71000000212</v>
          </cell>
          <cell r="BJ679">
            <v>397980.85000000126</v>
          </cell>
          <cell r="BK679">
            <v>286332.15999999765</v>
          </cell>
          <cell r="BL679">
            <v>255072.3963098384</v>
          </cell>
          <cell r="BM679">
            <v>1209215.1163098393</v>
          </cell>
          <cell r="BN679">
            <v>1276454.4442519364</v>
          </cell>
          <cell r="BO679">
            <v>1387079.6424799999</v>
          </cell>
          <cell r="BP679">
            <v>1387079.6424799999</v>
          </cell>
          <cell r="BQ679">
            <v>1387079.6424799999</v>
          </cell>
          <cell r="BR679">
            <v>6646908.4880017759</v>
          </cell>
          <cell r="BT679">
            <v>40</v>
          </cell>
          <cell r="CA679" t="str">
            <v>000017 - EBITA - Base</v>
          </cell>
          <cell r="CC679" t="str">
            <v>000017 - EBITA - Base - IS4</v>
          </cell>
          <cell r="CD679" t="str">
            <v/>
          </cell>
          <cell r="CF679" t="str">
            <v>000017 - Base - IS4</v>
          </cell>
        </row>
        <row r="680">
          <cell r="D680">
            <v>666</v>
          </cell>
          <cell r="E680">
            <v>0</v>
          </cell>
          <cell r="F680">
            <v>0</v>
          </cell>
          <cell r="G680" t="str">
            <v>000017</v>
          </cell>
          <cell r="H680" t="str">
            <v>GS Frame</v>
          </cell>
          <cell r="I680" t="str">
            <v>IS4</v>
          </cell>
          <cell r="J680" t="str">
            <v>IS4 Global Mission Solutions</v>
          </cell>
          <cell r="K680" t="str">
            <v>Classified Agency</v>
          </cell>
          <cell r="L680" t="str">
            <v>Classified</v>
          </cell>
          <cell r="M680" t="str">
            <v>US_State</v>
          </cell>
          <cell r="N680" t="str">
            <v>CONUS</v>
          </cell>
          <cell r="O680">
            <v>45474</v>
          </cell>
          <cell r="P680">
            <v>48761</v>
          </cell>
          <cell r="Q680" t="str">
            <v>Prime</v>
          </cell>
          <cell r="R680" t="str">
            <v>CPAF</v>
          </cell>
          <cell r="S680">
            <v>0</v>
          </cell>
          <cell r="T680">
            <v>1</v>
          </cell>
          <cell r="U680" t="str">
            <v>EBITA</v>
          </cell>
          <cell r="V680" t="str">
            <v>Identified - Recompete</v>
          </cell>
          <cell r="W680" t="str">
            <v>00 Investigate</v>
          </cell>
          <cell r="X680" t="str">
            <v>Priority 1</v>
          </cell>
          <cell r="Y680">
            <v>0.4</v>
          </cell>
          <cell r="Z680">
            <v>850000000</v>
          </cell>
          <cell r="AA680">
            <v>0</v>
          </cell>
          <cell r="AB680">
            <v>0</v>
          </cell>
          <cell r="AC680">
            <v>0</v>
          </cell>
          <cell r="AD680">
            <v>0</v>
          </cell>
          <cell r="AX680">
            <v>1.840491930181783E-2</v>
          </cell>
          <cell r="AY680">
            <v>0.02</v>
          </cell>
          <cell r="AZ680">
            <v>0.02</v>
          </cell>
          <cell r="BA680">
            <v>0.02</v>
          </cell>
          <cell r="BI680">
            <v>0</v>
          </cell>
          <cell r="BJ680">
            <v>0</v>
          </cell>
          <cell r="BK680">
            <v>0</v>
          </cell>
          <cell r="BL680">
            <v>0</v>
          </cell>
          <cell r="BM680">
            <v>0</v>
          </cell>
          <cell r="BN680">
            <v>0</v>
          </cell>
          <cell r="BO680">
            <v>0</v>
          </cell>
          <cell r="BP680">
            <v>0</v>
          </cell>
          <cell r="BQ680">
            <v>0</v>
          </cell>
          <cell r="BR680">
            <v>0</v>
          </cell>
          <cell r="BT680">
            <v>40</v>
          </cell>
          <cell r="CA680" t="str">
            <v>000017 - EBITA - Identified - Recompete</v>
          </cell>
          <cell r="CC680" t="str">
            <v>000017 - EBITA - Identified - Recompete - IS4</v>
          </cell>
          <cell r="CD680" t="str">
            <v/>
          </cell>
          <cell r="CF680" t="str">
            <v>000017 - Identified - Recompete - IS4</v>
          </cell>
        </row>
        <row r="681">
          <cell r="D681">
            <v>667</v>
          </cell>
          <cell r="E681">
            <v>1</v>
          </cell>
          <cell r="F681">
            <v>1</v>
          </cell>
          <cell r="G681" t="str">
            <v>TEAM Sub Total</v>
          </cell>
          <cell r="H681" t="str">
            <v>TEAM Sub Total</v>
          </cell>
          <cell r="I681" t="str">
            <v>IS4</v>
          </cell>
          <cell r="J681" t="str">
            <v>IS4 Sustainment Engineering and Acquisition</v>
          </cell>
          <cell r="K681" t="str">
            <v>Navy</v>
          </cell>
          <cell r="L681" t="str">
            <v>DOD</v>
          </cell>
          <cell r="M681" t="str">
            <v>VA</v>
          </cell>
          <cell r="N681" t="str">
            <v>CONUS</v>
          </cell>
          <cell r="O681">
            <v>41073</v>
          </cell>
          <cell r="P681">
            <v>43994</v>
          </cell>
          <cell r="Q681" t="str">
            <v>Prime</v>
          </cell>
          <cell r="R681" t="str">
            <v>CPFF</v>
          </cell>
          <cell r="S681">
            <v>0</v>
          </cell>
          <cell r="T681">
            <v>1</v>
          </cell>
          <cell r="U681" t="str">
            <v>REVTOT</v>
          </cell>
          <cell r="V681" t="str">
            <v>Base</v>
          </cell>
          <cell r="W681" t="str">
            <v>05 Won</v>
          </cell>
          <cell r="X681" t="str">
            <v>Active</v>
          </cell>
          <cell r="Y681">
            <v>1</v>
          </cell>
          <cell r="Z681">
            <v>0</v>
          </cell>
          <cell r="AA681">
            <v>31598165.803000025</v>
          </cell>
          <cell r="AB681">
            <v>0</v>
          </cell>
          <cell r="AC681">
            <v>0</v>
          </cell>
          <cell r="AD681">
            <v>31598165.803000025</v>
          </cell>
          <cell r="AE681">
            <v>2.0136297619437471E-2</v>
          </cell>
          <cell r="AF681">
            <v>8.7143130921568668E-2</v>
          </cell>
          <cell r="AG681">
            <v>3.7360867338816828E-2</v>
          </cell>
          <cell r="AH681">
            <v>-0.3029816625855849</v>
          </cell>
          <cell r="AI681">
            <v>0</v>
          </cell>
          <cell r="AJ681">
            <v>0</v>
          </cell>
          <cell r="AK681">
            <v>0</v>
          </cell>
          <cell r="BB681">
            <v>47330989.203000002</v>
          </cell>
          <cell r="BC681">
            <v>47330989.203000002</v>
          </cell>
          <cell r="BD681">
            <v>47330989.203000002</v>
          </cell>
          <cell r="BE681">
            <v>47330989.203000002</v>
          </cell>
          <cell r="BF681">
            <v>39404233.340000004</v>
          </cell>
          <cell r="BG681">
            <v>40197688.710000001</v>
          </cell>
          <cell r="BH681">
            <v>43700641.159999996</v>
          </cell>
          <cell r="BI681">
            <v>10310547.559999999</v>
          </cell>
          <cell r="BJ681">
            <v>11899457.079999998</v>
          </cell>
          <cell r="BK681">
            <v>12516539.350000001</v>
          </cell>
          <cell r="BL681">
            <v>10606791.027000001</v>
          </cell>
          <cell r="BM681">
            <v>45333335.016999997</v>
          </cell>
          <cell r="BN681">
            <v>31598165.803000025</v>
          </cell>
          <cell r="BO681">
            <v>0</v>
          </cell>
          <cell r="BP681">
            <v>0</v>
          </cell>
          <cell r="BQ681">
            <v>0</v>
          </cell>
          <cell r="BR681">
            <v>76931500.820000023</v>
          </cell>
          <cell r="BT681">
            <v>41</v>
          </cell>
          <cell r="CA681" t="str">
            <v>TEAM Sub Total - REVTOT - Base</v>
          </cell>
          <cell r="CC681" t="str">
            <v>TEAM Sub Total - REVTOT - Base - IS4</v>
          </cell>
          <cell r="CD681" t="str">
            <v/>
          </cell>
          <cell r="CF681" t="str">
            <v>TEAM Sub Total - Base - IS4</v>
          </cell>
        </row>
        <row r="682">
          <cell r="D682">
            <v>668</v>
          </cell>
          <cell r="E682">
            <v>1</v>
          </cell>
          <cell r="F682">
            <v>2</v>
          </cell>
          <cell r="G682" t="str">
            <v>TEAM Sub Total</v>
          </cell>
          <cell r="H682" t="str">
            <v>TEAM Sub Total</v>
          </cell>
          <cell r="I682" t="str">
            <v>IS4</v>
          </cell>
          <cell r="J682" t="str">
            <v>IS4 Sustainment Engineering and Acquisition</v>
          </cell>
          <cell r="K682" t="str">
            <v>Navy</v>
          </cell>
          <cell r="L682" t="str">
            <v>DOD</v>
          </cell>
          <cell r="M682" t="str">
            <v>VA</v>
          </cell>
          <cell r="N682" t="str">
            <v>CONUS</v>
          </cell>
          <cell r="O682">
            <v>44012</v>
          </cell>
          <cell r="P682">
            <v>46386</v>
          </cell>
          <cell r="Q682" t="str">
            <v>Prime</v>
          </cell>
          <cell r="R682" t="str">
            <v>CPFF</v>
          </cell>
          <cell r="S682">
            <v>0</v>
          </cell>
          <cell r="T682">
            <v>1</v>
          </cell>
          <cell r="U682" t="str">
            <v>REVTOT</v>
          </cell>
          <cell r="V682" t="str">
            <v>Identified - Recompete</v>
          </cell>
          <cell r="W682" t="str">
            <v>02 Capture</v>
          </cell>
          <cell r="X682" t="str">
            <v>Priority 2</v>
          </cell>
          <cell r="Y682">
            <v>0.9</v>
          </cell>
          <cell r="Z682">
            <v>373000000</v>
          </cell>
          <cell r="AA682">
            <v>0</v>
          </cell>
          <cell r="AB682">
            <v>0</v>
          </cell>
          <cell r="AC682">
            <v>0</v>
          </cell>
          <cell r="AD682">
            <v>0</v>
          </cell>
          <cell r="AI682">
            <v>0</v>
          </cell>
          <cell r="AJ682">
            <v>0</v>
          </cell>
          <cell r="AK682">
            <v>0</v>
          </cell>
          <cell r="BB682">
            <v>48230769.230769232</v>
          </cell>
          <cell r="BC682">
            <v>48230769.230769232</v>
          </cell>
          <cell r="BD682">
            <v>48230769.230769232</v>
          </cell>
          <cell r="BE682">
            <v>48230769.230769232</v>
          </cell>
          <cell r="BI682">
            <v>0</v>
          </cell>
          <cell r="BJ682">
            <v>0</v>
          </cell>
          <cell r="BK682">
            <v>0</v>
          </cell>
          <cell r="BL682">
            <v>0</v>
          </cell>
          <cell r="BM682">
            <v>0</v>
          </cell>
          <cell r="BN682">
            <v>10851923.076923078</v>
          </cell>
          <cell r="BO682">
            <v>43407692.307692312</v>
          </cell>
          <cell r="BP682">
            <v>43407692.307692312</v>
          </cell>
          <cell r="BQ682">
            <v>43407692.307692312</v>
          </cell>
          <cell r="BR682">
            <v>141075000.00000003</v>
          </cell>
          <cell r="BT682">
            <v>41</v>
          </cell>
          <cell r="CA682" t="str">
            <v>TEAM Sub Total - REVTOT - Identified - Recompete</v>
          </cell>
          <cell r="CC682" t="str">
            <v>TEAM Sub Total - REVTOT - Identified - Recompete - IS4</v>
          </cell>
          <cell r="CD682" t="str">
            <v/>
          </cell>
          <cell r="CF682" t="str">
            <v>TEAM Sub Total - Identified - Recompete - IS4</v>
          </cell>
        </row>
        <row r="683">
          <cell r="D683">
            <v>669</v>
          </cell>
          <cell r="E683">
            <v>2</v>
          </cell>
          <cell r="F683">
            <v>3</v>
          </cell>
          <cell r="G683" t="str">
            <v>TEAM Sub Total</v>
          </cell>
          <cell r="H683" t="str">
            <v>TEAM Sub Total</v>
          </cell>
          <cell r="I683" t="str">
            <v>IS4</v>
          </cell>
          <cell r="J683" t="str">
            <v>IS4 Sustainment Engineering and Acquisition</v>
          </cell>
          <cell r="K683" t="str">
            <v>Navy</v>
          </cell>
          <cell r="L683" t="str">
            <v>DOD</v>
          </cell>
          <cell r="M683" t="str">
            <v>VA</v>
          </cell>
          <cell r="N683" t="str">
            <v>CONUS</v>
          </cell>
          <cell r="O683">
            <v>41073</v>
          </cell>
          <cell r="P683">
            <v>44724</v>
          </cell>
          <cell r="Q683" t="str">
            <v>Prime</v>
          </cell>
          <cell r="R683" t="str">
            <v>CPFF</v>
          </cell>
          <cell r="S683">
            <v>0</v>
          </cell>
          <cell r="T683">
            <v>1</v>
          </cell>
          <cell r="U683" t="str">
            <v>CONTRACT</v>
          </cell>
          <cell r="V683" t="str">
            <v>Base</v>
          </cell>
          <cell r="W683" t="str">
            <v>05 Won</v>
          </cell>
          <cell r="X683" t="str">
            <v>Active</v>
          </cell>
          <cell r="Y683">
            <v>1</v>
          </cell>
          <cell r="Z683">
            <v>0</v>
          </cell>
          <cell r="AA683">
            <v>31598165.803000025</v>
          </cell>
          <cell r="AB683">
            <v>0</v>
          </cell>
          <cell r="AC683">
            <v>0</v>
          </cell>
          <cell r="AD683">
            <v>31598165.803000025</v>
          </cell>
          <cell r="AL683">
            <v>0.12124699721413233</v>
          </cell>
          <cell r="AM683">
            <v>0.1318722073361715</v>
          </cell>
          <cell r="AN683">
            <v>0.13047336878020302</v>
          </cell>
          <cell r="AO683">
            <v>0.13870448690377674</v>
          </cell>
          <cell r="AP683">
            <v>0.14411782721788244</v>
          </cell>
          <cell r="AQ683">
            <v>0.14411782721788244</v>
          </cell>
          <cell r="AR683">
            <v>0.14411782721788244</v>
          </cell>
          <cell r="AS683">
            <v>0.14411782721788244</v>
          </cell>
          <cell r="BF683">
            <v>4777644.9700000007</v>
          </cell>
          <cell r="BG683">
            <v>5300957.9400000004</v>
          </cell>
          <cell r="BH683">
            <v>5701769.8699999992</v>
          </cell>
          <cell r="BI683">
            <v>1473910.2499999991</v>
          </cell>
          <cell r="BJ683">
            <v>1755524.7199999988</v>
          </cell>
          <cell r="BK683">
            <v>1584365.4900000007</v>
          </cell>
          <cell r="BL683">
            <v>1474136.5131699997</v>
          </cell>
          <cell r="BM683">
            <v>6287936.9731699992</v>
          </cell>
          <cell r="BN683">
            <v>4553858.9995987592</v>
          </cell>
          <cell r="BO683">
            <v>0</v>
          </cell>
          <cell r="BP683">
            <v>0</v>
          </cell>
          <cell r="BQ683">
            <v>0</v>
          </cell>
          <cell r="BR683">
            <v>10841795.972768757</v>
          </cell>
          <cell r="BT683">
            <v>41</v>
          </cell>
          <cell r="CA683" t="str">
            <v>TEAM Sub Total - CONTRACT - Base</v>
          </cell>
          <cell r="CC683" t="str">
            <v>TEAM Sub Total - CONTRACT - Base - IS4</v>
          </cell>
          <cell r="CD683" t="str">
            <v/>
          </cell>
          <cell r="CF683" t="str">
            <v>TEAM Sub Total - Base - IS4</v>
          </cell>
        </row>
        <row r="684">
          <cell r="D684">
            <v>670</v>
          </cell>
          <cell r="E684">
            <v>2</v>
          </cell>
          <cell r="F684">
            <v>4</v>
          </cell>
          <cell r="G684" t="str">
            <v>TEAM Sub Total</v>
          </cell>
          <cell r="H684" t="str">
            <v>TEAM Sub Total</v>
          </cell>
          <cell r="I684" t="str">
            <v>IS4</v>
          </cell>
          <cell r="J684" t="str">
            <v>IS4 Sustainment Engineering and Acquisition</v>
          </cell>
          <cell r="K684" t="str">
            <v>Navy</v>
          </cell>
          <cell r="L684" t="str">
            <v>DOD</v>
          </cell>
          <cell r="M684" t="str">
            <v>VA</v>
          </cell>
          <cell r="N684" t="str">
            <v>CONUS</v>
          </cell>
          <cell r="O684">
            <v>44012</v>
          </cell>
          <cell r="P684">
            <v>46386</v>
          </cell>
          <cell r="Q684" t="str">
            <v>Prime</v>
          </cell>
          <cell r="R684" t="str">
            <v>CPFF</v>
          </cell>
          <cell r="S684">
            <v>0</v>
          </cell>
          <cell r="T684">
            <v>1</v>
          </cell>
          <cell r="U684" t="str">
            <v>CONTRACT</v>
          </cell>
          <cell r="V684" t="str">
            <v>Identified - Recompete</v>
          </cell>
          <cell r="W684" t="str">
            <v>02 Capture</v>
          </cell>
          <cell r="X684" t="str">
            <v>Priority 2</v>
          </cell>
          <cell r="Y684">
            <v>0.9</v>
          </cell>
          <cell r="Z684">
            <v>373000000</v>
          </cell>
          <cell r="AA684">
            <v>0</v>
          </cell>
          <cell r="AB684">
            <v>0</v>
          </cell>
          <cell r="AC684">
            <v>0</v>
          </cell>
          <cell r="AD684">
            <v>0</v>
          </cell>
          <cell r="AP684">
            <v>0.14411782721788244</v>
          </cell>
          <cell r="AQ684">
            <v>0.14411782721788244</v>
          </cell>
          <cell r="AR684">
            <v>0.14411782721788244</v>
          </cell>
          <cell r="AS684">
            <v>0.14411782721788244</v>
          </cell>
          <cell r="BI684">
            <v>0</v>
          </cell>
          <cell r="BJ684">
            <v>0</v>
          </cell>
          <cell r="BK684">
            <v>0</v>
          </cell>
          <cell r="BL684">
            <v>0</v>
          </cell>
          <cell r="BM684">
            <v>0</v>
          </cell>
          <cell r="BN684">
            <v>1563955.5749817514</v>
          </cell>
          <cell r="BO684">
            <v>6255822.2999270055</v>
          </cell>
          <cell r="BP684">
            <v>6255822.2999270055</v>
          </cell>
          <cell r="BQ684">
            <v>6255822.2999270055</v>
          </cell>
          <cell r="BR684">
            <v>20331422.474762768</v>
          </cell>
          <cell r="BT684">
            <v>41</v>
          </cell>
          <cell r="CA684" t="str">
            <v>TEAM Sub Total - CONTRACT - Identified - Recompete</v>
          </cell>
          <cell r="CC684" t="str">
            <v>TEAM Sub Total - CONTRACT - Identified - Recompete - IS4</v>
          </cell>
          <cell r="CD684" t="str">
            <v/>
          </cell>
          <cell r="CF684" t="str">
            <v>TEAM Sub Total - Identified - Recompete - IS4</v>
          </cell>
        </row>
        <row r="685">
          <cell r="D685">
            <v>671</v>
          </cell>
          <cell r="E685">
            <v>0</v>
          </cell>
          <cell r="F685">
            <v>5</v>
          </cell>
          <cell r="G685" t="str">
            <v>TEAM Sub Total</v>
          </cell>
          <cell r="H685" t="str">
            <v>TEAM Sub Total</v>
          </cell>
          <cell r="I685" t="str">
            <v>IS4</v>
          </cell>
          <cell r="J685" t="str">
            <v>IS4 Sustainment Engineering and Acquisition</v>
          </cell>
          <cell r="K685" t="str">
            <v>Navy</v>
          </cell>
          <cell r="L685" t="str">
            <v>DOD</v>
          </cell>
          <cell r="M685" t="str">
            <v>VA</v>
          </cell>
          <cell r="N685" t="str">
            <v>CONUS</v>
          </cell>
          <cell r="O685">
            <v>41073</v>
          </cell>
          <cell r="P685">
            <v>44724</v>
          </cell>
          <cell r="Q685" t="str">
            <v>Prime</v>
          </cell>
          <cell r="R685" t="str">
            <v>CPFF</v>
          </cell>
          <cell r="S685">
            <v>0</v>
          </cell>
          <cell r="T685">
            <v>1</v>
          </cell>
          <cell r="U685" t="str">
            <v>EBITA</v>
          </cell>
          <cell r="V685" t="str">
            <v>Base</v>
          </cell>
          <cell r="W685" t="str">
            <v>05 Won</v>
          </cell>
          <cell r="X685" t="str">
            <v>Active</v>
          </cell>
          <cell r="Y685">
            <v>1</v>
          </cell>
          <cell r="Z685">
            <v>0</v>
          </cell>
          <cell r="AA685">
            <v>31598165.803000025</v>
          </cell>
          <cell r="AB685">
            <v>0</v>
          </cell>
          <cell r="AC685">
            <v>0</v>
          </cell>
          <cell r="AD685">
            <v>31598165.803000025</v>
          </cell>
          <cell r="AT685">
            <v>2.9122443522714172E-2</v>
          </cell>
          <cell r="AU685">
            <v>3.3388798288447673E-2</v>
          </cell>
          <cell r="AV685">
            <v>4.3605576472507734E-2</v>
          </cell>
          <cell r="AW685">
            <v>4.9945143942331419E-2</v>
          </cell>
          <cell r="AX685">
            <v>0.05</v>
          </cell>
          <cell r="AY685">
            <v>0.05</v>
          </cell>
          <cell r="AZ685">
            <v>0.05</v>
          </cell>
          <cell r="BA685">
            <v>0.05</v>
          </cell>
          <cell r="BF685">
            <v>1147547.560000001</v>
          </cell>
          <cell r="BG685">
            <v>1342152.5200000003</v>
          </cell>
          <cell r="BH685">
            <v>1905591.649999999</v>
          </cell>
          <cell r="BI685">
            <v>504512.79999999906</v>
          </cell>
          <cell r="BJ685">
            <v>732053.81999999878</v>
          </cell>
          <cell r="BK685">
            <v>538128.86000000057</v>
          </cell>
          <cell r="BL685">
            <v>489484.46280999976</v>
          </cell>
          <cell r="BM685">
            <v>2264179.9428099981</v>
          </cell>
          <cell r="BN685">
            <v>1579908.2901500014</v>
          </cell>
          <cell r="BO685">
            <v>0</v>
          </cell>
          <cell r="BP685">
            <v>0</v>
          </cell>
          <cell r="BQ685">
            <v>0</v>
          </cell>
          <cell r="BR685">
            <v>3844088.2329599997</v>
          </cell>
          <cell r="BT685">
            <v>41</v>
          </cell>
          <cell r="CA685" t="str">
            <v>TEAM Sub Total - EBITA - Base</v>
          </cell>
          <cell r="CC685" t="str">
            <v>TEAM Sub Total - EBITA - Base - IS4</v>
          </cell>
          <cell r="CD685" t="str">
            <v/>
          </cell>
          <cell r="CF685" t="str">
            <v>TEAM Sub Total - Base - IS4</v>
          </cell>
        </row>
        <row r="686">
          <cell r="D686">
            <v>672</v>
          </cell>
          <cell r="E686">
            <v>0</v>
          </cell>
          <cell r="F686">
            <v>0</v>
          </cell>
          <cell r="G686" t="str">
            <v>TEAM Sub Total</v>
          </cell>
          <cell r="H686" t="str">
            <v>TEAM Sub Total</v>
          </cell>
          <cell r="I686" t="str">
            <v>IS4</v>
          </cell>
          <cell r="J686" t="str">
            <v>IS4 Sustainment Engineering and Acquisition</v>
          </cell>
          <cell r="K686" t="str">
            <v>Navy</v>
          </cell>
          <cell r="L686" t="str">
            <v>DOD</v>
          </cell>
          <cell r="M686" t="str">
            <v>VA</v>
          </cell>
          <cell r="N686" t="str">
            <v>CONUS</v>
          </cell>
          <cell r="O686">
            <v>44012</v>
          </cell>
          <cell r="P686">
            <v>46386</v>
          </cell>
          <cell r="Q686" t="str">
            <v>Prime</v>
          </cell>
          <cell r="R686" t="str">
            <v>CPFF</v>
          </cell>
          <cell r="S686">
            <v>0</v>
          </cell>
          <cell r="T686">
            <v>1</v>
          </cell>
          <cell r="U686" t="str">
            <v>EBITA</v>
          </cell>
          <cell r="V686" t="str">
            <v>Identified - Recompete</v>
          </cell>
          <cell r="W686" t="str">
            <v>02 Capture</v>
          </cell>
          <cell r="X686" t="str">
            <v>Priority 2</v>
          </cell>
          <cell r="Y686">
            <v>0.9</v>
          </cell>
          <cell r="Z686">
            <v>373000000</v>
          </cell>
          <cell r="AA686">
            <v>0</v>
          </cell>
          <cell r="AB686">
            <v>0</v>
          </cell>
          <cell r="AC686">
            <v>0</v>
          </cell>
          <cell r="AD686">
            <v>0</v>
          </cell>
          <cell r="AX686">
            <v>0.05</v>
          </cell>
          <cell r="AY686">
            <v>0.05</v>
          </cell>
          <cell r="AZ686">
            <v>0.05</v>
          </cell>
          <cell r="BA686">
            <v>0.05</v>
          </cell>
          <cell r="BI686">
            <v>0</v>
          </cell>
          <cell r="BJ686">
            <v>0</v>
          </cell>
          <cell r="BK686">
            <v>0</v>
          </cell>
          <cell r="BL686">
            <v>0</v>
          </cell>
          <cell r="BM686">
            <v>0</v>
          </cell>
          <cell r="BN686">
            <v>542596.15384615387</v>
          </cell>
          <cell r="BO686">
            <v>2170384.6153846155</v>
          </cell>
          <cell r="BP686">
            <v>2170384.6153846155</v>
          </cell>
          <cell r="BQ686">
            <v>2170384.6153846155</v>
          </cell>
          <cell r="BR686">
            <v>7053750</v>
          </cell>
          <cell r="BT686">
            <v>41</v>
          </cell>
          <cell r="CA686" t="str">
            <v>TEAM Sub Total - EBITA - Identified - Recompete</v>
          </cell>
          <cell r="CC686" t="str">
            <v>TEAM Sub Total - EBITA - Identified - Recompete - IS4</v>
          </cell>
          <cell r="CD686" t="str">
            <v/>
          </cell>
          <cell r="CF686" t="str">
            <v>TEAM Sub Total - Identified - Recompete - IS4</v>
          </cell>
        </row>
        <row r="687">
          <cell r="D687">
            <v>673</v>
          </cell>
          <cell r="E687">
            <v>1</v>
          </cell>
          <cell r="F687">
            <v>1</v>
          </cell>
          <cell r="G687" t="str">
            <v>003121</v>
          </cell>
          <cell r="H687" t="str">
            <v>MARMC HM&amp;E Programs (3121)</v>
          </cell>
          <cell r="I687" t="str">
            <v>IS4</v>
          </cell>
          <cell r="J687" t="str">
            <v>IS4 Sustainment Engineering and Acquisition</v>
          </cell>
          <cell r="K687" t="str">
            <v>Navy</v>
          </cell>
          <cell r="L687" t="str">
            <v>DOD</v>
          </cell>
          <cell r="M687" t="str">
            <v>VA</v>
          </cell>
          <cell r="N687" t="str">
            <v>CONUS</v>
          </cell>
          <cell r="O687">
            <v>42251</v>
          </cell>
          <cell r="P687">
            <v>43711</v>
          </cell>
          <cell r="Q687" t="str">
            <v>Prime</v>
          </cell>
          <cell r="R687" t="str">
            <v>CPFF</v>
          </cell>
          <cell r="S687">
            <v>0</v>
          </cell>
          <cell r="T687">
            <v>1</v>
          </cell>
          <cell r="U687" t="str">
            <v>REVTOT</v>
          </cell>
          <cell r="V687" t="str">
            <v>Base</v>
          </cell>
          <cell r="W687" t="str">
            <v>05 Won</v>
          </cell>
          <cell r="X687" t="str">
            <v>Active</v>
          </cell>
          <cell r="Y687">
            <v>1</v>
          </cell>
          <cell r="Z687">
            <v>0</v>
          </cell>
          <cell r="AA687">
            <v>134059.61999999708</v>
          </cell>
          <cell r="AB687">
            <v>0</v>
          </cell>
          <cell r="AC687">
            <v>0</v>
          </cell>
          <cell r="AD687">
            <v>134059.61999999708</v>
          </cell>
          <cell r="AE687">
            <v>3.1460606372753217</v>
          </cell>
          <cell r="AF687">
            <v>2.1799274224029386E-2</v>
          </cell>
          <cell r="AG687">
            <v>0.12943250957376096</v>
          </cell>
          <cell r="AH687">
            <v>-0.99324859785945563</v>
          </cell>
          <cell r="AI687">
            <v>0</v>
          </cell>
          <cell r="AJ687">
            <v>0</v>
          </cell>
          <cell r="AK687">
            <v>0</v>
          </cell>
          <cell r="BB687">
            <v>2170089</v>
          </cell>
          <cell r="BC687">
            <v>2170089</v>
          </cell>
          <cell r="BD687">
            <v>2170089</v>
          </cell>
          <cell r="BE687">
            <v>2170089</v>
          </cell>
          <cell r="BF687">
            <v>4149946.3599999994</v>
          </cell>
          <cell r="BG687">
            <v>17205929.25</v>
          </cell>
          <cell r="BH687">
            <v>17581006.02</v>
          </cell>
          <cell r="BI687">
            <v>5147505.6100000003</v>
          </cell>
          <cell r="BJ687">
            <v>4804516.3499999996</v>
          </cell>
          <cell r="BK687">
            <v>4907120.8599999994</v>
          </cell>
          <cell r="BL687">
            <v>4997416.93</v>
          </cell>
          <cell r="BM687">
            <v>19856559.75</v>
          </cell>
          <cell r="BN687">
            <v>134059.61999999708</v>
          </cell>
          <cell r="BO687">
            <v>0</v>
          </cell>
          <cell r="BP687">
            <v>0</v>
          </cell>
          <cell r="BQ687">
            <v>0</v>
          </cell>
          <cell r="BR687">
            <v>19990619.369999997</v>
          </cell>
          <cell r="BT687">
            <v>42</v>
          </cell>
          <cell r="CA687" t="str">
            <v>003121 - REVTOT - Base</v>
          </cell>
          <cell r="CC687" t="str">
            <v>003121 - REVTOT - Base - IS4</v>
          </cell>
          <cell r="CD687" t="str">
            <v/>
          </cell>
          <cell r="CF687" t="str">
            <v>003121 - Base - IS4</v>
          </cell>
        </row>
        <row r="688">
          <cell r="D688">
            <v>674</v>
          </cell>
          <cell r="E688">
            <v>1</v>
          </cell>
          <cell r="F688">
            <v>2</v>
          </cell>
          <cell r="G688" t="str">
            <v>003121</v>
          </cell>
          <cell r="H688" t="str">
            <v>MARMC HM&amp;E Programs (3121)</v>
          </cell>
          <cell r="I688" t="str">
            <v>IS4</v>
          </cell>
          <cell r="J688" t="str">
            <v>IS4 Sustainment Engineering and Acquisition</v>
          </cell>
          <cell r="K688" t="str">
            <v>Navy</v>
          </cell>
          <cell r="L688" t="str">
            <v>DOD</v>
          </cell>
          <cell r="M688" t="str">
            <v>VA</v>
          </cell>
          <cell r="N688" t="str">
            <v>CONUS</v>
          </cell>
          <cell r="O688">
            <v>43707</v>
          </cell>
          <cell r="P688">
            <v>45534</v>
          </cell>
          <cell r="Q688" t="str">
            <v>Prime</v>
          </cell>
          <cell r="R688" t="str">
            <v>CPFF</v>
          </cell>
          <cell r="S688">
            <v>0</v>
          </cell>
          <cell r="T688">
            <v>1</v>
          </cell>
          <cell r="U688" t="str">
            <v>REVTOT</v>
          </cell>
          <cell r="V688" t="str">
            <v>Identified - Recompete</v>
          </cell>
          <cell r="W688">
            <v>0</v>
          </cell>
          <cell r="X688" t="str">
            <v>Priority 3</v>
          </cell>
          <cell r="Y688">
            <v>0.75</v>
          </cell>
          <cell r="Z688">
            <v>102700000</v>
          </cell>
          <cell r="AA688">
            <v>0</v>
          </cell>
          <cell r="AB688">
            <v>0</v>
          </cell>
          <cell r="AC688">
            <v>0</v>
          </cell>
          <cell r="AD688">
            <v>0</v>
          </cell>
          <cell r="AI688">
            <v>0</v>
          </cell>
          <cell r="AJ688">
            <v>0</v>
          </cell>
          <cell r="AK688">
            <v>0</v>
          </cell>
          <cell r="BB688">
            <v>20540000</v>
          </cell>
          <cell r="BC688">
            <v>20540000</v>
          </cell>
          <cell r="BD688">
            <v>20540000</v>
          </cell>
          <cell r="BE688">
            <v>20540000</v>
          </cell>
          <cell r="BI688">
            <v>0</v>
          </cell>
          <cell r="BJ688">
            <v>0</v>
          </cell>
          <cell r="BK688">
            <v>0</v>
          </cell>
          <cell r="BL688">
            <v>0</v>
          </cell>
          <cell r="BM688">
            <v>0</v>
          </cell>
          <cell r="BN688">
            <v>15405000</v>
          </cell>
          <cell r="BO688">
            <v>15405000</v>
          </cell>
          <cell r="BP688">
            <v>15405000</v>
          </cell>
          <cell r="BQ688">
            <v>15405000</v>
          </cell>
          <cell r="BR688">
            <v>61620000</v>
          </cell>
          <cell r="BT688">
            <v>42</v>
          </cell>
          <cell r="CA688" t="str">
            <v>003121 - REVTOT - Identified - Recompete</v>
          </cell>
          <cell r="CC688" t="str">
            <v>003121 - REVTOT - Identified - Recompete - IS4</v>
          </cell>
          <cell r="CD688" t="str">
            <v/>
          </cell>
          <cell r="CF688" t="str">
            <v>003121 - Identified - Recompete - IS4</v>
          </cell>
        </row>
        <row r="689">
          <cell r="D689">
            <v>675</v>
          </cell>
          <cell r="E689">
            <v>2</v>
          </cell>
          <cell r="F689">
            <v>3</v>
          </cell>
          <cell r="G689" t="str">
            <v>003121</v>
          </cell>
          <cell r="H689" t="str">
            <v>MARMC HM&amp;E Programs (3121)</v>
          </cell>
          <cell r="I689" t="str">
            <v>IS4</v>
          </cell>
          <cell r="J689" t="str">
            <v>IS4 Sustainment Engineering and Acquisition</v>
          </cell>
          <cell r="K689" t="str">
            <v>Navy</v>
          </cell>
          <cell r="L689" t="str">
            <v>DOD</v>
          </cell>
          <cell r="M689" t="str">
            <v>VA</v>
          </cell>
          <cell r="N689" t="str">
            <v>CONUS</v>
          </cell>
          <cell r="O689">
            <v>42251</v>
          </cell>
          <cell r="P689">
            <v>43711</v>
          </cell>
          <cell r="Q689" t="str">
            <v>Prime</v>
          </cell>
          <cell r="R689" t="str">
            <v>CPFF</v>
          </cell>
          <cell r="S689">
            <v>0</v>
          </cell>
          <cell r="T689">
            <v>1</v>
          </cell>
          <cell r="U689" t="str">
            <v>CONTRACT</v>
          </cell>
          <cell r="V689" t="str">
            <v>Base</v>
          </cell>
          <cell r="W689" t="str">
            <v>05 Won</v>
          </cell>
          <cell r="X689" t="str">
            <v>Active</v>
          </cell>
          <cell r="Y689">
            <v>1</v>
          </cell>
          <cell r="Z689">
            <v>0</v>
          </cell>
          <cell r="AA689">
            <v>134059.61999999708</v>
          </cell>
          <cell r="AB689">
            <v>0</v>
          </cell>
          <cell r="AC689">
            <v>0</v>
          </cell>
          <cell r="AD689">
            <v>134059.61999999708</v>
          </cell>
          <cell r="AL689">
            <v>0.17375356388943783</v>
          </cell>
          <cell r="AM689">
            <v>0.14969991115126785</v>
          </cell>
          <cell r="AN689">
            <v>0.15376697823347885</v>
          </cell>
          <cell r="AO689">
            <v>0.16732041057615735</v>
          </cell>
          <cell r="AP689">
            <v>0.15856496458074831</v>
          </cell>
          <cell r="AQ689">
            <v>0.15856496458074831</v>
          </cell>
          <cell r="AR689">
            <v>0.15856496458074831</v>
          </cell>
          <cell r="AS689">
            <v>0.15856496458074831</v>
          </cell>
          <cell r="BF689">
            <v>721067.96999999986</v>
          </cell>
          <cell r="BG689">
            <v>2575726.0800000005</v>
          </cell>
          <cell r="BH689">
            <v>2703378.1700000004</v>
          </cell>
          <cell r="BI689">
            <v>1339524.1800000004</v>
          </cell>
          <cell r="BJ689">
            <v>628207.40000000037</v>
          </cell>
          <cell r="BK689">
            <v>657678.54999999958</v>
          </cell>
          <cell r="BL689">
            <v>696997.59999999986</v>
          </cell>
          <cell r="BM689">
            <v>3322407.7300000004</v>
          </cell>
          <cell r="BN689">
            <v>21257.158897008117</v>
          </cell>
          <cell r="BO689">
            <v>0</v>
          </cell>
          <cell r="BP689">
            <v>0</v>
          </cell>
          <cell r="BQ689">
            <v>0</v>
          </cell>
          <cell r="BR689">
            <v>3343664.8888970087</v>
          </cell>
          <cell r="BT689">
            <v>42</v>
          </cell>
          <cell r="CA689" t="str">
            <v>003121 - CONTRACT - Base</v>
          </cell>
          <cell r="CC689" t="str">
            <v>003121 - CONTRACT - Base - IS4</v>
          </cell>
          <cell r="CD689" t="str">
            <v/>
          </cell>
          <cell r="CF689" t="str">
            <v>003121 - Base - IS4</v>
          </cell>
        </row>
        <row r="690">
          <cell r="D690">
            <v>676</v>
          </cell>
          <cell r="E690">
            <v>2</v>
          </cell>
          <cell r="F690">
            <v>4</v>
          </cell>
          <cell r="G690" t="str">
            <v>003121</v>
          </cell>
          <cell r="H690" t="str">
            <v>MARMC HM&amp;E Programs (3121)</v>
          </cell>
          <cell r="I690" t="str">
            <v>IS4</v>
          </cell>
          <cell r="J690" t="str">
            <v>IS4 Sustainment Engineering and Acquisition</v>
          </cell>
          <cell r="K690" t="str">
            <v>Navy</v>
          </cell>
          <cell r="L690" t="str">
            <v>DOD</v>
          </cell>
          <cell r="M690" t="str">
            <v>VA</v>
          </cell>
          <cell r="N690" t="str">
            <v>CONUS</v>
          </cell>
          <cell r="O690">
            <v>43707</v>
          </cell>
          <cell r="P690">
            <v>45534</v>
          </cell>
          <cell r="Q690">
            <v>0</v>
          </cell>
          <cell r="R690" t="str">
            <v>CPFF</v>
          </cell>
          <cell r="S690">
            <v>0</v>
          </cell>
          <cell r="T690">
            <v>1</v>
          </cell>
          <cell r="U690" t="str">
            <v>CONTRACT</v>
          </cell>
          <cell r="V690" t="str">
            <v>Identified - Recompete</v>
          </cell>
          <cell r="W690">
            <v>0</v>
          </cell>
          <cell r="X690" t="str">
            <v>Priority 3</v>
          </cell>
          <cell r="Y690">
            <v>0.75</v>
          </cell>
          <cell r="Z690">
            <v>102700000</v>
          </cell>
          <cell r="AA690">
            <v>0</v>
          </cell>
          <cell r="AB690">
            <v>0</v>
          </cell>
          <cell r="AC690">
            <v>0</v>
          </cell>
          <cell r="AD690">
            <v>0</v>
          </cell>
          <cell r="AP690">
            <v>0.15856496458074831</v>
          </cell>
          <cell r="AQ690">
            <v>0.15856496458074831</v>
          </cell>
          <cell r="AR690">
            <v>0.15856496458074831</v>
          </cell>
          <cell r="AS690">
            <v>0.15856496458074831</v>
          </cell>
          <cell r="BI690">
            <v>0</v>
          </cell>
          <cell r="BJ690">
            <v>0</v>
          </cell>
          <cell r="BK690">
            <v>0</v>
          </cell>
          <cell r="BL690">
            <v>0</v>
          </cell>
          <cell r="BM690">
            <v>0</v>
          </cell>
          <cell r="BN690">
            <v>2442693.2793664276</v>
          </cell>
          <cell r="BO690">
            <v>2442693.2793664276</v>
          </cell>
          <cell r="BP690">
            <v>2442693.2793664276</v>
          </cell>
          <cell r="BQ690">
            <v>2442693.2793664276</v>
          </cell>
          <cell r="BR690">
            <v>9770773.1174657103</v>
          </cell>
          <cell r="BT690">
            <v>42</v>
          </cell>
          <cell r="CA690" t="str">
            <v>003121 - CONTRACT - Identified - Recompete</v>
          </cell>
          <cell r="CC690" t="str">
            <v>003121 - CONTRACT - Identified - Recompete - IS4</v>
          </cell>
          <cell r="CD690" t="str">
            <v/>
          </cell>
          <cell r="CF690" t="str">
            <v>003121 - Identified - Recompete - IS4</v>
          </cell>
        </row>
        <row r="691">
          <cell r="D691">
            <v>677</v>
          </cell>
          <cell r="E691">
            <v>0</v>
          </cell>
          <cell r="F691">
            <v>5</v>
          </cell>
          <cell r="G691" t="str">
            <v>003121</v>
          </cell>
          <cell r="H691" t="str">
            <v>MARMC HM&amp;E Programs (3121)</v>
          </cell>
          <cell r="I691" t="str">
            <v>IS4</v>
          </cell>
          <cell r="J691" t="str">
            <v>IS4 Sustainment Engineering and Acquisition</v>
          </cell>
          <cell r="K691" t="str">
            <v>Navy</v>
          </cell>
          <cell r="L691" t="str">
            <v>DOD</v>
          </cell>
          <cell r="M691" t="str">
            <v>VA</v>
          </cell>
          <cell r="N691" t="str">
            <v>CONUS</v>
          </cell>
          <cell r="O691">
            <v>42251</v>
          </cell>
          <cell r="P691">
            <v>43711</v>
          </cell>
          <cell r="Q691" t="str">
            <v>Prime</v>
          </cell>
          <cell r="R691" t="str">
            <v>CPFF</v>
          </cell>
          <cell r="S691">
            <v>0</v>
          </cell>
          <cell r="T691">
            <v>1</v>
          </cell>
          <cell r="U691" t="str">
            <v>EBITA</v>
          </cell>
          <cell r="V691" t="str">
            <v>Base</v>
          </cell>
          <cell r="W691" t="str">
            <v>05 Won</v>
          </cell>
          <cell r="X691" t="str">
            <v>Active</v>
          </cell>
          <cell r="Y691">
            <v>1</v>
          </cell>
          <cell r="Z691">
            <v>0</v>
          </cell>
          <cell r="AA691">
            <v>134059.61999999708</v>
          </cell>
          <cell r="AB691">
            <v>0</v>
          </cell>
          <cell r="AC691">
            <v>0</v>
          </cell>
          <cell r="AD691">
            <v>134059.61999999708</v>
          </cell>
          <cell r="AT691">
            <v>3.0799039050711952E-2</v>
          </cell>
          <cell r="AU691">
            <v>3.6026631923992157E-2</v>
          </cell>
          <cell r="AV691">
            <v>5.0317275302315168E-2</v>
          </cell>
          <cell r="AW691">
            <v>6.4929391910398801E-2</v>
          </cell>
          <cell r="AX691">
            <v>4.9692425573745196E-2</v>
          </cell>
          <cell r="AY691">
            <v>4.9692425573745196E-2</v>
          </cell>
          <cell r="AZ691">
            <v>4.9692425573745196E-2</v>
          </cell>
          <cell r="BA691">
            <v>4.9692425573745196E-2</v>
          </cell>
          <cell r="BF691">
            <v>127814.3599999999</v>
          </cell>
          <cell r="BG691">
            <v>619871.6800000004</v>
          </cell>
          <cell r="BH691">
            <v>884628.3200000003</v>
          </cell>
          <cell r="BI691">
            <v>867118.0400000005</v>
          </cell>
          <cell r="BJ691">
            <v>131135.73000000039</v>
          </cell>
          <cell r="BK691">
            <v>137635.08999999956</v>
          </cell>
          <cell r="BL691">
            <v>153385.48999999982</v>
          </cell>
          <cell r="BM691">
            <v>1289274.3500000003</v>
          </cell>
          <cell r="BN691">
            <v>6661.7476892944178</v>
          </cell>
          <cell r="BO691">
            <v>0</v>
          </cell>
          <cell r="BP691">
            <v>0</v>
          </cell>
          <cell r="BQ691">
            <v>0</v>
          </cell>
          <cell r="BR691">
            <v>1295936.0976892947</v>
          </cell>
          <cell r="BT691">
            <v>42</v>
          </cell>
          <cell r="CA691" t="str">
            <v>003121 - EBITA - Base</v>
          </cell>
          <cell r="CC691" t="str">
            <v>003121 - EBITA - Base - IS4</v>
          </cell>
          <cell r="CD691" t="str">
            <v/>
          </cell>
          <cell r="CF691" t="str">
            <v>003121 - Base - IS4</v>
          </cell>
        </row>
        <row r="692">
          <cell r="D692">
            <v>678</v>
          </cell>
          <cell r="E692">
            <v>0</v>
          </cell>
          <cell r="F692">
            <v>0</v>
          </cell>
          <cell r="G692" t="str">
            <v>003121</v>
          </cell>
          <cell r="H692" t="str">
            <v>MARMC HM&amp;E Programs (3121)</v>
          </cell>
          <cell r="I692" t="str">
            <v>IS4</v>
          </cell>
          <cell r="J692" t="str">
            <v>IS4 Sustainment Engineering and Acquisition</v>
          </cell>
          <cell r="K692" t="str">
            <v>Navy</v>
          </cell>
          <cell r="L692" t="str">
            <v>DOD</v>
          </cell>
          <cell r="M692" t="str">
            <v>VA</v>
          </cell>
          <cell r="N692" t="str">
            <v>CONUS</v>
          </cell>
          <cell r="O692">
            <v>43707</v>
          </cell>
          <cell r="P692">
            <v>45534</v>
          </cell>
          <cell r="Q692">
            <v>0</v>
          </cell>
          <cell r="R692" t="str">
            <v>CPFF</v>
          </cell>
          <cell r="S692">
            <v>0</v>
          </cell>
          <cell r="T692">
            <v>1</v>
          </cell>
          <cell r="U692" t="str">
            <v>EBITA</v>
          </cell>
          <cell r="V692" t="str">
            <v>Identified - Recompete</v>
          </cell>
          <cell r="W692">
            <v>0</v>
          </cell>
          <cell r="X692" t="str">
            <v>Priority 3</v>
          </cell>
          <cell r="Y692">
            <v>0.75</v>
          </cell>
          <cell r="Z692">
            <v>102700000</v>
          </cell>
          <cell r="AA692">
            <v>0</v>
          </cell>
          <cell r="AB692">
            <v>0</v>
          </cell>
          <cell r="AC692">
            <v>0</v>
          </cell>
          <cell r="AD692">
            <v>0</v>
          </cell>
          <cell r="AX692">
            <v>4.9692425573745196E-2</v>
          </cell>
          <cell r="AY692">
            <v>4.9692425573745196E-2</v>
          </cell>
          <cell r="AZ692">
            <v>4.9692425573745196E-2</v>
          </cell>
          <cell r="BA692">
            <v>4.9692425573745196E-2</v>
          </cell>
          <cell r="BI692">
            <v>0</v>
          </cell>
          <cell r="BJ692">
            <v>0</v>
          </cell>
          <cell r="BK692">
            <v>0</v>
          </cell>
          <cell r="BL692">
            <v>0</v>
          </cell>
          <cell r="BM692">
            <v>0</v>
          </cell>
          <cell r="BN692">
            <v>765511.81596354477</v>
          </cell>
          <cell r="BO692">
            <v>765511.81596354477</v>
          </cell>
          <cell r="BP692">
            <v>765511.81596354477</v>
          </cell>
          <cell r="BQ692">
            <v>765511.81596354477</v>
          </cell>
          <cell r="BR692">
            <v>3062047.2638541791</v>
          </cell>
          <cell r="BT692">
            <v>42</v>
          </cell>
          <cell r="CA692" t="str">
            <v>003121 - EBITA - Identified - Recompete</v>
          </cell>
          <cell r="CC692" t="str">
            <v>003121 - EBITA - Identified - Recompete - IS4</v>
          </cell>
          <cell r="CD692" t="str">
            <v/>
          </cell>
          <cell r="CF692" t="str">
            <v>003121 - Identified - Recompete - IS4</v>
          </cell>
        </row>
        <row r="693">
          <cell r="D693">
            <v>679</v>
          </cell>
          <cell r="E693">
            <v>1</v>
          </cell>
          <cell r="F693">
            <v>1</v>
          </cell>
          <cell r="G693" t="str">
            <v>0SWRMC</v>
          </cell>
          <cell r="H693" t="str">
            <v>FTSS SWRMC</v>
          </cell>
          <cell r="I693" t="str">
            <v>IS4</v>
          </cell>
          <cell r="J693" t="str">
            <v>IS4 Sustainment Engineering and Acquisition</v>
          </cell>
          <cell r="K693" t="str">
            <v>Navy</v>
          </cell>
          <cell r="L693" t="str">
            <v>DOD</v>
          </cell>
          <cell r="M693" t="str">
            <v>CA</v>
          </cell>
          <cell r="N693" t="str">
            <v>CONUS</v>
          </cell>
          <cell r="O693">
            <v>42795</v>
          </cell>
          <cell r="P693">
            <v>44374</v>
          </cell>
          <cell r="Q693" t="str">
            <v>Prime</v>
          </cell>
          <cell r="R693" t="str">
            <v>CPFF</v>
          </cell>
          <cell r="S693">
            <v>0</v>
          </cell>
          <cell r="T693">
            <v>1</v>
          </cell>
          <cell r="U693" t="str">
            <v>REVTOT</v>
          </cell>
          <cell r="V693" t="str">
            <v>Base</v>
          </cell>
          <cell r="W693" t="str">
            <v>05 Won</v>
          </cell>
          <cell r="X693" t="str">
            <v>Active</v>
          </cell>
          <cell r="Y693">
            <v>1</v>
          </cell>
          <cell r="Z693">
            <v>0</v>
          </cell>
          <cell r="AA693">
            <v>32570801.249999996</v>
          </cell>
          <cell r="AB693">
            <v>23711974.940000001</v>
          </cell>
          <cell r="AC693">
            <v>0</v>
          </cell>
          <cell r="AD693">
            <v>56282776.189999998</v>
          </cell>
          <cell r="AE693">
            <v>0</v>
          </cell>
          <cell r="AF693">
            <v>4.2868281381933917</v>
          </cell>
          <cell r="AG693">
            <v>0.21091072239350783</v>
          </cell>
          <cell r="AH693">
            <v>0.14773029957440631</v>
          </cell>
          <cell r="AI693">
            <v>0</v>
          </cell>
          <cell r="AJ693">
            <v>0</v>
          </cell>
          <cell r="AK693">
            <v>0</v>
          </cell>
          <cell r="BB693">
            <v>19290483.379999999</v>
          </cell>
          <cell r="BC693">
            <v>19290483.379999999</v>
          </cell>
          <cell r="BD693">
            <v>19290483.379999999</v>
          </cell>
          <cell r="BE693">
            <v>19290483.379999999</v>
          </cell>
          <cell r="BF693">
            <v>0</v>
          </cell>
          <cell r="BG693">
            <v>2625402.81</v>
          </cell>
          <cell r="BH693">
            <v>13880053.449999999</v>
          </cell>
          <cell r="BI693">
            <v>3824386.33</v>
          </cell>
          <cell r="BJ693">
            <v>4168214.02</v>
          </cell>
          <cell r="BK693">
            <v>4480308.33</v>
          </cell>
          <cell r="BL693">
            <v>4334596.87</v>
          </cell>
          <cell r="BM693">
            <v>16807505.550000001</v>
          </cell>
          <cell r="BN693">
            <v>19290483.379999999</v>
          </cell>
          <cell r="BO693">
            <v>14307108.506833334</v>
          </cell>
          <cell r="BP693">
            <v>0</v>
          </cell>
          <cell r="BQ693">
            <v>0</v>
          </cell>
          <cell r="BR693">
            <v>50405097.436833337</v>
          </cell>
          <cell r="BT693">
            <v>44</v>
          </cell>
          <cell r="CA693" t="str">
            <v>0SWRMC - REVTOT - Base</v>
          </cell>
          <cell r="CC693" t="str">
            <v>0SWRMC - REVTOT - Base - IS4</v>
          </cell>
          <cell r="CD693" t="str">
            <v/>
          </cell>
          <cell r="CF693" t="str">
            <v>0SWRMC - Base - IS4</v>
          </cell>
        </row>
        <row r="694">
          <cell r="D694">
            <v>680</v>
          </cell>
          <cell r="E694">
            <v>1</v>
          </cell>
          <cell r="F694">
            <v>2</v>
          </cell>
          <cell r="G694" t="str">
            <v>0SWRMC</v>
          </cell>
          <cell r="H694" t="str">
            <v>FTSS SWRMC</v>
          </cell>
          <cell r="I694" t="str">
            <v>IS4</v>
          </cell>
          <cell r="J694" t="str">
            <v>IS4 Sustainment Engineering and Acquisition</v>
          </cell>
          <cell r="K694" t="str">
            <v>Navy</v>
          </cell>
          <cell r="L694" t="str">
            <v>DOD</v>
          </cell>
          <cell r="M694" t="str">
            <v>CA</v>
          </cell>
          <cell r="N694" t="str">
            <v>CONUS</v>
          </cell>
          <cell r="O694">
            <v>44375</v>
          </cell>
          <cell r="P694">
            <v>45836</v>
          </cell>
          <cell r="Q694" t="str">
            <v>Prime</v>
          </cell>
          <cell r="R694" t="str">
            <v>CPFF</v>
          </cell>
          <cell r="S694">
            <v>0</v>
          </cell>
          <cell r="T694">
            <v>1</v>
          </cell>
          <cell r="U694" t="str">
            <v>REVTOT</v>
          </cell>
          <cell r="V694" t="str">
            <v>Identified - Recompete</v>
          </cell>
          <cell r="W694" t="str">
            <v>02 Capture</v>
          </cell>
          <cell r="X694" t="str">
            <v>Priority 2</v>
          </cell>
          <cell r="Y694">
            <v>0.85</v>
          </cell>
          <cell r="Z694">
            <v>89000000</v>
          </cell>
          <cell r="AA694">
            <v>0</v>
          </cell>
          <cell r="AB694">
            <v>0</v>
          </cell>
          <cell r="AC694">
            <v>0</v>
          </cell>
          <cell r="AD694">
            <v>0</v>
          </cell>
          <cell r="AI694">
            <v>0</v>
          </cell>
          <cell r="AJ694">
            <v>0</v>
          </cell>
          <cell r="AK694">
            <v>0</v>
          </cell>
          <cell r="BB694">
            <v>22250000</v>
          </cell>
          <cell r="BC694">
            <v>22250000</v>
          </cell>
          <cell r="BD694">
            <v>22250000</v>
          </cell>
          <cell r="BE694">
            <v>22250000</v>
          </cell>
          <cell r="BI694">
            <v>0</v>
          </cell>
          <cell r="BJ694">
            <v>0</v>
          </cell>
          <cell r="BK694">
            <v>0</v>
          </cell>
          <cell r="BL694">
            <v>0</v>
          </cell>
          <cell r="BM694">
            <v>0</v>
          </cell>
          <cell r="BN694">
            <v>0</v>
          </cell>
          <cell r="BO694">
            <v>4833194.444444444</v>
          </cell>
          <cell r="BP694">
            <v>18912500</v>
          </cell>
          <cell r="BQ694">
            <v>18912500</v>
          </cell>
          <cell r="BR694">
            <v>42658194.444444448</v>
          </cell>
          <cell r="BT694">
            <v>44</v>
          </cell>
          <cell r="CA694" t="str">
            <v>0SWRMC - REVTOT - Identified - Recompete</v>
          </cell>
          <cell r="CC694" t="str">
            <v>0SWRMC - REVTOT - Identified - Recompete - IS4</v>
          </cell>
          <cell r="CD694" t="str">
            <v/>
          </cell>
          <cell r="CF694" t="str">
            <v>0SWRMC - Identified - Recompete - IS4</v>
          </cell>
        </row>
        <row r="695">
          <cell r="D695">
            <v>681</v>
          </cell>
          <cell r="E695">
            <v>2</v>
          </cell>
          <cell r="F695">
            <v>3</v>
          </cell>
          <cell r="G695" t="str">
            <v>0SWRMC</v>
          </cell>
          <cell r="H695" t="str">
            <v>FTSS SWRMC</v>
          </cell>
          <cell r="I695" t="str">
            <v>IS4</v>
          </cell>
          <cell r="J695" t="str">
            <v>IS4 Sustainment Engineering and Acquisition</v>
          </cell>
          <cell r="K695" t="str">
            <v>Navy</v>
          </cell>
          <cell r="L695" t="str">
            <v>DOD</v>
          </cell>
          <cell r="M695" t="str">
            <v>CA</v>
          </cell>
          <cell r="N695" t="str">
            <v>CONUS</v>
          </cell>
          <cell r="O695">
            <v>42795</v>
          </cell>
          <cell r="P695">
            <v>44374</v>
          </cell>
          <cell r="Q695" t="str">
            <v>Prime</v>
          </cell>
          <cell r="R695" t="str">
            <v>CPFF</v>
          </cell>
          <cell r="S695">
            <v>0</v>
          </cell>
          <cell r="T695">
            <v>1</v>
          </cell>
          <cell r="U695" t="str">
            <v>CONTRACT</v>
          </cell>
          <cell r="V695" t="str">
            <v>Base</v>
          </cell>
          <cell r="W695" t="str">
            <v>05 Won</v>
          </cell>
          <cell r="X695" t="str">
            <v>Active</v>
          </cell>
          <cell r="Y695">
            <v>1</v>
          </cell>
          <cell r="Z695">
            <v>0</v>
          </cell>
          <cell r="AA695">
            <v>32570801.249999996</v>
          </cell>
          <cell r="AB695">
            <v>23711974.940000001</v>
          </cell>
          <cell r="AC695">
            <v>0</v>
          </cell>
          <cell r="AD695">
            <v>56282776.189999998</v>
          </cell>
          <cell r="AL695">
            <v>0</v>
          </cell>
          <cell r="AM695">
            <v>0.16453082869976821</v>
          </cell>
          <cell r="AN695">
            <v>0.14812098147936167</v>
          </cell>
          <cell r="AO695">
            <v>0.15556777726722218</v>
          </cell>
          <cell r="AP695">
            <v>0.16197503104766678</v>
          </cell>
          <cell r="AQ695">
            <v>0.16197503104766678</v>
          </cell>
          <cell r="AR695">
            <v>0.16197503104766678</v>
          </cell>
          <cell r="AS695">
            <v>0.16197503104766678</v>
          </cell>
          <cell r="BF695">
            <v>0</v>
          </cell>
          <cell r="BG695">
            <v>431959.70000000007</v>
          </cell>
          <cell r="BH695">
            <v>2055927.1400000001</v>
          </cell>
          <cell r="BI695">
            <v>591019.96000000008</v>
          </cell>
          <cell r="BJ695">
            <v>633712.47000000044</v>
          </cell>
          <cell r="BK695">
            <v>707116.25</v>
          </cell>
          <cell r="BL695">
            <v>682857.59982000035</v>
          </cell>
          <cell r="BM695">
            <v>2614706.2798200008</v>
          </cell>
          <cell r="BN695">
            <v>3124576.6443999996</v>
          </cell>
          <cell r="BO695">
            <v>2317394.3445966667</v>
          </cell>
          <cell r="BP695">
            <v>0</v>
          </cell>
          <cell r="BQ695">
            <v>0</v>
          </cell>
          <cell r="BR695">
            <v>8056677.2688166667</v>
          </cell>
          <cell r="BT695">
            <v>44</v>
          </cell>
          <cell r="CA695" t="str">
            <v>0SWRMC - CONTRACT - Base</v>
          </cell>
          <cell r="CC695" t="str">
            <v>0SWRMC - CONTRACT - Base - IS4</v>
          </cell>
          <cell r="CD695" t="str">
            <v/>
          </cell>
          <cell r="CF695" t="str">
            <v>0SWRMC - Base - IS4</v>
          </cell>
        </row>
        <row r="696">
          <cell r="D696">
            <v>682</v>
          </cell>
          <cell r="E696">
            <v>2</v>
          </cell>
          <cell r="F696">
            <v>4</v>
          </cell>
          <cell r="G696" t="str">
            <v>0SWRMC</v>
          </cell>
          <cell r="H696" t="str">
            <v>FTSS SWRMC</v>
          </cell>
          <cell r="I696" t="str">
            <v>IS4</v>
          </cell>
          <cell r="J696" t="str">
            <v>IS4 Sustainment Engineering and Acquisition</v>
          </cell>
          <cell r="K696" t="str">
            <v>Navy</v>
          </cell>
          <cell r="L696" t="str">
            <v>DOD</v>
          </cell>
          <cell r="M696" t="str">
            <v>CA</v>
          </cell>
          <cell r="N696" t="str">
            <v>CONUS</v>
          </cell>
          <cell r="O696">
            <v>44375</v>
          </cell>
          <cell r="P696">
            <v>45836</v>
          </cell>
          <cell r="Q696" t="str">
            <v>Prime</v>
          </cell>
          <cell r="R696" t="str">
            <v>CPFF</v>
          </cell>
          <cell r="S696">
            <v>0</v>
          </cell>
          <cell r="T696">
            <v>1</v>
          </cell>
          <cell r="U696" t="str">
            <v>CONTRACT</v>
          </cell>
          <cell r="V696" t="str">
            <v>Identified - Recompete</v>
          </cell>
          <cell r="W696" t="str">
            <v>02 Capture</v>
          </cell>
          <cell r="X696" t="str">
            <v>Priority 2</v>
          </cell>
          <cell r="Y696">
            <v>0.85</v>
          </cell>
          <cell r="Z696">
            <v>89000000</v>
          </cell>
          <cell r="AA696">
            <v>0</v>
          </cell>
          <cell r="AB696">
            <v>0</v>
          </cell>
          <cell r="AC696">
            <v>0</v>
          </cell>
          <cell r="AD696">
            <v>0</v>
          </cell>
          <cell r="AP696">
            <v>0.153</v>
          </cell>
          <cell r="AQ696">
            <v>0.153</v>
          </cell>
          <cell r="AR696">
            <v>0.153</v>
          </cell>
          <cell r="AS696">
            <v>0.153</v>
          </cell>
          <cell r="BI696">
            <v>0</v>
          </cell>
          <cell r="BJ696">
            <v>0</v>
          </cell>
          <cell r="BK696">
            <v>0</v>
          </cell>
          <cell r="BL696">
            <v>0</v>
          </cell>
          <cell r="BM696">
            <v>0</v>
          </cell>
          <cell r="BN696">
            <v>0</v>
          </cell>
          <cell r="BO696">
            <v>739478.74999999988</v>
          </cell>
          <cell r="BP696">
            <v>2893612.5</v>
          </cell>
          <cell r="BQ696">
            <v>2893612.5</v>
          </cell>
          <cell r="BR696">
            <v>6526703.75</v>
          </cell>
          <cell r="BT696">
            <v>44</v>
          </cell>
          <cell r="CA696" t="str">
            <v>0SWRMC - CONTRACT - Identified - Recompete</v>
          </cell>
          <cell r="CC696" t="str">
            <v>0SWRMC - CONTRACT - Identified - Recompete - IS4</v>
          </cell>
          <cell r="CD696" t="str">
            <v/>
          </cell>
          <cell r="CF696" t="str">
            <v>0SWRMC - Identified - Recompete - IS4</v>
          </cell>
        </row>
        <row r="697">
          <cell r="D697">
            <v>683</v>
          </cell>
          <cell r="E697">
            <v>0</v>
          </cell>
          <cell r="F697">
            <v>5</v>
          </cell>
          <cell r="G697" t="str">
            <v>0SWRMC</v>
          </cell>
          <cell r="H697" t="str">
            <v>FTSS SWRMC</v>
          </cell>
          <cell r="I697" t="str">
            <v>IS4</v>
          </cell>
          <cell r="J697" t="str">
            <v>IS4 Sustainment Engineering and Acquisition</v>
          </cell>
          <cell r="K697" t="str">
            <v>Navy</v>
          </cell>
          <cell r="L697" t="str">
            <v>DOD</v>
          </cell>
          <cell r="M697" t="str">
            <v>CA</v>
          </cell>
          <cell r="N697" t="str">
            <v>CONUS</v>
          </cell>
          <cell r="O697">
            <v>42795</v>
          </cell>
          <cell r="P697">
            <v>44374</v>
          </cell>
          <cell r="Q697" t="str">
            <v>Prime</v>
          </cell>
          <cell r="R697" t="str">
            <v>CPFF</v>
          </cell>
          <cell r="S697">
            <v>0</v>
          </cell>
          <cell r="T697">
            <v>1</v>
          </cell>
          <cell r="U697" t="str">
            <v>EBITA</v>
          </cell>
          <cell r="V697" t="str">
            <v>Base</v>
          </cell>
          <cell r="W697" t="str">
            <v>05 Won</v>
          </cell>
          <cell r="X697" t="str">
            <v>Active</v>
          </cell>
          <cell r="Y697">
            <v>1</v>
          </cell>
          <cell r="Z697">
            <v>0</v>
          </cell>
          <cell r="AA697">
            <v>32570801.249999996</v>
          </cell>
          <cell r="AB697">
            <v>23711974.940000001</v>
          </cell>
          <cell r="AC697">
            <v>0</v>
          </cell>
          <cell r="AD697">
            <v>56282776.189999998</v>
          </cell>
          <cell r="AT697">
            <v>0</v>
          </cell>
          <cell r="AU697">
            <v>2.542737432356142E-2</v>
          </cell>
          <cell r="AV697">
            <v>3.0841976332591135E-2</v>
          </cell>
          <cell r="AW697">
            <v>3.3571079668392602E-2</v>
          </cell>
          <cell r="AX697">
            <v>3.4364207204446183E-2</v>
          </cell>
          <cell r="AY697">
            <v>3.4364207204446183E-2</v>
          </cell>
          <cell r="AZ697">
            <v>3.4364207204446183E-2</v>
          </cell>
          <cell r="BA697">
            <v>3.4364207204446183E-2</v>
          </cell>
          <cell r="BF697">
            <v>0</v>
          </cell>
          <cell r="BG697">
            <v>66757.100000000006</v>
          </cell>
          <cell r="BH697">
            <v>428088.27999999991</v>
          </cell>
          <cell r="BI697">
            <v>124582.81000000006</v>
          </cell>
          <cell r="BJ697">
            <v>135247.95000000042</v>
          </cell>
          <cell r="BK697">
            <v>157936.61000000002</v>
          </cell>
          <cell r="BL697">
            <v>146478.73784600035</v>
          </cell>
          <cell r="BM697">
            <v>564246.10784600081</v>
          </cell>
          <cell r="BN697">
            <v>662902.16794424527</v>
          </cell>
          <cell r="BO697">
            <v>491652.44122531533</v>
          </cell>
          <cell r="BP697">
            <v>0</v>
          </cell>
          <cell r="BQ697">
            <v>0</v>
          </cell>
          <cell r="BR697">
            <v>1718800.7170155616</v>
          </cell>
          <cell r="BT697">
            <v>44</v>
          </cell>
          <cell r="CA697" t="str">
            <v>0SWRMC - EBITA - Base</v>
          </cell>
          <cell r="CC697" t="str">
            <v>0SWRMC - EBITA - Base - IS4</v>
          </cell>
          <cell r="CD697" t="str">
            <v/>
          </cell>
          <cell r="CF697" t="str">
            <v>0SWRMC - Base - IS4</v>
          </cell>
        </row>
        <row r="698">
          <cell r="D698">
            <v>684</v>
          </cell>
          <cell r="E698">
            <v>0</v>
          </cell>
          <cell r="F698">
            <v>0</v>
          </cell>
          <cell r="G698" t="str">
            <v>0SWRMC</v>
          </cell>
          <cell r="H698" t="str">
            <v>FTSS SWRMC</v>
          </cell>
          <cell r="I698" t="str">
            <v>IS4</v>
          </cell>
          <cell r="J698" t="str">
            <v>IS4 Sustainment Engineering and Acquisition</v>
          </cell>
          <cell r="K698" t="str">
            <v>Navy</v>
          </cell>
          <cell r="L698" t="str">
            <v>DOD</v>
          </cell>
          <cell r="M698" t="str">
            <v>CA</v>
          </cell>
          <cell r="N698" t="str">
            <v>CONUS</v>
          </cell>
          <cell r="O698">
            <v>44375</v>
          </cell>
          <cell r="P698">
            <v>45836</v>
          </cell>
          <cell r="Q698" t="str">
            <v>Prime</v>
          </cell>
          <cell r="R698" t="str">
            <v>CPFF</v>
          </cell>
          <cell r="S698">
            <v>0</v>
          </cell>
          <cell r="T698">
            <v>1</v>
          </cell>
          <cell r="U698" t="str">
            <v>EBITA</v>
          </cell>
          <cell r="V698" t="str">
            <v>Identified - Recompete</v>
          </cell>
          <cell r="W698" t="str">
            <v>02 Capture</v>
          </cell>
          <cell r="X698" t="str">
            <v>Priority 2</v>
          </cell>
          <cell r="Y698">
            <v>0.85</v>
          </cell>
          <cell r="Z698">
            <v>89000000</v>
          </cell>
          <cell r="AA698">
            <v>0</v>
          </cell>
          <cell r="AB698">
            <v>0</v>
          </cell>
          <cell r="AC698">
            <v>0</v>
          </cell>
          <cell r="AD698">
            <v>0</v>
          </cell>
          <cell r="AX698">
            <v>3.4364207204446183E-2</v>
          </cell>
          <cell r="AY698">
            <v>3.4364207204446183E-2</v>
          </cell>
          <cell r="AZ698">
            <v>3.4364207204446183E-2</v>
          </cell>
          <cell r="BA698">
            <v>3.4364207204446183E-2</v>
          </cell>
          <cell r="BI698">
            <v>0</v>
          </cell>
          <cell r="BJ698">
            <v>0</v>
          </cell>
          <cell r="BK698">
            <v>0</v>
          </cell>
          <cell r="BL698">
            <v>0</v>
          </cell>
          <cell r="BM698">
            <v>0</v>
          </cell>
          <cell r="BN698">
            <v>0</v>
          </cell>
          <cell r="BO698">
            <v>166088.89534826702</v>
          </cell>
          <cell r="BP698">
            <v>649913.06875408848</v>
          </cell>
          <cell r="BQ698">
            <v>649913.06875408848</v>
          </cell>
          <cell r="BR698">
            <v>1465915.0328564439</v>
          </cell>
          <cell r="BT698">
            <v>44</v>
          </cell>
          <cell r="CA698" t="str">
            <v>0SWRMC - EBITA - Identified - Recompete</v>
          </cell>
          <cell r="CC698" t="str">
            <v>0SWRMC - EBITA - Identified - Recompete - IS4</v>
          </cell>
          <cell r="CD698" t="str">
            <v/>
          </cell>
          <cell r="CF698" t="str">
            <v>0SWRMC - Identified - Recompete - IS4</v>
          </cell>
        </row>
        <row r="699">
          <cell r="D699">
            <v>685</v>
          </cell>
          <cell r="E699">
            <v>1</v>
          </cell>
          <cell r="F699">
            <v>1</v>
          </cell>
          <cell r="G699" t="str">
            <v>BABYLN</v>
          </cell>
          <cell r="H699" t="str">
            <v>Babylon</v>
          </cell>
          <cell r="I699" t="str">
            <v>IS4</v>
          </cell>
          <cell r="J699" t="str">
            <v>IS4 Global Mission Solutions</v>
          </cell>
          <cell r="K699" t="str">
            <v>Classified Agency</v>
          </cell>
          <cell r="L699" t="str">
            <v>Classified</v>
          </cell>
          <cell r="M699" t="str">
            <v>VA</v>
          </cell>
          <cell r="N699" t="str">
            <v>CONUS</v>
          </cell>
          <cell r="O699">
            <v>42628</v>
          </cell>
          <cell r="P699">
            <v>43904</v>
          </cell>
          <cell r="Q699" t="str">
            <v>Prime</v>
          </cell>
          <cell r="R699" t="str">
            <v>CPFF</v>
          </cell>
          <cell r="S699">
            <v>0</v>
          </cell>
          <cell r="T699">
            <v>1</v>
          </cell>
          <cell r="U699" t="str">
            <v>REVTOT</v>
          </cell>
          <cell r="V699" t="str">
            <v>Base</v>
          </cell>
          <cell r="W699" t="str">
            <v>05 Won</v>
          </cell>
          <cell r="X699" t="str">
            <v>Active</v>
          </cell>
          <cell r="Y699">
            <v>1</v>
          </cell>
          <cell r="Z699">
            <v>0</v>
          </cell>
          <cell r="AA699">
            <v>16462853.109999996</v>
          </cell>
          <cell r="AB699">
            <v>36010467</v>
          </cell>
          <cell r="AC699">
            <v>0</v>
          </cell>
          <cell r="AD699">
            <v>52473320.109999999</v>
          </cell>
          <cell r="AE699">
            <v>72.559756087000551</v>
          </cell>
          <cell r="AF699">
            <v>0.44401653032319888</v>
          </cell>
          <cell r="AG699">
            <v>0.6093812866546644</v>
          </cell>
          <cell r="AH699">
            <v>-0.50935336979113899</v>
          </cell>
          <cell r="AI699">
            <v>0</v>
          </cell>
          <cell r="AJ699">
            <v>0</v>
          </cell>
          <cell r="AK699">
            <v>0</v>
          </cell>
          <cell r="BB699">
            <v>24451284.710999999</v>
          </cell>
          <cell r="BC699">
            <v>24451284.710999999</v>
          </cell>
          <cell r="BD699">
            <v>24451284.710999999</v>
          </cell>
          <cell r="BE699">
            <v>24451284.710999999</v>
          </cell>
          <cell r="BF699">
            <v>132801.45000000001</v>
          </cell>
          <cell r="BG699">
            <v>9768842.2699999996</v>
          </cell>
          <cell r="BH699">
            <v>14106369.720000001</v>
          </cell>
          <cell r="BI699">
            <v>5098383.47</v>
          </cell>
          <cell r="BJ699">
            <v>5809024.870000001</v>
          </cell>
          <cell r="BK699">
            <v>6114611.1099999994</v>
          </cell>
          <cell r="BL699">
            <v>5680508</v>
          </cell>
          <cell r="BM699">
            <v>22702527.449999999</v>
          </cell>
          <cell r="BN699">
            <v>11138918.590566667</v>
          </cell>
          <cell r="BO699">
            <v>0</v>
          </cell>
          <cell r="BP699">
            <v>0</v>
          </cell>
          <cell r="BQ699">
            <v>0</v>
          </cell>
          <cell r="BR699">
            <v>33841446.040566668</v>
          </cell>
          <cell r="BT699">
            <v>45</v>
          </cell>
          <cell r="CA699" t="str">
            <v>BABYLN - REVTOT - Base</v>
          </cell>
          <cell r="CC699" t="str">
            <v>BABYLN - REVTOT - Base - IS4</v>
          </cell>
          <cell r="CD699" t="str">
            <v/>
          </cell>
          <cell r="CF699" t="str">
            <v>BABYLN - Base - IS4</v>
          </cell>
        </row>
        <row r="700">
          <cell r="D700">
            <v>686</v>
          </cell>
          <cell r="E700">
            <v>1</v>
          </cell>
          <cell r="F700">
            <v>2</v>
          </cell>
          <cell r="G700" t="str">
            <v>BABYLN</v>
          </cell>
          <cell r="H700" t="str">
            <v>Babylon</v>
          </cell>
          <cell r="I700" t="str">
            <v>IS4</v>
          </cell>
          <cell r="J700" t="str">
            <v>IS4 Global Mission Solutions</v>
          </cell>
          <cell r="K700" t="str">
            <v>Classified Agency</v>
          </cell>
          <cell r="L700" t="str">
            <v>Classified</v>
          </cell>
          <cell r="M700" t="str">
            <v>VA</v>
          </cell>
          <cell r="N700" t="str">
            <v>CONUS</v>
          </cell>
          <cell r="O700">
            <v>43905</v>
          </cell>
          <cell r="P700">
            <v>45366</v>
          </cell>
          <cell r="Q700" t="str">
            <v>Prime</v>
          </cell>
          <cell r="R700" t="str">
            <v>CPFF</v>
          </cell>
          <cell r="S700">
            <v>0</v>
          </cell>
          <cell r="T700">
            <v>1</v>
          </cell>
          <cell r="U700" t="str">
            <v>REVTOT</v>
          </cell>
          <cell r="V700" t="str">
            <v>Identified - Recompete</v>
          </cell>
          <cell r="W700" t="str">
            <v>02 Capture</v>
          </cell>
          <cell r="X700" t="str">
            <v>Priority 2</v>
          </cell>
          <cell r="Y700">
            <v>0.9</v>
          </cell>
          <cell r="Z700">
            <v>100000000</v>
          </cell>
          <cell r="AA700">
            <v>0</v>
          </cell>
          <cell r="AB700">
            <v>0</v>
          </cell>
          <cell r="AC700">
            <v>0</v>
          </cell>
          <cell r="AD700">
            <v>0</v>
          </cell>
          <cell r="AI700">
            <v>0</v>
          </cell>
          <cell r="AJ700">
            <v>0</v>
          </cell>
          <cell r="AK700">
            <v>0</v>
          </cell>
          <cell r="BB700">
            <v>24451284.710999999</v>
          </cell>
          <cell r="BC700">
            <v>24451284.710999999</v>
          </cell>
          <cell r="BD700">
            <v>24451284.710999999</v>
          </cell>
          <cell r="BE700">
            <v>24451284.710999999</v>
          </cell>
          <cell r="BI700">
            <v>0</v>
          </cell>
          <cell r="BJ700">
            <v>0</v>
          </cell>
          <cell r="BK700">
            <v>0</v>
          </cell>
          <cell r="BL700">
            <v>0</v>
          </cell>
          <cell r="BM700">
            <v>0</v>
          </cell>
          <cell r="BN700">
            <v>11920001.296612499</v>
          </cell>
          <cell r="BO700">
            <v>22006156.2399</v>
          </cell>
          <cell r="BP700">
            <v>22006156.2399</v>
          </cell>
          <cell r="BQ700">
            <v>22006156.2399</v>
          </cell>
          <cell r="BR700">
            <v>77938470.01631251</v>
          </cell>
          <cell r="BT700">
            <v>45</v>
          </cell>
          <cell r="CA700" t="str">
            <v>BABYLN - REVTOT - Identified - Recompete</v>
          </cell>
          <cell r="CC700" t="str">
            <v>BABYLN - REVTOT - Identified - Recompete - IS4</v>
          </cell>
          <cell r="CD700" t="str">
            <v/>
          </cell>
          <cell r="CF700" t="str">
            <v>BABYLN - Identified - Recompete - IS4</v>
          </cell>
        </row>
        <row r="701">
          <cell r="D701">
            <v>687</v>
          </cell>
          <cell r="E701">
            <v>2</v>
          </cell>
          <cell r="F701">
            <v>3</v>
          </cell>
          <cell r="G701" t="str">
            <v>BABYLN</v>
          </cell>
          <cell r="H701" t="str">
            <v>Babylon</v>
          </cell>
          <cell r="I701" t="str">
            <v>IS4</v>
          </cell>
          <cell r="J701" t="str">
            <v>IS4 Global Mission Solutions</v>
          </cell>
          <cell r="K701" t="str">
            <v>Classified Agency</v>
          </cell>
          <cell r="L701" t="str">
            <v>Classified</v>
          </cell>
          <cell r="M701" t="str">
            <v>VA</v>
          </cell>
          <cell r="N701" t="str">
            <v>CONUS</v>
          </cell>
          <cell r="O701">
            <v>42628</v>
          </cell>
          <cell r="P701">
            <v>43904</v>
          </cell>
          <cell r="Q701" t="str">
            <v>Prime</v>
          </cell>
          <cell r="R701" t="str">
            <v>CPFF</v>
          </cell>
          <cell r="S701">
            <v>0</v>
          </cell>
          <cell r="T701">
            <v>1</v>
          </cell>
          <cell r="U701" t="str">
            <v>CONTRACT</v>
          </cell>
          <cell r="V701" t="str">
            <v>Base</v>
          </cell>
          <cell r="W701" t="str">
            <v>05 Won</v>
          </cell>
          <cell r="X701" t="str">
            <v>Active</v>
          </cell>
          <cell r="Y701">
            <v>1</v>
          </cell>
          <cell r="Z701">
            <v>0</v>
          </cell>
          <cell r="AA701">
            <v>16462853.109999996</v>
          </cell>
          <cell r="AB701">
            <v>36010467</v>
          </cell>
          <cell r="AC701">
            <v>0</v>
          </cell>
          <cell r="AD701">
            <v>52473320.109999999</v>
          </cell>
          <cell r="AL701">
            <v>0.11688178103477037</v>
          </cell>
          <cell r="AM701">
            <v>0.11831896022618454</v>
          </cell>
          <cell r="AN701">
            <v>0.12776214120098928</v>
          </cell>
          <cell r="AO701">
            <v>0.13070532990369757</v>
          </cell>
          <cell r="AP701">
            <v>0.12946851014421373</v>
          </cell>
          <cell r="AQ701">
            <v>0.12946851014421373</v>
          </cell>
          <cell r="AR701">
            <v>0.12946851014421373</v>
          </cell>
          <cell r="AS701">
            <v>0.12946851014421373</v>
          </cell>
          <cell r="BF701">
            <v>15522.070000000007</v>
          </cell>
          <cell r="BG701">
            <v>1155839.2600000002</v>
          </cell>
          <cell r="BH701">
            <v>1802259.9999999995</v>
          </cell>
          <cell r="BI701">
            <v>810471.55</v>
          </cell>
          <cell r="BJ701">
            <v>717539.19</v>
          </cell>
          <cell r="BK701">
            <v>747652.60000000009</v>
          </cell>
          <cell r="BL701">
            <v>691678</v>
          </cell>
          <cell r="BM701">
            <v>2967341.34</v>
          </cell>
          <cell r="BN701">
            <v>1442139.1945383514</v>
          </cell>
          <cell r="BO701">
            <v>0</v>
          </cell>
          <cell r="BP701">
            <v>0</v>
          </cell>
          <cell r="BQ701">
            <v>0</v>
          </cell>
          <cell r="BR701">
            <v>4409480.534538351</v>
          </cell>
          <cell r="BT701">
            <v>45</v>
          </cell>
          <cell r="CA701" t="str">
            <v>BABYLN - CONTRACT - Base</v>
          </cell>
          <cell r="CC701" t="str">
            <v>BABYLN - CONTRACT - Base - IS4</v>
          </cell>
          <cell r="CD701" t="str">
            <v/>
          </cell>
          <cell r="CF701" t="str">
            <v>BABYLN - Base - IS4</v>
          </cell>
        </row>
        <row r="702">
          <cell r="D702">
            <v>688</v>
          </cell>
          <cell r="E702">
            <v>2</v>
          </cell>
          <cell r="F702">
            <v>4</v>
          </cell>
          <cell r="G702" t="str">
            <v>BABYLN</v>
          </cell>
          <cell r="H702" t="str">
            <v>Babylon</v>
          </cell>
          <cell r="I702" t="str">
            <v>IS4</v>
          </cell>
          <cell r="J702" t="str">
            <v>IS4 Global Mission Solutions</v>
          </cell>
          <cell r="K702" t="str">
            <v>Classified Agency</v>
          </cell>
          <cell r="L702" t="str">
            <v>Classified</v>
          </cell>
          <cell r="M702" t="str">
            <v>VA</v>
          </cell>
          <cell r="N702" t="str">
            <v>CONUS</v>
          </cell>
          <cell r="O702">
            <v>43905</v>
          </cell>
          <cell r="P702">
            <v>45366</v>
          </cell>
          <cell r="Q702" t="str">
            <v>Prime</v>
          </cell>
          <cell r="R702" t="str">
            <v>CPFF</v>
          </cell>
          <cell r="S702">
            <v>0</v>
          </cell>
          <cell r="T702">
            <v>1</v>
          </cell>
          <cell r="U702" t="str">
            <v>CONTRACT</v>
          </cell>
          <cell r="V702" t="str">
            <v>Identified - Recompete</v>
          </cell>
          <cell r="W702" t="str">
            <v>02 Capture</v>
          </cell>
          <cell r="X702" t="str">
            <v>Priority 2</v>
          </cell>
          <cell r="Y702">
            <v>0.9</v>
          </cell>
          <cell r="Z702">
            <v>100000000</v>
          </cell>
          <cell r="AA702">
            <v>0</v>
          </cell>
          <cell r="AB702">
            <v>0</v>
          </cell>
          <cell r="AC702">
            <v>0</v>
          </cell>
          <cell r="AD702">
            <v>0</v>
          </cell>
          <cell r="AP702">
            <v>0.12946851014421373</v>
          </cell>
          <cell r="AQ702">
            <v>0.12946851014421373</v>
          </cell>
          <cell r="AR702">
            <v>0.12946851014421373</v>
          </cell>
          <cell r="AS702">
            <v>0.12946851014421373</v>
          </cell>
          <cell r="BI702">
            <v>0</v>
          </cell>
          <cell r="BJ702">
            <v>0</v>
          </cell>
          <cell r="BK702">
            <v>0</v>
          </cell>
          <cell r="BL702">
            <v>0</v>
          </cell>
          <cell r="BM702">
            <v>0</v>
          </cell>
          <cell r="BN702">
            <v>1543264.8087895161</v>
          </cell>
          <cell r="BO702">
            <v>2849104.2623806456</v>
          </cell>
          <cell r="BP702">
            <v>2849104.2623806456</v>
          </cell>
          <cell r="BQ702">
            <v>2849104.2623806456</v>
          </cell>
          <cell r="BR702">
            <v>10090577.595931452</v>
          </cell>
          <cell r="BT702">
            <v>45</v>
          </cell>
          <cell r="CA702" t="str">
            <v>BABYLN - CONTRACT - Identified - Recompete</v>
          </cell>
          <cell r="CC702" t="str">
            <v>BABYLN - CONTRACT - Identified - Recompete - IS4</v>
          </cell>
          <cell r="CD702" t="str">
            <v/>
          </cell>
          <cell r="CF702" t="str">
            <v>BABYLN - Identified - Recompete - IS4</v>
          </cell>
        </row>
        <row r="703">
          <cell r="D703">
            <v>689</v>
          </cell>
          <cell r="E703">
            <v>0</v>
          </cell>
          <cell r="F703">
            <v>5</v>
          </cell>
          <cell r="G703" t="str">
            <v>BABYLN</v>
          </cell>
          <cell r="H703" t="str">
            <v>Babylon</v>
          </cell>
          <cell r="I703" t="str">
            <v>IS4</v>
          </cell>
          <cell r="J703" t="str">
            <v>IS4 Global Mission Solutions</v>
          </cell>
          <cell r="K703" t="str">
            <v>Classified Agency</v>
          </cell>
          <cell r="L703" t="str">
            <v>Classified</v>
          </cell>
          <cell r="M703" t="str">
            <v>VA</v>
          </cell>
          <cell r="N703" t="str">
            <v>CONUS</v>
          </cell>
          <cell r="O703">
            <v>42628</v>
          </cell>
          <cell r="P703">
            <v>43904</v>
          </cell>
          <cell r="Q703" t="str">
            <v>Prime</v>
          </cell>
          <cell r="R703" t="str">
            <v>CPFF</v>
          </cell>
          <cell r="S703">
            <v>0</v>
          </cell>
          <cell r="T703">
            <v>1</v>
          </cell>
          <cell r="U703" t="str">
            <v>EBITA</v>
          </cell>
          <cell r="V703" t="str">
            <v>Base</v>
          </cell>
          <cell r="W703" t="str">
            <v>05 Won</v>
          </cell>
          <cell r="X703" t="str">
            <v>Active</v>
          </cell>
          <cell r="Y703">
            <v>1</v>
          </cell>
          <cell r="Z703">
            <v>0</v>
          </cell>
          <cell r="AA703">
            <v>16462853.109999996</v>
          </cell>
          <cell r="AB703">
            <v>36010467</v>
          </cell>
          <cell r="AC703">
            <v>0</v>
          </cell>
          <cell r="AD703">
            <v>52473320.109999999</v>
          </cell>
          <cell r="AT703">
            <v>2.5755667577424844E-2</v>
          </cell>
          <cell r="AU703">
            <v>2.9534795631417258E-2</v>
          </cell>
          <cell r="AV703">
            <v>4.6332985947003767E-2</v>
          </cell>
          <cell r="AW703">
            <v>4.880016387778887E-2</v>
          </cell>
          <cell r="AX703">
            <v>4.880016387778887E-2</v>
          </cell>
          <cell r="AY703">
            <v>4.880016387778887E-2</v>
          </cell>
          <cell r="AZ703">
            <v>4.880016387778887E-2</v>
          </cell>
          <cell r="BA703">
            <v>4.880016387778887E-2</v>
          </cell>
          <cell r="BF703">
            <v>3420.3900000000067</v>
          </cell>
          <cell r="BG703">
            <v>288520.76000000024</v>
          </cell>
          <cell r="BH703">
            <v>653590.22999999952</v>
          </cell>
          <cell r="BI703">
            <v>393368.65000000008</v>
          </cell>
          <cell r="BJ703">
            <v>241882.95999999996</v>
          </cell>
          <cell r="BK703">
            <v>236633.90000000011</v>
          </cell>
          <cell r="BL703">
            <v>236001.55000000005</v>
          </cell>
          <cell r="BM703">
            <v>1107887.0600000003</v>
          </cell>
          <cell r="BN703">
            <v>543581.05264100234</v>
          </cell>
          <cell r="BO703">
            <v>0</v>
          </cell>
          <cell r="BP703">
            <v>0</v>
          </cell>
          <cell r="BQ703">
            <v>0</v>
          </cell>
          <cell r="BR703">
            <v>1651468.1126410025</v>
          </cell>
          <cell r="BT703">
            <v>45</v>
          </cell>
          <cell r="CA703" t="str">
            <v>BABYLN - EBITA - Base</v>
          </cell>
          <cell r="CC703" t="str">
            <v>BABYLN - EBITA - Base - IS4</v>
          </cell>
          <cell r="CD703" t="str">
            <v/>
          </cell>
          <cell r="CF703" t="str">
            <v>BABYLN - Base - IS4</v>
          </cell>
        </row>
        <row r="704">
          <cell r="D704">
            <v>690</v>
          </cell>
          <cell r="E704">
            <v>0</v>
          </cell>
          <cell r="F704">
            <v>0</v>
          </cell>
          <cell r="G704" t="str">
            <v>BABYLN</v>
          </cell>
          <cell r="H704" t="str">
            <v>Babylon</v>
          </cell>
          <cell r="I704" t="str">
            <v>IS4</v>
          </cell>
          <cell r="J704" t="str">
            <v>IS4 Global Mission Solutions</v>
          </cell>
          <cell r="K704" t="str">
            <v>Classified Agency</v>
          </cell>
          <cell r="L704" t="str">
            <v>Classified</v>
          </cell>
          <cell r="M704" t="str">
            <v>VA</v>
          </cell>
          <cell r="N704" t="str">
            <v>CONUS</v>
          </cell>
          <cell r="O704">
            <v>43905</v>
          </cell>
          <cell r="P704">
            <v>45366</v>
          </cell>
          <cell r="Q704" t="str">
            <v>Prime</v>
          </cell>
          <cell r="R704" t="str">
            <v>CPFF</v>
          </cell>
          <cell r="S704">
            <v>0</v>
          </cell>
          <cell r="T704">
            <v>1</v>
          </cell>
          <cell r="U704" t="str">
            <v>EBITA</v>
          </cell>
          <cell r="V704" t="str">
            <v>Identified - Recompete</v>
          </cell>
          <cell r="W704" t="str">
            <v>02 Capture</v>
          </cell>
          <cell r="X704" t="str">
            <v>Priority 2</v>
          </cell>
          <cell r="Y704">
            <v>0.9</v>
          </cell>
          <cell r="Z704">
            <v>100000000</v>
          </cell>
          <cell r="AA704">
            <v>0</v>
          </cell>
          <cell r="AB704">
            <v>0</v>
          </cell>
          <cell r="AC704">
            <v>0</v>
          </cell>
          <cell r="AD704">
            <v>0</v>
          </cell>
          <cell r="AX704">
            <v>4.6673194900731831E-2</v>
          </cell>
          <cell r="AY704">
            <v>4.6673194900731831E-2</v>
          </cell>
          <cell r="AZ704">
            <v>4.6673194900731831E-2</v>
          </cell>
          <cell r="BA704">
            <v>4.6673194900731831E-2</v>
          </cell>
          <cell r="BI704">
            <v>0</v>
          </cell>
          <cell r="BJ704">
            <v>0</v>
          </cell>
          <cell r="BK704">
            <v>0</v>
          </cell>
          <cell r="BL704">
            <v>0</v>
          </cell>
          <cell r="BM704">
            <v>0</v>
          </cell>
          <cell r="BN704">
            <v>556344.54373377131</v>
          </cell>
          <cell r="BO704">
            <v>1027097.6192008087</v>
          </cell>
          <cell r="BP704">
            <v>1027097.6192008087</v>
          </cell>
          <cell r="BQ704">
            <v>1027097.6192008087</v>
          </cell>
          <cell r="BR704">
            <v>3637637.4013361977</v>
          </cell>
          <cell r="BT704">
            <v>45</v>
          </cell>
          <cell r="CA704" t="str">
            <v>BABYLN - EBITA - Identified - Recompete</v>
          </cell>
          <cell r="CC704" t="str">
            <v>BABYLN - EBITA - Identified - Recompete - IS4</v>
          </cell>
          <cell r="CD704" t="str">
            <v/>
          </cell>
          <cell r="CF704" t="str">
            <v>BABYLN - Identified - Recompete - IS4</v>
          </cell>
        </row>
        <row r="705">
          <cell r="D705">
            <v>691</v>
          </cell>
          <cell r="E705">
            <v>1</v>
          </cell>
          <cell r="F705">
            <v>1</v>
          </cell>
          <cell r="G705" t="str">
            <v>POASIS</v>
          </cell>
          <cell r="H705" t="str">
            <v>PACOM OASIS</v>
          </cell>
          <cell r="I705" t="str">
            <v>IS4</v>
          </cell>
          <cell r="J705" t="str">
            <v>IS4 Spectrum &amp; Infrastructure Assurance</v>
          </cell>
          <cell r="K705" t="str">
            <v>Army</v>
          </cell>
          <cell r="L705" t="str">
            <v>DOD</v>
          </cell>
          <cell r="M705" t="str">
            <v>HI</v>
          </cell>
          <cell r="N705" t="str">
            <v>CONUS</v>
          </cell>
          <cell r="O705">
            <v>43546</v>
          </cell>
          <cell r="P705">
            <v>45372</v>
          </cell>
          <cell r="Q705" t="str">
            <v>Prime</v>
          </cell>
          <cell r="R705" t="str">
            <v>CPFF</v>
          </cell>
          <cell r="S705">
            <v>0</v>
          </cell>
          <cell r="T705">
            <v>1</v>
          </cell>
          <cell r="U705" t="str">
            <v>REVTOT</v>
          </cell>
          <cell r="V705" t="str">
            <v>Base</v>
          </cell>
          <cell r="W705" t="str">
            <v>05 Won</v>
          </cell>
          <cell r="X705" t="str">
            <v>Active</v>
          </cell>
          <cell r="Y705">
            <v>1</v>
          </cell>
          <cell r="Z705">
            <v>0</v>
          </cell>
          <cell r="AA705">
            <v>21245541.27</v>
          </cell>
          <cell r="AB705">
            <v>99445296</v>
          </cell>
          <cell r="AC705">
            <v>0</v>
          </cell>
          <cell r="AD705">
            <v>120690837.27</v>
          </cell>
          <cell r="AE705">
            <v>0</v>
          </cell>
          <cell r="AF705">
            <v>0</v>
          </cell>
          <cell r="AG705">
            <v>0</v>
          </cell>
          <cell r="AH705">
            <v>5.7262900747351431</v>
          </cell>
          <cell r="AI705">
            <v>0</v>
          </cell>
          <cell r="AJ705">
            <v>0</v>
          </cell>
          <cell r="AK705">
            <v>0</v>
          </cell>
          <cell r="BB705">
            <v>14021212.17</v>
          </cell>
          <cell r="BC705">
            <v>14021212.17</v>
          </cell>
          <cell r="BD705">
            <v>14021212.17</v>
          </cell>
          <cell r="BE705">
            <v>14021212.17</v>
          </cell>
          <cell r="BF705">
            <v>0</v>
          </cell>
          <cell r="BG705">
            <v>0</v>
          </cell>
          <cell r="BH705">
            <v>0</v>
          </cell>
          <cell r="BI705">
            <v>0</v>
          </cell>
          <cell r="BJ705">
            <v>0</v>
          </cell>
          <cell r="BK705">
            <v>539771.73</v>
          </cell>
          <cell r="BL705">
            <v>1544767</v>
          </cell>
          <cell r="BM705">
            <v>2084538.73</v>
          </cell>
          <cell r="BN705">
            <v>14021212.17</v>
          </cell>
          <cell r="BO705">
            <v>14021212.17</v>
          </cell>
          <cell r="BP705">
            <v>14021212.17</v>
          </cell>
          <cell r="BQ705">
            <v>14021212.17</v>
          </cell>
          <cell r="BR705">
            <v>58169387.410000004</v>
          </cell>
          <cell r="BT705">
            <v>46</v>
          </cell>
          <cell r="CA705" t="str">
            <v>POASIS - REVTOT - Base</v>
          </cell>
          <cell r="CC705" t="str">
            <v>POASIS - REVTOT - Base - IS4</v>
          </cell>
          <cell r="CD705" t="str">
            <v/>
          </cell>
          <cell r="CF705" t="str">
            <v>POASIS - Base - IS4</v>
          </cell>
        </row>
        <row r="706">
          <cell r="D706">
            <v>692</v>
          </cell>
          <cell r="E706">
            <v>1</v>
          </cell>
          <cell r="F706">
            <v>2</v>
          </cell>
          <cell r="G706" t="str">
            <v>POASIS</v>
          </cell>
          <cell r="H706" t="str">
            <v>PACOM OASIS</v>
          </cell>
          <cell r="I706" t="str">
            <v>IS4</v>
          </cell>
          <cell r="J706" t="str">
            <v>IS4 Spectrum &amp; Infrastructure Assurance</v>
          </cell>
          <cell r="K706" t="str">
            <v>Army</v>
          </cell>
          <cell r="L706" t="str">
            <v>DOD</v>
          </cell>
          <cell r="M706" t="str">
            <v>HI</v>
          </cell>
          <cell r="N706" t="str">
            <v>CONUS</v>
          </cell>
          <cell r="O706">
            <v>0</v>
          </cell>
          <cell r="P706">
            <v>0</v>
          </cell>
          <cell r="Q706">
            <v>0</v>
          </cell>
          <cell r="R706" t="str">
            <v>CPFF</v>
          </cell>
          <cell r="S706">
            <v>0</v>
          </cell>
          <cell r="T706">
            <v>1</v>
          </cell>
          <cell r="U706" t="str">
            <v>REVTOT</v>
          </cell>
          <cell r="V706" t="str">
            <v>Identified - Recompete</v>
          </cell>
          <cell r="W706">
            <v>0</v>
          </cell>
          <cell r="X706">
            <v>0</v>
          </cell>
          <cell r="Y706">
            <v>0</v>
          </cell>
          <cell r="Z706">
            <v>0</v>
          </cell>
          <cell r="AA706">
            <v>0</v>
          </cell>
          <cell r="AB706">
            <v>0</v>
          </cell>
          <cell r="AC706">
            <v>0</v>
          </cell>
          <cell r="AD706">
            <v>0</v>
          </cell>
          <cell r="AI706">
            <v>0</v>
          </cell>
          <cell r="AJ706">
            <v>0</v>
          </cell>
          <cell r="AK706">
            <v>0</v>
          </cell>
          <cell r="BB706">
            <v>0</v>
          </cell>
          <cell r="BC706">
            <v>0</v>
          </cell>
          <cell r="BD706">
            <v>0</v>
          </cell>
          <cell r="BE706">
            <v>0</v>
          </cell>
          <cell r="BI706">
            <v>0</v>
          </cell>
          <cell r="BJ706">
            <v>0</v>
          </cell>
          <cell r="BK706">
            <v>0</v>
          </cell>
          <cell r="BL706">
            <v>0</v>
          </cell>
          <cell r="BM706">
            <v>0</v>
          </cell>
          <cell r="BN706">
            <v>0</v>
          </cell>
          <cell r="BO706">
            <v>0</v>
          </cell>
          <cell r="BP706">
            <v>0</v>
          </cell>
          <cell r="BQ706">
            <v>0</v>
          </cell>
          <cell r="BR706">
            <v>0</v>
          </cell>
          <cell r="BT706">
            <v>46</v>
          </cell>
          <cell r="CA706" t="str">
            <v>POASIS - REVTOT - Identified - Recompete</v>
          </cell>
          <cell r="CC706" t="str">
            <v>POASIS - REVTOT - Identified - Recompete - IS4</v>
          </cell>
          <cell r="CD706" t="str">
            <v/>
          </cell>
          <cell r="CF706" t="str">
            <v>POASIS - Identified - Recompete - IS4</v>
          </cell>
        </row>
        <row r="707">
          <cell r="D707">
            <v>693</v>
          </cell>
          <cell r="E707">
            <v>2</v>
          </cell>
          <cell r="F707">
            <v>3</v>
          </cell>
          <cell r="G707" t="str">
            <v>POASIS</v>
          </cell>
          <cell r="H707" t="str">
            <v>PACOM OASIS</v>
          </cell>
          <cell r="I707" t="str">
            <v>IS4</v>
          </cell>
          <cell r="J707" t="str">
            <v>IS4 Spectrum &amp; Infrastructure Assurance</v>
          </cell>
          <cell r="K707" t="str">
            <v>Army</v>
          </cell>
          <cell r="L707" t="str">
            <v>DOD</v>
          </cell>
          <cell r="M707" t="str">
            <v>HI</v>
          </cell>
          <cell r="N707" t="str">
            <v>CONUS</v>
          </cell>
          <cell r="O707">
            <v>43546</v>
          </cell>
          <cell r="P707">
            <v>45372</v>
          </cell>
          <cell r="Q707" t="str">
            <v>Prime</v>
          </cell>
          <cell r="R707" t="str">
            <v>CPFF</v>
          </cell>
          <cell r="S707">
            <v>0</v>
          </cell>
          <cell r="T707">
            <v>1</v>
          </cell>
          <cell r="U707" t="str">
            <v>CONTRACT</v>
          </cell>
          <cell r="V707" t="str">
            <v>Base</v>
          </cell>
          <cell r="W707" t="str">
            <v>05 Won</v>
          </cell>
          <cell r="X707" t="str">
            <v>Active</v>
          </cell>
          <cell r="Y707">
            <v>1</v>
          </cell>
          <cell r="Z707">
            <v>0</v>
          </cell>
          <cell r="AA707">
            <v>21245541.27</v>
          </cell>
          <cell r="AB707">
            <v>99445296</v>
          </cell>
          <cell r="AC707">
            <v>0</v>
          </cell>
          <cell r="AD707">
            <v>120690837.27</v>
          </cell>
          <cell r="AL707">
            <v>0</v>
          </cell>
          <cell r="AM707">
            <v>0</v>
          </cell>
          <cell r="AN707">
            <v>0</v>
          </cell>
          <cell r="AO707">
            <v>0.1784749142703623</v>
          </cell>
          <cell r="AP707">
            <v>0.16683979912444336</v>
          </cell>
          <cell r="AQ707">
            <v>0.16683979912444336</v>
          </cell>
          <cell r="AR707">
            <v>0.16683979912444336</v>
          </cell>
          <cell r="AS707">
            <v>0.16683979912444336</v>
          </cell>
          <cell r="BF707">
            <v>0</v>
          </cell>
          <cell r="BG707">
            <v>0</v>
          </cell>
          <cell r="BH707">
            <v>0</v>
          </cell>
          <cell r="BI707">
            <v>0</v>
          </cell>
          <cell r="BJ707">
            <v>0</v>
          </cell>
          <cell r="BK707">
            <v>89957.839999999967</v>
          </cell>
          <cell r="BL707">
            <v>282080.03112999996</v>
          </cell>
          <cell r="BM707">
            <v>372037.87112999993</v>
          </cell>
          <cell r="BN707">
            <v>2339296.2219240004</v>
          </cell>
          <cell r="BO707">
            <v>2339296.2219240004</v>
          </cell>
          <cell r="BP707">
            <v>2339296.2219240004</v>
          </cell>
          <cell r="BQ707">
            <v>2339296.2219240004</v>
          </cell>
          <cell r="BR707">
            <v>9729222.7588260025</v>
          </cell>
          <cell r="BT707">
            <v>46</v>
          </cell>
          <cell r="CA707" t="str">
            <v>POASIS - CONTRACT - Base</v>
          </cell>
          <cell r="CC707" t="str">
            <v>POASIS - CONTRACT - Base - IS4</v>
          </cell>
          <cell r="CD707" t="str">
            <v/>
          </cell>
          <cell r="CF707" t="str">
            <v>POASIS - Base - IS4</v>
          </cell>
        </row>
        <row r="708">
          <cell r="D708">
            <v>694</v>
          </cell>
          <cell r="E708">
            <v>2</v>
          </cell>
          <cell r="F708">
            <v>4</v>
          </cell>
          <cell r="G708" t="str">
            <v>POASIS</v>
          </cell>
          <cell r="H708" t="str">
            <v>PACOM OASIS</v>
          </cell>
          <cell r="I708" t="str">
            <v>IS4</v>
          </cell>
          <cell r="J708" t="str">
            <v>IS4 Spectrum &amp; Infrastructure Assurance</v>
          </cell>
          <cell r="K708" t="str">
            <v>Army</v>
          </cell>
          <cell r="L708" t="str">
            <v>DOD</v>
          </cell>
          <cell r="M708" t="str">
            <v>HI</v>
          </cell>
          <cell r="N708" t="str">
            <v>CONUS</v>
          </cell>
          <cell r="O708">
            <v>0</v>
          </cell>
          <cell r="P708">
            <v>0</v>
          </cell>
          <cell r="Q708">
            <v>0</v>
          </cell>
          <cell r="R708" t="str">
            <v>CPFF</v>
          </cell>
          <cell r="S708">
            <v>0</v>
          </cell>
          <cell r="T708">
            <v>1</v>
          </cell>
          <cell r="U708" t="str">
            <v>CONTRACT</v>
          </cell>
          <cell r="V708" t="str">
            <v>Identified - Recompete</v>
          </cell>
          <cell r="W708">
            <v>0</v>
          </cell>
          <cell r="X708">
            <v>0</v>
          </cell>
          <cell r="Y708">
            <v>0</v>
          </cell>
          <cell r="Z708">
            <v>0</v>
          </cell>
          <cell r="AA708">
            <v>0</v>
          </cell>
          <cell r="AB708">
            <v>0</v>
          </cell>
          <cell r="AC708">
            <v>0</v>
          </cell>
          <cell r="AD708">
            <v>0</v>
          </cell>
          <cell r="AP708">
            <v>0.16683979912444336</v>
          </cell>
          <cell r="AQ708">
            <v>0.16683979912444336</v>
          </cell>
          <cell r="AR708">
            <v>0.16683979912444336</v>
          </cell>
          <cell r="AS708">
            <v>0.16683979912444336</v>
          </cell>
          <cell r="BI708">
            <v>0</v>
          </cell>
          <cell r="BJ708">
            <v>0</v>
          </cell>
          <cell r="BK708">
            <v>0</v>
          </cell>
          <cell r="BL708">
            <v>0</v>
          </cell>
          <cell r="BM708">
            <v>0</v>
          </cell>
          <cell r="BN708">
            <v>0</v>
          </cell>
          <cell r="BO708">
            <v>0</v>
          </cell>
          <cell r="BP708">
            <v>0</v>
          </cell>
          <cell r="BQ708">
            <v>0</v>
          </cell>
          <cell r="BR708">
            <v>0</v>
          </cell>
          <cell r="BT708">
            <v>46</v>
          </cell>
          <cell r="CA708" t="str">
            <v>POASIS - CONTRACT - Identified - Recompete</v>
          </cell>
          <cell r="CC708" t="str">
            <v>POASIS - CONTRACT - Identified - Recompete - IS4</v>
          </cell>
          <cell r="CD708" t="str">
            <v/>
          </cell>
          <cell r="CF708" t="str">
            <v>POASIS - Identified - Recompete - IS4</v>
          </cell>
        </row>
        <row r="709">
          <cell r="D709">
            <v>695</v>
          </cell>
          <cell r="E709">
            <v>0</v>
          </cell>
          <cell r="F709">
            <v>5</v>
          </cell>
          <cell r="G709" t="str">
            <v>POASIS</v>
          </cell>
          <cell r="H709" t="str">
            <v>PACOM OASIS</v>
          </cell>
          <cell r="I709" t="str">
            <v>IS4</v>
          </cell>
          <cell r="J709" t="str">
            <v>IS4 Spectrum &amp; Infrastructure Assurance</v>
          </cell>
          <cell r="K709" t="str">
            <v>Army</v>
          </cell>
          <cell r="L709" t="str">
            <v>DOD</v>
          </cell>
          <cell r="M709" t="str">
            <v>HI</v>
          </cell>
          <cell r="N709" t="str">
            <v>CONUS</v>
          </cell>
          <cell r="O709">
            <v>43546</v>
          </cell>
          <cell r="P709">
            <v>45372</v>
          </cell>
          <cell r="Q709" t="str">
            <v>Prime</v>
          </cell>
          <cell r="R709" t="str">
            <v>CPFF</v>
          </cell>
          <cell r="S709">
            <v>0</v>
          </cell>
          <cell r="T709">
            <v>1</v>
          </cell>
          <cell r="U709" t="str">
            <v>EBITA</v>
          </cell>
          <cell r="V709" t="str">
            <v>Base</v>
          </cell>
          <cell r="W709" t="str">
            <v>05 Won</v>
          </cell>
          <cell r="X709" t="str">
            <v>Active</v>
          </cell>
          <cell r="Y709">
            <v>1</v>
          </cell>
          <cell r="Z709">
            <v>0</v>
          </cell>
          <cell r="AA709">
            <v>21245541.27</v>
          </cell>
          <cell r="AB709">
            <v>99445296</v>
          </cell>
          <cell r="AC709">
            <v>0</v>
          </cell>
          <cell r="AD709">
            <v>120690837.27</v>
          </cell>
          <cell r="AT709">
            <v>0</v>
          </cell>
          <cell r="AU709">
            <v>0</v>
          </cell>
          <cell r="AV709">
            <v>0</v>
          </cell>
          <cell r="AW709">
            <v>5.759616075111252E-2</v>
          </cell>
          <cell r="AX709">
            <v>5.4421640223919904E-2</v>
          </cell>
          <cell r="AY709">
            <v>5.4421640223919904E-2</v>
          </cell>
          <cell r="AZ709">
            <v>5.4421640223919904E-2</v>
          </cell>
          <cell r="BA709">
            <v>5.4421640223919904E-2</v>
          </cell>
          <cell r="BF709">
            <v>0</v>
          </cell>
          <cell r="BG709">
            <v>0</v>
          </cell>
          <cell r="BH709">
            <v>0</v>
          </cell>
          <cell r="BI709">
            <v>0</v>
          </cell>
          <cell r="BJ709">
            <v>0</v>
          </cell>
          <cell r="BK709">
            <v>22168.529999999973</v>
          </cell>
          <cell r="BL709">
            <v>97892.897784999965</v>
          </cell>
          <cell r="BM709">
            <v>120061.42778499993</v>
          </cell>
          <cell r="BN709">
            <v>763057.36421898729</v>
          </cell>
          <cell r="BO709">
            <v>763057.36421898729</v>
          </cell>
          <cell r="BP709">
            <v>763057.36421898729</v>
          </cell>
          <cell r="BQ709">
            <v>763057.36421898729</v>
          </cell>
          <cell r="BR709">
            <v>3172290.884660949</v>
          </cell>
          <cell r="BT709">
            <v>46</v>
          </cell>
          <cell r="CA709" t="str">
            <v>POASIS - EBITA - Base</v>
          </cell>
          <cell r="CC709" t="str">
            <v>POASIS - EBITA - Base - IS4</v>
          </cell>
          <cell r="CD709" t="str">
            <v/>
          </cell>
          <cell r="CF709" t="str">
            <v>POASIS - Base - IS4</v>
          </cell>
        </row>
        <row r="710">
          <cell r="D710">
            <v>696</v>
          </cell>
          <cell r="E710">
            <v>0</v>
          </cell>
          <cell r="F710">
            <v>0</v>
          </cell>
          <cell r="G710" t="str">
            <v>POASIS</v>
          </cell>
          <cell r="H710" t="str">
            <v>PACOM OASIS</v>
          </cell>
          <cell r="I710" t="str">
            <v>IS4</v>
          </cell>
          <cell r="J710" t="str">
            <v>IS4 Spectrum &amp; Infrastructure Assurance</v>
          </cell>
          <cell r="K710" t="str">
            <v>Army</v>
          </cell>
          <cell r="L710" t="str">
            <v>DOD</v>
          </cell>
          <cell r="M710" t="str">
            <v>HI</v>
          </cell>
          <cell r="N710" t="str">
            <v>CONUS</v>
          </cell>
          <cell r="O710">
            <v>0</v>
          </cell>
          <cell r="P710">
            <v>0</v>
          </cell>
          <cell r="Q710">
            <v>0</v>
          </cell>
          <cell r="R710" t="str">
            <v>CPFF</v>
          </cell>
          <cell r="S710">
            <v>0</v>
          </cell>
          <cell r="T710">
            <v>1</v>
          </cell>
          <cell r="U710" t="str">
            <v>EBITA</v>
          </cell>
          <cell r="V710" t="str">
            <v>Identified - Recompete</v>
          </cell>
          <cell r="W710">
            <v>0</v>
          </cell>
          <cell r="X710">
            <v>0</v>
          </cell>
          <cell r="Y710">
            <v>0</v>
          </cell>
          <cell r="Z710">
            <v>0</v>
          </cell>
          <cell r="AA710">
            <v>0</v>
          </cell>
          <cell r="AB710">
            <v>0</v>
          </cell>
          <cell r="AC710">
            <v>0</v>
          </cell>
          <cell r="AD710">
            <v>0</v>
          </cell>
          <cell r="AX710">
            <v>5.4421640223919904E-2</v>
          </cell>
          <cell r="AY710">
            <v>5.4421640223919904E-2</v>
          </cell>
          <cell r="AZ710">
            <v>5.4421640223919904E-2</v>
          </cell>
          <cell r="BA710">
            <v>5.4421640223919904E-2</v>
          </cell>
          <cell r="BI710">
            <v>0</v>
          </cell>
          <cell r="BJ710">
            <v>0</v>
          </cell>
          <cell r="BK710">
            <v>0</v>
          </cell>
          <cell r="BL710">
            <v>0</v>
          </cell>
          <cell r="BM710">
            <v>0</v>
          </cell>
          <cell r="BN710">
            <v>0</v>
          </cell>
          <cell r="BO710">
            <v>0</v>
          </cell>
          <cell r="BP710">
            <v>0</v>
          </cell>
          <cell r="BQ710">
            <v>0</v>
          </cell>
          <cell r="BR710">
            <v>0</v>
          </cell>
          <cell r="BT710">
            <v>46</v>
          </cell>
          <cell r="CA710" t="str">
            <v>POASIS - EBITA - Identified - Recompete</v>
          </cell>
          <cell r="CC710" t="str">
            <v>POASIS - EBITA - Identified - Recompete - IS4</v>
          </cell>
          <cell r="CD710" t="str">
            <v/>
          </cell>
          <cell r="CF710" t="str">
            <v>POASIS - Identified - Recompete - IS4</v>
          </cell>
        </row>
        <row r="711">
          <cell r="D711">
            <v>697</v>
          </cell>
          <cell r="E711">
            <v>1</v>
          </cell>
          <cell r="F711">
            <v>1</v>
          </cell>
          <cell r="G711" t="str">
            <v>12169I</v>
          </cell>
          <cell r="H711" t="str">
            <v>FDIC Call Center 12169I</v>
          </cell>
          <cell r="I711" t="str">
            <v>IS4</v>
          </cell>
          <cell r="J711" t="str">
            <v>IS4 Engineering and Technology Services</v>
          </cell>
          <cell r="K711" t="str">
            <v>Other Civilian</v>
          </cell>
          <cell r="L711" t="str">
            <v>Other</v>
          </cell>
          <cell r="M711" t="str">
            <v>VA</v>
          </cell>
          <cell r="N711" t="str">
            <v>CONUS</v>
          </cell>
          <cell r="O711">
            <v>39630</v>
          </cell>
          <cell r="P711">
            <v>43830</v>
          </cell>
          <cell r="Q711" t="str">
            <v>Prime</v>
          </cell>
          <cell r="R711" t="str">
            <v>FFP</v>
          </cell>
          <cell r="S711">
            <v>0</v>
          </cell>
          <cell r="T711">
            <v>1</v>
          </cell>
          <cell r="U711" t="str">
            <v>REVTOT</v>
          </cell>
          <cell r="V711" t="str">
            <v>Base</v>
          </cell>
          <cell r="W711" t="str">
            <v>05 Won</v>
          </cell>
          <cell r="X711" t="str">
            <v>Active</v>
          </cell>
          <cell r="Y711">
            <v>1</v>
          </cell>
          <cell r="Z711">
            <v>0</v>
          </cell>
          <cell r="AA711">
            <v>941868.5100000021</v>
          </cell>
          <cell r="AB711">
            <v>0</v>
          </cell>
          <cell r="AC711">
            <v>0</v>
          </cell>
          <cell r="AD711">
            <v>941868.5100000021</v>
          </cell>
          <cell r="AE711">
            <v>7.345071582891527E-2</v>
          </cell>
          <cell r="AF711">
            <v>-6.8016756664250888E-3</v>
          </cell>
          <cell r="AG711">
            <v>3.3184484460729413E-2</v>
          </cell>
          <cell r="AH711">
            <v>-0.84885484993317373</v>
          </cell>
          <cell r="AI711">
            <v>0</v>
          </cell>
          <cell r="AJ711">
            <v>0</v>
          </cell>
          <cell r="AK711">
            <v>0</v>
          </cell>
          <cell r="BB711">
            <v>926250</v>
          </cell>
          <cell r="BC711">
            <v>926250</v>
          </cell>
          <cell r="BD711">
            <v>926250</v>
          </cell>
          <cell r="BE711">
            <v>926250</v>
          </cell>
          <cell r="BF711">
            <v>1390842.81</v>
          </cell>
          <cell r="BG711">
            <v>1493001.21</v>
          </cell>
          <cell r="BH711">
            <v>1482846.2999999998</v>
          </cell>
          <cell r="BI711">
            <v>402527.69999999995</v>
          </cell>
          <cell r="BJ711">
            <v>376466.1</v>
          </cell>
          <cell r="BK711">
            <v>378059.99</v>
          </cell>
          <cell r="BL711">
            <v>375000</v>
          </cell>
          <cell r="BM711">
            <v>1532053.79</v>
          </cell>
          <cell r="BN711">
            <v>231562.5</v>
          </cell>
          <cell r="BO711">
            <v>0</v>
          </cell>
          <cell r="BP711">
            <v>0</v>
          </cell>
          <cell r="BQ711">
            <v>0</v>
          </cell>
          <cell r="BR711">
            <v>1763616.29</v>
          </cell>
          <cell r="BT711">
            <v>47</v>
          </cell>
          <cell r="CA711" t="str">
            <v>12169I - REVTOT - Base</v>
          </cell>
          <cell r="CC711" t="str">
            <v>12169I - REVTOT - Base - IS4</v>
          </cell>
          <cell r="CD711" t="str">
            <v/>
          </cell>
          <cell r="CF711" t="str">
            <v>12169I - Base - IS4</v>
          </cell>
        </row>
        <row r="712">
          <cell r="D712">
            <v>698</v>
          </cell>
          <cell r="E712">
            <v>1</v>
          </cell>
          <cell r="F712">
            <v>2</v>
          </cell>
          <cell r="G712" t="str">
            <v>12169I</v>
          </cell>
          <cell r="H712" t="str">
            <v>FDIC Call Center 12169I</v>
          </cell>
          <cell r="I712" t="str">
            <v>IS4</v>
          </cell>
          <cell r="J712" t="str">
            <v>IS4 Engineering and Technology Services</v>
          </cell>
          <cell r="K712" t="str">
            <v>Other Civilian</v>
          </cell>
          <cell r="L712" t="str">
            <v>Other</v>
          </cell>
          <cell r="M712" t="str">
            <v>VA</v>
          </cell>
          <cell r="N712" t="str">
            <v>CONUS</v>
          </cell>
          <cell r="O712">
            <v>43836</v>
          </cell>
          <cell r="P712">
            <v>45663</v>
          </cell>
          <cell r="Q712" t="str">
            <v>Prime</v>
          </cell>
          <cell r="R712" t="str">
            <v>FFP</v>
          </cell>
          <cell r="S712">
            <v>0</v>
          </cell>
          <cell r="T712">
            <v>1</v>
          </cell>
          <cell r="U712" t="str">
            <v>REVTOT</v>
          </cell>
          <cell r="V712" t="str">
            <v>Identified - Recompete</v>
          </cell>
          <cell r="W712" t="str">
            <v>02 Capture</v>
          </cell>
          <cell r="X712" t="str">
            <v>Priority 3</v>
          </cell>
          <cell r="Y712">
            <v>0.5</v>
          </cell>
          <cell r="Z712">
            <v>14000000</v>
          </cell>
          <cell r="AA712">
            <v>0</v>
          </cell>
          <cell r="AB712">
            <v>0</v>
          </cell>
          <cell r="AC712">
            <v>0</v>
          </cell>
          <cell r="AD712">
            <v>0</v>
          </cell>
          <cell r="AI712">
            <v>0</v>
          </cell>
          <cell r="AJ712">
            <v>0</v>
          </cell>
          <cell r="AK712">
            <v>0</v>
          </cell>
          <cell r="BB712">
            <v>2800000</v>
          </cell>
          <cell r="BC712">
            <v>2800000</v>
          </cell>
          <cell r="BD712">
            <v>2800000</v>
          </cell>
          <cell r="BE712">
            <v>2800000</v>
          </cell>
          <cell r="BI712">
            <v>0</v>
          </cell>
          <cell r="BJ712">
            <v>0</v>
          </cell>
          <cell r="BK712">
            <v>0</v>
          </cell>
          <cell r="BL712">
            <v>0</v>
          </cell>
          <cell r="BM712">
            <v>0</v>
          </cell>
          <cell r="BN712">
            <v>1026666.6666666666</v>
          </cell>
          <cell r="BO712">
            <v>1400000</v>
          </cell>
          <cell r="BP712">
            <v>1400000</v>
          </cell>
          <cell r="BQ712">
            <v>1400000</v>
          </cell>
          <cell r="BR712">
            <v>5226666.666666666</v>
          </cell>
          <cell r="BT712">
            <v>47</v>
          </cell>
          <cell r="CA712" t="str">
            <v>12169I - REVTOT - Identified - Recompete</v>
          </cell>
          <cell r="CC712" t="str">
            <v>12169I - REVTOT - Identified - Recompete - IS4</v>
          </cell>
          <cell r="CD712" t="str">
            <v/>
          </cell>
          <cell r="CF712" t="str">
            <v>12169I - Identified - Recompete - IS4</v>
          </cell>
        </row>
        <row r="713">
          <cell r="D713">
            <v>699</v>
          </cell>
          <cell r="E713">
            <v>2</v>
          </cell>
          <cell r="F713">
            <v>3</v>
          </cell>
          <cell r="G713" t="str">
            <v>12169I</v>
          </cell>
          <cell r="H713" t="str">
            <v>FDIC Call Center 12169I</v>
          </cell>
          <cell r="I713" t="str">
            <v>IS4</v>
          </cell>
          <cell r="J713" t="str">
            <v>IS4 Engineering and Technology Services</v>
          </cell>
          <cell r="K713" t="str">
            <v>Other Civilian</v>
          </cell>
          <cell r="L713" t="str">
            <v>Other</v>
          </cell>
          <cell r="M713" t="str">
            <v>VA</v>
          </cell>
          <cell r="N713" t="str">
            <v>CONUS</v>
          </cell>
          <cell r="O713">
            <v>39630</v>
          </cell>
          <cell r="P713">
            <v>43830</v>
          </cell>
          <cell r="Q713" t="str">
            <v>Prime</v>
          </cell>
          <cell r="R713" t="str">
            <v>FFP</v>
          </cell>
          <cell r="S713">
            <v>0</v>
          </cell>
          <cell r="T713">
            <v>1</v>
          </cell>
          <cell r="U713" t="str">
            <v>CONTRACT</v>
          </cell>
          <cell r="V713" t="str">
            <v>Base</v>
          </cell>
          <cell r="W713" t="str">
            <v>05 Won</v>
          </cell>
          <cell r="X713" t="str">
            <v>Active</v>
          </cell>
          <cell r="Y713">
            <v>1</v>
          </cell>
          <cell r="Z713">
            <v>0</v>
          </cell>
          <cell r="AA713">
            <v>941868.5100000021</v>
          </cell>
          <cell r="AB713">
            <v>0</v>
          </cell>
          <cell r="AC713">
            <v>0</v>
          </cell>
          <cell r="AD713">
            <v>941868.5100000021</v>
          </cell>
          <cell r="AL713">
            <v>0.4499456484230594</v>
          </cell>
          <cell r="AM713">
            <v>0.48509287544381829</v>
          </cell>
          <cell r="AN713">
            <v>0.51276163281386622</v>
          </cell>
          <cell r="AO713">
            <v>0.47222148120530411</v>
          </cell>
          <cell r="AP713">
            <v>0.48041808004449943</v>
          </cell>
          <cell r="AQ713">
            <v>0.48041808004449943</v>
          </cell>
          <cell r="AR713">
            <v>0.48041808004449943</v>
          </cell>
          <cell r="AS713">
            <v>0.48041808004449943</v>
          </cell>
          <cell r="BF713">
            <v>625803.67000000004</v>
          </cell>
          <cell r="BG713">
            <v>724244.25</v>
          </cell>
          <cell r="BH713">
            <v>760346.69</v>
          </cell>
          <cell r="BI713">
            <v>213481.65000000002</v>
          </cell>
          <cell r="BJ713">
            <v>174773.80000000002</v>
          </cell>
          <cell r="BK713">
            <v>178761.53999999998</v>
          </cell>
          <cell r="BL713">
            <v>156451.72</v>
          </cell>
          <cell r="BM713">
            <v>723468.71</v>
          </cell>
          <cell r="BN713">
            <v>111246.8116603044</v>
          </cell>
          <cell r="BO713">
            <v>0</v>
          </cell>
          <cell r="BP713">
            <v>0</v>
          </cell>
          <cell r="BQ713">
            <v>0</v>
          </cell>
          <cell r="BR713">
            <v>834715.5216603044</v>
          </cell>
          <cell r="BT713">
            <v>47</v>
          </cell>
          <cell r="CA713" t="str">
            <v>12169I - CONTRACT - Base</v>
          </cell>
          <cell r="CC713" t="str">
            <v>12169I - CONTRACT - Base - IS4</v>
          </cell>
          <cell r="CD713" t="str">
            <v/>
          </cell>
          <cell r="CF713" t="str">
            <v>12169I - Base - IS4</v>
          </cell>
        </row>
        <row r="714">
          <cell r="D714">
            <v>700</v>
          </cell>
          <cell r="E714">
            <v>2</v>
          </cell>
          <cell r="F714">
            <v>4</v>
          </cell>
          <cell r="G714" t="str">
            <v>12169I</v>
          </cell>
          <cell r="H714" t="str">
            <v>FDIC Call Center 12169I</v>
          </cell>
          <cell r="I714" t="str">
            <v>IS4</v>
          </cell>
          <cell r="J714" t="str">
            <v>IS4 Engineering and Technology Services</v>
          </cell>
          <cell r="K714" t="str">
            <v>Other Civilian</v>
          </cell>
          <cell r="L714" t="str">
            <v>Other</v>
          </cell>
          <cell r="M714" t="str">
            <v>VA</v>
          </cell>
          <cell r="N714" t="str">
            <v>CONUS</v>
          </cell>
          <cell r="O714">
            <v>43836</v>
          </cell>
          <cell r="P714">
            <v>45663</v>
          </cell>
          <cell r="Q714" t="str">
            <v>Prime</v>
          </cell>
          <cell r="R714" t="str">
            <v>FFP</v>
          </cell>
          <cell r="S714">
            <v>0</v>
          </cell>
          <cell r="T714">
            <v>1</v>
          </cell>
          <cell r="U714" t="str">
            <v>CONTRACT</v>
          </cell>
          <cell r="V714" t="str">
            <v>Identified - Recompete</v>
          </cell>
          <cell r="W714" t="str">
            <v>02 Capture</v>
          </cell>
          <cell r="X714" t="str">
            <v>Priority 3</v>
          </cell>
          <cell r="Y714">
            <v>0.5</v>
          </cell>
          <cell r="Z714">
            <v>14000000</v>
          </cell>
          <cell r="AA714">
            <v>0</v>
          </cell>
          <cell r="AB714">
            <v>0</v>
          </cell>
          <cell r="AC714">
            <v>0</v>
          </cell>
          <cell r="AD714">
            <v>0</v>
          </cell>
          <cell r="AP714">
            <v>0.48041808004449943</v>
          </cell>
          <cell r="AQ714">
            <v>0.48041808004449943</v>
          </cell>
          <cell r="AR714">
            <v>0.48041808004449943</v>
          </cell>
          <cell r="AS714">
            <v>0.48041808004449943</v>
          </cell>
          <cell r="BI714">
            <v>0</v>
          </cell>
          <cell r="BJ714">
            <v>0</v>
          </cell>
          <cell r="BK714">
            <v>0</v>
          </cell>
          <cell r="BL714">
            <v>0</v>
          </cell>
          <cell r="BM714">
            <v>0</v>
          </cell>
          <cell r="BN714">
            <v>493229.22884568607</v>
          </cell>
          <cell r="BO714">
            <v>672585.31206229923</v>
          </cell>
          <cell r="BP714">
            <v>672585.31206229923</v>
          </cell>
          <cell r="BQ714">
            <v>672585.31206229923</v>
          </cell>
          <cell r="BR714">
            <v>2510985.1650325838</v>
          </cell>
          <cell r="BT714">
            <v>47</v>
          </cell>
          <cell r="CA714" t="str">
            <v>12169I - CONTRACT - Identified - Recompete</v>
          </cell>
          <cell r="CC714" t="str">
            <v>12169I - CONTRACT - Identified - Recompete - IS4</v>
          </cell>
          <cell r="CD714" t="str">
            <v/>
          </cell>
          <cell r="CF714" t="str">
            <v>12169I - Identified - Recompete - IS4</v>
          </cell>
        </row>
        <row r="715">
          <cell r="D715">
            <v>701</v>
          </cell>
          <cell r="E715">
            <v>0</v>
          </cell>
          <cell r="F715">
            <v>5</v>
          </cell>
          <cell r="G715" t="str">
            <v>12169I</v>
          </cell>
          <cell r="H715" t="str">
            <v>FDIC Call Center 12169I</v>
          </cell>
          <cell r="I715" t="str">
            <v>IS4</v>
          </cell>
          <cell r="J715" t="str">
            <v>IS4 Engineering and Technology Services</v>
          </cell>
          <cell r="K715" t="str">
            <v>Other Civilian</v>
          </cell>
          <cell r="L715" t="str">
            <v>Other</v>
          </cell>
          <cell r="M715" t="str">
            <v>VA</v>
          </cell>
          <cell r="N715" t="str">
            <v>CONUS</v>
          </cell>
          <cell r="O715">
            <v>39630</v>
          </cell>
          <cell r="P715">
            <v>43830</v>
          </cell>
          <cell r="Q715" t="str">
            <v>Prime</v>
          </cell>
          <cell r="R715" t="str">
            <v>FFP</v>
          </cell>
          <cell r="S715">
            <v>0</v>
          </cell>
          <cell r="T715">
            <v>1</v>
          </cell>
          <cell r="U715" t="str">
            <v>EBITA</v>
          </cell>
          <cell r="V715" t="str">
            <v>Base</v>
          </cell>
          <cell r="W715" t="str">
            <v>05 Won</v>
          </cell>
          <cell r="X715" t="str">
            <v>Active</v>
          </cell>
          <cell r="Y715">
            <v>1</v>
          </cell>
          <cell r="Z715">
            <v>0</v>
          </cell>
          <cell r="AA715">
            <v>941868.5100000021</v>
          </cell>
          <cell r="AB715">
            <v>0</v>
          </cell>
          <cell r="AC715">
            <v>0</v>
          </cell>
          <cell r="AD715">
            <v>941868.5100000021</v>
          </cell>
          <cell r="AT715">
            <v>0.32029106869380874</v>
          </cell>
          <cell r="AU715">
            <v>0.4108179188950557</v>
          </cell>
          <cell r="AV715">
            <v>0.44549936834316545</v>
          </cell>
          <cell r="AW715">
            <v>0.39503938696564961</v>
          </cell>
          <cell r="AX715">
            <v>0.39509318604939453</v>
          </cell>
          <cell r="AY715">
            <v>0.39609318604939453</v>
          </cell>
          <cell r="AZ715">
            <v>0.39709318604939453</v>
          </cell>
          <cell r="BA715">
            <v>0.39809318604939453</v>
          </cell>
          <cell r="BF715">
            <v>445474.53</v>
          </cell>
          <cell r="BG715">
            <v>613351.65</v>
          </cell>
          <cell r="BH715">
            <v>660607.09</v>
          </cell>
          <cell r="BI715">
            <v>185482.19</v>
          </cell>
          <cell r="BJ715">
            <v>145369.00000000003</v>
          </cell>
          <cell r="BK715">
            <v>149102.84</v>
          </cell>
          <cell r="BL715">
            <v>125267.56000000001</v>
          </cell>
          <cell r="BM715">
            <v>605221.59000000008</v>
          </cell>
          <cell r="BN715">
            <v>91488.765894562923</v>
          </cell>
          <cell r="BO715">
            <v>0</v>
          </cell>
          <cell r="BP715">
            <v>0</v>
          </cell>
          <cell r="BQ715">
            <v>0</v>
          </cell>
          <cell r="BR715">
            <v>696710.35589456302</v>
          </cell>
          <cell r="BT715">
            <v>47</v>
          </cell>
          <cell r="CA715" t="str">
            <v>12169I - EBITA - Base</v>
          </cell>
          <cell r="CC715" t="str">
            <v>12169I - EBITA - Base - IS4</v>
          </cell>
          <cell r="CD715" t="str">
            <v/>
          </cell>
          <cell r="CF715" t="str">
            <v>12169I - Base - IS4</v>
          </cell>
        </row>
        <row r="716">
          <cell r="D716">
            <v>702</v>
          </cell>
          <cell r="E716">
            <v>0</v>
          </cell>
          <cell r="F716">
            <v>0</v>
          </cell>
          <cell r="G716" t="str">
            <v>12169I</v>
          </cell>
          <cell r="H716" t="str">
            <v>FDIC Call Center 12169I</v>
          </cell>
          <cell r="I716" t="str">
            <v>IS4</v>
          </cell>
          <cell r="J716" t="str">
            <v>IS4 Engineering and Technology Services</v>
          </cell>
          <cell r="K716" t="str">
            <v>Other Civilian</v>
          </cell>
          <cell r="L716" t="str">
            <v>Other</v>
          </cell>
          <cell r="M716" t="str">
            <v>VA</v>
          </cell>
          <cell r="N716" t="str">
            <v>CONUS</v>
          </cell>
          <cell r="O716">
            <v>43836</v>
          </cell>
          <cell r="P716">
            <v>45663</v>
          </cell>
          <cell r="Q716" t="str">
            <v>Prime</v>
          </cell>
          <cell r="R716" t="str">
            <v>FFP</v>
          </cell>
          <cell r="S716">
            <v>0</v>
          </cell>
          <cell r="T716">
            <v>1</v>
          </cell>
          <cell r="U716" t="str">
            <v>EBITA</v>
          </cell>
          <cell r="V716" t="str">
            <v>Identified - Recompete</v>
          </cell>
          <cell r="W716" t="str">
            <v>02 Capture</v>
          </cell>
          <cell r="X716" t="str">
            <v>Priority 3</v>
          </cell>
          <cell r="Y716">
            <v>0.5</v>
          </cell>
          <cell r="Z716">
            <v>14000000</v>
          </cell>
          <cell r="AA716">
            <v>0</v>
          </cell>
          <cell r="AB716">
            <v>0</v>
          </cell>
          <cell r="AC716">
            <v>0</v>
          </cell>
          <cell r="AD716">
            <v>0</v>
          </cell>
          <cell r="AX716">
            <v>0.39509318604939453</v>
          </cell>
          <cell r="AY716">
            <v>0.39609318604939453</v>
          </cell>
          <cell r="AZ716">
            <v>0.39709318604939453</v>
          </cell>
          <cell r="BA716">
            <v>0.39809318604939453</v>
          </cell>
          <cell r="BI716">
            <v>0</v>
          </cell>
          <cell r="BJ716">
            <v>0</v>
          </cell>
          <cell r="BK716">
            <v>0</v>
          </cell>
          <cell r="BL716">
            <v>0</v>
          </cell>
          <cell r="BM716">
            <v>0</v>
          </cell>
          <cell r="BN716">
            <v>405629.00434404501</v>
          </cell>
          <cell r="BO716">
            <v>554530.46046915231</v>
          </cell>
          <cell r="BP716">
            <v>555930.46046915231</v>
          </cell>
          <cell r="BQ716">
            <v>557330.46046915231</v>
          </cell>
          <cell r="BR716">
            <v>2073420.3857515019</v>
          </cell>
          <cell r="BT716">
            <v>47</v>
          </cell>
          <cell r="CA716" t="str">
            <v>12169I - EBITA - Identified - Recompete</v>
          </cell>
          <cell r="CC716" t="str">
            <v>12169I - EBITA - Identified - Recompete - IS4</v>
          </cell>
          <cell r="CD716" t="str">
            <v/>
          </cell>
          <cell r="CF716" t="str">
            <v>12169I - Identified - Recompete - IS4</v>
          </cell>
        </row>
        <row r="717">
          <cell r="D717">
            <v>703</v>
          </cell>
          <cell r="E717">
            <v>1</v>
          </cell>
          <cell r="F717">
            <v>1</v>
          </cell>
          <cell r="G717" t="str">
            <v>000112</v>
          </cell>
          <cell r="H717" t="str">
            <v>NGA BOS</v>
          </cell>
          <cell r="I717" t="str">
            <v>IS4</v>
          </cell>
          <cell r="J717" t="str">
            <v>IS4 Infrastructure and Engineering</v>
          </cell>
          <cell r="K717" t="str">
            <v>Other DOD</v>
          </cell>
          <cell r="L717" t="str">
            <v>DOD</v>
          </cell>
          <cell r="M717" t="str">
            <v>US_State</v>
          </cell>
          <cell r="N717" t="str">
            <v>CONUS</v>
          </cell>
          <cell r="O717">
            <v>42277</v>
          </cell>
          <cell r="P717">
            <v>46110</v>
          </cell>
          <cell r="Q717" t="str">
            <v>Prime</v>
          </cell>
          <cell r="R717" t="str">
            <v>FFP</v>
          </cell>
          <cell r="S717">
            <v>0</v>
          </cell>
          <cell r="T717">
            <v>1</v>
          </cell>
          <cell r="U717" t="str">
            <v>REVTOT</v>
          </cell>
          <cell r="V717" t="str">
            <v>Base</v>
          </cell>
          <cell r="W717" t="str">
            <v>05 Won</v>
          </cell>
          <cell r="X717" t="str">
            <v>Active</v>
          </cell>
          <cell r="Y717">
            <v>1</v>
          </cell>
          <cell r="Z717">
            <v>0</v>
          </cell>
          <cell r="AA717">
            <v>28400414.560000002</v>
          </cell>
          <cell r="AB717">
            <v>174634221.61000001</v>
          </cell>
          <cell r="AC717">
            <v>0</v>
          </cell>
          <cell r="AD717">
            <v>203034636.17000002</v>
          </cell>
          <cell r="AE717">
            <v>8.1622065351036888E-3</v>
          </cell>
          <cell r="AF717">
            <v>1.7173955202747004E-2</v>
          </cell>
          <cell r="AG717">
            <v>7.1134024542255148E-2</v>
          </cell>
          <cell r="AH717">
            <v>-5.3716368073860488E-2</v>
          </cell>
          <cell r="AI717">
            <v>0</v>
          </cell>
          <cell r="AJ717">
            <v>0</v>
          </cell>
          <cell r="AK717">
            <v>0</v>
          </cell>
          <cell r="BB717">
            <v>38322920</v>
          </cell>
          <cell r="BC717">
            <v>38322920</v>
          </cell>
          <cell r="BD717">
            <v>38322920</v>
          </cell>
          <cell r="BE717">
            <v>38322920</v>
          </cell>
          <cell r="BF717">
            <v>36869547.310000002</v>
          </cell>
          <cell r="BG717">
            <v>37170484.170000002</v>
          </cell>
          <cell r="BH717">
            <v>37808848.399999999</v>
          </cell>
          <cell r="BI717">
            <v>9819156.2599999998</v>
          </cell>
          <cell r="BJ717">
            <v>11668245.130000003</v>
          </cell>
          <cell r="BK717">
            <v>9961620.5600000005</v>
          </cell>
          <cell r="BL717">
            <v>9049322</v>
          </cell>
          <cell r="BM717">
            <v>40498343.950000003</v>
          </cell>
          <cell r="BN717">
            <v>38322920</v>
          </cell>
          <cell r="BO717">
            <v>38322920</v>
          </cell>
          <cell r="BP717">
            <v>38322920</v>
          </cell>
          <cell r="BQ717">
            <v>38322920</v>
          </cell>
          <cell r="BR717">
            <v>193790023.94999999</v>
          </cell>
          <cell r="BT717">
            <v>48</v>
          </cell>
          <cell r="CA717" t="str">
            <v>000112 - REVTOT - Base</v>
          </cell>
          <cell r="CC717" t="str">
            <v>000112 - REVTOT - Base - IS4</v>
          </cell>
          <cell r="CD717" t="str">
            <v/>
          </cell>
          <cell r="CF717" t="str">
            <v>000112 - Base - IS4</v>
          </cell>
        </row>
        <row r="718">
          <cell r="D718">
            <v>704</v>
          </cell>
          <cell r="E718">
            <v>1</v>
          </cell>
          <cell r="F718">
            <v>2</v>
          </cell>
          <cell r="G718" t="str">
            <v>000112</v>
          </cell>
          <cell r="H718" t="str">
            <v>NGA BOS</v>
          </cell>
          <cell r="I718" t="str">
            <v>IS4</v>
          </cell>
          <cell r="J718" t="str">
            <v>IS4 Infrastructure and Engineering</v>
          </cell>
          <cell r="K718" t="str">
            <v>Other DOD</v>
          </cell>
          <cell r="L718" t="str">
            <v>DOD</v>
          </cell>
          <cell r="M718" t="str">
            <v>US_State</v>
          </cell>
          <cell r="N718" t="str">
            <v>CONUS</v>
          </cell>
          <cell r="O718">
            <v>0</v>
          </cell>
          <cell r="P718">
            <v>0</v>
          </cell>
          <cell r="Q718">
            <v>0</v>
          </cell>
          <cell r="R718" t="str">
            <v>FFP</v>
          </cell>
          <cell r="S718">
            <v>0</v>
          </cell>
          <cell r="T718">
            <v>1</v>
          </cell>
          <cell r="U718" t="str">
            <v>REVTOT</v>
          </cell>
          <cell r="V718" t="str">
            <v>Identified - Recompete</v>
          </cell>
          <cell r="W718">
            <v>0</v>
          </cell>
          <cell r="X718">
            <v>0</v>
          </cell>
          <cell r="Y718">
            <v>0</v>
          </cell>
          <cell r="Z718">
            <v>0</v>
          </cell>
          <cell r="AA718">
            <v>0</v>
          </cell>
          <cell r="AB718">
            <v>0</v>
          </cell>
          <cell r="AC718">
            <v>0</v>
          </cell>
          <cell r="AD718">
            <v>0</v>
          </cell>
          <cell r="AI718">
            <v>0</v>
          </cell>
          <cell r="AJ718">
            <v>0</v>
          </cell>
          <cell r="AK718">
            <v>0</v>
          </cell>
          <cell r="BB718">
            <v>0</v>
          </cell>
          <cell r="BC718">
            <v>0</v>
          </cell>
          <cell r="BD718">
            <v>0</v>
          </cell>
          <cell r="BE718">
            <v>0</v>
          </cell>
          <cell r="BI718">
            <v>0</v>
          </cell>
          <cell r="BJ718">
            <v>0</v>
          </cell>
          <cell r="BK718">
            <v>0</v>
          </cell>
          <cell r="BL718">
            <v>0</v>
          </cell>
          <cell r="BM718">
            <v>0</v>
          </cell>
          <cell r="BN718">
            <v>0</v>
          </cell>
          <cell r="BO718">
            <v>0</v>
          </cell>
          <cell r="BP718">
            <v>0</v>
          </cell>
          <cell r="BQ718">
            <v>0</v>
          </cell>
          <cell r="BR718">
            <v>0</v>
          </cell>
          <cell r="BT718">
            <v>48</v>
          </cell>
          <cell r="CA718" t="str">
            <v>000112 - REVTOT - Identified - Recompete</v>
          </cell>
          <cell r="CC718" t="str">
            <v>000112 - REVTOT - Identified - Recompete - IS4</v>
          </cell>
          <cell r="CD718" t="str">
            <v/>
          </cell>
          <cell r="CF718" t="str">
            <v>000112 - Identified - Recompete - IS4</v>
          </cell>
        </row>
        <row r="719">
          <cell r="D719">
            <v>705</v>
          </cell>
          <cell r="E719">
            <v>2</v>
          </cell>
          <cell r="F719">
            <v>3</v>
          </cell>
          <cell r="G719" t="str">
            <v>000112</v>
          </cell>
          <cell r="H719" t="str">
            <v>NGA BOS</v>
          </cell>
          <cell r="I719" t="str">
            <v>IS4</v>
          </cell>
          <cell r="J719" t="str">
            <v>IS4 Infrastructure and Engineering</v>
          </cell>
          <cell r="K719" t="str">
            <v>Other DOD</v>
          </cell>
          <cell r="L719" t="str">
            <v>DOD</v>
          </cell>
          <cell r="M719" t="str">
            <v>US_State</v>
          </cell>
          <cell r="N719" t="str">
            <v>CONUS</v>
          </cell>
          <cell r="O719">
            <v>42277</v>
          </cell>
          <cell r="P719">
            <v>46110</v>
          </cell>
          <cell r="Q719" t="str">
            <v>Prime</v>
          </cell>
          <cell r="R719" t="str">
            <v>FFP</v>
          </cell>
          <cell r="S719">
            <v>0</v>
          </cell>
          <cell r="T719">
            <v>1</v>
          </cell>
          <cell r="U719" t="str">
            <v>CONTRACT</v>
          </cell>
          <cell r="V719" t="str">
            <v>Base</v>
          </cell>
          <cell r="W719" t="str">
            <v>05 Won</v>
          </cell>
          <cell r="X719" t="str">
            <v>Active</v>
          </cell>
          <cell r="Y719">
            <v>1</v>
          </cell>
          <cell r="Z719">
            <v>0</v>
          </cell>
          <cell r="AA719">
            <v>28400414.560000002</v>
          </cell>
          <cell r="AB719">
            <v>174634221.61000001</v>
          </cell>
          <cell r="AC719">
            <v>0</v>
          </cell>
          <cell r="AD719">
            <v>203034636.17000002</v>
          </cell>
          <cell r="AL719">
            <v>0.15212714365165883</v>
          </cell>
          <cell r="AM719">
            <v>0.15774741413598331</v>
          </cell>
          <cell r="AN719">
            <v>0.20737530397778525</v>
          </cell>
          <cell r="AO719">
            <v>0.1330587796220245</v>
          </cell>
          <cell r="AP719">
            <v>0.13198037139132396</v>
          </cell>
          <cell r="AQ719">
            <v>0.13198037139132396</v>
          </cell>
          <cell r="AR719">
            <v>0.13198037139132396</v>
          </cell>
          <cell r="AS719">
            <v>0.13198037139132396</v>
          </cell>
          <cell r="BF719">
            <v>5608858.9200000018</v>
          </cell>
          <cell r="BG719">
            <v>5863547.7600000016</v>
          </cell>
          <cell r="BH719">
            <v>7840621.4299999997</v>
          </cell>
          <cell r="BI719">
            <v>1551336.8199999994</v>
          </cell>
          <cell r="BJ719">
            <v>1182548.5700000017</v>
          </cell>
          <cell r="BK719">
            <v>1356538.3399999994</v>
          </cell>
          <cell r="BL719">
            <v>1298236.4926999998</v>
          </cell>
          <cell r="BM719">
            <v>5388660.2226999998</v>
          </cell>
          <cell r="BN719">
            <v>5057873.2143999971</v>
          </cell>
          <cell r="BO719">
            <v>5057873.2143999971</v>
          </cell>
          <cell r="BP719">
            <v>5057873.2143999971</v>
          </cell>
          <cell r="BQ719">
            <v>5057873.2143999971</v>
          </cell>
          <cell r="BR719">
            <v>25620153.080299988</v>
          </cell>
          <cell r="BT719">
            <v>48</v>
          </cell>
          <cell r="CA719" t="str">
            <v>000112 - CONTRACT - Base</v>
          </cell>
          <cell r="CC719" t="str">
            <v>000112 - CONTRACT - Base - IS4</v>
          </cell>
          <cell r="CD719" t="str">
            <v/>
          </cell>
          <cell r="CF719" t="str">
            <v>000112 - Base - IS4</v>
          </cell>
        </row>
        <row r="720">
          <cell r="D720">
            <v>706</v>
          </cell>
          <cell r="E720">
            <v>2</v>
          </cell>
          <cell r="F720">
            <v>4</v>
          </cell>
          <cell r="G720" t="str">
            <v>000112</v>
          </cell>
          <cell r="H720" t="str">
            <v>NGA BOS</v>
          </cell>
          <cell r="I720" t="str">
            <v>IS4</v>
          </cell>
          <cell r="J720" t="str">
            <v>IS4 Infrastructure and Engineering</v>
          </cell>
          <cell r="K720" t="str">
            <v>Other DOD</v>
          </cell>
          <cell r="L720" t="str">
            <v>DOD</v>
          </cell>
          <cell r="M720" t="str">
            <v>US_State</v>
          </cell>
          <cell r="N720" t="str">
            <v>CONUS</v>
          </cell>
          <cell r="O720">
            <v>0</v>
          </cell>
          <cell r="P720">
            <v>0</v>
          </cell>
          <cell r="Q720">
            <v>0</v>
          </cell>
          <cell r="R720" t="str">
            <v>FFP</v>
          </cell>
          <cell r="S720">
            <v>0</v>
          </cell>
          <cell r="T720">
            <v>1</v>
          </cell>
          <cell r="U720" t="str">
            <v>CONTRACT</v>
          </cell>
          <cell r="V720" t="str">
            <v>Identified - Recompete</v>
          </cell>
          <cell r="W720">
            <v>0</v>
          </cell>
          <cell r="X720">
            <v>0</v>
          </cell>
          <cell r="Y720">
            <v>0</v>
          </cell>
          <cell r="Z720">
            <v>0</v>
          </cell>
          <cell r="AA720">
            <v>0</v>
          </cell>
          <cell r="AB720">
            <v>0</v>
          </cell>
          <cell r="AC720">
            <v>0</v>
          </cell>
          <cell r="AD720">
            <v>0</v>
          </cell>
          <cell r="AP720">
            <v>0.13198037139132396</v>
          </cell>
          <cell r="AQ720">
            <v>0.13198037139132396</v>
          </cell>
          <cell r="AR720">
            <v>0.13198037139132396</v>
          </cell>
          <cell r="AS720">
            <v>0.13198037139132396</v>
          </cell>
          <cell r="BI720">
            <v>0</v>
          </cell>
          <cell r="BJ720">
            <v>0</v>
          </cell>
          <cell r="BK720">
            <v>0</v>
          </cell>
          <cell r="BL720">
            <v>0</v>
          </cell>
          <cell r="BM720">
            <v>0</v>
          </cell>
          <cell r="BN720">
            <v>0</v>
          </cell>
          <cell r="BO720">
            <v>0</v>
          </cell>
          <cell r="BP720">
            <v>0</v>
          </cell>
          <cell r="BQ720">
            <v>0</v>
          </cell>
          <cell r="BR720">
            <v>0</v>
          </cell>
          <cell r="BT720">
            <v>48</v>
          </cell>
          <cell r="CA720" t="str">
            <v>000112 - CONTRACT - Identified - Recompete</v>
          </cell>
          <cell r="CC720" t="str">
            <v>000112 - CONTRACT - Identified - Recompete - IS4</v>
          </cell>
          <cell r="CD720" t="str">
            <v/>
          </cell>
          <cell r="CF720" t="str">
            <v>000112 - Identified - Recompete - IS4</v>
          </cell>
        </row>
        <row r="721">
          <cell r="D721">
            <v>707</v>
          </cell>
          <cell r="E721">
            <v>0</v>
          </cell>
          <cell r="F721">
            <v>5</v>
          </cell>
          <cell r="G721" t="str">
            <v>000112</v>
          </cell>
          <cell r="H721" t="str">
            <v>NGA BOS</v>
          </cell>
          <cell r="I721" t="str">
            <v>IS4</v>
          </cell>
          <cell r="J721" t="str">
            <v>IS4 Infrastructure and Engineering</v>
          </cell>
          <cell r="K721" t="str">
            <v>Other DOD</v>
          </cell>
          <cell r="L721" t="str">
            <v>DOD</v>
          </cell>
          <cell r="M721" t="str">
            <v>US_State</v>
          </cell>
          <cell r="N721" t="str">
            <v>CONUS</v>
          </cell>
          <cell r="O721">
            <v>42277</v>
          </cell>
          <cell r="P721">
            <v>46110</v>
          </cell>
          <cell r="Q721" t="str">
            <v>Prime</v>
          </cell>
          <cell r="R721" t="str">
            <v>FFP</v>
          </cell>
          <cell r="S721">
            <v>0</v>
          </cell>
          <cell r="T721">
            <v>1</v>
          </cell>
          <cell r="U721" t="str">
            <v>EBITA</v>
          </cell>
          <cell r="V721" t="str">
            <v>Base</v>
          </cell>
          <cell r="W721" t="str">
            <v>05 Won</v>
          </cell>
          <cell r="X721" t="str">
            <v>Active</v>
          </cell>
          <cell r="Y721">
            <v>1</v>
          </cell>
          <cell r="Z721">
            <v>0</v>
          </cell>
          <cell r="AA721">
            <v>28400414.560000002</v>
          </cell>
          <cell r="AB721">
            <v>174634221.61000001</v>
          </cell>
          <cell r="AC721">
            <v>0</v>
          </cell>
          <cell r="AD721">
            <v>203034636.17000002</v>
          </cell>
          <cell r="AT721">
            <v>-8.1637612056701565E-3</v>
          </cell>
          <cell r="AU721">
            <v>1.6345583964450183E-2</v>
          </cell>
          <cell r="AV721">
            <v>8.2229248749083814E-2</v>
          </cell>
          <cell r="AW721">
            <v>6.1427312108213771E-3</v>
          </cell>
          <cell r="AX721">
            <v>1.0999999999999999E-2</v>
          </cell>
          <cell r="AY721">
            <v>1.4999999999999999E-2</v>
          </cell>
          <cell r="AZ721">
            <v>1.7500000000000002E-2</v>
          </cell>
          <cell r="BA721">
            <v>0.02</v>
          </cell>
          <cell r="BF721">
            <v>-300994.17999999848</v>
          </cell>
          <cell r="BG721">
            <v>607573.27000000142</v>
          </cell>
          <cell r="BH721">
            <v>3108993.1999999993</v>
          </cell>
          <cell r="BI721">
            <v>74504.369999999355</v>
          </cell>
          <cell r="BJ721">
            <v>59686.870000001596</v>
          </cell>
          <cell r="BK721">
            <v>61541.959999999381</v>
          </cell>
          <cell r="BL721">
            <v>53037.241368243762</v>
          </cell>
          <cell r="BM721">
            <v>248770.44136824409</v>
          </cell>
          <cell r="BN721">
            <v>421552.12</v>
          </cell>
          <cell r="BO721">
            <v>574843.79999999993</v>
          </cell>
          <cell r="BP721">
            <v>670651.10000000009</v>
          </cell>
          <cell r="BQ721">
            <v>766458.4</v>
          </cell>
          <cell r="BR721">
            <v>2682275.861368244</v>
          </cell>
          <cell r="BT721">
            <v>48</v>
          </cell>
          <cell r="CA721" t="str">
            <v>000112 - EBITA - Base</v>
          </cell>
          <cell r="CC721" t="str">
            <v>000112 - EBITA - Base - IS4</v>
          </cell>
          <cell r="CD721" t="str">
            <v/>
          </cell>
          <cell r="CF721" t="str">
            <v>000112 - Base - IS4</v>
          </cell>
        </row>
        <row r="722">
          <cell r="D722">
            <v>708</v>
          </cell>
          <cell r="E722">
            <v>0</v>
          </cell>
          <cell r="F722">
            <v>0</v>
          </cell>
          <cell r="G722" t="str">
            <v>000112</v>
          </cell>
          <cell r="H722" t="str">
            <v>NGA BOS</v>
          </cell>
          <cell r="I722" t="str">
            <v>IS4</v>
          </cell>
          <cell r="J722" t="str">
            <v>IS4 Infrastructure and Engineering</v>
          </cell>
          <cell r="K722" t="str">
            <v>Other DOD</v>
          </cell>
          <cell r="L722" t="str">
            <v>DOD</v>
          </cell>
          <cell r="M722" t="str">
            <v>US_State</v>
          </cell>
          <cell r="N722" t="str">
            <v>CONUS</v>
          </cell>
          <cell r="O722">
            <v>0</v>
          </cell>
          <cell r="P722">
            <v>0</v>
          </cell>
          <cell r="Q722">
            <v>0</v>
          </cell>
          <cell r="R722" t="str">
            <v>FFP</v>
          </cell>
          <cell r="S722">
            <v>0</v>
          </cell>
          <cell r="T722">
            <v>1</v>
          </cell>
          <cell r="U722" t="str">
            <v>EBITA</v>
          </cell>
          <cell r="V722" t="str">
            <v>Identified - Recompete</v>
          </cell>
          <cell r="W722">
            <v>0</v>
          </cell>
          <cell r="X722">
            <v>0</v>
          </cell>
          <cell r="Y722">
            <v>0</v>
          </cell>
          <cell r="Z722">
            <v>0</v>
          </cell>
          <cell r="AA722">
            <v>0</v>
          </cell>
          <cell r="AB722">
            <v>0</v>
          </cell>
          <cell r="AC722">
            <v>0</v>
          </cell>
          <cell r="AD722">
            <v>0</v>
          </cell>
          <cell r="AX722">
            <v>1.0999999999999999E-2</v>
          </cell>
          <cell r="AY722">
            <v>1.4999999999999999E-2</v>
          </cell>
          <cell r="AZ722">
            <v>1.7500000000000002E-2</v>
          </cell>
          <cell r="BA722">
            <v>0.02</v>
          </cell>
          <cell r="BI722">
            <v>0</v>
          </cell>
          <cell r="BJ722">
            <v>0</v>
          </cell>
          <cell r="BK722">
            <v>0</v>
          </cell>
          <cell r="BL722">
            <v>0</v>
          </cell>
          <cell r="BM722">
            <v>0</v>
          </cell>
          <cell r="BN722">
            <v>0</v>
          </cell>
          <cell r="BO722">
            <v>0</v>
          </cell>
          <cell r="BP722">
            <v>0</v>
          </cell>
          <cell r="BQ722">
            <v>0</v>
          </cell>
          <cell r="BR722">
            <v>0</v>
          </cell>
          <cell r="BT722">
            <v>48</v>
          </cell>
          <cell r="CA722" t="str">
            <v>000112 - EBITA - Identified - Recompete</v>
          </cell>
          <cell r="CC722" t="str">
            <v>000112 - EBITA - Identified - Recompete - IS4</v>
          </cell>
          <cell r="CD722" t="str">
            <v/>
          </cell>
          <cell r="CF722" t="str">
            <v>000112 - Identified - Recompete - IS4</v>
          </cell>
        </row>
        <row r="723">
          <cell r="D723">
            <v>709</v>
          </cell>
          <cell r="E723">
            <v>1</v>
          </cell>
          <cell r="F723">
            <v>1</v>
          </cell>
          <cell r="G723" t="str">
            <v>000088</v>
          </cell>
          <cell r="H723" t="str">
            <v>QMIS/ITFO/ITOSS</v>
          </cell>
          <cell r="I723" t="str">
            <v>IS4</v>
          </cell>
          <cell r="J723" t="str">
            <v>IS4 Engineering and Technology Services</v>
          </cell>
          <cell r="K723" t="str">
            <v>Homeland Security</v>
          </cell>
          <cell r="L723" t="str">
            <v>DOD</v>
          </cell>
          <cell r="M723" t="str">
            <v>US_State</v>
          </cell>
          <cell r="N723" t="str">
            <v>CONUS</v>
          </cell>
          <cell r="O723">
            <v>42029</v>
          </cell>
          <cell r="P723">
            <v>43640</v>
          </cell>
          <cell r="Q723" t="str">
            <v>Sub</v>
          </cell>
          <cell r="R723" t="str">
            <v>T&amp;M</v>
          </cell>
          <cell r="S723">
            <v>0</v>
          </cell>
          <cell r="T723">
            <v>1</v>
          </cell>
          <cell r="U723" t="str">
            <v>REVTOT</v>
          </cell>
          <cell r="V723" t="str">
            <v>Base</v>
          </cell>
          <cell r="W723" t="str">
            <v>05 Won</v>
          </cell>
          <cell r="X723" t="str">
            <v>Active</v>
          </cell>
          <cell r="Y723">
            <v>1</v>
          </cell>
          <cell r="Z723">
            <v>0</v>
          </cell>
          <cell r="AA723">
            <v>5134510.5199999986</v>
          </cell>
          <cell r="AB723">
            <v>-0.47999966982752085</v>
          </cell>
          <cell r="AC723">
            <v>0</v>
          </cell>
          <cell r="AD723">
            <v>5134510.0400003288</v>
          </cell>
          <cell r="AE723">
            <v>-0.10533353190848671</v>
          </cell>
          <cell r="AF723">
            <v>0.11802665814273405</v>
          </cell>
          <cell r="AG723">
            <v>0.23297734667518943</v>
          </cell>
          <cell r="AH723">
            <v>-1</v>
          </cell>
          <cell r="AI723">
            <v>0</v>
          </cell>
          <cell r="AJ723">
            <v>0</v>
          </cell>
          <cell r="AK723">
            <v>0</v>
          </cell>
          <cell r="BB723">
            <v>7215648.7500000009</v>
          </cell>
          <cell r="BC723">
            <v>7215648.7500000009</v>
          </cell>
          <cell r="BD723">
            <v>7215648.7500000009</v>
          </cell>
          <cell r="BE723">
            <v>7215648.7500000009</v>
          </cell>
          <cell r="BF723">
            <v>3641610.35</v>
          </cell>
          <cell r="BG723">
            <v>3258026.6699999995</v>
          </cell>
          <cell r="BH723">
            <v>3642560.67</v>
          </cell>
          <cell r="BI723">
            <v>822339.58000000007</v>
          </cell>
          <cell r="BJ723">
            <v>897395.99</v>
          </cell>
          <cell r="BK723">
            <v>924689.81</v>
          </cell>
          <cell r="BL723">
            <v>1846769.41</v>
          </cell>
          <cell r="BM723">
            <v>4491194.79</v>
          </cell>
          <cell r="BN723">
            <v>0</v>
          </cell>
          <cell r="BO723">
            <v>0</v>
          </cell>
          <cell r="BP723">
            <v>0</v>
          </cell>
          <cell r="BQ723">
            <v>0</v>
          </cell>
          <cell r="BR723">
            <v>4491194.79</v>
          </cell>
          <cell r="BT723">
            <v>0</v>
          </cell>
          <cell r="CA723" t="str">
            <v>000088 - REVTOT - Base</v>
          </cell>
          <cell r="CC723" t="str">
            <v>000088 - REVTOT - Base - IS4</v>
          </cell>
          <cell r="CD723" t="str">
            <v/>
          </cell>
          <cell r="CF723" t="str">
            <v>000088 - Base - IS4</v>
          </cell>
        </row>
        <row r="724">
          <cell r="D724">
            <v>710</v>
          </cell>
          <cell r="E724">
            <v>1</v>
          </cell>
          <cell r="F724">
            <v>2</v>
          </cell>
          <cell r="G724" t="str">
            <v>000088</v>
          </cell>
          <cell r="H724" t="str">
            <v>QMIS/ITFO/ITOSS</v>
          </cell>
          <cell r="I724" t="str">
            <v>IS4</v>
          </cell>
          <cell r="J724" t="str">
            <v>IS4 Engineering and Technology Services</v>
          </cell>
          <cell r="K724" t="str">
            <v>Homeland Security</v>
          </cell>
          <cell r="L724" t="str">
            <v>DOD</v>
          </cell>
          <cell r="M724" t="str">
            <v>US_State</v>
          </cell>
          <cell r="N724" t="str">
            <v>CONUS</v>
          </cell>
          <cell r="O724">
            <v>43678</v>
          </cell>
          <cell r="P724">
            <v>45505</v>
          </cell>
          <cell r="Q724">
            <v>0</v>
          </cell>
          <cell r="R724" t="str">
            <v>T&amp;M</v>
          </cell>
          <cell r="S724">
            <v>0</v>
          </cell>
          <cell r="T724">
            <v>1</v>
          </cell>
          <cell r="U724" t="str">
            <v>REVTOT</v>
          </cell>
          <cell r="V724" t="str">
            <v>Identified - Recompete</v>
          </cell>
          <cell r="W724" t="str">
            <v>05 Won</v>
          </cell>
          <cell r="X724" t="str">
            <v>Active</v>
          </cell>
          <cell r="Y724">
            <v>1</v>
          </cell>
          <cell r="Z724">
            <v>35000000</v>
          </cell>
          <cell r="AA724">
            <v>0</v>
          </cell>
          <cell r="AB724">
            <v>0</v>
          </cell>
          <cell r="AC724">
            <v>0</v>
          </cell>
          <cell r="AD724">
            <v>0</v>
          </cell>
          <cell r="AI724">
            <v>0</v>
          </cell>
          <cell r="AJ724">
            <v>0</v>
          </cell>
          <cell r="AK724">
            <v>0</v>
          </cell>
          <cell r="BB724">
            <v>7215648.7500000009</v>
          </cell>
          <cell r="BC724">
            <v>7215648.7500000009</v>
          </cell>
          <cell r="BD724">
            <v>7215648.7500000009</v>
          </cell>
          <cell r="BE724">
            <v>7215648.7500000009</v>
          </cell>
          <cell r="BI724">
            <v>0</v>
          </cell>
          <cell r="BJ724">
            <v>0</v>
          </cell>
          <cell r="BK724">
            <v>0</v>
          </cell>
          <cell r="BL724">
            <v>0</v>
          </cell>
          <cell r="BM724">
            <v>0</v>
          </cell>
          <cell r="BN724">
            <v>7215648.7500000009</v>
          </cell>
          <cell r="BO724">
            <v>7215648.7500000009</v>
          </cell>
          <cell r="BP724">
            <v>7215648.7500000009</v>
          </cell>
          <cell r="BQ724">
            <v>7215648.7500000009</v>
          </cell>
          <cell r="BR724">
            <v>28862595.000000004</v>
          </cell>
          <cell r="BT724">
            <v>0</v>
          </cell>
          <cell r="CA724" t="str">
            <v>000088 - REVTOT - Identified - Recompete</v>
          </cell>
          <cell r="CC724" t="str">
            <v>000088 - REVTOT - Identified - Recompete - IS4</v>
          </cell>
          <cell r="CD724" t="str">
            <v/>
          </cell>
          <cell r="CF724" t="str">
            <v>000088 - Identified - Recompete - IS4</v>
          </cell>
        </row>
        <row r="725">
          <cell r="D725">
            <v>711</v>
          </cell>
          <cell r="E725">
            <v>2</v>
          </cell>
          <cell r="F725">
            <v>3</v>
          </cell>
          <cell r="G725" t="str">
            <v>000088</v>
          </cell>
          <cell r="H725" t="str">
            <v>QMIS/ITFO/ITOSS</v>
          </cell>
          <cell r="I725" t="str">
            <v>IS4</v>
          </cell>
          <cell r="J725" t="str">
            <v>IS4 Engineering and Technology Services</v>
          </cell>
          <cell r="K725" t="str">
            <v>Homeland Security</v>
          </cell>
          <cell r="L725" t="str">
            <v>DOD</v>
          </cell>
          <cell r="M725" t="str">
            <v>US_State</v>
          </cell>
          <cell r="N725" t="str">
            <v>CONUS</v>
          </cell>
          <cell r="O725">
            <v>42029</v>
          </cell>
          <cell r="P725">
            <v>43640</v>
          </cell>
          <cell r="Q725" t="str">
            <v>Sub</v>
          </cell>
          <cell r="R725" t="str">
            <v>T&amp;M</v>
          </cell>
          <cell r="S725">
            <v>0</v>
          </cell>
          <cell r="T725">
            <v>1</v>
          </cell>
          <cell r="U725" t="str">
            <v>CONTRACT</v>
          </cell>
          <cell r="V725" t="str">
            <v>Base</v>
          </cell>
          <cell r="W725" t="str">
            <v>05 Won</v>
          </cell>
          <cell r="X725" t="str">
            <v>Active</v>
          </cell>
          <cell r="Y725">
            <v>1</v>
          </cell>
          <cell r="Z725">
            <v>0</v>
          </cell>
          <cell r="AA725">
            <v>5134510.5199999986</v>
          </cell>
          <cell r="AB725">
            <v>-0.47999966982752085</v>
          </cell>
          <cell r="AC725">
            <v>0</v>
          </cell>
          <cell r="AD725">
            <v>5134510.0400003288</v>
          </cell>
          <cell r="AL725">
            <v>0.18925262830494757</v>
          </cell>
          <cell r="AM725">
            <v>0.13632023460384995</v>
          </cell>
          <cell r="AN725">
            <v>0.13029520521342475</v>
          </cell>
          <cell r="AO725">
            <v>0.11626642336125441</v>
          </cell>
          <cell r="AP725">
            <v>0.14679856525000609</v>
          </cell>
          <cell r="AQ725">
            <v>0.14679856525000609</v>
          </cell>
          <cell r="AR725">
            <v>0.14679856525000609</v>
          </cell>
          <cell r="AS725">
            <v>0.14679856525000609</v>
          </cell>
          <cell r="BF725">
            <v>689184.33000000007</v>
          </cell>
          <cell r="BG725">
            <v>444134.95999999996</v>
          </cell>
          <cell r="BH725">
            <v>474608.18999999994</v>
          </cell>
          <cell r="BI725">
            <v>56782.770000000077</v>
          </cell>
          <cell r="BJ725">
            <v>100371.05999999991</v>
          </cell>
          <cell r="BK725">
            <v>135199.75000000006</v>
          </cell>
          <cell r="BL725">
            <v>229821.57485199999</v>
          </cell>
          <cell r="BM725">
            <v>522175.15485200007</v>
          </cell>
          <cell r="BN725">
            <v>0</v>
          </cell>
          <cell r="BO725">
            <v>0</v>
          </cell>
          <cell r="BP725">
            <v>0</v>
          </cell>
          <cell r="BQ725">
            <v>0</v>
          </cell>
          <cell r="BR725">
            <v>522175.15485200007</v>
          </cell>
          <cell r="BT725">
            <v>0</v>
          </cell>
          <cell r="CA725" t="str">
            <v>000088 - CONTRACT - Base</v>
          </cell>
          <cell r="CC725" t="str">
            <v>000088 - CONTRACT - Base - IS4</v>
          </cell>
          <cell r="CD725" t="str">
            <v/>
          </cell>
          <cell r="CF725" t="str">
            <v>000088 - Base - IS4</v>
          </cell>
        </row>
        <row r="726">
          <cell r="D726">
            <v>712</v>
          </cell>
          <cell r="E726">
            <v>2</v>
          </cell>
          <cell r="F726">
            <v>4</v>
          </cell>
          <cell r="G726" t="str">
            <v>000088</v>
          </cell>
          <cell r="H726" t="str">
            <v>QMIS/ITFO/ITOSS</v>
          </cell>
          <cell r="I726" t="str">
            <v>IS4</v>
          </cell>
          <cell r="J726" t="str">
            <v>IS4 Engineering and Technology Services</v>
          </cell>
          <cell r="K726" t="str">
            <v>Homeland Security</v>
          </cell>
          <cell r="L726" t="str">
            <v>DOD</v>
          </cell>
          <cell r="M726" t="str">
            <v>US_State</v>
          </cell>
          <cell r="N726" t="str">
            <v>CONUS</v>
          </cell>
          <cell r="O726">
            <v>43678</v>
          </cell>
          <cell r="P726">
            <v>45505</v>
          </cell>
          <cell r="Q726">
            <v>0</v>
          </cell>
          <cell r="R726" t="str">
            <v>T&amp;M</v>
          </cell>
          <cell r="S726">
            <v>0</v>
          </cell>
          <cell r="T726">
            <v>1</v>
          </cell>
          <cell r="U726" t="str">
            <v>CONTRACT</v>
          </cell>
          <cell r="V726" t="str">
            <v>Identified - Recompete</v>
          </cell>
          <cell r="W726" t="str">
            <v>05 Won</v>
          </cell>
          <cell r="X726" t="str">
            <v>Active</v>
          </cell>
          <cell r="Y726">
            <v>1</v>
          </cell>
          <cell r="Z726">
            <v>35000000</v>
          </cell>
          <cell r="AA726">
            <v>0</v>
          </cell>
          <cell r="AB726">
            <v>0</v>
          </cell>
          <cell r="AC726">
            <v>0</v>
          </cell>
          <cell r="AD726">
            <v>0</v>
          </cell>
          <cell r="AP726">
            <v>0.14679856525000609</v>
          </cell>
          <cell r="AQ726">
            <v>0.14679856525000609</v>
          </cell>
          <cell r="AR726">
            <v>0.14679856525000609</v>
          </cell>
          <cell r="AS726">
            <v>0.14679856525000609</v>
          </cell>
          <cell r="BI726">
            <v>0</v>
          </cell>
          <cell r="BJ726">
            <v>0</v>
          </cell>
          <cell r="BK726">
            <v>0</v>
          </cell>
          <cell r="BL726">
            <v>0</v>
          </cell>
          <cell r="BM726">
            <v>0</v>
          </cell>
          <cell r="BN726">
            <v>1059246.8838480001</v>
          </cell>
          <cell r="BO726">
            <v>1059246.8838480001</v>
          </cell>
          <cell r="BP726">
            <v>1059246.8838480001</v>
          </cell>
          <cell r="BQ726">
            <v>1059246.8838480001</v>
          </cell>
          <cell r="BR726">
            <v>4236987.5353920003</v>
          </cell>
          <cell r="BT726">
            <v>0</v>
          </cell>
          <cell r="CA726" t="str">
            <v>000088 - CONTRACT - Identified - Recompete</v>
          </cell>
          <cell r="CC726" t="str">
            <v>000088 - CONTRACT - Identified - Recompete - IS4</v>
          </cell>
          <cell r="CD726" t="str">
            <v/>
          </cell>
          <cell r="CF726" t="str">
            <v>000088 - Identified - Recompete - IS4</v>
          </cell>
        </row>
        <row r="727">
          <cell r="D727">
            <v>713</v>
          </cell>
          <cell r="E727">
            <v>0</v>
          </cell>
          <cell r="F727">
            <v>5</v>
          </cell>
          <cell r="G727" t="str">
            <v>000088</v>
          </cell>
          <cell r="H727" t="str">
            <v>QMIS/ITFO/ITOSS</v>
          </cell>
          <cell r="I727" t="str">
            <v>IS4</v>
          </cell>
          <cell r="J727" t="str">
            <v>IS4 Engineering and Technology Services</v>
          </cell>
          <cell r="K727" t="str">
            <v>Homeland Security</v>
          </cell>
          <cell r="L727" t="str">
            <v>DOD</v>
          </cell>
          <cell r="M727" t="str">
            <v>US_State</v>
          </cell>
          <cell r="N727" t="str">
            <v>CONUS</v>
          </cell>
          <cell r="O727">
            <v>42029</v>
          </cell>
          <cell r="P727">
            <v>43640</v>
          </cell>
          <cell r="Q727" t="str">
            <v>Sub</v>
          </cell>
          <cell r="R727" t="str">
            <v>T&amp;M</v>
          </cell>
          <cell r="S727">
            <v>0</v>
          </cell>
          <cell r="T727">
            <v>1</v>
          </cell>
          <cell r="U727" t="str">
            <v>EBITA</v>
          </cell>
          <cell r="V727" t="str">
            <v>Base</v>
          </cell>
          <cell r="W727" t="str">
            <v>05 Won</v>
          </cell>
          <cell r="X727" t="str">
            <v>Active</v>
          </cell>
          <cell r="Y727">
            <v>1</v>
          </cell>
          <cell r="Z727">
            <v>0</v>
          </cell>
          <cell r="AA727">
            <v>5134510.5199999986</v>
          </cell>
          <cell r="AB727">
            <v>-0.47999966982752085</v>
          </cell>
          <cell r="AC727">
            <v>0</v>
          </cell>
          <cell r="AD727">
            <v>5134510.0400003288</v>
          </cell>
          <cell r="AT727">
            <v>3.4630371698059347E-2</v>
          </cell>
          <cell r="AU727">
            <v>4.358803483950608E-2</v>
          </cell>
          <cell r="AV727">
            <v>4.959076220410627E-2</v>
          </cell>
          <cell r="AW727">
            <v>1.4339851605732121E-2</v>
          </cell>
          <cell r="AX727">
            <v>1.1071748559164627E-2</v>
          </cell>
          <cell r="AY727">
            <v>1.2071748559164626E-2</v>
          </cell>
          <cell r="AZ727">
            <v>1.3071748559164625E-2</v>
          </cell>
          <cell r="BA727">
            <v>1.4071748559164626E-2</v>
          </cell>
          <cell r="BF727">
            <v>126110.32</v>
          </cell>
          <cell r="BG727">
            <v>142010.97999999995</v>
          </cell>
          <cell r="BH727">
            <v>180637.36000000002</v>
          </cell>
          <cell r="BI727">
            <v>-22125.819999999927</v>
          </cell>
          <cell r="BJ727">
            <v>21591.619999999919</v>
          </cell>
          <cell r="BK727">
            <v>54442.870000000061</v>
          </cell>
          <cell r="BL727">
            <v>10494.396821037182</v>
          </cell>
          <cell r="BM727">
            <v>64403.066821037239</v>
          </cell>
          <cell r="BN727">
            <v>0</v>
          </cell>
          <cell r="BO727">
            <v>0</v>
          </cell>
          <cell r="BP727">
            <v>0</v>
          </cell>
          <cell r="BQ727">
            <v>0</v>
          </cell>
          <cell r="BR727">
            <v>64403.066821037239</v>
          </cell>
          <cell r="BT727">
            <v>0</v>
          </cell>
          <cell r="CA727" t="str">
            <v>000088 - EBITA - Base</v>
          </cell>
          <cell r="CC727" t="str">
            <v>000088 - EBITA - Base - IS4</v>
          </cell>
          <cell r="CD727" t="str">
            <v/>
          </cell>
          <cell r="CF727" t="str">
            <v>000088 - Base - IS4</v>
          </cell>
        </row>
        <row r="728">
          <cell r="D728">
            <v>714</v>
          </cell>
          <cell r="E728">
            <v>0</v>
          </cell>
          <cell r="F728">
            <v>0</v>
          </cell>
          <cell r="G728" t="str">
            <v>000088</v>
          </cell>
          <cell r="H728" t="str">
            <v>QMIS/ITFO/ITOSS</v>
          </cell>
          <cell r="I728" t="str">
            <v>IS4</v>
          </cell>
          <cell r="J728" t="str">
            <v>IS4 Engineering and Technology Services</v>
          </cell>
          <cell r="K728" t="str">
            <v>Homeland Security</v>
          </cell>
          <cell r="L728" t="str">
            <v>DOD</v>
          </cell>
          <cell r="M728" t="str">
            <v>US_State</v>
          </cell>
          <cell r="N728" t="str">
            <v>CONUS</v>
          </cell>
          <cell r="O728">
            <v>43678</v>
          </cell>
          <cell r="P728">
            <v>45505</v>
          </cell>
          <cell r="Q728">
            <v>0</v>
          </cell>
          <cell r="R728" t="str">
            <v>T&amp;M</v>
          </cell>
          <cell r="S728">
            <v>0</v>
          </cell>
          <cell r="T728">
            <v>1</v>
          </cell>
          <cell r="U728" t="str">
            <v>EBITA</v>
          </cell>
          <cell r="V728" t="str">
            <v>Identified - Recompete</v>
          </cell>
          <cell r="W728" t="str">
            <v>05 Won</v>
          </cell>
          <cell r="X728" t="str">
            <v>Active</v>
          </cell>
          <cell r="Y728">
            <v>1</v>
          </cell>
          <cell r="Z728">
            <v>35000000</v>
          </cell>
          <cell r="AA728">
            <v>0</v>
          </cell>
          <cell r="AB728">
            <v>0</v>
          </cell>
          <cell r="AC728">
            <v>0</v>
          </cell>
          <cell r="AD728">
            <v>0</v>
          </cell>
          <cell r="AX728">
            <v>0.03</v>
          </cell>
          <cell r="AY728">
            <v>3.4999999999999996E-2</v>
          </cell>
          <cell r="AZ728">
            <v>3.9999999999999994E-2</v>
          </cell>
          <cell r="BA728">
            <v>4.4999999999999991E-2</v>
          </cell>
          <cell r="BI728">
            <v>0</v>
          </cell>
          <cell r="BJ728">
            <v>0</v>
          </cell>
          <cell r="BK728">
            <v>0</v>
          </cell>
          <cell r="BL728">
            <v>0</v>
          </cell>
          <cell r="BM728">
            <v>0</v>
          </cell>
          <cell r="BN728">
            <v>216469.46250000002</v>
          </cell>
          <cell r="BO728">
            <v>252547.70625000002</v>
          </cell>
          <cell r="BP728">
            <v>288625.95</v>
          </cell>
          <cell r="BQ728">
            <v>324704.19374999998</v>
          </cell>
          <cell r="BR728">
            <v>1082347.3125</v>
          </cell>
          <cell r="BT728">
            <v>0</v>
          </cell>
          <cell r="CA728" t="str">
            <v>000088 - EBITA - Identified - Recompete</v>
          </cell>
          <cell r="CC728" t="str">
            <v>000088 - EBITA - Identified - Recompete - IS4</v>
          </cell>
          <cell r="CD728" t="str">
            <v/>
          </cell>
          <cell r="CF728" t="str">
            <v>000088 - Identified - Recompete - IS4</v>
          </cell>
        </row>
        <row r="729">
          <cell r="D729">
            <v>715</v>
          </cell>
          <cell r="E729">
            <v>1</v>
          </cell>
          <cell r="F729">
            <v>1</v>
          </cell>
          <cell r="G729" t="str">
            <v>000101</v>
          </cell>
          <cell r="H729" t="str">
            <v>QualX OUSD</v>
          </cell>
          <cell r="I729" t="str">
            <v>IS4</v>
          </cell>
          <cell r="J729" t="str">
            <v>IS4 Engineering and Technology Services</v>
          </cell>
          <cell r="K729" t="str">
            <v>Other DOD</v>
          </cell>
          <cell r="L729" t="str">
            <v>DOD</v>
          </cell>
          <cell r="M729" t="str">
            <v>US_State</v>
          </cell>
          <cell r="N729" t="str">
            <v>CONUS</v>
          </cell>
          <cell r="O729">
            <v>42811</v>
          </cell>
          <cell r="P729">
            <v>44577</v>
          </cell>
          <cell r="Q729" t="str">
            <v>Sub</v>
          </cell>
          <cell r="R729" t="str">
            <v>T&amp;M</v>
          </cell>
          <cell r="S729">
            <v>0</v>
          </cell>
          <cell r="T729">
            <v>1</v>
          </cell>
          <cell r="U729" t="str">
            <v>REVTOT</v>
          </cell>
          <cell r="V729" t="str">
            <v>Base</v>
          </cell>
          <cell r="W729" t="str">
            <v>05 Won</v>
          </cell>
          <cell r="X729" t="str">
            <v>Active</v>
          </cell>
          <cell r="Y729">
            <v>1</v>
          </cell>
          <cell r="Z729">
            <v>0</v>
          </cell>
          <cell r="AA729">
            <v>856672.01999999955</v>
          </cell>
          <cell r="AB729">
            <v>6001627.2400000002</v>
          </cell>
          <cell r="AC729">
            <v>0</v>
          </cell>
          <cell r="AD729">
            <v>6858299.2599999998</v>
          </cell>
          <cell r="AE729">
            <v>-7.889821428843502E-2</v>
          </cell>
          <cell r="AF729">
            <v>-0.1255225097017395</v>
          </cell>
          <cell r="AG729">
            <v>6.4375575569043608E-2</v>
          </cell>
          <cell r="AH729">
            <v>0.13174546999172421</v>
          </cell>
          <cell r="AI729">
            <v>0</v>
          </cell>
          <cell r="AJ729">
            <v>0</v>
          </cell>
          <cell r="AK729">
            <v>0</v>
          </cell>
          <cell r="BB729">
            <v>3362632</v>
          </cell>
          <cell r="BC729">
            <v>3362632</v>
          </cell>
          <cell r="BD729">
            <v>3362632</v>
          </cell>
          <cell r="BE729">
            <v>3362632</v>
          </cell>
          <cell r="BF729">
            <v>3465607.8400000003</v>
          </cell>
          <cell r="BG729">
            <v>3192177.57</v>
          </cell>
          <cell r="BH729">
            <v>2791487.4299999997</v>
          </cell>
          <cell r="BI729">
            <v>666665.47</v>
          </cell>
          <cell r="BJ729">
            <v>730647.73</v>
          </cell>
          <cell r="BK729">
            <v>765216.84</v>
          </cell>
          <cell r="BL729">
            <v>808661</v>
          </cell>
          <cell r="BM729">
            <v>2971191.04</v>
          </cell>
          <cell r="BN729">
            <v>3362632</v>
          </cell>
          <cell r="BO729">
            <v>3362632</v>
          </cell>
          <cell r="BP729">
            <v>133035.25999999978</v>
          </cell>
          <cell r="BQ729">
            <v>0</v>
          </cell>
          <cell r="BR729">
            <v>9829490.2999999989</v>
          </cell>
          <cell r="BT729">
            <v>0</v>
          </cell>
          <cell r="CA729" t="str">
            <v>000101 - REVTOT - Base</v>
          </cell>
          <cell r="CC729" t="str">
            <v>000101 - REVTOT - Base - IS4</v>
          </cell>
          <cell r="CD729" t="str">
            <v/>
          </cell>
          <cell r="CF729" t="str">
            <v>000101 - Base - IS4</v>
          </cell>
        </row>
        <row r="730">
          <cell r="D730">
            <v>716</v>
          </cell>
          <cell r="E730">
            <v>1</v>
          </cell>
          <cell r="F730">
            <v>2</v>
          </cell>
          <cell r="G730" t="str">
            <v>000101</v>
          </cell>
          <cell r="H730" t="str">
            <v>QualX OUSD</v>
          </cell>
          <cell r="I730" t="str">
            <v>IS4</v>
          </cell>
          <cell r="J730" t="str">
            <v>IS4 Engineering and Technology Services</v>
          </cell>
          <cell r="K730" t="str">
            <v>Other DOD</v>
          </cell>
          <cell r="L730" t="str">
            <v>DOD</v>
          </cell>
          <cell r="M730" t="str">
            <v>US_State</v>
          </cell>
          <cell r="N730" t="str">
            <v>CONUS</v>
          </cell>
          <cell r="O730">
            <v>44578</v>
          </cell>
          <cell r="P730">
            <v>46404</v>
          </cell>
          <cell r="Q730">
            <v>0</v>
          </cell>
          <cell r="R730" t="str">
            <v>T&amp;M</v>
          </cell>
          <cell r="S730">
            <v>0</v>
          </cell>
          <cell r="T730">
            <v>1</v>
          </cell>
          <cell r="U730" t="str">
            <v>REVTOT</v>
          </cell>
          <cell r="V730" t="str">
            <v>Identified - Recompete</v>
          </cell>
          <cell r="W730" t="str">
            <v>01 Prospect</v>
          </cell>
          <cell r="X730">
            <v>0</v>
          </cell>
          <cell r="Y730">
            <v>0.9</v>
          </cell>
          <cell r="Z730">
            <v>8000000</v>
          </cell>
          <cell r="AA730">
            <v>0</v>
          </cell>
          <cell r="AB730">
            <v>0</v>
          </cell>
          <cell r="AC730">
            <v>0</v>
          </cell>
          <cell r="AD730">
            <v>0</v>
          </cell>
          <cell r="AI730">
            <v>0</v>
          </cell>
          <cell r="AJ730">
            <v>0</v>
          </cell>
          <cell r="AK730">
            <v>0</v>
          </cell>
          <cell r="BB730">
            <v>1600000</v>
          </cell>
          <cell r="BC730">
            <v>1600000</v>
          </cell>
          <cell r="BD730">
            <v>1600000</v>
          </cell>
          <cell r="BE730">
            <v>1600000</v>
          </cell>
          <cell r="BI730">
            <v>0</v>
          </cell>
          <cell r="BJ730">
            <v>0</v>
          </cell>
          <cell r="BK730">
            <v>0</v>
          </cell>
          <cell r="BL730">
            <v>0</v>
          </cell>
          <cell r="BM730">
            <v>0</v>
          </cell>
          <cell r="BN730">
            <v>0</v>
          </cell>
          <cell r="BO730">
            <v>0</v>
          </cell>
          <cell r="BP730">
            <v>1011999.9999999999</v>
          </cell>
          <cell r="BQ730">
            <v>1440000</v>
          </cell>
          <cell r="BR730">
            <v>2452000</v>
          </cell>
          <cell r="BT730">
            <v>0</v>
          </cell>
          <cell r="CA730" t="str">
            <v>000101 - REVTOT - Identified - Recompete</v>
          </cell>
          <cell r="CC730" t="str">
            <v>000101 - REVTOT - Identified - Recompete - IS4</v>
          </cell>
          <cell r="CD730" t="str">
            <v/>
          </cell>
          <cell r="CF730" t="str">
            <v>000101 - Identified - Recompete - IS4</v>
          </cell>
        </row>
        <row r="731">
          <cell r="D731">
            <v>717</v>
          </cell>
          <cell r="E731">
            <v>2</v>
          </cell>
          <cell r="F731">
            <v>3</v>
          </cell>
          <cell r="G731" t="str">
            <v>000101</v>
          </cell>
          <cell r="H731" t="str">
            <v>QualX OUSD</v>
          </cell>
          <cell r="I731" t="str">
            <v>IS4</v>
          </cell>
          <cell r="J731" t="str">
            <v>IS4 Engineering and Technology Services</v>
          </cell>
          <cell r="K731" t="str">
            <v>Other DOD</v>
          </cell>
          <cell r="L731" t="str">
            <v>DOD</v>
          </cell>
          <cell r="M731" t="str">
            <v>US_State</v>
          </cell>
          <cell r="N731" t="str">
            <v>CONUS</v>
          </cell>
          <cell r="O731">
            <v>42811</v>
          </cell>
          <cell r="P731">
            <v>44577</v>
          </cell>
          <cell r="Q731" t="str">
            <v>Sub</v>
          </cell>
          <cell r="R731" t="str">
            <v>T&amp;M</v>
          </cell>
          <cell r="S731">
            <v>0</v>
          </cell>
          <cell r="T731">
            <v>1</v>
          </cell>
          <cell r="U731" t="str">
            <v>CONTRACT</v>
          </cell>
          <cell r="V731" t="str">
            <v>Base</v>
          </cell>
          <cell r="W731" t="str">
            <v>05 Won</v>
          </cell>
          <cell r="X731" t="str">
            <v>Active</v>
          </cell>
          <cell r="Y731">
            <v>1</v>
          </cell>
          <cell r="Z731">
            <v>0</v>
          </cell>
          <cell r="AA731">
            <v>856672.01999999955</v>
          </cell>
          <cell r="AB731">
            <v>6001627.2400000002</v>
          </cell>
          <cell r="AC731">
            <v>0</v>
          </cell>
          <cell r="AD731">
            <v>6858299.2599999998</v>
          </cell>
          <cell r="AL731">
            <v>0.3637542151912953</v>
          </cell>
          <cell r="AM731">
            <v>0.30653972986847344</v>
          </cell>
          <cell r="AN731">
            <v>0.27586349905218815</v>
          </cell>
          <cell r="AO731">
            <v>0.26581526376708514</v>
          </cell>
          <cell r="AP731">
            <v>0.26104504709406201</v>
          </cell>
          <cell r="AQ731">
            <v>0.26104504709406201</v>
          </cell>
          <cell r="AR731">
            <v>0.26104504709406201</v>
          </cell>
          <cell r="AS731">
            <v>0.26104504709406201</v>
          </cell>
          <cell r="BF731">
            <v>1260629.4600000002</v>
          </cell>
          <cell r="BG731">
            <v>978529.25</v>
          </cell>
          <cell r="BH731">
            <v>770069.49</v>
          </cell>
          <cell r="BI731">
            <v>180679.28</v>
          </cell>
          <cell r="BJ731">
            <v>198608.57000000004</v>
          </cell>
          <cell r="BK731">
            <v>200871.08000000002</v>
          </cell>
          <cell r="BL731">
            <v>209629</v>
          </cell>
          <cell r="BM731">
            <v>789787.93</v>
          </cell>
          <cell r="BN731">
            <v>877798.42879999988</v>
          </cell>
          <cell r="BO731">
            <v>877798.42879999988</v>
          </cell>
          <cell r="BP731">
            <v>34728.195711870729</v>
          </cell>
          <cell r="BQ731">
            <v>0</v>
          </cell>
          <cell r="BR731">
            <v>2580112.9833118706</v>
          </cell>
          <cell r="BT731">
            <v>0</v>
          </cell>
          <cell r="CA731" t="str">
            <v>000101 - CONTRACT - Base</v>
          </cell>
          <cell r="CC731" t="str">
            <v>000101 - CONTRACT - Base - IS4</v>
          </cell>
          <cell r="CD731" t="str">
            <v/>
          </cell>
          <cell r="CF731" t="str">
            <v>000101 - Base - IS4</v>
          </cell>
        </row>
        <row r="732">
          <cell r="D732">
            <v>718</v>
          </cell>
          <cell r="E732">
            <v>2</v>
          </cell>
          <cell r="F732">
            <v>4</v>
          </cell>
          <cell r="G732" t="str">
            <v>000101</v>
          </cell>
          <cell r="H732" t="str">
            <v>QualX OUSD</v>
          </cell>
          <cell r="I732" t="str">
            <v>IS4</v>
          </cell>
          <cell r="J732" t="str">
            <v>IS4 Engineering and Technology Services</v>
          </cell>
          <cell r="K732" t="str">
            <v>Other DOD</v>
          </cell>
          <cell r="L732" t="str">
            <v>DOD</v>
          </cell>
          <cell r="M732" t="str">
            <v>US_State</v>
          </cell>
          <cell r="N732" t="str">
            <v>CONUS</v>
          </cell>
          <cell r="O732">
            <v>44578</v>
          </cell>
          <cell r="P732">
            <v>46404</v>
          </cell>
          <cell r="Q732">
            <v>0</v>
          </cell>
          <cell r="R732" t="str">
            <v>T&amp;M</v>
          </cell>
          <cell r="S732">
            <v>0</v>
          </cell>
          <cell r="T732">
            <v>1</v>
          </cell>
          <cell r="U732" t="str">
            <v>CONTRACT</v>
          </cell>
          <cell r="V732" t="str">
            <v>Identified - Recompete</v>
          </cell>
          <cell r="W732" t="str">
            <v>01 Prospect</v>
          </cell>
          <cell r="X732">
            <v>0</v>
          </cell>
          <cell r="Y732">
            <v>0.9</v>
          </cell>
          <cell r="Z732">
            <v>8000000</v>
          </cell>
          <cell r="AA732">
            <v>0</v>
          </cell>
          <cell r="AB732">
            <v>0</v>
          </cell>
          <cell r="AC732">
            <v>0</v>
          </cell>
          <cell r="AD732">
            <v>0</v>
          </cell>
          <cell r="AP732">
            <v>0.26104504709406201</v>
          </cell>
          <cell r="AQ732">
            <v>0.26104504709406201</v>
          </cell>
          <cell r="AR732">
            <v>0.26104504709406201</v>
          </cell>
          <cell r="AS732">
            <v>0.26104504709406201</v>
          </cell>
          <cell r="BI732">
            <v>0</v>
          </cell>
          <cell r="BJ732">
            <v>0</v>
          </cell>
          <cell r="BK732">
            <v>0</v>
          </cell>
          <cell r="BL732">
            <v>0</v>
          </cell>
          <cell r="BM732">
            <v>0</v>
          </cell>
          <cell r="BN732">
            <v>0</v>
          </cell>
          <cell r="BO732">
            <v>0</v>
          </cell>
          <cell r="BP732">
            <v>264177.5876591907</v>
          </cell>
          <cell r="BQ732">
            <v>375904.86781544931</v>
          </cell>
          <cell r="BR732">
            <v>640082.45547464001</v>
          </cell>
          <cell r="BT732">
            <v>0</v>
          </cell>
          <cell r="CA732" t="str">
            <v>000101 - CONTRACT - Identified - Recompete</v>
          </cell>
          <cell r="CC732" t="str">
            <v>000101 - CONTRACT - Identified - Recompete - IS4</v>
          </cell>
          <cell r="CD732" t="str">
            <v/>
          </cell>
          <cell r="CF732" t="str">
            <v>000101 - Identified - Recompete - IS4</v>
          </cell>
        </row>
        <row r="733">
          <cell r="D733">
            <v>719</v>
          </cell>
          <cell r="E733">
            <v>0</v>
          </cell>
          <cell r="F733">
            <v>5</v>
          </cell>
          <cell r="G733" t="str">
            <v>000101</v>
          </cell>
          <cell r="H733" t="str">
            <v>QualX OUSD</v>
          </cell>
          <cell r="I733" t="str">
            <v>IS4</v>
          </cell>
          <cell r="J733" t="str">
            <v>IS4 Engineering and Technology Services</v>
          </cell>
          <cell r="K733" t="str">
            <v>Other DOD</v>
          </cell>
          <cell r="L733" t="str">
            <v>DOD</v>
          </cell>
          <cell r="M733" t="str">
            <v>US_State</v>
          </cell>
          <cell r="N733" t="str">
            <v>CONUS</v>
          </cell>
          <cell r="O733">
            <v>42811</v>
          </cell>
          <cell r="P733">
            <v>44577</v>
          </cell>
          <cell r="Q733" t="str">
            <v>Sub</v>
          </cell>
          <cell r="R733" t="str">
            <v>T&amp;M</v>
          </cell>
          <cell r="S733">
            <v>0</v>
          </cell>
          <cell r="T733">
            <v>1</v>
          </cell>
          <cell r="U733" t="str">
            <v>EBITA</v>
          </cell>
          <cell r="V733" t="str">
            <v>Base</v>
          </cell>
          <cell r="W733" t="str">
            <v>05 Won</v>
          </cell>
          <cell r="X733" t="str">
            <v>Active</v>
          </cell>
          <cell r="Y733">
            <v>1</v>
          </cell>
          <cell r="Z733">
            <v>0</v>
          </cell>
          <cell r="AA733">
            <v>856672.01999999955</v>
          </cell>
          <cell r="AB733">
            <v>6001627.2400000002</v>
          </cell>
          <cell r="AC733">
            <v>0</v>
          </cell>
          <cell r="AD733">
            <v>6858299.2599999998</v>
          </cell>
          <cell r="AT733">
            <v>0.24298255858054613</v>
          </cell>
          <cell r="AU733">
            <v>0.21535476173400969</v>
          </cell>
          <cell r="AV733">
            <v>0.16617372695817587</v>
          </cell>
          <cell r="AW733">
            <v>0.14900283557667163</v>
          </cell>
          <cell r="AX733">
            <v>0.14392028416650932</v>
          </cell>
          <cell r="AY733">
            <v>0.14492028416650932</v>
          </cell>
          <cell r="AZ733">
            <v>0.14592028416650932</v>
          </cell>
          <cell r="BA733">
            <v>0.14692028416650932</v>
          </cell>
          <cell r="BF733">
            <v>842082.26</v>
          </cell>
          <cell r="BG733">
            <v>687450.64</v>
          </cell>
          <cell r="BH733">
            <v>463871.87</v>
          </cell>
          <cell r="BI733">
            <v>102575.98</v>
          </cell>
          <cell r="BJ733">
            <v>114948.23000000004</v>
          </cell>
          <cell r="BK733">
            <v>111283.68000000002</v>
          </cell>
          <cell r="BL733">
            <v>113908</v>
          </cell>
          <cell r="BM733">
            <v>442715.89</v>
          </cell>
          <cell r="BN733">
            <v>483950.95298739756</v>
          </cell>
          <cell r="BO733">
            <v>487313.58498739754</v>
          </cell>
          <cell r="BP733">
            <v>19412.542943365417</v>
          </cell>
          <cell r="BQ733">
            <v>0</v>
          </cell>
          <cell r="BR733">
            <v>1433392.9709181604</v>
          </cell>
          <cell r="BT733">
            <v>0</v>
          </cell>
          <cell r="CA733" t="str">
            <v>000101 - EBITA - Base</v>
          </cell>
          <cell r="CC733" t="str">
            <v>000101 - EBITA - Base - IS4</v>
          </cell>
          <cell r="CD733" t="str">
            <v/>
          </cell>
          <cell r="CF733" t="str">
            <v>000101 - Base - IS4</v>
          </cell>
        </row>
        <row r="734">
          <cell r="D734">
            <v>720</v>
          </cell>
          <cell r="E734">
            <v>0</v>
          </cell>
          <cell r="F734">
            <v>0</v>
          </cell>
          <cell r="G734" t="str">
            <v>000101</v>
          </cell>
          <cell r="H734" t="str">
            <v>QualX OUSD</v>
          </cell>
          <cell r="I734" t="str">
            <v>IS4</v>
          </cell>
          <cell r="J734" t="str">
            <v>IS4 Engineering and Technology Services</v>
          </cell>
          <cell r="K734" t="str">
            <v>Other DOD</v>
          </cell>
          <cell r="L734" t="str">
            <v>DOD</v>
          </cell>
          <cell r="M734" t="str">
            <v>US_State</v>
          </cell>
          <cell r="N734" t="str">
            <v>CONUS</v>
          </cell>
          <cell r="O734">
            <v>44578</v>
          </cell>
          <cell r="P734">
            <v>46404</v>
          </cell>
          <cell r="Q734">
            <v>0</v>
          </cell>
          <cell r="R734" t="str">
            <v>T&amp;M</v>
          </cell>
          <cell r="S734">
            <v>0</v>
          </cell>
          <cell r="T734">
            <v>1</v>
          </cell>
          <cell r="U734" t="str">
            <v>EBITA</v>
          </cell>
          <cell r="V734" t="str">
            <v>Identified - Recompete</v>
          </cell>
          <cell r="W734" t="str">
            <v>01 Prospect</v>
          </cell>
          <cell r="X734">
            <v>0</v>
          </cell>
          <cell r="Y734">
            <v>0.9</v>
          </cell>
          <cell r="Z734">
            <v>8000000</v>
          </cell>
          <cell r="AA734">
            <v>0</v>
          </cell>
          <cell r="AB734">
            <v>0</v>
          </cell>
          <cell r="AC734">
            <v>0</v>
          </cell>
          <cell r="AD734">
            <v>0</v>
          </cell>
          <cell r="AX734">
            <v>0.14392028416650932</v>
          </cell>
          <cell r="AY734">
            <v>0.14492028416650932</v>
          </cell>
          <cell r="AZ734">
            <v>0.14592028416650932</v>
          </cell>
          <cell r="BA734">
            <v>0.14692028416650932</v>
          </cell>
          <cell r="BI734">
            <v>0</v>
          </cell>
          <cell r="BJ734">
            <v>0</v>
          </cell>
          <cell r="BK734">
            <v>0</v>
          </cell>
          <cell r="BL734">
            <v>0</v>
          </cell>
          <cell r="BM734">
            <v>0</v>
          </cell>
          <cell r="BN734">
            <v>0</v>
          </cell>
          <cell r="BO734">
            <v>0</v>
          </cell>
          <cell r="BP734">
            <v>147671.32757650741</v>
          </cell>
          <cell r="BQ734">
            <v>211565.20919977341</v>
          </cell>
          <cell r="BR734">
            <v>359236.53677628085</v>
          </cell>
          <cell r="BT734">
            <v>0</v>
          </cell>
          <cell r="CA734" t="str">
            <v>000101 - EBITA - Identified - Recompete</v>
          </cell>
          <cell r="CC734" t="str">
            <v>000101 - EBITA - Identified - Recompete - IS4</v>
          </cell>
          <cell r="CD734" t="str">
            <v/>
          </cell>
          <cell r="CF734" t="str">
            <v>000101 - Identified - Recompete - IS4</v>
          </cell>
        </row>
        <row r="735">
          <cell r="D735">
            <v>721</v>
          </cell>
          <cell r="E735">
            <v>1</v>
          </cell>
          <cell r="F735">
            <v>1</v>
          </cell>
          <cell r="G735" t="str">
            <v>SECSRA</v>
          </cell>
          <cell r="H735" t="str">
            <v>SEC (sub to CSRA)</v>
          </cell>
          <cell r="I735" t="str">
            <v>IS4</v>
          </cell>
          <cell r="J735" t="str">
            <v>IS4 Engineering and Technology Services</v>
          </cell>
          <cell r="K735" t="str">
            <v>Other Civilian</v>
          </cell>
          <cell r="L735" t="str">
            <v>Other</v>
          </cell>
          <cell r="M735" t="str">
            <v>DC</v>
          </cell>
          <cell r="N735" t="str">
            <v>CONUS</v>
          </cell>
          <cell r="O735">
            <v>42585</v>
          </cell>
          <cell r="P735">
            <v>44410</v>
          </cell>
          <cell r="Q735" t="str">
            <v>Sub</v>
          </cell>
          <cell r="R735" t="str">
            <v>T&amp;M</v>
          </cell>
          <cell r="S735">
            <v>0</v>
          </cell>
          <cell r="T735">
            <v>1</v>
          </cell>
          <cell r="U735" t="str">
            <v>REVTOT</v>
          </cell>
          <cell r="V735" t="str">
            <v>Base</v>
          </cell>
          <cell r="W735" t="str">
            <v>05 Won</v>
          </cell>
          <cell r="X735" t="str">
            <v>Active</v>
          </cell>
          <cell r="Y735">
            <v>1</v>
          </cell>
          <cell r="Z735">
            <v>0</v>
          </cell>
          <cell r="AA735">
            <v>4412390.9300000016</v>
          </cell>
          <cell r="AB735">
            <v>46330998.200000003</v>
          </cell>
          <cell r="AC735">
            <v>0</v>
          </cell>
          <cell r="AD735">
            <v>50743389.130000003</v>
          </cell>
          <cell r="AE735">
            <v>6.0386307336322149</v>
          </cell>
          <cell r="AF735">
            <v>1.6796995996860353E-2</v>
          </cell>
          <cell r="AG735">
            <v>-0.14173664400853514</v>
          </cell>
          <cell r="AH735">
            <v>0.11267667582599472</v>
          </cell>
          <cell r="AI735">
            <v>0</v>
          </cell>
          <cell r="AJ735">
            <v>0</v>
          </cell>
          <cell r="AK735">
            <v>0</v>
          </cell>
          <cell r="BB735">
            <v>2985865</v>
          </cell>
          <cell r="BC735">
            <v>2985865</v>
          </cell>
          <cell r="BD735">
            <v>2985865</v>
          </cell>
          <cell r="BE735">
            <v>2985865</v>
          </cell>
          <cell r="BF735">
            <v>436875.99</v>
          </cell>
          <cell r="BG735">
            <v>3075008.77</v>
          </cell>
          <cell r="BH735">
            <v>3126659.6800000006</v>
          </cell>
          <cell r="BI735">
            <v>707438.98</v>
          </cell>
          <cell r="BJ735">
            <v>518599.07</v>
          </cell>
          <cell r="BK735">
            <v>680223.38</v>
          </cell>
          <cell r="BL735">
            <v>777236</v>
          </cell>
          <cell r="BM735">
            <v>2683497.4300000002</v>
          </cell>
          <cell r="BN735">
            <v>2985865</v>
          </cell>
          <cell r="BO735">
            <v>2504808.9722222225</v>
          </cell>
          <cell r="BP735">
            <v>0</v>
          </cell>
          <cell r="BQ735">
            <v>0</v>
          </cell>
          <cell r="BR735">
            <v>8174171.4022222217</v>
          </cell>
          <cell r="BT735">
            <v>0</v>
          </cell>
          <cell r="CA735" t="str">
            <v>SECSRA - REVTOT - Base</v>
          </cell>
          <cell r="CC735" t="str">
            <v>SECSRA - REVTOT - Base - IS4</v>
          </cell>
          <cell r="CD735" t="str">
            <v/>
          </cell>
          <cell r="CF735" t="str">
            <v>SECSRA - Base - IS4</v>
          </cell>
        </row>
        <row r="736">
          <cell r="D736">
            <v>722</v>
          </cell>
          <cell r="E736">
            <v>1</v>
          </cell>
          <cell r="F736">
            <v>2</v>
          </cell>
          <cell r="G736" t="str">
            <v>SECSRA</v>
          </cell>
          <cell r="H736" t="str">
            <v>SEC (sub to CSRA)</v>
          </cell>
          <cell r="I736" t="str">
            <v>IS4</v>
          </cell>
          <cell r="J736" t="str">
            <v>IS4 Engineering and Technology Services</v>
          </cell>
          <cell r="K736" t="str">
            <v>Other Civilian</v>
          </cell>
          <cell r="L736" t="str">
            <v>Other</v>
          </cell>
          <cell r="M736" t="str">
            <v>DC</v>
          </cell>
          <cell r="N736" t="str">
            <v>CONUS</v>
          </cell>
          <cell r="O736">
            <v>44411</v>
          </cell>
          <cell r="P736">
            <v>46236</v>
          </cell>
          <cell r="Q736" t="str">
            <v>Sub</v>
          </cell>
          <cell r="R736" t="str">
            <v>T&amp;M</v>
          </cell>
          <cell r="S736">
            <v>0</v>
          </cell>
          <cell r="T736">
            <v>1</v>
          </cell>
          <cell r="U736" t="str">
            <v>REVTOT</v>
          </cell>
          <cell r="V736" t="str">
            <v>Identified - Recompete</v>
          </cell>
          <cell r="W736" t="str">
            <v>01 Prospect</v>
          </cell>
          <cell r="X736" t="str">
            <v>Priority 3</v>
          </cell>
          <cell r="Y736">
            <v>0.25</v>
          </cell>
          <cell r="Z736">
            <v>15000000</v>
          </cell>
          <cell r="AA736">
            <v>0</v>
          </cell>
          <cell r="AB736">
            <v>0</v>
          </cell>
          <cell r="AC736">
            <v>0</v>
          </cell>
          <cell r="AD736">
            <v>0</v>
          </cell>
          <cell r="AI736">
            <v>0</v>
          </cell>
          <cell r="AJ736">
            <v>0</v>
          </cell>
          <cell r="AK736">
            <v>0</v>
          </cell>
          <cell r="BB736">
            <v>2985865</v>
          </cell>
          <cell r="BC736">
            <v>2985865</v>
          </cell>
          <cell r="BD736">
            <v>2985865</v>
          </cell>
          <cell r="BE736">
            <v>2985865</v>
          </cell>
          <cell r="BI736">
            <v>0</v>
          </cell>
          <cell r="BJ736">
            <v>0</v>
          </cell>
          <cell r="BK736">
            <v>0</v>
          </cell>
          <cell r="BL736">
            <v>0</v>
          </cell>
          <cell r="BM736">
            <v>0</v>
          </cell>
          <cell r="BN736">
            <v>0</v>
          </cell>
          <cell r="BO736">
            <v>118190.48958333333</v>
          </cell>
          <cell r="BP736">
            <v>746466.25</v>
          </cell>
          <cell r="BQ736">
            <v>746466.25</v>
          </cell>
          <cell r="BR736">
            <v>1611122.9895833335</v>
          </cell>
          <cell r="BT736">
            <v>0</v>
          </cell>
          <cell r="CA736" t="str">
            <v>SECSRA - REVTOT - Identified - Recompete</v>
          </cell>
          <cell r="CC736" t="str">
            <v>SECSRA - REVTOT - Identified - Recompete - IS4</v>
          </cell>
          <cell r="CD736" t="str">
            <v/>
          </cell>
          <cell r="CF736" t="str">
            <v>SECSRA - Identified - Recompete - IS4</v>
          </cell>
        </row>
        <row r="737">
          <cell r="D737">
            <v>723</v>
          </cell>
          <cell r="E737">
            <v>2</v>
          </cell>
          <cell r="F737">
            <v>3</v>
          </cell>
          <cell r="G737" t="str">
            <v>SECSRA</v>
          </cell>
          <cell r="H737" t="str">
            <v>SEC (sub to CSRA)</v>
          </cell>
          <cell r="I737" t="str">
            <v>IS4</v>
          </cell>
          <cell r="J737" t="str">
            <v>IS4 Engineering and Technology Services</v>
          </cell>
          <cell r="K737" t="str">
            <v>Other Civilian</v>
          </cell>
          <cell r="L737" t="str">
            <v>Other</v>
          </cell>
          <cell r="M737" t="str">
            <v>DC</v>
          </cell>
          <cell r="N737" t="str">
            <v>CONUS</v>
          </cell>
          <cell r="O737">
            <v>42585</v>
          </cell>
          <cell r="P737">
            <v>44410</v>
          </cell>
          <cell r="Q737" t="str">
            <v>Sub</v>
          </cell>
          <cell r="R737" t="str">
            <v>T&amp;M</v>
          </cell>
          <cell r="S737">
            <v>0</v>
          </cell>
          <cell r="T737">
            <v>1</v>
          </cell>
          <cell r="U737" t="str">
            <v>CONTRACT</v>
          </cell>
          <cell r="V737" t="str">
            <v>Base</v>
          </cell>
          <cell r="W737" t="str">
            <v>05 Won</v>
          </cell>
          <cell r="X737" t="str">
            <v>Active</v>
          </cell>
          <cell r="Y737">
            <v>1</v>
          </cell>
          <cell r="Z737">
            <v>0</v>
          </cell>
          <cell r="AA737">
            <v>4412390.9300000016</v>
          </cell>
          <cell r="AB737">
            <v>46330998.200000003</v>
          </cell>
          <cell r="AC737">
            <v>0</v>
          </cell>
          <cell r="AD737">
            <v>50743389.130000003</v>
          </cell>
          <cell r="AL737">
            <v>0.13852271899858828</v>
          </cell>
          <cell r="AM737">
            <v>0.1678194335686399</v>
          </cell>
          <cell r="AN737">
            <v>0.15099423932188225</v>
          </cell>
          <cell r="AO737">
            <v>0.12763078368217404</v>
          </cell>
          <cell r="AP737">
            <v>0.13910386035537439</v>
          </cell>
          <cell r="AQ737">
            <v>0.13910386035537439</v>
          </cell>
          <cell r="AR737">
            <v>0.13910386035537439</v>
          </cell>
          <cell r="AS737">
            <v>0.13910386035537439</v>
          </cell>
          <cell r="BF737">
            <v>60517.250000000058</v>
          </cell>
          <cell r="BG737">
            <v>516046.2300000001</v>
          </cell>
          <cell r="BH737">
            <v>472107.59999999986</v>
          </cell>
          <cell r="BI737">
            <v>96207.290000000037</v>
          </cell>
          <cell r="BJ737">
            <v>51541.189999999951</v>
          </cell>
          <cell r="BK737">
            <v>92288.4</v>
          </cell>
          <cell r="BL737">
            <v>102460</v>
          </cell>
          <cell r="BM737">
            <v>342496.88</v>
          </cell>
          <cell r="BN737">
            <v>415345.34799999994</v>
          </cell>
          <cell r="BO737">
            <v>348428.59748888889</v>
          </cell>
          <cell r="BP737">
            <v>0</v>
          </cell>
          <cell r="BQ737">
            <v>0</v>
          </cell>
          <cell r="BR737">
            <v>1106270.8254888887</v>
          </cell>
          <cell r="BT737">
            <v>0</v>
          </cell>
          <cell r="CA737" t="str">
            <v>SECSRA - CONTRACT - Base</v>
          </cell>
          <cell r="CC737" t="str">
            <v>SECSRA - CONTRACT - Base - IS4</v>
          </cell>
          <cell r="CD737" t="str">
            <v/>
          </cell>
          <cell r="CF737" t="str">
            <v>SECSRA - Base - IS4</v>
          </cell>
        </row>
        <row r="738">
          <cell r="D738">
            <v>724</v>
          </cell>
          <cell r="E738">
            <v>2</v>
          </cell>
          <cell r="F738">
            <v>4</v>
          </cell>
          <cell r="G738" t="str">
            <v>SECSRA</v>
          </cell>
          <cell r="H738" t="str">
            <v>SEC (sub to CSRA)</v>
          </cell>
          <cell r="I738" t="str">
            <v>IS4</v>
          </cell>
          <cell r="J738" t="str">
            <v>IS4 Engineering and Technology Services</v>
          </cell>
          <cell r="K738" t="str">
            <v>Other Civilian</v>
          </cell>
          <cell r="L738" t="str">
            <v>Other</v>
          </cell>
          <cell r="M738" t="str">
            <v>DC</v>
          </cell>
          <cell r="N738" t="str">
            <v>CONUS</v>
          </cell>
          <cell r="O738">
            <v>44411</v>
          </cell>
          <cell r="P738">
            <v>46236</v>
          </cell>
          <cell r="Q738" t="str">
            <v>Sub</v>
          </cell>
          <cell r="R738" t="str">
            <v>T&amp;M</v>
          </cell>
          <cell r="S738">
            <v>0</v>
          </cell>
          <cell r="T738">
            <v>1</v>
          </cell>
          <cell r="U738" t="str">
            <v>CONTRACT</v>
          </cell>
          <cell r="V738" t="str">
            <v>Identified - Recompete</v>
          </cell>
          <cell r="W738" t="str">
            <v>01 Prospect</v>
          </cell>
          <cell r="X738" t="str">
            <v>Priority 3</v>
          </cell>
          <cell r="Y738">
            <v>0.25</v>
          </cell>
          <cell r="Z738">
            <v>15000000</v>
          </cell>
          <cell r="AA738">
            <v>0</v>
          </cell>
          <cell r="AB738">
            <v>0</v>
          </cell>
          <cell r="AC738">
            <v>0</v>
          </cell>
          <cell r="AD738">
            <v>0</v>
          </cell>
          <cell r="AP738">
            <v>0</v>
          </cell>
          <cell r="AQ738">
            <v>0.13910386035537439</v>
          </cell>
          <cell r="AR738">
            <v>0.13910386035537439</v>
          </cell>
          <cell r="AS738">
            <v>0.13910386035537439</v>
          </cell>
          <cell r="BI738">
            <v>0</v>
          </cell>
          <cell r="BJ738">
            <v>0</v>
          </cell>
          <cell r="BK738">
            <v>0</v>
          </cell>
          <cell r="BL738">
            <v>0</v>
          </cell>
          <cell r="BM738">
            <v>0</v>
          </cell>
          <cell r="BN738">
            <v>0</v>
          </cell>
          <cell r="BO738">
            <v>16440.753358333332</v>
          </cell>
          <cell r="BP738">
            <v>103836.33699999998</v>
          </cell>
          <cell r="BQ738">
            <v>103836.33699999998</v>
          </cell>
          <cell r="BR738">
            <v>224113.42735833331</v>
          </cell>
          <cell r="BT738">
            <v>0</v>
          </cell>
          <cell r="CA738" t="str">
            <v>SECSRA - CONTRACT - Identified - Recompete</v>
          </cell>
          <cell r="CC738" t="str">
            <v>SECSRA - CONTRACT - Identified - Recompete - IS4</v>
          </cell>
          <cell r="CD738" t="str">
            <v/>
          </cell>
          <cell r="CF738" t="str">
            <v>SECSRA - Identified - Recompete - IS4</v>
          </cell>
        </row>
        <row r="739">
          <cell r="D739">
            <v>725</v>
          </cell>
          <cell r="E739">
            <v>0</v>
          </cell>
          <cell r="F739">
            <v>5</v>
          </cell>
          <cell r="G739" t="str">
            <v>SECSRA</v>
          </cell>
          <cell r="H739" t="str">
            <v>SEC (sub to CSRA)</v>
          </cell>
          <cell r="I739" t="str">
            <v>IS4</v>
          </cell>
          <cell r="J739" t="str">
            <v>IS4 Engineering and Technology Services</v>
          </cell>
          <cell r="K739" t="str">
            <v>Other Civilian</v>
          </cell>
          <cell r="L739" t="str">
            <v>Other</v>
          </cell>
          <cell r="M739" t="str">
            <v>DC</v>
          </cell>
          <cell r="N739" t="str">
            <v>CONUS</v>
          </cell>
          <cell r="O739">
            <v>42585</v>
          </cell>
          <cell r="P739">
            <v>44410</v>
          </cell>
          <cell r="Q739" t="str">
            <v>Sub</v>
          </cell>
          <cell r="R739" t="str">
            <v>T&amp;M</v>
          </cell>
          <cell r="S739">
            <v>0</v>
          </cell>
          <cell r="T739">
            <v>1</v>
          </cell>
          <cell r="U739" t="str">
            <v>EBITA</v>
          </cell>
          <cell r="V739" t="str">
            <v>Base</v>
          </cell>
          <cell r="W739" t="str">
            <v>05 Won</v>
          </cell>
          <cell r="X739" t="str">
            <v>Active</v>
          </cell>
          <cell r="Y739">
            <v>1</v>
          </cell>
          <cell r="Z739">
            <v>0</v>
          </cell>
          <cell r="AA739">
            <v>4412390.9300000016</v>
          </cell>
          <cell r="AB739">
            <v>46330998.200000003</v>
          </cell>
          <cell r="AC739">
            <v>0</v>
          </cell>
          <cell r="AD739">
            <v>50743389.130000003</v>
          </cell>
          <cell r="AT739">
            <v>-8.090405700711531E-2</v>
          </cell>
          <cell r="AU739">
            <v>4.5572523684217027E-2</v>
          </cell>
          <cell r="AV739">
            <v>3.314499837091317E-2</v>
          </cell>
          <cell r="AW739">
            <v>3.4865582114606275E-3</v>
          </cell>
          <cell r="AX739">
            <v>1.508978610775849E-2</v>
          </cell>
          <cell r="AY739">
            <v>1.6089786107758491E-2</v>
          </cell>
          <cell r="AZ739">
            <v>1.7089786107758492E-2</v>
          </cell>
          <cell r="BA739">
            <v>1.8089786107758493E-2</v>
          </cell>
          <cell r="BF739">
            <v>-35345.039999999935</v>
          </cell>
          <cell r="BG739">
            <v>140135.91000000006</v>
          </cell>
          <cell r="BH739">
            <v>103633.12999999992</v>
          </cell>
          <cell r="BI739">
            <v>10237.77000000004</v>
          </cell>
          <cell r="BJ739">
            <v>-11536.430000000048</v>
          </cell>
          <cell r="BK739">
            <v>8001.8299999999981</v>
          </cell>
          <cell r="BL739">
            <v>2653</v>
          </cell>
          <cell r="BM739">
            <v>9356.169999999991</v>
          </cell>
          <cell r="BN739">
            <v>45056.064196642306</v>
          </cell>
          <cell r="BO739">
            <v>40301.840603849938</v>
          </cell>
          <cell r="BP739">
            <v>0</v>
          </cell>
          <cell r="BQ739">
            <v>0</v>
          </cell>
          <cell r="BR739">
            <v>94714.074800492235</v>
          </cell>
          <cell r="BT739">
            <v>0</v>
          </cell>
          <cell r="CA739" t="str">
            <v>SECSRA - EBITA - Base</v>
          </cell>
          <cell r="CC739" t="str">
            <v>SECSRA - EBITA - Base - IS4</v>
          </cell>
          <cell r="CD739" t="str">
            <v/>
          </cell>
          <cell r="CF739" t="str">
            <v>SECSRA - Base - IS4</v>
          </cell>
        </row>
        <row r="740">
          <cell r="D740">
            <v>726</v>
          </cell>
          <cell r="E740">
            <v>0</v>
          </cell>
          <cell r="F740">
            <v>0</v>
          </cell>
          <cell r="G740" t="str">
            <v>SECSRA</v>
          </cell>
          <cell r="H740" t="str">
            <v>SEC (sub to CSRA)</v>
          </cell>
          <cell r="I740" t="str">
            <v>IS4</v>
          </cell>
          <cell r="J740" t="str">
            <v>IS4 Engineering and Technology Services</v>
          </cell>
          <cell r="K740" t="str">
            <v>Other Civilian</v>
          </cell>
          <cell r="L740" t="str">
            <v>Other</v>
          </cell>
          <cell r="M740" t="str">
            <v>DC</v>
          </cell>
          <cell r="N740" t="str">
            <v>CONUS</v>
          </cell>
          <cell r="O740">
            <v>44411</v>
          </cell>
          <cell r="P740">
            <v>46236</v>
          </cell>
          <cell r="Q740" t="str">
            <v>Sub</v>
          </cell>
          <cell r="R740" t="str">
            <v>T&amp;M</v>
          </cell>
          <cell r="S740">
            <v>0</v>
          </cell>
          <cell r="T740">
            <v>1</v>
          </cell>
          <cell r="U740" t="str">
            <v>EBITA</v>
          </cell>
          <cell r="V740" t="str">
            <v>Identified - Recompete</v>
          </cell>
          <cell r="W740" t="str">
            <v>01 Prospect</v>
          </cell>
          <cell r="X740" t="str">
            <v>Priority 3</v>
          </cell>
          <cell r="Y740">
            <v>0.25</v>
          </cell>
          <cell r="Z740">
            <v>15000000</v>
          </cell>
          <cell r="AA740">
            <v>0</v>
          </cell>
          <cell r="AB740">
            <v>0</v>
          </cell>
          <cell r="AC740">
            <v>0</v>
          </cell>
          <cell r="AD740">
            <v>0</v>
          </cell>
          <cell r="AX740">
            <v>0</v>
          </cell>
          <cell r="AY740">
            <v>1.6089786107758491E-2</v>
          </cell>
          <cell r="AZ740">
            <v>1.7089786107758492E-2</v>
          </cell>
          <cell r="BA740">
            <v>1.8089786107758493E-2</v>
          </cell>
          <cell r="BI740">
            <v>0</v>
          </cell>
          <cell r="BJ740">
            <v>0</v>
          </cell>
          <cell r="BK740">
            <v>0</v>
          </cell>
          <cell r="BL740">
            <v>0</v>
          </cell>
          <cell r="BM740">
            <v>0</v>
          </cell>
          <cell r="BN740">
            <v>0</v>
          </cell>
          <cell r="BO740">
            <v>1901.6596973670912</v>
          </cell>
          <cell r="BP740">
            <v>12756.948549160577</v>
          </cell>
          <cell r="BQ740">
            <v>13503.414799160579</v>
          </cell>
          <cell r="BR740">
            <v>28162.023045688249</v>
          </cell>
          <cell r="BT740">
            <v>0</v>
          </cell>
          <cell r="CA740" t="str">
            <v>SECSRA - EBITA - Identified - Recompete</v>
          </cell>
          <cell r="CC740" t="str">
            <v>SECSRA - EBITA - Identified - Recompete - IS4</v>
          </cell>
          <cell r="CD740" t="str">
            <v/>
          </cell>
          <cell r="CF740" t="str">
            <v>SECSRA - Identified - Recompete - IS4</v>
          </cell>
        </row>
        <row r="741">
          <cell r="D741">
            <v>727</v>
          </cell>
          <cell r="E741">
            <v>1</v>
          </cell>
          <cell r="F741">
            <v>1</v>
          </cell>
          <cell r="G741" t="str">
            <v>NATIII</v>
          </cell>
          <cell r="H741" t="str">
            <v>NATIONS (sub to Triple-I)</v>
          </cell>
          <cell r="I741" t="str">
            <v>IS4</v>
          </cell>
          <cell r="J741" t="str">
            <v>IS4 Engineering and Technology Services</v>
          </cell>
          <cell r="K741" t="str">
            <v>Homeland Security</v>
          </cell>
          <cell r="L741" t="str">
            <v>DOD</v>
          </cell>
          <cell r="M741" t="str">
            <v>US_State</v>
          </cell>
          <cell r="N741" t="str">
            <v>CONUS</v>
          </cell>
          <cell r="O741">
            <v>42660</v>
          </cell>
          <cell r="P741">
            <v>43921</v>
          </cell>
          <cell r="Q741" t="str">
            <v>Sub</v>
          </cell>
          <cell r="R741" t="str">
            <v>T&amp;M</v>
          </cell>
          <cell r="S741">
            <v>0</v>
          </cell>
          <cell r="T741">
            <v>1</v>
          </cell>
          <cell r="U741" t="str">
            <v>REVTOT</v>
          </cell>
          <cell r="V741" t="str">
            <v>Base</v>
          </cell>
          <cell r="W741" t="str">
            <v>05 Won</v>
          </cell>
          <cell r="X741" t="str">
            <v>Active</v>
          </cell>
          <cell r="Y741">
            <v>1</v>
          </cell>
          <cell r="Z741">
            <v>0</v>
          </cell>
          <cell r="AA741">
            <v>14132.290000000095</v>
          </cell>
          <cell r="AB741">
            <v>186354</v>
          </cell>
          <cell r="AC741">
            <v>0</v>
          </cell>
          <cell r="AD741">
            <v>200486.2900000001</v>
          </cell>
          <cell r="AE741">
            <v>0</v>
          </cell>
          <cell r="AF741">
            <v>0.10333567105127006</v>
          </cell>
          <cell r="AG741">
            <v>-4.5680905842729103E-2</v>
          </cell>
          <cell r="AH741">
            <v>-0.91437451645520418</v>
          </cell>
          <cell r="AI741">
            <v>0</v>
          </cell>
          <cell r="AJ741">
            <v>0</v>
          </cell>
          <cell r="AK741">
            <v>0</v>
          </cell>
          <cell r="BB741">
            <v>2508491.5</v>
          </cell>
          <cell r="BC741">
            <v>2508491.5</v>
          </cell>
          <cell r="BD741">
            <v>2508491.5</v>
          </cell>
          <cell r="BE741">
            <v>2508491.5</v>
          </cell>
          <cell r="BF741">
            <v>0</v>
          </cell>
          <cell r="BG741">
            <v>2223721.37</v>
          </cell>
          <cell r="BH741">
            <v>2453511.11</v>
          </cell>
          <cell r="BI741">
            <v>561197</v>
          </cell>
          <cell r="BJ741">
            <v>579609.19000000006</v>
          </cell>
          <cell r="BK741">
            <v>516052.54</v>
          </cell>
          <cell r="BL741">
            <v>684573.77</v>
          </cell>
          <cell r="BM741">
            <v>2341432.5</v>
          </cell>
          <cell r="BN741">
            <v>200486.2900000001</v>
          </cell>
          <cell r="BO741">
            <v>0</v>
          </cell>
          <cell r="BP741">
            <v>0</v>
          </cell>
          <cell r="BQ741">
            <v>0</v>
          </cell>
          <cell r="BR741">
            <v>2541918.79</v>
          </cell>
          <cell r="BT741">
            <v>0</v>
          </cell>
          <cell r="CA741" t="str">
            <v>NATIII - REVTOT - Base</v>
          </cell>
          <cell r="CC741" t="str">
            <v>NATIII - REVTOT - Base - IS4</v>
          </cell>
          <cell r="CD741" t="str">
            <v/>
          </cell>
          <cell r="CF741" t="str">
            <v>NATIII - Base - IS4</v>
          </cell>
        </row>
        <row r="742">
          <cell r="D742">
            <v>728</v>
          </cell>
          <cell r="E742">
            <v>1</v>
          </cell>
          <cell r="F742">
            <v>2</v>
          </cell>
          <cell r="G742" t="str">
            <v>NATIII</v>
          </cell>
          <cell r="H742" t="str">
            <v>NATIONS (sub to Triple-I)</v>
          </cell>
          <cell r="I742" t="str">
            <v>IS4</v>
          </cell>
          <cell r="J742" t="str">
            <v>IS4 Engineering and Technology Services</v>
          </cell>
          <cell r="K742" t="str">
            <v>Homeland Security</v>
          </cell>
          <cell r="L742" t="str">
            <v>DOD</v>
          </cell>
          <cell r="M742" t="str">
            <v>US_State</v>
          </cell>
          <cell r="N742" t="str">
            <v>CONUS</v>
          </cell>
          <cell r="O742">
            <v>43922</v>
          </cell>
          <cell r="P742">
            <v>45382</v>
          </cell>
          <cell r="Q742" t="str">
            <v>Sub</v>
          </cell>
          <cell r="R742" t="str">
            <v>T&amp;M</v>
          </cell>
          <cell r="S742">
            <v>0</v>
          </cell>
          <cell r="T742">
            <v>1</v>
          </cell>
          <cell r="U742" t="str">
            <v>REVTOT</v>
          </cell>
          <cell r="V742" t="str">
            <v>Identified - Recompete</v>
          </cell>
          <cell r="W742" t="str">
            <v>02 Capture</v>
          </cell>
          <cell r="X742" t="str">
            <v>Priority 3</v>
          </cell>
          <cell r="Y742">
            <v>0.4</v>
          </cell>
          <cell r="Z742">
            <v>13000000</v>
          </cell>
          <cell r="AA742">
            <v>0</v>
          </cell>
          <cell r="AB742">
            <v>0</v>
          </cell>
          <cell r="AC742">
            <v>0</v>
          </cell>
          <cell r="AD742">
            <v>0</v>
          </cell>
          <cell r="AI742">
            <v>0</v>
          </cell>
          <cell r="AJ742">
            <v>0</v>
          </cell>
          <cell r="AK742">
            <v>0</v>
          </cell>
          <cell r="BB742">
            <v>3250000</v>
          </cell>
          <cell r="BC742">
            <v>3250000</v>
          </cell>
          <cell r="BD742">
            <v>3250000</v>
          </cell>
          <cell r="BE742">
            <v>3250000</v>
          </cell>
          <cell r="BI742">
            <v>0</v>
          </cell>
          <cell r="BJ742">
            <v>0</v>
          </cell>
          <cell r="BK742">
            <v>0</v>
          </cell>
          <cell r="BL742">
            <v>0</v>
          </cell>
          <cell r="BM742">
            <v>0</v>
          </cell>
          <cell r="BN742">
            <v>646388.88888888899</v>
          </cell>
          <cell r="BO742">
            <v>1300000</v>
          </cell>
          <cell r="BP742">
            <v>1300000</v>
          </cell>
          <cell r="BQ742">
            <v>1300000</v>
          </cell>
          <cell r="BR742">
            <v>4546388.888888889</v>
          </cell>
          <cell r="BT742">
            <v>0</v>
          </cell>
          <cell r="CA742" t="str">
            <v>NATIII - REVTOT - Identified - Recompete</v>
          </cell>
          <cell r="CC742" t="str">
            <v>NATIII - REVTOT - Identified - Recompete - IS4</v>
          </cell>
          <cell r="CD742" t="str">
            <v/>
          </cell>
          <cell r="CF742" t="str">
            <v>NATIII - Identified - Recompete - IS4</v>
          </cell>
        </row>
        <row r="743">
          <cell r="D743">
            <v>729</v>
          </cell>
          <cell r="E743">
            <v>2</v>
          </cell>
          <cell r="F743">
            <v>3</v>
          </cell>
          <cell r="G743" t="str">
            <v>NATIII</v>
          </cell>
          <cell r="H743" t="str">
            <v>NATIONS (sub to Triple-I)</v>
          </cell>
          <cell r="I743" t="str">
            <v>IS4</v>
          </cell>
          <cell r="J743" t="str">
            <v>IS4 Engineering and Technology Services</v>
          </cell>
          <cell r="K743" t="str">
            <v>Homeland Security</v>
          </cell>
          <cell r="L743" t="str">
            <v>DOD</v>
          </cell>
          <cell r="M743" t="str">
            <v>US_State</v>
          </cell>
          <cell r="N743" t="str">
            <v>CONUS</v>
          </cell>
          <cell r="O743">
            <v>42660</v>
          </cell>
          <cell r="P743">
            <v>43921</v>
          </cell>
          <cell r="Q743" t="str">
            <v>Sub</v>
          </cell>
          <cell r="R743" t="str">
            <v>T&amp;M</v>
          </cell>
          <cell r="S743">
            <v>0</v>
          </cell>
          <cell r="T743">
            <v>1</v>
          </cell>
          <cell r="U743" t="str">
            <v>CONTRACT</v>
          </cell>
          <cell r="V743" t="str">
            <v>Base</v>
          </cell>
          <cell r="W743" t="str">
            <v>05 Won</v>
          </cell>
          <cell r="X743" t="str">
            <v>Active</v>
          </cell>
          <cell r="Y743">
            <v>1</v>
          </cell>
          <cell r="Z743">
            <v>0</v>
          </cell>
          <cell r="AA743">
            <v>14132.290000000095</v>
          </cell>
          <cell r="AB743">
            <v>186354</v>
          </cell>
          <cell r="AC743">
            <v>0</v>
          </cell>
          <cell r="AD743">
            <v>200486.2900000001</v>
          </cell>
          <cell r="AL743">
            <v>0</v>
          </cell>
          <cell r="AM743">
            <v>0.1422452355170738</v>
          </cell>
          <cell r="AN743">
            <v>0.10952242641363052</v>
          </cell>
          <cell r="AO743">
            <v>0.12564235202167906</v>
          </cell>
          <cell r="AP743">
            <v>0.15534910647295397</v>
          </cell>
          <cell r="AQ743">
            <v>0.15534910647295397</v>
          </cell>
          <cell r="AR743">
            <v>0.15534910647295397</v>
          </cell>
          <cell r="AS743">
            <v>0.15534910647295397</v>
          </cell>
          <cell r="BF743">
            <v>0</v>
          </cell>
          <cell r="BG743">
            <v>316313.77</v>
          </cell>
          <cell r="BH743">
            <v>268714.48999999993</v>
          </cell>
          <cell r="BI743">
            <v>70257.21000000005</v>
          </cell>
          <cell r="BJ743">
            <v>67436.040000000008</v>
          </cell>
          <cell r="BK743">
            <v>63984.369999999937</v>
          </cell>
          <cell r="BL743">
            <v>92505.466400000005</v>
          </cell>
          <cell r="BM743">
            <v>294183.08640000003</v>
          </cell>
          <cell r="BN743">
            <v>31145.366011577542</v>
          </cell>
          <cell r="BO743">
            <v>0</v>
          </cell>
          <cell r="BP743">
            <v>0</v>
          </cell>
          <cell r="BQ743">
            <v>0</v>
          </cell>
          <cell r="BR743">
            <v>325328.45241157757</v>
          </cell>
          <cell r="BT743">
            <v>0</v>
          </cell>
          <cell r="CA743" t="str">
            <v>NATIII - CONTRACT - Base</v>
          </cell>
          <cell r="CC743" t="str">
            <v>NATIII - CONTRACT - Base - IS4</v>
          </cell>
          <cell r="CD743" t="str">
            <v/>
          </cell>
          <cell r="CF743" t="str">
            <v>NATIII - Base - IS4</v>
          </cell>
        </row>
        <row r="744">
          <cell r="D744">
            <v>730</v>
          </cell>
          <cell r="E744">
            <v>2</v>
          </cell>
          <cell r="F744">
            <v>4</v>
          </cell>
          <cell r="G744" t="str">
            <v>NATIII</v>
          </cell>
          <cell r="H744" t="str">
            <v>NATIONS (sub to Triple-I)</v>
          </cell>
          <cell r="I744" t="str">
            <v>IS4</v>
          </cell>
          <cell r="J744" t="str">
            <v>IS4 Engineering and Technology Services</v>
          </cell>
          <cell r="K744" t="str">
            <v>Homeland Security</v>
          </cell>
          <cell r="L744" t="str">
            <v>DOD</v>
          </cell>
          <cell r="M744" t="str">
            <v>US_State</v>
          </cell>
          <cell r="N744" t="str">
            <v>CONUS</v>
          </cell>
          <cell r="O744">
            <v>43922</v>
          </cell>
          <cell r="P744">
            <v>45382</v>
          </cell>
          <cell r="Q744" t="str">
            <v>Sub</v>
          </cell>
          <cell r="R744" t="str">
            <v>T&amp;M</v>
          </cell>
          <cell r="S744">
            <v>0</v>
          </cell>
          <cell r="T744">
            <v>1</v>
          </cell>
          <cell r="U744" t="str">
            <v>CONTRACT</v>
          </cell>
          <cell r="V744" t="str">
            <v>Identified - Recompete</v>
          </cell>
          <cell r="W744" t="str">
            <v>02 Capture</v>
          </cell>
          <cell r="X744" t="str">
            <v>Priority 3</v>
          </cell>
          <cell r="Y744">
            <v>0.4</v>
          </cell>
          <cell r="Z744">
            <v>13000000</v>
          </cell>
          <cell r="AA744">
            <v>0</v>
          </cell>
          <cell r="AB744">
            <v>0</v>
          </cell>
          <cell r="AC744">
            <v>0</v>
          </cell>
          <cell r="AD744">
            <v>0</v>
          </cell>
          <cell r="AP744">
            <v>0.15534910647295397</v>
          </cell>
          <cell r="AQ744">
            <v>0.15534910647295397</v>
          </cell>
          <cell r="AR744">
            <v>0.15534910647295397</v>
          </cell>
          <cell r="AS744">
            <v>0.15534910647295397</v>
          </cell>
          <cell r="BI744">
            <v>0</v>
          </cell>
          <cell r="BJ744">
            <v>0</v>
          </cell>
          <cell r="BK744">
            <v>0</v>
          </cell>
          <cell r="BL744">
            <v>0</v>
          </cell>
          <cell r="BM744">
            <v>0</v>
          </cell>
          <cell r="BN744">
            <v>100415.93632293443</v>
          </cell>
          <cell r="BO744">
            <v>201953.83841484017</v>
          </cell>
          <cell r="BP744">
            <v>201953.83841484017</v>
          </cell>
          <cell r="BQ744">
            <v>201953.83841484017</v>
          </cell>
          <cell r="BR744">
            <v>706277.45156745496</v>
          </cell>
          <cell r="BT744">
            <v>0</v>
          </cell>
          <cell r="CA744" t="str">
            <v>NATIII - CONTRACT - Identified - Recompete</v>
          </cell>
          <cell r="CC744" t="str">
            <v>NATIII - CONTRACT - Identified - Recompete - IS4</v>
          </cell>
          <cell r="CD744" t="str">
            <v/>
          </cell>
          <cell r="CF744" t="str">
            <v>NATIII - Identified - Recompete - IS4</v>
          </cell>
        </row>
        <row r="745">
          <cell r="D745">
            <v>731</v>
          </cell>
          <cell r="E745">
            <v>0</v>
          </cell>
          <cell r="F745">
            <v>5</v>
          </cell>
          <cell r="G745" t="str">
            <v>NATIII</v>
          </cell>
          <cell r="H745" t="str">
            <v>NATIONS (sub to Triple-I)</v>
          </cell>
          <cell r="I745" t="str">
            <v>IS4</v>
          </cell>
          <cell r="J745" t="str">
            <v>IS4 Engineering and Technology Services</v>
          </cell>
          <cell r="K745" t="str">
            <v>Homeland Security</v>
          </cell>
          <cell r="L745" t="str">
            <v>DOD</v>
          </cell>
          <cell r="M745" t="str">
            <v>US_State</v>
          </cell>
          <cell r="N745" t="str">
            <v>CONUS</v>
          </cell>
          <cell r="O745">
            <v>42660</v>
          </cell>
          <cell r="P745">
            <v>43921</v>
          </cell>
          <cell r="Q745" t="str">
            <v>Sub</v>
          </cell>
          <cell r="R745" t="str">
            <v>T&amp;M</v>
          </cell>
          <cell r="S745">
            <v>0</v>
          </cell>
          <cell r="T745">
            <v>1</v>
          </cell>
          <cell r="U745" t="str">
            <v>EBITA</v>
          </cell>
          <cell r="V745" t="str">
            <v>Base</v>
          </cell>
          <cell r="W745" t="str">
            <v>05 Won</v>
          </cell>
          <cell r="X745" t="str">
            <v>Active</v>
          </cell>
          <cell r="Y745">
            <v>1</v>
          </cell>
          <cell r="Z745">
            <v>0</v>
          </cell>
          <cell r="AA745">
            <v>14132.290000000095</v>
          </cell>
          <cell r="AB745">
            <v>186354</v>
          </cell>
          <cell r="AC745">
            <v>0</v>
          </cell>
          <cell r="AD745">
            <v>200486.2900000001</v>
          </cell>
          <cell r="AT745">
            <v>0</v>
          </cell>
          <cell r="AU745">
            <v>1.0737437847260519E-2</v>
          </cell>
          <cell r="AV745">
            <v>-2.4734475320961586E-2</v>
          </cell>
          <cell r="AW745">
            <v>-1.326877843625047E-2</v>
          </cell>
          <cell r="AX745">
            <v>2.1189722930665057E-2</v>
          </cell>
          <cell r="AY745">
            <v>2.2189722930665054E-2</v>
          </cell>
          <cell r="AZ745">
            <v>2.3189722930665055E-2</v>
          </cell>
          <cell r="BA745">
            <v>2.4189722930665056E-2</v>
          </cell>
          <cell r="BF745">
            <v>0</v>
          </cell>
          <cell r="BG745">
            <v>23877.070000000014</v>
          </cell>
          <cell r="BH745">
            <v>-60686.310000000063</v>
          </cell>
          <cell r="BI745">
            <v>-8813.8999999999542</v>
          </cell>
          <cell r="BJ745">
            <v>-13130.689999999999</v>
          </cell>
          <cell r="BK745">
            <v>-8267.2600000000712</v>
          </cell>
          <cell r="BL745">
            <v>-856.09906593600317</v>
          </cell>
          <cell r="BM745">
            <v>-31067.949065936027</v>
          </cell>
          <cell r="BN745">
            <v>4248.2489364969661</v>
          </cell>
          <cell r="BO745">
            <v>0</v>
          </cell>
          <cell r="BP745">
            <v>0</v>
          </cell>
          <cell r="BQ745">
            <v>0</v>
          </cell>
          <cell r="BR745">
            <v>-26819.700129439061</v>
          </cell>
          <cell r="BT745">
            <v>0</v>
          </cell>
          <cell r="CA745" t="str">
            <v>NATIII - EBITA - Base</v>
          </cell>
          <cell r="CC745" t="str">
            <v>NATIII - EBITA - Base - IS4</v>
          </cell>
          <cell r="CD745" t="str">
            <v/>
          </cell>
          <cell r="CF745" t="str">
            <v>NATIII - Base - IS4</v>
          </cell>
        </row>
        <row r="746">
          <cell r="D746">
            <v>732</v>
          </cell>
          <cell r="E746">
            <v>0</v>
          </cell>
          <cell r="F746">
            <v>0</v>
          </cell>
          <cell r="G746" t="str">
            <v>NATIII</v>
          </cell>
          <cell r="H746" t="str">
            <v>NATIONS (sub to Triple-I)</v>
          </cell>
          <cell r="I746" t="str">
            <v>IS4</v>
          </cell>
          <cell r="J746" t="str">
            <v>IS4 Engineering and Technology Services</v>
          </cell>
          <cell r="K746" t="str">
            <v>Homeland Security</v>
          </cell>
          <cell r="L746" t="str">
            <v>DOD</v>
          </cell>
          <cell r="M746" t="str">
            <v>US_State</v>
          </cell>
          <cell r="N746" t="str">
            <v>CONUS</v>
          </cell>
          <cell r="O746">
            <v>43922</v>
          </cell>
          <cell r="P746">
            <v>45382</v>
          </cell>
          <cell r="Q746" t="str">
            <v>Sub</v>
          </cell>
          <cell r="R746" t="str">
            <v>T&amp;M</v>
          </cell>
          <cell r="S746">
            <v>0</v>
          </cell>
          <cell r="T746">
            <v>1</v>
          </cell>
          <cell r="U746" t="str">
            <v>EBITA</v>
          </cell>
          <cell r="V746" t="str">
            <v>Identified - Recompete</v>
          </cell>
          <cell r="W746" t="str">
            <v>02 Capture</v>
          </cell>
          <cell r="X746" t="str">
            <v>Priority 3</v>
          </cell>
          <cell r="Y746">
            <v>0.4</v>
          </cell>
          <cell r="Z746">
            <v>13000000</v>
          </cell>
          <cell r="AA746">
            <v>0</v>
          </cell>
          <cell r="AB746">
            <v>0</v>
          </cell>
          <cell r="AC746">
            <v>0</v>
          </cell>
          <cell r="AD746">
            <v>0</v>
          </cell>
          <cell r="AX746">
            <v>2.1189722930665057E-2</v>
          </cell>
          <cell r="AY746">
            <v>2.2189722930665054E-2</v>
          </cell>
          <cell r="AZ746">
            <v>2.3189722930665055E-2</v>
          </cell>
          <cell r="BA746">
            <v>2.4189722930665056E-2</v>
          </cell>
          <cell r="BI746">
            <v>0</v>
          </cell>
          <cell r="BJ746">
            <v>0</v>
          </cell>
          <cell r="BK746">
            <v>0</v>
          </cell>
          <cell r="BL746">
            <v>0</v>
          </cell>
          <cell r="BM746">
            <v>0</v>
          </cell>
          <cell r="BN746">
            <v>13696.801461015999</v>
          </cell>
          <cell r="BO746">
            <v>28846.63980986457</v>
          </cell>
          <cell r="BP746">
            <v>30146.63980986457</v>
          </cell>
          <cell r="BQ746">
            <v>31446.639809864573</v>
          </cell>
          <cell r="BR746">
            <v>104136.72089060971</v>
          </cell>
          <cell r="BT746">
            <v>0</v>
          </cell>
          <cell r="CA746" t="str">
            <v>NATIII - EBITA - Identified - Recompete</v>
          </cell>
          <cell r="CC746" t="str">
            <v>NATIII - EBITA - Identified - Recompete - IS4</v>
          </cell>
          <cell r="CD746" t="str">
            <v/>
          </cell>
          <cell r="CF746" t="str">
            <v>NATIII - Identified - Recompete - IS4</v>
          </cell>
        </row>
        <row r="747">
          <cell r="D747">
            <v>733</v>
          </cell>
          <cell r="E747">
            <v>1</v>
          </cell>
          <cell r="F747">
            <v>1</v>
          </cell>
          <cell r="G747" t="str">
            <v>NDCQLX</v>
          </cell>
          <cell r="H747" t="str">
            <v>Navy Declass QualX</v>
          </cell>
          <cell r="I747" t="str">
            <v>IS4</v>
          </cell>
          <cell r="J747" t="str">
            <v>IS4 Engineering and Technology Services</v>
          </cell>
          <cell r="K747" t="str">
            <v>Navy</v>
          </cell>
          <cell r="L747" t="str">
            <v>DOD</v>
          </cell>
          <cell r="M747" t="str">
            <v>MD</v>
          </cell>
          <cell r="N747" t="str">
            <v>CONUS</v>
          </cell>
          <cell r="O747">
            <v>42826</v>
          </cell>
          <cell r="P747">
            <v>44612</v>
          </cell>
          <cell r="Q747" t="str">
            <v>Sub</v>
          </cell>
          <cell r="R747" t="str">
            <v>T&amp;M</v>
          </cell>
          <cell r="S747">
            <v>0</v>
          </cell>
          <cell r="T747">
            <v>1</v>
          </cell>
          <cell r="U747" t="str">
            <v>REVTOT</v>
          </cell>
          <cell r="V747" t="str">
            <v>Base</v>
          </cell>
          <cell r="W747" t="str">
            <v>05 Won</v>
          </cell>
          <cell r="X747" t="str">
            <v>Active</v>
          </cell>
          <cell r="Y747">
            <v>1</v>
          </cell>
          <cell r="Z747">
            <v>0</v>
          </cell>
          <cell r="AA747">
            <v>1212623.9200000002</v>
          </cell>
          <cell r="AB747">
            <v>3539471</v>
          </cell>
          <cell r="AC747">
            <v>0</v>
          </cell>
          <cell r="AD747">
            <v>4752094.92</v>
          </cell>
          <cell r="AE747">
            <v>0</v>
          </cell>
          <cell r="AF747">
            <v>1.4608238490886358</v>
          </cell>
          <cell r="AG747">
            <v>2.6241486361697319E-2</v>
          </cell>
          <cell r="AH747">
            <v>0.17403092734152659</v>
          </cell>
          <cell r="AI747">
            <v>0</v>
          </cell>
          <cell r="AJ747">
            <v>0</v>
          </cell>
          <cell r="AK747">
            <v>0</v>
          </cell>
          <cell r="BB747">
            <v>2249380</v>
          </cell>
          <cell r="BC747">
            <v>2249380</v>
          </cell>
          <cell r="BD747">
            <v>2249380</v>
          </cell>
          <cell r="BE747">
            <v>2249380</v>
          </cell>
          <cell r="BF747">
            <v>0</v>
          </cell>
          <cell r="BG747">
            <v>758670.5</v>
          </cell>
          <cell r="BH747">
            <v>1866954.46</v>
          </cell>
          <cell r="BI747">
            <v>437710.97000000003</v>
          </cell>
          <cell r="BJ747">
            <v>454374.60000000003</v>
          </cell>
          <cell r="BK747">
            <v>443411.54999999993</v>
          </cell>
          <cell r="BL747">
            <v>580449</v>
          </cell>
          <cell r="BM747">
            <v>1915946.12</v>
          </cell>
          <cell r="BN747">
            <v>2249380</v>
          </cell>
          <cell r="BO747">
            <v>2249380</v>
          </cell>
          <cell r="BP747">
            <v>253334.91999999993</v>
          </cell>
          <cell r="BQ747">
            <v>0</v>
          </cell>
          <cell r="BR747">
            <v>6668041.04</v>
          </cell>
          <cell r="BT747">
            <v>0</v>
          </cell>
          <cell r="CA747" t="str">
            <v>NDCQLX - REVTOT - Base</v>
          </cell>
          <cell r="CC747" t="str">
            <v>NDCQLX - REVTOT - Base - IS4</v>
          </cell>
          <cell r="CD747" t="str">
            <v/>
          </cell>
          <cell r="CF747" t="str">
            <v>NDCQLX - Base - IS4</v>
          </cell>
        </row>
        <row r="748">
          <cell r="D748">
            <v>734</v>
          </cell>
          <cell r="E748">
            <v>1</v>
          </cell>
          <cell r="F748">
            <v>2</v>
          </cell>
          <cell r="G748" t="str">
            <v>NDCQLX</v>
          </cell>
          <cell r="H748" t="str">
            <v>Navy Declass QualX</v>
          </cell>
          <cell r="I748" t="str">
            <v>IS4</v>
          </cell>
          <cell r="J748" t="str">
            <v>IS4 Engineering and Technology Services</v>
          </cell>
          <cell r="K748" t="str">
            <v>Navy</v>
          </cell>
          <cell r="L748" t="str">
            <v>DOD</v>
          </cell>
          <cell r="M748" t="str">
            <v>MD</v>
          </cell>
          <cell r="N748" t="str">
            <v>CONUS</v>
          </cell>
          <cell r="O748">
            <v>44613</v>
          </cell>
          <cell r="P748">
            <v>46439</v>
          </cell>
          <cell r="Q748" t="str">
            <v>Sub</v>
          </cell>
          <cell r="R748" t="str">
            <v>T&amp;M</v>
          </cell>
          <cell r="S748">
            <v>0</v>
          </cell>
          <cell r="T748">
            <v>1</v>
          </cell>
          <cell r="U748" t="str">
            <v>REVTOT</v>
          </cell>
          <cell r="V748" t="str">
            <v>Identified - Recompete</v>
          </cell>
          <cell r="W748" t="str">
            <v>02 Capture</v>
          </cell>
          <cell r="X748" t="str">
            <v>Priority 3</v>
          </cell>
          <cell r="Y748">
            <v>0.25</v>
          </cell>
          <cell r="Z748">
            <v>15000000</v>
          </cell>
          <cell r="AA748">
            <v>0</v>
          </cell>
          <cell r="AB748">
            <v>0</v>
          </cell>
          <cell r="AC748">
            <v>0</v>
          </cell>
          <cell r="AD748">
            <v>0</v>
          </cell>
          <cell r="AI748">
            <v>0</v>
          </cell>
          <cell r="AJ748">
            <v>0</v>
          </cell>
          <cell r="AK748">
            <v>0</v>
          </cell>
          <cell r="BB748">
            <v>3000000</v>
          </cell>
          <cell r="BC748">
            <v>3000000</v>
          </cell>
          <cell r="BD748">
            <v>3000000</v>
          </cell>
          <cell r="BE748">
            <v>3000000</v>
          </cell>
          <cell r="BI748">
            <v>0</v>
          </cell>
          <cell r="BJ748">
            <v>0</v>
          </cell>
          <cell r="BK748">
            <v>0</v>
          </cell>
          <cell r="BL748">
            <v>0</v>
          </cell>
          <cell r="BM748">
            <v>0</v>
          </cell>
          <cell r="BN748">
            <v>0</v>
          </cell>
          <cell r="BO748">
            <v>0</v>
          </cell>
          <cell r="BP748">
            <v>456249.99999999994</v>
          </cell>
          <cell r="BQ748">
            <v>750000</v>
          </cell>
          <cell r="BR748">
            <v>1206250</v>
          </cell>
          <cell r="BT748">
            <v>0</v>
          </cell>
          <cell r="CA748" t="str">
            <v>NDCQLX - REVTOT - Identified - Recompete</v>
          </cell>
          <cell r="CC748" t="str">
            <v>NDCQLX - REVTOT - Identified - Recompete - IS4</v>
          </cell>
          <cell r="CD748" t="str">
            <v/>
          </cell>
          <cell r="CF748" t="str">
            <v>NDCQLX - Identified - Recompete - IS4</v>
          </cell>
        </row>
        <row r="749">
          <cell r="D749">
            <v>735</v>
          </cell>
          <cell r="E749">
            <v>2</v>
          </cell>
          <cell r="F749">
            <v>3</v>
          </cell>
          <cell r="G749" t="str">
            <v>NDCQLX</v>
          </cell>
          <cell r="H749" t="str">
            <v>Navy Declass QualX</v>
          </cell>
          <cell r="I749" t="str">
            <v>IS4</v>
          </cell>
          <cell r="J749" t="str">
            <v>IS4 Engineering and Technology Services</v>
          </cell>
          <cell r="K749" t="str">
            <v>Navy</v>
          </cell>
          <cell r="L749" t="str">
            <v>DOD</v>
          </cell>
          <cell r="M749" t="str">
            <v>MD</v>
          </cell>
          <cell r="N749" t="str">
            <v>CONUS</v>
          </cell>
          <cell r="O749">
            <v>42826</v>
          </cell>
          <cell r="P749">
            <v>44612</v>
          </cell>
          <cell r="Q749" t="str">
            <v>Sub</v>
          </cell>
          <cell r="R749" t="str">
            <v>T&amp;M</v>
          </cell>
          <cell r="S749">
            <v>0</v>
          </cell>
          <cell r="T749">
            <v>1</v>
          </cell>
          <cell r="U749" t="str">
            <v>CONTRACT</v>
          </cell>
          <cell r="V749" t="str">
            <v>Base</v>
          </cell>
          <cell r="W749" t="str">
            <v>05 Won</v>
          </cell>
          <cell r="X749" t="str">
            <v>Active</v>
          </cell>
          <cell r="Y749">
            <v>1</v>
          </cell>
          <cell r="Z749">
            <v>0</v>
          </cell>
          <cell r="AA749">
            <v>1212623.9200000002</v>
          </cell>
          <cell r="AB749">
            <v>3539471</v>
          </cell>
          <cell r="AC749">
            <v>0</v>
          </cell>
          <cell r="AD749">
            <v>4752094.92</v>
          </cell>
          <cell r="AL749">
            <v>0</v>
          </cell>
          <cell r="AM749">
            <v>0.20684559370635872</v>
          </cell>
          <cell r="AN749">
            <v>0.2055019488798886</v>
          </cell>
          <cell r="AO749">
            <v>0.20605607113836791</v>
          </cell>
          <cell r="AP749">
            <v>0.21920940454703075</v>
          </cell>
          <cell r="AQ749">
            <v>0.21920940454703075</v>
          </cell>
          <cell r="AR749">
            <v>0.21920940454703075</v>
          </cell>
          <cell r="AS749">
            <v>0.21920940454703075</v>
          </cell>
          <cell r="BF749">
            <v>0</v>
          </cell>
          <cell r="BG749">
            <v>156927.65000000002</v>
          </cell>
          <cell r="BH749">
            <v>383662.78</v>
          </cell>
          <cell r="BI749">
            <v>94044.410000000033</v>
          </cell>
          <cell r="BJ749">
            <v>85566.14</v>
          </cell>
          <cell r="BK749">
            <v>96467.77999999997</v>
          </cell>
          <cell r="BL749">
            <v>118714</v>
          </cell>
          <cell r="BM749">
            <v>394792.33</v>
          </cell>
          <cell r="BN749">
            <v>493085.25040000002</v>
          </cell>
          <cell r="BO749">
            <v>493085.25040000002</v>
          </cell>
          <cell r="BP749">
            <v>55533.396964169653</v>
          </cell>
          <cell r="BQ749">
            <v>0</v>
          </cell>
          <cell r="BR749">
            <v>1436496.2277641697</v>
          </cell>
          <cell r="BT749">
            <v>0</v>
          </cell>
          <cell r="CA749" t="str">
            <v>NDCQLX - CONTRACT - Base</v>
          </cell>
          <cell r="CC749" t="str">
            <v>NDCQLX - CONTRACT - Base - IS4</v>
          </cell>
          <cell r="CD749" t="str">
            <v/>
          </cell>
          <cell r="CF749" t="str">
            <v>NDCQLX - Base - IS4</v>
          </cell>
        </row>
        <row r="750">
          <cell r="D750">
            <v>736</v>
          </cell>
          <cell r="E750">
            <v>2</v>
          </cell>
          <cell r="F750">
            <v>4</v>
          </cell>
          <cell r="G750" t="str">
            <v>NDCQLX</v>
          </cell>
          <cell r="H750" t="str">
            <v>Navy Declass QualX</v>
          </cell>
          <cell r="I750" t="str">
            <v>IS4</v>
          </cell>
          <cell r="J750" t="str">
            <v>IS4 Engineering and Technology Services</v>
          </cell>
          <cell r="K750" t="str">
            <v>Navy</v>
          </cell>
          <cell r="L750" t="str">
            <v>DOD</v>
          </cell>
          <cell r="M750" t="str">
            <v>MD</v>
          </cell>
          <cell r="N750" t="str">
            <v>CONUS</v>
          </cell>
          <cell r="O750">
            <v>44613</v>
          </cell>
          <cell r="P750">
            <v>46439</v>
          </cell>
          <cell r="Q750" t="str">
            <v>Sub</v>
          </cell>
          <cell r="R750" t="str">
            <v>T&amp;M</v>
          </cell>
          <cell r="S750">
            <v>0</v>
          </cell>
          <cell r="T750">
            <v>1</v>
          </cell>
          <cell r="U750" t="str">
            <v>CONTRACT</v>
          </cell>
          <cell r="V750" t="str">
            <v>Identified - Recompete</v>
          </cell>
          <cell r="W750" t="str">
            <v>02 Capture</v>
          </cell>
          <cell r="X750" t="str">
            <v>Priority 3</v>
          </cell>
          <cell r="Y750">
            <v>0.25</v>
          </cell>
          <cell r="Z750">
            <v>15000000</v>
          </cell>
          <cell r="AA750">
            <v>0</v>
          </cell>
          <cell r="AB750">
            <v>0</v>
          </cell>
          <cell r="AC750">
            <v>0</v>
          </cell>
          <cell r="AD750">
            <v>0</v>
          </cell>
          <cell r="AP750">
            <v>0.21920940454703075</v>
          </cell>
          <cell r="AQ750">
            <v>0.21920940454703075</v>
          </cell>
          <cell r="AR750">
            <v>0.21920940454703075</v>
          </cell>
          <cell r="AS750">
            <v>0.21920940454703075</v>
          </cell>
          <cell r="BI750">
            <v>0</v>
          </cell>
          <cell r="BJ750">
            <v>0</v>
          </cell>
          <cell r="BK750">
            <v>0</v>
          </cell>
          <cell r="BL750">
            <v>0</v>
          </cell>
          <cell r="BM750">
            <v>0</v>
          </cell>
          <cell r="BN750">
            <v>0</v>
          </cell>
          <cell r="BO750">
            <v>0</v>
          </cell>
          <cell r="BP750">
            <v>100014.29082458277</v>
          </cell>
          <cell r="BQ750">
            <v>164407.05341027307</v>
          </cell>
          <cell r="BR750">
            <v>264421.34423485585</v>
          </cell>
          <cell r="BT750">
            <v>0</v>
          </cell>
          <cell r="CA750" t="str">
            <v>NDCQLX - CONTRACT - Identified - Recompete</v>
          </cell>
          <cell r="CC750" t="str">
            <v>NDCQLX - CONTRACT - Identified - Recompete - IS4</v>
          </cell>
          <cell r="CD750" t="str">
            <v/>
          </cell>
          <cell r="CF750" t="str">
            <v>NDCQLX - Identified - Recompete - IS4</v>
          </cell>
        </row>
        <row r="751">
          <cell r="D751">
            <v>737</v>
          </cell>
          <cell r="E751">
            <v>0</v>
          </cell>
          <cell r="F751">
            <v>5</v>
          </cell>
          <cell r="G751" t="str">
            <v>NDCQLX</v>
          </cell>
          <cell r="H751" t="str">
            <v>Navy Declass QualX</v>
          </cell>
          <cell r="I751" t="str">
            <v>IS4</v>
          </cell>
          <cell r="J751" t="str">
            <v>IS4 Engineering and Technology Services</v>
          </cell>
          <cell r="K751" t="str">
            <v>Navy</v>
          </cell>
          <cell r="L751" t="str">
            <v>DOD</v>
          </cell>
          <cell r="M751" t="str">
            <v>MD</v>
          </cell>
          <cell r="N751" t="str">
            <v>CONUS</v>
          </cell>
          <cell r="O751">
            <v>42826</v>
          </cell>
          <cell r="P751">
            <v>44612</v>
          </cell>
          <cell r="Q751" t="str">
            <v>Sub</v>
          </cell>
          <cell r="R751" t="str">
            <v>T&amp;M</v>
          </cell>
          <cell r="S751">
            <v>0</v>
          </cell>
          <cell r="T751">
            <v>1</v>
          </cell>
          <cell r="U751" t="str">
            <v>EBITA</v>
          </cell>
          <cell r="V751" t="str">
            <v>Base</v>
          </cell>
          <cell r="W751" t="str">
            <v>05 Won</v>
          </cell>
          <cell r="X751" t="str">
            <v>Active</v>
          </cell>
          <cell r="Y751">
            <v>1</v>
          </cell>
          <cell r="Z751">
            <v>0</v>
          </cell>
          <cell r="AA751">
            <v>1212623.9200000002</v>
          </cell>
          <cell r="AB751">
            <v>3539471</v>
          </cell>
          <cell r="AC751">
            <v>0</v>
          </cell>
          <cell r="AD751">
            <v>4752094.92</v>
          </cell>
          <cell r="AT751">
            <v>0</v>
          </cell>
          <cell r="AU751">
            <v>8.6629702881553999E-2</v>
          </cell>
          <cell r="AV751">
            <v>8.5991261940047525E-2</v>
          </cell>
          <cell r="AW751">
            <v>8.0367265233951352E-2</v>
          </cell>
          <cell r="AX751">
            <v>9.5868580249509325E-2</v>
          </cell>
          <cell r="AY751">
            <v>9.6868580249509326E-2</v>
          </cell>
          <cell r="AZ751">
            <v>9.7868580249509327E-2</v>
          </cell>
          <cell r="BA751">
            <v>9.8868580249509327E-2</v>
          </cell>
          <cell r="BF751">
            <v>0</v>
          </cell>
          <cell r="BG751">
            <v>65723.400000000009</v>
          </cell>
          <cell r="BH751">
            <v>160541.76999999999</v>
          </cell>
          <cell r="BI751">
            <v>38995.47000000003</v>
          </cell>
          <cell r="BJ751">
            <v>28399.609999999997</v>
          </cell>
          <cell r="BK751">
            <v>41183.269999999975</v>
          </cell>
          <cell r="BL751">
            <v>45401</v>
          </cell>
          <cell r="BM751">
            <v>153979.35</v>
          </cell>
          <cell r="BN751">
            <v>215644.86704164129</v>
          </cell>
          <cell r="BO751">
            <v>217894.2470416413</v>
          </cell>
          <cell r="BP751">
            <v>24793.528948023017</v>
          </cell>
          <cell r="BQ751">
            <v>0</v>
          </cell>
          <cell r="BR751">
            <v>612311.99303130561</v>
          </cell>
          <cell r="BT751">
            <v>0</v>
          </cell>
          <cell r="CA751" t="str">
            <v>NDCQLX - EBITA - Base</v>
          </cell>
          <cell r="CC751" t="str">
            <v>NDCQLX - EBITA - Base - IS4</v>
          </cell>
          <cell r="CD751" t="str">
            <v/>
          </cell>
          <cell r="CF751" t="str">
            <v>NDCQLX - Base - IS4</v>
          </cell>
        </row>
        <row r="752">
          <cell r="D752">
            <v>738</v>
          </cell>
          <cell r="E752">
            <v>0</v>
          </cell>
          <cell r="F752">
            <v>0</v>
          </cell>
          <cell r="G752" t="str">
            <v>NDCQLX</v>
          </cell>
          <cell r="H752" t="str">
            <v>Navy Declass QualX</v>
          </cell>
          <cell r="I752" t="str">
            <v>IS4</v>
          </cell>
          <cell r="J752" t="str">
            <v>IS4 Engineering and Technology Services</v>
          </cell>
          <cell r="K752" t="str">
            <v>Navy</v>
          </cell>
          <cell r="L752" t="str">
            <v>DOD</v>
          </cell>
          <cell r="M752" t="str">
            <v>MD</v>
          </cell>
          <cell r="N752" t="str">
            <v>CONUS</v>
          </cell>
          <cell r="O752">
            <v>44613</v>
          </cell>
          <cell r="P752">
            <v>46439</v>
          </cell>
          <cell r="Q752" t="str">
            <v>Sub</v>
          </cell>
          <cell r="R752" t="str">
            <v>T&amp;M</v>
          </cell>
          <cell r="S752">
            <v>0</v>
          </cell>
          <cell r="T752">
            <v>1</v>
          </cell>
          <cell r="U752" t="str">
            <v>EBITA</v>
          </cell>
          <cell r="V752" t="str">
            <v>Identified - Recompete</v>
          </cell>
          <cell r="W752" t="str">
            <v>02 Capture</v>
          </cell>
          <cell r="X752" t="str">
            <v>Priority 3</v>
          </cell>
          <cell r="Y752">
            <v>0.25</v>
          </cell>
          <cell r="Z752">
            <v>15000000</v>
          </cell>
          <cell r="AA752">
            <v>0</v>
          </cell>
          <cell r="AB752">
            <v>0</v>
          </cell>
          <cell r="AC752">
            <v>0</v>
          </cell>
          <cell r="AD752">
            <v>0</v>
          </cell>
          <cell r="AX752">
            <v>9.5868580249509325E-2</v>
          </cell>
          <cell r="AY752">
            <v>9.6868580249509326E-2</v>
          </cell>
          <cell r="AZ752">
            <v>9.7868580249509327E-2</v>
          </cell>
          <cell r="BA752">
            <v>9.8868580249509327E-2</v>
          </cell>
          <cell r="BI752">
            <v>0</v>
          </cell>
          <cell r="BJ752">
            <v>0</v>
          </cell>
          <cell r="BK752">
            <v>0</v>
          </cell>
          <cell r="BL752">
            <v>0</v>
          </cell>
          <cell r="BM752">
            <v>0</v>
          </cell>
          <cell r="BN752">
            <v>0</v>
          </cell>
          <cell r="BO752">
            <v>0</v>
          </cell>
          <cell r="BP752">
            <v>44652.539738838626</v>
          </cell>
          <cell r="BQ752">
            <v>74151.435187131996</v>
          </cell>
          <cell r="BR752">
            <v>118803.97492597063</v>
          </cell>
          <cell r="BT752">
            <v>0</v>
          </cell>
          <cell r="CA752" t="str">
            <v>NDCQLX - EBITA - Identified - Recompete</v>
          </cell>
          <cell r="CC752" t="str">
            <v>NDCQLX - EBITA - Identified - Recompete - IS4</v>
          </cell>
          <cell r="CD752" t="str">
            <v/>
          </cell>
          <cell r="CF752" t="str">
            <v>NDCQLX - Identified - Recompete - IS4</v>
          </cell>
        </row>
        <row r="753">
          <cell r="D753">
            <v>739</v>
          </cell>
          <cell r="E753">
            <v>1</v>
          </cell>
          <cell r="F753">
            <v>1</v>
          </cell>
          <cell r="G753" t="str">
            <v>INGISA</v>
          </cell>
          <cell r="H753" t="str">
            <v>INSCOM GISA-P</v>
          </cell>
          <cell r="I753" t="str">
            <v>IS4</v>
          </cell>
          <cell r="J753" t="str">
            <v>IS4 Spectrum &amp; Infrastructure Assurance</v>
          </cell>
          <cell r="K753" t="str">
            <v>Army</v>
          </cell>
          <cell r="L753" t="str">
            <v>DOD</v>
          </cell>
          <cell r="M753" t="str">
            <v>HI</v>
          </cell>
          <cell r="N753" t="str">
            <v>CONUS</v>
          </cell>
          <cell r="O753">
            <v>43252</v>
          </cell>
          <cell r="P753">
            <v>45187</v>
          </cell>
          <cell r="Q753" t="str">
            <v>Sub</v>
          </cell>
          <cell r="R753" t="str">
            <v>T&amp;M</v>
          </cell>
          <cell r="S753">
            <v>0</v>
          </cell>
          <cell r="T753">
            <v>1</v>
          </cell>
          <cell r="U753" t="str">
            <v>REVTOT</v>
          </cell>
          <cell r="V753" t="str">
            <v>Base</v>
          </cell>
          <cell r="W753" t="str">
            <v>05 Won</v>
          </cell>
          <cell r="X753" t="str">
            <v>Active</v>
          </cell>
          <cell r="Y753">
            <v>1</v>
          </cell>
          <cell r="Z753">
            <v>0</v>
          </cell>
          <cell r="AA753">
            <v>3847249.7843000004</v>
          </cell>
          <cell r="AB753">
            <v>5101263.1300000008</v>
          </cell>
          <cell r="AC753">
            <v>0</v>
          </cell>
          <cell r="AD753">
            <v>8948512.9143000022</v>
          </cell>
          <cell r="AE753">
            <v>0</v>
          </cell>
          <cell r="AF753">
            <v>0</v>
          </cell>
          <cell r="AG753">
            <v>3.7427367614089579</v>
          </cell>
          <cell r="AH753">
            <v>0.20452785481923996</v>
          </cell>
          <cell r="AI753">
            <v>0</v>
          </cell>
          <cell r="AJ753">
            <v>0</v>
          </cell>
          <cell r="AK753">
            <v>0</v>
          </cell>
          <cell r="BB753">
            <v>1911941</v>
          </cell>
          <cell r="BC753">
            <v>1911941</v>
          </cell>
          <cell r="BD753">
            <v>1911941</v>
          </cell>
          <cell r="BE753">
            <v>1911941</v>
          </cell>
          <cell r="BF753">
            <v>0</v>
          </cell>
          <cell r="BG753">
            <v>0</v>
          </cell>
          <cell r="BH753">
            <v>334679.12</v>
          </cell>
          <cell r="BI753">
            <v>336647.25</v>
          </cell>
          <cell r="BJ753">
            <v>437991.82999999996</v>
          </cell>
          <cell r="BK753">
            <v>356670.9</v>
          </cell>
          <cell r="BL753">
            <v>455984.98570000002</v>
          </cell>
          <cell r="BM753">
            <v>1587294.9657000001</v>
          </cell>
          <cell r="BN753">
            <v>1911941</v>
          </cell>
          <cell r="BO753">
            <v>1911941</v>
          </cell>
          <cell r="BP753">
            <v>1911941</v>
          </cell>
          <cell r="BQ753">
            <v>1911941</v>
          </cell>
          <cell r="BR753">
            <v>9235058.9657000005</v>
          </cell>
          <cell r="BT753">
            <v>0</v>
          </cell>
          <cell r="CA753" t="str">
            <v>INGISA - REVTOT - Base</v>
          </cell>
          <cell r="CC753" t="str">
            <v>INGISA - REVTOT - Base - IS4</v>
          </cell>
          <cell r="CD753" t="str">
            <v/>
          </cell>
          <cell r="CF753" t="str">
            <v>INGISA - Base - IS4</v>
          </cell>
        </row>
        <row r="754">
          <cell r="D754">
            <v>740</v>
          </cell>
          <cell r="E754">
            <v>1</v>
          </cell>
          <cell r="F754">
            <v>2</v>
          </cell>
          <cell r="G754" t="str">
            <v>INGISA</v>
          </cell>
          <cell r="H754" t="str">
            <v>INSCOM GISA-P</v>
          </cell>
          <cell r="I754" t="str">
            <v>IS4</v>
          </cell>
          <cell r="J754" t="str">
            <v>IS4 Spectrum &amp; Infrastructure Assurance</v>
          </cell>
          <cell r="K754" t="str">
            <v>Army</v>
          </cell>
          <cell r="L754" t="str">
            <v>DOD</v>
          </cell>
          <cell r="M754" t="str">
            <v>HI</v>
          </cell>
          <cell r="N754" t="str">
            <v>CONUS</v>
          </cell>
          <cell r="O754">
            <v>0</v>
          </cell>
          <cell r="P754">
            <v>0</v>
          </cell>
          <cell r="Q754">
            <v>0</v>
          </cell>
          <cell r="R754" t="str">
            <v>T&amp;M</v>
          </cell>
          <cell r="S754">
            <v>0</v>
          </cell>
          <cell r="T754">
            <v>1</v>
          </cell>
          <cell r="U754" t="str">
            <v>REVTOT</v>
          </cell>
          <cell r="V754" t="str">
            <v>Identified - Recompete</v>
          </cell>
          <cell r="W754">
            <v>0</v>
          </cell>
          <cell r="X754">
            <v>0</v>
          </cell>
          <cell r="Y754">
            <v>0</v>
          </cell>
          <cell r="Z754">
            <v>0</v>
          </cell>
          <cell r="AA754">
            <v>0</v>
          </cell>
          <cell r="AB754">
            <v>0</v>
          </cell>
          <cell r="AC754">
            <v>0</v>
          </cell>
          <cell r="AD754">
            <v>0</v>
          </cell>
          <cell r="AI754">
            <v>0</v>
          </cell>
          <cell r="AJ754">
            <v>0</v>
          </cell>
          <cell r="AK754">
            <v>0</v>
          </cell>
          <cell r="BB754">
            <v>0</v>
          </cell>
          <cell r="BC754">
            <v>0</v>
          </cell>
          <cell r="BD754">
            <v>0</v>
          </cell>
          <cell r="BE754">
            <v>0</v>
          </cell>
          <cell r="BI754">
            <v>0</v>
          </cell>
          <cell r="BJ754">
            <v>0</v>
          </cell>
          <cell r="BK754">
            <v>0</v>
          </cell>
          <cell r="BL754">
            <v>0</v>
          </cell>
          <cell r="BM754">
            <v>0</v>
          </cell>
          <cell r="BN754">
            <v>0</v>
          </cell>
          <cell r="BO754">
            <v>0</v>
          </cell>
          <cell r="BP754">
            <v>0</v>
          </cell>
          <cell r="BQ754">
            <v>0</v>
          </cell>
          <cell r="BR754">
            <v>0</v>
          </cell>
          <cell r="BT754">
            <v>0</v>
          </cell>
          <cell r="CA754" t="str">
            <v>INGISA - REVTOT - Identified - Recompete</v>
          </cell>
          <cell r="CC754" t="str">
            <v>INGISA - REVTOT - Identified - Recompete - IS4</v>
          </cell>
          <cell r="CD754" t="str">
            <v/>
          </cell>
          <cell r="CF754" t="str">
            <v>INGISA - Identified - Recompete - IS4</v>
          </cell>
        </row>
        <row r="755">
          <cell r="D755">
            <v>741</v>
          </cell>
          <cell r="E755">
            <v>2</v>
          </cell>
          <cell r="F755">
            <v>3</v>
          </cell>
          <cell r="G755" t="str">
            <v>INGISA</v>
          </cell>
          <cell r="H755" t="str">
            <v>INSCOM GISA-P</v>
          </cell>
          <cell r="I755" t="str">
            <v>IS4</v>
          </cell>
          <cell r="J755" t="str">
            <v>IS4 Spectrum &amp; Infrastructure Assurance</v>
          </cell>
          <cell r="K755" t="str">
            <v>Army</v>
          </cell>
          <cell r="L755" t="str">
            <v>DOD</v>
          </cell>
          <cell r="M755" t="str">
            <v>HI</v>
          </cell>
          <cell r="N755" t="str">
            <v>CONUS</v>
          </cell>
          <cell r="O755">
            <v>43252</v>
          </cell>
          <cell r="P755">
            <v>45187</v>
          </cell>
          <cell r="Q755" t="str">
            <v>Sub</v>
          </cell>
          <cell r="R755" t="str">
            <v>T&amp;M</v>
          </cell>
          <cell r="S755">
            <v>0</v>
          </cell>
          <cell r="T755">
            <v>1</v>
          </cell>
          <cell r="U755" t="str">
            <v>CONTRACT</v>
          </cell>
          <cell r="V755" t="str">
            <v>Base</v>
          </cell>
          <cell r="W755" t="str">
            <v>05 Won</v>
          </cell>
          <cell r="X755" t="str">
            <v>Active</v>
          </cell>
          <cell r="Y755">
            <v>1</v>
          </cell>
          <cell r="Z755">
            <v>0</v>
          </cell>
          <cell r="AA755">
            <v>3847249.7843000004</v>
          </cell>
          <cell r="AB755">
            <v>5101263.1300000008</v>
          </cell>
          <cell r="AC755">
            <v>0</v>
          </cell>
          <cell r="AD755">
            <v>8948512.9143000022</v>
          </cell>
          <cell r="AL755">
            <v>0</v>
          </cell>
          <cell r="AM755">
            <v>0</v>
          </cell>
          <cell r="AN755">
            <v>0.21079358043011465</v>
          </cell>
          <cell r="AO755">
            <v>0.27207695764576822</v>
          </cell>
          <cell r="AP755">
            <v>0.28108945809520269</v>
          </cell>
          <cell r="AQ755">
            <v>0.28108945809520269</v>
          </cell>
          <cell r="AR755">
            <v>0.28108945809520269</v>
          </cell>
          <cell r="AS755">
            <v>0.28108945809520269</v>
          </cell>
          <cell r="BF755">
            <v>0</v>
          </cell>
          <cell r="BG755">
            <v>0</v>
          </cell>
          <cell r="BH755">
            <v>70548.209999999992</v>
          </cell>
          <cell r="BI755">
            <v>81657.55</v>
          </cell>
          <cell r="BJ755">
            <v>103872.19000000002</v>
          </cell>
          <cell r="BK755">
            <v>121145.69</v>
          </cell>
          <cell r="BL755">
            <v>125190.9551541</v>
          </cell>
          <cell r="BM755">
            <v>431866.38515410002</v>
          </cell>
          <cell r="BN755">
            <v>537426.45959999994</v>
          </cell>
          <cell r="BO755">
            <v>537426.45959999994</v>
          </cell>
          <cell r="BP755">
            <v>537426.45959999994</v>
          </cell>
          <cell r="BQ755">
            <v>537426.45959999994</v>
          </cell>
          <cell r="BR755">
            <v>2581572.2235540999</v>
          </cell>
          <cell r="BT755">
            <v>0</v>
          </cell>
          <cell r="CA755" t="str">
            <v>INGISA - CONTRACT - Base</v>
          </cell>
          <cell r="CC755" t="str">
            <v>INGISA - CONTRACT - Base - IS4</v>
          </cell>
          <cell r="CD755" t="str">
            <v/>
          </cell>
          <cell r="CF755" t="str">
            <v>INGISA - Base - IS4</v>
          </cell>
        </row>
        <row r="756">
          <cell r="D756">
            <v>742</v>
          </cell>
          <cell r="E756">
            <v>2</v>
          </cell>
          <cell r="F756">
            <v>4</v>
          </cell>
          <cell r="G756" t="str">
            <v>INGISA</v>
          </cell>
          <cell r="H756" t="str">
            <v>INSCOM GISA-P</v>
          </cell>
          <cell r="I756" t="str">
            <v>IS4</v>
          </cell>
          <cell r="J756" t="str">
            <v>IS4 Spectrum &amp; Infrastructure Assurance</v>
          </cell>
          <cell r="K756" t="str">
            <v>Army</v>
          </cell>
          <cell r="L756" t="str">
            <v>DOD</v>
          </cell>
          <cell r="M756" t="str">
            <v>HI</v>
          </cell>
          <cell r="N756" t="str">
            <v>CONUS</v>
          </cell>
          <cell r="O756">
            <v>0</v>
          </cell>
          <cell r="P756">
            <v>0</v>
          </cell>
          <cell r="Q756">
            <v>0</v>
          </cell>
          <cell r="R756" t="str">
            <v>T&amp;M</v>
          </cell>
          <cell r="S756">
            <v>0</v>
          </cell>
          <cell r="T756">
            <v>1</v>
          </cell>
          <cell r="U756" t="str">
            <v>CONTRACT</v>
          </cell>
          <cell r="V756" t="str">
            <v>Identified - Recompete</v>
          </cell>
          <cell r="W756">
            <v>0</v>
          </cell>
          <cell r="X756">
            <v>0</v>
          </cell>
          <cell r="Y756">
            <v>0</v>
          </cell>
          <cell r="Z756">
            <v>0</v>
          </cell>
          <cell r="AA756">
            <v>0</v>
          </cell>
          <cell r="AB756">
            <v>0</v>
          </cell>
          <cell r="AC756">
            <v>0</v>
          </cell>
          <cell r="AD756">
            <v>0</v>
          </cell>
          <cell r="AP756">
            <v>0</v>
          </cell>
          <cell r="AQ756">
            <v>0</v>
          </cell>
          <cell r="AR756">
            <v>0</v>
          </cell>
          <cell r="AS756">
            <v>0</v>
          </cell>
          <cell r="BI756">
            <v>0</v>
          </cell>
          <cell r="BJ756">
            <v>0</v>
          </cell>
          <cell r="BK756">
            <v>0</v>
          </cell>
          <cell r="BL756">
            <v>0</v>
          </cell>
          <cell r="BM756">
            <v>0</v>
          </cell>
          <cell r="BN756">
            <v>0</v>
          </cell>
          <cell r="BO756">
            <v>0</v>
          </cell>
          <cell r="BP756">
            <v>0</v>
          </cell>
          <cell r="BQ756">
            <v>0</v>
          </cell>
          <cell r="BR756">
            <v>0</v>
          </cell>
          <cell r="BT756">
            <v>0</v>
          </cell>
          <cell r="CA756" t="str">
            <v>INGISA - CONTRACT - Identified - Recompete</v>
          </cell>
          <cell r="CC756" t="str">
            <v>INGISA - CONTRACT - Identified - Recompete - IS4</v>
          </cell>
          <cell r="CD756" t="str">
            <v/>
          </cell>
          <cell r="CF756" t="str">
            <v>INGISA - Identified - Recompete - IS4</v>
          </cell>
        </row>
        <row r="757">
          <cell r="D757">
            <v>743</v>
          </cell>
          <cell r="E757">
            <v>0</v>
          </cell>
          <cell r="F757">
            <v>5</v>
          </cell>
          <cell r="G757" t="str">
            <v>INGISA</v>
          </cell>
          <cell r="H757" t="str">
            <v>INSCOM GISA-P</v>
          </cell>
          <cell r="I757" t="str">
            <v>IS4</v>
          </cell>
          <cell r="J757" t="str">
            <v>IS4 Spectrum &amp; Infrastructure Assurance</v>
          </cell>
          <cell r="K757" t="str">
            <v>Army</v>
          </cell>
          <cell r="L757" t="str">
            <v>DOD</v>
          </cell>
          <cell r="M757" t="str">
            <v>HI</v>
          </cell>
          <cell r="N757" t="str">
            <v>CONUS</v>
          </cell>
          <cell r="O757">
            <v>43252</v>
          </cell>
          <cell r="P757">
            <v>45187</v>
          </cell>
          <cell r="Q757" t="str">
            <v>Sub</v>
          </cell>
          <cell r="R757" t="str">
            <v>T&amp;M</v>
          </cell>
          <cell r="S757">
            <v>0</v>
          </cell>
          <cell r="T757">
            <v>1</v>
          </cell>
          <cell r="U757" t="str">
            <v>EBITA</v>
          </cell>
          <cell r="V757" t="str">
            <v>Base</v>
          </cell>
          <cell r="W757" t="str">
            <v>05 Won</v>
          </cell>
          <cell r="X757" t="str">
            <v>Active</v>
          </cell>
          <cell r="Y757">
            <v>1</v>
          </cell>
          <cell r="Z757">
            <v>0</v>
          </cell>
          <cell r="AA757">
            <v>3847249.7843000004</v>
          </cell>
          <cell r="AB757">
            <v>5101263.1300000008</v>
          </cell>
          <cell r="AC757">
            <v>0</v>
          </cell>
          <cell r="AD757">
            <v>8948512.9143000022</v>
          </cell>
          <cell r="AT757">
            <v>0</v>
          </cell>
          <cell r="AU757">
            <v>0</v>
          </cell>
          <cell r="AV757">
            <v>8.8043944898624035E-2</v>
          </cell>
          <cell r="AW757">
            <v>0.16289542390381942</v>
          </cell>
          <cell r="AX757">
            <v>0.1800931611919489</v>
          </cell>
          <cell r="AY757">
            <v>0.1810931611919489</v>
          </cell>
          <cell r="AZ757">
            <v>0.1820931611919489</v>
          </cell>
          <cell r="BA757">
            <v>0.18309316119194891</v>
          </cell>
          <cell r="BF757">
            <v>0</v>
          </cell>
          <cell r="BG757">
            <v>0</v>
          </cell>
          <cell r="BH757">
            <v>29466.469999999979</v>
          </cell>
          <cell r="BI757">
            <v>41661.96</v>
          </cell>
          <cell r="BJ757">
            <v>55021.770000000019</v>
          </cell>
          <cell r="BK757">
            <v>84043.37000000001</v>
          </cell>
          <cell r="BL757">
            <v>77835.98629809999</v>
          </cell>
          <cell r="BM757">
            <v>258563.08629810001</v>
          </cell>
          <cell r="BN757">
            <v>344327.498702496</v>
          </cell>
          <cell r="BO757">
            <v>346239.43970249599</v>
          </cell>
          <cell r="BP757">
            <v>348151.38070249598</v>
          </cell>
          <cell r="BQ757">
            <v>350063.32170249597</v>
          </cell>
          <cell r="BR757">
            <v>1647344.7271080839</v>
          </cell>
          <cell r="BT757">
            <v>0</v>
          </cell>
          <cell r="CA757" t="str">
            <v>INGISA - EBITA - Base</v>
          </cell>
          <cell r="CC757" t="str">
            <v>INGISA - EBITA - Base - IS4</v>
          </cell>
          <cell r="CD757" t="str">
            <v/>
          </cell>
          <cell r="CF757" t="str">
            <v>INGISA - Base - IS4</v>
          </cell>
        </row>
        <row r="758">
          <cell r="D758">
            <v>744</v>
          </cell>
          <cell r="E758">
            <v>0</v>
          </cell>
          <cell r="F758">
            <v>0</v>
          </cell>
          <cell r="G758" t="str">
            <v>INGISA</v>
          </cell>
          <cell r="H758" t="str">
            <v>INSCOM GISA-P</v>
          </cell>
          <cell r="I758" t="str">
            <v>IS4</v>
          </cell>
          <cell r="J758" t="str">
            <v>IS4 Spectrum &amp; Infrastructure Assurance</v>
          </cell>
          <cell r="K758" t="str">
            <v>Army</v>
          </cell>
          <cell r="L758" t="str">
            <v>DOD</v>
          </cell>
          <cell r="M758" t="str">
            <v>HI</v>
          </cell>
          <cell r="N758" t="str">
            <v>CONUS</v>
          </cell>
          <cell r="O758">
            <v>0</v>
          </cell>
          <cell r="P758">
            <v>0</v>
          </cell>
          <cell r="Q758">
            <v>0</v>
          </cell>
          <cell r="R758" t="str">
            <v>T&amp;M</v>
          </cell>
          <cell r="S758">
            <v>0</v>
          </cell>
          <cell r="T758">
            <v>1</v>
          </cell>
          <cell r="U758" t="str">
            <v>EBITA</v>
          </cell>
          <cell r="V758" t="str">
            <v>Identified - Recompete</v>
          </cell>
          <cell r="W758">
            <v>0</v>
          </cell>
          <cell r="X758">
            <v>0</v>
          </cell>
          <cell r="Y758">
            <v>0</v>
          </cell>
          <cell r="Z758">
            <v>0</v>
          </cell>
          <cell r="AA758">
            <v>0</v>
          </cell>
          <cell r="AB758">
            <v>0</v>
          </cell>
          <cell r="AC758">
            <v>0</v>
          </cell>
          <cell r="AD758">
            <v>0</v>
          </cell>
          <cell r="AX758">
            <v>0</v>
          </cell>
          <cell r="AY758">
            <v>0</v>
          </cell>
          <cell r="AZ758">
            <v>0</v>
          </cell>
          <cell r="BA758">
            <v>0</v>
          </cell>
          <cell r="BI758">
            <v>0</v>
          </cell>
          <cell r="BJ758">
            <v>0</v>
          </cell>
          <cell r="BK758">
            <v>0</v>
          </cell>
          <cell r="BL758">
            <v>0</v>
          </cell>
          <cell r="BM758">
            <v>0</v>
          </cell>
          <cell r="BN758">
            <v>0</v>
          </cell>
          <cell r="BO758">
            <v>0</v>
          </cell>
          <cell r="BP758">
            <v>0</v>
          </cell>
          <cell r="BQ758">
            <v>0</v>
          </cell>
          <cell r="BR758">
            <v>0</v>
          </cell>
          <cell r="BT758">
            <v>0</v>
          </cell>
          <cell r="CA758" t="str">
            <v>INGISA - EBITA - Identified - Recompete</v>
          </cell>
          <cell r="CC758" t="str">
            <v>INGISA - EBITA - Identified - Recompete - IS4</v>
          </cell>
          <cell r="CD758" t="str">
            <v/>
          </cell>
          <cell r="CF758" t="str">
            <v>INGISA - Identified - Recompete - IS4</v>
          </cell>
        </row>
        <row r="759">
          <cell r="D759">
            <v>745</v>
          </cell>
          <cell r="E759">
            <v>1</v>
          </cell>
          <cell r="F759">
            <v>1</v>
          </cell>
          <cell r="G759" t="str">
            <v>334101</v>
          </cell>
          <cell r="H759" t="str">
            <v>FEMA NFIP Extension</v>
          </cell>
          <cell r="I759" t="str">
            <v>IS4</v>
          </cell>
          <cell r="J759" t="str">
            <v>IS4 Sustainment Engineering and Acquisition</v>
          </cell>
          <cell r="K759" t="str">
            <v>Other Civilian</v>
          </cell>
          <cell r="L759" t="str">
            <v>Other</v>
          </cell>
          <cell r="M759" t="str">
            <v>US_State</v>
          </cell>
          <cell r="N759" t="str">
            <v>CONUS</v>
          </cell>
          <cell r="O759">
            <v>42957</v>
          </cell>
          <cell r="P759">
            <v>43982</v>
          </cell>
          <cell r="Q759" t="str">
            <v>Sub</v>
          </cell>
          <cell r="R759" t="str">
            <v>T&amp;M</v>
          </cell>
          <cell r="S759">
            <v>0</v>
          </cell>
          <cell r="T759">
            <v>1</v>
          </cell>
          <cell r="U759" t="str">
            <v>REVTOT</v>
          </cell>
          <cell r="V759" t="str">
            <v>Base</v>
          </cell>
          <cell r="W759" t="str">
            <v>05 Won</v>
          </cell>
          <cell r="X759" t="str">
            <v>Active</v>
          </cell>
          <cell r="Y759">
            <v>1</v>
          </cell>
          <cell r="Z759">
            <v>0</v>
          </cell>
          <cell r="AA759">
            <v>1435103.9400000004</v>
          </cell>
          <cell r="AB759">
            <v>0</v>
          </cell>
          <cell r="AC759">
            <v>0</v>
          </cell>
          <cell r="AD759">
            <v>1435103.9400000004</v>
          </cell>
          <cell r="AE759">
            <v>0</v>
          </cell>
          <cell r="AF759">
            <v>6.1255233433709844</v>
          </cell>
          <cell r="AG759">
            <v>1.3645121967694962E-2</v>
          </cell>
          <cell r="AH759">
            <v>-0.11693507373254963</v>
          </cell>
          <cell r="AI759">
            <v>0</v>
          </cell>
          <cell r="AJ759">
            <v>0</v>
          </cell>
          <cell r="AK759">
            <v>0</v>
          </cell>
          <cell r="BB759">
            <v>1593390.4650723496</v>
          </cell>
          <cell r="BC759">
            <v>1593390.4650723496</v>
          </cell>
          <cell r="BD759">
            <v>1593390.4650723496</v>
          </cell>
          <cell r="BE759">
            <v>1593390.4650723496</v>
          </cell>
          <cell r="BF759">
            <v>0</v>
          </cell>
          <cell r="BG759">
            <v>225002.85</v>
          </cell>
          <cell r="BH759">
            <v>1603263.06</v>
          </cell>
          <cell r="BI759">
            <v>398661.49</v>
          </cell>
          <cell r="BJ759">
            <v>408448.44999999995</v>
          </cell>
          <cell r="BK759">
            <v>405993.49</v>
          </cell>
          <cell r="BL759">
            <v>412036.35</v>
          </cell>
          <cell r="BM759">
            <v>1625139.7799999998</v>
          </cell>
          <cell r="BN759">
            <v>1435103.9400000004</v>
          </cell>
          <cell r="BO759">
            <v>0</v>
          </cell>
          <cell r="BP759">
            <v>0</v>
          </cell>
          <cell r="BQ759">
            <v>0</v>
          </cell>
          <cell r="BR759">
            <v>3060243.72</v>
          </cell>
          <cell r="BT759">
            <v>0</v>
          </cell>
          <cell r="CA759" t="str">
            <v>334101 - REVTOT - Base</v>
          </cell>
          <cell r="CC759" t="str">
            <v>334101 - REVTOT - Base - IS4</v>
          </cell>
          <cell r="CD759" t="str">
            <v/>
          </cell>
          <cell r="CF759" t="str">
            <v>334101 - Base - IS4</v>
          </cell>
        </row>
        <row r="760">
          <cell r="D760">
            <v>746</v>
          </cell>
          <cell r="E760">
            <v>1</v>
          </cell>
          <cell r="F760">
            <v>2</v>
          </cell>
          <cell r="G760" t="str">
            <v>334101</v>
          </cell>
          <cell r="H760" t="str">
            <v>FEMA NFIP Extension</v>
          </cell>
          <cell r="I760" t="str">
            <v>IS4</v>
          </cell>
          <cell r="J760" t="str">
            <v>IS4 Sustainment Engineering and Acquisition</v>
          </cell>
          <cell r="K760" t="str">
            <v>Other Civilian</v>
          </cell>
          <cell r="L760" t="str">
            <v>Other</v>
          </cell>
          <cell r="M760" t="str">
            <v>US_State</v>
          </cell>
          <cell r="N760" t="str">
            <v>CONUS</v>
          </cell>
          <cell r="O760">
            <v>0</v>
          </cell>
          <cell r="P760">
            <v>0</v>
          </cell>
          <cell r="Q760">
            <v>0</v>
          </cell>
          <cell r="R760" t="str">
            <v>T&amp;M</v>
          </cell>
          <cell r="S760">
            <v>0</v>
          </cell>
          <cell r="T760">
            <v>1</v>
          </cell>
          <cell r="U760" t="str">
            <v>REVTOT</v>
          </cell>
          <cell r="V760" t="str">
            <v>Identified - Recompete</v>
          </cell>
          <cell r="W760">
            <v>0</v>
          </cell>
          <cell r="X760">
            <v>0</v>
          </cell>
          <cell r="Y760">
            <v>0</v>
          </cell>
          <cell r="Z760">
            <v>0</v>
          </cell>
          <cell r="AA760">
            <v>0</v>
          </cell>
          <cell r="AB760">
            <v>0</v>
          </cell>
          <cell r="AC760">
            <v>0</v>
          </cell>
          <cell r="AD760">
            <v>0</v>
          </cell>
          <cell r="AI760">
            <v>0</v>
          </cell>
          <cell r="AJ760">
            <v>0</v>
          </cell>
          <cell r="AK760">
            <v>0</v>
          </cell>
          <cell r="BB760">
            <v>0</v>
          </cell>
          <cell r="BC760">
            <v>0</v>
          </cell>
          <cell r="BD760">
            <v>0</v>
          </cell>
          <cell r="BE760">
            <v>0</v>
          </cell>
          <cell r="BI760">
            <v>0</v>
          </cell>
          <cell r="BJ760">
            <v>0</v>
          </cell>
          <cell r="BK760">
            <v>0</v>
          </cell>
          <cell r="BL760">
            <v>0</v>
          </cell>
          <cell r="BM760">
            <v>0</v>
          </cell>
          <cell r="BN760">
            <v>0</v>
          </cell>
          <cell r="BO760">
            <v>0</v>
          </cell>
          <cell r="BP760">
            <v>0</v>
          </cell>
          <cell r="BQ760">
            <v>0</v>
          </cell>
          <cell r="BR760">
            <v>0</v>
          </cell>
          <cell r="BT760">
            <v>0</v>
          </cell>
          <cell r="CA760" t="str">
            <v>334101 - REVTOT - Identified - Recompete</v>
          </cell>
          <cell r="CC760" t="str">
            <v>334101 - REVTOT - Identified - Recompete - IS4</v>
          </cell>
          <cell r="CD760" t="str">
            <v/>
          </cell>
          <cell r="CF760" t="str">
            <v>334101 - Identified - Recompete - IS4</v>
          </cell>
        </row>
        <row r="761">
          <cell r="D761">
            <v>747</v>
          </cell>
          <cell r="E761">
            <v>2</v>
          </cell>
          <cell r="F761">
            <v>3</v>
          </cell>
          <cell r="G761" t="str">
            <v>334101</v>
          </cell>
          <cell r="H761" t="str">
            <v>FEMA NFIP Extension</v>
          </cell>
          <cell r="I761" t="str">
            <v>IS4</v>
          </cell>
          <cell r="J761" t="str">
            <v>IS4 Sustainment Engineering and Acquisition</v>
          </cell>
          <cell r="K761" t="str">
            <v>Other Civilian</v>
          </cell>
          <cell r="L761" t="str">
            <v>Other</v>
          </cell>
          <cell r="M761" t="str">
            <v>US_State</v>
          </cell>
          <cell r="N761" t="str">
            <v>CONUS</v>
          </cell>
          <cell r="O761">
            <v>42957</v>
          </cell>
          <cell r="P761">
            <v>43982</v>
          </cell>
          <cell r="Q761" t="str">
            <v>Sub</v>
          </cell>
          <cell r="R761" t="str">
            <v>T&amp;M</v>
          </cell>
          <cell r="S761">
            <v>0</v>
          </cell>
          <cell r="T761">
            <v>1</v>
          </cell>
          <cell r="U761" t="str">
            <v>CONTRACT</v>
          </cell>
          <cell r="V761" t="str">
            <v>Base</v>
          </cell>
          <cell r="W761" t="str">
            <v>05 Won</v>
          </cell>
          <cell r="X761" t="str">
            <v>Active</v>
          </cell>
          <cell r="Y761">
            <v>1</v>
          </cell>
          <cell r="Z761">
            <v>0</v>
          </cell>
          <cell r="AA761">
            <v>1435103.9400000004</v>
          </cell>
          <cell r="AB761">
            <v>0</v>
          </cell>
          <cell r="AC761">
            <v>0</v>
          </cell>
          <cell r="AD761">
            <v>1435103.9400000004</v>
          </cell>
          <cell r="AL761">
            <v>0</v>
          </cell>
          <cell r="AM761">
            <v>0.23629896243536472</v>
          </cell>
          <cell r="AN761">
            <v>0.22163424011029106</v>
          </cell>
          <cell r="AO761">
            <v>0.22051725464501273</v>
          </cell>
          <cell r="AP761">
            <v>0.22736689036600938</v>
          </cell>
          <cell r="AQ761">
            <v>0.22736689036600938</v>
          </cell>
          <cell r="AR761">
            <v>0.22736689036600938</v>
          </cell>
          <cell r="AS761">
            <v>0.22736689036600938</v>
          </cell>
          <cell r="BF761">
            <v>0</v>
          </cell>
          <cell r="BG761">
            <v>53167.94</v>
          </cell>
          <cell r="BH761">
            <v>355337.99</v>
          </cell>
          <cell r="BI761">
            <v>87520.54</v>
          </cell>
          <cell r="BJ761">
            <v>87632.129999999961</v>
          </cell>
          <cell r="BK761">
            <v>87175.96</v>
          </cell>
          <cell r="BL761">
            <v>96042.732700000008</v>
          </cell>
          <cell r="BM761">
            <v>358371.36269999994</v>
          </cell>
          <cell r="BN761">
            <v>326295.12018980819</v>
          </cell>
          <cell r="BO761">
            <v>0</v>
          </cell>
          <cell r="BP761">
            <v>0</v>
          </cell>
          <cell r="BQ761">
            <v>0</v>
          </cell>
          <cell r="BR761">
            <v>684666.48288980813</v>
          </cell>
          <cell r="BT761">
            <v>0</v>
          </cell>
          <cell r="CA761" t="str">
            <v>334101 - CONTRACT - Base</v>
          </cell>
          <cell r="CC761" t="str">
            <v>334101 - CONTRACT - Base - IS4</v>
          </cell>
          <cell r="CD761" t="str">
            <v/>
          </cell>
          <cell r="CF761" t="str">
            <v>334101 - Base - IS4</v>
          </cell>
        </row>
        <row r="762">
          <cell r="D762">
            <v>748</v>
          </cell>
          <cell r="E762">
            <v>2</v>
          </cell>
          <cell r="F762">
            <v>4</v>
          </cell>
          <cell r="G762" t="str">
            <v>334101</v>
          </cell>
          <cell r="H762" t="str">
            <v>FEMA NFIP Extension</v>
          </cell>
          <cell r="I762" t="str">
            <v>IS4</v>
          </cell>
          <cell r="J762" t="str">
            <v>IS4 Sustainment Engineering and Acquisition</v>
          </cell>
          <cell r="K762" t="str">
            <v>Other Civilian</v>
          </cell>
          <cell r="L762" t="str">
            <v>Other</v>
          </cell>
          <cell r="M762" t="str">
            <v>US_State</v>
          </cell>
          <cell r="N762" t="str">
            <v>CONUS</v>
          </cell>
          <cell r="O762">
            <v>0</v>
          </cell>
          <cell r="P762">
            <v>0</v>
          </cell>
          <cell r="Q762">
            <v>0</v>
          </cell>
          <cell r="R762" t="str">
            <v>T&amp;M</v>
          </cell>
          <cell r="S762">
            <v>0</v>
          </cell>
          <cell r="T762">
            <v>1</v>
          </cell>
          <cell r="U762" t="str">
            <v>CONTRACT</v>
          </cell>
          <cell r="V762" t="str">
            <v>Identified - Recompete</v>
          </cell>
          <cell r="W762">
            <v>0</v>
          </cell>
          <cell r="X762">
            <v>0</v>
          </cell>
          <cell r="Y762">
            <v>0</v>
          </cell>
          <cell r="Z762">
            <v>0</v>
          </cell>
          <cell r="AA762">
            <v>0</v>
          </cell>
          <cell r="AB762">
            <v>0</v>
          </cell>
          <cell r="AC762">
            <v>0</v>
          </cell>
          <cell r="AD762">
            <v>0</v>
          </cell>
          <cell r="AP762">
            <v>0</v>
          </cell>
          <cell r="AQ762">
            <v>0</v>
          </cell>
          <cell r="AR762">
            <v>0</v>
          </cell>
          <cell r="AS762">
            <v>0</v>
          </cell>
          <cell r="BI762">
            <v>0</v>
          </cell>
          <cell r="BJ762">
            <v>0</v>
          </cell>
          <cell r="BK762">
            <v>0</v>
          </cell>
          <cell r="BL762">
            <v>0</v>
          </cell>
          <cell r="BM762">
            <v>0</v>
          </cell>
          <cell r="BN762">
            <v>0</v>
          </cell>
          <cell r="BO762">
            <v>0</v>
          </cell>
          <cell r="BP762">
            <v>0</v>
          </cell>
          <cell r="BQ762">
            <v>0</v>
          </cell>
          <cell r="BR762">
            <v>0</v>
          </cell>
          <cell r="BT762">
            <v>0</v>
          </cell>
          <cell r="CA762" t="str">
            <v>334101 - CONTRACT - Identified - Recompete</v>
          </cell>
          <cell r="CC762" t="str">
            <v>334101 - CONTRACT - Identified - Recompete - IS4</v>
          </cell>
          <cell r="CD762" t="str">
            <v/>
          </cell>
          <cell r="CF762" t="str">
            <v>334101 - Identified - Recompete - IS4</v>
          </cell>
        </row>
        <row r="763">
          <cell r="D763">
            <v>749</v>
          </cell>
          <cell r="E763">
            <v>0</v>
          </cell>
          <cell r="F763">
            <v>5</v>
          </cell>
          <cell r="G763" t="str">
            <v>334101</v>
          </cell>
          <cell r="H763" t="str">
            <v>FEMA NFIP Extension</v>
          </cell>
          <cell r="I763" t="str">
            <v>IS4</v>
          </cell>
          <cell r="J763" t="str">
            <v>IS4 Sustainment Engineering and Acquisition</v>
          </cell>
          <cell r="K763" t="str">
            <v>Other Civilian</v>
          </cell>
          <cell r="L763" t="str">
            <v>Other</v>
          </cell>
          <cell r="M763" t="str">
            <v>US_State</v>
          </cell>
          <cell r="N763" t="str">
            <v>CONUS</v>
          </cell>
          <cell r="O763">
            <v>42957</v>
          </cell>
          <cell r="P763">
            <v>43982</v>
          </cell>
          <cell r="Q763" t="str">
            <v>Sub</v>
          </cell>
          <cell r="R763" t="str">
            <v>T&amp;M</v>
          </cell>
          <cell r="S763">
            <v>0</v>
          </cell>
          <cell r="T763">
            <v>1</v>
          </cell>
          <cell r="U763" t="str">
            <v>EBITA</v>
          </cell>
          <cell r="V763" t="str">
            <v>Base</v>
          </cell>
          <cell r="W763" t="str">
            <v>05 Won</v>
          </cell>
          <cell r="X763" t="str">
            <v>Active</v>
          </cell>
          <cell r="Y763">
            <v>1</v>
          </cell>
          <cell r="Z763">
            <v>0</v>
          </cell>
          <cell r="AA763">
            <v>1435103.9400000004</v>
          </cell>
          <cell r="AB763">
            <v>0</v>
          </cell>
          <cell r="AC763">
            <v>0</v>
          </cell>
          <cell r="AD763">
            <v>1435103.9400000004</v>
          </cell>
          <cell r="AT763">
            <v>0</v>
          </cell>
          <cell r="AU763">
            <v>0.11010229425982827</v>
          </cell>
          <cell r="AV763">
            <v>0.10233383659447626</v>
          </cell>
          <cell r="AW763">
            <v>9.3952180131516058E-2</v>
          </cell>
          <cell r="AX763">
            <v>8.823330799739279E-2</v>
          </cell>
          <cell r="AY763">
            <v>8.9233307997392791E-2</v>
          </cell>
          <cell r="AZ763">
            <v>9.0233307997392792E-2</v>
          </cell>
          <cell r="BA763">
            <v>9.1233307997392793E-2</v>
          </cell>
          <cell r="BF763">
            <v>0</v>
          </cell>
          <cell r="BG763">
            <v>24773.33</v>
          </cell>
          <cell r="BH763">
            <v>164068.06</v>
          </cell>
          <cell r="BI763">
            <v>38547.539999999994</v>
          </cell>
          <cell r="BJ763">
            <v>37548.799999999959</v>
          </cell>
          <cell r="BK763">
            <v>37537.660000000003</v>
          </cell>
          <cell r="BL763">
            <v>39051.425349452416</v>
          </cell>
          <cell r="BM763">
            <v>152685.42534945236</v>
          </cell>
          <cell r="BN763">
            <v>126623.96794629194</v>
          </cell>
          <cell r="BO763">
            <v>0</v>
          </cell>
          <cell r="BP763">
            <v>0</v>
          </cell>
          <cell r="BQ763">
            <v>0</v>
          </cell>
          <cell r="BR763">
            <v>279309.39329574432</v>
          </cell>
          <cell r="BT763">
            <v>0</v>
          </cell>
          <cell r="CA763" t="str">
            <v>334101 - EBITA - Base</v>
          </cell>
          <cell r="CC763" t="str">
            <v>334101 - EBITA - Base - IS4</v>
          </cell>
          <cell r="CD763" t="str">
            <v/>
          </cell>
          <cell r="CF763" t="str">
            <v>334101 - Base - IS4</v>
          </cell>
        </row>
        <row r="764">
          <cell r="D764">
            <v>750</v>
          </cell>
          <cell r="E764">
            <v>0</v>
          </cell>
          <cell r="F764">
            <v>0</v>
          </cell>
          <cell r="G764" t="str">
            <v>334101</v>
          </cell>
          <cell r="H764" t="str">
            <v>FEMA NFIP Extension</v>
          </cell>
          <cell r="I764" t="str">
            <v>IS4</v>
          </cell>
          <cell r="J764" t="str">
            <v>IS4 Sustainment Engineering and Acquisition</v>
          </cell>
          <cell r="K764" t="str">
            <v>Other Civilian</v>
          </cell>
          <cell r="L764" t="str">
            <v>Other</v>
          </cell>
          <cell r="M764" t="str">
            <v>US_State</v>
          </cell>
          <cell r="N764" t="str">
            <v>CONUS</v>
          </cell>
          <cell r="O764">
            <v>0</v>
          </cell>
          <cell r="P764">
            <v>0</v>
          </cell>
          <cell r="Q764">
            <v>0</v>
          </cell>
          <cell r="R764" t="str">
            <v>T&amp;M</v>
          </cell>
          <cell r="S764">
            <v>0</v>
          </cell>
          <cell r="T764">
            <v>1</v>
          </cell>
          <cell r="U764" t="str">
            <v>EBITA</v>
          </cell>
          <cell r="V764" t="str">
            <v>Identified - Recompete</v>
          </cell>
          <cell r="W764">
            <v>0</v>
          </cell>
          <cell r="X764">
            <v>0</v>
          </cell>
          <cell r="Y764">
            <v>0</v>
          </cell>
          <cell r="Z764">
            <v>0</v>
          </cell>
          <cell r="AA764">
            <v>0</v>
          </cell>
          <cell r="AB764">
            <v>0</v>
          </cell>
          <cell r="AC764">
            <v>0</v>
          </cell>
          <cell r="AD764">
            <v>0</v>
          </cell>
          <cell r="AX764">
            <v>0</v>
          </cell>
          <cell r="AY764">
            <v>0</v>
          </cell>
          <cell r="AZ764">
            <v>0</v>
          </cell>
          <cell r="BA764">
            <v>0</v>
          </cell>
          <cell r="BI764">
            <v>0</v>
          </cell>
          <cell r="BJ764">
            <v>0</v>
          </cell>
          <cell r="BK764">
            <v>0</v>
          </cell>
          <cell r="BL764">
            <v>0</v>
          </cell>
          <cell r="BM764">
            <v>0</v>
          </cell>
          <cell r="BN764">
            <v>0</v>
          </cell>
          <cell r="BO764">
            <v>0</v>
          </cell>
          <cell r="BP764">
            <v>0</v>
          </cell>
          <cell r="BQ764">
            <v>0</v>
          </cell>
          <cell r="BR764">
            <v>0</v>
          </cell>
          <cell r="BT764">
            <v>0</v>
          </cell>
          <cell r="CA764" t="str">
            <v>334101 - EBITA - Identified - Recompete</v>
          </cell>
          <cell r="CC764" t="str">
            <v>334101 - EBITA - Identified - Recompete - IS4</v>
          </cell>
          <cell r="CD764" t="str">
            <v/>
          </cell>
          <cell r="CF764" t="str">
            <v>334101 - Identified - Recompete - IS4</v>
          </cell>
        </row>
        <row r="765">
          <cell r="D765">
            <v>751</v>
          </cell>
          <cell r="E765">
            <v>1</v>
          </cell>
          <cell r="F765">
            <v>1</v>
          </cell>
          <cell r="G765" t="str">
            <v>BONFRE</v>
          </cell>
          <cell r="H765" t="str">
            <v>BONFIRE</v>
          </cell>
          <cell r="I765" t="str">
            <v>IS4</v>
          </cell>
          <cell r="J765" t="str">
            <v>IS4 Global Mission Solutions</v>
          </cell>
          <cell r="K765" t="str">
            <v>Classified Agency</v>
          </cell>
          <cell r="L765" t="str">
            <v>Classified</v>
          </cell>
          <cell r="M765" t="str">
            <v>VA</v>
          </cell>
          <cell r="N765" t="str">
            <v>CONUS</v>
          </cell>
          <cell r="O765">
            <v>43144</v>
          </cell>
          <cell r="P765">
            <v>44500</v>
          </cell>
          <cell r="Q765" t="str">
            <v>Prime</v>
          </cell>
          <cell r="R765" t="str">
            <v>T&amp;M</v>
          </cell>
          <cell r="S765">
            <v>0</v>
          </cell>
          <cell r="T765">
            <v>1</v>
          </cell>
          <cell r="U765" t="str">
            <v>REVTOT</v>
          </cell>
          <cell r="V765" t="str">
            <v>Base</v>
          </cell>
          <cell r="W765" t="str">
            <v>05 Won</v>
          </cell>
          <cell r="X765" t="str">
            <v>Active</v>
          </cell>
          <cell r="Y765">
            <v>1</v>
          </cell>
          <cell r="Z765">
            <v>0</v>
          </cell>
          <cell r="AA765">
            <v>1609619.3899999997</v>
          </cell>
          <cell r="AB765">
            <v>0</v>
          </cell>
          <cell r="AC765">
            <v>3000000</v>
          </cell>
          <cell r="AD765">
            <v>4609619.3899999997</v>
          </cell>
          <cell r="AE765">
            <v>0</v>
          </cell>
          <cell r="AF765">
            <v>1.9163926661286572</v>
          </cell>
          <cell r="AG765">
            <v>0.26174585041160903</v>
          </cell>
          <cell r="AH765">
            <v>0.2414725168560079</v>
          </cell>
          <cell r="AI765">
            <v>0</v>
          </cell>
          <cell r="AJ765">
            <v>0</v>
          </cell>
          <cell r="AK765">
            <v>0</v>
          </cell>
          <cell r="BB765">
            <v>1815800</v>
          </cell>
          <cell r="BC765">
            <v>1815800</v>
          </cell>
          <cell r="BD765">
            <v>1815800</v>
          </cell>
          <cell r="BE765">
            <v>1815800</v>
          </cell>
          <cell r="BF765">
            <v>0</v>
          </cell>
          <cell r="BG765">
            <v>397477.93000000005</v>
          </cell>
          <cell r="BH765">
            <v>1159201.72</v>
          </cell>
          <cell r="BI765">
            <v>326772.51</v>
          </cell>
          <cell r="BJ765">
            <v>326364.45</v>
          </cell>
          <cell r="BK765">
            <v>387459</v>
          </cell>
          <cell r="BL765">
            <v>422022</v>
          </cell>
          <cell r="BM765">
            <v>1462617.96</v>
          </cell>
          <cell r="BN765">
            <v>1815800</v>
          </cell>
          <cell r="BO765">
            <v>1815800</v>
          </cell>
          <cell r="BP765">
            <v>151316.66666666666</v>
          </cell>
          <cell r="BQ765">
            <v>0</v>
          </cell>
          <cell r="BR765">
            <v>5245534.6266666669</v>
          </cell>
          <cell r="BT765">
            <v>0</v>
          </cell>
          <cell r="CA765" t="str">
            <v>BONFRE - REVTOT - Base</v>
          </cell>
          <cell r="CC765" t="str">
            <v>BONFRE - REVTOT - Base - IS4</v>
          </cell>
          <cell r="CD765" t="str">
            <v/>
          </cell>
          <cell r="CF765" t="str">
            <v>BONFRE - Base - IS4</v>
          </cell>
        </row>
        <row r="766">
          <cell r="D766">
            <v>752</v>
          </cell>
          <cell r="E766">
            <v>1</v>
          </cell>
          <cell r="F766">
            <v>2</v>
          </cell>
          <cell r="G766" t="str">
            <v>BONFRE</v>
          </cell>
          <cell r="H766" t="str">
            <v>BONFIRE</v>
          </cell>
          <cell r="I766" t="str">
            <v>IS4</v>
          </cell>
          <cell r="J766" t="str">
            <v>IS4 Global Mission Solutions</v>
          </cell>
          <cell r="K766" t="str">
            <v>Classified Agency</v>
          </cell>
          <cell r="L766" t="str">
            <v>Classified</v>
          </cell>
          <cell r="M766" t="str">
            <v>VA</v>
          </cell>
          <cell r="N766" t="str">
            <v>CONUS</v>
          </cell>
          <cell r="O766">
            <v>44501</v>
          </cell>
          <cell r="P766">
            <v>46326</v>
          </cell>
          <cell r="Q766" t="str">
            <v>Prime</v>
          </cell>
          <cell r="R766" t="str">
            <v>T&amp;M</v>
          </cell>
          <cell r="S766">
            <v>0</v>
          </cell>
          <cell r="T766">
            <v>1</v>
          </cell>
          <cell r="U766" t="str">
            <v>REVTOT</v>
          </cell>
          <cell r="V766" t="str">
            <v>Identified - Recompete</v>
          </cell>
          <cell r="W766" t="str">
            <v>00 Investigate</v>
          </cell>
          <cell r="X766" t="str">
            <v>Priority 3</v>
          </cell>
          <cell r="Y766">
            <v>0.3</v>
          </cell>
          <cell r="Z766">
            <v>9250000</v>
          </cell>
          <cell r="AA766">
            <v>0</v>
          </cell>
          <cell r="AB766">
            <v>0</v>
          </cell>
          <cell r="AC766">
            <v>0</v>
          </cell>
          <cell r="AD766">
            <v>0</v>
          </cell>
          <cell r="AI766">
            <v>0</v>
          </cell>
          <cell r="AJ766">
            <v>0</v>
          </cell>
          <cell r="AK766">
            <v>0</v>
          </cell>
          <cell r="BB766">
            <v>1815800</v>
          </cell>
          <cell r="BC766">
            <v>1815800</v>
          </cell>
          <cell r="BD766">
            <v>1815800</v>
          </cell>
          <cell r="BE766">
            <v>1815800</v>
          </cell>
          <cell r="BI766">
            <v>0</v>
          </cell>
          <cell r="BJ766">
            <v>0</v>
          </cell>
          <cell r="BK766">
            <v>0</v>
          </cell>
          <cell r="BL766">
            <v>0</v>
          </cell>
          <cell r="BM766">
            <v>0</v>
          </cell>
          <cell r="BN766">
            <v>0</v>
          </cell>
          <cell r="BO766">
            <v>0</v>
          </cell>
          <cell r="BP766">
            <v>497831.83333333331</v>
          </cell>
          <cell r="BQ766">
            <v>544740</v>
          </cell>
          <cell r="BR766">
            <v>1042571.8333333333</v>
          </cell>
          <cell r="BT766">
            <v>0</v>
          </cell>
          <cell r="CA766" t="str">
            <v>BONFRE - REVTOT - Identified - Recompete</v>
          </cell>
          <cell r="CC766" t="str">
            <v>BONFRE - REVTOT - Identified - Recompete - IS4</v>
          </cell>
          <cell r="CD766" t="str">
            <v/>
          </cell>
          <cell r="CF766" t="str">
            <v>BONFRE - Identified - Recompete - IS4</v>
          </cell>
        </row>
        <row r="767">
          <cell r="D767">
            <v>753</v>
          </cell>
          <cell r="E767">
            <v>2</v>
          </cell>
          <cell r="F767">
            <v>3</v>
          </cell>
          <cell r="G767" t="str">
            <v>BONFRE</v>
          </cell>
          <cell r="H767" t="str">
            <v>BONFIRE</v>
          </cell>
          <cell r="I767" t="str">
            <v>IS4</v>
          </cell>
          <cell r="J767" t="str">
            <v>IS4 Global Mission Solutions</v>
          </cell>
          <cell r="K767" t="str">
            <v>Classified Agency</v>
          </cell>
          <cell r="L767" t="str">
            <v>Classified</v>
          </cell>
          <cell r="M767" t="str">
            <v>VA</v>
          </cell>
          <cell r="N767" t="str">
            <v>CONUS</v>
          </cell>
          <cell r="O767">
            <v>43144</v>
          </cell>
          <cell r="P767">
            <v>44500</v>
          </cell>
          <cell r="Q767" t="str">
            <v>Prime</v>
          </cell>
          <cell r="R767" t="str">
            <v>T&amp;M</v>
          </cell>
          <cell r="S767">
            <v>0</v>
          </cell>
          <cell r="T767">
            <v>1</v>
          </cell>
          <cell r="U767" t="str">
            <v>CONTRACT</v>
          </cell>
          <cell r="V767" t="str">
            <v>Base</v>
          </cell>
          <cell r="W767" t="str">
            <v>05 Won</v>
          </cell>
          <cell r="X767" t="str">
            <v>Active</v>
          </cell>
          <cell r="Y767">
            <v>1</v>
          </cell>
          <cell r="Z767">
            <v>0</v>
          </cell>
          <cell r="AA767">
            <v>1609619.3899999997</v>
          </cell>
          <cell r="AB767">
            <v>0</v>
          </cell>
          <cell r="AC767">
            <v>3000000</v>
          </cell>
          <cell r="AD767">
            <v>4609619.3899999997</v>
          </cell>
          <cell r="AL767">
            <v>0</v>
          </cell>
          <cell r="AM767">
            <v>0.22074402973770141</v>
          </cell>
          <cell r="AN767">
            <v>0.21101509407698257</v>
          </cell>
          <cell r="AO767">
            <v>0.19870525284746265</v>
          </cell>
          <cell r="AP767">
            <v>0.19842379557219955</v>
          </cell>
          <cell r="AQ767">
            <v>0.19842379557219955</v>
          </cell>
          <cell r="AR767">
            <v>0.19842379557219955</v>
          </cell>
          <cell r="AS767">
            <v>0.19842379557219955</v>
          </cell>
          <cell r="BF767">
            <v>0</v>
          </cell>
          <cell r="BG767">
            <v>87740.88</v>
          </cell>
          <cell r="BH767">
            <v>244609.06</v>
          </cell>
          <cell r="BI767">
            <v>73147.270000000019</v>
          </cell>
          <cell r="BJ767">
            <v>44542.510000000009</v>
          </cell>
          <cell r="BK767">
            <v>89715.279999999984</v>
          </cell>
          <cell r="BL767">
            <v>83224.811561039998</v>
          </cell>
          <cell r="BM767">
            <v>290629.87156104</v>
          </cell>
          <cell r="BN767">
            <v>360297.92799999996</v>
          </cell>
          <cell r="BO767">
            <v>360297.92799999996</v>
          </cell>
          <cell r="BP767">
            <v>30024.827333333327</v>
          </cell>
          <cell r="BQ767">
            <v>0</v>
          </cell>
          <cell r="BR767">
            <v>1041250.5548943733</v>
          </cell>
          <cell r="BT767">
            <v>0</v>
          </cell>
          <cell r="CA767" t="str">
            <v>BONFRE - CONTRACT - Base</v>
          </cell>
          <cell r="CC767" t="str">
            <v>BONFRE - CONTRACT - Base - IS4</v>
          </cell>
          <cell r="CD767" t="str">
            <v/>
          </cell>
          <cell r="CF767" t="str">
            <v>BONFRE - Base - IS4</v>
          </cell>
        </row>
        <row r="768">
          <cell r="D768">
            <v>754</v>
          </cell>
          <cell r="E768">
            <v>2</v>
          </cell>
          <cell r="F768">
            <v>4</v>
          </cell>
          <cell r="G768" t="str">
            <v>BONFRE</v>
          </cell>
          <cell r="H768" t="str">
            <v>BONFIRE</v>
          </cell>
          <cell r="I768" t="str">
            <v>IS4</v>
          </cell>
          <cell r="J768" t="str">
            <v>IS4 Global Mission Solutions</v>
          </cell>
          <cell r="K768" t="str">
            <v>Classified Agency</v>
          </cell>
          <cell r="L768" t="str">
            <v>Classified</v>
          </cell>
          <cell r="M768" t="str">
            <v>VA</v>
          </cell>
          <cell r="N768" t="str">
            <v>CONUS</v>
          </cell>
          <cell r="O768">
            <v>44501</v>
          </cell>
          <cell r="P768">
            <v>46326</v>
          </cell>
          <cell r="Q768" t="str">
            <v>Prime</v>
          </cell>
          <cell r="R768" t="str">
            <v>T&amp;M</v>
          </cell>
          <cell r="S768">
            <v>0</v>
          </cell>
          <cell r="T768">
            <v>1</v>
          </cell>
          <cell r="U768" t="str">
            <v>CONTRACT</v>
          </cell>
          <cell r="V768" t="str">
            <v>Identified - Recompete</v>
          </cell>
          <cell r="W768" t="str">
            <v>00 Investigate</v>
          </cell>
          <cell r="X768" t="str">
            <v>Priority 3</v>
          </cell>
          <cell r="Y768">
            <v>0.3</v>
          </cell>
          <cell r="Z768">
            <v>9250000</v>
          </cell>
          <cell r="AA768">
            <v>0</v>
          </cell>
          <cell r="AB768">
            <v>0</v>
          </cell>
          <cell r="AC768">
            <v>0</v>
          </cell>
          <cell r="AD768">
            <v>0</v>
          </cell>
          <cell r="AP768">
            <v>0.19842379557219955</v>
          </cell>
          <cell r="AQ768">
            <v>0.19842379557219955</v>
          </cell>
          <cell r="AR768">
            <v>0.19842379557219955</v>
          </cell>
          <cell r="AS768">
            <v>0.19842379557219955</v>
          </cell>
          <cell r="BI768">
            <v>0</v>
          </cell>
          <cell r="BJ768">
            <v>0</v>
          </cell>
          <cell r="BK768">
            <v>0</v>
          </cell>
          <cell r="BL768">
            <v>0</v>
          </cell>
          <cell r="BM768">
            <v>0</v>
          </cell>
          <cell r="BN768">
            <v>0</v>
          </cell>
          <cell r="BO768">
            <v>0</v>
          </cell>
          <cell r="BP768">
            <v>98781.681926666643</v>
          </cell>
          <cell r="BQ768">
            <v>108089.37839999999</v>
          </cell>
          <cell r="BR768">
            <v>206871.06032666663</v>
          </cell>
          <cell r="BT768">
            <v>0</v>
          </cell>
          <cell r="CA768" t="str">
            <v>BONFRE - CONTRACT - Identified - Recompete</v>
          </cell>
          <cell r="CC768" t="str">
            <v>BONFRE - CONTRACT - Identified - Recompete - IS4</v>
          </cell>
          <cell r="CD768" t="str">
            <v/>
          </cell>
          <cell r="CF768" t="str">
            <v>BONFRE - Identified - Recompete - IS4</v>
          </cell>
        </row>
        <row r="769">
          <cell r="D769">
            <v>755</v>
          </cell>
          <cell r="E769">
            <v>0</v>
          </cell>
          <cell r="F769">
            <v>5</v>
          </cell>
          <cell r="G769" t="str">
            <v>BONFRE</v>
          </cell>
          <cell r="H769" t="str">
            <v>BONFIRE</v>
          </cell>
          <cell r="I769" t="str">
            <v>IS4</v>
          </cell>
          <cell r="J769" t="str">
            <v>IS4 Global Mission Solutions</v>
          </cell>
          <cell r="K769" t="str">
            <v>Classified Agency</v>
          </cell>
          <cell r="L769" t="str">
            <v>Classified</v>
          </cell>
          <cell r="M769" t="str">
            <v>VA</v>
          </cell>
          <cell r="N769" t="str">
            <v>CONUS</v>
          </cell>
          <cell r="O769">
            <v>43144</v>
          </cell>
          <cell r="P769">
            <v>44500</v>
          </cell>
          <cell r="Q769" t="str">
            <v>Prime</v>
          </cell>
          <cell r="R769" t="str">
            <v>T&amp;M</v>
          </cell>
          <cell r="S769">
            <v>0</v>
          </cell>
          <cell r="T769">
            <v>1</v>
          </cell>
          <cell r="U769" t="str">
            <v>EBITA</v>
          </cell>
          <cell r="V769" t="str">
            <v>Base</v>
          </cell>
          <cell r="W769" t="str">
            <v>05 Won</v>
          </cell>
          <cell r="X769" t="str">
            <v>Active</v>
          </cell>
          <cell r="Y769">
            <v>1</v>
          </cell>
          <cell r="Z769">
            <v>0</v>
          </cell>
          <cell r="AA769">
            <v>1609619.3899999997</v>
          </cell>
          <cell r="AB769">
            <v>0</v>
          </cell>
          <cell r="AC769">
            <v>3000000</v>
          </cell>
          <cell r="AD769">
            <v>4609619.3899999997</v>
          </cell>
          <cell r="AT769">
            <v>0</v>
          </cell>
          <cell r="AU769">
            <v>9.8581020586476317E-2</v>
          </cell>
          <cell r="AV769">
            <v>0.11668206461943485</v>
          </cell>
          <cell r="AW769">
            <v>9.157636842888367E-2</v>
          </cell>
          <cell r="AX769">
            <v>9.1915043194856896E-2</v>
          </cell>
          <cell r="AY769">
            <v>9.2915043194856897E-2</v>
          </cell>
          <cell r="AZ769">
            <v>9.3915043194856898E-2</v>
          </cell>
          <cell r="BA769">
            <v>9.4915043194856899E-2</v>
          </cell>
          <cell r="BF769">
            <v>0</v>
          </cell>
          <cell r="BG769">
            <v>39183.78</v>
          </cell>
          <cell r="BH769">
            <v>135258.05000000002</v>
          </cell>
          <cell r="BI769">
            <v>38590.150000000009</v>
          </cell>
          <cell r="BJ769">
            <v>7285.3100000000086</v>
          </cell>
          <cell r="BK769">
            <v>49698.459999999985</v>
          </cell>
          <cell r="BL769">
            <v>38367.321175662226</v>
          </cell>
          <cell r="BM769">
            <v>133941.24117566223</v>
          </cell>
          <cell r="BN769">
            <v>166899.33543322116</v>
          </cell>
          <cell r="BO769">
            <v>168715.13543322115</v>
          </cell>
          <cell r="BP769">
            <v>14210.911286101762</v>
          </cell>
          <cell r="BQ769">
            <v>0</v>
          </cell>
          <cell r="BR769">
            <v>483766.6233282063</v>
          </cell>
          <cell r="BT769">
            <v>0</v>
          </cell>
          <cell r="CA769" t="str">
            <v>BONFRE - EBITA - Base</v>
          </cell>
          <cell r="CC769" t="str">
            <v>BONFRE - EBITA - Base - IS4</v>
          </cell>
          <cell r="CD769" t="str">
            <v/>
          </cell>
          <cell r="CF769" t="str">
            <v>BONFRE - Base - IS4</v>
          </cell>
        </row>
        <row r="770">
          <cell r="D770">
            <v>756</v>
          </cell>
          <cell r="E770">
            <v>0</v>
          </cell>
          <cell r="F770">
            <v>0</v>
          </cell>
          <cell r="G770" t="str">
            <v>BONFRE</v>
          </cell>
          <cell r="H770" t="str">
            <v>BONFIRE</v>
          </cell>
          <cell r="I770" t="str">
            <v>IS4</v>
          </cell>
          <cell r="J770" t="str">
            <v>IS4 Global Mission Solutions</v>
          </cell>
          <cell r="K770" t="str">
            <v>Classified Agency</v>
          </cell>
          <cell r="L770" t="str">
            <v>Classified</v>
          </cell>
          <cell r="M770" t="str">
            <v>VA</v>
          </cell>
          <cell r="N770" t="str">
            <v>CONUS</v>
          </cell>
          <cell r="O770">
            <v>44501</v>
          </cell>
          <cell r="P770">
            <v>46326</v>
          </cell>
          <cell r="Q770" t="str">
            <v>Prime</v>
          </cell>
          <cell r="R770" t="str">
            <v>T&amp;M</v>
          </cell>
          <cell r="S770">
            <v>0</v>
          </cell>
          <cell r="T770">
            <v>1</v>
          </cell>
          <cell r="U770" t="str">
            <v>EBITA</v>
          </cell>
          <cell r="V770" t="str">
            <v>Identified - Recompete</v>
          </cell>
          <cell r="W770" t="str">
            <v>00 Investigate</v>
          </cell>
          <cell r="X770" t="str">
            <v>Priority 3</v>
          </cell>
          <cell r="Y770">
            <v>0.3</v>
          </cell>
          <cell r="Z770">
            <v>9250000</v>
          </cell>
          <cell r="AA770">
            <v>0</v>
          </cell>
          <cell r="AB770">
            <v>0</v>
          </cell>
          <cell r="AC770">
            <v>0</v>
          </cell>
          <cell r="AD770">
            <v>0</v>
          </cell>
          <cell r="AX770">
            <v>9.1915043194856896E-2</v>
          </cell>
          <cell r="AY770">
            <v>9.2915043194856897E-2</v>
          </cell>
          <cell r="AZ770">
            <v>9.3915043194856898E-2</v>
          </cell>
          <cell r="BA770">
            <v>9.4915043194856899E-2</v>
          </cell>
          <cell r="BI770">
            <v>0</v>
          </cell>
          <cell r="BJ770">
            <v>0</v>
          </cell>
          <cell r="BK770">
            <v>0</v>
          </cell>
          <cell r="BL770">
            <v>0</v>
          </cell>
          <cell r="BM770">
            <v>0</v>
          </cell>
          <cell r="BN770">
            <v>0</v>
          </cell>
          <cell r="BO770">
            <v>0</v>
          </cell>
          <cell r="BP770">
            <v>46753.8981312748</v>
          </cell>
          <cell r="BQ770">
            <v>51704.020629966348</v>
          </cell>
          <cell r="BR770">
            <v>98457.918761241148</v>
          </cell>
          <cell r="BT770">
            <v>0</v>
          </cell>
          <cell r="CA770" t="str">
            <v>BONFRE - EBITA - Identified - Recompete</v>
          </cell>
          <cell r="CC770" t="str">
            <v>BONFRE - EBITA - Identified - Recompete - IS4</v>
          </cell>
          <cell r="CD770" t="str">
            <v/>
          </cell>
          <cell r="CF770" t="str">
            <v>BONFRE - Identified - Recompete - IS4</v>
          </cell>
        </row>
        <row r="771">
          <cell r="D771">
            <v>757</v>
          </cell>
          <cell r="E771">
            <v>1</v>
          </cell>
          <cell r="F771">
            <v>1</v>
          </cell>
          <cell r="G771" t="str">
            <v>GSMO8X</v>
          </cell>
          <cell r="H771" t="str">
            <v>GSM-O Task Orders</v>
          </cell>
          <cell r="I771" t="str">
            <v>IS4</v>
          </cell>
          <cell r="J771" t="str">
            <v>IS4 Engineering and Technology Services</v>
          </cell>
          <cell r="K771" t="str">
            <v>Army</v>
          </cell>
          <cell r="L771" t="str">
            <v>DOD</v>
          </cell>
          <cell r="M771" t="str">
            <v>IL</v>
          </cell>
          <cell r="N771" t="str">
            <v>CONUS</v>
          </cell>
          <cell r="O771">
            <v>41760</v>
          </cell>
          <cell r="P771">
            <v>43848</v>
          </cell>
          <cell r="Q771" t="str">
            <v>Sub</v>
          </cell>
          <cell r="R771" t="str">
            <v>T&amp;M</v>
          </cell>
          <cell r="S771">
            <v>0</v>
          </cell>
          <cell r="T771">
            <v>1</v>
          </cell>
          <cell r="U771" t="str">
            <v>REVTOT</v>
          </cell>
          <cell r="V771" t="str">
            <v>Base</v>
          </cell>
          <cell r="W771" t="str">
            <v>05 Won</v>
          </cell>
          <cell r="X771" t="str">
            <v>Active</v>
          </cell>
          <cell r="Y771">
            <v>1</v>
          </cell>
          <cell r="Z771">
            <v>0</v>
          </cell>
          <cell r="AA771">
            <v>6584.2999999998719</v>
          </cell>
          <cell r="AB771">
            <v>0</v>
          </cell>
          <cell r="AC771">
            <v>0</v>
          </cell>
          <cell r="AD771">
            <v>6584.2999999998719</v>
          </cell>
          <cell r="AE771">
            <v>-3.0161961414220451E-2</v>
          </cell>
          <cell r="AF771">
            <v>-8.9604431863837486E-2</v>
          </cell>
          <cell r="AG771">
            <v>6.11718061129507E-2</v>
          </cell>
          <cell r="AH771">
            <v>-0.99234613425900919</v>
          </cell>
          <cell r="AI771">
            <v>0</v>
          </cell>
          <cell r="AJ771">
            <v>0</v>
          </cell>
          <cell r="AK771">
            <v>0</v>
          </cell>
          <cell r="BB771">
            <v>814202.43983333337</v>
          </cell>
          <cell r="BC771">
            <v>814202.43983333337</v>
          </cell>
          <cell r="BD771">
            <v>814202.43983333337</v>
          </cell>
          <cell r="BE771">
            <v>814202.43983333337</v>
          </cell>
          <cell r="BF771">
            <v>918150.16999999993</v>
          </cell>
          <cell r="BG771">
            <v>890456.96</v>
          </cell>
          <cell r="BH771">
            <v>810668.07000000007</v>
          </cell>
          <cell r="BI771">
            <v>172049.6</v>
          </cell>
          <cell r="BJ771">
            <v>230986.21999999997</v>
          </cell>
          <cell r="BK771">
            <v>227487.28</v>
          </cell>
          <cell r="BL771">
            <v>229735</v>
          </cell>
          <cell r="BM771">
            <v>860258.1</v>
          </cell>
          <cell r="BN771">
            <v>6584.2999999998719</v>
          </cell>
          <cell r="BO771">
            <v>0</v>
          </cell>
          <cell r="BP771">
            <v>0</v>
          </cell>
          <cell r="BQ771">
            <v>0</v>
          </cell>
          <cell r="BR771">
            <v>866842.39999999991</v>
          </cell>
          <cell r="BT771">
            <v>0</v>
          </cell>
          <cell r="CA771" t="str">
            <v>GSMO8X - REVTOT - Base</v>
          </cell>
          <cell r="CC771" t="str">
            <v>GSMO8X - REVTOT - Base - IS4</v>
          </cell>
          <cell r="CD771" t="str">
            <v/>
          </cell>
          <cell r="CF771" t="str">
            <v>GSMO8X - Base - IS4</v>
          </cell>
        </row>
        <row r="772">
          <cell r="D772">
            <v>758</v>
          </cell>
          <cell r="E772">
            <v>1</v>
          </cell>
          <cell r="F772">
            <v>2</v>
          </cell>
          <cell r="G772" t="str">
            <v>GSMO8X</v>
          </cell>
          <cell r="H772" t="str">
            <v>GSM-O Task Orders</v>
          </cell>
          <cell r="I772" t="str">
            <v>IS4</v>
          </cell>
          <cell r="J772" t="str">
            <v>IS4 Engineering and Technology Services</v>
          </cell>
          <cell r="K772" t="str">
            <v>Army</v>
          </cell>
          <cell r="L772" t="str">
            <v>DOD</v>
          </cell>
          <cell r="M772" t="str">
            <v>IL</v>
          </cell>
          <cell r="N772" t="str">
            <v>CONUS</v>
          </cell>
          <cell r="O772">
            <v>0</v>
          </cell>
          <cell r="P772">
            <v>0</v>
          </cell>
          <cell r="Q772">
            <v>0</v>
          </cell>
          <cell r="R772" t="str">
            <v>T&amp;M</v>
          </cell>
          <cell r="S772">
            <v>0</v>
          </cell>
          <cell r="T772">
            <v>1</v>
          </cell>
          <cell r="U772" t="str">
            <v>REVTOT</v>
          </cell>
          <cell r="V772" t="str">
            <v>Identified - Recompete</v>
          </cell>
          <cell r="W772">
            <v>0</v>
          </cell>
          <cell r="X772">
            <v>0</v>
          </cell>
          <cell r="Y772">
            <v>0</v>
          </cell>
          <cell r="Z772">
            <v>0</v>
          </cell>
          <cell r="AA772">
            <v>0</v>
          </cell>
          <cell r="AB772">
            <v>0</v>
          </cell>
          <cell r="AC772">
            <v>0</v>
          </cell>
          <cell r="AD772">
            <v>0</v>
          </cell>
          <cell r="AI772">
            <v>0</v>
          </cell>
          <cell r="AJ772">
            <v>0</v>
          </cell>
          <cell r="AK772">
            <v>0</v>
          </cell>
          <cell r="BB772">
            <v>0</v>
          </cell>
          <cell r="BC772">
            <v>0</v>
          </cell>
          <cell r="BD772">
            <v>0</v>
          </cell>
          <cell r="BE772">
            <v>0</v>
          </cell>
          <cell r="BI772">
            <v>0</v>
          </cell>
          <cell r="BJ772">
            <v>0</v>
          </cell>
          <cell r="BK772">
            <v>0</v>
          </cell>
          <cell r="BL772">
            <v>0</v>
          </cell>
          <cell r="BM772">
            <v>0</v>
          </cell>
          <cell r="BN772">
            <v>0</v>
          </cell>
          <cell r="BO772">
            <v>0</v>
          </cell>
          <cell r="BP772">
            <v>0</v>
          </cell>
          <cell r="BQ772">
            <v>0</v>
          </cell>
          <cell r="BR772">
            <v>0</v>
          </cell>
          <cell r="BT772">
            <v>0</v>
          </cell>
          <cell r="CA772" t="str">
            <v>GSMO8X - REVTOT - Identified - Recompete</v>
          </cell>
          <cell r="CC772" t="str">
            <v>GSMO8X - REVTOT - Identified - Recompete - IS4</v>
          </cell>
          <cell r="CD772" t="str">
            <v/>
          </cell>
          <cell r="CF772" t="str">
            <v>GSMO8X - Identified - Recompete - IS4</v>
          </cell>
        </row>
        <row r="773">
          <cell r="D773">
            <v>759</v>
          </cell>
          <cell r="E773">
            <v>2</v>
          </cell>
          <cell r="F773">
            <v>3</v>
          </cell>
          <cell r="G773" t="str">
            <v>GSMO8X</v>
          </cell>
          <cell r="H773" t="str">
            <v>GSM-O Task Orders</v>
          </cell>
          <cell r="I773" t="str">
            <v>IS4</v>
          </cell>
          <cell r="J773" t="str">
            <v>IS4 Engineering and Technology Services</v>
          </cell>
          <cell r="K773" t="str">
            <v>Army</v>
          </cell>
          <cell r="L773" t="str">
            <v>DOD</v>
          </cell>
          <cell r="M773" t="str">
            <v>IL</v>
          </cell>
          <cell r="N773" t="str">
            <v>CONUS</v>
          </cell>
          <cell r="O773">
            <v>41760</v>
          </cell>
          <cell r="P773">
            <v>43848</v>
          </cell>
          <cell r="Q773" t="str">
            <v>Sub</v>
          </cell>
          <cell r="R773" t="str">
            <v>T&amp;M</v>
          </cell>
          <cell r="S773">
            <v>0</v>
          </cell>
          <cell r="T773">
            <v>1</v>
          </cell>
          <cell r="U773" t="str">
            <v>CONTRACT</v>
          </cell>
          <cell r="V773" t="str">
            <v>Base</v>
          </cell>
          <cell r="W773" t="str">
            <v>05 Won</v>
          </cell>
          <cell r="X773" t="str">
            <v>Active</v>
          </cell>
          <cell r="Y773">
            <v>1</v>
          </cell>
          <cell r="Z773">
            <v>0</v>
          </cell>
          <cell r="AA773">
            <v>6584.2999999998719</v>
          </cell>
          <cell r="AB773">
            <v>0</v>
          </cell>
          <cell r="AC773">
            <v>0</v>
          </cell>
          <cell r="AD773">
            <v>6584.2999999998719</v>
          </cell>
          <cell r="AL773">
            <v>0.27486640883593155</v>
          </cell>
          <cell r="AM773">
            <v>0.2575075161409261</v>
          </cell>
          <cell r="AN773">
            <v>0.21820647259488088</v>
          </cell>
          <cell r="AO773">
            <v>0.26926012088697565</v>
          </cell>
          <cell r="AP773">
            <v>0.22970561465336534</v>
          </cell>
          <cell r="AQ773">
            <v>0.22970561465336534</v>
          </cell>
          <cell r="AR773">
            <v>0.22970561465336534</v>
          </cell>
          <cell r="AS773">
            <v>0.22970561465336534</v>
          </cell>
          <cell r="BF773">
            <v>252368.64000000001</v>
          </cell>
          <cell r="BG773">
            <v>229299.35999999996</v>
          </cell>
          <cell r="BH773">
            <v>176893.02</v>
          </cell>
          <cell r="BI773">
            <v>32396.629999999997</v>
          </cell>
          <cell r="BJ773">
            <v>61859.579999999994</v>
          </cell>
          <cell r="BK773">
            <v>64911.99</v>
          </cell>
          <cell r="BL773">
            <v>72465</v>
          </cell>
          <cell r="BM773">
            <v>231633.19999999998</v>
          </cell>
          <cell r="BN773">
            <v>1512.450678562124</v>
          </cell>
          <cell r="BO773">
            <v>0</v>
          </cell>
          <cell r="BP773">
            <v>0</v>
          </cell>
          <cell r="BQ773">
            <v>0</v>
          </cell>
          <cell r="BR773">
            <v>233145.65067856212</v>
          </cell>
          <cell r="BT773">
            <v>0</v>
          </cell>
          <cell r="CA773" t="str">
            <v>GSMO8X - CONTRACT - Base</v>
          </cell>
          <cell r="CC773" t="str">
            <v>GSMO8X - CONTRACT - Base - IS4</v>
          </cell>
          <cell r="CD773" t="str">
            <v/>
          </cell>
          <cell r="CF773" t="str">
            <v>GSMO8X - Base - IS4</v>
          </cell>
        </row>
        <row r="774">
          <cell r="D774">
            <v>760</v>
          </cell>
          <cell r="E774">
            <v>2</v>
          </cell>
          <cell r="F774">
            <v>4</v>
          </cell>
          <cell r="G774" t="str">
            <v>GSMO8X</v>
          </cell>
          <cell r="H774" t="str">
            <v>GSM-O Task Orders</v>
          </cell>
          <cell r="I774" t="str">
            <v>IS4</v>
          </cell>
          <cell r="J774" t="str">
            <v>IS4 Engineering and Technology Services</v>
          </cell>
          <cell r="K774" t="str">
            <v>Army</v>
          </cell>
          <cell r="L774" t="str">
            <v>DOD</v>
          </cell>
          <cell r="M774" t="str">
            <v>IL</v>
          </cell>
          <cell r="N774" t="str">
            <v>CONUS</v>
          </cell>
          <cell r="O774">
            <v>0</v>
          </cell>
          <cell r="P774">
            <v>0</v>
          </cell>
          <cell r="Q774">
            <v>0</v>
          </cell>
          <cell r="R774" t="str">
            <v>T&amp;M</v>
          </cell>
          <cell r="S774">
            <v>0</v>
          </cell>
          <cell r="T774">
            <v>1</v>
          </cell>
          <cell r="U774" t="str">
            <v>CONTRACT</v>
          </cell>
          <cell r="V774" t="str">
            <v>Identified - Recompete</v>
          </cell>
          <cell r="W774">
            <v>0</v>
          </cell>
          <cell r="X774">
            <v>0</v>
          </cell>
          <cell r="Y774">
            <v>0</v>
          </cell>
          <cell r="Z774">
            <v>0</v>
          </cell>
          <cell r="AA774">
            <v>0</v>
          </cell>
          <cell r="AB774">
            <v>0</v>
          </cell>
          <cell r="AC774">
            <v>0</v>
          </cell>
          <cell r="AD774">
            <v>0</v>
          </cell>
          <cell r="AP774">
            <v>0</v>
          </cell>
          <cell r="AQ774">
            <v>0</v>
          </cell>
          <cell r="AR774">
            <v>0</v>
          </cell>
          <cell r="AS774">
            <v>0</v>
          </cell>
          <cell r="BI774">
            <v>0</v>
          </cell>
          <cell r="BJ774">
            <v>0</v>
          </cell>
          <cell r="BK774">
            <v>0</v>
          </cell>
          <cell r="BL774">
            <v>0</v>
          </cell>
          <cell r="BM774">
            <v>0</v>
          </cell>
          <cell r="BN774">
            <v>0</v>
          </cell>
          <cell r="BO774">
            <v>0</v>
          </cell>
          <cell r="BP774">
            <v>0</v>
          </cell>
          <cell r="BQ774">
            <v>0</v>
          </cell>
          <cell r="BR774">
            <v>0</v>
          </cell>
          <cell r="BT774">
            <v>0</v>
          </cell>
          <cell r="CA774" t="str">
            <v>GSMO8X - CONTRACT - Identified - Recompete</v>
          </cell>
          <cell r="CC774" t="str">
            <v>GSMO8X - CONTRACT - Identified - Recompete - IS4</v>
          </cell>
          <cell r="CD774" t="str">
            <v/>
          </cell>
          <cell r="CF774" t="str">
            <v>GSMO8X - Identified - Recompete - IS4</v>
          </cell>
        </row>
        <row r="775">
          <cell r="D775">
            <v>761</v>
          </cell>
          <cell r="E775">
            <v>0</v>
          </cell>
          <cell r="F775">
            <v>5</v>
          </cell>
          <cell r="G775" t="str">
            <v>GSMO8X</v>
          </cell>
          <cell r="H775" t="str">
            <v>GSM-O Task Orders</v>
          </cell>
          <cell r="I775" t="str">
            <v>IS4</v>
          </cell>
          <cell r="J775" t="str">
            <v>IS4 Engineering and Technology Services</v>
          </cell>
          <cell r="K775" t="str">
            <v>Army</v>
          </cell>
          <cell r="L775" t="str">
            <v>DOD</v>
          </cell>
          <cell r="M775" t="str">
            <v>IL</v>
          </cell>
          <cell r="N775" t="str">
            <v>CONUS</v>
          </cell>
          <cell r="O775">
            <v>41760</v>
          </cell>
          <cell r="P775">
            <v>43848</v>
          </cell>
          <cell r="Q775" t="str">
            <v>Sub</v>
          </cell>
          <cell r="R775" t="str">
            <v>T&amp;M</v>
          </cell>
          <cell r="S775">
            <v>0</v>
          </cell>
          <cell r="T775">
            <v>1</v>
          </cell>
          <cell r="U775" t="str">
            <v>EBITA</v>
          </cell>
          <cell r="V775" t="str">
            <v>Base</v>
          </cell>
          <cell r="W775" t="str">
            <v>05 Won</v>
          </cell>
          <cell r="X775" t="str">
            <v>Active</v>
          </cell>
          <cell r="Y775">
            <v>1</v>
          </cell>
          <cell r="Z775">
            <v>0</v>
          </cell>
          <cell r="AA775">
            <v>6584.2999999998719</v>
          </cell>
          <cell r="AB775">
            <v>0</v>
          </cell>
          <cell r="AC775">
            <v>0</v>
          </cell>
          <cell r="AD775">
            <v>6584.2999999998719</v>
          </cell>
          <cell r="AT775">
            <v>9.6979974419652976E-2</v>
          </cell>
          <cell r="AU775">
            <v>0.14474157178804012</v>
          </cell>
          <cell r="AV775">
            <v>9.9106284030651401E-2</v>
          </cell>
          <cell r="AW775">
            <v>0.15226266396096708</v>
          </cell>
          <cell r="AX775">
            <v>0.10732612527646551</v>
          </cell>
          <cell r="AY775">
            <v>0.10832612527646551</v>
          </cell>
          <cell r="AZ775">
            <v>0.10932612527646551</v>
          </cell>
          <cell r="BA775">
            <v>0.11032612527646551</v>
          </cell>
          <cell r="BF775">
            <v>89042.180000000022</v>
          </cell>
          <cell r="BG775">
            <v>128886.13999999996</v>
          </cell>
          <cell r="BH775">
            <v>80342.3</v>
          </cell>
          <cell r="BI775">
            <v>9744.909999999998</v>
          </cell>
          <cell r="BJ775">
            <v>35393.78</v>
          </cell>
          <cell r="BK775">
            <v>38917.5</v>
          </cell>
          <cell r="BL775">
            <v>46929</v>
          </cell>
          <cell r="BM775">
            <v>130985.19</v>
          </cell>
          <cell r="BN775">
            <v>706.66740665781811</v>
          </cell>
          <cell r="BO775">
            <v>0</v>
          </cell>
          <cell r="BP775">
            <v>0</v>
          </cell>
          <cell r="BQ775">
            <v>0</v>
          </cell>
          <cell r="BR775">
            <v>131691.85740665783</v>
          </cell>
          <cell r="BT775">
            <v>0</v>
          </cell>
          <cell r="CA775" t="str">
            <v>GSMO8X - EBITA - Base</v>
          </cell>
          <cell r="CC775" t="str">
            <v>GSMO8X - EBITA - Base - IS4</v>
          </cell>
          <cell r="CD775" t="str">
            <v/>
          </cell>
          <cell r="CF775" t="str">
            <v>GSMO8X - Base - IS4</v>
          </cell>
        </row>
        <row r="776">
          <cell r="D776">
            <v>762</v>
          </cell>
          <cell r="E776">
            <v>0</v>
          </cell>
          <cell r="F776">
            <v>0</v>
          </cell>
          <cell r="G776" t="str">
            <v>GSMO8X</v>
          </cell>
          <cell r="H776" t="str">
            <v>GSM-O Task Orders</v>
          </cell>
          <cell r="I776" t="str">
            <v>IS4</v>
          </cell>
          <cell r="J776" t="str">
            <v>IS4 Engineering and Technology Services</v>
          </cell>
          <cell r="K776" t="str">
            <v>Army</v>
          </cell>
          <cell r="L776" t="str">
            <v>DOD</v>
          </cell>
          <cell r="M776" t="str">
            <v>IL</v>
          </cell>
          <cell r="N776" t="str">
            <v>CONUS</v>
          </cell>
          <cell r="O776">
            <v>0</v>
          </cell>
          <cell r="P776">
            <v>0</v>
          </cell>
          <cell r="Q776">
            <v>0</v>
          </cell>
          <cell r="R776" t="str">
            <v>T&amp;M</v>
          </cell>
          <cell r="S776">
            <v>0</v>
          </cell>
          <cell r="T776">
            <v>1</v>
          </cell>
          <cell r="U776" t="str">
            <v>EBITA</v>
          </cell>
          <cell r="V776" t="str">
            <v>Identified - Recompete</v>
          </cell>
          <cell r="W776">
            <v>0</v>
          </cell>
          <cell r="X776">
            <v>0</v>
          </cell>
          <cell r="Y776">
            <v>0</v>
          </cell>
          <cell r="Z776">
            <v>0</v>
          </cell>
          <cell r="AA776">
            <v>0</v>
          </cell>
          <cell r="AB776">
            <v>0</v>
          </cell>
          <cell r="AC776">
            <v>0</v>
          </cell>
          <cell r="AD776">
            <v>0</v>
          </cell>
          <cell r="AX776">
            <v>0</v>
          </cell>
          <cell r="AY776">
            <v>0</v>
          </cell>
          <cell r="AZ776">
            <v>0</v>
          </cell>
          <cell r="BA776">
            <v>0</v>
          </cell>
          <cell r="BI776">
            <v>0</v>
          </cell>
          <cell r="BJ776">
            <v>0</v>
          </cell>
          <cell r="BK776">
            <v>0</v>
          </cell>
          <cell r="BL776">
            <v>0</v>
          </cell>
          <cell r="BM776">
            <v>0</v>
          </cell>
          <cell r="BN776">
            <v>0</v>
          </cell>
          <cell r="BO776">
            <v>0</v>
          </cell>
          <cell r="BP776">
            <v>0</v>
          </cell>
          <cell r="BQ776">
            <v>0</v>
          </cell>
          <cell r="BR776">
            <v>0</v>
          </cell>
          <cell r="BT776">
            <v>0</v>
          </cell>
          <cell r="CA776" t="str">
            <v>GSMO8X - EBITA - Identified - Recompete</v>
          </cell>
          <cell r="CC776" t="str">
            <v>GSMO8X - EBITA - Identified - Recompete - IS4</v>
          </cell>
          <cell r="CD776" t="str">
            <v/>
          </cell>
          <cell r="CF776" t="str">
            <v>GSMO8X - Identified - Recompete - IS4</v>
          </cell>
        </row>
        <row r="777">
          <cell r="D777">
            <v>763</v>
          </cell>
          <cell r="E777">
            <v>1</v>
          </cell>
          <cell r="F777">
            <v>1</v>
          </cell>
          <cell r="G777">
            <v>309701</v>
          </cell>
          <cell r="H777" t="str">
            <v>ITA MARMC Admin</v>
          </cell>
          <cell r="I777" t="str">
            <v>IS4</v>
          </cell>
          <cell r="J777" t="str">
            <v>IS4 Sustainment Engineering and Acquisition</v>
          </cell>
          <cell r="K777" t="str">
            <v>Navy</v>
          </cell>
          <cell r="L777" t="str">
            <v>DOD</v>
          </cell>
          <cell r="M777" t="str">
            <v>VA</v>
          </cell>
          <cell r="N777" t="str">
            <v>CONUS</v>
          </cell>
          <cell r="O777">
            <v>42430</v>
          </cell>
          <cell r="P777">
            <v>43954</v>
          </cell>
          <cell r="Q777" t="str">
            <v>Sub</v>
          </cell>
          <cell r="R777" t="str">
            <v>T&amp;M</v>
          </cell>
          <cell r="S777">
            <v>0</v>
          </cell>
          <cell r="T777">
            <v>1</v>
          </cell>
          <cell r="U777" t="str">
            <v>REVTOT</v>
          </cell>
          <cell r="V777" t="str">
            <v>Base</v>
          </cell>
          <cell r="W777" t="str">
            <v>05 Won</v>
          </cell>
          <cell r="X777" t="str">
            <v>Active</v>
          </cell>
          <cell r="Y777">
            <v>1</v>
          </cell>
          <cell r="Z777">
            <v>0</v>
          </cell>
          <cell r="AA777">
            <v>996248.06</v>
          </cell>
          <cell r="AB777">
            <v>3110833.1999999997</v>
          </cell>
          <cell r="AC777">
            <v>0</v>
          </cell>
          <cell r="AD777">
            <v>4107081.26</v>
          </cell>
          <cell r="AE777">
            <v>2.0774037371980718</v>
          </cell>
          <cell r="AF777">
            <v>0.44162426446196235</v>
          </cell>
          <cell r="AG777">
            <v>2.8662829460295081E-2</v>
          </cell>
          <cell r="AH777">
            <v>-0.36025612940577922</v>
          </cell>
          <cell r="AI777">
            <v>0</v>
          </cell>
          <cell r="AJ777">
            <v>0</v>
          </cell>
          <cell r="AK777">
            <v>0</v>
          </cell>
          <cell r="BB777">
            <v>898368</v>
          </cell>
          <cell r="BC777">
            <v>898368</v>
          </cell>
          <cell r="BD777">
            <v>898368</v>
          </cell>
          <cell r="BE777">
            <v>898368</v>
          </cell>
          <cell r="BF777">
            <v>182060.46</v>
          </cell>
          <cell r="BG777">
            <v>560273.54</v>
          </cell>
          <cell r="BH777">
            <v>807703.92999999993</v>
          </cell>
          <cell r="BI777">
            <v>199399.08000000002</v>
          </cell>
          <cell r="BJ777">
            <v>208225.88999999998</v>
          </cell>
          <cell r="BK777">
            <v>203409.03999999998</v>
          </cell>
          <cell r="BL777">
            <v>219821</v>
          </cell>
          <cell r="BM777">
            <v>830855.01</v>
          </cell>
          <cell r="BN777">
            <v>531534.4</v>
          </cell>
          <cell r="BO777">
            <v>0</v>
          </cell>
          <cell r="BP777">
            <v>0</v>
          </cell>
          <cell r="BQ777">
            <v>0</v>
          </cell>
          <cell r="BR777">
            <v>1362389.4100000001</v>
          </cell>
          <cell r="BT777">
            <v>0</v>
          </cell>
          <cell r="CA777" t="str">
            <v>309701 - REVTOT - Base</v>
          </cell>
          <cell r="CC777" t="str">
            <v>309701 - REVTOT - Base - IS4</v>
          </cell>
          <cell r="CD777" t="str">
            <v/>
          </cell>
          <cell r="CF777" t="str">
            <v>309701 - Base - IS4</v>
          </cell>
        </row>
        <row r="778">
          <cell r="D778">
            <v>764</v>
          </cell>
          <cell r="E778">
            <v>1</v>
          </cell>
          <cell r="F778">
            <v>2</v>
          </cell>
          <cell r="G778" t="str">
            <v>309701</v>
          </cell>
          <cell r="H778" t="str">
            <v>ITA MARMC Admin</v>
          </cell>
          <cell r="I778" t="str">
            <v>IS4</v>
          </cell>
          <cell r="J778" t="str">
            <v>IS4 Sustainment Engineering and Acquisition</v>
          </cell>
          <cell r="K778" t="str">
            <v>Navy</v>
          </cell>
          <cell r="L778" t="str">
            <v>DOD</v>
          </cell>
          <cell r="M778" t="str">
            <v>VA</v>
          </cell>
          <cell r="N778" t="str">
            <v>CONUS</v>
          </cell>
          <cell r="O778">
            <v>43955</v>
          </cell>
          <cell r="P778">
            <v>45050</v>
          </cell>
          <cell r="Q778" t="str">
            <v>Sub</v>
          </cell>
          <cell r="R778" t="str">
            <v>T&amp;M</v>
          </cell>
          <cell r="S778">
            <v>0</v>
          </cell>
          <cell r="T778">
            <v>1</v>
          </cell>
          <cell r="U778" t="str">
            <v>REVTOT</v>
          </cell>
          <cell r="V778" t="str">
            <v>Identified - Recompete</v>
          </cell>
          <cell r="W778" t="str">
            <v>00 Investigative</v>
          </cell>
          <cell r="X778" t="str">
            <v>Priority 3</v>
          </cell>
          <cell r="Y778">
            <v>0.5</v>
          </cell>
          <cell r="Z778">
            <v>3000000</v>
          </cell>
          <cell r="AA778">
            <v>0</v>
          </cell>
          <cell r="AB778">
            <v>0</v>
          </cell>
          <cell r="AC778">
            <v>0</v>
          </cell>
          <cell r="AD778">
            <v>0</v>
          </cell>
          <cell r="AI778">
            <v>0</v>
          </cell>
          <cell r="AJ778">
            <v>0</v>
          </cell>
          <cell r="AK778">
            <v>0</v>
          </cell>
          <cell r="BB778">
            <v>898368</v>
          </cell>
          <cell r="BC778">
            <v>898368</v>
          </cell>
          <cell r="BD778">
            <v>898368</v>
          </cell>
          <cell r="BE778">
            <v>898368</v>
          </cell>
          <cell r="BI778">
            <v>0</v>
          </cell>
          <cell r="BJ778">
            <v>0</v>
          </cell>
          <cell r="BK778">
            <v>0</v>
          </cell>
          <cell r="BL778">
            <v>0</v>
          </cell>
          <cell r="BM778">
            <v>0</v>
          </cell>
          <cell r="BN778">
            <v>182169.06666666668</v>
          </cell>
          <cell r="BO778">
            <v>449184</v>
          </cell>
          <cell r="BP778">
            <v>449184</v>
          </cell>
          <cell r="BQ778">
            <v>419462.93333333335</v>
          </cell>
          <cell r="BR778">
            <v>1500000</v>
          </cell>
          <cell r="BT778">
            <v>0</v>
          </cell>
          <cell r="CA778" t="str">
            <v>309701 - REVTOT - Identified - Recompete</v>
          </cell>
          <cell r="CC778" t="str">
            <v>309701 - REVTOT - Identified - Recompete - IS4</v>
          </cell>
          <cell r="CD778" t="str">
            <v/>
          </cell>
          <cell r="CF778" t="str">
            <v>309701 - Identified - Recompete - IS4</v>
          </cell>
        </row>
        <row r="779">
          <cell r="D779">
            <v>765</v>
          </cell>
          <cell r="E779">
            <v>2</v>
          </cell>
          <cell r="F779">
            <v>3</v>
          </cell>
          <cell r="G779" t="str">
            <v>309701</v>
          </cell>
          <cell r="H779" t="str">
            <v>ITA MARMC Admin</v>
          </cell>
          <cell r="I779" t="str">
            <v>IS4</v>
          </cell>
          <cell r="J779" t="str">
            <v>IS4 Sustainment Engineering and Acquisition</v>
          </cell>
          <cell r="K779" t="str">
            <v>Navy</v>
          </cell>
          <cell r="L779" t="str">
            <v>DOD</v>
          </cell>
          <cell r="M779" t="str">
            <v>VA</v>
          </cell>
          <cell r="N779" t="str">
            <v>CONUS</v>
          </cell>
          <cell r="O779">
            <v>42430</v>
          </cell>
          <cell r="P779">
            <v>43954</v>
          </cell>
          <cell r="Q779" t="str">
            <v>Sub</v>
          </cell>
          <cell r="R779" t="str">
            <v>T&amp;M</v>
          </cell>
          <cell r="S779">
            <v>0</v>
          </cell>
          <cell r="T779">
            <v>1</v>
          </cell>
          <cell r="U779" t="str">
            <v>CONTRACT</v>
          </cell>
          <cell r="V779" t="str">
            <v>Base</v>
          </cell>
          <cell r="W779" t="str">
            <v>05 Won</v>
          </cell>
          <cell r="X779" t="str">
            <v>Active</v>
          </cell>
          <cell r="Y779">
            <v>1</v>
          </cell>
          <cell r="Z779">
            <v>0</v>
          </cell>
          <cell r="AA779">
            <v>996248.06</v>
          </cell>
          <cell r="AB779">
            <v>3110833.1999999997</v>
          </cell>
          <cell r="AC779">
            <v>0</v>
          </cell>
          <cell r="AD779">
            <v>4107081.26</v>
          </cell>
          <cell r="AL779">
            <v>0.2286100452563945</v>
          </cell>
          <cell r="AM779">
            <v>0.21721177480557086</v>
          </cell>
          <cell r="AN779">
            <v>0.22051457642406178</v>
          </cell>
          <cell r="AO779">
            <v>0.22204147267523847</v>
          </cell>
          <cell r="AP779">
            <v>0.21900986176533455</v>
          </cell>
          <cell r="AQ779">
            <v>0.21900986176533455</v>
          </cell>
          <cell r="AR779">
            <v>0.21900986176533455</v>
          </cell>
          <cell r="AS779">
            <v>0.21900986176533455</v>
          </cell>
          <cell r="BF779">
            <v>41620.85</v>
          </cell>
          <cell r="BG779">
            <v>121698.01000000001</v>
          </cell>
          <cell r="BH779">
            <v>178110.49000000002</v>
          </cell>
          <cell r="BI779">
            <v>45792.55000000001</v>
          </cell>
          <cell r="BJ779">
            <v>44762.409999999989</v>
          </cell>
          <cell r="BK779">
            <v>44107.310000000005</v>
          </cell>
          <cell r="BL779">
            <v>49822</v>
          </cell>
          <cell r="BM779">
            <v>184484.27</v>
          </cell>
          <cell r="BN779">
            <v>116411.27546752004</v>
          </cell>
          <cell r="BO779">
            <v>0</v>
          </cell>
          <cell r="BP779">
            <v>0</v>
          </cell>
          <cell r="BQ779">
            <v>0</v>
          </cell>
          <cell r="BR779">
            <v>300895.54546752002</v>
          </cell>
          <cell r="BT779">
            <v>0</v>
          </cell>
          <cell r="CA779" t="str">
            <v>309701 - CONTRACT - Base</v>
          </cell>
          <cell r="CC779" t="str">
            <v>309701 - CONTRACT - Base - IS4</v>
          </cell>
          <cell r="CD779" t="str">
            <v/>
          </cell>
          <cell r="CF779" t="str">
            <v>309701 - Base - IS4</v>
          </cell>
        </row>
        <row r="780">
          <cell r="D780">
            <v>766</v>
          </cell>
          <cell r="E780">
            <v>2</v>
          </cell>
          <cell r="F780">
            <v>4</v>
          </cell>
          <cell r="G780" t="str">
            <v>309701</v>
          </cell>
          <cell r="H780" t="str">
            <v>ITA MARMC Admin</v>
          </cell>
          <cell r="I780" t="str">
            <v>IS4</v>
          </cell>
          <cell r="J780" t="str">
            <v>IS4 Sustainment Engineering and Acquisition</v>
          </cell>
          <cell r="K780" t="str">
            <v>Navy</v>
          </cell>
          <cell r="L780" t="str">
            <v>DOD</v>
          </cell>
          <cell r="M780" t="str">
            <v>VA</v>
          </cell>
          <cell r="N780" t="str">
            <v>CONUS</v>
          </cell>
          <cell r="O780">
            <v>43955</v>
          </cell>
          <cell r="P780">
            <v>45050</v>
          </cell>
          <cell r="Q780" t="str">
            <v>Sub</v>
          </cell>
          <cell r="R780" t="str">
            <v>T&amp;M</v>
          </cell>
          <cell r="S780">
            <v>0</v>
          </cell>
          <cell r="T780">
            <v>1</v>
          </cell>
          <cell r="U780" t="str">
            <v>CONTRACT</v>
          </cell>
          <cell r="V780" t="str">
            <v>Identified - Recompete</v>
          </cell>
          <cell r="W780" t="str">
            <v>00 Investigative</v>
          </cell>
          <cell r="X780" t="str">
            <v>Priority 3</v>
          </cell>
          <cell r="Y780">
            <v>0.5</v>
          </cell>
          <cell r="Z780">
            <v>3000000</v>
          </cell>
          <cell r="AA780">
            <v>0</v>
          </cell>
          <cell r="AB780">
            <v>0</v>
          </cell>
          <cell r="AC780">
            <v>0</v>
          </cell>
          <cell r="AD780">
            <v>0</v>
          </cell>
          <cell r="AP780">
            <v>0.21900986176533455</v>
          </cell>
          <cell r="AQ780">
            <v>0.21900986176533455</v>
          </cell>
          <cell r="AR780">
            <v>0.21900986176533455</v>
          </cell>
          <cell r="AS780">
            <v>0.21900986176533455</v>
          </cell>
          <cell r="BI780">
            <v>0</v>
          </cell>
          <cell r="BJ780">
            <v>0</v>
          </cell>
          <cell r="BK780">
            <v>0</v>
          </cell>
          <cell r="BL780">
            <v>0</v>
          </cell>
          <cell r="BM780">
            <v>0</v>
          </cell>
          <cell r="BN780">
            <v>39896.822108586683</v>
          </cell>
          <cell r="BO780">
            <v>98375.725747200035</v>
          </cell>
          <cell r="BP780">
            <v>98375.725747200035</v>
          </cell>
          <cell r="BQ780">
            <v>91866.519045015084</v>
          </cell>
          <cell r="BR780">
            <v>328514.79264800187</v>
          </cell>
          <cell r="BT780">
            <v>0</v>
          </cell>
          <cell r="CA780" t="str">
            <v>309701 - CONTRACT - Identified - Recompete</v>
          </cell>
          <cell r="CC780" t="str">
            <v>309701 - CONTRACT - Identified - Recompete - IS4</v>
          </cell>
          <cell r="CD780" t="str">
            <v/>
          </cell>
          <cell r="CF780" t="str">
            <v>309701 - Identified - Recompete - IS4</v>
          </cell>
        </row>
        <row r="781">
          <cell r="D781">
            <v>767</v>
          </cell>
          <cell r="E781">
            <v>0</v>
          </cell>
          <cell r="F781">
            <v>5</v>
          </cell>
          <cell r="G781" t="str">
            <v>309701</v>
          </cell>
          <cell r="H781" t="str">
            <v>ITA MARMC Admin</v>
          </cell>
          <cell r="I781" t="str">
            <v>IS4</v>
          </cell>
          <cell r="J781" t="str">
            <v>IS4 Sustainment Engineering and Acquisition</v>
          </cell>
          <cell r="K781" t="str">
            <v>Navy</v>
          </cell>
          <cell r="L781" t="str">
            <v>DOD</v>
          </cell>
          <cell r="M781" t="str">
            <v>VA</v>
          </cell>
          <cell r="N781" t="str">
            <v>CONUS</v>
          </cell>
          <cell r="O781">
            <v>42430</v>
          </cell>
          <cell r="P781">
            <v>43954</v>
          </cell>
          <cell r="Q781" t="str">
            <v>Sub</v>
          </cell>
          <cell r="R781" t="str">
            <v>T&amp;M</v>
          </cell>
          <cell r="S781">
            <v>0</v>
          </cell>
          <cell r="T781">
            <v>1</v>
          </cell>
          <cell r="U781" t="str">
            <v>EBITA</v>
          </cell>
          <cell r="V781" t="str">
            <v>Base</v>
          </cell>
          <cell r="W781" t="str">
            <v>05 Won</v>
          </cell>
          <cell r="X781" t="str">
            <v>Active</v>
          </cell>
          <cell r="Y781">
            <v>1</v>
          </cell>
          <cell r="Z781">
            <v>0</v>
          </cell>
          <cell r="AA781">
            <v>996248.06</v>
          </cell>
          <cell r="AB781">
            <v>3110833.1999999997</v>
          </cell>
          <cell r="AC781">
            <v>0</v>
          </cell>
          <cell r="AD781">
            <v>4107081.26</v>
          </cell>
          <cell r="AT781">
            <v>5.1003276603827107E-2</v>
          </cell>
          <cell r="AU781">
            <v>9.6314917888144433E-2</v>
          </cell>
          <cell r="AV781">
            <v>0.10917970895597848</v>
          </cell>
          <cell r="AW781">
            <v>0.11001593406772622</v>
          </cell>
          <cell r="AX781">
            <v>0.10847150614238334</v>
          </cell>
          <cell r="AY781">
            <v>0.10947150614238334</v>
          </cell>
          <cell r="AZ781">
            <v>0.11047150614238334</v>
          </cell>
          <cell r="BA781">
            <v>0.11147150614238334</v>
          </cell>
          <cell r="BF781">
            <v>9285.68</v>
          </cell>
          <cell r="BG781">
            <v>53962.700000000012</v>
          </cell>
          <cell r="BH781">
            <v>88184.88</v>
          </cell>
          <cell r="BI781">
            <v>23398.410000000011</v>
          </cell>
          <cell r="BJ781">
            <v>21595.179999999989</v>
          </cell>
          <cell r="BK781">
            <v>21239.700000000004</v>
          </cell>
          <cell r="BL781">
            <v>25174</v>
          </cell>
          <cell r="BM781">
            <v>91407.290000000008</v>
          </cell>
          <cell r="BN781">
            <v>57656.336934488041</v>
          </cell>
          <cell r="BO781">
            <v>0</v>
          </cell>
          <cell r="BP781">
            <v>0</v>
          </cell>
          <cell r="BQ781">
            <v>0</v>
          </cell>
          <cell r="BR781">
            <v>149063.62693448804</v>
          </cell>
          <cell r="BT781">
            <v>0</v>
          </cell>
          <cell r="CA781" t="str">
            <v>309701 - EBITA - Base</v>
          </cell>
          <cell r="CC781" t="str">
            <v>309701 - EBITA - Base - IS4</v>
          </cell>
          <cell r="CD781" t="str">
            <v/>
          </cell>
          <cell r="CF781" t="str">
            <v>309701 - Base - IS4</v>
          </cell>
        </row>
        <row r="782">
          <cell r="D782">
            <v>768</v>
          </cell>
          <cell r="E782">
            <v>0</v>
          </cell>
          <cell r="F782">
            <v>0</v>
          </cell>
          <cell r="G782" t="str">
            <v>309701</v>
          </cell>
          <cell r="H782" t="str">
            <v>ITA MARMC Admin</v>
          </cell>
          <cell r="I782" t="str">
            <v>IS4</v>
          </cell>
          <cell r="J782" t="str">
            <v>IS4 Sustainment Engineering and Acquisition</v>
          </cell>
          <cell r="K782" t="str">
            <v>Navy</v>
          </cell>
          <cell r="L782" t="str">
            <v>DOD</v>
          </cell>
          <cell r="M782" t="str">
            <v>VA</v>
          </cell>
          <cell r="N782" t="str">
            <v>CONUS</v>
          </cell>
          <cell r="O782">
            <v>43955</v>
          </cell>
          <cell r="P782">
            <v>45050</v>
          </cell>
          <cell r="Q782" t="str">
            <v>Sub</v>
          </cell>
          <cell r="R782" t="str">
            <v>T&amp;M</v>
          </cell>
          <cell r="S782">
            <v>0</v>
          </cell>
          <cell r="T782">
            <v>1</v>
          </cell>
          <cell r="U782" t="str">
            <v>EBITA</v>
          </cell>
          <cell r="V782" t="str">
            <v>Identified - Recompete</v>
          </cell>
          <cell r="W782" t="str">
            <v>00 Investigative</v>
          </cell>
          <cell r="X782" t="str">
            <v>Priority 3</v>
          </cell>
          <cell r="Y782">
            <v>0.5</v>
          </cell>
          <cell r="Z782">
            <v>3000000</v>
          </cell>
          <cell r="AA782">
            <v>0</v>
          </cell>
          <cell r="AB782">
            <v>0</v>
          </cell>
          <cell r="AC782">
            <v>0</v>
          </cell>
          <cell r="AD782">
            <v>0</v>
          </cell>
          <cell r="AX782">
            <v>0.10847150614238334</v>
          </cell>
          <cell r="AY782">
            <v>0.10947150614238334</v>
          </cell>
          <cell r="AZ782">
            <v>0.11047150614238334</v>
          </cell>
          <cell r="BA782">
            <v>0.11147150614238334</v>
          </cell>
          <cell r="BI782">
            <v>0</v>
          </cell>
          <cell r="BJ782">
            <v>0</v>
          </cell>
          <cell r="BK782">
            <v>0</v>
          </cell>
          <cell r="BL782">
            <v>0</v>
          </cell>
          <cell r="BM782">
            <v>0</v>
          </cell>
          <cell r="BN782">
            <v>19760.153033885574</v>
          </cell>
          <cell r="BO782">
            <v>49172.849015060317</v>
          </cell>
          <cell r="BP782">
            <v>49622.033015060319</v>
          </cell>
          <cell r="BQ782">
            <v>46758.164949568803</v>
          </cell>
          <cell r="BR782">
            <v>165313.20001357503</v>
          </cell>
          <cell r="BT782">
            <v>0</v>
          </cell>
          <cell r="CA782" t="str">
            <v>309701 - EBITA - Identified - Recompete</v>
          </cell>
          <cell r="CC782" t="str">
            <v>309701 - EBITA - Identified - Recompete - IS4</v>
          </cell>
          <cell r="CD782" t="str">
            <v/>
          </cell>
          <cell r="CF782" t="str">
            <v>309701 - Identified - Recompete - IS4</v>
          </cell>
        </row>
        <row r="783">
          <cell r="D783">
            <v>769</v>
          </cell>
          <cell r="E783">
            <v>1</v>
          </cell>
          <cell r="F783">
            <v>1</v>
          </cell>
          <cell r="G783" t="str">
            <v>SNCCXX</v>
          </cell>
          <cell r="H783" t="str">
            <v>NRC GLINDA SNCC</v>
          </cell>
          <cell r="I783" t="str">
            <v>IS4</v>
          </cell>
          <cell r="J783" t="str">
            <v>IS4 Engineering and Technology Services</v>
          </cell>
          <cell r="K783" t="str">
            <v>Other Civilian</v>
          </cell>
          <cell r="L783" t="str">
            <v>Other</v>
          </cell>
          <cell r="M783" t="str">
            <v>MD</v>
          </cell>
          <cell r="N783" t="str">
            <v>CONUS</v>
          </cell>
          <cell r="O783">
            <v>43494</v>
          </cell>
          <cell r="P783">
            <v>43904</v>
          </cell>
          <cell r="Q783" t="str">
            <v>Sub</v>
          </cell>
          <cell r="R783" t="str">
            <v>T&amp;M</v>
          </cell>
          <cell r="S783">
            <v>0</v>
          </cell>
          <cell r="T783">
            <v>1</v>
          </cell>
          <cell r="U783" t="str">
            <v>REVTOT</v>
          </cell>
          <cell r="V783" t="str">
            <v>Base</v>
          </cell>
          <cell r="W783" t="str">
            <v>05 Won</v>
          </cell>
          <cell r="X783" t="str">
            <v>Active</v>
          </cell>
          <cell r="Y783">
            <v>1</v>
          </cell>
          <cell r="Z783">
            <v>0</v>
          </cell>
          <cell r="AA783">
            <v>607379.6399999999</v>
          </cell>
          <cell r="AB783">
            <v>2141222</v>
          </cell>
          <cell r="AC783">
            <v>0</v>
          </cell>
          <cell r="AD783">
            <v>2748601.6399999997</v>
          </cell>
          <cell r="AE783">
            <v>0</v>
          </cell>
          <cell r="AF783">
            <v>0</v>
          </cell>
          <cell r="AG783">
            <v>0</v>
          </cell>
          <cell r="AH783">
            <v>1.5435759143599128</v>
          </cell>
          <cell r="AI783">
            <v>0</v>
          </cell>
          <cell r="AJ783">
            <v>0</v>
          </cell>
          <cell r="AK783">
            <v>0</v>
          </cell>
          <cell r="BB783">
            <v>1098434</v>
          </cell>
          <cell r="BC783">
            <v>1098434</v>
          </cell>
          <cell r="BD783">
            <v>1098434</v>
          </cell>
          <cell r="BE783">
            <v>1098434</v>
          </cell>
          <cell r="BF783">
            <v>0</v>
          </cell>
          <cell r="BG783">
            <v>0</v>
          </cell>
          <cell r="BH783">
            <v>0</v>
          </cell>
          <cell r="BI783">
            <v>0</v>
          </cell>
          <cell r="BJ783">
            <v>19980.88</v>
          </cell>
          <cell r="BK783">
            <v>163263.47999999998</v>
          </cell>
          <cell r="BL783">
            <v>248602</v>
          </cell>
          <cell r="BM783">
            <v>431846.36</v>
          </cell>
          <cell r="BN783">
            <v>1098434</v>
          </cell>
          <cell r="BO783">
            <v>1098434</v>
          </cell>
          <cell r="BP783">
            <v>551733.63999999966</v>
          </cell>
          <cell r="BQ783">
            <v>0</v>
          </cell>
          <cell r="BR783">
            <v>3180447.9999999995</v>
          </cell>
          <cell r="BT783">
            <v>0</v>
          </cell>
          <cell r="CA783" t="str">
            <v>SNCCXX - REVTOT - Base</v>
          </cell>
          <cell r="CC783" t="str">
            <v>SNCCXX - REVTOT - Base - IS4</v>
          </cell>
          <cell r="CD783" t="str">
            <v/>
          </cell>
          <cell r="CF783" t="str">
            <v>SNCCXX - Base - IS4</v>
          </cell>
        </row>
        <row r="784">
          <cell r="D784">
            <v>770</v>
          </cell>
          <cell r="E784">
            <v>1</v>
          </cell>
          <cell r="F784">
            <v>2</v>
          </cell>
          <cell r="G784" t="str">
            <v>SNCCXX</v>
          </cell>
          <cell r="H784" t="str">
            <v>NRC GLINDA SNCC</v>
          </cell>
          <cell r="I784" t="str">
            <v>IS4</v>
          </cell>
          <cell r="J784" t="str">
            <v>IS4 Engineering and Technology Services</v>
          </cell>
          <cell r="K784" t="str">
            <v>Other Civilian</v>
          </cell>
          <cell r="L784" t="str">
            <v>Other</v>
          </cell>
          <cell r="M784" t="str">
            <v>MD</v>
          </cell>
          <cell r="N784" t="str">
            <v>CONUS</v>
          </cell>
          <cell r="O784">
            <v>0</v>
          </cell>
          <cell r="P784">
            <v>0</v>
          </cell>
          <cell r="Q784">
            <v>0</v>
          </cell>
          <cell r="R784" t="str">
            <v>T&amp;M</v>
          </cell>
          <cell r="S784">
            <v>0</v>
          </cell>
          <cell r="T784">
            <v>1</v>
          </cell>
          <cell r="U784" t="str">
            <v>REVTOT</v>
          </cell>
          <cell r="V784" t="str">
            <v>Identified - Recompete</v>
          </cell>
          <cell r="W784">
            <v>0</v>
          </cell>
          <cell r="X784">
            <v>0</v>
          </cell>
          <cell r="Y784">
            <v>0</v>
          </cell>
          <cell r="Z784">
            <v>0</v>
          </cell>
          <cell r="AA784">
            <v>0</v>
          </cell>
          <cell r="AB784">
            <v>0</v>
          </cell>
          <cell r="AC784">
            <v>0</v>
          </cell>
          <cell r="AD784">
            <v>0</v>
          </cell>
          <cell r="AI784">
            <v>0</v>
          </cell>
          <cell r="AJ784">
            <v>0</v>
          </cell>
          <cell r="AK784">
            <v>0</v>
          </cell>
          <cell r="BB784">
            <v>0</v>
          </cell>
          <cell r="BC784">
            <v>0</v>
          </cell>
          <cell r="BD784">
            <v>0</v>
          </cell>
          <cell r="BE784">
            <v>0</v>
          </cell>
          <cell r="BI784">
            <v>0</v>
          </cell>
          <cell r="BJ784">
            <v>0</v>
          </cell>
          <cell r="BK784">
            <v>0</v>
          </cell>
          <cell r="BL784">
            <v>0</v>
          </cell>
          <cell r="BM784">
            <v>0</v>
          </cell>
          <cell r="BN784">
            <v>0</v>
          </cell>
          <cell r="BO784">
            <v>0</v>
          </cell>
          <cell r="BP784">
            <v>0</v>
          </cell>
          <cell r="BQ784">
            <v>0</v>
          </cell>
          <cell r="BR784">
            <v>0</v>
          </cell>
          <cell r="BT784">
            <v>0</v>
          </cell>
          <cell r="CA784" t="str">
            <v>SNCCXX - REVTOT - Identified - Recompete</v>
          </cell>
          <cell r="CC784" t="str">
            <v>SNCCXX - REVTOT - Identified - Recompete - IS4</v>
          </cell>
          <cell r="CD784" t="str">
            <v/>
          </cell>
          <cell r="CF784" t="str">
            <v>SNCCXX - Identified - Recompete - IS4</v>
          </cell>
        </row>
        <row r="785">
          <cell r="D785">
            <v>771</v>
          </cell>
          <cell r="E785">
            <v>2</v>
          </cell>
          <cell r="F785">
            <v>3</v>
          </cell>
          <cell r="G785" t="str">
            <v>SNCCXX</v>
          </cell>
          <cell r="H785" t="str">
            <v>NRC GLINDA SNCC</v>
          </cell>
          <cell r="I785" t="str">
            <v>IS4</v>
          </cell>
          <cell r="J785" t="str">
            <v>IS4 Engineering and Technology Services</v>
          </cell>
          <cell r="K785" t="str">
            <v>Other Civilian</v>
          </cell>
          <cell r="L785" t="str">
            <v>Other</v>
          </cell>
          <cell r="M785" t="str">
            <v>MD</v>
          </cell>
          <cell r="N785" t="str">
            <v>CONUS</v>
          </cell>
          <cell r="O785">
            <v>43494</v>
          </cell>
          <cell r="P785">
            <v>43904</v>
          </cell>
          <cell r="Q785" t="str">
            <v>Sub</v>
          </cell>
          <cell r="R785" t="str">
            <v>T&amp;M</v>
          </cell>
          <cell r="S785">
            <v>0</v>
          </cell>
          <cell r="T785">
            <v>1</v>
          </cell>
          <cell r="U785" t="str">
            <v>CONTRACT</v>
          </cell>
          <cell r="V785" t="str">
            <v>Base</v>
          </cell>
          <cell r="W785" t="str">
            <v>05 Won</v>
          </cell>
          <cell r="X785" t="str">
            <v>Active</v>
          </cell>
          <cell r="Y785">
            <v>1</v>
          </cell>
          <cell r="Z785">
            <v>0</v>
          </cell>
          <cell r="AA785">
            <v>607379.6399999999</v>
          </cell>
          <cell r="AB785">
            <v>2141222</v>
          </cell>
          <cell r="AC785">
            <v>0</v>
          </cell>
          <cell r="AD785">
            <v>2748601.6399999997</v>
          </cell>
          <cell r="AL785">
            <v>0</v>
          </cell>
          <cell r="AM785">
            <v>0</v>
          </cell>
          <cell r="AN785">
            <v>0</v>
          </cell>
          <cell r="AO785">
            <v>0.18091966781889743</v>
          </cell>
          <cell r="AP785">
            <v>0.1967562264095977</v>
          </cell>
          <cell r="AQ785">
            <v>0.1967562264095977</v>
          </cell>
          <cell r="AR785">
            <v>0.1967562264095977</v>
          </cell>
          <cell r="AS785">
            <v>0.1967562264095977</v>
          </cell>
          <cell r="BF785">
            <v>0</v>
          </cell>
          <cell r="BG785">
            <v>0</v>
          </cell>
          <cell r="BH785">
            <v>0</v>
          </cell>
          <cell r="BI785">
            <v>0</v>
          </cell>
          <cell r="BJ785">
            <v>4148.7900000000009</v>
          </cell>
          <cell r="BK785">
            <v>27941.709999999985</v>
          </cell>
          <cell r="BL785">
            <v>46039</v>
          </cell>
          <cell r="BM785">
            <v>78129.499999999985</v>
          </cell>
          <cell r="BN785">
            <v>216123.72880000004</v>
          </cell>
          <cell r="BO785">
            <v>216123.72880000004</v>
          </cell>
          <cell r="BP785">
            <v>108557.02898963141</v>
          </cell>
          <cell r="BQ785">
            <v>0</v>
          </cell>
          <cell r="BR785">
            <v>618933.98658963153</v>
          </cell>
          <cell r="BT785">
            <v>0</v>
          </cell>
          <cell r="CA785" t="str">
            <v>SNCCXX - CONTRACT - Base</v>
          </cell>
          <cell r="CC785" t="str">
            <v>SNCCXX - CONTRACT - Base - IS4</v>
          </cell>
          <cell r="CD785" t="str">
            <v/>
          </cell>
          <cell r="CF785" t="str">
            <v>SNCCXX - Base - IS4</v>
          </cell>
        </row>
        <row r="786">
          <cell r="D786">
            <v>772</v>
          </cell>
          <cell r="E786">
            <v>2</v>
          </cell>
          <cell r="F786">
            <v>4</v>
          </cell>
          <cell r="G786" t="str">
            <v>SNCCXX</v>
          </cell>
          <cell r="H786" t="str">
            <v>NRC GLINDA SNCC</v>
          </cell>
          <cell r="I786" t="str">
            <v>IS4</v>
          </cell>
          <cell r="J786" t="str">
            <v>IS4 Engineering and Technology Services</v>
          </cell>
          <cell r="K786" t="str">
            <v>Other Civilian</v>
          </cell>
          <cell r="L786" t="str">
            <v>Other</v>
          </cell>
          <cell r="M786" t="str">
            <v>MD</v>
          </cell>
          <cell r="N786" t="str">
            <v>CONUS</v>
          </cell>
          <cell r="O786">
            <v>0</v>
          </cell>
          <cell r="P786">
            <v>0</v>
          </cell>
          <cell r="Q786">
            <v>0</v>
          </cell>
          <cell r="R786" t="str">
            <v>T&amp;M</v>
          </cell>
          <cell r="S786">
            <v>0</v>
          </cell>
          <cell r="T786">
            <v>1</v>
          </cell>
          <cell r="U786" t="str">
            <v>CONTRACT</v>
          </cell>
          <cell r="V786" t="str">
            <v>Identified - Recompete</v>
          </cell>
          <cell r="W786">
            <v>0</v>
          </cell>
          <cell r="X786">
            <v>0</v>
          </cell>
          <cell r="Y786">
            <v>0</v>
          </cell>
          <cell r="Z786">
            <v>0</v>
          </cell>
          <cell r="AA786">
            <v>0</v>
          </cell>
          <cell r="AB786">
            <v>0</v>
          </cell>
          <cell r="AC786">
            <v>0</v>
          </cell>
          <cell r="AD786">
            <v>0</v>
          </cell>
          <cell r="AP786">
            <v>0</v>
          </cell>
          <cell r="AQ786">
            <v>0</v>
          </cell>
          <cell r="AR786">
            <v>0</v>
          </cell>
          <cell r="AS786">
            <v>0</v>
          </cell>
          <cell r="BI786">
            <v>0</v>
          </cell>
          <cell r="BJ786">
            <v>0</v>
          </cell>
          <cell r="BK786">
            <v>0</v>
          </cell>
          <cell r="BL786">
            <v>0</v>
          </cell>
          <cell r="BM786">
            <v>0</v>
          </cell>
          <cell r="BN786">
            <v>0</v>
          </cell>
          <cell r="BO786">
            <v>0</v>
          </cell>
          <cell r="BP786">
            <v>0</v>
          </cell>
          <cell r="BQ786">
            <v>0</v>
          </cell>
          <cell r="BR786">
            <v>0</v>
          </cell>
          <cell r="BT786">
            <v>0</v>
          </cell>
          <cell r="CA786" t="str">
            <v>SNCCXX - CONTRACT - Identified - Recompete</v>
          </cell>
          <cell r="CC786" t="str">
            <v>SNCCXX - CONTRACT - Identified - Recompete - IS4</v>
          </cell>
          <cell r="CD786" t="str">
            <v/>
          </cell>
          <cell r="CF786" t="str">
            <v>SNCCXX - Identified - Recompete - IS4</v>
          </cell>
        </row>
        <row r="787">
          <cell r="D787">
            <v>773</v>
          </cell>
          <cell r="E787">
            <v>0</v>
          </cell>
          <cell r="F787">
            <v>5</v>
          </cell>
          <cell r="G787" t="str">
            <v>SNCCXX</v>
          </cell>
          <cell r="H787" t="str">
            <v>NRC GLINDA SNCC</v>
          </cell>
          <cell r="I787" t="str">
            <v>IS4</v>
          </cell>
          <cell r="J787" t="str">
            <v>IS4 Engineering and Technology Services</v>
          </cell>
          <cell r="K787" t="str">
            <v>Other Civilian</v>
          </cell>
          <cell r="L787" t="str">
            <v>Other</v>
          </cell>
          <cell r="M787" t="str">
            <v>MD</v>
          </cell>
          <cell r="N787" t="str">
            <v>CONUS</v>
          </cell>
          <cell r="O787">
            <v>43494</v>
          </cell>
          <cell r="P787">
            <v>43904</v>
          </cell>
          <cell r="Q787" t="str">
            <v>Sub</v>
          </cell>
          <cell r="R787" t="str">
            <v>T&amp;M</v>
          </cell>
          <cell r="S787">
            <v>0</v>
          </cell>
          <cell r="T787">
            <v>1</v>
          </cell>
          <cell r="U787" t="str">
            <v>EBITA</v>
          </cell>
          <cell r="V787" t="str">
            <v>Base</v>
          </cell>
          <cell r="W787" t="str">
            <v>05 Won</v>
          </cell>
          <cell r="X787" t="str">
            <v>Active</v>
          </cell>
          <cell r="Y787">
            <v>1</v>
          </cell>
          <cell r="Z787">
            <v>0</v>
          </cell>
          <cell r="AA787">
            <v>607379.6399999999</v>
          </cell>
          <cell r="AB787">
            <v>2141222</v>
          </cell>
          <cell r="AC787">
            <v>0</v>
          </cell>
          <cell r="AD787">
            <v>2748601.6399999997</v>
          </cell>
          <cell r="AT787">
            <v>0</v>
          </cell>
          <cell r="AU787">
            <v>0</v>
          </cell>
          <cell r="AV787">
            <v>0</v>
          </cell>
          <cell r="AW787">
            <v>5.0141860637658235E-2</v>
          </cell>
          <cell r="AX787">
            <v>6.9488068507708556E-2</v>
          </cell>
          <cell r="AY787">
            <v>7.0488068507708557E-2</v>
          </cell>
          <cell r="AZ787">
            <v>7.1488068507708558E-2</v>
          </cell>
          <cell r="BA787">
            <v>7.2488068507708558E-2</v>
          </cell>
          <cell r="BF787">
            <v>0</v>
          </cell>
          <cell r="BG787">
            <v>0</v>
          </cell>
          <cell r="BH787">
            <v>0</v>
          </cell>
          <cell r="BI787">
            <v>0</v>
          </cell>
          <cell r="BJ787">
            <v>1622.3200000000006</v>
          </cell>
          <cell r="BK787">
            <v>6347.2599999999848</v>
          </cell>
          <cell r="BL787">
            <v>13684</v>
          </cell>
          <cell r="BM787">
            <v>21653.579999999987</v>
          </cell>
          <cell r="BN787">
            <v>76328.057043196342</v>
          </cell>
          <cell r="BO787">
            <v>77426.491043196336</v>
          </cell>
          <cell r="BP787">
            <v>39442.372254327383</v>
          </cell>
          <cell r="BQ787">
            <v>0</v>
          </cell>
          <cell r="BR787">
            <v>214850.50034072003</v>
          </cell>
          <cell r="BT787">
            <v>0</v>
          </cell>
          <cell r="CA787" t="str">
            <v>SNCCXX - EBITA - Base</v>
          </cell>
          <cell r="CC787" t="str">
            <v>SNCCXX - EBITA - Base - IS4</v>
          </cell>
          <cell r="CD787" t="str">
            <v/>
          </cell>
          <cell r="CF787" t="str">
            <v>SNCCXX - Base - IS4</v>
          </cell>
        </row>
        <row r="788">
          <cell r="D788">
            <v>774</v>
          </cell>
          <cell r="E788">
            <v>0</v>
          </cell>
          <cell r="F788">
            <v>0</v>
          </cell>
          <cell r="G788" t="str">
            <v>SNCCXX</v>
          </cell>
          <cell r="H788" t="str">
            <v>NRC GLINDA SNCC</v>
          </cell>
          <cell r="I788" t="str">
            <v>IS4</v>
          </cell>
          <cell r="J788" t="str">
            <v>IS4 Engineering and Technology Services</v>
          </cell>
          <cell r="K788" t="str">
            <v>Other Civilian</v>
          </cell>
          <cell r="L788" t="str">
            <v>Other</v>
          </cell>
          <cell r="M788" t="str">
            <v>MD</v>
          </cell>
          <cell r="N788" t="str">
            <v>CONUS</v>
          </cell>
          <cell r="O788">
            <v>0</v>
          </cell>
          <cell r="P788">
            <v>0</v>
          </cell>
          <cell r="Q788">
            <v>0</v>
          </cell>
          <cell r="R788" t="str">
            <v>T&amp;M</v>
          </cell>
          <cell r="S788">
            <v>0</v>
          </cell>
          <cell r="T788">
            <v>1</v>
          </cell>
          <cell r="U788" t="str">
            <v>EBITA</v>
          </cell>
          <cell r="V788" t="str">
            <v>Identified - Recompete</v>
          </cell>
          <cell r="W788">
            <v>0</v>
          </cell>
          <cell r="X788">
            <v>0</v>
          </cell>
          <cell r="Y788">
            <v>0</v>
          </cell>
          <cell r="Z788">
            <v>0</v>
          </cell>
          <cell r="AA788">
            <v>0</v>
          </cell>
          <cell r="AB788">
            <v>0</v>
          </cell>
          <cell r="AC788">
            <v>0</v>
          </cell>
          <cell r="AD788">
            <v>0</v>
          </cell>
          <cell r="AX788">
            <v>0</v>
          </cell>
          <cell r="AY788">
            <v>0</v>
          </cell>
          <cell r="AZ788">
            <v>0</v>
          </cell>
          <cell r="BA788">
            <v>0</v>
          </cell>
          <cell r="BI788">
            <v>0</v>
          </cell>
          <cell r="BJ788">
            <v>0</v>
          </cell>
          <cell r="BK788">
            <v>0</v>
          </cell>
          <cell r="BL788">
            <v>0</v>
          </cell>
          <cell r="BM788">
            <v>0</v>
          </cell>
          <cell r="BN788">
            <v>0</v>
          </cell>
          <cell r="BO788">
            <v>0</v>
          </cell>
          <cell r="BP788">
            <v>0</v>
          </cell>
          <cell r="BQ788">
            <v>0</v>
          </cell>
          <cell r="BR788">
            <v>0</v>
          </cell>
          <cell r="BT788">
            <v>0</v>
          </cell>
          <cell r="CA788" t="str">
            <v>SNCCXX - EBITA - Identified - Recompete</v>
          </cell>
          <cell r="CC788" t="str">
            <v>SNCCXX - EBITA - Identified - Recompete - IS4</v>
          </cell>
          <cell r="CD788" t="str">
            <v/>
          </cell>
          <cell r="CF788" t="str">
            <v>SNCCXX - Identified - Recompete - IS4</v>
          </cell>
        </row>
        <row r="789">
          <cell r="D789">
            <v>775</v>
          </cell>
          <cell r="E789">
            <v>1</v>
          </cell>
          <cell r="F789">
            <v>1</v>
          </cell>
          <cell r="G789" t="str">
            <v>321301</v>
          </cell>
          <cell r="H789" t="str">
            <v>IAEA CPA</v>
          </cell>
          <cell r="I789" t="str">
            <v>IS4</v>
          </cell>
          <cell r="J789" t="str">
            <v>IS4 Sustainment Engineering and Acquisition</v>
          </cell>
          <cell r="K789" t="str">
            <v>Dept. of State</v>
          </cell>
          <cell r="L789" t="str">
            <v>DOS</v>
          </cell>
          <cell r="M789" t="str">
            <v>Austria</v>
          </cell>
          <cell r="N789" t="str">
            <v>OCONUS</v>
          </cell>
          <cell r="O789">
            <v>42736</v>
          </cell>
          <cell r="P789">
            <v>44021</v>
          </cell>
          <cell r="Q789" t="str">
            <v>Prime</v>
          </cell>
          <cell r="R789" t="str">
            <v>T&amp;M</v>
          </cell>
          <cell r="S789">
            <v>0</v>
          </cell>
          <cell r="T789">
            <v>1</v>
          </cell>
          <cell r="U789" t="str">
            <v>REVTOT</v>
          </cell>
          <cell r="V789" t="str">
            <v>Base</v>
          </cell>
          <cell r="W789" t="str">
            <v>05 Won</v>
          </cell>
          <cell r="X789" t="str">
            <v>Active</v>
          </cell>
          <cell r="Y789">
            <v>1</v>
          </cell>
          <cell r="Z789">
            <v>0</v>
          </cell>
          <cell r="AA789">
            <v>40218.069999999912</v>
          </cell>
          <cell r="AB789">
            <v>0</v>
          </cell>
          <cell r="AC789">
            <v>0</v>
          </cell>
          <cell r="AD789">
            <v>40218.069999999912</v>
          </cell>
          <cell r="AE789">
            <v>0</v>
          </cell>
          <cell r="AF789">
            <v>1.0706222118533857</v>
          </cell>
          <cell r="AG789">
            <v>-0.27422818874179589</v>
          </cell>
          <cell r="AH789">
            <v>-0.96853674987742289</v>
          </cell>
          <cell r="AI789">
            <v>0</v>
          </cell>
          <cell r="AJ789">
            <v>0</v>
          </cell>
          <cell r="AK789">
            <v>0</v>
          </cell>
          <cell r="BB789">
            <v>366195.36842928693</v>
          </cell>
          <cell r="BC789">
            <v>366195.36842928693</v>
          </cell>
          <cell r="BD789">
            <v>366195.36842928693</v>
          </cell>
          <cell r="BE789">
            <v>366195.36842928693</v>
          </cell>
          <cell r="BF789">
            <v>0</v>
          </cell>
          <cell r="BG789">
            <v>850582.96</v>
          </cell>
          <cell r="BH789">
            <v>1761235.97</v>
          </cell>
          <cell r="BI789">
            <v>503090.39</v>
          </cell>
          <cell r="BJ789">
            <v>328025.06</v>
          </cell>
          <cell r="BK789">
            <v>267059.66000000003</v>
          </cell>
          <cell r="BL789">
            <v>180080.31</v>
          </cell>
          <cell r="BM789">
            <v>1278255.42</v>
          </cell>
          <cell r="BN789">
            <v>40218.069999999912</v>
          </cell>
          <cell r="BO789">
            <v>0</v>
          </cell>
          <cell r="BP789">
            <v>0</v>
          </cell>
          <cell r="BQ789">
            <v>0</v>
          </cell>
          <cell r="BR789">
            <v>1318473.4899999998</v>
          </cell>
          <cell r="BT789">
            <v>0</v>
          </cell>
          <cell r="CA789" t="str">
            <v>321301 - REVTOT - Base</v>
          </cell>
          <cell r="CC789" t="str">
            <v>321301 - REVTOT - Base - IS4</v>
          </cell>
          <cell r="CD789" t="str">
            <v/>
          </cell>
          <cell r="CF789" t="str">
            <v>321301 - Base - IS4</v>
          </cell>
        </row>
        <row r="790">
          <cell r="D790">
            <v>776</v>
          </cell>
          <cell r="E790">
            <v>1</v>
          </cell>
          <cell r="F790">
            <v>2</v>
          </cell>
          <cell r="G790" t="str">
            <v>321301</v>
          </cell>
          <cell r="H790" t="str">
            <v>IAEA CPA</v>
          </cell>
          <cell r="I790" t="str">
            <v>IS4</v>
          </cell>
          <cell r="J790" t="str">
            <v>IS4 Sustainment Engineering and Acquisition</v>
          </cell>
          <cell r="K790" t="str">
            <v>Dept. of State</v>
          </cell>
          <cell r="L790" t="str">
            <v>DOS</v>
          </cell>
          <cell r="M790" t="str">
            <v>Austria</v>
          </cell>
          <cell r="N790" t="str">
            <v>OCONUS</v>
          </cell>
          <cell r="O790">
            <v>0</v>
          </cell>
          <cell r="P790">
            <v>0</v>
          </cell>
          <cell r="Q790">
            <v>0</v>
          </cell>
          <cell r="R790" t="str">
            <v>T&amp;M</v>
          </cell>
          <cell r="S790">
            <v>0</v>
          </cell>
          <cell r="T790">
            <v>1</v>
          </cell>
          <cell r="U790" t="str">
            <v>REVTOT</v>
          </cell>
          <cell r="V790" t="str">
            <v>Identified - Recompete</v>
          </cell>
          <cell r="W790">
            <v>0</v>
          </cell>
          <cell r="X790">
            <v>0</v>
          </cell>
          <cell r="Y790">
            <v>0</v>
          </cell>
          <cell r="Z790">
            <v>0</v>
          </cell>
          <cell r="AA790">
            <v>0</v>
          </cell>
          <cell r="AB790">
            <v>0</v>
          </cell>
          <cell r="AC790">
            <v>0</v>
          </cell>
          <cell r="AD790">
            <v>0</v>
          </cell>
          <cell r="AI790">
            <v>0</v>
          </cell>
          <cell r="AJ790">
            <v>0</v>
          </cell>
          <cell r="AK790">
            <v>0</v>
          </cell>
          <cell r="BB790">
            <v>0</v>
          </cell>
          <cell r="BC790">
            <v>0</v>
          </cell>
          <cell r="BD790">
            <v>0</v>
          </cell>
          <cell r="BE790">
            <v>0</v>
          </cell>
          <cell r="BI790">
            <v>0</v>
          </cell>
          <cell r="BJ790">
            <v>0</v>
          </cell>
          <cell r="BK790">
            <v>0</v>
          </cell>
          <cell r="BL790">
            <v>0</v>
          </cell>
          <cell r="BM790">
            <v>0</v>
          </cell>
          <cell r="BN790">
            <v>0</v>
          </cell>
          <cell r="BO790">
            <v>0</v>
          </cell>
          <cell r="BP790">
            <v>0</v>
          </cell>
          <cell r="BQ790">
            <v>0</v>
          </cell>
          <cell r="BR790">
            <v>0</v>
          </cell>
          <cell r="BT790">
            <v>0</v>
          </cell>
          <cell r="CA790" t="str">
            <v>321301 - REVTOT - Identified - Recompete</v>
          </cell>
          <cell r="CC790" t="str">
            <v>321301 - REVTOT - Identified - Recompete - IS4</v>
          </cell>
          <cell r="CD790" t="str">
            <v/>
          </cell>
          <cell r="CF790" t="str">
            <v>321301 - Identified - Recompete - IS4</v>
          </cell>
        </row>
        <row r="791">
          <cell r="D791">
            <v>777</v>
          </cell>
          <cell r="E791">
            <v>2</v>
          </cell>
          <cell r="F791">
            <v>3</v>
          </cell>
          <cell r="G791" t="str">
            <v>321301</v>
          </cell>
          <cell r="H791" t="str">
            <v>IAEA CPA</v>
          </cell>
          <cell r="I791" t="str">
            <v>IS4</v>
          </cell>
          <cell r="J791" t="str">
            <v>IS4 Sustainment Engineering and Acquisition</v>
          </cell>
          <cell r="K791" t="str">
            <v>Dept. of State</v>
          </cell>
          <cell r="L791" t="str">
            <v>DOS</v>
          </cell>
          <cell r="M791" t="str">
            <v>Austria</v>
          </cell>
          <cell r="N791" t="str">
            <v>OCONUS</v>
          </cell>
          <cell r="O791">
            <v>42736</v>
          </cell>
          <cell r="P791">
            <v>44021</v>
          </cell>
          <cell r="Q791" t="str">
            <v>Prime</v>
          </cell>
          <cell r="R791" t="str">
            <v>T&amp;M</v>
          </cell>
          <cell r="S791">
            <v>0</v>
          </cell>
          <cell r="T791">
            <v>1</v>
          </cell>
          <cell r="U791" t="str">
            <v>CONTRACT</v>
          </cell>
          <cell r="V791" t="str">
            <v>Base</v>
          </cell>
          <cell r="W791" t="str">
            <v>05 Won</v>
          </cell>
          <cell r="X791" t="str">
            <v>Active</v>
          </cell>
          <cell r="Y791">
            <v>1</v>
          </cell>
          <cell r="Z791">
            <v>0</v>
          </cell>
          <cell r="AA791">
            <v>40218.069999999912</v>
          </cell>
          <cell r="AB791">
            <v>0</v>
          </cell>
          <cell r="AC791">
            <v>0</v>
          </cell>
          <cell r="AD791">
            <v>40218.069999999912</v>
          </cell>
          <cell r="AL791">
            <v>0</v>
          </cell>
          <cell r="AM791">
            <v>0.11824412753342722</v>
          </cell>
          <cell r="AN791">
            <v>0.14108340633083935</v>
          </cell>
          <cell r="AO791">
            <v>0.11151076519589488</v>
          </cell>
          <cell r="AP791">
            <v>0.13917787111261251</v>
          </cell>
          <cell r="AQ791">
            <v>0.13917787111261251</v>
          </cell>
          <cell r="AR791">
            <v>0.13917787111261251</v>
          </cell>
          <cell r="AS791">
            <v>0.13917787111261251</v>
          </cell>
          <cell r="BF791">
            <v>0</v>
          </cell>
          <cell r="BG791">
            <v>100576.44000000002</v>
          </cell>
          <cell r="BH791">
            <v>248481.16999999998</v>
          </cell>
          <cell r="BI791">
            <v>58002.309999999983</v>
          </cell>
          <cell r="BJ791">
            <v>25826.090000000011</v>
          </cell>
          <cell r="BK791">
            <v>33558.779999999992</v>
          </cell>
          <cell r="BL791">
            <v>25152.05999999999</v>
          </cell>
          <cell r="BM791">
            <v>142539.24</v>
          </cell>
          <cell r="BN791">
            <v>5597.4653628580154</v>
          </cell>
          <cell r="BO791">
            <v>0</v>
          </cell>
          <cell r="BP791">
            <v>0</v>
          </cell>
          <cell r="BQ791">
            <v>0</v>
          </cell>
          <cell r="BR791">
            <v>148136.70536285802</v>
          </cell>
          <cell r="BT791">
            <v>0</v>
          </cell>
          <cell r="CA791" t="str">
            <v>321301 - CONTRACT - Base</v>
          </cell>
          <cell r="CC791" t="str">
            <v>321301 - CONTRACT - Base - IS4</v>
          </cell>
          <cell r="CD791" t="str">
            <v/>
          </cell>
          <cell r="CF791" t="str">
            <v>321301 - Base - IS4</v>
          </cell>
        </row>
        <row r="792">
          <cell r="D792">
            <v>778</v>
          </cell>
          <cell r="E792">
            <v>2</v>
          </cell>
          <cell r="F792">
            <v>4</v>
          </cell>
          <cell r="G792" t="str">
            <v>321301</v>
          </cell>
          <cell r="H792" t="str">
            <v>IAEA CPA</v>
          </cell>
          <cell r="I792" t="str">
            <v>IS4</v>
          </cell>
          <cell r="J792" t="str">
            <v>IS4 Sustainment Engineering and Acquisition</v>
          </cell>
          <cell r="K792" t="str">
            <v>Dept. of State</v>
          </cell>
          <cell r="L792" t="str">
            <v>DOS</v>
          </cell>
          <cell r="M792" t="str">
            <v>Austria</v>
          </cell>
          <cell r="N792" t="str">
            <v>OCONUS</v>
          </cell>
          <cell r="O792">
            <v>0</v>
          </cell>
          <cell r="P792">
            <v>0</v>
          </cell>
          <cell r="Q792">
            <v>0</v>
          </cell>
          <cell r="R792" t="str">
            <v>T&amp;M</v>
          </cell>
          <cell r="S792">
            <v>0</v>
          </cell>
          <cell r="T792">
            <v>1</v>
          </cell>
          <cell r="U792" t="str">
            <v>CONTRACT</v>
          </cell>
          <cell r="V792" t="str">
            <v>Identified - Recompete</v>
          </cell>
          <cell r="W792">
            <v>0</v>
          </cell>
          <cell r="X792">
            <v>0</v>
          </cell>
          <cell r="Y792">
            <v>0</v>
          </cell>
          <cell r="Z792">
            <v>0</v>
          </cell>
          <cell r="AA792">
            <v>0</v>
          </cell>
          <cell r="AB792">
            <v>0</v>
          </cell>
          <cell r="AC792">
            <v>0</v>
          </cell>
          <cell r="AD792">
            <v>0</v>
          </cell>
          <cell r="AP792">
            <v>0</v>
          </cell>
          <cell r="AQ792">
            <v>0</v>
          </cell>
          <cell r="AR792">
            <v>0</v>
          </cell>
          <cell r="AS792">
            <v>0</v>
          </cell>
          <cell r="BI792">
            <v>0</v>
          </cell>
          <cell r="BJ792">
            <v>0</v>
          </cell>
          <cell r="BK792">
            <v>0</v>
          </cell>
          <cell r="BL792">
            <v>0</v>
          </cell>
          <cell r="BM792">
            <v>0</v>
          </cell>
          <cell r="BN792">
            <v>0</v>
          </cell>
          <cell r="BO792">
            <v>0</v>
          </cell>
          <cell r="BP792">
            <v>0</v>
          </cell>
          <cell r="BQ792">
            <v>0</v>
          </cell>
          <cell r="BR792">
            <v>0</v>
          </cell>
          <cell r="BT792">
            <v>0</v>
          </cell>
          <cell r="CA792" t="str">
            <v>321301 - CONTRACT - Identified - Recompete</v>
          </cell>
          <cell r="CC792" t="str">
            <v>321301 - CONTRACT - Identified - Recompete - IS4</v>
          </cell>
          <cell r="CD792" t="str">
            <v/>
          </cell>
          <cell r="CF792" t="str">
            <v>321301 - Identified - Recompete - IS4</v>
          </cell>
        </row>
        <row r="793">
          <cell r="D793">
            <v>779</v>
          </cell>
          <cell r="E793">
            <v>0</v>
          </cell>
          <cell r="F793">
            <v>5</v>
          </cell>
          <cell r="G793" t="str">
            <v>321301</v>
          </cell>
          <cell r="H793" t="str">
            <v>IAEA CPA</v>
          </cell>
          <cell r="I793" t="str">
            <v>IS4</v>
          </cell>
          <cell r="J793" t="str">
            <v>IS4 Sustainment Engineering and Acquisition</v>
          </cell>
          <cell r="K793" t="str">
            <v>Dept. of State</v>
          </cell>
          <cell r="L793" t="str">
            <v>DOS</v>
          </cell>
          <cell r="M793" t="str">
            <v>Austria</v>
          </cell>
          <cell r="N793" t="str">
            <v>OCONUS</v>
          </cell>
          <cell r="O793">
            <v>42736</v>
          </cell>
          <cell r="P793">
            <v>44021</v>
          </cell>
          <cell r="Q793" t="str">
            <v>Prime</v>
          </cell>
          <cell r="R793" t="str">
            <v>T&amp;M</v>
          </cell>
          <cell r="S793">
            <v>0</v>
          </cell>
          <cell r="T793">
            <v>1</v>
          </cell>
          <cell r="U793" t="str">
            <v>EBITA</v>
          </cell>
          <cell r="V793" t="str">
            <v>Base</v>
          </cell>
          <cell r="W793" t="str">
            <v>05 Won</v>
          </cell>
          <cell r="X793" t="str">
            <v>Active</v>
          </cell>
          <cell r="Y793">
            <v>1</v>
          </cell>
          <cell r="Z793">
            <v>0</v>
          </cell>
          <cell r="AA793">
            <v>40218.069999999912</v>
          </cell>
          <cell r="AB793">
            <v>0</v>
          </cell>
          <cell r="AC793">
            <v>0</v>
          </cell>
          <cell r="AD793">
            <v>40218.069999999912</v>
          </cell>
          <cell r="AT793">
            <v>0</v>
          </cell>
          <cell r="AU793">
            <v>2.5194485438551482E-2</v>
          </cell>
          <cell r="AV793">
            <v>7.7649475896179862E-2</v>
          </cell>
          <cell r="AW793">
            <v>4.6419689736187451E-2</v>
          </cell>
          <cell r="AX793">
            <v>6.3512724590309086E-2</v>
          </cell>
          <cell r="AY793">
            <v>6.4512724590309087E-2</v>
          </cell>
          <cell r="AZ793">
            <v>6.5512724590309088E-2</v>
          </cell>
          <cell r="BA793">
            <v>6.6512724590309089E-2</v>
          </cell>
          <cell r="BF793">
            <v>0</v>
          </cell>
          <cell r="BG793">
            <v>21430.000000000018</v>
          </cell>
          <cell r="BH793">
            <v>136759.04999999996</v>
          </cell>
          <cell r="BI793">
            <v>24295.659999999982</v>
          </cell>
          <cell r="BJ793">
            <v>6224.6000000000113</v>
          </cell>
          <cell r="BK793">
            <v>17461.889999999992</v>
          </cell>
          <cell r="BL793">
            <v>11354.069999999991</v>
          </cell>
          <cell r="BM793">
            <v>59336.219999999979</v>
          </cell>
          <cell r="BN793">
            <v>2554.3592034637668</v>
          </cell>
          <cell r="BO793">
            <v>0</v>
          </cell>
          <cell r="BP793">
            <v>0</v>
          </cell>
          <cell r="BQ793">
            <v>0</v>
          </cell>
          <cell r="BR793">
            <v>61890.579203463749</v>
          </cell>
          <cell r="BT793">
            <v>0</v>
          </cell>
          <cell r="CA793" t="str">
            <v>321301 - EBITA - Base</v>
          </cell>
          <cell r="CC793" t="str">
            <v>321301 - EBITA - Base - IS4</v>
          </cell>
          <cell r="CD793" t="str">
            <v/>
          </cell>
          <cell r="CF793" t="str">
            <v>321301 - Base - IS4</v>
          </cell>
        </row>
        <row r="794">
          <cell r="D794">
            <v>780</v>
          </cell>
          <cell r="E794">
            <v>0</v>
          </cell>
          <cell r="F794">
            <v>0</v>
          </cell>
          <cell r="G794" t="str">
            <v>321301</v>
          </cell>
          <cell r="H794" t="str">
            <v>IAEA CPA</v>
          </cell>
          <cell r="I794" t="str">
            <v>IS4</v>
          </cell>
          <cell r="J794" t="str">
            <v>IS4 Sustainment Engineering and Acquisition</v>
          </cell>
          <cell r="K794" t="str">
            <v>Dept. of State</v>
          </cell>
          <cell r="L794" t="str">
            <v>DOS</v>
          </cell>
          <cell r="M794" t="str">
            <v>Austria</v>
          </cell>
          <cell r="N794" t="str">
            <v>OCONUS</v>
          </cell>
          <cell r="O794">
            <v>0</v>
          </cell>
          <cell r="P794">
            <v>0</v>
          </cell>
          <cell r="Q794">
            <v>0</v>
          </cell>
          <cell r="R794" t="str">
            <v>T&amp;M</v>
          </cell>
          <cell r="S794">
            <v>0</v>
          </cell>
          <cell r="T794">
            <v>1</v>
          </cell>
          <cell r="U794" t="str">
            <v>EBITA</v>
          </cell>
          <cell r="V794" t="str">
            <v>Identified - Recompete</v>
          </cell>
          <cell r="W794">
            <v>0</v>
          </cell>
          <cell r="X794">
            <v>0</v>
          </cell>
          <cell r="Y794">
            <v>0</v>
          </cell>
          <cell r="Z794">
            <v>0</v>
          </cell>
          <cell r="AA794">
            <v>0</v>
          </cell>
          <cell r="AB794">
            <v>0</v>
          </cell>
          <cell r="AC794">
            <v>0</v>
          </cell>
          <cell r="AD794">
            <v>0</v>
          </cell>
          <cell r="AX794">
            <v>0</v>
          </cell>
          <cell r="AY794">
            <v>0</v>
          </cell>
          <cell r="AZ794">
            <v>0</v>
          </cell>
          <cell r="BA794">
            <v>0</v>
          </cell>
          <cell r="BI794">
            <v>0</v>
          </cell>
          <cell r="BJ794">
            <v>0</v>
          </cell>
          <cell r="BK794">
            <v>0</v>
          </cell>
          <cell r="BL794">
            <v>0</v>
          </cell>
          <cell r="BM794">
            <v>0</v>
          </cell>
          <cell r="BN794">
            <v>0</v>
          </cell>
          <cell r="BO794">
            <v>0</v>
          </cell>
          <cell r="BP794">
            <v>0</v>
          </cell>
          <cell r="BQ794">
            <v>0</v>
          </cell>
          <cell r="BR794">
            <v>0</v>
          </cell>
          <cell r="BT794">
            <v>0</v>
          </cell>
          <cell r="CA794" t="str">
            <v>321301 - EBITA - Identified - Recompete</v>
          </cell>
          <cell r="CC794" t="str">
            <v>321301 - EBITA - Identified - Recompete - IS4</v>
          </cell>
          <cell r="CD794" t="str">
            <v/>
          </cell>
          <cell r="CF794" t="str">
            <v>321301 - Identified - Recompete - IS4</v>
          </cell>
        </row>
        <row r="795">
          <cell r="D795">
            <v>781</v>
          </cell>
          <cell r="E795">
            <v>1</v>
          </cell>
          <cell r="F795">
            <v>1</v>
          </cell>
          <cell r="G795" t="str">
            <v>NB5003</v>
          </cell>
          <cell r="H795" t="str">
            <v>ITSS - DOS</v>
          </cell>
          <cell r="I795" t="str">
            <v>IS4</v>
          </cell>
          <cell r="J795" t="str">
            <v>IS4 Engineering and Technology Services</v>
          </cell>
          <cell r="K795" t="str">
            <v>Dept. of State</v>
          </cell>
          <cell r="L795" t="str">
            <v>DOS</v>
          </cell>
          <cell r="M795" t="str">
            <v>VA</v>
          </cell>
          <cell r="N795" t="str">
            <v>CONUS</v>
          </cell>
          <cell r="O795">
            <v>41290</v>
          </cell>
          <cell r="P795">
            <v>43614</v>
          </cell>
          <cell r="Q795" t="str">
            <v>Sub</v>
          </cell>
          <cell r="R795" t="str">
            <v>T&amp;M</v>
          </cell>
          <cell r="S795">
            <v>0</v>
          </cell>
          <cell r="T795">
            <v>1</v>
          </cell>
          <cell r="U795" t="str">
            <v>REVTOT</v>
          </cell>
          <cell r="V795" t="str">
            <v>Base</v>
          </cell>
          <cell r="W795" t="str">
            <v>05 Won</v>
          </cell>
          <cell r="X795" t="str">
            <v>Active</v>
          </cell>
          <cell r="Y795">
            <v>1</v>
          </cell>
          <cell r="Z795">
            <v>0</v>
          </cell>
          <cell r="AA795">
            <v>175615.66999999981</v>
          </cell>
          <cell r="AB795">
            <v>746035.65000000026</v>
          </cell>
          <cell r="AC795">
            <v>0</v>
          </cell>
          <cell r="AD795">
            <v>921651.32000000007</v>
          </cell>
          <cell r="AE795">
            <v>8.8451786731702509E-2</v>
          </cell>
          <cell r="AF795">
            <v>-0.1431221715314821</v>
          </cell>
          <cell r="AG795">
            <v>-0.24354354162787639</v>
          </cell>
          <cell r="AH795">
            <v>-1</v>
          </cell>
          <cell r="AI795">
            <v>0</v>
          </cell>
          <cell r="AJ795">
            <v>0</v>
          </cell>
          <cell r="AK795">
            <v>0</v>
          </cell>
          <cell r="BB795">
            <v>0</v>
          </cell>
          <cell r="BC795">
            <v>0</v>
          </cell>
          <cell r="BD795">
            <v>0</v>
          </cell>
          <cell r="BE795">
            <v>0</v>
          </cell>
          <cell r="BF795">
            <v>1880778.74</v>
          </cell>
          <cell r="BG795">
            <v>2047136.9800000002</v>
          </cell>
          <cell r="BH795">
            <v>1754146.29</v>
          </cell>
          <cell r="BI795">
            <v>428575.35</v>
          </cell>
          <cell r="BJ795">
            <v>383757.63</v>
          </cell>
          <cell r="BK795">
            <v>268759.03000000003</v>
          </cell>
          <cell r="BL795">
            <v>245843.28</v>
          </cell>
          <cell r="BM795">
            <v>1326935.29</v>
          </cell>
          <cell r="BN795">
            <v>0</v>
          </cell>
          <cell r="BO795">
            <v>0</v>
          </cell>
          <cell r="BP795">
            <v>0</v>
          </cell>
          <cell r="BQ795">
            <v>0</v>
          </cell>
          <cell r="BR795">
            <v>1326935.29</v>
          </cell>
          <cell r="BT795">
            <v>0</v>
          </cell>
          <cell r="CA795" t="str">
            <v>NB5003 - REVTOT - Base</v>
          </cell>
          <cell r="CC795" t="str">
            <v>NB5003 - REVTOT - Base - IS4</v>
          </cell>
          <cell r="CD795" t="str">
            <v/>
          </cell>
          <cell r="CF795" t="str">
            <v>NB5003 - Base - IS4</v>
          </cell>
        </row>
        <row r="796">
          <cell r="D796">
            <v>782</v>
          </cell>
          <cell r="E796">
            <v>1</v>
          </cell>
          <cell r="F796">
            <v>2</v>
          </cell>
          <cell r="G796" t="str">
            <v>NB5003</v>
          </cell>
          <cell r="H796" t="str">
            <v>ITSS - DOS</v>
          </cell>
          <cell r="I796" t="str">
            <v>IS4</v>
          </cell>
          <cell r="J796" t="str">
            <v>IS4 Engineering and Technology Services</v>
          </cell>
          <cell r="K796" t="str">
            <v>Dept. of State</v>
          </cell>
          <cell r="L796" t="str">
            <v>DOS</v>
          </cell>
          <cell r="M796" t="str">
            <v>VA</v>
          </cell>
          <cell r="N796" t="str">
            <v>CONUS</v>
          </cell>
          <cell r="O796">
            <v>0</v>
          </cell>
          <cell r="P796">
            <v>0</v>
          </cell>
          <cell r="Q796">
            <v>0</v>
          </cell>
          <cell r="R796" t="str">
            <v>T&amp;M</v>
          </cell>
          <cell r="S796">
            <v>0</v>
          </cell>
          <cell r="T796">
            <v>1</v>
          </cell>
          <cell r="U796" t="str">
            <v>REVTOT</v>
          </cell>
          <cell r="V796" t="str">
            <v>Identified - Recompete</v>
          </cell>
          <cell r="W796">
            <v>0</v>
          </cell>
          <cell r="X796">
            <v>0</v>
          </cell>
          <cell r="Y796">
            <v>0</v>
          </cell>
          <cell r="Z796">
            <v>0</v>
          </cell>
          <cell r="AA796">
            <v>0</v>
          </cell>
          <cell r="AB796">
            <v>0</v>
          </cell>
          <cell r="AC796">
            <v>0</v>
          </cell>
          <cell r="AD796">
            <v>0</v>
          </cell>
          <cell r="AI796">
            <v>0</v>
          </cell>
          <cell r="AJ796">
            <v>0</v>
          </cell>
          <cell r="AK796">
            <v>0</v>
          </cell>
          <cell r="BB796">
            <v>0</v>
          </cell>
          <cell r="BC796">
            <v>0</v>
          </cell>
          <cell r="BD796">
            <v>0</v>
          </cell>
          <cell r="BE796">
            <v>0</v>
          </cell>
          <cell r="BI796">
            <v>0</v>
          </cell>
          <cell r="BJ796">
            <v>0</v>
          </cell>
          <cell r="BK796">
            <v>0</v>
          </cell>
          <cell r="BL796">
            <v>0</v>
          </cell>
          <cell r="BM796">
            <v>0</v>
          </cell>
          <cell r="BN796">
            <v>0</v>
          </cell>
          <cell r="BO796">
            <v>0</v>
          </cell>
          <cell r="BP796">
            <v>0</v>
          </cell>
          <cell r="BQ796">
            <v>0</v>
          </cell>
          <cell r="BR796">
            <v>0</v>
          </cell>
          <cell r="BT796">
            <v>0</v>
          </cell>
          <cell r="CA796" t="str">
            <v>NB5003 - REVTOT - Identified - Recompete</v>
          </cell>
          <cell r="CC796" t="str">
            <v>NB5003 - REVTOT - Identified - Recompete - IS4</v>
          </cell>
          <cell r="CD796" t="str">
            <v/>
          </cell>
          <cell r="CF796" t="str">
            <v>NB5003 - Identified - Recompete - IS4</v>
          </cell>
        </row>
        <row r="797">
          <cell r="D797">
            <v>783</v>
          </cell>
          <cell r="E797">
            <v>2</v>
          </cell>
          <cell r="F797">
            <v>3</v>
          </cell>
          <cell r="G797" t="str">
            <v>NB5003</v>
          </cell>
          <cell r="H797" t="str">
            <v>ITSS - DOS</v>
          </cell>
          <cell r="I797" t="str">
            <v>IS4</v>
          </cell>
          <cell r="J797" t="str">
            <v>IS4 Engineering and Technology Services</v>
          </cell>
          <cell r="K797" t="str">
            <v>Dept. of State</v>
          </cell>
          <cell r="L797" t="str">
            <v>DOS</v>
          </cell>
          <cell r="M797" t="str">
            <v>VA</v>
          </cell>
          <cell r="N797" t="str">
            <v>CONUS</v>
          </cell>
          <cell r="O797">
            <v>41290</v>
          </cell>
          <cell r="P797">
            <v>43614</v>
          </cell>
          <cell r="Q797" t="str">
            <v>Sub</v>
          </cell>
          <cell r="R797" t="str">
            <v>T&amp;M</v>
          </cell>
          <cell r="S797">
            <v>0</v>
          </cell>
          <cell r="T797">
            <v>1</v>
          </cell>
          <cell r="U797" t="str">
            <v>CONTRACT</v>
          </cell>
          <cell r="V797" t="str">
            <v>Base</v>
          </cell>
          <cell r="W797" t="str">
            <v>05 Won</v>
          </cell>
          <cell r="X797" t="str">
            <v>Active</v>
          </cell>
          <cell r="Y797">
            <v>1</v>
          </cell>
          <cell r="Z797">
            <v>0</v>
          </cell>
          <cell r="AA797">
            <v>175615.66999999981</v>
          </cell>
          <cell r="AB797">
            <v>746035.65000000026</v>
          </cell>
          <cell r="AC797">
            <v>0</v>
          </cell>
          <cell r="AD797">
            <v>921651.32000000007</v>
          </cell>
          <cell r="AL797">
            <v>0.28873057125262913</v>
          </cell>
          <cell r="AM797">
            <v>0.28824950932203852</v>
          </cell>
          <cell r="AN797">
            <v>0.28282129194595274</v>
          </cell>
          <cell r="AO797">
            <v>0.25672755300674838</v>
          </cell>
          <cell r="AP797">
            <v>0.28105237249841714</v>
          </cell>
          <cell r="AQ797">
            <v>0.28105237249841714</v>
          </cell>
          <cell r="AR797">
            <v>0.28105237249841714</v>
          </cell>
          <cell r="AS797">
            <v>0.28105237249841714</v>
          </cell>
          <cell r="BF797">
            <v>543038.32000000007</v>
          </cell>
          <cell r="BG797">
            <v>590086.22999999986</v>
          </cell>
          <cell r="BH797">
            <v>496109.91999999993</v>
          </cell>
          <cell r="BI797">
            <v>120614.37999999999</v>
          </cell>
          <cell r="BJ797">
            <v>96622.57</v>
          </cell>
          <cell r="BK797">
            <v>66437.87999999999</v>
          </cell>
          <cell r="BL797">
            <v>56986.020000000004</v>
          </cell>
          <cell r="BM797">
            <v>340660.85000000003</v>
          </cell>
          <cell r="BN797">
            <v>0</v>
          </cell>
          <cell r="BO797">
            <v>0</v>
          </cell>
          <cell r="BP797">
            <v>0</v>
          </cell>
          <cell r="BQ797">
            <v>0</v>
          </cell>
          <cell r="BR797">
            <v>340660.85000000003</v>
          </cell>
          <cell r="BT797">
            <v>0</v>
          </cell>
          <cell r="CA797" t="str">
            <v>NB5003 - CONTRACT - Base</v>
          </cell>
          <cell r="CC797" t="str">
            <v>NB5003 - CONTRACT - Base - IS4</v>
          </cell>
          <cell r="CD797" t="str">
            <v/>
          </cell>
          <cell r="CF797" t="str">
            <v>NB5003 - Base - IS4</v>
          </cell>
        </row>
        <row r="798">
          <cell r="D798">
            <v>784</v>
          </cell>
          <cell r="E798">
            <v>2</v>
          </cell>
          <cell r="F798">
            <v>4</v>
          </cell>
          <cell r="G798" t="str">
            <v>NB5003</v>
          </cell>
          <cell r="H798" t="str">
            <v>ITSS - DOS</v>
          </cell>
          <cell r="I798" t="str">
            <v>IS4</v>
          </cell>
          <cell r="J798" t="str">
            <v>IS4 Engineering and Technology Services</v>
          </cell>
          <cell r="K798" t="str">
            <v>Dept. of State</v>
          </cell>
          <cell r="L798" t="str">
            <v>DOS</v>
          </cell>
          <cell r="M798" t="str">
            <v>VA</v>
          </cell>
          <cell r="N798" t="str">
            <v>CONUS</v>
          </cell>
          <cell r="O798">
            <v>0</v>
          </cell>
          <cell r="P798">
            <v>0</v>
          </cell>
          <cell r="Q798">
            <v>0</v>
          </cell>
          <cell r="R798" t="str">
            <v>T&amp;M</v>
          </cell>
          <cell r="S798">
            <v>0</v>
          </cell>
          <cell r="T798">
            <v>1</v>
          </cell>
          <cell r="U798" t="str">
            <v>CONTRACT</v>
          </cell>
          <cell r="V798" t="str">
            <v>Identified - Recompete</v>
          </cell>
          <cell r="W798">
            <v>0</v>
          </cell>
          <cell r="X798">
            <v>0</v>
          </cell>
          <cell r="Y798">
            <v>0</v>
          </cell>
          <cell r="Z798">
            <v>0</v>
          </cell>
          <cell r="AA798">
            <v>0</v>
          </cell>
          <cell r="AB798">
            <v>0</v>
          </cell>
          <cell r="AC798">
            <v>0</v>
          </cell>
          <cell r="AD798">
            <v>0</v>
          </cell>
          <cell r="AP798">
            <v>0</v>
          </cell>
          <cell r="AQ798">
            <v>0</v>
          </cell>
          <cell r="AR798">
            <v>0</v>
          </cell>
          <cell r="AS798">
            <v>0</v>
          </cell>
          <cell r="BI798">
            <v>0</v>
          </cell>
          <cell r="BJ798">
            <v>0</v>
          </cell>
          <cell r="BK798">
            <v>0</v>
          </cell>
          <cell r="BL798">
            <v>0</v>
          </cell>
          <cell r="BM798">
            <v>0</v>
          </cell>
          <cell r="BN798">
            <v>0</v>
          </cell>
          <cell r="BO798">
            <v>0</v>
          </cell>
          <cell r="BP798">
            <v>0</v>
          </cell>
          <cell r="BQ798">
            <v>0</v>
          </cell>
          <cell r="BR798">
            <v>0</v>
          </cell>
          <cell r="BT798">
            <v>0</v>
          </cell>
          <cell r="CA798" t="str">
            <v>NB5003 - CONTRACT - Identified - Recompete</v>
          </cell>
          <cell r="CC798" t="str">
            <v>NB5003 - CONTRACT - Identified - Recompete - IS4</v>
          </cell>
          <cell r="CD798" t="str">
            <v/>
          </cell>
          <cell r="CF798" t="str">
            <v>NB5003 - Identified - Recompete - IS4</v>
          </cell>
        </row>
        <row r="799">
          <cell r="D799">
            <v>785</v>
          </cell>
          <cell r="E799">
            <v>0</v>
          </cell>
          <cell r="F799">
            <v>5</v>
          </cell>
          <cell r="G799" t="str">
            <v>NB5003</v>
          </cell>
          <cell r="H799" t="str">
            <v>ITSS - DOS</v>
          </cell>
          <cell r="I799" t="str">
            <v>IS4</v>
          </cell>
          <cell r="J799" t="str">
            <v>IS4 Engineering and Technology Services</v>
          </cell>
          <cell r="K799" t="str">
            <v>Dept. of State</v>
          </cell>
          <cell r="L799" t="str">
            <v>DOS</v>
          </cell>
          <cell r="M799" t="str">
            <v>VA</v>
          </cell>
          <cell r="N799" t="str">
            <v>CONUS</v>
          </cell>
          <cell r="O799">
            <v>41290</v>
          </cell>
          <cell r="P799">
            <v>43614</v>
          </cell>
          <cell r="Q799" t="str">
            <v>Sub</v>
          </cell>
          <cell r="R799" t="str">
            <v>T&amp;M</v>
          </cell>
          <cell r="S799">
            <v>0</v>
          </cell>
          <cell r="T799">
            <v>1</v>
          </cell>
          <cell r="U799" t="str">
            <v>EBITA</v>
          </cell>
          <cell r="V799" t="str">
            <v>Base</v>
          </cell>
          <cell r="W799" t="str">
            <v>05 Won</v>
          </cell>
          <cell r="X799" t="str">
            <v>Active</v>
          </cell>
          <cell r="Y799">
            <v>1</v>
          </cell>
          <cell r="Z799">
            <v>0</v>
          </cell>
          <cell r="AA799">
            <v>175615.66999999981</v>
          </cell>
          <cell r="AB799">
            <v>746035.65000000026</v>
          </cell>
          <cell r="AC799">
            <v>0</v>
          </cell>
          <cell r="AD799">
            <v>921651.32000000007</v>
          </cell>
          <cell r="AT799">
            <v>0.10714084315946704</v>
          </cell>
          <cell r="AU799">
            <v>0.1820612170271087</v>
          </cell>
          <cell r="AV799">
            <v>0.17519050819872042</v>
          </cell>
          <cell r="AW799">
            <v>0.13796234931697385</v>
          </cell>
          <cell r="AX799">
            <v>0.15288896705667157</v>
          </cell>
          <cell r="AY799">
            <v>0.15388896705667157</v>
          </cell>
          <cell r="AZ799">
            <v>0.15488896705667157</v>
          </cell>
          <cell r="BA799">
            <v>0.15588896705667157</v>
          </cell>
          <cell r="BF799">
            <v>201508.22000000003</v>
          </cell>
          <cell r="BG799">
            <v>372704.24999999994</v>
          </cell>
          <cell r="BH799">
            <v>307309.78000000003</v>
          </cell>
          <cell r="BI799">
            <v>70772.059999999983</v>
          </cell>
          <cell r="BJ799">
            <v>51515.960000000006</v>
          </cell>
          <cell r="BK799">
            <v>34022.149999999994</v>
          </cell>
          <cell r="BL799">
            <v>26756.940000000002</v>
          </cell>
          <cell r="BM799">
            <v>183067.11</v>
          </cell>
          <cell r="BN799">
            <v>0</v>
          </cell>
          <cell r="BO799">
            <v>0</v>
          </cell>
          <cell r="BP799">
            <v>0</v>
          </cell>
          <cell r="BQ799">
            <v>0</v>
          </cell>
          <cell r="BR799">
            <v>183067.11</v>
          </cell>
          <cell r="BT799">
            <v>0</v>
          </cell>
          <cell r="CA799" t="str">
            <v>NB5003 - EBITA - Base</v>
          </cell>
          <cell r="CC799" t="str">
            <v>NB5003 - EBITA - Base - IS4</v>
          </cell>
          <cell r="CD799" t="str">
            <v/>
          </cell>
          <cell r="CF799" t="str">
            <v>NB5003 - Base - IS4</v>
          </cell>
        </row>
        <row r="800">
          <cell r="D800">
            <v>786</v>
          </cell>
          <cell r="E800">
            <v>0</v>
          </cell>
          <cell r="F800">
            <v>0</v>
          </cell>
          <cell r="G800" t="str">
            <v>NB5003</v>
          </cell>
          <cell r="H800" t="str">
            <v>ITSS - DOS</v>
          </cell>
          <cell r="I800" t="str">
            <v>IS4</v>
          </cell>
          <cell r="J800" t="str">
            <v>IS4 Engineering and Technology Services</v>
          </cell>
          <cell r="K800" t="str">
            <v>Dept. of State</v>
          </cell>
          <cell r="L800" t="str">
            <v>DOS</v>
          </cell>
          <cell r="M800" t="str">
            <v>VA</v>
          </cell>
          <cell r="N800" t="str">
            <v>CONUS</v>
          </cell>
          <cell r="O800">
            <v>0</v>
          </cell>
          <cell r="P800">
            <v>0</v>
          </cell>
          <cell r="Q800">
            <v>0</v>
          </cell>
          <cell r="R800" t="str">
            <v>T&amp;M</v>
          </cell>
          <cell r="S800">
            <v>0</v>
          </cell>
          <cell r="T800">
            <v>1</v>
          </cell>
          <cell r="U800" t="str">
            <v>EBITA</v>
          </cell>
          <cell r="V800" t="str">
            <v>Identified - Recompete</v>
          </cell>
          <cell r="W800">
            <v>0</v>
          </cell>
          <cell r="X800">
            <v>0</v>
          </cell>
          <cell r="Y800">
            <v>0</v>
          </cell>
          <cell r="Z800">
            <v>0</v>
          </cell>
          <cell r="AA800">
            <v>0</v>
          </cell>
          <cell r="AB800">
            <v>0</v>
          </cell>
          <cell r="AC800">
            <v>0</v>
          </cell>
          <cell r="AD800">
            <v>0</v>
          </cell>
          <cell r="AX800">
            <v>0</v>
          </cell>
          <cell r="AY800">
            <v>0</v>
          </cell>
          <cell r="AZ800">
            <v>0</v>
          </cell>
          <cell r="BA800">
            <v>0</v>
          </cell>
          <cell r="BI800">
            <v>0</v>
          </cell>
          <cell r="BJ800">
            <v>0</v>
          </cell>
          <cell r="BK800">
            <v>0</v>
          </cell>
          <cell r="BL800">
            <v>0</v>
          </cell>
          <cell r="BM800">
            <v>0</v>
          </cell>
          <cell r="BN800">
            <v>0</v>
          </cell>
          <cell r="BO800">
            <v>0</v>
          </cell>
          <cell r="BP800">
            <v>0</v>
          </cell>
          <cell r="BQ800">
            <v>0</v>
          </cell>
          <cell r="BR800">
            <v>0</v>
          </cell>
          <cell r="BT800">
            <v>0</v>
          </cell>
          <cell r="CA800" t="str">
            <v>NB5003 - EBITA - Identified - Recompete</v>
          </cell>
          <cell r="CC800" t="str">
            <v>NB5003 - EBITA - Identified - Recompete - IS4</v>
          </cell>
          <cell r="CD800" t="str">
            <v/>
          </cell>
          <cell r="CF800" t="str">
            <v>NB5003 - Identified - Recompete - IS4</v>
          </cell>
        </row>
        <row r="801">
          <cell r="D801">
            <v>787</v>
          </cell>
          <cell r="E801">
            <v>1</v>
          </cell>
          <cell r="F801">
            <v>1</v>
          </cell>
          <cell r="G801" t="str">
            <v>70007I</v>
          </cell>
          <cell r="H801" t="str">
            <v>DHS Mgmt Support Services</v>
          </cell>
          <cell r="I801" t="str">
            <v>IS4</v>
          </cell>
          <cell r="J801" t="str">
            <v>IS4 Engineering and Technology Services</v>
          </cell>
          <cell r="K801" t="str">
            <v>Homeland Security</v>
          </cell>
          <cell r="L801" t="str">
            <v>DOD</v>
          </cell>
          <cell r="M801" t="str">
            <v>VA</v>
          </cell>
          <cell r="N801" t="str">
            <v>CONUS</v>
          </cell>
          <cell r="O801">
            <v>43373</v>
          </cell>
          <cell r="P801">
            <v>43732</v>
          </cell>
          <cell r="Q801" t="str">
            <v>Prime</v>
          </cell>
          <cell r="R801" t="str">
            <v>T&amp;M</v>
          </cell>
          <cell r="S801">
            <v>0</v>
          </cell>
          <cell r="T801">
            <v>1</v>
          </cell>
          <cell r="U801" t="str">
            <v>REVTOT</v>
          </cell>
          <cell r="V801" t="str">
            <v>Base</v>
          </cell>
          <cell r="W801" t="str">
            <v>05 Won</v>
          </cell>
          <cell r="X801" t="str">
            <v>Active</v>
          </cell>
          <cell r="Y801">
            <v>1</v>
          </cell>
          <cell r="Z801">
            <v>0</v>
          </cell>
          <cell r="AA801">
            <v>865053.66999999969</v>
          </cell>
          <cell r="AB801">
            <v>-0.47999999998137355</v>
          </cell>
          <cell r="AC801">
            <v>0</v>
          </cell>
          <cell r="AD801">
            <v>865053.18999999971</v>
          </cell>
          <cell r="AE801">
            <v>6.3860345558448772E-2</v>
          </cell>
          <cell r="AF801">
            <v>0.11202036713521313</v>
          </cell>
          <cell r="AG801">
            <v>0.12937200154372275</v>
          </cell>
          <cell r="AH801">
            <v>-4.7789302553649327E-2</v>
          </cell>
          <cell r="AI801">
            <v>0</v>
          </cell>
          <cell r="AJ801">
            <v>0</v>
          </cell>
          <cell r="AK801">
            <v>0</v>
          </cell>
          <cell r="BB801">
            <v>670601.62999999989</v>
          </cell>
          <cell r="BC801">
            <v>670601.62999999989</v>
          </cell>
          <cell r="BD801">
            <v>670601.62999999989</v>
          </cell>
          <cell r="BE801">
            <v>670601.62999999989</v>
          </cell>
          <cell r="BF801">
            <v>527105.04</v>
          </cell>
          <cell r="BG801">
            <v>560766.15</v>
          </cell>
          <cell r="BH801">
            <v>623583.38</v>
          </cell>
          <cell r="BI801">
            <v>173161.8</v>
          </cell>
          <cell r="BJ801">
            <v>188812.86</v>
          </cell>
          <cell r="BK801">
            <v>171228.37999999998</v>
          </cell>
          <cell r="BL801">
            <v>171054.57</v>
          </cell>
          <cell r="BM801">
            <v>704257.60999999987</v>
          </cell>
          <cell r="BN801">
            <v>670601.62999999989</v>
          </cell>
          <cell r="BO801">
            <v>194451.55999999982</v>
          </cell>
          <cell r="BP801">
            <v>0</v>
          </cell>
          <cell r="BQ801">
            <v>0</v>
          </cell>
          <cell r="BR801">
            <v>1569310.7999999996</v>
          </cell>
          <cell r="BT801">
            <v>0</v>
          </cell>
          <cell r="CA801" t="str">
            <v>70007I - REVTOT - Base</v>
          </cell>
          <cell r="CC801" t="str">
            <v>70007I - REVTOT - Base - IS4</v>
          </cell>
          <cell r="CD801" t="str">
            <v/>
          </cell>
          <cell r="CF801" t="str">
            <v>70007I - Base - IS4</v>
          </cell>
        </row>
        <row r="802">
          <cell r="D802">
            <v>788</v>
          </cell>
          <cell r="E802">
            <v>1</v>
          </cell>
          <cell r="F802">
            <v>2</v>
          </cell>
          <cell r="G802" t="str">
            <v>70007I</v>
          </cell>
          <cell r="H802" t="str">
            <v>DHS Mgmt Support Services</v>
          </cell>
          <cell r="I802" t="str">
            <v>IS4</v>
          </cell>
          <cell r="J802" t="str">
            <v>IS4 Engineering and Technology Services</v>
          </cell>
          <cell r="K802" t="str">
            <v>Homeland Security</v>
          </cell>
          <cell r="L802" t="str">
            <v>DOD</v>
          </cell>
          <cell r="M802" t="str">
            <v>VA</v>
          </cell>
          <cell r="N802" t="str">
            <v>CONUS</v>
          </cell>
          <cell r="O802">
            <v>0</v>
          </cell>
          <cell r="P802">
            <v>0</v>
          </cell>
          <cell r="Q802">
            <v>0</v>
          </cell>
          <cell r="R802" t="str">
            <v>T&amp;M</v>
          </cell>
          <cell r="S802">
            <v>0</v>
          </cell>
          <cell r="T802">
            <v>1</v>
          </cell>
          <cell r="U802" t="str">
            <v>REVTOT</v>
          </cell>
          <cell r="V802" t="str">
            <v>Identified - Recompete</v>
          </cell>
          <cell r="W802">
            <v>0</v>
          </cell>
          <cell r="X802">
            <v>0</v>
          </cell>
          <cell r="Y802">
            <v>0</v>
          </cell>
          <cell r="Z802">
            <v>0</v>
          </cell>
          <cell r="AA802">
            <v>0</v>
          </cell>
          <cell r="AB802">
            <v>0</v>
          </cell>
          <cell r="AC802">
            <v>0</v>
          </cell>
          <cell r="AD802">
            <v>0</v>
          </cell>
          <cell r="AI802">
            <v>0</v>
          </cell>
          <cell r="AJ802">
            <v>0</v>
          </cell>
          <cell r="AK802">
            <v>0</v>
          </cell>
          <cell r="BB802">
            <v>0</v>
          </cell>
          <cell r="BC802">
            <v>0</v>
          </cell>
          <cell r="BD802">
            <v>0</v>
          </cell>
          <cell r="BE802">
            <v>0</v>
          </cell>
          <cell r="BI802">
            <v>0</v>
          </cell>
          <cell r="BJ802">
            <v>0</v>
          </cell>
          <cell r="BK802">
            <v>0</v>
          </cell>
          <cell r="BL802">
            <v>0</v>
          </cell>
          <cell r="BM802">
            <v>0</v>
          </cell>
          <cell r="BN802">
            <v>0</v>
          </cell>
          <cell r="BO802">
            <v>0</v>
          </cell>
          <cell r="BP802">
            <v>0</v>
          </cell>
          <cell r="BQ802">
            <v>0</v>
          </cell>
          <cell r="BR802">
            <v>0</v>
          </cell>
          <cell r="BT802">
            <v>0</v>
          </cell>
          <cell r="CA802" t="str">
            <v>70007I - REVTOT - Identified - Recompete</v>
          </cell>
          <cell r="CC802" t="str">
            <v>70007I - REVTOT - Identified - Recompete - IS4</v>
          </cell>
          <cell r="CD802" t="str">
            <v/>
          </cell>
          <cell r="CF802" t="str">
            <v>70007I - Identified - Recompete - IS4</v>
          </cell>
        </row>
        <row r="803">
          <cell r="D803">
            <v>789</v>
          </cell>
          <cell r="E803">
            <v>2</v>
          </cell>
          <cell r="F803">
            <v>3</v>
          </cell>
          <cell r="G803" t="str">
            <v>70007I</v>
          </cell>
          <cell r="H803" t="str">
            <v>DHS Mgmt Support Services</v>
          </cell>
          <cell r="I803" t="str">
            <v>IS4</v>
          </cell>
          <cell r="J803" t="str">
            <v>IS4 Engineering and Technology Services</v>
          </cell>
          <cell r="K803" t="str">
            <v>Homeland Security</v>
          </cell>
          <cell r="L803" t="str">
            <v>DOD</v>
          </cell>
          <cell r="M803" t="str">
            <v>VA</v>
          </cell>
          <cell r="N803" t="str">
            <v>CONUS</v>
          </cell>
          <cell r="O803">
            <v>43373</v>
          </cell>
          <cell r="P803">
            <v>43732</v>
          </cell>
          <cell r="Q803" t="str">
            <v>Prime</v>
          </cell>
          <cell r="R803" t="str">
            <v>T&amp;M</v>
          </cell>
          <cell r="S803">
            <v>0</v>
          </cell>
          <cell r="T803">
            <v>1</v>
          </cell>
          <cell r="U803" t="str">
            <v>CONTRACT</v>
          </cell>
          <cell r="V803" t="str">
            <v>Base</v>
          </cell>
          <cell r="W803" t="str">
            <v>05 Won</v>
          </cell>
          <cell r="X803" t="str">
            <v>Active</v>
          </cell>
          <cell r="Y803">
            <v>1</v>
          </cell>
          <cell r="Z803">
            <v>0</v>
          </cell>
          <cell r="AA803">
            <v>865053.66999999969</v>
          </cell>
          <cell r="AB803">
            <v>-0.47999999998137355</v>
          </cell>
          <cell r="AC803">
            <v>0</v>
          </cell>
          <cell r="AD803">
            <v>865053.18999999971</v>
          </cell>
          <cell r="AL803">
            <v>0.19680826804463869</v>
          </cell>
          <cell r="AM803">
            <v>0.20015749880765807</v>
          </cell>
          <cell r="AN803">
            <v>0.2213605179791675</v>
          </cell>
          <cell r="AO803">
            <v>0.19476214149961399</v>
          </cell>
          <cell r="AP803">
            <v>0.20065603662192116</v>
          </cell>
          <cell r="AQ803">
            <v>0.20065603662192116</v>
          </cell>
          <cell r="AR803">
            <v>0.20065603662192116</v>
          </cell>
          <cell r="AS803">
            <v>0.20065603662192116</v>
          </cell>
          <cell r="BF803">
            <v>103738.63</v>
          </cell>
          <cell r="BG803">
            <v>112241.55000000002</v>
          </cell>
          <cell r="BH803">
            <v>138036.74000000005</v>
          </cell>
          <cell r="BI803">
            <v>41550.959999999985</v>
          </cell>
          <cell r="BJ803">
            <v>43183.789999999994</v>
          </cell>
          <cell r="BK803">
            <v>21409.14999999998</v>
          </cell>
          <cell r="BL803">
            <v>31018.820290999989</v>
          </cell>
          <cell r="BM803">
            <v>137162.72029099995</v>
          </cell>
          <cell r="BN803">
            <v>134560.265228</v>
          </cell>
          <cell r="BO803">
            <v>39017.879344549663</v>
          </cell>
          <cell r="BP803">
            <v>0</v>
          </cell>
          <cell r="BQ803">
            <v>0</v>
          </cell>
          <cell r="BR803">
            <v>310740.86486354965</v>
          </cell>
          <cell r="BT803">
            <v>0</v>
          </cell>
          <cell r="CA803" t="str">
            <v>70007I - CONTRACT - Base</v>
          </cell>
          <cell r="CC803" t="str">
            <v>70007I - CONTRACT - Base - IS4</v>
          </cell>
          <cell r="CD803" t="str">
            <v/>
          </cell>
          <cell r="CF803" t="str">
            <v>70007I - Base - IS4</v>
          </cell>
        </row>
        <row r="804">
          <cell r="D804">
            <v>790</v>
          </cell>
          <cell r="E804">
            <v>2</v>
          </cell>
          <cell r="F804">
            <v>4</v>
          </cell>
          <cell r="G804" t="str">
            <v>70007I</v>
          </cell>
          <cell r="H804" t="str">
            <v>DHS Mgmt Support Services</v>
          </cell>
          <cell r="I804" t="str">
            <v>IS4</v>
          </cell>
          <cell r="J804" t="str">
            <v>IS4 Engineering and Technology Services</v>
          </cell>
          <cell r="K804" t="str">
            <v>Homeland Security</v>
          </cell>
          <cell r="L804" t="str">
            <v>DOD</v>
          </cell>
          <cell r="M804" t="str">
            <v>VA</v>
          </cell>
          <cell r="N804" t="str">
            <v>CONUS</v>
          </cell>
          <cell r="O804">
            <v>0</v>
          </cell>
          <cell r="P804">
            <v>0</v>
          </cell>
          <cell r="Q804">
            <v>0</v>
          </cell>
          <cell r="R804" t="str">
            <v>T&amp;M</v>
          </cell>
          <cell r="S804">
            <v>0</v>
          </cell>
          <cell r="T804">
            <v>1</v>
          </cell>
          <cell r="U804" t="str">
            <v>CONTRACT</v>
          </cell>
          <cell r="V804" t="str">
            <v>Identified - Recompete</v>
          </cell>
          <cell r="W804">
            <v>0</v>
          </cell>
          <cell r="X804">
            <v>0</v>
          </cell>
          <cell r="Y804">
            <v>0</v>
          </cell>
          <cell r="Z804">
            <v>0</v>
          </cell>
          <cell r="AA804">
            <v>0</v>
          </cell>
          <cell r="AB804">
            <v>0</v>
          </cell>
          <cell r="AC804">
            <v>0</v>
          </cell>
          <cell r="AD804">
            <v>0</v>
          </cell>
          <cell r="AP804">
            <v>0</v>
          </cell>
          <cell r="AQ804">
            <v>0</v>
          </cell>
          <cell r="AR804">
            <v>0</v>
          </cell>
          <cell r="AS804">
            <v>0</v>
          </cell>
          <cell r="BI804">
            <v>0</v>
          </cell>
          <cell r="BJ804">
            <v>0</v>
          </cell>
          <cell r="BK804">
            <v>0</v>
          </cell>
          <cell r="BL804">
            <v>0</v>
          </cell>
          <cell r="BM804">
            <v>0</v>
          </cell>
          <cell r="BN804">
            <v>0</v>
          </cell>
          <cell r="BO804">
            <v>0</v>
          </cell>
          <cell r="BP804">
            <v>0</v>
          </cell>
          <cell r="BQ804">
            <v>0</v>
          </cell>
          <cell r="BR804">
            <v>0</v>
          </cell>
          <cell r="BT804">
            <v>0</v>
          </cell>
          <cell r="CA804" t="str">
            <v>70007I - CONTRACT - Identified - Recompete</v>
          </cell>
          <cell r="CC804" t="str">
            <v>70007I - CONTRACT - Identified - Recompete - IS4</v>
          </cell>
          <cell r="CD804" t="str">
            <v/>
          </cell>
          <cell r="CF804" t="str">
            <v>70007I - Identified - Recompete - IS4</v>
          </cell>
        </row>
        <row r="805">
          <cell r="D805">
            <v>791</v>
          </cell>
          <cell r="E805">
            <v>0</v>
          </cell>
          <cell r="F805">
            <v>5</v>
          </cell>
          <cell r="G805" t="str">
            <v>70007I</v>
          </cell>
          <cell r="H805" t="str">
            <v>DHS Mgmt Support Services</v>
          </cell>
          <cell r="I805" t="str">
            <v>IS4</v>
          </cell>
          <cell r="J805" t="str">
            <v>IS4 Engineering and Technology Services</v>
          </cell>
          <cell r="K805" t="str">
            <v>Homeland Security</v>
          </cell>
          <cell r="L805" t="str">
            <v>DOD</v>
          </cell>
          <cell r="M805" t="str">
            <v>VA</v>
          </cell>
          <cell r="N805" t="str">
            <v>CONUS</v>
          </cell>
          <cell r="O805">
            <v>43373</v>
          </cell>
          <cell r="P805">
            <v>43732</v>
          </cell>
          <cell r="Q805" t="str">
            <v>Prime</v>
          </cell>
          <cell r="R805" t="str">
            <v>T&amp;M</v>
          </cell>
          <cell r="S805">
            <v>0</v>
          </cell>
          <cell r="T805">
            <v>1</v>
          </cell>
          <cell r="U805" t="str">
            <v>EBITA</v>
          </cell>
          <cell r="V805" t="str">
            <v>Base</v>
          </cell>
          <cell r="W805" t="str">
            <v>05 Won</v>
          </cell>
          <cell r="X805" t="str">
            <v>Active</v>
          </cell>
          <cell r="Y805">
            <v>1</v>
          </cell>
          <cell r="Z805">
            <v>0</v>
          </cell>
          <cell r="AA805">
            <v>865053.66999999969</v>
          </cell>
          <cell r="AB805">
            <v>-0.47999999998137355</v>
          </cell>
          <cell r="AC805">
            <v>0</v>
          </cell>
          <cell r="AD805">
            <v>865053.18999999971</v>
          </cell>
          <cell r="AT805">
            <v>-4.9651393961249015E-3</v>
          </cell>
          <cell r="AU805">
            <v>8.0438592807358308E-2</v>
          </cell>
          <cell r="AV805">
            <v>0.10535412281193261</v>
          </cell>
          <cell r="AW805">
            <v>6.9795761525716996E-2</v>
          </cell>
          <cell r="AX805">
            <v>7.5831218231930939E-2</v>
          </cell>
          <cell r="AY805">
            <v>7.6831218231930939E-2</v>
          </cell>
          <cell r="AZ805">
            <v>7.783121823193094E-2</v>
          </cell>
          <cell r="BA805">
            <v>7.8831218231930941E-2</v>
          </cell>
          <cell r="BF805">
            <v>-2617.1499999999924</v>
          </cell>
          <cell r="BG805">
            <v>45107.240000000013</v>
          </cell>
          <cell r="BH805">
            <v>65697.080000000045</v>
          </cell>
          <cell r="BI805">
            <v>20594.639999999985</v>
          </cell>
          <cell r="BJ805">
            <v>20683.319999999996</v>
          </cell>
          <cell r="BK805">
            <v>-2075.3800000000483</v>
          </cell>
          <cell r="BL805">
            <v>9951.6162002314704</v>
          </cell>
          <cell r="BM805">
            <v>49154.196200231396</v>
          </cell>
          <cell r="BN805">
            <v>50852.538551218597</v>
          </cell>
          <cell r="BO805">
            <v>14939.9502418994</v>
          </cell>
          <cell r="BP805">
            <v>0</v>
          </cell>
          <cell r="BQ805">
            <v>0</v>
          </cell>
          <cell r="BR805">
            <v>114946.68499334938</v>
          </cell>
          <cell r="BT805">
            <v>0</v>
          </cell>
          <cell r="CA805" t="str">
            <v>70007I - EBITA - Base</v>
          </cell>
          <cell r="CC805" t="str">
            <v>70007I - EBITA - Base - IS4</v>
          </cell>
          <cell r="CD805" t="str">
            <v/>
          </cell>
          <cell r="CF805" t="str">
            <v>70007I - Base - IS4</v>
          </cell>
        </row>
        <row r="806">
          <cell r="D806">
            <v>792</v>
          </cell>
          <cell r="E806">
            <v>0</v>
          </cell>
          <cell r="F806">
            <v>0</v>
          </cell>
          <cell r="G806" t="str">
            <v>70007I</v>
          </cell>
          <cell r="H806" t="str">
            <v>DHS Mgmt Support Services</v>
          </cell>
          <cell r="I806" t="str">
            <v>IS4</v>
          </cell>
          <cell r="J806" t="str">
            <v>IS4 Engineering and Technology Services</v>
          </cell>
          <cell r="K806" t="str">
            <v>Homeland Security</v>
          </cell>
          <cell r="L806" t="str">
            <v>DOD</v>
          </cell>
          <cell r="M806" t="str">
            <v>VA</v>
          </cell>
          <cell r="N806" t="str">
            <v>CONUS</v>
          </cell>
          <cell r="O806">
            <v>0</v>
          </cell>
          <cell r="P806">
            <v>0</v>
          </cell>
          <cell r="Q806">
            <v>0</v>
          </cell>
          <cell r="R806" t="str">
            <v>T&amp;M</v>
          </cell>
          <cell r="S806">
            <v>0</v>
          </cell>
          <cell r="T806">
            <v>1</v>
          </cell>
          <cell r="U806" t="str">
            <v>EBITA</v>
          </cell>
          <cell r="V806" t="str">
            <v>Identified - Recompete</v>
          </cell>
          <cell r="W806">
            <v>0</v>
          </cell>
          <cell r="X806">
            <v>0</v>
          </cell>
          <cell r="Y806">
            <v>0</v>
          </cell>
          <cell r="Z806">
            <v>0</v>
          </cell>
          <cell r="AA806">
            <v>0</v>
          </cell>
          <cell r="AB806">
            <v>0</v>
          </cell>
          <cell r="AC806">
            <v>0</v>
          </cell>
          <cell r="AD806">
            <v>0</v>
          </cell>
          <cell r="AX806">
            <v>0</v>
          </cell>
          <cell r="AY806">
            <v>0</v>
          </cell>
          <cell r="AZ806">
            <v>0</v>
          </cell>
          <cell r="BA806">
            <v>0</v>
          </cell>
          <cell r="BI806">
            <v>0</v>
          </cell>
          <cell r="BJ806">
            <v>0</v>
          </cell>
          <cell r="BK806">
            <v>0</v>
          </cell>
          <cell r="BL806">
            <v>0</v>
          </cell>
          <cell r="BM806">
            <v>0</v>
          </cell>
          <cell r="BN806">
            <v>0</v>
          </cell>
          <cell r="BO806">
            <v>0</v>
          </cell>
          <cell r="BP806">
            <v>0</v>
          </cell>
          <cell r="BQ806">
            <v>0</v>
          </cell>
          <cell r="BR806">
            <v>0</v>
          </cell>
          <cell r="BT806">
            <v>0</v>
          </cell>
          <cell r="CA806" t="str">
            <v>70007I - EBITA - Identified - Recompete</v>
          </cell>
          <cell r="CC806" t="str">
            <v>70007I - EBITA - Identified - Recompete - IS4</v>
          </cell>
          <cell r="CD806" t="str">
            <v/>
          </cell>
          <cell r="CF806" t="str">
            <v>70007I - Identified - Recompete - IS4</v>
          </cell>
        </row>
        <row r="807">
          <cell r="D807">
            <v>793</v>
          </cell>
          <cell r="E807">
            <v>1</v>
          </cell>
          <cell r="F807">
            <v>1</v>
          </cell>
          <cell r="G807" t="str">
            <v>NB5033</v>
          </cell>
          <cell r="H807" t="str">
            <v>DHS Horizon</v>
          </cell>
          <cell r="I807" t="str">
            <v>IS4</v>
          </cell>
          <cell r="J807" t="str">
            <v>IS4 Engineering and Technology Services</v>
          </cell>
          <cell r="K807" t="str">
            <v>DOJ</v>
          </cell>
          <cell r="L807" t="str">
            <v>DOJ</v>
          </cell>
          <cell r="M807" t="str">
            <v>US_State</v>
          </cell>
          <cell r="N807" t="str">
            <v>CONUS</v>
          </cell>
          <cell r="O807">
            <v>42275</v>
          </cell>
          <cell r="P807">
            <v>43735</v>
          </cell>
          <cell r="Q807" t="str">
            <v>Sub</v>
          </cell>
          <cell r="R807" t="str">
            <v>T&amp;M</v>
          </cell>
          <cell r="S807">
            <v>0</v>
          </cell>
          <cell r="T807">
            <v>1</v>
          </cell>
          <cell r="U807" t="str">
            <v>REVTOT</v>
          </cell>
          <cell r="V807" t="str">
            <v>Base</v>
          </cell>
          <cell r="W807" t="str">
            <v>05 Won</v>
          </cell>
          <cell r="X807" t="str">
            <v>Active</v>
          </cell>
          <cell r="Y807">
            <v>1</v>
          </cell>
          <cell r="Z807">
            <v>0</v>
          </cell>
          <cell r="AA807">
            <v>1146767.0700000003</v>
          </cell>
          <cell r="AB807">
            <v>2493305.8199999998</v>
          </cell>
          <cell r="AC807">
            <v>0</v>
          </cell>
          <cell r="AD807">
            <v>3640072.89</v>
          </cell>
          <cell r="AE807">
            <v>0.32015617854762368</v>
          </cell>
          <cell r="AF807">
            <v>9.6719065353456868E-2</v>
          </cell>
          <cell r="AG807">
            <v>5.6112251448330319E-2</v>
          </cell>
          <cell r="AH807">
            <v>9.3375554874130851E-2</v>
          </cell>
          <cell r="AI807">
            <v>0</v>
          </cell>
          <cell r="AJ807">
            <v>0</v>
          </cell>
          <cell r="AK807">
            <v>0</v>
          </cell>
          <cell r="BB807">
            <v>643671.37</v>
          </cell>
          <cell r="BC807">
            <v>643671.37</v>
          </cell>
          <cell r="BD807">
            <v>643671.37</v>
          </cell>
          <cell r="BE807">
            <v>643671.37</v>
          </cell>
          <cell r="BF807">
            <v>385002.93999999994</v>
          </cell>
          <cell r="BG807">
            <v>508264.01</v>
          </cell>
          <cell r="BH807">
            <v>557422.83000000007</v>
          </cell>
          <cell r="BI807">
            <v>146858.60999999999</v>
          </cell>
          <cell r="BJ807">
            <v>138523.44</v>
          </cell>
          <cell r="BK807">
            <v>167224.91999999998</v>
          </cell>
          <cell r="BL807">
            <v>136094.11000000002</v>
          </cell>
          <cell r="BM807">
            <v>588701.07999999996</v>
          </cell>
          <cell r="BN807">
            <v>643671.37</v>
          </cell>
          <cell r="BO807">
            <v>643671.37</v>
          </cell>
          <cell r="BP807">
            <v>643671.37</v>
          </cell>
          <cell r="BQ807">
            <v>643671.37</v>
          </cell>
          <cell r="BR807">
            <v>3163386.56</v>
          </cell>
          <cell r="BT807">
            <v>0</v>
          </cell>
          <cell r="CA807" t="str">
            <v>NB5033 - REVTOT - Base</v>
          </cell>
          <cell r="CC807" t="str">
            <v>NB5033 - REVTOT - Base - IS4</v>
          </cell>
          <cell r="CD807" t="str">
            <v/>
          </cell>
          <cell r="CF807" t="str">
            <v>NB5033 - Base - IS4</v>
          </cell>
        </row>
        <row r="808">
          <cell r="D808">
            <v>794</v>
          </cell>
          <cell r="E808">
            <v>1</v>
          </cell>
          <cell r="F808">
            <v>2</v>
          </cell>
          <cell r="G808" t="str">
            <v>NB5033</v>
          </cell>
          <cell r="H808" t="str">
            <v>DHS Horizon</v>
          </cell>
          <cell r="I808" t="str">
            <v>IS4</v>
          </cell>
          <cell r="J808" t="str">
            <v>IS4 Engineering and Technology Services</v>
          </cell>
          <cell r="K808" t="str">
            <v>DOJ</v>
          </cell>
          <cell r="L808" t="str">
            <v>DOJ</v>
          </cell>
          <cell r="M808" t="str">
            <v>US_State</v>
          </cell>
          <cell r="N808" t="str">
            <v>CONUS</v>
          </cell>
          <cell r="O808">
            <v>0</v>
          </cell>
          <cell r="P808">
            <v>0</v>
          </cell>
          <cell r="Q808">
            <v>0</v>
          </cell>
          <cell r="R808" t="str">
            <v>T&amp;M</v>
          </cell>
          <cell r="S808">
            <v>0</v>
          </cell>
          <cell r="T808">
            <v>1</v>
          </cell>
          <cell r="U808" t="str">
            <v>REVTOT</v>
          </cell>
          <cell r="V808" t="str">
            <v>Identified - Recompete</v>
          </cell>
          <cell r="W808">
            <v>0</v>
          </cell>
          <cell r="X808">
            <v>0</v>
          </cell>
          <cell r="Y808">
            <v>0</v>
          </cell>
          <cell r="Z808">
            <v>0</v>
          </cell>
          <cell r="AA808">
            <v>0</v>
          </cell>
          <cell r="AB808">
            <v>0</v>
          </cell>
          <cell r="AC808">
            <v>0</v>
          </cell>
          <cell r="AD808">
            <v>0</v>
          </cell>
          <cell r="AI808">
            <v>0</v>
          </cell>
          <cell r="AJ808">
            <v>0</v>
          </cell>
          <cell r="AK808">
            <v>0</v>
          </cell>
          <cell r="BB808">
            <v>0</v>
          </cell>
          <cell r="BC808">
            <v>0</v>
          </cell>
          <cell r="BD808">
            <v>0</v>
          </cell>
          <cell r="BE808">
            <v>0</v>
          </cell>
          <cell r="BI808">
            <v>0</v>
          </cell>
          <cell r="BJ808">
            <v>0</v>
          </cell>
          <cell r="BK808">
            <v>0</v>
          </cell>
          <cell r="BL808">
            <v>0</v>
          </cell>
          <cell r="BM808">
            <v>0</v>
          </cell>
          <cell r="BN808">
            <v>0</v>
          </cell>
          <cell r="BO808">
            <v>0</v>
          </cell>
          <cell r="BP808">
            <v>0</v>
          </cell>
          <cell r="BQ808">
            <v>0</v>
          </cell>
          <cell r="BR808">
            <v>0</v>
          </cell>
          <cell r="BT808">
            <v>0</v>
          </cell>
          <cell r="CA808" t="str">
            <v>NB5033 - REVTOT - Identified - Recompete</v>
          </cell>
          <cell r="CC808" t="str">
            <v>NB5033 - REVTOT - Identified - Recompete - IS4</v>
          </cell>
          <cell r="CD808" t="str">
            <v/>
          </cell>
          <cell r="CF808" t="str">
            <v>NB5033 - Identified - Recompete - IS4</v>
          </cell>
        </row>
        <row r="809">
          <cell r="D809">
            <v>795</v>
          </cell>
          <cell r="E809">
            <v>2</v>
          </cell>
          <cell r="F809">
            <v>3</v>
          </cell>
          <cell r="G809" t="str">
            <v>NB5033</v>
          </cell>
          <cell r="H809" t="str">
            <v>DHS Horizon</v>
          </cell>
          <cell r="I809" t="str">
            <v>IS4</v>
          </cell>
          <cell r="J809" t="str">
            <v>IS4 Engineering and Technology Services</v>
          </cell>
          <cell r="K809" t="str">
            <v>DOJ</v>
          </cell>
          <cell r="L809" t="str">
            <v>DOJ</v>
          </cell>
          <cell r="M809" t="str">
            <v>US_State</v>
          </cell>
          <cell r="N809" t="str">
            <v>CONUS</v>
          </cell>
          <cell r="O809">
            <v>42275</v>
          </cell>
          <cell r="P809">
            <v>43735</v>
          </cell>
          <cell r="Q809" t="str">
            <v>Sub</v>
          </cell>
          <cell r="R809" t="str">
            <v>T&amp;M</v>
          </cell>
          <cell r="S809">
            <v>0</v>
          </cell>
          <cell r="T809">
            <v>1</v>
          </cell>
          <cell r="U809" t="str">
            <v>CONTRACT</v>
          </cell>
          <cell r="V809" t="str">
            <v>Base</v>
          </cell>
          <cell r="W809" t="str">
            <v>05 Won</v>
          </cell>
          <cell r="X809" t="str">
            <v>Active</v>
          </cell>
          <cell r="Y809">
            <v>1</v>
          </cell>
          <cell r="Z809">
            <v>0</v>
          </cell>
          <cell r="AA809">
            <v>1146767.0700000003</v>
          </cell>
          <cell r="AB809">
            <v>2493305.8199999998</v>
          </cell>
          <cell r="AC809">
            <v>0</v>
          </cell>
          <cell r="AD809">
            <v>3640072.89</v>
          </cell>
          <cell r="AL809">
            <v>0.27674682172556914</v>
          </cell>
          <cell r="AM809">
            <v>0.26003714093390162</v>
          </cell>
          <cell r="AN809">
            <v>0.26027791147341417</v>
          </cell>
          <cell r="AO809">
            <v>0.25283279589023355</v>
          </cell>
          <cell r="AP809">
            <v>0.26289140661328469</v>
          </cell>
          <cell r="AQ809">
            <v>0.26289140661328469</v>
          </cell>
          <cell r="AR809">
            <v>0.26289140661328469</v>
          </cell>
          <cell r="AS809">
            <v>0.26289140661328469</v>
          </cell>
          <cell r="BF809">
            <v>106548.33999999998</v>
          </cell>
          <cell r="BG809">
            <v>132167.51999999999</v>
          </cell>
          <cell r="BH809">
            <v>145084.85</v>
          </cell>
          <cell r="BI809">
            <v>38203.049999999988</v>
          </cell>
          <cell r="BJ809">
            <v>29768.670000000006</v>
          </cell>
          <cell r="BK809">
            <v>44972.830000000009</v>
          </cell>
          <cell r="BL809">
            <v>35898.390000000007</v>
          </cell>
          <cell r="BM809">
            <v>148842.94000000003</v>
          </cell>
          <cell r="BN809">
            <v>169215.67185600003</v>
          </cell>
          <cell r="BO809">
            <v>169215.67185600003</v>
          </cell>
          <cell r="BP809">
            <v>169215.67185600003</v>
          </cell>
          <cell r="BQ809">
            <v>169215.67185600003</v>
          </cell>
          <cell r="BR809">
            <v>825705.62742400006</v>
          </cell>
          <cell r="BT809">
            <v>0</v>
          </cell>
          <cell r="CA809" t="str">
            <v>NB5033 - CONTRACT - Base</v>
          </cell>
          <cell r="CC809" t="str">
            <v>NB5033 - CONTRACT - Base - IS4</v>
          </cell>
          <cell r="CD809" t="str">
            <v/>
          </cell>
          <cell r="CF809" t="str">
            <v>NB5033 - Base - IS4</v>
          </cell>
        </row>
        <row r="810">
          <cell r="D810">
            <v>796</v>
          </cell>
          <cell r="E810">
            <v>2</v>
          </cell>
          <cell r="F810">
            <v>4</v>
          </cell>
          <cell r="G810" t="str">
            <v>NB5033</v>
          </cell>
          <cell r="H810" t="str">
            <v>DHS Horizon</v>
          </cell>
          <cell r="I810" t="str">
            <v>IS4</v>
          </cell>
          <cell r="J810" t="str">
            <v>IS4 Engineering and Technology Services</v>
          </cell>
          <cell r="K810" t="str">
            <v>DOJ</v>
          </cell>
          <cell r="L810" t="str">
            <v>DOJ</v>
          </cell>
          <cell r="M810" t="str">
            <v>US_State</v>
          </cell>
          <cell r="N810" t="str">
            <v>CONUS</v>
          </cell>
          <cell r="O810">
            <v>0</v>
          </cell>
          <cell r="P810">
            <v>0</v>
          </cell>
          <cell r="Q810">
            <v>0</v>
          </cell>
          <cell r="R810" t="str">
            <v>T&amp;M</v>
          </cell>
          <cell r="S810">
            <v>0</v>
          </cell>
          <cell r="T810">
            <v>1</v>
          </cell>
          <cell r="U810" t="str">
            <v>CONTRACT</v>
          </cell>
          <cell r="V810" t="str">
            <v>Identified - Recompete</v>
          </cell>
          <cell r="W810">
            <v>0</v>
          </cell>
          <cell r="X810">
            <v>0</v>
          </cell>
          <cell r="Y810">
            <v>0</v>
          </cell>
          <cell r="Z810">
            <v>0</v>
          </cell>
          <cell r="AA810">
            <v>0</v>
          </cell>
          <cell r="AB810">
            <v>0</v>
          </cell>
          <cell r="AC810">
            <v>0</v>
          </cell>
          <cell r="AD810">
            <v>0</v>
          </cell>
          <cell r="AP810">
            <v>0</v>
          </cell>
          <cell r="AQ810">
            <v>0</v>
          </cell>
          <cell r="AR810">
            <v>0</v>
          </cell>
          <cell r="AS810">
            <v>0</v>
          </cell>
          <cell r="BI810">
            <v>0</v>
          </cell>
          <cell r="BJ810">
            <v>0</v>
          </cell>
          <cell r="BK810">
            <v>0</v>
          </cell>
          <cell r="BL810">
            <v>0</v>
          </cell>
          <cell r="BM810">
            <v>0</v>
          </cell>
          <cell r="BN810">
            <v>0</v>
          </cell>
          <cell r="BO810">
            <v>0</v>
          </cell>
          <cell r="BP810">
            <v>0</v>
          </cell>
          <cell r="BQ810">
            <v>0</v>
          </cell>
          <cell r="BR810">
            <v>0</v>
          </cell>
          <cell r="BT810">
            <v>0</v>
          </cell>
          <cell r="CA810" t="str">
            <v>NB5033 - CONTRACT - Identified - Recompete</v>
          </cell>
          <cell r="CC810" t="str">
            <v>NB5033 - CONTRACT - Identified - Recompete - IS4</v>
          </cell>
          <cell r="CD810" t="str">
            <v/>
          </cell>
          <cell r="CF810" t="str">
            <v>NB5033 - Identified - Recompete - IS4</v>
          </cell>
        </row>
        <row r="811">
          <cell r="D811">
            <v>797</v>
          </cell>
          <cell r="E811">
            <v>0</v>
          </cell>
          <cell r="F811">
            <v>5</v>
          </cell>
          <cell r="G811" t="str">
            <v>NB5033</v>
          </cell>
          <cell r="H811" t="str">
            <v>DHS Horizon</v>
          </cell>
          <cell r="I811" t="str">
            <v>IS4</v>
          </cell>
          <cell r="J811" t="str">
            <v>IS4 Engineering and Technology Services</v>
          </cell>
          <cell r="K811" t="str">
            <v>DOJ</v>
          </cell>
          <cell r="L811" t="str">
            <v>DOJ</v>
          </cell>
          <cell r="M811" t="str">
            <v>US_State</v>
          </cell>
          <cell r="N811" t="str">
            <v>CONUS</v>
          </cell>
          <cell r="O811">
            <v>42275</v>
          </cell>
          <cell r="P811">
            <v>43735</v>
          </cell>
          <cell r="Q811" t="str">
            <v>Sub</v>
          </cell>
          <cell r="R811" t="str">
            <v>T&amp;M</v>
          </cell>
          <cell r="S811">
            <v>0</v>
          </cell>
          <cell r="T811">
            <v>1</v>
          </cell>
          <cell r="U811" t="str">
            <v>EBITA</v>
          </cell>
          <cell r="V811" t="str">
            <v>Base</v>
          </cell>
          <cell r="W811" t="str">
            <v>05 Won</v>
          </cell>
          <cell r="X811" t="str">
            <v>Active</v>
          </cell>
          <cell r="Y811">
            <v>1</v>
          </cell>
          <cell r="Z811">
            <v>0</v>
          </cell>
          <cell r="AA811">
            <v>1146767.0700000003</v>
          </cell>
          <cell r="AB811">
            <v>2493305.8199999998</v>
          </cell>
          <cell r="AC811">
            <v>0</v>
          </cell>
          <cell r="AD811">
            <v>3640072.89</v>
          </cell>
          <cell r="AT811">
            <v>9.4025827439135901E-2</v>
          </cell>
          <cell r="AU811">
            <v>0.1444113070291953</v>
          </cell>
          <cell r="AV811">
            <v>0.14787279164723122</v>
          </cell>
          <cell r="AW811">
            <v>0.13377675474962611</v>
          </cell>
          <cell r="AX811">
            <v>0.14611369197860041</v>
          </cell>
          <cell r="AY811">
            <v>0.14711369197860041</v>
          </cell>
          <cell r="AZ811">
            <v>0.14811369197860041</v>
          </cell>
          <cell r="BA811">
            <v>0.14911369197860042</v>
          </cell>
          <cell r="BF811">
            <v>36200.219999999987</v>
          </cell>
          <cell r="BG811">
            <v>73399.069999999992</v>
          </cell>
          <cell r="BH811">
            <v>82427.67</v>
          </cell>
          <cell r="BI811">
            <v>20768.269999999993</v>
          </cell>
          <cell r="BJ811">
            <v>12913.970000000007</v>
          </cell>
          <cell r="BK811">
            <v>25402.380000000012</v>
          </cell>
          <cell r="BL811">
            <v>19669.900000000009</v>
          </cell>
          <cell r="BM811">
            <v>78754.520000000019</v>
          </cell>
          <cell r="BN811">
            <v>94049.20029162374</v>
          </cell>
          <cell r="BO811">
            <v>94692.871661623736</v>
          </cell>
          <cell r="BP811">
            <v>95336.543031623733</v>
          </cell>
          <cell r="BQ811">
            <v>95980.214401623743</v>
          </cell>
          <cell r="BR811">
            <v>458813.34938649501</v>
          </cell>
          <cell r="BT811">
            <v>0</v>
          </cell>
          <cell r="CA811" t="str">
            <v>NB5033 - EBITA - Base</v>
          </cell>
          <cell r="CC811" t="str">
            <v>NB5033 - EBITA - Base - IS4</v>
          </cell>
          <cell r="CD811" t="str">
            <v/>
          </cell>
          <cell r="CF811" t="str">
            <v>NB5033 - Base - IS4</v>
          </cell>
        </row>
        <row r="812">
          <cell r="D812">
            <v>798</v>
          </cell>
          <cell r="E812">
            <v>0</v>
          </cell>
          <cell r="F812">
            <v>0</v>
          </cell>
          <cell r="G812" t="str">
            <v>NB5033</v>
          </cell>
          <cell r="H812" t="str">
            <v>DHS Horizon</v>
          </cell>
          <cell r="I812" t="str">
            <v>IS4</v>
          </cell>
          <cell r="J812" t="str">
            <v>IS4 Engineering and Technology Services</v>
          </cell>
          <cell r="K812" t="str">
            <v>DOJ</v>
          </cell>
          <cell r="L812" t="str">
            <v>DOJ</v>
          </cell>
          <cell r="M812" t="str">
            <v>US_State</v>
          </cell>
          <cell r="N812" t="str">
            <v>CONUS</v>
          </cell>
          <cell r="O812">
            <v>0</v>
          </cell>
          <cell r="P812">
            <v>0</v>
          </cell>
          <cell r="Q812">
            <v>0</v>
          </cell>
          <cell r="R812" t="str">
            <v>T&amp;M</v>
          </cell>
          <cell r="S812">
            <v>0</v>
          </cell>
          <cell r="T812">
            <v>1</v>
          </cell>
          <cell r="U812" t="str">
            <v>EBITA</v>
          </cell>
          <cell r="V812" t="str">
            <v>Identified - Recompete</v>
          </cell>
          <cell r="W812">
            <v>0</v>
          </cell>
          <cell r="X812">
            <v>0</v>
          </cell>
          <cell r="Y812">
            <v>0</v>
          </cell>
          <cell r="Z812">
            <v>0</v>
          </cell>
          <cell r="AA812">
            <v>0</v>
          </cell>
          <cell r="AB812">
            <v>0</v>
          </cell>
          <cell r="AC812">
            <v>0</v>
          </cell>
          <cell r="AD812">
            <v>0</v>
          </cell>
          <cell r="AX812">
            <v>0</v>
          </cell>
          <cell r="AY812">
            <v>0</v>
          </cell>
          <cell r="AZ812">
            <v>0</v>
          </cell>
          <cell r="BA812">
            <v>0</v>
          </cell>
          <cell r="BI812">
            <v>0</v>
          </cell>
          <cell r="BJ812">
            <v>0</v>
          </cell>
          <cell r="BK812">
            <v>0</v>
          </cell>
          <cell r="BL812">
            <v>0</v>
          </cell>
          <cell r="BM812">
            <v>0</v>
          </cell>
          <cell r="BN812">
            <v>0</v>
          </cell>
          <cell r="BO812">
            <v>0</v>
          </cell>
          <cell r="BP812">
            <v>0</v>
          </cell>
          <cell r="BQ812">
            <v>0</v>
          </cell>
          <cell r="BR812">
            <v>0</v>
          </cell>
          <cell r="BT812">
            <v>0</v>
          </cell>
          <cell r="CA812" t="str">
            <v>NB5033 - EBITA - Identified - Recompete</v>
          </cell>
          <cell r="CC812" t="str">
            <v>NB5033 - EBITA - Identified - Recompete - IS4</v>
          </cell>
          <cell r="CD812" t="str">
            <v/>
          </cell>
          <cell r="CF812" t="str">
            <v>NB5033 - Identified - Recompete - IS4</v>
          </cell>
        </row>
        <row r="813">
          <cell r="D813">
            <v>799</v>
          </cell>
          <cell r="E813">
            <v>1</v>
          </cell>
          <cell r="F813">
            <v>1</v>
          </cell>
          <cell r="G813" t="str">
            <v>QLXDOS</v>
          </cell>
          <cell r="H813" t="str">
            <v>QualX DOS RECOMPETE</v>
          </cell>
          <cell r="I813" t="str">
            <v>IS4</v>
          </cell>
          <cell r="J813" t="str">
            <v>IS4 Engineering and Technology Services</v>
          </cell>
          <cell r="K813" t="str">
            <v>Other DOD</v>
          </cell>
          <cell r="L813" t="str">
            <v>DOD</v>
          </cell>
          <cell r="M813" t="str">
            <v>VA</v>
          </cell>
          <cell r="N813" t="str">
            <v>CONUS</v>
          </cell>
          <cell r="O813">
            <v>43313</v>
          </cell>
          <cell r="P813">
            <v>45138</v>
          </cell>
          <cell r="Q813" t="str">
            <v>Sub</v>
          </cell>
          <cell r="R813" t="str">
            <v>T&amp;M</v>
          </cell>
          <cell r="S813">
            <v>0</v>
          </cell>
          <cell r="T813">
            <v>1</v>
          </cell>
          <cell r="U813" t="str">
            <v>REVTOT</v>
          </cell>
          <cell r="V813" t="str">
            <v>Base</v>
          </cell>
          <cell r="W813" t="str">
            <v>05 Won</v>
          </cell>
          <cell r="X813" t="str">
            <v>Active</v>
          </cell>
          <cell r="Y813">
            <v>1</v>
          </cell>
          <cell r="Z813">
            <v>0</v>
          </cell>
          <cell r="AA813">
            <v>636893</v>
          </cell>
          <cell r="AB813">
            <v>1876452</v>
          </cell>
          <cell r="AC813">
            <v>0</v>
          </cell>
          <cell r="AD813">
            <v>2513345</v>
          </cell>
          <cell r="AE813">
            <v>0</v>
          </cell>
          <cell r="AF813">
            <v>0</v>
          </cell>
          <cell r="AG813">
            <v>5.5656767588648348</v>
          </cell>
          <cell r="AH813">
            <v>0.16716969000373694</v>
          </cell>
          <cell r="AI813">
            <v>0</v>
          </cell>
          <cell r="AJ813">
            <v>0</v>
          </cell>
          <cell r="AK813">
            <v>0</v>
          </cell>
          <cell r="BB813">
            <v>642308</v>
          </cell>
          <cell r="BC813">
            <v>642308</v>
          </cell>
          <cell r="BD813">
            <v>642308</v>
          </cell>
          <cell r="BE813">
            <v>642308</v>
          </cell>
          <cell r="BF813">
            <v>0</v>
          </cell>
          <cell r="BG813">
            <v>0</v>
          </cell>
          <cell r="BH813">
            <v>83816.56</v>
          </cell>
          <cell r="BI813">
            <v>126891.33</v>
          </cell>
          <cell r="BJ813">
            <v>110634.01999999999</v>
          </cell>
          <cell r="BK813">
            <v>150393.09</v>
          </cell>
          <cell r="BL813">
            <v>162394</v>
          </cell>
          <cell r="BM813">
            <v>550312.43999999994</v>
          </cell>
          <cell r="BN813">
            <v>642308</v>
          </cell>
          <cell r="BO813">
            <v>642308</v>
          </cell>
          <cell r="BP813">
            <v>642308</v>
          </cell>
          <cell r="BQ813">
            <v>586421</v>
          </cell>
          <cell r="BR813">
            <v>3063657.44</v>
          </cell>
          <cell r="BT813">
            <v>0</v>
          </cell>
          <cell r="CA813" t="str">
            <v>QLXDOS - REVTOT - Base</v>
          </cell>
          <cell r="CC813" t="str">
            <v>QLXDOS - REVTOT - Base - IS4</v>
          </cell>
          <cell r="CD813" t="str">
            <v/>
          </cell>
          <cell r="CF813" t="str">
            <v>QLXDOS - Base - IS4</v>
          </cell>
        </row>
        <row r="814">
          <cell r="D814">
            <v>800</v>
          </cell>
          <cell r="E814">
            <v>1</v>
          </cell>
          <cell r="F814">
            <v>2</v>
          </cell>
          <cell r="G814" t="str">
            <v>QLXDOS</v>
          </cell>
          <cell r="H814" t="str">
            <v>QualX DOS RECOMPETE</v>
          </cell>
          <cell r="I814" t="str">
            <v>IS4</v>
          </cell>
          <cell r="J814" t="str">
            <v>IS4 Engineering and Technology Services</v>
          </cell>
          <cell r="K814" t="str">
            <v>Other DOD</v>
          </cell>
          <cell r="L814" t="str">
            <v>DOD</v>
          </cell>
          <cell r="M814" t="str">
            <v>VA</v>
          </cell>
          <cell r="N814" t="str">
            <v>CONUS</v>
          </cell>
          <cell r="O814">
            <v>0</v>
          </cell>
          <cell r="P814">
            <v>0</v>
          </cell>
          <cell r="Q814">
            <v>0</v>
          </cell>
          <cell r="R814" t="str">
            <v>T&amp;M</v>
          </cell>
          <cell r="S814">
            <v>0</v>
          </cell>
          <cell r="T814">
            <v>1</v>
          </cell>
          <cell r="U814" t="str">
            <v>REVTOT</v>
          </cell>
          <cell r="V814" t="str">
            <v>Identified - Recompete</v>
          </cell>
          <cell r="W814">
            <v>0</v>
          </cell>
          <cell r="X814">
            <v>0</v>
          </cell>
          <cell r="Y814">
            <v>0</v>
          </cell>
          <cell r="Z814">
            <v>0</v>
          </cell>
          <cell r="AA814">
            <v>0</v>
          </cell>
          <cell r="AB814">
            <v>0</v>
          </cell>
          <cell r="AC814">
            <v>0</v>
          </cell>
          <cell r="AD814">
            <v>0</v>
          </cell>
          <cell r="AI814">
            <v>0</v>
          </cell>
          <cell r="AJ814">
            <v>0</v>
          </cell>
          <cell r="AK814">
            <v>0</v>
          </cell>
          <cell r="BB814">
            <v>0</v>
          </cell>
          <cell r="BC814">
            <v>0</v>
          </cell>
          <cell r="BD814">
            <v>0</v>
          </cell>
          <cell r="BE814">
            <v>0</v>
          </cell>
          <cell r="BI814">
            <v>0</v>
          </cell>
          <cell r="BJ814">
            <v>0</v>
          </cell>
          <cell r="BK814">
            <v>0</v>
          </cell>
          <cell r="BL814">
            <v>0</v>
          </cell>
          <cell r="BM814">
            <v>0</v>
          </cell>
          <cell r="BN814">
            <v>0</v>
          </cell>
          <cell r="BO814">
            <v>0</v>
          </cell>
          <cell r="BP814">
            <v>0</v>
          </cell>
          <cell r="BQ814">
            <v>0</v>
          </cell>
          <cell r="BR814">
            <v>0</v>
          </cell>
          <cell r="BT814">
            <v>0</v>
          </cell>
          <cell r="CA814" t="str">
            <v>QLXDOS - REVTOT - Identified - Recompete</v>
          </cell>
          <cell r="CC814" t="str">
            <v>QLXDOS - REVTOT - Identified - Recompete - IS4</v>
          </cell>
          <cell r="CD814" t="str">
            <v/>
          </cell>
          <cell r="CF814" t="str">
            <v>QLXDOS - Identified - Recompete - IS4</v>
          </cell>
        </row>
        <row r="815">
          <cell r="D815">
            <v>801</v>
          </cell>
          <cell r="E815">
            <v>2</v>
          </cell>
          <cell r="F815">
            <v>3</v>
          </cell>
          <cell r="G815" t="str">
            <v>QLXDOS</v>
          </cell>
          <cell r="H815" t="str">
            <v>QualX DOS RECOMPETE</v>
          </cell>
          <cell r="I815" t="str">
            <v>IS4</v>
          </cell>
          <cell r="J815" t="str">
            <v>IS4 Engineering and Technology Services</v>
          </cell>
          <cell r="K815" t="str">
            <v>Other DOD</v>
          </cell>
          <cell r="L815" t="str">
            <v>DOD</v>
          </cell>
          <cell r="M815" t="str">
            <v>VA</v>
          </cell>
          <cell r="N815" t="str">
            <v>CONUS</v>
          </cell>
          <cell r="O815">
            <v>43313</v>
          </cell>
          <cell r="P815">
            <v>45138</v>
          </cell>
          <cell r="Q815" t="str">
            <v>Sub</v>
          </cell>
          <cell r="R815" t="str">
            <v>T&amp;M</v>
          </cell>
          <cell r="S815">
            <v>0</v>
          </cell>
          <cell r="T815">
            <v>1</v>
          </cell>
          <cell r="U815" t="str">
            <v>CONTRACT</v>
          </cell>
          <cell r="V815" t="str">
            <v>Base</v>
          </cell>
          <cell r="W815" t="str">
            <v>05 Won</v>
          </cell>
          <cell r="X815" t="str">
            <v>Active</v>
          </cell>
          <cell r="Y815">
            <v>1</v>
          </cell>
          <cell r="Z815">
            <v>0</v>
          </cell>
          <cell r="AA815">
            <v>636893</v>
          </cell>
          <cell r="AB815">
            <v>1876452</v>
          </cell>
          <cell r="AC815">
            <v>0</v>
          </cell>
          <cell r="AD815">
            <v>2513345</v>
          </cell>
          <cell r="AL815">
            <v>0</v>
          </cell>
          <cell r="AM815">
            <v>0</v>
          </cell>
          <cell r="AN815">
            <v>0.22263237718178841</v>
          </cell>
          <cell r="AO815">
            <v>0.27239525968193634</v>
          </cell>
          <cell r="AP815">
            <v>0.27799286385970595</v>
          </cell>
          <cell r="AQ815">
            <v>0.27799286385970595</v>
          </cell>
          <cell r="AR815">
            <v>0.27799286385970595</v>
          </cell>
          <cell r="AS815">
            <v>0.27799286385970595</v>
          </cell>
          <cell r="BF815">
            <v>0</v>
          </cell>
          <cell r="BG815">
            <v>0</v>
          </cell>
          <cell r="BH815">
            <v>18660.28</v>
          </cell>
          <cell r="BI815">
            <v>34491.070000000007</v>
          </cell>
          <cell r="BJ815">
            <v>27928.840000000004</v>
          </cell>
          <cell r="BK815">
            <v>40835.590000000004</v>
          </cell>
          <cell r="BL815">
            <v>46647</v>
          </cell>
          <cell r="BM815">
            <v>149902.5</v>
          </cell>
          <cell r="BN815">
            <v>178557.0404</v>
          </cell>
          <cell r="BO815">
            <v>178557.0404</v>
          </cell>
          <cell r="BP815">
            <v>178557.0404</v>
          </cell>
          <cell r="BQ815">
            <v>163020.85321747261</v>
          </cell>
          <cell r="BR815">
            <v>848594.47441747249</v>
          </cell>
          <cell r="BT815">
            <v>0</v>
          </cell>
          <cell r="CA815" t="str">
            <v>QLXDOS - CONTRACT - Base</v>
          </cell>
          <cell r="CC815" t="str">
            <v>QLXDOS - CONTRACT - Base - IS4</v>
          </cell>
          <cell r="CD815" t="str">
            <v/>
          </cell>
          <cell r="CF815" t="str">
            <v>QLXDOS - Base - IS4</v>
          </cell>
        </row>
        <row r="816">
          <cell r="D816">
            <v>802</v>
          </cell>
          <cell r="E816">
            <v>2</v>
          </cell>
          <cell r="F816">
            <v>4</v>
          </cell>
          <cell r="G816" t="str">
            <v>QLXDOS</v>
          </cell>
          <cell r="H816" t="str">
            <v>QualX DOS RECOMPETE</v>
          </cell>
          <cell r="I816" t="str">
            <v>IS4</v>
          </cell>
          <cell r="J816" t="str">
            <v>IS4 Engineering and Technology Services</v>
          </cell>
          <cell r="K816" t="str">
            <v>Other DOD</v>
          </cell>
          <cell r="L816" t="str">
            <v>DOD</v>
          </cell>
          <cell r="M816" t="str">
            <v>VA</v>
          </cell>
          <cell r="N816" t="str">
            <v>CONUS</v>
          </cell>
          <cell r="O816">
            <v>0</v>
          </cell>
          <cell r="P816">
            <v>0</v>
          </cell>
          <cell r="Q816">
            <v>0</v>
          </cell>
          <cell r="R816" t="str">
            <v>T&amp;M</v>
          </cell>
          <cell r="S816">
            <v>0</v>
          </cell>
          <cell r="T816">
            <v>1</v>
          </cell>
          <cell r="U816" t="str">
            <v>CONTRACT</v>
          </cell>
          <cell r="V816" t="str">
            <v>Identified - Recompete</v>
          </cell>
          <cell r="W816">
            <v>0</v>
          </cell>
          <cell r="X816">
            <v>0</v>
          </cell>
          <cell r="Y816">
            <v>0</v>
          </cell>
          <cell r="Z816">
            <v>0</v>
          </cell>
          <cell r="AA816">
            <v>0</v>
          </cell>
          <cell r="AB816">
            <v>0</v>
          </cell>
          <cell r="AC816">
            <v>0</v>
          </cell>
          <cell r="AD816">
            <v>0</v>
          </cell>
          <cell r="AP816">
            <v>0</v>
          </cell>
          <cell r="AQ816">
            <v>0</v>
          </cell>
          <cell r="AR816">
            <v>0</v>
          </cell>
          <cell r="AS816">
            <v>0</v>
          </cell>
          <cell r="BI816">
            <v>0</v>
          </cell>
          <cell r="BJ816">
            <v>0</v>
          </cell>
          <cell r="BK816">
            <v>0</v>
          </cell>
          <cell r="BL816">
            <v>0</v>
          </cell>
          <cell r="BM816">
            <v>0</v>
          </cell>
          <cell r="BN816">
            <v>0</v>
          </cell>
          <cell r="BO816">
            <v>0</v>
          </cell>
          <cell r="BP816">
            <v>0</v>
          </cell>
          <cell r="BQ816">
            <v>0</v>
          </cell>
          <cell r="BR816">
            <v>0</v>
          </cell>
          <cell r="BT816">
            <v>0</v>
          </cell>
          <cell r="CA816" t="str">
            <v>QLXDOS - CONTRACT - Identified - Recompete</v>
          </cell>
          <cell r="CC816" t="str">
            <v>QLXDOS - CONTRACT - Identified - Recompete - IS4</v>
          </cell>
          <cell r="CD816" t="str">
            <v/>
          </cell>
          <cell r="CF816" t="str">
            <v>QLXDOS - Identified - Recompete - IS4</v>
          </cell>
        </row>
        <row r="817">
          <cell r="D817">
            <v>803</v>
          </cell>
          <cell r="E817">
            <v>0</v>
          </cell>
          <cell r="F817">
            <v>5</v>
          </cell>
          <cell r="G817" t="str">
            <v>QLXDOS</v>
          </cell>
          <cell r="H817" t="str">
            <v>QualX DOS RECOMPETE</v>
          </cell>
          <cell r="I817" t="str">
            <v>IS4</v>
          </cell>
          <cell r="J817" t="str">
            <v>IS4 Engineering and Technology Services</v>
          </cell>
          <cell r="K817" t="str">
            <v>Other DOD</v>
          </cell>
          <cell r="L817" t="str">
            <v>DOD</v>
          </cell>
          <cell r="M817" t="str">
            <v>VA</v>
          </cell>
          <cell r="N817" t="str">
            <v>CONUS</v>
          </cell>
          <cell r="O817">
            <v>43313</v>
          </cell>
          <cell r="P817">
            <v>45138</v>
          </cell>
          <cell r="Q817" t="str">
            <v>Sub</v>
          </cell>
          <cell r="R817" t="str">
            <v>T&amp;M</v>
          </cell>
          <cell r="S817">
            <v>0</v>
          </cell>
          <cell r="T817">
            <v>1</v>
          </cell>
          <cell r="U817" t="str">
            <v>EBITA</v>
          </cell>
          <cell r="V817" t="str">
            <v>Base</v>
          </cell>
          <cell r="W817" t="str">
            <v>05 Won</v>
          </cell>
          <cell r="X817" t="str">
            <v>Active</v>
          </cell>
          <cell r="Y817">
            <v>1</v>
          </cell>
          <cell r="Z817">
            <v>0</v>
          </cell>
          <cell r="AA817">
            <v>636893</v>
          </cell>
          <cell r="AB817">
            <v>1876452</v>
          </cell>
          <cell r="AC817">
            <v>0</v>
          </cell>
          <cell r="AD817">
            <v>2513345</v>
          </cell>
          <cell r="AT817">
            <v>0</v>
          </cell>
          <cell r="AU817">
            <v>0</v>
          </cell>
          <cell r="AV817">
            <v>0.12692253177653676</v>
          </cell>
          <cell r="AW817">
            <v>0.15594472114786287</v>
          </cell>
          <cell r="AX817">
            <v>0.16351204276255732</v>
          </cell>
          <cell r="AY817">
            <v>0.16451204276255732</v>
          </cell>
          <cell r="AZ817">
            <v>0.16551204276255732</v>
          </cell>
          <cell r="BA817">
            <v>0.16651204276255732</v>
          </cell>
          <cell r="BF817">
            <v>0</v>
          </cell>
          <cell r="BG817">
            <v>0</v>
          </cell>
          <cell r="BH817">
            <v>10638.21</v>
          </cell>
          <cell r="BI817">
            <v>19489.450000000004</v>
          </cell>
          <cell r="BJ817">
            <v>14887.070000000003</v>
          </cell>
          <cell r="BK817">
            <v>23357.800000000003</v>
          </cell>
          <cell r="BL817">
            <v>28084</v>
          </cell>
          <cell r="BM817">
            <v>85818.32</v>
          </cell>
          <cell r="BN817">
            <v>105025.09316273266</v>
          </cell>
          <cell r="BO817">
            <v>105667.40116273267</v>
          </cell>
          <cell r="BP817">
            <v>106309.70916273267</v>
          </cell>
          <cell r="BQ817">
            <v>97646.158628861624</v>
          </cell>
          <cell r="BR817">
            <v>500466.68211705971</v>
          </cell>
          <cell r="BT817">
            <v>0</v>
          </cell>
          <cell r="CA817" t="str">
            <v>QLXDOS - EBITA - Base</v>
          </cell>
          <cell r="CC817" t="str">
            <v>QLXDOS - EBITA - Base - IS4</v>
          </cell>
          <cell r="CD817" t="str">
            <v/>
          </cell>
          <cell r="CF817" t="str">
            <v>QLXDOS - Base - IS4</v>
          </cell>
        </row>
        <row r="818">
          <cell r="D818">
            <v>804</v>
          </cell>
          <cell r="E818">
            <v>0</v>
          </cell>
          <cell r="F818">
            <v>0</v>
          </cell>
          <cell r="G818" t="str">
            <v>QLXDOS</v>
          </cell>
          <cell r="H818" t="str">
            <v>QualX DOS RECOMPETE</v>
          </cell>
          <cell r="I818" t="str">
            <v>IS4</v>
          </cell>
          <cell r="J818" t="str">
            <v>IS4 Engineering and Technology Services</v>
          </cell>
          <cell r="K818" t="str">
            <v>Other DOD</v>
          </cell>
          <cell r="L818" t="str">
            <v>DOD</v>
          </cell>
          <cell r="M818" t="str">
            <v>VA</v>
          </cell>
          <cell r="N818" t="str">
            <v>CONUS</v>
          </cell>
          <cell r="O818">
            <v>0</v>
          </cell>
          <cell r="P818">
            <v>0</v>
          </cell>
          <cell r="Q818">
            <v>0</v>
          </cell>
          <cell r="R818" t="str">
            <v>T&amp;M</v>
          </cell>
          <cell r="S818">
            <v>0</v>
          </cell>
          <cell r="T818">
            <v>1</v>
          </cell>
          <cell r="U818" t="str">
            <v>EBITA</v>
          </cell>
          <cell r="V818" t="str">
            <v>Identified - Recompete</v>
          </cell>
          <cell r="W818">
            <v>0</v>
          </cell>
          <cell r="X818">
            <v>0</v>
          </cell>
          <cell r="Y818">
            <v>0</v>
          </cell>
          <cell r="Z818">
            <v>0</v>
          </cell>
          <cell r="AA818">
            <v>0</v>
          </cell>
          <cell r="AB818">
            <v>0</v>
          </cell>
          <cell r="AC818">
            <v>0</v>
          </cell>
          <cell r="AD818">
            <v>0</v>
          </cell>
          <cell r="AX818">
            <v>0</v>
          </cell>
          <cell r="AY818">
            <v>0</v>
          </cell>
          <cell r="AZ818">
            <v>0</v>
          </cell>
          <cell r="BA818">
            <v>0</v>
          </cell>
          <cell r="BI818">
            <v>0</v>
          </cell>
          <cell r="BJ818">
            <v>0</v>
          </cell>
          <cell r="BK818">
            <v>0</v>
          </cell>
          <cell r="BL818">
            <v>0</v>
          </cell>
          <cell r="BM818">
            <v>0</v>
          </cell>
          <cell r="BN818">
            <v>0</v>
          </cell>
          <cell r="BO818">
            <v>0</v>
          </cell>
          <cell r="BP818">
            <v>0</v>
          </cell>
          <cell r="BQ818">
            <v>0</v>
          </cell>
          <cell r="BR818">
            <v>0</v>
          </cell>
          <cell r="BT818">
            <v>0</v>
          </cell>
          <cell r="CA818" t="str">
            <v>QLXDOS - EBITA - Identified - Recompete</v>
          </cell>
          <cell r="CC818" t="str">
            <v>QLXDOS - EBITA - Identified - Recompete - IS4</v>
          </cell>
          <cell r="CD818" t="str">
            <v/>
          </cell>
          <cell r="CF818" t="str">
            <v>QLXDOS - Identified - Recompete - IS4</v>
          </cell>
        </row>
        <row r="819">
          <cell r="D819">
            <v>805</v>
          </cell>
          <cell r="E819">
            <v>1</v>
          </cell>
          <cell r="F819">
            <v>1</v>
          </cell>
          <cell r="G819" t="str">
            <v>CP3436</v>
          </cell>
          <cell r="H819" t="str">
            <v>HYGEIA</v>
          </cell>
          <cell r="I819" t="str">
            <v>IS4</v>
          </cell>
          <cell r="J819" t="str">
            <v>IS4 Infrastructure and Engineering</v>
          </cell>
          <cell r="K819" t="str">
            <v>Commercial</v>
          </cell>
          <cell r="L819" t="str">
            <v xml:space="preserve">Commercial </v>
          </cell>
          <cell r="M819" t="str">
            <v>VA</v>
          </cell>
          <cell r="N819" t="str">
            <v>CONUS</v>
          </cell>
          <cell r="O819">
            <v>43206</v>
          </cell>
          <cell r="P819">
            <v>44301</v>
          </cell>
          <cell r="Q819" t="str">
            <v>Prime</v>
          </cell>
          <cell r="R819" t="str">
            <v>T&amp;M</v>
          </cell>
          <cell r="S819">
            <v>0</v>
          </cell>
          <cell r="T819">
            <v>1</v>
          </cell>
          <cell r="U819" t="str">
            <v>REVTOT</v>
          </cell>
          <cell r="V819" t="str">
            <v>Base</v>
          </cell>
          <cell r="W819" t="str">
            <v>05 Won</v>
          </cell>
          <cell r="X819" t="str">
            <v>Active</v>
          </cell>
          <cell r="Y819">
            <v>1</v>
          </cell>
          <cell r="Z819">
            <v>0</v>
          </cell>
          <cell r="AA819">
            <v>593360.77999999991</v>
          </cell>
          <cell r="AB819">
            <v>800121.48000000021</v>
          </cell>
          <cell r="AC819">
            <v>0</v>
          </cell>
          <cell r="AD819">
            <v>1393482.2600000002</v>
          </cell>
          <cell r="AE819">
            <v>0</v>
          </cell>
          <cell r="AF819">
            <v>0</v>
          </cell>
          <cell r="AG819">
            <v>1.4024963335579756</v>
          </cell>
          <cell r="AH819">
            <v>0.272929509466731</v>
          </cell>
          <cell r="AI819">
            <v>0</v>
          </cell>
          <cell r="AJ819">
            <v>0</v>
          </cell>
          <cell r="AK819">
            <v>0</v>
          </cell>
          <cell r="BB819">
            <v>694478.28799999994</v>
          </cell>
          <cell r="BC819">
            <v>694478.28799999994</v>
          </cell>
          <cell r="BD819">
            <v>694478.28799999994</v>
          </cell>
          <cell r="BE819">
            <v>694478.28799999994</v>
          </cell>
          <cell r="BF819">
            <v>0</v>
          </cell>
          <cell r="BG819">
            <v>0</v>
          </cell>
          <cell r="BH819">
            <v>227086.64</v>
          </cell>
          <cell r="BI819">
            <v>153370.07999999999</v>
          </cell>
          <cell r="BJ819">
            <v>148399.32999999999</v>
          </cell>
          <cell r="BK819">
            <v>118002.41</v>
          </cell>
          <cell r="BL819">
            <v>125803</v>
          </cell>
          <cell r="BM819">
            <v>545574.81999999995</v>
          </cell>
          <cell r="BN819">
            <v>694478.28799999994</v>
          </cell>
          <cell r="BO819">
            <v>694478.28799999994</v>
          </cell>
          <cell r="BP819">
            <v>4525.6840000003576</v>
          </cell>
          <cell r="BQ819">
            <v>0</v>
          </cell>
          <cell r="BR819">
            <v>1939057.0800000003</v>
          </cell>
          <cell r="BT819">
            <v>0</v>
          </cell>
          <cell r="CA819" t="str">
            <v>CP3436 - REVTOT - Base</v>
          </cell>
          <cell r="CC819" t="str">
            <v>CP3436 - REVTOT - Base - IS4</v>
          </cell>
          <cell r="CD819" t="str">
            <v/>
          </cell>
          <cell r="CF819" t="str">
            <v>CP3436 - Base - IS4</v>
          </cell>
        </row>
        <row r="820">
          <cell r="D820">
            <v>806</v>
          </cell>
          <cell r="E820">
            <v>1</v>
          </cell>
          <cell r="F820">
            <v>2</v>
          </cell>
          <cell r="G820" t="str">
            <v>CP3436</v>
          </cell>
          <cell r="H820" t="str">
            <v>HYGEIA</v>
          </cell>
          <cell r="I820" t="str">
            <v>IS4</v>
          </cell>
          <cell r="J820" t="str">
            <v>IS4 Infrastructure and Engineering</v>
          </cell>
          <cell r="K820" t="str">
            <v>Commercial</v>
          </cell>
          <cell r="L820" t="str">
            <v xml:space="preserve">Commercial </v>
          </cell>
          <cell r="M820" t="str">
            <v>VA</v>
          </cell>
          <cell r="N820" t="str">
            <v>CONUS</v>
          </cell>
          <cell r="O820">
            <v>0</v>
          </cell>
          <cell r="P820">
            <v>0</v>
          </cell>
          <cell r="Q820">
            <v>0</v>
          </cell>
          <cell r="R820" t="str">
            <v>T&amp;M</v>
          </cell>
          <cell r="S820">
            <v>0</v>
          </cell>
          <cell r="T820">
            <v>1</v>
          </cell>
          <cell r="U820" t="str">
            <v>REVTOT</v>
          </cell>
          <cell r="V820" t="str">
            <v>Identified - Recompete</v>
          </cell>
          <cell r="W820">
            <v>0</v>
          </cell>
          <cell r="X820">
            <v>0</v>
          </cell>
          <cell r="Y820">
            <v>0</v>
          </cell>
          <cell r="Z820">
            <v>0</v>
          </cell>
          <cell r="AA820">
            <v>0</v>
          </cell>
          <cell r="AB820">
            <v>0</v>
          </cell>
          <cell r="AC820">
            <v>0</v>
          </cell>
          <cell r="AD820">
            <v>0</v>
          </cell>
          <cell r="AI820">
            <v>0</v>
          </cell>
          <cell r="AJ820">
            <v>0</v>
          </cell>
          <cell r="AK820">
            <v>0</v>
          </cell>
          <cell r="BB820">
            <v>0</v>
          </cell>
          <cell r="BC820">
            <v>0</v>
          </cell>
          <cell r="BD820">
            <v>0</v>
          </cell>
          <cell r="BE820">
            <v>0</v>
          </cell>
          <cell r="BI820">
            <v>0</v>
          </cell>
          <cell r="BJ820">
            <v>0</v>
          </cell>
          <cell r="BK820">
            <v>0</v>
          </cell>
          <cell r="BL820">
            <v>0</v>
          </cell>
          <cell r="BM820">
            <v>0</v>
          </cell>
          <cell r="BN820">
            <v>0</v>
          </cell>
          <cell r="BO820">
            <v>0</v>
          </cell>
          <cell r="BP820">
            <v>0</v>
          </cell>
          <cell r="BQ820">
            <v>0</v>
          </cell>
          <cell r="BR820">
            <v>0</v>
          </cell>
          <cell r="BT820">
            <v>0</v>
          </cell>
          <cell r="CA820" t="str">
            <v>CP3436 - REVTOT - Identified - Recompete</v>
          </cell>
          <cell r="CC820" t="str">
            <v>CP3436 - REVTOT - Identified - Recompete - IS4</v>
          </cell>
          <cell r="CD820" t="str">
            <v/>
          </cell>
          <cell r="CF820" t="str">
            <v>CP3436 - Identified - Recompete - IS4</v>
          </cell>
        </row>
        <row r="821">
          <cell r="D821">
            <v>807</v>
          </cell>
          <cell r="E821">
            <v>2</v>
          </cell>
          <cell r="F821">
            <v>3</v>
          </cell>
          <cell r="G821" t="str">
            <v>CP3436</v>
          </cell>
          <cell r="H821" t="str">
            <v>HYGEIA</v>
          </cell>
          <cell r="I821" t="str">
            <v>IS4</v>
          </cell>
          <cell r="J821" t="str">
            <v>IS4 Infrastructure and Engineering</v>
          </cell>
          <cell r="K821" t="str">
            <v>Commercial</v>
          </cell>
          <cell r="L821" t="str">
            <v xml:space="preserve">Commercial </v>
          </cell>
          <cell r="M821" t="str">
            <v>VA</v>
          </cell>
          <cell r="N821" t="str">
            <v>CONUS</v>
          </cell>
          <cell r="O821">
            <v>43206</v>
          </cell>
          <cell r="P821">
            <v>44301</v>
          </cell>
          <cell r="Q821" t="str">
            <v>Prime</v>
          </cell>
          <cell r="R821" t="str">
            <v>T&amp;M</v>
          </cell>
          <cell r="S821">
            <v>0</v>
          </cell>
          <cell r="T821">
            <v>1</v>
          </cell>
          <cell r="U821" t="str">
            <v>CONTRACT</v>
          </cell>
          <cell r="V821" t="str">
            <v>Base</v>
          </cell>
          <cell r="W821" t="str">
            <v>05 Won</v>
          </cell>
          <cell r="X821" t="str">
            <v>Active</v>
          </cell>
          <cell r="Y821">
            <v>1</v>
          </cell>
          <cell r="Z821">
            <v>0</v>
          </cell>
          <cell r="AA821">
            <v>593360.77999999991</v>
          </cell>
          <cell r="AB821">
            <v>800121.48000000021</v>
          </cell>
          <cell r="AC821">
            <v>0</v>
          </cell>
          <cell r="AD821">
            <v>1393482.2600000002</v>
          </cell>
          <cell r="AL821">
            <v>0</v>
          </cell>
          <cell r="AM821">
            <v>0</v>
          </cell>
          <cell r="AN821">
            <v>0.14575582253539898</v>
          </cell>
          <cell r="AO821">
            <v>0.19754357431671787</v>
          </cell>
          <cell r="AP821">
            <v>0.1865197119398497</v>
          </cell>
          <cell r="AQ821">
            <v>0.1865197119398497</v>
          </cell>
          <cell r="AR821">
            <v>0.1865197119398497</v>
          </cell>
          <cell r="AS821">
            <v>0.1865197119398497</v>
          </cell>
          <cell r="BF821">
            <v>0</v>
          </cell>
          <cell r="BG821">
            <v>0</v>
          </cell>
          <cell r="BH821">
            <v>33099.200000000041</v>
          </cell>
          <cell r="BI821">
            <v>31847.919999999991</v>
          </cell>
          <cell r="BJ821">
            <v>28989.529999999992</v>
          </cell>
          <cell r="BK821">
            <v>21817.349999999991</v>
          </cell>
          <cell r="BL821">
            <v>25120</v>
          </cell>
          <cell r="BM821">
            <v>107774.79999999997</v>
          </cell>
          <cell r="BN821">
            <v>129533.89022623996</v>
          </cell>
          <cell r="BO821">
            <v>129533.89022623996</v>
          </cell>
          <cell r="BP821">
            <v>844.12927601085346</v>
          </cell>
          <cell r="BQ821">
            <v>0</v>
          </cell>
          <cell r="BR821">
            <v>367686.70972849074</v>
          </cell>
          <cell r="BT821">
            <v>0</v>
          </cell>
          <cell r="CA821" t="str">
            <v>CP3436 - CONTRACT - Base</v>
          </cell>
          <cell r="CC821" t="str">
            <v>CP3436 - CONTRACT - Base - IS4</v>
          </cell>
          <cell r="CD821" t="str">
            <v/>
          </cell>
          <cell r="CF821" t="str">
            <v>CP3436 - Base - IS4</v>
          </cell>
        </row>
        <row r="822">
          <cell r="D822">
            <v>808</v>
          </cell>
          <cell r="E822">
            <v>2</v>
          </cell>
          <cell r="F822">
            <v>4</v>
          </cell>
          <cell r="G822" t="str">
            <v>CP3436</v>
          </cell>
          <cell r="H822" t="str">
            <v>HYGEIA</v>
          </cell>
          <cell r="I822" t="str">
            <v>IS4</v>
          </cell>
          <cell r="J822" t="str">
            <v>IS4 Infrastructure and Engineering</v>
          </cell>
          <cell r="K822" t="str">
            <v>Commercial</v>
          </cell>
          <cell r="L822" t="str">
            <v xml:space="preserve">Commercial </v>
          </cell>
          <cell r="M822" t="str">
            <v>VA</v>
          </cell>
          <cell r="N822" t="str">
            <v>CONUS</v>
          </cell>
          <cell r="O822">
            <v>0</v>
          </cell>
          <cell r="P822">
            <v>0</v>
          </cell>
          <cell r="Q822">
            <v>0</v>
          </cell>
          <cell r="R822" t="str">
            <v>T&amp;M</v>
          </cell>
          <cell r="S822">
            <v>0</v>
          </cell>
          <cell r="T822">
            <v>1</v>
          </cell>
          <cell r="U822" t="str">
            <v>CONTRACT</v>
          </cell>
          <cell r="V822" t="str">
            <v>Identified - Recompete</v>
          </cell>
          <cell r="W822">
            <v>0</v>
          </cell>
          <cell r="X822">
            <v>0</v>
          </cell>
          <cell r="Y822">
            <v>0</v>
          </cell>
          <cell r="Z822">
            <v>0</v>
          </cell>
          <cell r="AA822">
            <v>0</v>
          </cell>
          <cell r="AB822">
            <v>0</v>
          </cell>
          <cell r="AC822">
            <v>0</v>
          </cell>
          <cell r="AD822">
            <v>0</v>
          </cell>
          <cell r="AP822">
            <v>0</v>
          </cell>
          <cell r="AQ822">
            <v>0</v>
          </cell>
          <cell r="AR822">
            <v>0</v>
          </cell>
          <cell r="AS822">
            <v>0</v>
          </cell>
          <cell r="BI822">
            <v>0</v>
          </cell>
          <cell r="BJ822">
            <v>0</v>
          </cell>
          <cell r="BK822">
            <v>0</v>
          </cell>
          <cell r="BL822">
            <v>0</v>
          </cell>
          <cell r="BM822">
            <v>0</v>
          </cell>
          <cell r="BN822">
            <v>0</v>
          </cell>
          <cell r="BO822">
            <v>0</v>
          </cell>
          <cell r="BP822">
            <v>0</v>
          </cell>
          <cell r="BQ822">
            <v>0</v>
          </cell>
          <cell r="BR822">
            <v>0</v>
          </cell>
          <cell r="BT822">
            <v>0</v>
          </cell>
          <cell r="CA822" t="str">
            <v>CP3436 - CONTRACT - Identified - Recompete</v>
          </cell>
          <cell r="CC822" t="str">
            <v>CP3436 - CONTRACT - Identified - Recompete - IS4</v>
          </cell>
          <cell r="CD822" t="str">
            <v/>
          </cell>
          <cell r="CF822" t="str">
            <v>CP3436 - Identified - Recompete - IS4</v>
          </cell>
        </row>
        <row r="823">
          <cell r="D823">
            <v>809</v>
          </cell>
          <cell r="E823">
            <v>0</v>
          </cell>
          <cell r="F823">
            <v>5</v>
          </cell>
          <cell r="G823" t="str">
            <v>CP3436</v>
          </cell>
          <cell r="H823" t="str">
            <v>HYGEIA</v>
          </cell>
          <cell r="I823" t="str">
            <v>IS4</v>
          </cell>
          <cell r="J823" t="str">
            <v>IS4 Infrastructure and Engineering</v>
          </cell>
          <cell r="K823" t="str">
            <v>Commercial</v>
          </cell>
          <cell r="L823" t="str">
            <v xml:space="preserve">Commercial </v>
          </cell>
          <cell r="M823" t="str">
            <v>VA</v>
          </cell>
          <cell r="N823" t="str">
            <v>CONUS</v>
          </cell>
          <cell r="O823">
            <v>43206</v>
          </cell>
          <cell r="P823">
            <v>44301</v>
          </cell>
          <cell r="Q823" t="str">
            <v>Prime</v>
          </cell>
          <cell r="R823" t="str">
            <v>T&amp;M</v>
          </cell>
          <cell r="S823">
            <v>0</v>
          </cell>
          <cell r="T823">
            <v>1</v>
          </cell>
          <cell r="U823" t="str">
            <v>EBITA</v>
          </cell>
          <cell r="V823" t="str">
            <v>Base</v>
          </cell>
          <cell r="W823" t="str">
            <v>05 Won</v>
          </cell>
          <cell r="X823" t="str">
            <v>Active</v>
          </cell>
          <cell r="Y823">
            <v>1</v>
          </cell>
          <cell r="Z823">
            <v>0</v>
          </cell>
          <cell r="AA823">
            <v>593360.77999999991</v>
          </cell>
          <cell r="AB823">
            <v>800121.48000000021</v>
          </cell>
          <cell r="AC823">
            <v>0</v>
          </cell>
          <cell r="AD823">
            <v>1393482.2600000002</v>
          </cell>
          <cell r="AT823">
            <v>0</v>
          </cell>
          <cell r="AU823">
            <v>0</v>
          </cell>
          <cell r="AV823">
            <v>6.623630522693906E-2</v>
          </cell>
          <cell r="AW823">
            <v>0.11431007758019326</v>
          </cell>
          <cell r="AX823">
            <v>0.10333225182252134</v>
          </cell>
          <cell r="AY823">
            <v>0.10433225182252134</v>
          </cell>
          <cell r="AZ823">
            <v>0.10533225182252134</v>
          </cell>
          <cell r="BA823">
            <v>0.10633225182252135</v>
          </cell>
          <cell r="BF823">
            <v>0</v>
          </cell>
          <cell r="BG823">
            <v>0</v>
          </cell>
          <cell r="BH823">
            <v>15041.38000000003</v>
          </cell>
          <cell r="BI823">
            <v>19035.829999999991</v>
          </cell>
          <cell r="BJ823">
            <v>16822.01999999999</v>
          </cell>
          <cell r="BK823">
            <v>11838.849999999991</v>
          </cell>
          <cell r="BL823">
            <v>14668</v>
          </cell>
          <cell r="BM823">
            <v>62364.699999999968</v>
          </cell>
          <cell r="BN823">
            <v>71762.005340889489</v>
          </cell>
          <cell r="BO823">
            <v>72456.483628889502</v>
          </cell>
          <cell r="BP823">
            <v>476.70048675719335</v>
          </cell>
          <cell r="BQ823">
            <v>0</v>
          </cell>
          <cell r="BR823">
            <v>207059.88945653613</v>
          </cell>
          <cell r="BT823">
            <v>0</v>
          </cell>
          <cell r="CA823" t="str">
            <v>CP3436 - EBITA - Base</v>
          </cell>
          <cell r="CC823" t="str">
            <v>CP3436 - EBITA - Base - IS4</v>
          </cell>
          <cell r="CD823" t="str">
            <v/>
          </cell>
          <cell r="CF823" t="str">
            <v>CP3436 - Base - IS4</v>
          </cell>
        </row>
        <row r="824">
          <cell r="D824">
            <v>810</v>
          </cell>
          <cell r="E824">
            <v>0</v>
          </cell>
          <cell r="F824">
            <v>0</v>
          </cell>
          <cell r="G824" t="str">
            <v>CP3436</v>
          </cell>
          <cell r="H824" t="str">
            <v>HYGEIA</v>
          </cell>
          <cell r="I824" t="str">
            <v>IS4</v>
          </cell>
          <cell r="J824" t="str">
            <v>IS4 Infrastructure and Engineering</v>
          </cell>
          <cell r="K824" t="str">
            <v>Commercial</v>
          </cell>
          <cell r="L824" t="str">
            <v xml:space="preserve">Commercial </v>
          </cell>
          <cell r="M824" t="str">
            <v>VA</v>
          </cell>
          <cell r="N824" t="str">
            <v>CONUS</v>
          </cell>
          <cell r="O824">
            <v>0</v>
          </cell>
          <cell r="P824">
            <v>0</v>
          </cell>
          <cell r="Q824">
            <v>0</v>
          </cell>
          <cell r="R824" t="str">
            <v>T&amp;M</v>
          </cell>
          <cell r="S824">
            <v>0</v>
          </cell>
          <cell r="T824">
            <v>1</v>
          </cell>
          <cell r="U824" t="str">
            <v>EBITA</v>
          </cell>
          <cell r="V824" t="str">
            <v>Identified - Recompete</v>
          </cell>
          <cell r="W824">
            <v>0</v>
          </cell>
          <cell r="X824">
            <v>0</v>
          </cell>
          <cell r="Y824">
            <v>0</v>
          </cell>
          <cell r="Z824">
            <v>0</v>
          </cell>
          <cell r="AA824">
            <v>0</v>
          </cell>
          <cell r="AB824">
            <v>0</v>
          </cell>
          <cell r="AC824">
            <v>0</v>
          </cell>
          <cell r="AD824">
            <v>0</v>
          </cell>
          <cell r="AX824">
            <v>0</v>
          </cell>
          <cell r="AY824">
            <v>0</v>
          </cell>
          <cell r="AZ824">
            <v>0</v>
          </cell>
          <cell r="BA824">
            <v>0</v>
          </cell>
          <cell r="BI824">
            <v>0</v>
          </cell>
          <cell r="BJ824">
            <v>0</v>
          </cell>
          <cell r="BK824">
            <v>0</v>
          </cell>
          <cell r="BL824">
            <v>0</v>
          </cell>
          <cell r="BM824">
            <v>0</v>
          </cell>
          <cell r="BN824">
            <v>0</v>
          </cell>
          <cell r="BO824">
            <v>0</v>
          </cell>
          <cell r="BP824">
            <v>0</v>
          </cell>
          <cell r="BQ824">
            <v>0</v>
          </cell>
          <cell r="BR824">
            <v>0</v>
          </cell>
          <cell r="BT824">
            <v>0</v>
          </cell>
          <cell r="CA824" t="str">
            <v>CP3436 - EBITA - Identified - Recompete</v>
          </cell>
          <cell r="CC824" t="str">
            <v>CP3436 - EBITA - Identified - Recompete - IS4</v>
          </cell>
          <cell r="CD824" t="str">
            <v/>
          </cell>
          <cell r="CF824" t="str">
            <v>CP3436 - Identified - Recompete - IS4</v>
          </cell>
        </row>
        <row r="825">
          <cell r="D825">
            <v>811</v>
          </cell>
          <cell r="E825">
            <v>1</v>
          </cell>
          <cell r="F825">
            <v>1</v>
          </cell>
          <cell r="G825" t="str">
            <v>12676X</v>
          </cell>
          <cell r="H825" t="str">
            <v>DISA NCMO</v>
          </cell>
          <cell r="I825" t="str">
            <v>IS4</v>
          </cell>
          <cell r="J825" t="str">
            <v>IS4 Engineering and Technology Services</v>
          </cell>
          <cell r="K825" t="str">
            <v>DISA</v>
          </cell>
          <cell r="L825" t="str">
            <v>DOD</v>
          </cell>
          <cell r="M825" t="str">
            <v>VA</v>
          </cell>
          <cell r="N825" t="str">
            <v>CONUS</v>
          </cell>
          <cell r="O825">
            <v>43546</v>
          </cell>
          <cell r="P825">
            <v>45102</v>
          </cell>
          <cell r="Q825" t="str">
            <v>Sub</v>
          </cell>
          <cell r="R825" t="str">
            <v>T&amp;M</v>
          </cell>
          <cell r="S825">
            <v>0</v>
          </cell>
          <cell r="T825">
            <v>1</v>
          </cell>
          <cell r="U825" t="str">
            <v>REVTOT</v>
          </cell>
          <cell r="V825" t="str">
            <v>Base</v>
          </cell>
          <cell r="W825" t="str">
            <v>05 Won</v>
          </cell>
          <cell r="X825" t="str">
            <v>Active</v>
          </cell>
          <cell r="Y825">
            <v>1</v>
          </cell>
          <cell r="Z825">
            <v>0</v>
          </cell>
          <cell r="AA825">
            <v>436264.45000000013</v>
          </cell>
          <cell r="AB825">
            <v>2635554</v>
          </cell>
          <cell r="AC825">
            <v>0</v>
          </cell>
          <cell r="AD825">
            <v>3071818.45</v>
          </cell>
          <cell r="AE825">
            <v>-0.13148204018476906</v>
          </cell>
          <cell r="AF825">
            <v>-9.1615948589362617E-2</v>
          </cell>
          <cell r="AG825">
            <v>-3.1548179166109969E-2</v>
          </cell>
          <cell r="AH825">
            <v>0.31519509574340887</v>
          </cell>
          <cell r="AI825">
            <v>0</v>
          </cell>
          <cell r="AJ825">
            <v>0</v>
          </cell>
          <cell r="AK825">
            <v>0</v>
          </cell>
          <cell r="BB825">
            <v>636838.64</v>
          </cell>
          <cell r="BC825">
            <v>636838.64</v>
          </cell>
          <cell r="BD825">
            <v>636838.64</v>
          </cell>
          <cell r="BE825">
            <v>636838.64</v>
          </cell>
          <cell r="BF825">
            <v>633742.6</v>
          </cell>
          <cell r="BG825">
            <v>550416.82999999996</v>
          </cell>
          <cell r="BH825">
            <v>499989.87</v>
          </cell>
          <cell r="BI825">
            <v>113037.23999999999</v>
          </cell>
          <cell r="BJ825">
            <v>107202.8</v>
          </cell>
          <cell r="BK825">
            <v>123040.7</v>
          </cell>
          <cell r="BL825">
            <v>140935.36000000002</v>
          </cell>
          <cell r="BM825">
            <v>484216.1</v>
          </cell>
          <cell r="BN825">
            <v>636838.64</v>
          </cell>
          <cell r="BO825">
            <v>636838.64</v>
          </cell>
          <cell r="BP825">
            <v>636838.64</v>
          </cell>
          <cell r="BQ825">
            <v>636838.64</v>
          </cell>
          <cell r="BR825">
            <v>3031570.66</v>
          </cell>
          <cell r="BT825">
            <v>0</v>
          </cell>
          <cell r="CA825" t="str">
            <v>12676X - REVTOT - Base</v>
          </cell>
          <cell r="CC825" t="str">
            <v>12676X - REVTOT - Base - IS4</v>
          </cell>
          <cell r="CD825" t="str">
            <v/>
          </cell>
          <cell r="CF825" t="str">
            <v>12676X - Base - IS4</v>
          </cell>
        </row>
        <row r="826">
          <cell r="D826">
            <v>812</v>
          </cell>
          <cell r="E826">
            <v>1</v>
          </cell>
          <cell r="F826">
            <v>2</v>
          </cell>
          <cell r="G826" t="str">
            <v>12676X</v>
          </cell>
          <cell r="H826" t="str">
            <v>DISA NCMO</v>
          </cell>
          <cell r="I826" t="str">
            <v>IS4</v>
          </cell>
          <cell r="J826" t="str">
            <v>IS4 Engineering and Technology Services</v>
          </cell>
          <cell r="K826" t="str">
            <v>DISA</v>
          </cell>
          <cell r="L826" t="str">
            <v>DOD</v>
          </cell>
          <cell r="M826" t="str">
            <v>VA</v>
          </cell>
          <cell r="N826" t="str">
            <v>CONUS</v>
          </cell>
          <cell r="O826">
            <v>0</v>
          </cell>
          <cell r="P826">
            <v>0</v>
          </cell>
          <cell r="Q826">
            <v>0</v>
          </cell>
          <cell r="R826" t="str">
            <v>T&amp;M</v>
          </cell>
          <cell r="S826">
            <v>0</v>
          </cell>
          <cell r="T826">
            <v>1</v>
          </cell>
          <cell r="U826" t="str">
            <v>REVTOT</v>
          </cell>
          <cell r="V826" t="str">
            <v>Identified - Recompete</v>
          </cell>
          <cell r="W826">
            <v>0</v>
          </cell>
          <cell r="X826">
            <v>0</v>
          </cell>
          <cell r="Y826">
            <v>0</v>
          </cell>
          <cell r="Z826">
            <v>0</v>
          </cell>
          <cell r="AA826">
            <v>0</v>
          </cell>
          <cell r="AB826">
            <v>0</v>
          </cell>
          <cell r="AC826">
            <v>0</v>
          </cell>
          <cell r="AD826">
            <v>0</v>
          </cell>
          <cell r="AI826">
            <v>0</v>
          </cell>
          <cell r="AJ826">
            <v>0</v>
          </cell>
          <cell r="AK826">
            <v>0</v>
          </cell>
          <cell r="BB826">
            <v>0</v>
          </cell>
          <cell r="BC826">
            <v>0</v>
          </cell>
          <cell r="BD826">
            <v>0</v>
          </cell>
          <cell r="BE826">
            <v>0</v>
          </cell>
          <cell r="BI826">
            <v>0</v>
          </cell>
          <cell r="BJ826">
            <v>0</v>
          </cell>
          <cell r="BK826">
            <v>0</v>
          </cell>
          <cell r="BL826">
            <v>0</v>
          </cell>
          <cell r="BM826">
            <v>0</v>
          </cell>
          <cell r="BN826">
            <v>0</v>
          </cell>
          <cell r="BO826">
            <v>0</v>
          </cell>
          <cell r="BP826">
            <v>0</v>
          </cell>
          <cell r="BQ826">
            <v>0</v>
          </cell>
          <cell r="BR826">
            <v>0</v>
          </cell>
          <cell r="BT826">
            <v>0</v>
          </cell>
          <cell r="CA826" t="str">
            <v>12676X - REVTOT - Identified - Recompete</v>
          </cell>
          <cell r="CC826" t="str">
            <v>12676X - REVTOT - Identified - Recompete - IS4</v>
          </cell>
          <cell r="CD826" t="str">
            <v/>
          </cell>
          <cell r="CF826" t="str">
            <v>12676X - Identified - Recompete - IS4</v>
          </cell>
        </row>
        <row r="827">
          <cell r="D827">
            <v>813</v>
          </cell>
          <cell r="E827">
            <v>2</v>
          </cell>
          <cell r="F827">
            <v>3</v>
          </cell>
          <cell r="G827" t="str">
            <v>12676X</v>
          </cell>
          <cell r="H827" t="str">
            <v>DISA NCMO</v>
          </cell>
          <cell r="I827" t="str">
            <v>IS4</v>
          </cell>
          <cell r="J827" t="str">
            <v>IS4 Engineering and Technology Services</v>
          </cell>
          <cell r="K827" t="str">
            <v>DISA</v>
          </cell>
          <cell r="L827" t="str">
            <v>DOD</v>
          </cell>
          <cell r="M827" t="str">
            <v>VA</v>
          </cell>
          <cell r="N827" t="str">
            <v>CONUS</v>
          </cell>
          <cell r="O827">
            <v>43546</v>
          </cell>
          <cell r="P827">
            <v>45102</v>
          </cell>
          <cell r="Q827" t="str">
            <v>Sub</v>
          </cell>
          <cell r="R827" t="str">
            <v>T&amp;M</v>
          </cell>
          <cell r="S827">
            <v>0</v>
          </cell>
          <cell r="T827">
            <v>1</v>
          </cell>
          <cell r="U827" t="str">
            <v>CONTRACT</v>
          </cell>
          <cell r="V827" t="str">
            <v>Base</v>
          </cell>
          <cell r="W827" t="str">
            <v>05 Won</v>
          </cell>
          <cell r="X827" t="str">
            <v>Active</v>
          </cell>
          <cell r="Y827">
            <v>1</v>
          </cell>
          <cell r="Z827">
            <v>0</v>
          </cell>
          <cell r="AA827">
            <v>436264.45000000013</v>
          </cell>
          <cell r="AB827">
            <v>2635554</v>
          </cell>
          <cell r="AC827">
            <v>0</v>
          </cell>
          <cell r="AD827">
            <v>3071818.45</v>
          </cell>
          <cell r="AL827">
            <v>0.2556157026527805</v>
          </cell>
          <cell r="AM827">
            <v>0.24812586126772324</v>
          </cell>
          <cell r="AN827">
            <v>0.24873957946387992</v>
          </cell>
          <cell r="AO827">
            <v>0.21528753380980106</v>
          </cell>
          <cell r="AP827">
            <v>0.19988284945147167</v>
          </cell>
          <cell r="AQ827">
            <v>0.19988284945147167</v>
          </cell>
          <cell r="AR827">
            <v>0.19988284945147167</v>
          </cell>
          <cell r="AS827">
            <v>0.19988284945147167</v>
          </cell>
          <cell r="BF827">
            <v>161994.56</v>
          </cell>
          <cell r="BG827">
            <v>136572.65</v>
          </cell>
          <cell r="BH827">
            <v>124367.26999999999</v>
          </cell>
          <cell r="BI827">
            <v>27363.559999999998</v>
          </cell>
          <cell r="BJ827">
            <v>25351.950000000008</v>
          </cell>
          <cell r="BK827">
            <v>24273.749999999993</v>
          </cell>
          <cell r="BL827">
            <v>27256.429999999993</v>
          </cell>
          <cell r="BM827">
            <v>104245.69</v>
          </cell>
          <cell r="BN827">
            <v>127293.12200399996</v>
          </cell>
          <cell r="BO827">
            <v>127293.12200399996</v>
          </cell>
          <cell r="BP827">
            <v>127293.12200399996</v>
          </cell>
          <cell r="BQ827">
            <v>127293.12200399996</v>
          </cell>
          <cell r="BR827">
            <v>613418.17801599985</v>
          </cell>
          <cell r="BT827">
            <v>0</v>
          </cell>
          <cell r="CA827" t="str">
            <v>12676X - CONTRACT - Base</v>
          </cell>
          <cell r="CC827" t="str">
            <v>12676X - CONTRACT - Base - IS4</v>
          </cell>
          <cell r="CD827" t="str">
            <v/>
          </cell>
          <cell r="CF827" t="str">
            <v>12676X - Base - IS4</v>
          </cell>
        </row>
        <row r="828">
          <cell r="D828">
            <v>814</v>
          </cell>
          <cell r="E828">
            <v>2</v>
          </cell>
          <cell r="F828">
            <v>4</v>
          </cell>
          <cell r="G828" t="str">
            <v>12676X</v>
          </cell>
          <cell r="H828" t="str">
            <v>DISA NCMO</v>
          </cell>
          <cell r="I828" t="str">
            <v>IS4</v>
          </cell>
          <cell r="J828" t="str">
            <v>IS4 Engineering and Technology Services</v>
          </cell>
          <cell r="K828" t="str">
            <v>DISA</v>
          </cell>
          <cell r="L828" t="str">
            <v>DOD</v>
          </cell>
          <cell r="M828" t="str">
            <v>VA</v>
          </cell>
          <cell r="N828" t="str">
            <v>CONUS</v>
          </cell>
          <cell r="O828">
            <v>0</v>
          </cell>
          <cell r="P828">
            <v>0</v>
          </cell>
          <cell r="Q828">
            <v>0</v>
          </cell>
          <cell r="R828" t="str">
            <v>T&amp;M</v>
          </cell>
          <cell r="S828">
            <v>0</v>
          </cell>
          <cell r="T828">
            <v>1</v>
          </cell>
          <cell r="U828" t="str">
            <v>CONTRACT</v>
          </cell>
          <cell r="V828" t="str">
            <v>Identified - Recompete</v>
          </cell>
          <cell r="W828">
            <v>0</v>
          </cell>
          <cell r="X828">
            <v>0</v>
          </cell>
          <cell r="Y828">
            <v>0</v>
          </cell>
          <cell r="Z828">
            <v>0</v>
          </cell>
          <cell r="AA828">
            <v>0</v>
          </cell>
          <cell r="AB828">
            <v>0</v>
          </cell>
          <cell r="AC828">
            <v>0</v>
          </cell>
          <cell r="AD828">
            <v>0</v>
          </cell>
          <cell r="AP828">
            <v>0</v>
          </cell>
          <cell r="AQ828">
            <v>0</v>
          </cell>
          <cell r="AR828">
            <v>0</v>
          </cell>
          <cell r="AS828">
            <v>0</v>
          </cell>
          <cell r="BI828">
            <v>0</v>
          </cell>
          <cell r="BJ828">
            <v>0</v>
          </cell>
          <cell r="BK828">
            <v>0</v>
          </cell>
          <cell r="BL828">
            <v>0</v>
          </cell>
          <cell r="BM828">
            <v>0</v>
          </cell>
          <cell r="BN828">
            <v>0</v>
          </cell>
          <cell r="BO828">
            <v>0</v>
          </cell>
          <cell r="BP828">
            <v>0</v>
          </cell>
          <cell r="BQ828">
            <v>0</v>
          </cell>
          <cell r="BR828">
            <v>0</v>
          </cell>
          <cell r="BT828">
            <v>0</v>
          </cell>
          <cell r="CA828" t="str">
            <v>12676X - CONTRACT - Identified - Recompete</v>
          </cell>
          <cell r="CC828" t="str">
            <v>12676X - CONTRACT - Identified - Recompete - IS4</v>
          </cell>
          <cell r="CD828" t="str">
            <v/>
          </cell>
          <cell r="CF828" t="str">
            <v>12676X - Identified - Recompete - IS4</v>
          </cell>
        </row>
        <row r="829">
          <cell r="D829">
            <v>815</v>
          </cell>
          <cell r="E829">
            <v>0</v>
          </cell>
          <cell r="F829">
            <v>5</v>
          </cell>
          <cell r="G829" t="str">
            <v>12676X</v>
          </cell>
          <cell r="H829" t="str">
            <v>DISA NCMO</v>
          </cell>
          <cell r="I829" t="str">
            <v>IS4</v>
          </cell>
          <cell r="J829" t="str">
            <v>IS4 Engineering and Technology Services</v>
          </cell>
          <cell r="K829" t="str">
            <v>DISA</v>
          </cell>
          <cell r="L829" t="str">
            <v>DOD</v>
          </cell>
          <cell r="M829" t="str">
            <v>VA</v>
          </cell>
          <cell r="N829" t="str">
            <v>CONUS</v>
          </cell>
          <cell r="O829">
            <v>43546</v>
          </cell>
          <cell r="P829">
            <v>45102</v>
          </cell>
          <cell r="Q829" t="str">
            <v>Sub</v>
          </cell>
          <cell r="R829" t="str">
            <v>T&amp;M</v>
          </cell>
          <cell r="S829">
            <v>0</v>
          </cell>
          <cell r="T829">
            <v>1</v>
          </cell>
          <cell r="U829" t="str">
            <v>EBITA</v>
          </cell>
          <cell r="V829" t="str">
            <v>Base</v>
          </cell>
          <cell r="W829" t="str">
            <v>05 Won</v>
          </cell>
          <cell r="X829" t="str">
            <v>Active</v>
          </cell>
          <cell r="Y829">
            <v>1</v>
          </cell>
          <cell r="Z829">
            <v>0</v>
          </cell>
          <cell r="AA829">
            <v>436264.45000000013</v>
          </cell>
          <cell r="AB829">
            <v>2635554</v>
          </cell>
          <cell r="AC829">
            <v>0</v>
          </cell>
          <cell r="AD829">
            <v>3071818.45</v>
          </cell>
          <cell r="AT829">
            <v>7.4400931860979541E-2</v>
          </cell>
          <cell r="AU829">
            <v>0.13469328327042615</v>
          </cell>
          <cell r="AV829">
            <v>0.13551450552388189</v>
          </cell>
          <cell r="AW829">
            <v>9.0245760105870071E-2</v>
          </cell>
          <cell r="AX829">
            <v>7.281972202079591E-2</v>
          </cell>
          <cell r="AY829">
            <v>7.3819722020795911E-2</v>
          </cell>
          <cell r="AZ829">
            <v>7.4819722020795912E-2</v>
          </cell>
          <cell r="BA829">
            <v>7.5819722020795913E-2</v>
          </cell>
          <cell r="BF829">
            <v>47151.040000000015</v>
          </cell>
          <cell r="BG829">
            <v>74137.449999999983</v>
          </cell>
          <cell r="BH829">
            <v>67755.87999999999</v>
          </cell>
          <cell r="BI829">
            <v>13515.609999999997</v>
          </cell>
          <cell r="BJ829">
            <v>12519.830000000009</v>
          </cell>
          <cell r="BK829">
            <v>8594.0099999999929</v>
          </cell>
          <cell r="BL829">
            <v>9068.9999999999927</v>
          </cell>
          <cell r="BM829">
            <v>43698.44999999999</v>
          </cell>
          <cell r="BN829">
            <v>46374.412736901722</v>
          </cell>
          <cell r="BO829">
            <v>47011.251376901724</v>
          </cell>
          <cell r="BP829">
            <v>47648.090016901719</v>
          </cell>
          <cell r="BQ829">
            <v>48284.92865690172</v>
          </cell>
          <cell r="BR829">
            <v>233017.13278760688</v>
          </cell>
          <cell r="BT829">
            <v>0</v>
          </cell>
          <cell r="CA829" t="str">
            <v>12676X - EBITA - Base</v>
          </cell>
          <cell r="CC829" t="str">
            <v>12676X - EBITA - Base - IS4</v>
          </cell>
          <cell r="CD829" t="str">
            <v/>
          </cell>
          <cell r="CF829" t="str">
            <v>12676X - Base - IS4</v>
          </cell>
        </row>
        <row r="830">
          <cell r="D830">
            <v>816</v>
          </cell>
          <cell r="E830">
            <v>0</v>
          </cell>
          <cell r="F830">
            <v>0</v>
          </cell>
          <cell r="G830" t="str">
            <v>12676X</v>
          </cell>
          <cell r="H830" t="str">
            <v>DISA NCMO</v>
          </cell>
          <cell r="I830" t="str">
            <v>IS4</v>
          </cell>
          <cell r="J830" t="str">
            <v>IS4 Engineering and Technology Services</v>
          </cell>
          <cell r="K830" t="str">
            <v>DISA</v>
          </cell>
          <cell r="L830" t="str">
            <v>DOD</v>
          </cell>
          <cell r="M830" t="str">
            <v>VA</v>
          </cell>
          <cell r="N830" t="str">
            <v>CONUS</v>
          </cell>
          <cell r="O830">
            <v>0</v>
          </cell>
          <cell r="P830">
            <v>0</v>
          </cell>
          <cell r="Q830">
            <v>0</v>
          </cell>
          <cell r="R830" t="str">
            <v>T&amp;M</v>
          </cell>
          <cell r="S830">
            <v>0</v>
          </cell>
          <cell r="T830">
            <v>1</v>
          </cell>
          <cell r="U830" t="str">
            <v>EBITA</v>
          </cell>
          <cell r="V830" t="str">
            <v>Identified - Recompete</v>
          </cell>
          <cell r="W830">
            <v>0</v>
          </cell>
          <cell r="X830">
            <v>0</v>
          </cell>
          <cell r="Y830">
            <v>0</v>
          </cell>
          <cell r="Z830">
            <v>0</v>
          </cell>
          <cell r="AA830">
            <v>0</v>
          </cell>
          <cell r="AB830">
            <v>0</v>
          </cell>
          <cell r="AC830">
            <v>0</v>
          </cell>
          <cell r="AD830">
            <v>0</v>
          </cell>
          <cell r="AX830">
            <v>0</v>
          </cell>
          <cell r="AY830">
            <v>0</v>
          </cell>
          <cell r="AZ830">
            <v>0</v>
          </cell>
          <cell r="BA830">
            <v>0</v>
          </cell>
          <cell r="BI830">
            <v>0</v>
          </cell>
          <cell r="BJ830">
            <v>0</v>
          </cell>
          <cell r="BK830">
            <v>0</v>
          </cell>
          <cell r="BL830">
            <v>0</v>
          </cell>
          <cell r="BM830">
            <v>0</v>
          </cell>
          <cell r="BN830">
            <v>0</v>
          </cell>
          <cell r="BO830">
            <v>0</v>
          </cell>
          <cell r="BP830">
            <v>0</v>
          </cell>
          <cell r="BQ830">
            <v>0</v>
          </cell>
          <cell r="BR830">
            <v>0</v>
          </cell>
          <cell r="BT830">
            <v>0</v>
          </cell>
          <cell r="CA830" t="str">
            <v>12676X - EBITA - Identified - Recompete</v>
          </cell>
          <cell r="CC830" t="str">
            <v>12676X - EBITA - Identified - Recompete - IS4</v>
          </cell>
          <cell r="CD830" t="str">
            <v/>
          </cell>
          <cell r="CF830" t="str">
            <v>12676X - Identified - Recompete - IS4</v>
          </cell>
        </row>
        <row r="831">
          <cell r="D831">
            <v>817</v>
          </cell>
          <cell r="E831">
            <v>1</v>
          </cell>
          <cell r="F831">
            <v>1</v>
          </cell>
          <cell r="G831" t="str">
            <v>000009</v>
          </cell>
          <cell r="H831" t="str">
            <v>CAPRICORN</v>
          </cell>
          <cell r="I831" t="str">
            <v>IS4</v>
          </cell>
          <cell r="J831" t="str">
            <v>IS4 Infrastructure and Engineering</v>
          </cell>
          <cell r="K831" t="str">
            <v>Classified Agency</v>
          </cell>
          <cell r="L831" t="str">
            <v>Classified</v>
          </cell>
          <cell r="M831" t="str">
            <v>Classified Location</v>
          </cell>
          <cell r="N831" t="str">
            <v>Other</v>
          </cell>
          <cell r="O831">
            <v>41876</v>
          </cell>
          <cell r="P831">
            <v>43701</v>
          </cell>
          <cell r="Q831" t="str">
            <v>Prime</v>
          </cell>
          <cell r="R831" t="str">
            <v>T&amp;M</v>
          </cell>
          <cell r="S831">
            <v>0</v>
          </cell>
          <cell r="T831">
            <v>1</v>
          </cell>
          <cell r="U831" t="str">
            <v>REVTOT</v>
          </cell>
          <cell r="V831" t="str">
            <v>Base</v>
          </cell>
          <cell r="W831" t="str">
            <v>05 Won</v>
          </cell>
          <cell r="X831" t="str">
            <v>Active</v>
          </cell>
          <cell r="Y831">
            <v>1</v>
          </cell>
          <cell r="Z831">
            <v>0</v>
          </cell>
          <cell r="AA831">
            <v>82093.820000000414</v>
          </cell>
          <cell r="AB831">
            <v>0.23999999975785613</v>
          </cell>
          <cell r="AC831">
            <v>0</v>
          </cell>
          <cell r="AD831">
            <v>82094.060000000172</v>
          </cell>
          <cell r="AE831">
            <v>0.10381863700076255</v>
          </cell>
          <cell r="AF831">
            <v>-0.10204302451610392</v>
          </cell>
          <cell r="AG831">
            <v>-3.756706853524916E-4</v>
          </cell>
          <cell r="AH831">
            <v>-1</v>
          </cell>
          <cell r="AI831">
            <v>0</v>
          </cell>
          <cell r="AJ831">
            <v>0</v>
          </cell>
          <cell r="AK831">
            <v>0</v>
          </cell>
          <cell r="BB831">
            <v>0</v>
          </cell>
          <cell r="BC831">
            <v>0</v>
          </cell>
          <cell r="BD831">
            <v>0</v>
          </cell>
          <cell r="BE831">
            <v>0</v>
          </cell>
          <cell r="BF831">
            <v>1391054.1900000002</v>
          </cell>
          <cell r="BG831">
            <v>1535471.54</v>
          </cell>
          <cell r="BH831">
            <v>1378787.3800000001</v>
          </cell>
          <cell r="BI831">
            <v>416494.2</v>
          </cell>
          <cell r="BJ831">
            <v>365928.69</v>
          </cell>
          <cell r="BK831">
            <v>363032.52</v>
          </cell>
          <cell r="BL831">
            <v>232814</v>
          </cell>
          <cell r="BM831">
            <v>1378269.4100000001</v>
          </cell>
          <cell r="BN831">
            <v>0</v>
          </cell>
          <cell r="BO831">
            <v>0</v>
          </cell>
          <cell r="BP831">
            <v>0</v>
          </cell>
          <cell r="BQ831">
            <v>0</v>
          </cell>
          <cell r="BR831">
            <v>1378269.4100000001</v>
          </cell>
          <cell r="BT831">
            <v>0</v>
          </cell>
          <cell r="CA831" t="str">
            <v>000009 - REVTOT - Base</v>
          </cell>
          <cell r="CC831" t="str">
            <v>000009 - REVTOT - Base - IS4</v>
          </cell>
          <cell r="CD831" t="str">
            <v/>
          </cell>
          <cell r="CF831" t="str">
            <v>000009 - Base - IS4</v>
          </cell>
        </row>
        <row r="832">
          <cell r="D832">
            <v>818</v>
          </cell>
          <cell r="E832">
            <v>1</v>
          </cell>
          <cell r="F832">
            <v>2</v>
          </cell>
          <cell r="G832" t="str">
            <v>000009</v>
          </cell>
          <cell r="H832" t="str">
            <v>CAPRICORN</v>
          </cell>
          <cell r="I832" t="str">
            <v>IS4</v>
          </cell>
          <cell r="J832" t="str">
            <v>IS4 Infrastructure and Engineering</v>
          </cell>
          <cell r="K832" t="str">
            <v>Classified Agency</v>
          </cell>
          <cell r="L832" t="str">
            <v>Classified</v>
          </cell>
          <cell r="M832" t="str">
            <v>Classified Location</v>
          </cell>
          <cell r="N832" t="str">
            <v>Other</v>
          </cell>
          <cell r="O832">
            <v>0</v>
          </cell>
          <cell r="P832">
            <v>0</v>
          </cell>
          <cell r="Q832">
            <v>0</v>
          </cell>
          <cell r="R832" t="str">
            <v>T&amp;M</v>
          </cell>
          <cell r="S832">
            <v>0</v>
          </cell>
          <cell r="T832">
            <v>1</v>
          </cell>
          <cell r="U832" t="str">
            <v>REVTOT</v>
          </cell>
          <cell r="V832" t="str">
            <v>Identified - Recompete</v>
          </cell>
          <cell r="W832">
            <v>0</v>
          </cell>
          <cell r="X832">
            <v>0</v>
          </cell>
          <cell r="Y832">
            <v>0</v>
          </cell>
          <cell r="Z832">
            <v>0</v>
          </cell>
          <cell r="AA832">
            <v>0</v>
          </cell>
          <cell r="AB832">
            <v>0</v>
          </cell>
          <cell r="AC832">
            <v>0</v>
          </cell>
          <cell r="AD832">
            <v>0</v>
          </cell>
          <cell r="AI832">
            <v>0</v>
          </cell>
          <cell r="AJ832">
            <v>0</v>
          </cell>
          <cell r="AK832">
            <v>0</v>
          </cell>
          <cell r="BB832">
            <v>0</v>
          </cell>
          <cell r="BC832">
            <v>0</v>
          </cell>
          <cell r="BD832">
            <v>0</v>
          </cell>
          <cell r="BE832">
            <v>0</v>
          </cell>
          <cell r="BI832">
            <v>0</v>
          </cell>
          <cell r="BJ832">
            <v>0</v>
          </cell>
          <cell r="BK832">
            <v>0</v>
          </cell>
          <cell r="BL832">
            <v>0</v>
          </cell>
          <cell r="BM832">
            <v>0</v>
          </cell>
          <cell r="BN832">
            <v>0</v>
          </cell>
          <cell r="BO832">
            <v>0</v>
          </cell>
          <cell r="BP832">
            <v>0</v>
          </cell>
          <cell r="BQ832">
            <v>0</v>
          </cell>
          <cell r="BR832">
            <v>0</v>
          </cell>
          <cell r="BT832">
            <v>0</v>
          </cell>
          <cell r="CA832" t="str">
            <v>000009 - REVTOT - Identified - Recompete</v>
          </cell>
          <cell r="CC832" t="str">
            <v>000009 - REVTOT - Identified - Recompete - IS4</v>
          </cell>
          <cell r="CD832" t="str">
            <v/>
          </cell>
          <cell r="CF832" t="str">
            <v>000009 - Identified - Recompete - IS4</v>
          </cell>
        </row>
        <row r="833">
          <cell r="D833">
            <v>819</v>
          </cell>
          <cell r="E833">
            <v>2</v>
          </cell>
          <cell r="F833">
            <v>3</v>
          </cell>
          <cell r="G833" t="str">
            <v>000009</v>
          </cell>
          <cell r="H833" t="str">
            <v>CAPRICORN</v>
          </cell>
          <cell r="I833" t="str">
            <v>IS4</v>
          </cell>
          <cell r="J833" t="str">
            <v>IS4 Infrastructure and Engineering</v>
          </cell>
          <cell r="K833" t="str">
            <v>Classified Agency</v>
          </cell>
          <cell r="L833" t="str">
            <v>Classified</v>
          </cell>
          <cell r="M833" t="str">
            <v>Classified Location</v>
          </cell>
          <cell r="N833" t="str">
            <v>Other</v>
          </cell>
          <cell r="O833">
            <v>41876</v>
          </cell>
          <cell r="P833">
            <v>43701</v>
          </cell>
          <cell r="Q833" t="str">
            <v>Prime</v>
          </cell>
          <cell r="R833" t="str">
            <v>T&amp;M</v>
          </cell>
          <cell r="S833">
            <v>0</v>
          </cell>
          <cell r="T833">
            <v>1</v>
          </cell>
          <cell r="U833" t="str">
            <v>CONTRACT</v>
          </cell>
          <cell r="V833" t="str">
            <v>Base</v>
          </cell>
          <cell r="W833" t="str">
            <v>05 Won</v>
          </cell>
          <cell r="X833" t="str">
            <v>Active</v>
          </cell>
          <cell r="Y833">
            <v>1</v>
          </cell>
          <cell r="Z833">
            <v>0</v>
          </cell>
          <cell r="AA833">
            <v>82093.820000000414</v>
          </cell>
          <cell r="AB833">
            <v>0.23999999975785613</v>
          </cell>
          <cell r="AC833">
            <v>0</v>
          </cell>
          <cell r="AD833">
            <v>82094.060000000172</v>
          </cell>
          <cell r="AL833">
            <v>0.11331588742779315</v>
          </cell>
          <cell r="AM833">
            <v>5.8585429724083357E-2</v>
          </cell>
          <cell r="AN833">
            <v>2.146119875277654E-2</v>
          </cell>
          <cell r="AO833">
            <v>6.8126630482207393E-2</v>
          </cell>
          <cell r="AP833">
            <v>6.528841263309397E-2</v>
          </cell>
          <cell r="AQ833">
            <v>6.528841263309397E-2</v>
          </cell>
          <cell r="AR833">
            <v>6.528841263309397E-2</v>
          </cell>
          <cell r="AS833">
            <v>6.528841263309397E-2</v>
          </cell>
          <cell r="BF833">
            <v>157628.54</v>
          </cell>
          <cell r="BG833">
            <v>89956.260000000053</v>
          </cell>
          <cell r="BH833">
            <v>29590.430000000037</v>
          </cell>
          <cell r="BI833">
            <v>50809.160000000018</v>
          </cell>
          <cell r="BJ833">
            <v>9407.8300000000017</v>
          </cell>
          <cell r="BK833">
            <v>19363.459999999992</v>
          </cell>
          <cell r="BL833">
            <v>14316.400800000003</v>
          </cell>
          <cell r="BM833">
            <v>93896.850800000015</v>
          </cell>
          <cell r="BN833">
            <v>0</v>
          </cell>
          <cell r="BO833">
            <v>0</v>
          </cell>
          <cell r="BP833">
            <v>0</v>
          </cell>
          <cell r="BQ833">
            <v>0</v>
          </cell>
          <cell r="BR833">
            <v>93896.850800000015</v>
          </cell>
          <cell r="BT833">
            <v>0</v>
          </cell>
          <cell r="CA833" t="str">
            <v>000009 - CONTRACT - Base</v>
          </cell>
          <cell r="CC833" t="str">
            <v>000009 - CONTRACT - Base - IS4</v>
          </cell>
          <cell r="CD833" t="str">
            <v/>
          </cell>
          <cell r="CF833" t="str">
            <v>000009 - Base - IS4</v>
          </cell>
        </row>
        <row r="834">
          <cell r="D834">
            <v>820</v>
          </cell>
          <cell r="E834">
            <v>2</v>
          </cell>
          <cell r="F834">
            <v>4</v>
          </cell>
          <cell r="G834" t="str">
            <v>000009</v>
          </cell>
          <cell r="H834" t="str">
            <v>CAPRICORN</v>
          </cell>
          <cell r="I834" t="str">
            <v>IS4</v>
          </cell>
          <cell r="J834" t="str">
            <v>IS4 Infrastructure and Engineering</v>
          </cell>
          <cell r="K834" t="str">
            <v>Classified Agency</v>
          </cell>
          <cell r="L834" t="str">
            <v>Classified</v>
          </cell>
          <cell r="M834" t="str">
            <v>Classified Location</v>
          </cell>
          <cell r="N834" t="str">
            <v>Other</v>
          </cell>
          <cell r="O834">
            <v>0</v>
          </cell>
          <cell r="P834">
            <v>0</v>
          </cell>
          <cell r="Q834">
            <v>0</v>
          </cell>
          <cell r="R834" t="str">
            <v>T&amp;M</v>
          </cell>
          <cell r="S834">
            <v>0</v>
          </cell>
          <cell r="T834">
            <v>1</v>
          </cell>
          <cell r="U834" t="str">
            <v>CONTRACT</v>
          </cell>
          <cell r="V834" t="str">
            <v>Identified - Recompete</v>
          </cell>
          <cell r="W834">
            <v>0</v>
          </cell>
          <cell r="X834">
            <v>0</v>
          </cell>
          <cell r="Y834">
            <v>0</v>
          </cell>
          <cell r="Z834">
            <v>0</v>
          </cell>
          <cell r="AA834">
            <v>0</v>
          </cell>
          <cell r="AB834">
            <v>0</v>
          </cell>
          <cell r="AC834">
            <v>0</v>
          </cell>
          <cell r="AD834">
            <v>0</v>
          </cell>
          <cell r="AP834">
            <v>0</v>
          </cell>
          <cell r="AQ834">
            <v>0</v>
          </cell>
          <cell r="AR834">
            <v>0</v>
          </cell>
          <cell r="AS834">
            <v>0</v>
          </cell>
          <cell r="BI834">
            <v>0</v>
          </cell>
          <cell r="BJ834">
            <v>0</v>
          </cell>
          <cell r="BK834">
            <v>0</v>
          </cell>
          <cell r="BL834">
            <v>0</v>
          </cell>
          <cell r="BM834">
            <v>0</v>
          </cell>
          <cell r="BN834">
            <v>0</v>
          </cell>
          <cell r="BO834">
            <v>0</v>
          </cell>
          <cell r="BP834">
            <v>0</v>
          </cell>
          <cell r="BQ834">
            <v>0</v>
          </cell>
          <cell r="BR834">
            <v>0</v>
          </cell>
          <cell r="BT834">
            <v>0</v>
          </cell>
          <cell r="CA834" t="str">
            <v>000009 - CONTRACT - Identified - Recompete</v>
          </cell>
          <cell r="CC834" t="str">
            <v>000009 - CONTRACT - Identified - Recompete - IS4</v>
          </cell>
          <cell r="CD834" t="str">
            <v/>
          </cell>
          <cell r="CF834" t="str">
            <v>000009 - Identified - Recompete - IS4</v>
          </cell>
        </row>
        <row r="835">
          <cell r="D835">
            <v>821</v>
          </cell>
          <cell r="E835">
            <v>0</v>
          </cell>
          <cell r="F835">
            <v>5</v>
          </cell>
          <cell r="G835" t="str">
            <v>000009</v>
          </cell>
          <cell r="H835" t="str">
            <v>CAPRICORN</v>
          </cell>
          <cell r="I835" t="str">
            <v>IS4</v>
          </cell>
          <cell r="J835" t="str">
            <v>IS4 Infrastructure and Engineering</v>
          </cell>
          <cell r="K835" t="str">
            <v>Classified Agency</v>
          </cell>
          <cell r="L835" t="str">
            <v>Classified</v>
          </cell>
          <cell r="M835" t="str">
            <v>Classified Location</v>
          </cell>
          <cell r="N835" t="str">
            <v>Other</v>
          </cell>
          <cell r="O835">
            <v>41876</v>
          </cell>
          <cell r="P835">
            <v>43701</v>
          </cell>
          <cell r="Q835" t="str">
            <v>Prime</v>
          </cell>
          <cell r="R835" t="str">
            <v>T&amp;M</v>
          </cell>
          <cell r="S835">
            <v>0</v>
          </cell>
          <cell r="T835">
            <v>1</v>
          </cell>
          <cell r="U835" t="str">
            <v>EBITA</v>
          </cell>
          <cell r="V835" t="str">
            <v>Base</v>
          </cell>
          <cell r="W835" t="str">
            <v>05 Won</v>
          </cell>
          <cell r="X835" t="str">
            <v>Active</v>
          </cell>
          <cell r="Y835">
            <v>1</v>
          </cell>
          <cell r="Z835">
            <v>0</v>
          </cell>
          <cell r="AA835">
            <v>82093.820000000414</v>
          </cell>
          <cell r="AB835">
            <v>0.23999999975785613</v>
          </cell>
          <cell r="AC835">
            <v>0</v>
          </cell>
          <cell r="AD835">
            <v>82094.060000000172</v>
          </cell>
          <cell r="AT835">
            <v>1.438470200790669E-2</v>
          </cell>
          <cell r="AU835">
            <v>-4.5325789626813877E-2</v>
          </cell>
          <cell r="AV835">
            <v>-6.8778349276739079E-2</v>
          </cell>
          <cell r="AW835">
            <v>-2.2796259073009674E-2</v>
          </cell>
          <cell r="AX835">
            <v>-2.9937646444651966E-2</v>
          </cell>
          <cell r="AY835">
            <v>-2.8937646444651965E-2</v>
          </cell>
          <cell r="AZ835">
            <v>-2.7937646444651965E-2</v>
          </cell>
          <cell r="BA835">
            <v>-2.6937646444651964E-2</v>
          </cell>
          <cell r="BF835">
            <v>20009.900000000016</v>
          </cell>
          <cell r="BG835">
            <v>-69596.459999999934</v>
          </cell>
          <cell r="BH835">
            <v>-94830.719999999972</v>
          </cell>
          <cell r="BI835">
            <v>12457.870000000015</v>
          </cell>
          <cell r="BJ835">
            <v>-26467.699999999997</v>
          </cell>
          <cell r="BK835">
            <v>-15958.110000000008</v>
          </cell>
          <cell r="BL835">
            <v>-1451.4465427642044</v>
          </cell>
          <cell r="BM835">
            <v>-31419.386542764194</v>
          </cell>
          <cell r="BN835">
            <v>0</v>
          </cell>
          <cell r="BO835">
            <v>0</v>
          </cell>
          <cell r="BP835">
            <v>0</v>
          </cell>
          <cell r="BQ835">
            <v>0</v>
          </cell>
          <cell r="BR835">
            <v>-31419.386542764194</v>
          </cell>
          <cell r="BT835">
            <v>0</v>
          </cell>
          <cell r="CA835" t="str">
            <v>000009 - EBITA - Base</v>
          </cell>
          <cell r="CC835" t="str">
            <v>000009 - EBITA - Base - IS4</v>
          </cell>
          <cell r="CD835" t="str">
            <v/>
          </cell>
          <cell r="CF835" t="str">
            <v>000009 - Base - IS4</v>
          </cell>
        </row>
        <row r="836">
          <cell r="D836">
            <v>822</v>
          </cell>
          <cell r="E836">
            <v>0</v>
          </cell>
          <cell r="F836">
            <v>0</v>
          </cell>
          <cell r="G836" t="str">
            <v>000009</v>
          </cell>
          <cell r="H836" t="str">
            <v>CAPRICORN</v>
          </cell>
          <cell r="I836" t="str">
            <v>IS4</v>
          </cell>
          <cell r="J836" t="str">
            <v>IS4 Infrastructure and Engineering</v>
          </cell>
          <cell r="K836" t="str">
            <v>Classified Agency</v>
          </cell>
          <cell r="L836" t="str">
            <v>Classified</v>
          </cell>
          <cell r="M836" t="str">
            <v>Classified Location</v>
          </cell>
          <cell r="N836" t="str">
            <v>Other</v>
          </cell>
          <cell r="O836">
            <v>0</v>
          </cell>
          <cell r="P836">
            <v>0</v>
          </cell>
          <cell r="Q836">
            <v>0</v>
          </cell>
          <cell r="R836" t="str">
            <v>T&amp;M</v>
          </cell>
          <cell r="S836">
            <v>0</v>
          </cell>
          <cell r="T836">
            <v>1</v>
          </cell>
          <cell r="U836" t="str">
            <v>EBITA</v>
          </cell>
          <cell r="V836" t="str">
            <v>Identified - Recompete</v>
          </cell>
          <cell r="W836">
            <v>0</v>
          </cell>
          <cell r="X836">
            <v>0</v>
          </cell>
          <cell r="Y836">
            <v>0</v>
          </cell>
          <cell r="Z836">
            <v>0</v>
          </cell>
          <cell r="AA836">
            <v>0</v>
          </cell>
          <cell r="AB836">
            <v>0</v>
          </cell>
          <cell r="AC836">
            <v>0</v>
          </cell>
          <cell r="AD836">
            <v>0</v>
          </cell>
          <cell r="AX836">
            <v>0</v>
          </cell>
          <cell r="AY836">
            <v>0</v>
          </cell>
          <cell r="AZ836">
            <v>0</v>
          </cell>
          <cell r="BA836">
            <v>0</v>
          </cell>
          <cell r="BI836">
            <v>0</v>
          </cell>
          <cell r="BJ836">
            <v>0</v>
          </cell>
          <cell r="BK836">
            <v>0</v>
          </cell>
          <cell r="BL836">
            <v>0</v>
          </cell>
          <cell r="BM836">
            <v>0</v>
          </cell>
          <cell r="BN836">
            <v>0</v>
          </cell>
          <cell r="BO836">
            <v>0</v>
          </cell>
          <cell r="BP836">
            <v>0</v>
          </cell>
          <cell r="BQ836">
            <v>0</v>
          </cell>
          <cell r="BR836">
            <v>0</v>
          </cell>
          <cell r="BT836">
            <v>0</v>
          </cell>
          <cell r="CA836" t="str">
            <v>000009 - EBITA - Identified - Recompete</v>
          </cell>
          <cell r="CC836" t="str">
            <v>000009 - EBITA - Identified - Recompete - IS4</v>
          </cell>
          <cell r="CD836" t="str">
            <v/>
          </cell>
          <cell r="CF836" t="str">
            <v>000009 - Identified - Recompete - IS4</v>
          </cell>
        </row>
        <row r="837">
          <cell r="D837">
            <v>823</v>
          </cell>
          <cell r="E837">
            <v>1</v>
          </cell>
          <cell r="F837">
            <v>1</v>
          </cell>
          <cell r="G837" t="str">
            <v>003565</v>
          </cell>
          <cell r="H837" t="str">
            <v>IPPS-A PMOSS SUB to ECS</v>
          </cell>
          <cell r="I837" t="str">
            <v>IS4</v>
          </cell>
          <cell r="J837" t="str">
            <v>IS4 Sustainment Engineering and Acquisition</v>
          </cell>
          <cell r="K837" t="str">
            <v>Army</v>
          </cell>
          <cell r="L837" t="str">
            <v>DOD</v>
          </cell>
          <cell r="M837" t="str">
            <v>US_State</v>
          </cell>
          <cell r="N837" t="str">
            <v>CONUS</v>
          </cell>
          <cell r="O837">
            <v>43402</v>
          </cell>
          <cell r="P837">
            <v>44878</v>
          </cell>
          <cell r="Q837" t="str">
            <v>Sub</v>
          </cell>
          <cell r="R837" t="str">
            <v>T&amp;M</v>
          </cell>
          <cell r="S837">
            <v>0</v>
          </cell>
          <cell r="T837">
            <v>1</v>
          </cell>
          <cell r="U837" t="str">
            <v>REVTOT</v>
          </cell>
          <cell r="V837" t="str">
            <v>Base</v>
          </cell>
          <cell r="W837" t="str">
            <v>05 Won</v>
          </cell>
          <cell r="X837" t="str">
            <v>Active</v>
          </cell>
          <cell r="Y837">
            <v>1</v>
          </cell>
          <cell r="Z837">
            <v>0</v>
          </cell>
          <cell r="AA837">
            <v>621824.16</v>
          </cell>
          <cell r="AB837">
            <v>3004932.4</v>
          </cell>
          <cell r="AC837">
            <v>0</v>
          </cell>
          <cell r="AD837">
            <v>3626756.56</v>
          </cell>
          <cell r="AE837">
            <v>0</v>
          </cell>
          <cell r="AF837">
            <v>0</v>
          </cell>
          <cell r="AG837">
            <v>0</v>
          </cell>
          <cell r="AH837">
            <v>0.4983146616588896</v>
          </cell>
          <cell r="AI837">
            <v>0</v>
          </cell>
          <cell r="AJ837">
            <v>0</v>
          </cell>
          <cell r="AK837">
            <v>0</v>
          </cell>
          <cell r="BB837">
            <v>559236.11852000002</v>
          </cell>
          <cell r="BC837">
            <v>559236.11852000002</v>
          </cell>
          <cell r="BD837">
            <v>559236.11852000002</v>
          </cell>
          <cell r="BE837">
            <v>559236.11852000002</v>
          </cell>
          <cell r="BF837">
            <v>0</v>
          </cell>
          <cell r="BG837">
            <v>0</v>
          </cell>
          <cell r="BH837">
            <v>0</v>
          </cell>
          <cell r="BI837">
            <v>40907.229999999996</v>
          </cell>
          <cell r="BJ837">
            <v>107506.04</v>
          </cell>
          <cell r="BK837">
            <v>116992.32999999999</v>
          </cell>
          <cell r="BL837">
            <v>107837.84</v>
          </cell>
          <cell r="BM837">
            <v>373243.43999999994</v>
          </cell>
          <cell r="BN837">
            <v>559236.11852000002</v>
          </cell>
          <cell r="BO837">
            <v>559236.11852000002</v>
          </cell>
          <cell r="BP837">
            <v>559236.11852000002</v>
          </cell>
          <cell r="BQ837">
            <v>559236.11852000002</v>
          </cell>
          <cell r="BR837">
            <v>2610187.91408</v>
          </cell>
          <cell r="BT837">
            <v>0</v>
          </cell>
          <cell r="CA837" t="str">
            <v>003565 - REVTOT - Base</v>
          </cell>
          <cell r="CC837" t="str">
            <v>003565 - REVTOT - Base - IS4</v>
          </cell>
          <cell r="CD837" t="str">
            <v/>
          </cell>
          <cell r="CF837" t="str">
            <v>003565 - Base - IS4</v>
          </cell>
        </row>
        <row r="838">
          <cell r="D838">
            <v>824</v>
          </cell>
          <cell r="E838">
            <v>1</v>
          </cell>
          <cell r="F838">
            <v>2</v>
          </cell>
          <cell r="G838" t="str">
            <v>003565</v>
          </cell>
          <cell r="H838" t="str">
            <v>IPPS-A PMOSS SUB to ECS</v>
          </cell>
          <cell r="I838" t="str">
            <v>IS4</v>
          </cell>
          <cell r="J838" t="str">
            <v>IS4 Sustainment Engineering and Acquisition</v>
          </cell>
          <cell r="K838" t="str">
            <v>Army</v>
          </cell>
          <cell r="L838" t="str">
            <v>DOD</v>
          </cell>
          <cell r="M838" t="str">
            <v>US_State</v>
          </cell>
          <cell r="N838" t="str">
            <v>CONUS</v>
          </cell>
          <cell r="O838">
            <v>44879</v>
          </cell>
          <cell r="P838">
            <v>46705</v>
          </cell>
          <cell r="Q838" t="str">
            <v>Sub</v>
          </cell>
          <cell r="R838" t="str">
            <v>T&amp;M</v>
          </cell>
          <cell r="S838">
            <v>0</v>
          </cell>
          <cell r="T838">
            <v>1</v>
          </cell>
          <cell r="U838" t="str">
            <v>REVTOT</v>
          </cell>
          <cell r="V838" t="str">
            <v>Identified - Recompete</v>
          </cell>
          <cell r="W838" t="str">
            <v>01 Prospect</v>
          </cell>
          <cell r="X838" t="str">
            <v>Priority 3</v>
          </cell>
          <cell r="Y838">
            <v>0.3</v>
          </cell>
          <cell r="Z838">
            <v>26000000</v>
          </cell>
          <cell r="AA838">
            <v>0</v>
          </cell>
          <cell r="AB838">
            <v>0</v>
          </cell>
          <cell r="AC838">
            <v>0</v>
          </cell>
          <cell r="AD838">
            <v>0</v>
          </cell>
          <cell r="AI838">
            <v>0</v>
          </cell>
          <cell r="AJ838">
            <v>0</v>
          </cell>
          <cell r="AK838">
            <v>0</v>
          </cell>
          <cell r="BB838">
            <v>5200000</v>
          </cell>
          <cell r="BC838">
            <v>5200000</v>
          </cell>
          <cell r="BD838">
            <v>5200000</v>
          </cell>
          <cell r="BE838">
            <v>5200000</v>
          </cell>
          <cell r="BI838">
            <v>0</v>
          </cell>
          <cell r="BJ838">
            <v>0</v>
          </cell>
          <cell r="BK838">
            <v>0</v>
          </cell>
          <cell r="BL838">
            <v>0</v>
          </cell>
          <cell r="BM838">
            <v>0</v>
          </cell>
          <cell r="BN838">
            <v>0</v>
          </cell>
          <cell r="BO838">
            <v>0</v>
          </cell>
          <cell r="BP838">
            <v>0</v>
          </cell>
          <cell r="BQ838">
            <v>1560000</v>
          </cell>
          <cell r="BR838">
            <v>1560000</v>
          </cell>
          <cell r="BT838">
            <v>0</v>
          </cell>
          <cell r="CA838" t="str">
            <v>003565 - REVTOT - Identified - Recompete</v>
          </cell>
          <cell r="CC838" t="str">
            <v>003565 - REVTOT - Identified - Recompete - IS4</v>
          </cell>
          <cell r="CD838" t="str">
            <v/>
          </cell>
          <cell r="CF838" t="str">
            <v>003565 - Identified - Recompete - IS4</v>
          </cell>
        </row>
        <row r="839">
          <cell r="D839">
            <v>825</v>
          </cell>
          <cell r="E839">
            <v>2</v>
          </cell>
          <cell r="F839">
            <v>3</v>
          </cell>
          <cell r="G839" t="str">
            <v>003565</v>
          </cell>
          <cell r="H839" t="str">
            <v>IPPS-A PMOSS SUB to ECS</v>
          </cell>
          <cell r="I839" t="str">
            <v>IS4</v>
          </cell>
          <cell r="J839" t="str">
            <v>IS4 Sustainment Engineering and Acquisition</v>
          </cell>
          <cell r="K839" t="str">
            <v>Army</v>
          </cell>
          <cell r="L839" t="str">
            <v>DOD</v>
          </cell>
          <cell r="M839" t="str">
            <v>US_State</v>
          </cell>
          <cell r="N839" t="str">
            <v>CONUS</v>
          </cell>
          <cell r="O839">
            <v>43402</v>
          </cell>
          <cell r="P839">
            <v>44878</v>
          </cell>
          <cell r="Q839" t="str">
            <v>Sub</v>
          </cell>
          <cell r="R839" t="str">
            <v>T&amp;M</v>
          </cell>
          <cell r="S839">
            <v>0</v>
          </cell>
          <cell r="T839">
            <v>1</v>
          </cell>
          <cell r="U839" t="str">
            <v>CONTRACT</v>
          </cell>
          <cell r="V839" t="str">
            <v>Base</v>
          </cell>
          <cell r="W839" t="str">
            <v>05 Won</v>
          </cell>
          <cell r="X839" t="str">
            <v>Active</v>
          </cell>
          <cell r="Y839">
            <v>1</v>
          </cell>
          <cell r="Z839">
            <v>0</v>
          </cell>
          <cell r="AA839">
            <v>621824.16</v>
          </cell>
          <cell r="AB839">
            <v>3004932.4</v>
          </cell>
          <cell r="AC839">
            <v>0</v>
          </cell>
          <cell r="AD839">
            <v>3626756.56</v>
          </cell>
          <cell r="AL839">
            <v>0</v>
          </cell>
          <cell r="AM839">
            <v>0</v>
          </cell>
          <cell r="AN839">
            <v>0</v>
          </cell>
          <cell r="AO839">
            <v>0.19904414127144471</v>
          </cell>
          <cell r="AP839">
            <v>0.24312259052396704</v>
          </cell>
          <cell r="AQ839">
            <v>0.24312259052396704</v>
          </cell>
          <cell r="AR839">
            <v>0.24312259052396704</v>
          </cell>
          <cell r="AS839">
            <v>0.24312259052396704</v>
          </cell>
          <cell r="BF839">
            <v>0</v>
          </cell>
          <cell r="BG839">
            <v>0</v>
          </cell>
          <cell r="BH839">
            <v>0</v>
          </cell>
          <cell r="BI839">
            <v>8205.8799999999992</v>
          </cell>
          <cell r="BJ839">
            <v>22894.329999999994</v>
          </cell>
          <cell r="BK839">
            <v>23375.669999999991</v>
          </cell>
          <cell r="BL839">
            <v>19816.040000000008</v>
          </cell>
          <cell r="BM839">
            <v>74291.919999999984</v>
          </cell>
          <cell r="BN839">
            <v>135962.93384915066</v>
          </cell>
          <cell r="BO839">
            <v>135962.93384915066</v>
          </cell>
          <cell r="BP839">
            <v>135962.93384915066</v>
          </cell>
          <cell r="BQ839">
            <v>135962.93384915066</v>
          </cell>
          <cell r="BR839">
            <v>618143.65539660258</v>
          </cell>
          <cell r="BT839">
            <v>0</v>
          </cell>
          <cell r="CA839" t="str">
            <v>003565 - CONTRACT - Base</v>
          </cell>
          <cell r="CC839" t="str">
            <v>003565 - CONTRACT - Base - IS4</v>
          </cell>
          <cell r="CD839" t="str">
            <v/>
          </cell>
          <cell r="CF839" t="str">
            <v>003565 - Base - IS4</v>
          </cell>
        </row>
        <row r="840">
          <cell r="D840">
            <v>826</v>
          </cell>
          <cell r="E840">
            <v>2</v>
          </cell>
          <cell r="F840">
            <v>4</v>
          </cell>
          <cell r="G840" t="str">
            <v>003565</v>
          </cell>
          <cell r="H840" t="str">
            <v>IPPS-A PMOSS SUB to ECS</v>
          </cell>
          <cell r="I840" t="str">
            <v>IS4</v>
          </cell>
          <cell r="J840" t="str">
            <v>IS4 Sustainment Engineering and Acquisition</v>
          </cell>
          <cell r="K840" t="str">
            <v>Army</v>
          </cell>
          <cell r="L840" t="str">
            <v>DOD</v>
          </cell>
          <cell r="M840" t="str">
            <v>US_State</v>
          </cell>
          <cell r="N840" t="str">
            <v>CONUS</v>
          </cell>
          <cell r="O840">
            <v>44879</v>
          </cell>
          <cell r="P840">
            <v>46705</v>
          </cell>
          <cell r="Q840" t="str">
            <v>Sub</v>
          </cell>
          <cell r="R840" t="str">
            <v>T&amp;M</v>
          </cell>
          <cell r="S840">
            <v>0</v>
          </cell>
          <cell r="T840">
            <v>1</v>
          </cell>
          <cell r="U840" t="str">
            <v>CONTRACT</v>
          </cell>
          <cell r="V840" t="str">
            <v>Identified - Recompete</v>
          </cell>
          <cell r="W840" t="str">
            <v>01 Prospect</v>
          </cell>
          <cell r="X840" t="str">
            <v>Priority 3</v>
          </cell>
          <cell r="Y840">
            <v>0.3</v>
          </cell>
          <cell r="Z840">
            <v>26000000</v>
          </cell>
          <cell r="AA840">
            <v>0</v>
          </cell>
          <cell r="AB840">
            <v>0</v>
          </cell>
          <cell r="AC840">
            <v>0</v>
          </cell>
          <cell r="AD840">
            <v>0</v>
          </cell>
          <cell r="AP840">
            <v>0.24312259052396704</v>
          </cell>
          <cell r="AQ840">
            <v>0.24312259052396704</v>
          </cell>
          <cell r="AR840">
            <v>0.24312259052396704</v>
          </cell>
          <cell r="AS840">
            <v>0.24312259052396704</v>
          </cell>
          <cell r="BI840">
            <v>0</v>
          </cell>
          <cell r="BJ840">
            <v>0</v>
          </cell>
          <cell r="BK840">
            <v>0</v>
          </cell>
          <cell r="BL840">
            <v>0</v>
          </cell>
          <cell r="BM840">
            <v>0</v>
          </cell>
          <cell r="BN840">
            <v>0</v>
          </cell>
          <cell r="BO840">
            <v>0</v>
          </cell>
          <cell r="BP840">
            <v>0</v>
          </cell>
          <cell r="BQ840">
            <v>379271.2412173886</v>
          </cell>
          <cell r="BR840">
            <v>379271.2412173886</v>
          </cell>
          <cell r="BT840">
            <v>0</v>
          </cell>
          <cell r="CA840" t="str">
            <v>003565 - CONTRACT - Identified - Recompete</v>
          </cell>
          <cell r="CC840" t="str">
            <v>003565 - CONTRACT - Identified - Recompete - IS4</v>
          </cell>
          <cell r="CD840" t="str">
            <v/>
          </cell>
          <cell r="CF840" t="str">
            <v>003565 - Identified - Recompete - IS4</v>
          </cell>
        </row>
        <row r="841">
          <cell r="D841">
            <v>827</v>
          </cell>
          <cell r="E841">
            <v>0</v>
          </cell>
          <cell r="F841">
            <v>5</v>
          </cell>
          <cell r="G841" t="str">
            <v>003565</v>
          </cell>
          <cell r="H841" t="str">
            <v>IPPS-A PMOSS SUB to ECS</v>
          </cell>
          <cell r="I841" t="str">
            <v>IS4</v>
          </cell>
          <cell r="J841" t="str">
            <v>IS4 Sustainment Engineering and Acquisition</v>
          </cell>
          <cell r="K841" t="str">
            <v>Army</v>
          </cell>
          <cell r="L841" t="str">
            <v>DOD</v>
          </cell>
          <cell r="M841" t="str">
            <v>US_State</v>
          </cell>
          <cell r="N841" t="str">
            <v>CONUS</v>
          </cell>
          <cell r="O841">
            <v>43402</v>
          </cell>
          <cell r="P841">
            <v>44878</v>
          </cell>
          <cell r="Q841" t="str">
            <v>Sub</v>
          </cell>
          <cell r="R841" t="str">
            <v>T&amp;M</v>
          </cell>
          <cell r="S841">
            <v>0</v>
          </cell>
          <cell r="T841">
            <v>1</v>
          </cell>
          <cell r="U841" t="str">
            <v>EBITA</v>
          </cell>
          <cell r="V841" t="str">
            <v>Base</v>
          </cell>
          <cell r="W841" t="str">
            <v>05 Won</v>
          </cell>
          <cell r="X841" t="str">
            <v>Active</v>
          </cell>
          <cell r="Y841">
            <v>1</v>
          </cell>
          <cell r="Z841">
            <v>0</v>
          </cell>
          <cell r="AA841">
            <v>621824.16</v>
          </cell>
          <cell r="AB841">
            <v>3004932.4</v>
          </cell>
          <cell r="AC841">
            <v>0</v>
          </cell>
          <cell r="AD841">
            <v>3626756.56</v>
          </cell>
          <cell r="AT841">
            <v>0</v>
          </cell>
          <cell r="AU841">
            <v>0</v>
          </cell>
          <cell r="AV841">
            <v>0</v>
          </cell>
          <cell r="AW841">
            <v>6.9597633115802374E-2</v>
          </cell>
          <cell r="AX841">
            <v>0.12073395126865585</v>
          </cell>
          <cell r="AY841">
            <v>0.12173395126865585</v>
          </cell>
          <cell r="AZ841">
            <v>0.12273395126865586</v>
          </cell>
          <cell r="BA841">
            <v>0.12373395126865586</v>
          </cell>
          <cell r="BF841">
            <v>0</v>
          </cell>
          <cell r="BG841">
            <v>0</v>
          </cell>
          <cell r="BH841">
            <v>0</v>
          </cell>
          <cell r="BI841">
            <v>2842.5999999999995</v>
          </cell>
          <cell r="BJ841">
            <v>9349.7699999999932</v>
          </cell>
          <cell r="BK841">
            <v>8378.9799999999923</v>
          </cell>
          <cell r="BL841">
            <v>5405.5100000000093</v>
          </cell>
          <cell r="BM841">
            <v>25976.859999999993</v>
          </cell>
          <cell r="BN841">
            <v>67518.786281065928</v>
          </cell>
          <cell r="BO841">
            <v>68078.022399585927</v>
          </cell>
          <cell r="BP841">
            <v>68637.258518105926</v>
          </cell>
          <cell r="BQ841">
            <v>69196.494636625939</v>
          </cell>
          <cell r="BR841">
            <v>299407.42183538369</v>
          </cell>
          <cell r="BT841">
            <v>0</v>
          </cell>
          <cell r="CA841" t="str">
            <v>003565 - EBITA - Base</v>
          </cell>
          <cell r="CC841" t="str">
            <v>003565 - EBITA - Base - IS4</v>
          </cell>
          <cell r="CD841" t="str">
            <v/>
          </cell>
          <cell r="CF841" t="str">
            <v>003565 - Base - IS4</v>
          </cell>
        </row>
        <row r="842">
          <cell r="D842">
            <v>828</v>
          </cell>
          <cell r="E842">
            <v>0</v>
          </cell>
          <cell r="F842">
            <v>0</v>
          </cell>
          <cell r="G842" t="str">
            <v>003565</v>
          </cell>
          <cell r="H842" t="str">
            <v>IPPS-A PMOSS SUB to ECS</v>
          </cell>
          <cell r="I842" t="str">
            <v>IS4</v>
          </cell>
          <cell r="J842" t="str">
            <v>IS4 Sustainment Engineering and Acquisition</v>
          </cell>
          <cell r="K842" t="str">
            <v>Army</v>
          </cell>
          <cell r="L842" t="str">
            <v>DOD</v>
          </cell>
          <cell r="M842" t="str">
            <v>US_State</v>
          </cell>
          <cell r="N842" t="str">
            <v>CONUS</v>
          </cell>
          <cell r="O842">
            <v>44879</v>
          </cell>
          <cell r="P842">
            <v>46705</v>
          </cell>
          <cell r="Q842" t="str">
            <v>Sub</v>
          </cell>
          <cell r="R842" t="str">
            <v>T&amp;M</v>
          </cell>
          <cell r="S842">
            <v>0</v>
          </cell>
          <cell r="T842">
            <v>1</v>
          </cell>
          <cell r="U842" t="str">
            <v>EBITA</v>
          </cell>
          <cell r="V842" t="str">
            <v>Identified - Recompete</v>
          </cell>
          <cell r="W842" t="str">
            <v>01 Prospect</v>
          </cell>
          <cell r="X842" t="str">
            <v>Priority 3</v>
          </cell>
          <cell r="Y842">
            <v>0.3</v>
          </cell>
          <cell r="Z842">
            <v>26000000</v>
          </cell>
          <cell r="AA842">
            <v>0</v>
          </cell>
          <cell r="AB842">
            <v>0</v>
          </cell>
          <cell r="AC842">
            <v>0</v>
          </cell>
          <cell r="AD842">
            <v>0</v>
          </cell>
          <cell r="AX842">
            <v>0.12073395126865585</v>
          </cell>
          <cell r="AY842">
            <v>0.12173395126865585</v>
          </cell>
          <cell r="AZ842">
            <v>0.12273395126865586</v>
          </cell>
          <cell r="BA842">
            <v>0.12373395126865586</v>
          </cell>
          <cell r="BI842">
            <v>0</v>
          </cell>
          <cell r="BJ842">
            <v>0</v>
          </cell>
          <cell r="BK842">
            <v>0</v>
          </cell>
          <cell r="BL842">
            <v>0</v>
          </cell>
          <cell r="BM842">
            <v>0</v>
          </cell>
          <cell r="BN842">
            <v>0</v>
          </cell>
          <cell r="BO842">
            <v>0</v>
          </cell>
          <cell r="BP842">
            <v>0</v>
          </cell>
          <cell r="BQ842">
            <v>193024.96397910314</v>
          </cell>
          <cell r="BR842">
            <v>193024.96397910314</v>
          </cell>
          <cell r="BT842">
            <v>0</v>
          </cell>
          <cell r="CA842" t="str">
            <v>003565 - EBITA - Identified - Recompete</v>
          </cell>
          <cell r="CC842" t="str">
            <v>003565 - EBITA - Identified - Recompete - IS4</v>
          </cell>
          <cell r="CD842" t="str">
            <v/>
          </cell>
          <cell r="CF842" t="str">
            <v>003565 - Identified - Recompete - IS4</v>
          </cell>
        </row>
        <row r="843">
          <cell r="D843">
            <v>829</v>
          </cell>
          <cell r="E843">
            <v>1</v>
          </cell>
          <cell r="F843">
            <v>1</v>
          </cell>
          <cell r="G843" t="str">
            <v>003345</v>
          </cell>
          <cell r="H843" t="str">
            <v>DISA JSDR/ISD</v>
          </cell>
          <cell r="I843" t="str">
            <v>IS4</v>
          </cell>
          <cell r="J843" t="str">
            <v>IS4 Spectrum &amp; Infrastructure Assurance</v>
          </cell>
          <cell r="K843" t="str">
            <v>DISA</v>
          </cell>
          <cell r="L843" t="str">
            <v>DOD</v>
          </cell>
          <cell r="M843" t="str">
            <v>VA</v>
          </cell>
          <cell r="N843" t="str">
            <v>CONUS</v>
          </cell>
          <cell r="O843">
            <v>42985</v>
          </cell>
          <cell r="P843">
            <v>44712</v>
          </cell>
          <cell r="Q843" t="str">
            <v>Sub</v>
          </cell>
          <cell r="R843" t="str">
            <v>T&amp;M</v>
          </cell>
          <cell r="S843">
            <v>0</v>
          </cell>
          <cell r="T843">
            <v>1</v>
          </cell>
          <cell r="U843" t="str">
            <v>REVTOT</v>
          </cell>
          <cell r="V843" t="str">
            <v>Base</v>
          </cell>
          <cell r="W843" t="str">
            <v>05 Won</v>
          </cell>
          <cell r="X843" t="str">
            <v>Active</v>
          </cell>
          <cell r="Y843">
            <v>1</v>
          </cell>
          <cell r="Z843">
            <v>0</v>
          </cell>
          <cell r="AA843">
            <v>17960.960000000028</v>
          </cell>
          <cell r="AB843">
            <v>1305426.05</v>
          </cell>
          <cell r="AC843">
            <v>0</v>
          </cell>
          <cell r="AD843">
            <v>1323387.01</v>
          </cell>
          <cell r="AE843">
            <v>0</v>
          </cell>
          <cell r="AF843">
            <v>14.464000442388683</v>
          </cell>
          <cell r="AG843">
            <v>-0.22984383546246523</v>
          </cell>
          <cell r="AH843">
            <v>0.38892599547564766</v>
          </cell>
          <cell r="AI843">
            <v>0</v>
          </cell>
          <cell r="AJ843">
            <v>0</v>
          </cell>
          <cell r="AK843">
            <v>0</v>
          </cell>
          <cell r="BB843">
            <v>463657.65097999992</v>
          </cell>
          <cell r="BC843">
            <v>463657.65097999992</v>
          </cell>
          <cell r="BD843">
            <v>463657.65097999992</v>
          </cell>
          <cell r="BE843">
            <v>463657.65097999992</v>
          </cell>
          <cell r="BF843">
            <v>0</v>
          </cell>
          <cell r="BG843">
            <v>28029.65</v>
          </cell>
          <cell r="BH843">
            <v>433450.51999999996</v>
          </cell>
          <cell r="BI843">
            <v>105072.79000000001</v>
          </cell>
          <cell r="BJ843">
            <v>122203.69999999998</v>
          </cell>
          <cell r="BK843">
            <v>106548.1</v>
          </cell>
          <cell r="BL843">
            <v>0</v>
          </cell>
          <cell r="BM843">
            <v>333824.58999999997</v>
          </cell>
          <cell r="BN843">
            <v>463657.65097999992</v>
          </cell>
          <cell r="BO843">
            <v>463657.65097999992</v>
          </cell>
          <cell r="BP843">
            <v>396071.70804000017</v>
          </cell>
          <cell r="BQ843">
            <v>0</v>
          </cell>
          <cell r="BR843">
            <v>1657211.5999999999</v>
          </cell>
          <cell r="BT843">
            <v>0</v>
          </cell>
          <cell r="CA843" t="str">
            <v>003345 - REVTOT - Base</v>
          </cell>
          <cell r="CC843" t="str">
            <v>003345 - REVTOT - Base - IS4</v>
          </cell>
          <cell r="CD843" t="str">
            <v/>
          </cell>
          <cell r="CF843" t="str">
            <v>003345 - Base - IS4</v>
          </cell>
        </row>
        <row r="844">
          <cell r="D844">
            <v>830</v>
          </cell>
          <cell r="E844">
            <v>1</v>
          </cell>
          <cell r="F844">
            <v>2</v>
          </cell>
          <cell r="G844" t="str">
            <v>003345</v>
          </cell>
          <cell r="H844" t="str">
            <v>DISA JSDR/ISD</v>
          </cell>
          <cell r="I844" t="str">
            <v>IS4</v>
          </cell>
          <cell r="J844" t="str">
            <v>IS4 Spectrum &amp; Infrastructure Assurance</v>
          </cell>
          <cell r="K844" t="str">
            <v>DISA</v>
          </cell>
          <cell r="L844" t="str">
            <v>DOD</v>
          </cell>
          <cell r="M844" t="str">
            <v>VA</v>
          </cell>
          <cell r="N844" t="str">
            <v>CONUS</v>
          </cell>
          <cell r="O844">
            <v>0</v>
          </cell>
          <cell r="P844">
            <v>0</v>
          </cell>
          <cell r="Q844">
            <v>0</v>
          </cell>
          <cell r="R844" t="str">
            <v>T&amp;M</v>
          </cell>
          <cell r="S844">
            <v>0</v>
          </cell>
          <cell r="T844">
            <v>1</v>
          </cell>
          <cell r="U844" t="str">
            <v>REVTOT</v>
          </cell>
          <cell r="V844" t="str">
            <v>Identified - Recompete</v>
          </cell>
          <cell r="W844">
            <v>0</v>
          </cell>
          <cell r="X844">
            <v>0</v>
          </cell>
          <cell r="Y844">
            <v>0</v>
          </cell>
          <cell r="Z844">
            <v>0</v>
          </cell>
          <cell r="AA844">
            <v>0</v>
          </cell>
          <cell r="AB844">
            <v>0</v>
          </cell>
          <cell r="AC844">
            <v>0</v>
          </cell>
          <cell r="AD844">
            <v>0</v>
          </cell>
          <cell r="AI844">
            <v>0</v>
          </cell>
          <cell r="AJ844">
            <v>0</v>
          </cell>
          <cell r="AK844">
            <v>0</v>
          </cell>
          <cell r="BB844">
            <v>0</v>
          </cell>
          <cell r="BC844">
            <v>0</v>
          </cell>
          <cell r="BD844">
            <v>0</v>
          </cell>
          <cell r="BE844">
            <v>0</v>
          </cell>
          <cell r="BI844">
            <v>0</v>
          </cell>
          <cell r="BJ844">
            <v>0</v>
          </cell>
          <cell r="BK844">
            <v>0</v>
          </cell>
          <cell r="BL844">
            <v>0</v>
          </cell>
          <cell r="BM844">
            <v>0</v>
          </cell>
          <cell r="BN844">
            <v>0</v>
          </cell>
          <cell r="BO844">
            <v>0</v>
          </cell>
          <cell r="BP844">
            <v>0</v>
          </cell>
          <cell r="BQ844">
            <v>0</v>
          </cell>
          <cell r="BR844">
            <v>0</v>
          </cell>
          <cell r="BT844">
            <v>0</v>
          </cell>
          <cell r="CA844" t="str">
            <v>003345 - REVTOT - Identified - Recompete</v>
          </cell>
          <cell r="CC844" t="str">
            <v>003345 - REVTOT - Identified - Recompete - IS4</v>
          </cell>
          <cell r="CD844" t="str">
            <v/>
          </cell>
          <cell r="CF844" t="str">
            <v>003345 - Identified - Recompete - IS4</v>
          </cell>
        </row>
        <row r="845">
          <cell r="D845">
            <v>831</v>
          </cell>
          <cell r="E845">
            <v>2</v>
          </cell>
          <cell r="F845">
            <v>3</v>
          </cell>
          <cell r="G845" t="str">
            <v>003345</v>
          </cell>
          <cell r="H845" t="str">
            <v>DISA JSDR/ISD</v>
          </cell>
          <cell r="I845" t="str">
            <v>IS4</v>
          </cell>
          <cell r="J845" t="str">
            <v>IS4 Spectrum &amp; Infrastructure Assurance</v>
          </cell>
          <cell r="K845" t="str">
            <v>DISA</v>
          </cell>
          <cell r="L845" t="str">
            <v>DOD</v>
          </cell>
          <cell r="M845" t="str">
            <v>VA</v>
          </cell>
          <cell r="N845" t="str">
            <v>CONUS</v>
          </cell>
          <cell r="O845">
            <v>42985</v>
          </cell>
          <cell r="P845">
            <v>44712</v>
          </cell>
          <cell r="Q845" t="str">
            <v>Sub</v>
          </cell>
          <cell r="R845" t="str">
            <v>T&amp;M</v>
          </cell>
          <cell r="S845">
            <v>0</v>
          </cell>
          <cell r="T845">
            <v>1</v>
          </cell>
          <cell r="U845" t="str">
            <v>CONTRACT</v>
          </cell>
          <cell r="V845" t="str">
            <v>Base</v>
          </cell>
          <cell r="W845" t="str">
            <v>05 Won</v>
          </cell>
          <cell r="X845" t="str">
            <v>Active</v>
          </cell>
          <cell r="Y845">
            <v>1</v>
          </cell>
          <cell r="Z845">
            <v>0</v>
          </cell>
          <cell r="AA845">
            <v>17960.960000000028</v>
          </cell>
          <cell r="AB845">
            <v>1305426.05</v>
          </cell>
          <cell r="AC845">
            <v>0</v>
          </cell>
          <cell r="AD845">
            <v>1323387.01</v>
          </cell>
          <cell r="AL845">
            <v>0</v>
          </cell>
          <cell r="AM845">
            <v>0.37716382473559251</v>
          </cell>
          <cell r="AN845">
            <v>0.33675989130201067</v>
          </cell>
          <cell r="AO845">
            <v>0.30000629971566811</v>
          </cell>
          <cell r="AP845">
            <v>0.31374995936188066</v>
          </cell>
          <cell r="AQ845">
            <v>0.31374995936188066</v>
          </cell>
          <cell r="AR845">
            <v>0.31374995936188066</v>
          </cell>
          <cell r="AS845">
            <v>0.31374995936188066</v>
          </cell>
          <cell r="BF845">
            <v>0</v>
          </cell>
          <cell r="BG845">
            <v>10571.77</v>
          </cell>
          <cell r="BH845">
            <v>145968.75</v>
          </cell>
          <cell r="BI845">
            <v>28367.930000000008</v>
          </cell>
          <cell r="BJ845">
            <v>43385.710000000006</v>
          </cell>
          <cell r="BK845">
            <v>28395.84</v>
          </cell>
          <cell r="BL845">
            <v>0</v>
          </cell>
          <cell r="BM845">
            <v>100149.48000000001</v>
          </cell>
          <cell r="BN845">
            <v>145472.56915280002</v>
          </cell>
          <cell r="BO845">
            <v>145472.56915280002</v>
          </cell>
          <cell r="BP845">
            <v>124267.48230194072</v>
          </cell>
          <cell r="BQ845">
            <v>0</v>
          </cell>
          <cell r="BR845">
            <v>515362.10060754075</v>
          </cell>
          <cell r="BT845">
            <v>0</v>
          </cell>
          <cell r="CA845" t="str">
            <v>003345 - CONTRACT - Base</v>
          </cell>
          <cell r="CC845" t="str">
            <v>003345 - CONTRACT - Base - IS4</v>
          </cell>
          <cell r="CD845" t="str">
            <v/>
          </cell>
          <cell r="CF845" t="str">
            <v>003345 - Base - IS4</v>
          </cell>
        </row>
        <row r="846">
          <cell r="D846">
            <v>832</v>
          </cell>
          <cell r="E846">
            <v>2</v>
          </cell>
          <cell r="F846">
            <v>4</v>
          </cell>
          <cell r="G846" t="str">
            <v>003345</v>
          </cell>
          <cell r="H846" t="str">
            <v>DISA JSDR/ISD</v>
          </cell>
          <cell r="I846" t="str">
            <v>IS4</v>
          </cell>
          <cell r="J846" t="str">
            <v>IS4 Spectrum &amp; Infrastructure Assurance</v>
          </cell>
          <cell r="K846" t="str">
            <v>DISA</v>
          </cell>
          <cell r="L846" t="str">
            <v>DOD</v>
          </cell>
          <cell r="M846" t="str">
            <v>VA</v>
          </cell>
          <cell r="N846" t="str">
            <v>CONUS</v>
          </cell>
          <cell r="O846">
            <v>0</v>
          </cell>
          <cell r="P846">
            <v>0</v>
          </cell>
          <cell r="Q846">
            <v>0</v>
          </cell>
          <cell r="R846" t="str">
            <v>T&amp;M</v>
          </cell>
          <cell r="S846">
            <v>0</v>
          </cell>
          <cell r="T846">
            <v>1</v>
          </cell>
          <cell r="U846" t="str">
            <v>CONTRACT</v>
          </cell>
          <cell r="V846" t="str">
            <v>Identified - Recompete</v>
          </cell>
          <cell r="W846">
            <v>0</v>
          </cell>
          <cell r="X846">
            <v>0</v>
          </cell>
          <cell r="Y846">
            <v>0</v>
          </cell>
          <cell r="Z846">
            <v>0</v>
          </cell>
          <cell r="AA846">
            <v>0</v>
          </cell>
          <cell r="AB846">
            <v>0</v>
          </cell>
          <cell r="AC846">
            <v>0</v>
          </cell>
          <cell r="AD846">
            <v>0</v>
          </cell>
          <cell r="AP846">
            <v>0</v>
          </cell>
          <cell r="AQ846">
            <v>0</v>
          </cell>
          <cell r="AR846">
            <v>0</v>
          </cell>
          <cell r="AS846">
            <v>0</v>
          </cell>
          <cell r="BI846">
            <v>0</v>
          </cell>
          <cell r="BJ846">
            <v>0</v>
          </cell>
          <cell r="BK846">
            <v>0</v>
          </cell>
          <cell r="BL846">
            <v>0</v>
          </cell>
          <cell r="BM846">
            <v>0</v>
          </cell>
          <cell r="BN846">
            <v>0</v>
          </cell>
          <cell r="BO846">
            <v>0</v>
          </cell>
          <cell r="BP846">
            <v>0</v>
          </cell>
          <cell r="BQ846">
            <v>0</v>
          </cell>
          <cell r="BR846">
            <v>0</v>
          </cell>
          <cell r="BT846">
            <v>0</v>
          </cell>
          <cell r="CA846" t="str">
            <v>003345 - CONTRACT - Identified - Recompete</v>
          </cell>
          <cell r="CC846" t="str">
            <v>003345 - CONTRACT - Identified - Recompete - IS4</v>
          </cell>
          <cell r="CD846" t="str">
            <v/>
          </cell>
          <cell r="CF846" t="str">
            <v>003345 - Identified - Recompete - IS4</v>
          </cell>
        </row>
        <row r="847">
          <cell r="D847">
            <v>833</v>
          </cell>
          <cell r="E847">
            <v>0</v>
          </cell>
          <cell r="F847">
            <v>5</v>
          </cell>
          <cell r="G847" t="str">
            <v>003345</v>
          </cell>
          <cell r="H847" t="str">
            <v>DISA JSDR/ISD</v>
          </cell>
          <cell r="I847" t="str">
            <v>IS4</v>
          </cell>
          <cell r="J847" t="str">
            <v>IS4 Spectrum &amp; Infrastructure Assurance</v>
          </cell>
          <cell r="K847" t="str">
            <v>DISA</v>
          </cell>
          <cell r="L847" t="str">
            <v>DOD</v>
          </cell>
          <cell r="M847" t="str">
            <v>VA</v>
          </cell>
          <cell r="N847" t="str">
            <v>CONUS</v>
          </cell>
          <cell r="O847">
            <v>42985</v>
          </cell>
          <cell r="P847">
            <v>44712</v>
          </cell>
          <cell r="Q847" t="str">
            <v>Sub</v>
          </cell>
          <cell r="R847" t="str">
            <v>T&amp;M</v>
          </cell>
          <cell r="S847">
            <v>0</v>
          </cell>
          <cell r="T847">
            <v>1</v>
          </cell>
          <cell r="U847" t="str">
            <v>EBITA</v>
          </cell>
          <cell r="V847" t="str">
            <v>Base</v>
          </cell>
          <cell r="W847" t="str">
            <v>05 Won</v>
          </cell>
          <cell r="X847" t="str">
            <v>Active</v>
          </cell>
          <cell r="Y847">
            <v>1</v>
          </cell>
          <cell r="Z847">
            <v>0</v>
          </cell>
          <cell r="AA847">
            <v>17960.960000000028</v>
          </cell>
          <cell r="AB847">
            <v>1305426.05</v>
          </cell>
          <cell r="AC847">
            <v>0</v>
          </cell>
          <cell r="AD847">
            <v>1323387.01</v>
          </cell>
          <cell r="AT847">
            <v>0</v>
          </cell>
          <cell r="AU847">
            <v>0.28251690620467967</v>
          </cell>
          <cell r="AV847">
            <v>0.24173734985944881</v>
          </cell>
          <cell r="AW847">
            <v>0.19642531426459631</v>
          </cell>
          <cell r="AX847">
            <v>0.21397954323490637</v>
          </cell>
          <cell r="AY847">
            <v>0.21497954323490637</v>
          </cell>
          <cell r="AZ847">
            <v>0.21597954323490637</v>
          </cell>
          <cell r="BA847">
            <v>0.21697954323490637</v>
          </cell>
          <cell r="BF847">
            <v>0</v>
          </cell>
          <cell r="BG847">
            <v>7918.85</v>
          </cell>
          <cell r="BH847">
            <v>104781.18000000001</v>
          </cell>
          <cell r="BI847">
            <v>16946.140000000007</v>
          </cell>
          <cell r="BJ847">
            <v>31762.81</v>
          </cell>
          <cell r="BK847">
            <v>16862.650000000001</v>
          </cell>
          <cell r="BL847">
            <v>0</v>
          </cell>
          <cell r="BM847">
            <v>65571.600000000006</v>
          </cell>
          <cell r="BN847">
            <v>99213.252374070013</v>
          </cell>
          <cell r="BO847">
            <v>99676.91002505002</v>
          </cell>
          <cell r="BP847">
            <v>85543.386590748429</v>
          </cell>
          <cell r="BQ847">
            <v>0</v>
          </cell>
          <cell r="BR847">
            <v>350005.14898986847</v>
          </cell>
          <cell r="BT847">
            <v>0</v>
          </cell>
          <cell r="CA847" t="str">
            <v>003345 - EBITA - Base</v>
          </cell>
          <cell r="CC847" t="str">
            <v>003345 - EBITA - Base - IS4</v>
          </cell>
          <cell r="CD847" t="str">
            <v/>
          </cell>
          <cell r="CF847" t="str">
            <v>003345 - Base - IS4</v>
          </cell>
        </row>
        <row r="848">
          <cell r="D848">
            <v>834</v>
          </cell>
          <cell r="E848">
            <v>0</v>
          </cell>
          <cell r="F848">
            <v>0</v>
          </cell>
          <cell r="G848" t="str">
            <v>003345</v>
          </cell>
          <cell r="H848" t="str">
            <v>DISA JSDR/ISD</v>
          </cell>
          <cell r="I848" t="str">
            <v>IS4</v>
          </cell>
          <cell r="J848" t="str">
            <v>IS4 Spectrum &amp; Infrastructure Assurance</v>
          </cell>
          <cell r="K848" t="str">
            <v>DISA</v>
          </cell>
          <cell r="L848" t="str">
            <v>DOD</v>
          </cell>
          <cell r="M848" t="str">
            <v>VA</v>
          </cell>
          <cell r="N848" t="str">
            <v>CONUS</v>
          </cell>
          <cell r="O848">
            <v>0</v>
          </cell>
          <cell r="P848">
            <v>0</v>
          </cell>
          <cell r="Q848">
            <v>0</v>
          </cell>
          <cell r="R848" t="str">
            <v>T&amp;M</v>
          </cell>
          <cell r="S848">
            <v>0</v>
          </cell>
          <cell r="T848">
            <v>1</v>
          </cell>
          <cell r="U848" t="str">
            <v>EBITA</v>
          </cell>
          <cell r="V848" t="str">
            <v>Identified - Recompete</v>
          </cell>
          <cell r="W848">
            <v>0</v>
          </cell>
          <cell r="X848">
            <v>0</v>
          </cell>
          <cell r="Y848">
            <v>0</v>
          </cell>
          <cell r="Z848">
            <v>0</v>
          </cell>
          <cell r="AA848">
            <v>0</v>
          </cell>
          <cell r="AB848">
            <v>0</v>
          </cell>
          <cell r="AC848">
            <v>0</v>
          </cell>
          <cell r="AD848">
            <v>0</v>
          </cell>
          <cell r="AX848">
            <v>0</v>
          </cell>
          <cell r="AY848">
            <v>0</v>
          </cell>
          <cell r="AZ848">
            <v>0</v>
          </cell>
          <cell r="BA848">
            <v>0</v>
          </cell>
          <cell r="BI848">
            <v>0</v>
          </cell>
          <cell r="BJ848">
            <v>0</v>
          </cell>
          <cell r="BK848">
            <v>0</v>
          </cell>
          <cell r="BL848">
            <v>0</v>
          </cell>
          <cell r="BM848">
            <v>0</v>
          </cell>
          <cell r="BN848">
            <v>0</v>
          </cell>
          <cell r="BO848">
            <v>0</v>
          </cell>
          <cell r="BP848">
            <v>0</v>
          </cell>
          <cell r="BQ848">
            <v>0</v>
          </cell>
          <cell r="BR848">
            <v>0</v>
          </cell>
          <cell r="BT848">
            <v>0</v>
          </cell>
          <cell r="CA848" t="str">
            <v>003345 - EBITA - Identified - Recompete</v>
          </cell>
          <cell r="CC848" t="str">
            <v>003345 - EBITA - Identified - Recompete - IS4</v>
          </cell>
          <cell r="CD848" t="str">
            <v/>
          </cell>
          <cell r="CF848" t="str">
            <v>003345 - Identified - Recompete - IS4</v>
          </cell>
        </row>
        <row r="849">
          <cell r="D849">
            <v>835</v>
          </cell>
          <cell r="E849">
            <v>1</v>
          </cell>
          <cell r="F849">
            <v>1</v>
          </cell>
          <cell r="G849" t="str">
            <v>000095</v>
          </cell>
          <cell r="H849" t="str">
            <v>ANSER OUSD(P) FOIA</v>
          </cell>
          <cell r="I849" t="str">
            <v>IS4</v>
          </cell>
          <cell r="J849" t="str">
            <v>IS4 Engineering and Technology Services</v>
          </cell>
          <cell r="K849" t="str">
            <v>Other DOD</v>
          </cell>
          <cell r="L849" t="str">
            <v>DOD</v>
          </cell>
          <cell r="M849" t="str">
            <v>US_State</v>
          </cell>
          <cell r="N849" t="str">
            <v>CONUS</v>
          </cell>
          <cell r="O849">
            <v>42967</v>
          </cell>
          <cell r="P849">
            <v>44792</v>
          </cell>
          <cell r="Q849" t="str">
            <v>Sub</v>
          </cell>
          <cell r="R849" t="str">
            <v>T&amp;M</v>
          </cell>
          <cell r="S849">
            <v>0</v>
          </cell>
          <cell r="T849">
            <v>1</v>
          </cell>
          <cell r="U849" t="str">
            <v>REVTOT</v>
          </cell>
          <cell r="V849" t="str">
            <v>Base</v>
          </cell>
          <cell r="W849" t="str">
            <v>05 Won</v>
          </cell>
          <cell r="X849" t="str">
            <v>Active</v>
          </cell>
          <cell r="Y849">
            <v>1</v>
          </cell>
          <cell r="Z849">
            <v>0</v>
          </cell>
          <cell r="AA849">
            <v>346857.51000000018</v>
          </cell>
          <cell r="AB849">
            <v>844020</v>
          </cell>
          <cell r="AC849">
            <v>0</v>
          </cell>
          <cell r="AD849">
            <v>1190877.5100000002</v>
          </cell>
          <cell r="AE849">
            <v>2.6476946066531726E-2</v>
          </cell>
          <cell r="AF849">
            <v>-7.290287104502069E-2</v>
          </cell>
          <cell r="AG849">
            <v>-1.2274914490916666E-2</v>
          </cell>
          <cell r="AH849">
            <v>4.5456483424531013E-2</v>
          </cell>
          <cell r="AI849">
            <v>0</v>
          </cell>
          <cell r="AJ849">
            <v>0</v>
          </cell>
          <cell r="AK849">
            <v>0</v>
          </cell>
          <cell r="BB849">
            <v>385631.86666666664</v>
          </cell>
          <cell r="BC849">
            <v>385631.86666666664</v>
          </cell>
          <cell r="BD849">
            <v>385631.86666666664</v>
          </cell>
          <cell r="BE849">
            <v>385631.86666666664</v>
          </cell>
          <cell r="BF849">
            <v>392424.79</v>
          </cell>
          <cell r="BG849">
            <v>402815</v>
          </cell>
          <cell r="BH849">
            <v>373448.63</v>
          </cell>
          <cell r="BI849">
            <v>88820.57</v>
          </cell>
          <cell r="BJ849">
            <v>93451.33</v>
          </cell>
          <cell r="BK849">
            <v>91514.68</v>
          </cell>
          <cell r="BL849">
            <v>95078</v>
          </cell>
          <cell r="BM849">
            <v>368864.58</v>
          </cell>
          <cell r="BN849">
            <v>385631.86666666664</v>
          </cell>
          <cell r="BO849">
            <v>385631.86666666664</v>
          </cell>
          <cell r="BP849">
            <v>385631.86666666664</v>
          </cell>
          <cell r="BQ849">
            <v>33981.910000000382</v>
          </cell>
          <cell r="BR849">
            <v>1559742.0900000003</v>
          </cell>
          <cell r="BT849">
            <v>0</v>
          </cell>
          <cell r="CA849" t="str">
            <v>000095 - REVTOT - Base</v>
          </cell>
          <cell r="CC849" t="str">
            <v>000095 - REVTOT - Base - IS4</v>
          </cell>
          <cell r="CD849" t="str">
            <v/>
          </cell>
          <cell r="CF849" t="str">
            <v>000095 - Base - IS4</v>
          </cell>
        </row>
        <row r="850">
          <cell r="D850">
            <v>836</v>
          </cell>
          <cell r="E850">
            <v>1</v>
          </cell>
          <cell r="F850">
            <v>2</v>
          </cell>
          <cell r="G850" t="str">
            <v>000095</v>
          </cell>
          <cell r="H850" t="str">
            <v>ANSER OUSD(P) FOIA</v>
          </cell>
          <cell r="I850" t="str">
            <v>IS4</v>
          </cell>
          <cell r="J850" t="str">
            <v>IS4 Engineering and Technology Services</v>
          </cell>
          <cell r="K850" t="str">
            <v>Other DOD</v>
          </cell>
          <cell r="L850" t="str">
            <v>DOD</v>
          </cell>
          <cell r="M850" t="str">
            <v>US_State</v>
          </cell>
          <cell r="N850" t="str">
            <v>CONUS</v>
          </cell>
          <cell r="O850">
            <v>0</v>
          </cell>
          <cell r="P850">
            <v>0</v>
          </cell>
          <cell r="Q850">
            <v>0</v>
          </cell>
          <cell r="R850" t="str">
            <v>T&amp;M</v>
          </cell>
          <cell r="S850">
            <v>0</v>
          </cell>
          <cell r="T850">
            <v>1</v>
          </cell>
          <cell r="U850" t="str">
            <v>REVTOT</v>
          </cell>
          <cell r="V850" t="str">
            <v>Identified - Recompete</v>
          </cell>
          <cell r="W850">
            <v>0</v>
          </cell>
          <cell r="X850">
            <v>0</v>
          </cell>
          <cell r="Y850">
            <v>0</v>
          </cell>
          <cell r="Z850">
            <v>0</v>
          </cell>
          <cell r="AA850">
            <v>0</v>
          </cell>
          <cell r="AB850">
            <v>0</v>
          </cell>
          <cell r="AC850">
            <v>0</v>
          </cell>
          <cell r="AD850">
            <v>0</v>
          </cell>
          <cell r="AI850">
            <v>0</v>
          </cell>
          <cell r="AJ850">
            <v>0</v>
          </cell>
          <cell r="AK850">
            <v>0</v>
          </cell>
          <cell r="BB850">
            <v>0</v>
          </cell>
          <cell r="BC850">
            <v>0</v>
          </cell>
          <cell r="BD850">
            <v>0</v>
          </cell>
          <cell r="BE850">
            <v>0</v>
          </cell>
          <cell r="BI850">
            <v>0</v>
          </cell>
          <cell r="BJ850">
            <v>0</v>
          </cell>
          <cell r="BK850">
            <v>0</v>
          </cell>
          <cell r="BL850">
            <v>0</v>
          </cell>
          <cell r="BM850">
            <v>0</v>
          </cell>
          <cell r="BN850">
            <v>0</v>
          </cell>
          <cell r="BO850">
            <v>0</v>
          </cell>
          <cell r="BP850">
            <v>0</v>
          </cell>
          <cell r="BQ850">
            <v>0</v>
          </cell>
          <cell r="BR850">
            <v>0</v>
          </cell>
          <cell r="BT850">
            <v>0</v>
          </cell>
          <cell r="CA850" t="str">
            <v>000095 - REVTOT - Identified - Recompete</v>
          </cell>
          <cell r="CC850" t="str">
            <v>000095 - REVTOT - Identified - Recompete - IS4</v>
          </cell>
          <cell r="CD850" t="str">
            <v/>
          </cell>
          <cell r="CF850" t="str">
            <v>000095 - Identified - Recompete - IS4</v>
          </cell>
        </row>
        <row r="851">
          <cell r="D851">
            <v>837</v>
          </cell>
          <cell r="E851">
            <v>2</v>
          </cell>
          <cell r="F851">
            <v>3</v>
          </cell>
          <cell r="G851" t="str">
            <v>000095</v>
          </cell>
          <cell r="H851" t="str">
            <v>ANSER OUSD(P) FOIA</v>
          </cell>
          <cell r="I851" t="str">
            <v>IS4</v>
          </cell>
          <cell r="J851" t="str">
            <v>IS4 Engineering and Technology Services</v>
          </cell>
          <cell r="K851" t="str">
            <v>Other DOD</v>
          </cell>
          <cell r="L851" t="str">
            <v>DOD</v>
          </cell>
          <cell r="M851" t="str">
            <v>US_State</v>
          </cell>
          <cell r="N851" t="str">
            <v>CONUS</v>
          </cell>
          <cell r="O851">
            <v>42967</v>
          </cell>
          <cell r="P851">
            <v>44792</v>
          </cell>
          <cell r="Q851" t="str">
            <v>Sub</v>
          </cell>
          <cell r="R851" t="str">
            <v>T&amp;M</v>
          </cell>
          <cell r="S851">
            <v>0</v>
          </cell>
          <cell r="T851">
            <v>1</v>
          </cell>
          <cell r="U851" t="str">
            <v>CONTRACT</v>
          </cell>
          <cell r="V851" t="str">
            <v>Base</v>
          </cell>
          <cell r="W851" t="str">
            <v>05 Won</v>
          </cell>
          <cell r="X851" t="str">
            <v>Active</v>
          </cell>
          <cell r="Y851">
            <v>1</v>
          </cell>
          <cell r="Z851">
            <v>0</v>
          </cell>
          <cell r="AA851">
            <v>346857.51000000018</v>
          </cell>
          <cell r="AB851">
            <v>844020</v>
          </cell>
          <cell r="AC851">
            <v>0</v>
          </cell>
          <cell r="AD851">
            <v>1190877.5100000002</v>
          </cell>
          <cell r="AL851">
            <v>0.37115743885599073</v>
          </cell>
          <cell r="AM851">
            <v>0.37997527400916059</v>
          </cell>
          <cell r="AN851">
            <v>0.357160073127059</v>
          </cell>
          <cell r="AO851">
            <v>0.31173885196567258</v>
          </cell>
          <cell r="AP851">
            <v>0.28500958410176619</v>
          </cell>
          <cell r="AQ851">
            <v>0.28500958410176619</v>
          </cell>
          <cell r="AR851">
            <v>0.28500958410176619</v>
          </cell>
          <cell r="AS851">
            <v>0.28500958410176619</v>
          </cell>
          <cell r="BF851">
            <v>145651.38</v>
          </cell>
          <cell r="BG851">
            <v>153059.74000000002</v>
          </cell>
          <cell r="BH851">
            <v>133380.94</v>
          </cell>
          <cell r="BI851">
            <v>29095.84</v>
          </cell>
          <cell r="BJ851">
            <v>28866.769999999997</v>
          </cell>
          <cell r="BK851">
            <v>27632.44</v>
          </cell>
          <cell r="BL851">
            <v>29394.370699999999</v>
          </cell>
          <cell r="BM851">
            <v>114989.4207</v>
          </cell>
          <cell r="BN851">
            <v>109908.77793505442</v>
          </cell>
          <cell r="BO851">
            <v>109908.77793505442</v>
          </cell>
          <cell r="BP851">
            <v>109908.77793505442</v>
          </cell>
          <cell r="BQ851">
            <v>9685.1700360837585</v>
          </cell>
          <cell r="BR851">
            <v>454400.92454124696</v>
          </cell>
          <cell r="BT851">
            <v>0</v>
          </cell>
          <cell r="CA851" t="str">
            <v>000095 - CONTRACT - Base</v>
          </cell>
          <cell r="CC851" t="str">
            <v>000095 - CONTRACT - Base - IS4</v>
          </cell>
          <cell r="CD851" t="str">
            <v/>
          </cell>
          <cell r="CF851" t="str">
            <v>000095 - Base - IS4</v>
          </cell>
        </row>
        <row r="852">
          <cell r="D852">
            <v>838</v>
          </cell>
          <cell r="E852">
            <v>2</v>
          </cell>
          <cell r="F852">
            <v>4</v>
          </cell>
          <cell r="G852" t="str">
            <v>000095</v>
          </cell>
          <cell r="H852" t="str">
            <v>ANSER OUSD(P) FOIA</v>
          </cell>
          <cell r="I852" t="str">
            <v>IS4</v>
          </cell>
          <cell r="J852" t="str">
            <v>IS4 Engineering and Technology Services</v>
          </cell>
          <cell r="K852" t="str">
            <v>Other DOD</v>
          </cell>
          <cell r="L852" t="str">
            <v>DOD</v>
          </cell>
          <cell r="M852" t="str">
            <v>US_State</v>
          </cell>
          <cell r="N852" t="str">
            <v>CONUS</v>
          </cell>
          <cell r="O852">
            <v>0</v>
          </cell>
          <cell r="P852">
            <v>0</v>
          </cell>
          <cell r="Q852">
            <v>0</v>
          </cell>
          <cell r="R852" t="str">
            <v>T&amp;M</v>
          </cell>
          <cell r="S852">
            <v>0</v>
          </cell>
          <cell r="T852">
            <v>1</v>
          </cell>
          <cell r="U852" t="str">
            <v>CONTRACT</v>
          </cell>
          <cell r="V852" t="str">
            <v>Identified - Recompete</v>
          </cell>
          <cell r="W852">
            <v>0</v>
          </cell>
          <cell r="X852">
            <v>0</v>
          </cell>
          <cell r="Y852">
            <v>0</v>
          </cell>
          <cell r="Z852">
            <v>0</v>
          </cell>
          <cell r="AA852">
            <v>0</v>
          </cell>
          <cell r="AB852">
            <v>0</v>
          </cell>
          <cell r="AC852">
            <v>0</v>
          </cell>
          <cell r="AD852">
            <v>0</v>
          </cell>
          <cell r="AP852">
            <v>0</v>
          </cell>
          <cell r="AQ852">
            <v>0</v>
          </cell>
          <cell r="AR852">
            <v>0</v>
          </cell>
          <cell r="AS852">
            <v>0</v>
          </cell>
          <cell r="BI852">
            <v>0</v>
          </cell>
          <cell r="BJ852">
            <v>0</v>
          </cell>
          <cell r="BK852">
            <v>0</v>
          </cell>
          <cell r="BL852">
            <v>0</v>
          </cell>
          <cell r="BM852">
            <v>0</v>
          </cell>
          <cell r="BN852">
            <v>0</v>
          </cell>
          <cell r="BO852">
            <v>0</v>
          </cell>
          <cell r="BP852">
            <v>0</v>
          </cell>
          <cell r="BQ852">
            <v>0</v>
          </cell>
          <cell r="BR852">
            <v>0</v>
          </cell>
          <cell r="BT852">
            <v>0</v>
          </cell>
          <cell r="CA852" t="str">
            <v>000095 - CONTRACT - Identified - Recompete</v>
          </cell>
          <cell r="CC852" t="str">
            <v>000095 - CONTRACT - Identified - Recompete - IS4</v>
          </cell>
          <cell r="CD852" t="str">
            <v/>
          </cell>
          <cell r="CF852" t="str">
            <v>000095 - Identified - Recompete - IS4</v>
          </cell>
        </row>
        <row r="853">
          <cell r="D853">
            <v>839</v>
          </cell>
          <cell r="E853">
            <v>0</v>
          </cell>
          <cell r="F853">
            <v>5</v>
          </cell>
          <cell r="G853" t="str">
            <v>000095</v>
          </cell>
          <cell r="H853" t="str">
            <v>ANSER OUSD(P) FOIA</v>
          </cell>
          <cell r="I853" t="str">
            <v>IS4</v>
          </cell>
          <cell r="J853" t="str">
            <v>IS4 Engineering and Technology Services</v>
          </cell>
          <cell r="K853" t="str">
            <v>Other DOD</v>
          </cell>
          <cell r="L853" t="str">
            <v>DOD</v>
          </cell>
          <cell r="M853" t="str">
            <v>US_State</v>
          </cell>
          <cell r="N853" t="str">
            <v>CONUS</v>
          </cell>
          <cell r="O853">
            <v>42967</v>
          </cell>
          <cell r="P853">
            <v>44792</v>
          </cell>
          <cell r="Q853" t="str">
            <v>Sub</v>
          </cell>
          <cell r="R853" t="str">
            <v>T&amp;M</v>
          </cell>
          <cell r="S853">
            <v>0</v>
          </cell>
          <cell r="T853">
            <v>1</v>
          </cell>
          <cell r="U853" t="str">
            <v>EBITA</v>
          </cell>
          <cell r="V853" t="str">
            <v>Base</v>
          </cell>
          <cell r="W853" t="str">
            <v>05 Won</v>
          </cell>
          <cell r="X853" t="str">
            <v>Active</v>
          </cell>
          <cell r="Y853">
            <v>1</v>
          </cell>
          <cell r="Z853">
            <v>0</v>
          </cell>
          <cell r="AA853">
            <v>346857.51000000018</v>
          </cell>
          <cell r="AB853">
            <v>844020</v>
          </cell>
          <cell r="AC853">
            <v>0</v>
          </cell>
          <cell r="AD853">
            <v>1190877.5100000002</v>
          </cell>
          <cell r="AT853">
            <v>0.2522620703957057</v>
          </cell>
          <cell r="AU853">
            <v>0.31109558978687485</v>
          </cell>
          <cell r="AV853">
            <v>0.25948621099507047</v>
          </cell>
          <cell r="AW853">
            <v>0.20265500885626864</v>
          </cell>
          <cell r="AX853">
            <v>0.17154650082607242</v>
          </cell>
          <cell r="AY853">
            <v>0.17254650082607242</v>
          </cell>
          <cell r="AZ853">
            <v>0.17354650082607243</v>
          </cell>
          <cell r="BA853">
            <v>0.17454650082607243</v>
          </cell>
          <cell r="BF853">
            <v>98993.890000000014</v>
          </cell>
          <cell r="BG853">
            <v>125313.97</v>
          </cell>
          <cell r="BH853">
            <v>96904.77</v>
          </cell>
          <cell r="BI853">
            <v>19393.870000000003</v>
          </cell>
          <cell r="BJ853">
            <v>18645.429999999997</v>
          </cell>
          <cell r="BK853">
            <v>17396.62</v>
          </cell>
          <cell r="BL853">
            <v>19316.334726663819</v>
          </cell>
          <cell r="BM853">
            <v>74752.254726663814</v>
          </cell>
          <cell r="BN853">
            <v>66153.797333693175</v>
          </cell>
          <cell r="BO853">
            <v>66539.429200359853</v>
          </cell>
          <cell r="BP853">
            <v>66925.061067026516</v>
          </cell>
          <cell r="BQ853">
            <v>5931.4234818865853</v>
          </cell>
          <cell r="BR853">
            <v>280301.96580962994</v>
          </cell>
          <cell r="BT853">
            <v>0</v>
          </cell>
          <cell r="CA853" t="str">
            <v>000095 - EBITA - Base</v>
          </cell>
          <cell r="CC853" t="str">
            <v>000095 - EBITA - Base - IS4</v>
          </cell>
          <cell r="CD853" t="str">
            <v/>
          </cell>
          <cell r="CF853" t="str">
            <v>000095 - Base - IS4</v>
          </cell>
        </row>
        <row r="854">
          <cell r="D854">
            <v>840</v>
          </cell>
          <cell r="E854">
            <v>0</v>
          </cell>
          <cell r="F854">
            <v>0</v>
          </cell>
          <cell r="G854" t="str">
            <v>000095</v>
          </cell>
          <cell r="H854" t="str">
            <v>ANSER OUSD(P) FOIA</v>
          </cell>
          <cell r="I854" t="str">
            <v>IS4</v>
          </cell>
          <cell r="J854" t="str">
            <v>IS4 Engineering and Technology Services</v>
          </cell>
          <cell r="K854" t="str">
            <v>Other DOD</v>
          </cell>
          <cell r="L854" t="str">
            <v>DOD</v>
          </cell>
          <cell r="M854" t="str">
            <v>US_State</v>
          </cell>
          <cell r="N854" t="str">
            <v>CONUS</v>
          </cell>
          <cell r="O854">
            <v>0</v>
          </cell>
          <cell r="P854">
            <v>0</v>
          </cell>
          <cell r="Q854">
            <v>0</v>
          </cell>
          <cell r="R854" t="str">
            <v>T&amp;M</v>
          </cell>
          <cell r="S854">
            <v>0</v>
          </cell>
          <cell r="T854">
            <v>1</v>
          </cell>
          <cell r="U854" t="str">
            <v>EBITA</v>
          </cell>
          <cell r="V854" t="str">
            <v>Identified - Recompete</v>
          </cell>
          <cell r="W854">
            <v>0</v>
          </cell>
          <cell r="X854">
            <v>0</v>
          </cell>
          <cell r="Y854">
            <v>0</v>
          </cell>
          <cell r="Z854">
            <v>0</v>
          </cell>
          <cell r="AA854">
            <v>0</v>
          </cell>
          <cell r="AB854">
            <v>0</v>
          </cell>
          <cell r="AC854">
            <v>0</v>
          </cell>
          <cell r="AD854">
            <v>0</v>
          </cell>
          <cell r="AX854">
            <v>0</v>
          </cell>
          <cell r="AY854">
            <v>0</v>
          </cell>
          <cell r="AZ854">
            <v>0</v>
          </cell>
          <cell r="BA854">
            <v>0</v>
          </cell>
          <cell r="BI854">
            <v>0</v>
          </cell>
          <cell r="BJ854">
            <v>0</v>
          </cell>
          <cell r="BK854">
            <v>0</v>
          </cell>
          <cell r="BL854">
            <v>0</v>
          </cell>
          <cell r="BM854">
            <v>0</v>
          </cell>
          <cell r="BN854">
            <v>0</v>
          </cell>
          <cell r="BO854">
            <v>0</v>
          </cell>
          <cell r="BP854">
            <v>0</v>
          </cell>
          <cell r="BQ854">
            <v>0</v>
          </cell>
          <cell r="BR854">
            <v>0</v>
          </cell>
          <cell r="BT854">
            <v>0</v>
          </cell>
          <cell r="CA854" t="str">
            <v>000095 - EBITA - Identified - Recompete</v>
          </cell>
          <cell r="CC854" t="str">
            <v>000095 - EBITA - Identified - Recompete - IS4</v>
          </cell>
          <cell r="CD854" t="str">
            <v/>
          </cell>
          <cell r="CF854" t="str">
            <v>000095 - Identified - Recompete - IS4</v>
          </cell>
        </row>
        <row r="855">
          <cell r="D855">
            <v>841</v>
          </cell>
          <cell r="E855">
            <v>1</v>
          </cell>
          <cell r="F855">
            <v>1</v>
          </cell>
          <cell r="G855" t="str">
            <v>16265I</v>
          </cell>
          <cell r="H855" t="str">
            <v>SAIC EPA</v>
          </cell>
          <cell r="I855" t="str">
            <v>IS4</v>
          </cell>
          <cell r="J855" t="str">
            <v>IS4 Engineering and Technology Services</v>
          </cell>
          <cell r="K855" t="str">
            <v>Other Civilian</v>
          </cell>
          <cell r="L855" t="str">
            <v>Other</v>
          </cell>
          <cell r="M855" t="str">
            <v>VA</v>
          </cell>
          <cell r="N855" t="str">
            <v>CONUS</v>
          </cell>
          <cell r="O855">
            <v>42915</v>
          </cell>
          <cell r="P855">
            <v>43918</v>
          </cell>
          <cell r="Q855" t="str">
            <v>Sub</v>
          </cell>
          <cell r="R855" t="str">
            <v>T&amp;M</v>
          </cell>
          <cell r="S855">
            <v>0</v>
          </cell>
          <cell r="T855">
            <v>1</v>
          </cell>
          <cell r="U855" t="str">
            <v>REVTOT</v>
          </cell>
          <cell r="V855" t="str">
            <v>Base</v>
          </cell>
          <cell r="W855" t="str">
            <v>05 Won</v>
          </cell>
          <cell r="X855" t="str">
            <v>Active</v>
          </cell>
          <cell r="Y855">
            <v>1</v>
          </cell>
          <cell r="Z855">
            <v>0</v>
          </cell>
          <cell r="AA855">
            <v>55554.889999999927</v>
          </cell>
          <cell r="AB855">
            <v>3534548</v>
          </cell>
          <cell r="AC855">
            <v>0</v>
          </cell>
          <cell r="AD855">
            <v>3590102.89</v>
          </cell>
          <cell r="AE855">
            <v>0</v>
          </cell>
          <cell r="AF855">
            <v>1.8314713217389085</v>
          </cell>
          <cell r="AG855">
            <v>-0.33814608145289315</v>
          </cell>
          <cell r="AH855">
            <v>-1</v>
          </cell>
          <cell r="AI855">
            <v>0</v>
          </cell>
          <cell r="AJ855">
            <v>0</v>
          </cell>
          <cell r="AK855">
            <v>0</v>
          </cell>
          <cell r="BB855">
            <v>0</v>
          </cell>
          <cell r="BC855">
            <v>0</v>
          </cell>
          <cell r="BD855">
            <v>0</v>
          </cell>
          <cell r="BE855">
            <v>0</v>
          </cell>
          <cell r="BF855">
            <v>0</v>
          </cell>
          <cell r="BG855">
            <v>404565.15</v>
          </cell>
          <cell r="BH855">
            <v>1145514.6199999999</v>
          </cell>
          <cell r="BI855">
            <v>193805.45</v>
          </cell>
          <cell r="BJ855">
            <v>160708.24</v>
          </cell>
          <cell r="BK855">
            <v>198156.65</v>
          </cell>
          <cell r="BL855">
            <v>205493</v>
          </cell>
          <cell r="BM855">
            <v>758163.34</v>
          </cell>
          <cell r="BN855">
            <v>0</v>
          </cell>
          <cell r="BO855">
            <v>0</v>
          </cell>
          <cell r="BP855">
            <v>0</v>
          </cell>
          <cell r="BQ855">
            <v>0</v>
          </cell>
          <cell r="BR855">
            <v>758163.34</v>
          </cell>
          <cell r="BT855">
            <v>0</v>
          </cell>
          <cell r="CA855" t="str">
            <v>16265I - REVTOT - Base</v>
          </cell>
          <cell r="CC855" t="str">
            <v>16265I - REVTOT - Base - IS4</v>
          </cell>
          <cell r="CD855" t="str">
            <v/>
          </cell>
          <cell r="CF855" t="str">
            <v>16265I - Base - IS4</v>
          </cell>
        </row>
        <row r="856">
          <cell r="D856">
            <v>842</v>
          </cell>
          <cell r="E856">
            <v>1</v>
          </cell>
          <cell r="F856">
            <v>2</v>
          </cell>
          <cell r="G856" t="str">
            <v>16265I</v>
          </cell>
          <cell r="H856" t="str">
            <v>SAIC EPA</v>
          </cell>
          <cell r="I856" t="str">
            <v>IS4</v>
          </cell>
          <cell r="J856" t="str">
            <v>IS4 Engineering and Technology Services</v>
          </cell>
          <cell r="K856" t="str">
            <v>Other Civilian</v>
          </cell>
          <cell r="L856" t="str">
            <v>Other</v>
          </cell>
          <cell r="M856" t="str">
            <v>VA</v>
          </cell>
          <cell r="N856" t="str">
            <v>CONUS</v>
          </cell>
          <cell r="O856">
            <v>0</v>
          </cell>
          <cell r="P856">
            <v>0</v>
          </cell>
          <cell r="Q856">
            <v>0</v>
          </cell>
          <cell r="R856" t="str">
            <v>T&amp;M</v>
          </cell>
          <cell r="S856">
            <v>0</v>
          </cell>
          <cell r="T856">
            <v>1</v>
          </cell>
          <cell r="U856" t="str">
            <v>REVTOT</v>
          </cell>
          <cell r="V856" t="str">
            <v>Identified - Recompete</v>
          </cell>
          <cell r="W856">
            <v>0</v>
          </cell>
          <cell r="X856">
            <v>0</v>
          </cell>
          <cell r="Y856">
            <v>0</v>
          </cell>
          <cell r="Z856">
            <v>0</v>
          </cell>
          <cell r="AA856">
            <v>0</v>
          </cell>
          <cell r="AB856">
            <v>0</v>
          </cell>
          <cell r="AC856">
            <v>0</v>
          </cell>
          <cell r="AD856">
            <v>0</v>
          </cell>
          <cell r="AI856">
            <v>0</v>
          </cell>
          <cell r="AJ856">
            <v>0</v>
          </cell>
          <cell r="AK856">
            <v>0</v>
          </cell>
          <cell r="BB856">
            <v>0</v>
          </cell>
          <cell r="BC856">
            <v>0</v>
          </cell>
          <cell r="BD856">
            <v>0</v>
          </cell>
          <cell r="BE856">
            <v>0</v>
          </cell>
          <cell r="BI856">
            <v>0</v>
          </cell>
          <cell r="BJ856">
            <v>0</v>
          </cell>
          <cell r="BK856">
            <v>0</v>
          </cell>
          <cell r="BL856">
            <v>0</v>
          </cell>
          <cell r="BM856">
            <v>0</v>
          </cell>
          <cell r="BN856">
            <v>0</v>
          </cell>
          <cell r="BO856">
            <v>0</v>
          </cell>
          <cell r="BP856">
            <v>0</v>
          </cell>
          <cell r="BQ856">
            <v>0</v>
          </cell>
          <cell r="BR856">
            <v>0</v>
          </cell>
          <cell r="BT856">
            <v>0</v>
          </cell>
          <cell r="CA856" t="str">
            <v>16265I - REVTOT - Identified - Recompete</v>
          </cell>
          <cell r="CC856" t="str">
            <v>16265I - REVTOT - Identified - Recompete - IS4</v>
          </cell>
          <cell r="CD856" t="str">
            <v/>
          </cell>
          <cell r="CF856" t="str">
            <v>16265I - Identified - Recompete - IS4</v>
          </cell>
        </row>
        <row r="857">
          <cell r="D857">
            <v>843</v>
          </cell>
          <cell r="E857">
            <v>2</v>
          </cell>
          <cell r="F857">
            <v>3</v>
          </cell>
          <cell r="G857" t="str">
            <v>16265I</v>
          </cell>
          <cell r="H857" t="str">
            <v>SAIC EPA</v>
          </cell>
          <cell r="I857" t="str">
            <v>IS4</v>
          </cell>
          <cell r="J857" t="str">
            <v>IS4 Engineering and Technology Services</v>
          </cell>
          <cell r="K857" t="str">
            <v>Other Civilian</v>
          </cell>
          <cell r="L857" t="str">
            <v>Other</v>
          </cell>
          <cell r="M857" t="str">
            <v>VA</v>
          </cell>
          <cell r="N857" t="str">
            <v>CONUS</v>
          </cell>
          <cell r="O857">
            <v>42915</v>
          </cell>
          <cell r="P857">
            <v>43918</v>
          </cell>
          <cell r="Q857" t="str">
            <v>Sub</v>
          </cell>
          <cell r="R857" t="str">
            <v>T&amp;M</v>
          </cell>
          <cell r="S857">
            <v>0</v>
          </cell>
          <cell r="T857">
            <v>1</v>
          </cell>
          <cell r="U857" t="str">
            <v>CONTRACT</v>
          </cell>
          <cell r="V857" t="str">
            <v>Base</v>
          </cell>
          <cell r="W857" t="str">
            <v>05 Won</v>
          </cell>
          <cell r="X857" t="str">
            <v>Active</v>
          </cell>
          <cell r="Y857">
            <v>1</v>
          </cell>
          <cell r="Z857">
            <v>0</v>
          </cell>
          <cell r="AA857">
            <v>55554.889999999927</v>
          </cell>
          <cell r="AB857">
            <v>3534548</v>
          </cell>
          <cell r="AC857">
            <v>0</v>
          </cell>
          <cell r="AD857">
            <v>3590102.89</v>
          </cell>
          <cell r="AL857">
            <v>0</v>
          </cell>
          <cell r="AM857">
            <v>0.35342740223669777</v>
          </cell>
          <cell r="AN857">
            <v>0.29153035165976326</v>
          </cell>
          <cell r="AO857">
            <v>0.18809788402588812</v>
          </cell>
          <cell r="AP857">
            <v>0.26840570099221484</v>
          </cell>
          <cell r="AQ857">
            <v>0.26840570099221484</v>
          </cell>
          <cell r="AR857">
            <v>0.26840570099221484</v>
          </cell>
          <cell r="AS857">
            <v>0.26840570099221484</v>
          </cell>
          <cell r="BF857">
            <v>0</v>
          </cell>
          <cell r="BG857">
            <v>142984.40999999997</v>
          </cell>
          <cell r="BH857">
            <v>333952.28000000003</v>
          </cell>
          <cell r="BI857">
            <v>38037.360000000015</v>
          </cell>
          <cell r="BJ857">
            <v>23341.989999999991</v>
          </cell>
          <cell r="BK857">
            <v>39401.569999999992</v>
          </cell>
          <cell r="BL857">
            <v>41828</v>
          </cell>
          <cell r="BM857">
            <v>142608.91999999998</v>
          </cell>
          <cell r="BN857">
            <v>0</v>
          </cell>
          <cell r="BO857">
            <v>0</v>
          </cell>
          <cell r="BP857">
            <v>0</v>
          </cell>
          <cell r="BQ857">
            <v>0</v>
          </cell>
          <cell r="BR857">
            <v>142608.91999999998</v>
          </cell>
          <cell r="BT857">
            <v>0</v>
          </cell>
          <cell r="CA857" t="str">
            <v>16265I - CONTRACT - Base</v>
          </cell>
          <cell r="CC857" t="str">
            <v>16265I - CONTRACT - Base - IS4</v>
          </cell>
          <cell r="CD857" t="str">
            <v/>
          </cell>
          <cell r="CF857" t="str">
            <v>16265I - Base - IS4</v>
          </cell>
        </row>
        <row r="858">
          <cell r="D858">
            <v>844</v>
          </cell>
          <cell r="E858">
            <v>2</v>
          </cell>
          <cell r="F858">
            <v>4</v>
          </cell>
          <cell r="G858" t="str">
            <v>16265I</v>
          </cell>
          <cell r="H858" t="str">
            <v>SAIC EPA</v>
          </cell>
          <cell r="I858" t="str">
            <v>IS4</v>
          </cell>
          <cell r="J858" t="str">
            <v>IS4 Engineering and Technology Services</v>
          </cell>
          <cell r="K858" t="str">
            <v>Other Civilian</v>
          </cell>
          <cell r="L858" t="str">
            <v>Other</v>
          </cell>
          <cell r="M858" t="str">
            <v>VA</v>
          </cell>
          <cell r="N858" t="str">
            <v>CONUS</v>
          </cell>
          <cell r="O858">
            <v>0</v>
          </cell>
          <cell r="P858">
            <v>0</v>
          </cell>
          <cell r="Q858">
            <v>0</v>
          </cell>
          <cell r="R858" t="str">
            <v>T&amp;M</v>
          </cell>
          <cell r="S858">
            <v>0</v>
          </cell>
          <cell r="T858">
            <v>1</v>
          </cell>
          <cell r="U858" t="str">
            <v>CONTRACT</v>
          </cell>
          <cell r="V858" t="str">
            <v>Identified - Recompete</v>
          </cell>
          <cell r="W858">
            <v>0</v>
          </cell>
          <cell r="X858">
            <v>0</v>
          </cell>
          <cell r="Y858">
            <v>0</v>
          </cell>
          <cell r="Z858">
            <v>0</v>
          </cell>
          <cell r="AA858">
            <v>0</v>
          </cell>
          <cell r="AB858">
            <v>0</v>
          </cell>
          <cell r="AC858">
            <v>0</v>
          </cell>
          <cell r="AD858">
            <v>0</v>
          </cell>
          <cell r="AP858">
            <v>0</v>
          </cell>
          <cell r="AQ858">
            <v>0</v>
          </cell>
          <cell r="AR858">
            <v>0</v>
          </cell>
          <cell r="AS858">
            <v>0</v>
          </cell>
          <cell r="BI858">
            <v>0</v>
          </cell>
          <cell r="BJ858">
            <v>0</v>
          </cell>
          <cell r="BK858">
            <v>0</v>
          </cell>
          <cell r="BL858">
            <v>0</v>
          </cell>
          <cell r="BM858">
            <v>0</v>
          </cell>
          <cell r="BN858">
            <v>0</v>
          </cell>
          <cell r="BO858">
            <v>0</v>
          </cell>
          <cell r="BP858">
            <v>0</v>
          </cell>
          <cell r="BQ858">
            <v>0</v>
          </cell>
          <cell r="BR858">
            <v>0</v>
          </cell>
          <cell r="BT858">
            <v>0</v>
          </cell>
          <cell r="CA858" t="str">
            <v>16265I - CONTRACT - Identified - Recompete</v>
          </cell>
          <cell r="CC858" t="str">
            <v>16265I - CONTRACT - Identified - Recompete - IS4</v>
          </cell>
          <cell r="CD858" t="str">
            <v/>
          </cell>
          <cell r="CF858" t="str">
            <v>16265I - Identified - Recompete - IS4</v>
          </cell>
        </row>
        <row r="859">
          <cell r="D859">
            <v>845</v>
          </cell>
          <cell r="E859">
            <v>0</v>
          </cell>
          <cell r="F859">
            <v>5</v>
          </cell>
          <cell r="G859" t="str">
            <v>16265I</v>
          </cell>
          <cell r="H859" t="str">
            <v>SAIC EPA</v>
          </cell>
          <cell r="I859" t="str">
            <v>IS4</v>
          </cell>
          <cell r="J859" t="str">
            <v>IS4 Engineering and Technology Services</v>
          </cell>
          <cell r="K859" t="str">
            <v>Other Civilian</v>
          </cell>
          <cell r="L859" t="str">
            <v>Other</v>
          </cell>
          <cell r="M859" t="str">
            <v>VA</v>
          </cell>
          <cell r="N859" t="str">
            <v>CONUS</v>
          </cell>
          <cell r="O859">
            <v>42915</v>
          </cell>
          <cell r="P859">
            <v>43918</v>
          </cell>
          <cell r="Q859" t="str">
            <v>Sub</v>
          </cell>
          <cell r="R859" t="str">
            <v>T&amp;M</v>
          </cell>
          <cell r="S859">
            <v>0</v>
          </cell>
          <cell r="T859">
            <v>1</v>
          </cell>
          <cell r="U859" t="str">
            <v>EBITA</v>
          </cell>
          <cell r="V859" t="str">
            <v>Base</v>
          </cell>
          <cell r="W859" t="str">
            <v>05 Won</v>
          </cell>
          <cell r="X859" t="str">
            <v>Active</v>
          </cell>
          <cell r="Y859">
            <v>1</v>
          </cell>
          <cell r="Z859">
            <v>0</v>
          </cell>
          <cell r="AA859">
            <v>55554.889999999927</v>
          </cell>
          <cell r="AB859">
            <v>3534548</v>
          </cell>
          <cell r="AC859">
            <v>0</v>
          </cell>
          <cell r="AD859">
            <v>3590102.89</v>
          </cell>
          <cell r="AT859">
            <v>0</v>
          </cell>
          <cell r="AU859">
            <v>0.26271803194120891</v>
          </cell>
          <cell r="AV859">
            <v>0.19578074874330284</v>
          </cell>
          <cell r="AW859">
            <v>7.3206388480878001E-2</v>
          </cell>
          <cell r="AX859">
            <v>0.1682521704180458</v>
          </cell>
          <cell r="AY859">
            <v>0.1692521704180458</v>
          </cell>
          <cell r="AZ859">
            <v>0.1702521704180458</v>
          </cell>
          <cell r="BA859">
            <v>0.1712521704180458</v>
          </cell>
          <cell r="BF859">
            <v>0</v>
          </cell>
          <cell r="BG859">
            <v>106286.55999999998</v>
          </cell>
          <cell r="BH859">
            <v>224269.71000000002</v>
          </cell>
          <cell r="BI859">
            <v>15884.810000000014</v>
          </cell>
          <cell r="BJ859">
            <v>4843.0799999999899</v>
          </cell>
          <cell r="BK859">
            <v>16845.509999999995</v>
          </cell>
          <cell r="BL859">
            <v>17929</v>
          </cell>
          <cell r="BM859">
            <v>55502.399999999994</v>
          </cell>
          <cell r="BN859">
            <v>0</v>
          </cell>
          <cell r="BO859">
            <v>0</v>
          </cell>
          <cell r="BP859">
            <v>0</v>
          </cell>
          <cell r="BQ859">
            <v>0</v>
          </cell>
          <cell r="BR859">
            <v>55502.399999999994</v>
          </cell>
          <cell r="BT859">
            <v>0</v>
          </cell>
          <cell r="CA859" t="str">
            <v>16265I - EBITA - Base</v>
          </cell>
          <cell r="CC859" t="str">
            <v>16265I - EBITA - Base - IS4</v>
          </cell>
          <cell r="CD859" t="str">
            <v/>
          </cell>
          <cell r="CF859" t="str">
            <v>16265I - Base - IS4</v>
          </cell>
        </row>
        <row r="860">
          <cell r="D860">
            <v>846</v>
          </cell>
          <cell r="E860">
            <v>0</v>
          </cell>
          <cell r="F860">
            <v>0</v>
          </cell>
          <cell r="G860" t="str">
            <v>16265I</v>
          </cell>
          <cell r="H860" t="str">
            <v>SAIC EPA</v>
          </cell>
          <cell r="I860" t="str">
            <v>IS4</v>
          </cell>
          <cell r="J860" t="str">
            <v>IS4 Engineering and Technology Services</v>
          </cell>
          <cell r="K860" t="str">
            <v>Other Civilian</v>
          </cell>
          <cell r="L860" t="str">
            <v>Other</v>
          </cell>
          <cell r="M860" t="str">
            <v>VA</v>
          </cell>
          <cell r="N860" t="str">
            <v>CONUS</v>
          </cell>
          <cell r="O860">
            <v>0</v>
          </cell>
          <cell r="P860">
            <v>0</v>
          </cell>
          <cell r="Q860">
            <v>0</v>
          </cell>
          <cell r="R860" t="str">
            <v>T&amp;M</v>
          </cell>
          <cell r="S860">
            <v>0</v>
          </cell>
          <cell r="T860">
            <v>1</v>
          </cell>
          <cell r="U860" t="str">
            <v>EBITA</v>
          </cell>
          <cell r="V860" t="str">
            <v>Identified - Recompete</v>
          </cell>
          <cell r="W860">
            <v>0</v>
          </cell>
          <cell r="X860">
            <v>0</v>
          </cell>
          <cell r="Y860">
            <v>0</v>
          </cell>
          <cell r="Z860">
            <v>0</v>
          </cell>
          <cell r="AA860">
            <v>0</v>
          </cell>
          <cell r="AB860">
            <v>0</v>
          </cell>
          <cell r="AC860">
            <v>0</v>
          </cell>
          <cell r="AD860">
            <v>0</v>
          </cell>
          <cell r="AX860">
            <v>0</v>
          </cell>
          <cell r="AY860">
            <v>0</v>
          </cell>
          <cell r="AZ860">
            <v>0</v>
          </cell>
          <cell r="BA860">
            <v>0</v>
          </cell>
          <cell r="BI860">
            <v>0</v>
          </cell>
          <cell r="BJ860">
            <v>0</v>
          </cell>
          <cell r="BK860">
            <v>0</v>
          </cell>
          <cell r="BL860">
            <v>0</v>
          </cell>
          <cell r="BM860">
            <v>0</v>
          </cell>
          <cell r="BN860">
            <v>0</v>
          </cell>
          <cell r="BO860">
            <v>0</v>
          </cell>
          <cell r="BP860">
            <v>0</v>
          </cell>
          <cell r="BQ860">
            <v>0</v>
          </cell>
          <cell r="BR860">
            <v>0</v>
          </cell>
          <cell r="BT860">
            <v>0</v>
          </cell>
          <cell r="CA860" t="str">
            <v>16265I - EBITA - Identified - Recompete</v>
          </cell>
          <cell r="CC860" t="str">
            <v>16265I - EBITA - Identified - Recompete - IS4</v>
          </cell>
          <cell r="CD860" t="str">
            <v/>
          </cell>
          <cell r="CF860" t="str">
            <v>16265I - Identified - Recompete - IS4</v>
          </cell>
        </row>
        <row r="861">
          <cell r="D861">
            <v>847</v>
          </cell>
          <cell r="E861">
            <v>1</v>
          </cell>
          <cell r="F861">
            <v>1</v>
          </cell>
          <cell r="G861" t="str">
            <v>CP3453</v>
          </cell>
          <cell r="H861" t="str">
            <v>JS IMD FOIA/Decl</v>
          </cell>
          <cell r="I861" t="str">
            <v>IS4</v>
          </cell>
          <cell r="J861" t="str">
            <v>IS4 Engineering and Technology Services</v>
          </cell>
          <cell r="K861" t="str">
            <v>USAID</v>
          </cell>
          <cell r="L861" t="str">
            <v>DOS</v>
          </cell>
          <cell r="M861" t="str">
            <v>DC</v>
          </cell>
          <cell r="N861" t="str">
            <v>CONUS</v>
          </cell>
          <cell r="O861">
            <v>43245</v>
          </cell>
          <cell r="P861">
            <v>45070</v>
          </cell>
          <cell r="Q861" t="str">
            <v>Sub</v>
          </cell>
          <cell r="R861" t="str">
            <v>T&amp;M</v>
          </cell>
          <cell r="S861">
            <v>0</v>
          </cell>
          <cell r="T861">
            <v>1</v>
          </cell>
          <cell r="U861" t="str">
            <v>REVTOT</v>
          </cell>
          <cell r="V861" t="str">
            <v>Base</v>
          </cell>
          <cell r="W861" t="str">
            <v>05 Won</v>
          </cell>
          <cell r="X861" t="str">
            <v>Active</v>
          </cell>
          <cell r="Y861">
            <v>1</v>
          </cell>
          <cell r="Z861">
            <v>0</v>
          </cell>
          <cell r="AA861">
            <v>245191.58999999997</v>
          </cell>
          <cell r="AB861">
            <v>0</v>
          </cell>
          <cell r="AC861">
            <v>0</v>
          </cell>
          <cell r="AD861">
            <v>245191.58999999997</v>
          </cell>
          <cell r="AE861">
            <v>0</v>
          </cell>
          <cell r="AF861">
            <v>0</v>
          </cell>
          <cell r="AG861">
            <v>1.543831906315527</v>
          </cell>
          <cell r="AH861">
            <v>-0.35917526791678822</v>
          </cell>
          <cell r="AI861">
            <v>0</v>
          </cell>
          <cell r="AJ861">
            <v>0</v>
          </cell>
          <cell r="AK861">
            <v>0</v>
          </cell>
          <cell r="BB861">
            <v>323776.95999999996</v>
          </cell>
          <cell r="BC861">
            <v>323776.95999999996</v>
          </cell>
          <cell r="BD861">
            <v>323776.95999999996</v>
          </cell>
          <cell r="BE861">
            <v>323776.95999999996</v>
          </cell>
          <cell r="BF861">
            <v>0</v>
          </cell>
          <cell r="BG861">
            <v>0</v>
          </cell>
          <cell r="BH861">
            <v>150410.41</v>
          </cell>
          <cell r="BI861">
            <v>104531.82</v>
          </cell>
          <cell r="BJ861">
            <v>97034.54</v>
          </cell>
          <cell r="BK861">
            <v>77635.44</v>
          </cell>
          <cell r="BL861">
            <v>103417</v>
          </cell>
          <cell r="BM861">
            <v>382618.8</v>
          </cell>
          <cell r="BN861">
            <v>245191.58999999997</v>
          </cell>
          <cell r="BO861">
            <v>0</v>
          </cell>
          <cell r="BP861">
            <v>0</v>
          </cell>
          <cell r="BQ861">
            <v>0</v>
          </cell>
          <cell r="BR861">
            <v>627810.3899999999</v>
          </cell>
          <cell r="BT861">
            <v>0</v>
          </cell>
          <cell r="CA861" t="str">
            <v>CP3453 - REVTOT - Base</v>
          </cell>
          <cell r="CC861" t="str">
            <v>CP3453 - REVTOT - Base - IS4</v>
          </cell>
          <cell r="CD861" t="str">
            <v/>
          </cell>
          <cell r="CF861" t="str">
            <v>CP3453 - Base - IS4</v>
          </cell>
        </row>
        <row r="862">
          <cell r="D862">
            <v>848</v>
          </cell>
          <cell r="E862">
            <v>1</v>
          </cell>
          <cell r="F862">
            <v>2</v>
          </cell>
          <cell r="G862" t="str">
            <v>CP3453</v>
          </cell>
          <cell r="H862" t="str">
            <v>JS IMD FOIA/Decl</v>
          </cell>
          <cell r="I862" t="str">
            <v>IS4</v>
          </cell>
          <cell r="J862" t="str">
            <v>IS4 Engineering and Technology Services</v>
          </cell>
          <cell r="K862" t="str">
            <v>USAID</v>
          </cell>
          <cell r="L862" t="str">
            <v>DOS</v>
          </cell>
          <cell r="M862" t="str">
            <v>DC</v>
          </cell>
          <cell r="N862" t="str">
            <v>CONUS</v>
          </cell>
          <cell r="O862">
            <v>0</v>
          </cell>
          <cell r="P862">
            <v>0</v>
          </cell>
          <cell r="Q862">
            <v>0</v>
          </cell>
          <cell r="R862" t="str">
            <v>T&amp;M</v>
          </cell>
          <cell r="S862">
            <v>0</v>
          </cell>
          <cell r="T862">
            <v>1</v>
          </cell>
          <cell r="U862" t="str">
            <v>REVTOT</v>
          </cell>
          <cell r="V862" t="str">
            <v>Identified - Recompete</v>
          </cell>
          <cell r="W862">
            <v>0</v>
          </cell>
          <cell r="X862">
            <v>0</v>
          </cell>
          <cell r="Y862">
            <v>0</v>
          </cell>
          <cell r="Z862">
            <v>0</v>
          </cell>
          <cell r="AA862">
            <v>0</v>
          </cell>
          <cell r="AB862">
            <v>0</v>
          </cell>
          <cell r="AC862">
            <v>0</v>
          </cell>
          <cell r="AD862">
            <v>0</v>
          </cell>
          <cell r="AI862">
            <v>0</v>
          </cell>
          <cell r="AJ862">
            <v>0</v>
          </cell>
          <cell r="AK862">
            <v>0</v>
          </cell>
          <cell r="BB862">
            <v>0</v>
          </cell>
          <cell r="BC862">
            <v>0</v>
          </cell>
          <cell r="BD862">
            <v>0</v>
          </cell>
          <cell r="BE862">
            <v>0</v>
          </cell>
          <cell r="BI862">
            <v>0</v>
          </cell>
          <cell r="BJ862">
            <v>0</v>
          </cell>
          <cell r="BK862">
            <v>0</v>
          </cell>
          <cell r="BL862">
            <v>0</v>
          </cell>
          <cell r="BM862">
            <v>0</v>
          </cell>
          <cell r="BN862">
            <v>0</v>
          </cell>
          <cell r="BO862">
            <v>0</v>
          </cell>
          <cell r="BP862">
            <v>0</v>
          </cell>
          <cell r="BQ862">
            <v>0</v>
          </cell>
          <cell r="BR862">
            <v>0</v>
          </cell>
          <cell r="BT862">
            <v>0</v>
          </cell>
          <cell r="CA862" t="str">
            <v>CP3453 - REVTOT - Identified - Recompete</v>
          </cell>
          <cell r="CC862" t="str">
            <v>CP3453 - REVTOT - Identified - Recompete - IS4</v>
          </cell>
          <cell r="CD862" t="str">
            <v/>
          </cell>
          <cell r="CF862" t="str">
            <v>CP3453 - Identified - Recompete - IS4</v>
          </cell>
        </row>
        <row r="863">
          <cell r="D863">
            <v>849</v>
          </cell>
          <cell r="E863">
            <v>2</v>
          </cell>
          <cell r="F863">
            <v>3</v>
          </cell>
          <cell r="G863" t="str">
            <v>CP3453</v>
          </cell>
          <cell r="H863" t="str">
            <v>JS IMD FOIA/Decl</v>
          </cell>
          <cell r="I863" t="str">
            <v>IS4</v>
          </cell>
          <cell r="J863" t="str">
            <v>IS4 Engineering and Technology Services</v>
          </cell>
          <cell r="K863" t="str">
            <v>USAID</v>
          </cell>
          <cell r="L863" t="str">
            <v>DOS</v>
          </cell>
          <cell r="M863" t="str">
            <v>DC</v>
          </cell>
          <cell r="N863" t="str">
            <v>CONUS</v>
          </cell>
          <cell r="O863">
            <v>43245</v>
          </cell>
          <cell r="P863">
            <v>45070</v>
          </cell>
          <cell r="Q863" t="str">
            <v>Sub</v>
          </cell>
          <cell r="R863" t="str">
            <v>T&amp;M</v>
          </cell>
          <cell r="S863">
            <v>0</v>
          </cell>
          <cell r="T863">
            <v>1</v>
          </cell>
          <cell r="U863" t="str">
            <v>CONTRACT</v>
          </cell>
          <cell r="V863" t="str">
            <v>Base</v>
          </cell>
          <cell r="W863" t="str">
            <v>05 Won</v>
          </cell>
          <cell r="X863" t="str">
            <v>Active</v>
          </cell>
          <cell r="Y863">
            <v>1</v>
          </cell>
          <cell r="Z863">
            <v>0</v>
          </cell>
          <cell r="AA863">
            <v>245191.58999999997</v>
          </cell>
          <cell r="AB863">
            <v>0</v>
          </cell>
          <cell r="AC863">
            <v>0</v>
          </cell>
          <cell r="AD863">
            <v>245191.58999999997</v>
          </cell>
          <cell r="AL863">
            <v>0</v>
          </cell>
          <cell r="AM863">
            <v>0</v>
          </cell>
          <cell r="AN863">
            <v>0.17247742360385829</v>
          </cell>
          <cell r="AO863">
            <v>0.21825485313319681</v>
          </cell>
          <cell r="AP863">
            <v>0.2232522371859425</v>
          </cell>
          <cell r="AQ863">
            <v>0.2232522371859425</v>
          </cell>
          <cell r="AR863">
            <v>0.2232522371859425</v>
          </cell>
          <cell r="AS863">
            <v>0.2232522371859425</v>
          </cell>
          <cell r="BF863">
            <v>0</v>
          </cell>
          <cell r="BG863">
            <v>0</v>
          </cell>
          <cell r="BH863">
            <v>25942.400000000005</v>
          </cell>
          <cell r="BI863">
            <v>21935.43</v>
          </cell>
          <cell r="BJ863">
            <v>19320.199999999997</v>
          </cell>
          <cell r="BK863">
            <v>17316.78</v>
          </cell>
          <cell r="BL863">
            <v>24936</v>
          </cell>
          <cell r="BM863">
            <v>83508.41</v>
          </cell>
          <cell r="BN863">
            <v>54739.571006678358</v>
          </cell>
          <cell r="BO863">
            <v>0</v>
          </cell>
          <cell r="BP863">
            <v>0</v>
          </cell>
          <cell r="BQ863">
            <v>0</v>
          </cell>
          <cell r="BR863">
            <v>138247.98100667837</v>
          </cell>
          <cell r="BT863">
            <v>0</v>
          </cell>
          <cell r="CA863" t="str">
            <v>CP3453 - CONTRACT - Base</v>
          </cell>
          <cell r="CC863" t="str">
            <v>CP3453 - CONTRACT - Base - IS4</v>
          </cell>
          <cell r="CD863" t="str">
            <v/>
          </cell>
          <cell r="CF863" t="str">
            <v>CP3453 - Base - IS4</v>
          </cell>
        </row>
        <row r="864">
          <cell r="D864">
            <v>850</v>
          </cell>
          <cell r="E864">
            <v>2</v>
          </cell>
          <cell r="F864">
            <v>4</v>
          </cell>
          <cell r="G864" t="str">
            <v>CP3453</v>
          </cell>
          <cell r="H864" t="str">
            <v>JS IMD FOIA/Decl</v>
          </cell>
          <cell r="I864" t="str">
            <v>IS4</v>
          </cell>
          <cell r="J864" t="str">
            <v>IS4 Engineering and Technology Services</v>
          </cell>
          <cell r="K864" t="str">
            <v>USAID</v>
          </cell>
          <cell r="L864" t="str">
            <v>DOS</v>
          </cell>
          <cell r="M864" t="str">
            <v>DC</v>
          </cell>
          <cell r="N864" t="str">
            <v>CONUS</v>
          </cell>
          <cell r="O864">
            <v>0</v>
          </cell>
          <cell r="P864">
            <v>0</v>
          </cell>
          <cell r="Q864">
            <v>0</v>
          </cell>
          <cell r="R864" t="str">
            <v>T&amp;M</v>
          </cell>
          <cell r="S864">
            <v>0</v>
          </cell>
          <cell r="T864">
            <v>1</v>
          </cell>
          <cell r="U864" t="str">
            <v>CONTRACT</v>
          </cell>
          <cell r="V864" t="str">
            <v>Identified - Recompete</v>
          </cell>
          <cell r="W864">
            <v>0</v>
          </cell>
          <cell r="X864">
            <v>0</v>
          </cell>
          <cell r="Y864">
            <v>0</v>
          </cell>
          <cell r="Z864">
            <v>0</v>
          </cell>
          <cell r="AA864">
            <v>0</v>
          </cell>
          <cell r="AB864">
            <v>0</v>
          </cell>
          <cell r="AC864">
            <v>0</v>
          </cell>
          <cell r="AD864">
            <v>0</v>
          </cell>
          <cell r="AP864">
            <v>0</v>
          </cell>
          <cell r="AQ864">
            <v>0</v>
          </cell>
          <cell r="AR864">
            <v>0</v>
          </cell>
          <cell r="AS864">
            <v>0</v>
          </cell>
          <cell r="BI864">
            <v>0</v>
          </cell>
          <cell r="BJ864">
            <v>0</v>
          </cell>
          <cell r="BK864">
            <v>0</v>
          </cell>
          <cell r="BL864">
            <v>0</v>
          </cell>
          <cell r="BM864">
            <v>0</v>
          </cell>
          <cell r="BN864">
            <v>0</v>
          </cell>
          <cell r="BO864">
            <v>0</v>
          </cell>
          <cell r="BP864">
            <v>0</v>
          </cell>
          <cell r="BQ864">
            <v>0</v>
          </cell>
          <cell r="BR864">
            <v>0</v>
          </cell>
          <cell r="BT864">
            <v>0</v>
          </cell>
          <cell r="CA864" t="str">
            <v>CP3453 - CONTRACT - Identified - Recompete</v>
          </cell>
          <cell r="CC864" t="str">
            <v>CP3453 - CONTRACT - Identified - Recompete - IS4</v>
          </cell>
          <cell r="CD864" t="str">
            <v/>
          </cell>
          <cell r="CF864" t="str">
            <v>CP3453 - Identified - Recompete - IS4</v>
          </cell>
        </row>
        <row r="865">
          <cell r="D865">
            <v>851</v>
          </cell>
          <cell r="E865">
            <v>0</v>
          </cell>
          <cell r="F865">
            <v>5</v>
          </cell>
          <cell r="G865" t="str">
            <v>CP3453</v>
          </cell>
          <cell r="H865" t="str">
            <v>JS IMD FOIA/Decl</v>
          </cell>
          <cell r="I865" t="str">
            <v>IS4</v>
          </cell>
          <cell r="J865" t="str">
            <v>IS4 Engineering and Technology Services</v>
          </cell>
          <cell r="K865" t="str">
            <v>USAID</v>
          </cell>
          <cell r="L865" t="str">
            <v>DOS</v>
          </cell>
          <cell r="M865" t="str">
            <v>DC</v>
          </cell>
          <cell r="N865" t="str">
            <v>CONUS</v>
          </cell>
          <cell r="O865">
            <v>43245</v>
          </cell>
          <cell r="P865">
            <v>45070</v>
          </cell>
          <cell r="Q865" t="str">
            <v>Sub</v>
          </cell>
          <cell r="R865" t="str">
            <v>T&amp;M</v>
          </cell>
          <cell r="S865">
            <v>0</v>
          </cell>
          <cell r="T865">
            <v>1</v>
          </cell>
          <cell r="U865" t="str">
            <v>EBITA</v>
          </cell>
          <cell r="V865" t="str">
            <v>Base</v>
          </cell>
          <cell r="W865" t="str">
            <v>05 Won</v>
          </cell>
          <cell r="X865" t="str">
            <v>Active</v>
          </cell>
          <cell r="Y865">
            <v>1</v>
          </cell>
          <cell r="Z865">
            <v>0</v>
          </cell>
          <cell r="AA865">
            <v>245191.58999999997</v>
          </cell>
          <cell r="AB865">
            <v>0</v>
          </cell>
          <cell r="AC865">
            <v>0</v>
          </cell>
          <cell r="AD865">
            <v>245191.58999999997</v>
          </cell>
          <cell r="AT865">
            <v>0</v>
          </cell>
          <cell r="AU865">
            <v>0</v>
          </cell>
          <cell r="AV865">
            <v>4.624600119100801E-2</v>
          </cell>
          <cell r="AW865">
            <v>9.3199576183919858E-2</v>
          </cell>
          <cell r="AX865">
            <v>9.9918309117269538E-2</v>
          </cell>
          <cell r="AY865">
            <v>0.10091830911726954</v>
          </cell>
          <cell r="AZ865">
            <v>0.10191830911726954</v>
          </cell>
          <cell r="BA865">
            <v>0.10291830911726954</v>
          </cell>
          <cell r="BF865">
            <v>0</v>
          </cell>
          <cell r="BG865">
            <v>0</v>
          </cell>
          <cell r="BH865">
            <v>6955.8800000000037</v>
          </cell>
          <cell r="BI865">
            <v>8512.74</v>
          </cell>
          <cell r="BJ865">
            <v>7127.0799999999972</v>
          </cell>
          <cell r="BK865">
            <v>7664.09</v>
          </cell>
          <cell r="BL865">
            <v>12356</v>
          </cell>
          <cell r="BM865">
            <v>35659.909999999996</v>
          </cell>
          <cell r="BN865">
            <v>24499.129082574811</v>
          </cell>
          <cell r="BO865">
            <v>0</v>
          </cell>
          <cell r="BP865">
            <v>0</v>
          </cell>
          <cell r="BQ865">
            <v>0</v>
          </cell>
          <cell r="BR865">
            <v>60159.039082574804</v>
          </cell>
          <cell r="BT865">
            <v>0</v>
          </cell>
          <cell r="CA865" t="str">
            <v>CP3453 - EBITA - Base</v>
          </cell>
          <cell r="CC865" t="str">
            <v>CP3453 - EBITA - Base - IS4</v>
          </cell>
          <cell r="CD865" t="str">
            <v/>
          </cell>
          <cell r="CF865" t="str">
            <v>CP3453 - Base - IS4</v>
          </cell>
        </row>
        <row r="866">
          <cell r="D866">
            <v>852</v>
          </cell>
          <cell r="E866">
            <v>0</v>
          </cell>
          <cell r="F866">
            <v>0</v>
          </cell>
          <cell r="G866" t="str">
            <v>CP3453</v>
          </cell>
          <cell r="H866" t="str">
            <v>JS IMD FOIA/Decl</v>
          </cell>
          <cell r="I866" t="str">
            <v>IS4</v>
          </cell>
          <cell r="J866" t="str">
            <v>IS4 Engineering and Technology Services</v>
          </cell>
          <cell r="K866" t="str">
            <v>USAID</v>
          </cell>
          <cell r="L866" t="str">
            <v>DOS</v>
          </cell>
          <cell r="M866" t="str">
            <v>DC</v>
          </cell>
          <cell r="N866" t="str">
            <v>CONUS</v>
          </cell>
          <cell r="O866">
            <v>0</v>
          </cell>
          <cell r="P866">
            <v>0</v>
          </cell>
          <cell r="Q866">
            <v>0</v>
          </cell>
          <cell r="R866" t="str">
            <v>T&amp;M</v>
          </cell>
          <cell r="S866">
            <v>0</v>
          </cell>
          <cell r="T866">
            <v>1</v>
          </cell>
          <cell r="U866" t="str">
            <v>EBITA</v>
          </cell>
          <cell r="V866" t="str">
            <v>Identified - Recompete</v>
          </cell>
          <cell r="W866">
            <v>0</v>
          </cell>
          <cell r="X866">
            <v>0</v>
          </cell>
          <cell r="Y866">
            <v>0</v>
          </cell>
          <cell r="Z866">
            <v>0</v>
          </cell>
          <cell r="AA866">
            <v>0</v>
          </cell>
          <cell r="AB866">
            <v>0</v>
          </cell>
          <cell r="AC866">
            <v>0</v>
          </cell>
          <cell r="AD866">
            <v>0</v>
          </cell>
          <cell r="AX866">
            <v>0</v>
          </cell>
          <cell r="AY866">
            <v>0</v>
          </cell>
          <cell r="AZ866">
            <v>0</v>
          </cell>
          <cell r="BA866">
            <v>0</v>
          </cell>
          <cell r="BI866">
            <v>0</v>
          </cell>
          <cell r="BJ866">
            <v>0</v>
          </cell>
          <cell r="BK866">
            <v>0</v>
          </cell>
          <cell r="BL866">
            <v>0</v>
          </cell>
          <cell r="BM866">
            <v>0</v>
          </cell>
          <cell r="BN866">
            <v>0</v>
          </cell>
          <cell r="BO866">
            <v>0</v>
          </cell>
          <cell r="BP866">
            <v>0</v>
          </cell>
          <cell r="BQ866">
            <v>0</v>
          </cell>
          <cell r="BR866">
            <v>0</v>
          </cell>
          <cell r="BT866">
            <v>0</v>
          </cell>
          <cell r="CA866" t="str">
            <v>CP3453 - EBITA - Identified - Recompete</v>
          </cell>
          <cell r="CC866" t="str">
            <v>CP3453 - EBITA - Identified - Recompete - IS4</v>
          </cell>
          <cell r="CD866" t="str">
            <v/>
          </cell>
          <cell r="CF866" t="str">
            <v>CP3453 - Identified - Recompete - IS4</v>
          </cell>
        </row>
        <row r="867">
          <cell r="D867">
            <v>853</v>
          </cell>
          <cell r="E867">
            <v>1</v>
          </cell>
          <cell r="F867">
            <v>1</v>
          </cell>
          <cell r="G867" t="str">
            <v>000048</v>
          </cell>
          <cell r="H867" t="str">
            <v>Schoolbag Recompete</v>
          </cell>
          <cell r="I867" t="str">
            <v>IS4</v>
          </cell>
          <cell r="J867" t="str">
            <v>IS4 Global Mission Solutions</v>
          </cell>
          <cell r="K867" t="str">
            <v>Classified Agency</v>
          </cell>
          <cell r="L867" t="str">
            <v>Classified</v>
          </cell>
          <cell r="M867" t="str">
            <v>US_State</v>
          </cell>
          <cell r="N867" t="str">
            <v>CONUS</v>
          </cell>
          <cell r="O867">
            <v>41967</v>
          </cell>
          <cell r="P867">
            <v>43769</v>
          </cell>
          <cell r="Q867" t="str">
            <v>Prime</v>
          </cell>
          <cell r="R867" t="str">
            <v>T&amp;M</v>
          </cell>
          <cell r="S867">
            <v>0</v>
          </cell>
          <cell r="T867">
            <v>1</v>
          </cell>
          <cell r="U867" t="str">
            <v>REVTOT</v>
          </cell>
          <cell r="V867" t="str">
            <v>Base</v>
          </cell>
          <cell r="W867" t="str">
            <v>05 Won</v>
          </cell>
          <cell r="X867" t="str">
            <v>Active</v>
          </cell>
          <cell r="Y867">
            <v>1</v>
          </cell>
          <cell r="Z867">
            <v>0</v>
          </cell>
          <cell r="AA867">
            <v>343442.98</v>
          </cell>
          <cell r="AB867">
            <v>2.3283064365386963E-10</v>
          </cell>
          <cell r="AC867">
            <v>0</v>
          </cell>
          <cell r="AD867">
            <v>343442.98000000021</v>
          </cell>
          <cell r="AE867">
            <v>3.0749814722481617E-2</v>
          </cell>
          <cell r="AF867">
            <v>-5.7773446412850427E-2</v>
          </cell>
          <cell r="AG867">
            <v>-4.6356143198849953E-2</v>
          </cell>
          <cell r="AH867">
            <v>-1</v>
          </cell>
          <cell r="AI867">
            <v>0</v>
          </cell>
          <cell r="AJ867">
            <v>0</v>
          </cell>
          <cell r="AK867">
            <v>0</v>
          </cell>
          <cell r="BB867">
            <v>0</v>
          </cell>
          <cell r="BC867">
            <v>0</v>
          </cell>
          <cell r="BD867">
            <v>0</v>
          </cell>
          <cell r="BE867">
            <v>0</v>
          </cell>
          <cell r="BF867">
            <v>839551.39999999991</v>
          </cell>
          <cell r="BG867">
            <v>865367.45</v>
          </cell>
          <cell r="BH867">
            <v>815372.19</v>
          </cell>
          <cell r="BI867">
            <v>148722.11000000002</v>
          </cell>
          <cell r="BJ867">
            <v>223314.03</v>
          </cell>
          <cell r="BK867">
            <v>186745.54</v>
          </cell>
          <cell r="BL867">
            <v>218793</v>
          </cell>
          <cell r="BM867">
            <v>777574.68</v>
          </cell>
          <cell r="BN867">
            <v>0</v>
          </cell>
          <cell r="BO867">
            <v>0</v>
          </cell>
          <cell r="BP867">
            <v>0</v>
          </cell>
          <cell r="BQ867">
            <v>0</v>
          </cell>
          <cell r="BR867">
            <v>777574.68</v>
          </cell>
          <cell r="BT867">
            <v>0</v>
          </cell>
          <cell r="CA867" t="str">
            <v>000048 - REVTOT - Base</v>
          </cell>
          <cell r="CC867" t="str">
            <v>000048 - REVTOT - Base - IS4</v>
          </cell>
          <cell r="CD867" t="str">
            <v/>
          </cell>
          <cell r="CF867" t="str">
            <v>000048 - Base - IS4</v>
          </cell>
        </row>
        <row r="868">
          <cell r="D868">
            <v>854</v>
          </cell>
          <cell r="E868">
            <v>1</v>
          </cell>
          <cell r="F868">
            <v>2</v>
          </cell>
          <cell r="G868" t="str">
            <v>000048</v>
          </cell>
          <cell r="H868" t="str">
            <v>Schoolbag Recompete</v>
          </cell>
          <cell r="I868" t="str">
            <v>IS4</v>
          </cell>
          <cell r="J868" t="str">
            <v>IS4 Global Mission Solutions</v>
          </cell>
          <cell r="K868" t="str">
            <v>Classified Agency</v>
          </cell>
          <cell r="L868" t="str">
            <v>Classified</v>
          </cell>
          <cell r="M868" t="str">
            <v>US_State</v>
          </cell>
          <cell r="N868" t="str">
            <v>CONUS</v>
          </cell>
          <cell r="O868">
            <v>43955</v>
          </cell>
          <cell r="P868">
            <v>45781</v>
          </cell>
          <cell r="Q868" t="str">
            <v>Sub</v>
          </cell>
          <cell r="R868" t="str">
            <v>T&amp;M</v>
          </cell>
          <cell r="S868">
            <v>0</v>
          </cell>
          <cell r="T868">
            <v>1</v>
          </cell>
          <cell r="U868" t="str">
            <v>REVTOT</v>
          </cell>
          <cell r="V868" t="str">
            <v>Identified - Recompete</v>
          </cell>
          <cell r="W868" t="str">
            <v>02 Capture</v>
          </cell>
          <cell r="X868" t="str">
            <v>Priority 3</v>
          </cell>
          <cell r="Y868">
            <v>0.2</v>
          </cell>
          <cell r="Z868">
            <v>5000000</v>
          </cell>
          <cell r="AA868">
            <v>0</v>
          </cell>
          <cell r="AB868">
            <v>0</v>
          </cell>
          <cell r="AC868">
            <v>0</v>
          </cell>
          <cell r="AD868">
            <v>0</v>
          </cell>
          <cell r="AI868">
            <v>0</v>
          </cell>
          <cell r="AJ868">
            <v>0</v>
          </cell>
          <cell r="AK868">
            <v>0</v>
          </cell>
          <cell r="BB868">
            <v>1000000</v>
          </cell>
          <cell r="BC868">
            <v>1000000</v>
          </cell>
          <cell r="BD868">
            <v>1000000</v>
          </cell>
          <cell r="BE868">
            <v>1000000</v>
          </cell>
          <cell r="BI868">
            <v>0</v>
          </cell>
          <cell r="BJ868">
            <v>0</v>
          </cell>
          <cell r="BK868">
            <v>0</v>
          </cell>
          <cell r="BL868">
            <v>0</v>
          </cell>
          <cell r="BM868">
            <v>0</v>
          </cell>
          <cell r="BN868">
            <v>81111.111111111124</v>
          </cell>
          <cell r="BO868">
            <v>200000</v>
          </cell>
          <cell r="BP868">
            <v>200000</v>
          </cell>
          <cell r="BQ868">
            <v>200000</v>
          </cell>
          <cell r="BR868">
            <v>681111.11111111112</v>
          </cell>
          <cell r="BT868">
            <v>0</v>
          </cell>
          <cell r="CA868" t="str">
            <v>000048 - REVTOT - Identified - Recompete</v>
          </cell>
          <cell r="CC868" t="str">
            <v>000048 - REVTOT - Identified - Recompete - IS4</v>
          </cell>
          <cell r="CD868" t="str">
            <v/>
          </cell>
          <cell r="CF868" t="str">
            <v>000048 - Identified - Recompete - IS4</v>
          </cell>
        </row>
        <row r="869">
          <cell r="D869">
            <v>855</v>
          </cell>
          <cell r="E869">
            <v>2</v>
          </cell>
          <cell r="F869">
            <v>3</v>
          </cell>
          <cell r="G869" t="str">
            <v>000048</v>
          </cell>
          <cell r="H869" t="str">
            <v>Schoolbag Recompete</v>
          </cell>
          <cell r="I869" t="str">
            <v>IS4</v>
          </cell>
          <cell r="J869" t="str">
            <v>IS4 Global Mission Solutions</v>
          </cell>
          <cell r="K869" t="str">
            <v>Classified Agency</v>
          </cell>
          <cell r="L869" t="str">
            <v>Classified</v>
          </cell>
          <cell r="M869" t="str">
            <v>US_State</v>
          </cell>
          <cell r="N869" t="str">
            <v>CONUS</v>
          </cell>
          <cell r="O869">
            <v>41967</v>
          </cell>
          <cell r="P869">
            <v>43769</v>
          </cell>
          <cell r="Q869" t="str">
            <v>Prime</v>
          </cell>
          <cell r="R869" t="str">
            <v>T&amp;M</v>
          </cell>
          <cell r="S869">
            <v>0</v>
          </cell>
          <cell r="T869">
            <v>1</v>
          </cell>
          <cell r="U869" t="str">
            <v>CONTRACT</v>
          </cell>
          <cell r="V869" t="str">
            <v>Base</v>
          </cell>
          <cell r="W869" t="str">
            <v>05 Won</v>
          </cell>
          <cell r="X869" t="str">
            <v>Active</v>
          </cell>
          <cell r="Y869">
            <v>1</v>
          </cell>
          <cell r="Z869">
            <v>0</v>
          </cell>
          <cell r="AA869">
            <v>343442.98</v>
          </cell>
          <cell r="AB869">
            <v>2.3283064365386963E-10</v>
          </cell>
          <cell r="AC869">
            <v>0</v>
          </cell>
          <cell r="AD869">
            <v>343442.98000000021</v>
          </cell>
          <cell r="AL869">
            <v>0.17366816373601432</v>
          </cell>
          <cell r="AM869">
            <v>0.16501545095092263</v>
          </cell>
          <cell r="AN869">
            <v>0.13673458742810446</v>
          </cell>
          <cell r="AO869">
            <v>0.12274287729621032</v>
          </cell>
          <cell r="AP869">
            <v>0.1502589024564287</v>
          </cell>
          <cell r="AQ869">
            <v>0.1502589024564287</v>
          </cell>
          <cell r="AR869">
            <v>0.1502589024564287</v>
          </cell>
          <cell r="AS869">
            <v>0.1502589024564287</v>
          </cell>
          <cell r="BF869">
            <v>145803.35000000003</v>
          </cell>
          <cell r="BG869">
            <v>142798.99999999997</v>
          </cell>
          <cell r="BH869">
            <v>111489.58</v>
          </cell>
          <cell r="BI869">
            <v>-9302.8300000000017</v>
          </cell>
          <cell r="BJ869">
            <v>54134.239999999998</v>
          </cell>
          <cell r="BK869">
            <v>20517.03</v>
          </cell>
          <cell r="BL869">
            <v>30093.313535880006</v>
          </cell>
          <cell r="BM869">
            <v>95441.753535880009</v>
          </cell>
          <cell r="BN869">
            <v>0</v>
          </cell>
          <cell r="BO869">
            <v>0</v>
          </cell>
          <cell r="BP869">
            <v>0</v>
          </cell>
          <cell r="BQ869">
            <v>0</v>
          </cell>
          <cell r="BR869">
            <v>95441.753535880009</v>
          </cell>
          <cell r="BT869">
            <v>0</v>
          </cell>
          <cell r="CA869" t="str">
            <v>000048 - CONTRACT - Base</v>
          </cell>
          <cell r="CC869" t="str">
            <v>000048 - CONTRACT - Base - IS4</v>
          </cell>
          <cell r="CD869" t="str">
            <v/>
          </cell>
          <cell r="CF869" t="str">
            <v>000048 - Base - IS4</v>
          </cell>
        </row>
        <row r="870">
          <cell r="D870">
            <v>856</v>
          </cell>
          <cell r="E870">
            <v>2</v>
          </cell>
          <cell r="F870">
            <v>4</v>
          </cell>
          <cell r="G870" t="str">
            <v>000048</v>
          </cell>
          <cell r="H870" t="str">
            <v>Schoolbag Recompete</v>
          </cell>
          <cell r="I870" t="str">
            <v>IS4</v>
          </cell>
          <cell r="J870" t="str">
            <v>IS4 Global Mission Solutions</v>
          </cell>
          <cell r="K870" t="str">
            <v>Classified Agency</v>
          </cell>
          <cell r="L870" t="str">
            <v>Classified</v>
          </cell>
          <cell r="M870" t="str">
            <v>US_State</v>
          </cell>
          <cell r="N870" t="str">
            <v>CONUS</v>
          </cell>
          <cell r="O870">
            <v>43955</v>
          </cell>
          <cell r="P870">
            <v>45781</v>
          </cell>
          <cell r="Q870" t="str">
            <v>Sub</v>
          </cell>
          <cell r="R870" t="str">
            <v>T&amp;M</v>
          </cell>
          <cell r="S870">
            <v>0</v>
          </cell>
          <cell r="T870">
            <v>1</v>
          </cell>
          <cell r="U870" t="str">
            <v>CONTRACT</v>
          </cell>
          <cell r="V870" t="str">
            <v>Identified - Recompete</v>
          </cell>
          <cell r="W870" t="str">
            <v>02 Capture</v>
          </cell>
          <cell r="X870" t="str">
            <v>Priority 3</v>
          </cell>
          <cell r="Y870">
            <v>0.2</v>
          </cell>
          <cell r="Z870">
            <v>5000000</v>
          </cell>
          <cell r="AA870">
            <v>0</v>
          </cell>
          <cell r="AB870">
            <v>0</v>
          </cell>
          <cell r="AC870">
            <v>0</v>
          </cell>
          <cell r="AD870">
            <v>0</v>
          </cell>
          <cell r="AP870">
            <v>0.1502589024564287</v>
          </cell>
          <cell r="AQ870">
            <v>0.1502589024564287</v>
          </cell>
          <cell r="AR870">
            <v>0.1502589024564287</v>
          </cell>
          <cell r="AS870">
            <v>0.1502589024564287</v>
          </cell>
          <cell r="BI870">
            <v>0</v>
          </cell>
          <cell r="BJ870">
            <v>0</v>
          </cell>
          <cell r="BK870">
            <v>0</v>
          </cell>
          <cell r="BL870">
            <v>0</v>
          </cell>
          <cell r="BM870">
            <v>0</v>
          </cell>
          <cell r="BN870">
            <v>12187.666532576997</v>
          </cell>
          <cell r="BO870">
            <v>30051.780491285739</v>
          </cell>
          <cell r="BP870">
            <v>30051.780491285739</v>
          </cell>
          <cell r="BQ870">
            <v>30051.780491285739</v>
          </cell>
          <cell r="BR870">
            <v>102343.00800643422</v>
          </cell>
          <cell r="BT870">
            <v>0</v>
          </cell>
          <cell r="CA870" t="str">
            <v>000048 - CONTRACT - Identified - Recompete</v>
          </cell>
          <cell r="CC870" t="str">
            <v>000048 - CONTRACT - Identified - Recompete - IS4</v>
          </cell>
          <cell r="CD870" t="str">
            <v/>
          </cell>
          <cell r="CF870" t="str">
            <v>000048 - Identified - Recompete - IS4</v>
          </cell>
        </row>
        <row r="871">
          <cell r="D871">
            <v>857</v>
          </cell>
          <cell r="E871">
            <v>0</v>
          </cell>
          <cell r="F871">
            <v>5</v>
          </cell>
          <cell r="G871" t="str">
            <v>000048</v>
          </cell>
          <cell r="H871" t="str">
            <v>Schoolbag Recompete</v>
          </cell>
          <cell r="I871" t="str">
            <v>IS4</v>
          </cell>
          <cell r="J871" t="str">
            <v>IS4 Global Mission Solutions</v>
          </cell>
          <cell r="K871" t="str">
            <v>Classified Agency</v>
          </cell>
          <cell r="L871" t="str">
            <v>Classified</v>
          </cell>
          <cell r="M871" t="str">
            <v>US_State</v>
          </cell>
          <cell r="N871" t="str">
            <v>CONUS</v>
          </cell>
          <cell r="O871">
            <v>41967</v>
          </cell>
          <cell r="P871">
            <v>43769</v>
          </cell>
          <cell r="Q871" t="str">
            <v>Prime</v>
          </cell>
          <cell r="R871" t="str">
            <v>T&amp;M</v>
          </cell>
          <cell r="S871">
            <v>0</v>
          </cell>
          <cell r="T871">
            <v>1</v>
          </cell>
          <cell r="U871" t="str">
            <v>EBITA</v>
          </cell>
          <cell r="V871" t="str">
            <v>Base</v>
          </cell>
          <cell r="W871" t="str">
            <v>05 Won</v>
          </cell>
          <cell r="X871" t="str">
            <v>Active</v>
          </cell>
          <cell r="Y871">
            <v>1</v>
          </cell>
          <cell r="Z871">
            <v>0</v>
          </cell>
          <cell r="AA871">
            <v>343442.98</v>
          </cell>
          <cell r="AB871">
            <v>2.3283064365386963E-10</v>
          </cell>
          <cell r="AC871">
            <v>0</v>
          </cell>
          <cell r="AD871">
            <v>343442.98000000021</v>
          </cell>
          <cell r="AT871">
            <v>8.8362797084252404E-2</v>
          </cell>
          <cell r="AU871">
            <v>8.0908543532576802E-2</v>
          </cell>
          <cell r="AV871">
            <v>5.5970096306571356E-2</v>
          </cell>
          <cell r="AW871">
            <v>3.9564536086820021E-2</v>
          </cell>
          <cell r="AX871">
            <v>6.7892223703716323E-2</v>
          </cell>
          <cell r="AY871">
            <v>6.8892223703716324E-2</v>
          </cell>
          <cell r="AZ871">
            <v>6.9892223703716325E-2</v>
          </cell>
          <cell r="BA871">
            <v>7.0892223703716326E-2</v>
          </cell>
          <cell r="BF871">
            <v>74185.110000000015</v>
          </cell>
          <cell r="BG871">
            <v>70015.619999999981</v>
          </cell>
          <cell r="BH871">
            <v>45636.459999999992</v>
          </cell>
          <cell r="BI871">
            <v>-24668.640000000003</v>
          </cell>
          <cell r="BJ871">
            <v>38365.200000000004</v>
          </cell>
          <cell r="BK871">
            <v>4699.7199999999993</v>
          </cell>
          <cell r="BL871">
            <v>12368.101487057535</v>
          </cell>
          <cell r="BM871">
            <v>30764.381487057533</v>
          </cell>
          <cell r="BN871">
            <v>0</v>
          </cell>
          <cell r="BO871">
            <v>0</v>
          </cell>
          <cell r="BP871">
            <v>0</v>
          </cell>
          <cell r="BQ871">
            <v>0</v>
          </cell>
          <cell r="BR871">
            <v>30764.381487057533</v>
          </cell>
          <cell r="BT871">
            <v>0</v>
          </cell>
          <cell r="CA871" t="str">
            <v>000048 - EBITA - Base</v>
          </cell>
          <cell r="CC871" t="str">
            <v>000048 - EBITA - Base - IS4</v>
          </cell>
          <cell r="CD871" t="str">
            <v/>
          </cell>
          <cell r="CF871" t="str">
            <v>000048 - Base - IS4</v>
          </cell>
        </row>
        <row r="872">
          <cell r="D872">
            <v>858</v>
          </cell>
          <cell r="E872">
            <v>0</v>
          </cell>
          <cell r="F872">
            <v>0</v>
          </cell>
          <cell r="G872" t="str">
            <v>000048</v>
          </cell>
          <cell r="H872" t="str">
            <v>Schoolbag Recompete</v>
          </cell>
          <cell r="I872" t="str">
            <v>IS4</v>
          </cell>
          <cell r="J872" t="str">
            <v>IS4 Global Mission Solutions</v>
          </cell>
          <cell r="K872" t="str">
            <v>Classified Agency</v>
          </cell>
          <cell r="L872" t="str">
            <v>Classified</v>
          </cell>
          <cell r="M872" t="str">
            <v>US_State</v>
          </cell>
          <cell r="N872" t="str">
            <v>CONUS</v>
          </cell>
          <cell r="O872">
            <v>43955</v>
          </cell>
          <cell r="P872">
            <v>45781</v>
          </cell>
          <cell r="Q872" t="str">
            <v>Sub</v>
          </cell>
          <cell r="R872" t="str">
            <v>T&amp;M</v>
          </cell>
          <cell r="S872">
            <v>0</v>
          </cell>
          <cell r="T872">
            <v>1</v>
          </cell>
          <cell r="U872" t="str">
            <v>EBITA</v>
          </cell>
          <cell r="V872" t="str">
            <v>Identified - Recompete</v>
          </cell>
          <cell r="W872" t="str">
            <v>02 Capture</v>
          </cell>
          <cell r="X872" t="str">
            <v>Priority 3</v>
          </cell>
          <cell r="Y872">
            <v>0.2</v>
          </cell>
          <cell r="Z872">
            <v>5000000</v>
          </cell>
          <cell r="AA872">
            <v>0</v>
          </cell>
          <cell r="AB872">
            <v>0</v>
          </cell>
          <cell r="AC872">
            <v>0</v>
          </cell>
          <cell r="AD872">
            <v>0</v>
          </cell>
          <cell r="AX872">
            <v>6.7892223703716323E-2</v>
          </cell>
          <cell r="AY872">
            <v>6.8892223703716324E-2</v>
          </cell>
          <cell r="AZ872">
            <v>6.9892223703716325E-2</v>
          </cell>
          <cell r="BA872">
            <v>7.0892223703716326E-2</v>
          </cell>
          <cell r="BI872">
            <v>0</v>
          </cell>
          <cell r="BJ872">
            <v>0</v>
          </cell>
          <cell r="BK872">
            <v>0</v>
          </cell>
          <cell r="BL872">
            <v>0</v>
          </cell>
          <cell r="BM872">
            <v>0</v>
          </cell>
          <cell r="BN872">
            <v>5506.8137004125474</v>
          </cell>
          <cell r="BO872">
            <v>13778.444740743265</v>
          </cell>
          <cell r="BP872">
            <v>13978.444740743265</v>
          </cell>
          <cell r="BQ872">
            <v>14178.444740743265</v>
          </cell>
          <cell r="BR872">
            <v>47442.147922642347</v>
          </cell>
          <cell r="BT872">
            <v>0</v>
          </cell>
          <cell r="CA872" t="str">
            <v>000048 - EBITA - Identified - Recompete</v>
          </cell>
          <cell r="CC872" t="str">
            <v>000048 - EBITA - Identified - Recompete - IS4</v>
          </cell>
          <cell r="CD872" t="str">
            <v/>
          </cell>
          <cell r="CF872" t="str">
            <v>000048 - Identified - Recompete - IS4</v>
          </cell>
        </row>
        <row r="873">
          <cell r="D873">
            <v>859</v>
          </cell>
          <cell r="E873">
            <v>1</v>
          </cell>
          <cell r="F873">
            <v>1</v>
          </cell>
          <cell r="G873" t="str">
            <v>000014</v>
          </cell>
          <cell r="H873" t="str">
            <v>FBI ICA</v>
          </cell>
          <cell r="I873" t="str">
            <v>IS4</v>
          </cell>
          <cell r="J873" t="str">
            <v>IS4 Infrastructure and Engineering</v>
          </cell>
          <cell r="K873" t="str">
            <v>Intercompany</v>
          </cell>
          <cell r="L873" t="str">
            <v>Intercompany</v>
          </cell>
          <cell r="M873" t="str">
            <v>US_State</v>
          </cell>
          <cell r="N873" t="str">
            <v>CONUS</v>
          </cell>
          <cell r="O873">
            <v>42030</v>
          </cell>
          <cell r="P873">
            <v>44408</v>
          </cell>
          <cell r="Q873" t="str">
            <v>Sub</v>
          </cell>
          <cell r="R873" t="str">
            <v>T&amp;M</v>
          </cell>
          <cell r="S873">
            <v>0</v>
          </cell>
          <cell r="T873">
            <v>1</v>
          </cell>
          <cell r="U873" t="str">
            <v>REVTOT</v>
          </cell>
          <cell r="V873" t="str">
            <v>Base</v>
          </cell>
          <cell r="W873" t="str">
            <v>05 Won</v>
          </cell>
          <cell r="X873" t="str">
            <v>Active</v>
          </cell>
          <cell r="Y873">
            <v>1</v>
          </cell>
          <cell r="Z873">
            <v>0</v>
          </cell>
          <cell r="AA873">
            <v>481175.77184000006</v>
          </cell>
          <cell r="AB873">
            <v>1.0000000125728548E-2</v>
          </cell>
          <cell r="AC873">
            <v>0</v>
          </cell>
          <cell r="AD873">
            <v>481175.78184000019</v>
          </cell>
          <cell r="AE873">
            <v>0.10393588206991589</v>
          </cell>
          <cell r="AF873">
            <v>0.12326742918764388</v>
          </cell>
          <cell r="AG873">
            <v>-0.38102420069275755</v>
          </cell>
          <cell r="AH873">
            <v>8.2910161873794186E-2</v>
          </cell>
          <cell r="AI873">
            <v>0</v>
          </cell>
          <cell r="AJ873">
            <v>0</v>
          </cell>
          <cell r="AK873">
            <v>0</v>
          </cell>
          <cell r="BB873">
            <v>280563.96000000002</v>
          </cell>
          <cell r="BC873">
            <v>280563.96000000002</v>
          </cell>
          <cell r="BD873">
            <v>280563.96000000002</v>
          </cell>
          <cell r="BE873">
            <v>280563.96000000002</v>
          </cell>
          <cell r="BF873">
            <v>337550.51</v>
          </cell>
          <cell r="BG873">
            <v>372634.12</v>
          </cell>
          <cell r="BH873">
            <v>418567.77</v>
          </cell>
          <cell r="BI873">
            <v>108809.09999999999</v>
          </cell>
          <cell r="BJ873">
            <v>80282.91</v>
          </cell>
          <cell r="BK873">
            <v>9748.31</v>
          </cell>
          <cell r="BL873">
            <v>60243</v>
          </cell>
          <cell r="BM873">
            <v>259083.32</v>
          </cell>
          <cell r="BN873">
            <v>280563.96000000002</v>
          </cell>
          <cell r="BO873">
            <v>200611.82184000016</v>
          </cell>
          <cell r="BP873">
            <v>0</v>
          </cell>
          <cell r="BQ873">
            <v>0</v>
          </cell>
          <cell r="BR873">
            <v>740259.10184000013</v>
          </cell>
          <cell r="BT873">
            <v>0</v>
          </cell>
          <cell r="CA873" t="str">
            <v>000014 - REVTOT - Base</v>
          </cell>
          <cell r="CC873" t="str">
            <v>000014 - REVTOT - Base - IS4</v>
          </cell>
          <cell r="CD873" t="str">
            <v/>
          </cell>
          <cell r="CF873" t="str">
            <v>000014 - Base - IS4</v>
          </cell>
        </row>
        <row r="874">
          <cell r="D874">
            <v>860</v>
          </cell>
          <cell r="E874">
            <v>1</v>
          </cell>
          <cell r="F874">
            <v>2</v>
          </cell>
          <cell r="G874" t="str">
            <v>000014</v>
          </cell>
          <cell r="H874" t="str">
            <v>FBI ICA</v>
          </cell>
          <cell r="I874" t="str">
            <v>IS4</v>
          </cell>
          <cell r="J874" t="str">
            <v>IS4 Infrastructure and Engineering</v>
          </cell>
          <cell r="K874" t="str">
            <v>Intercompany</v>
          </cell>
          <cell r="L874" t="str">
            <v>Intercompany</v>
          </cell>
          <cell r="M874" t="str">
            <v>US_State</v>
          </cell>
          <cell r="N874" t="str">
            <v>CONUS</v>
          </cell>
          <cell r="O874">
            <v>0</v>
          </cell>
          <cell r="P874">
            <v>0</v>
          </cell>
          <cell r="Q874">
            <v>0</v>
          </cell>
          <cell r="R874" t="str">
            <v>T&amp;M</v>
          </cell>
          <cell r="S874">
            <v>0</v>
          </cell>
          <cell r="T874">
            <v>1</v>
          </cell>
          <cell r="U874" t="str">
            <v>REVTOT</v>
          </cell>
          <cell r="V874" t="str">
            <v>Identified - Recompete</v>
          </cell>
          <cell r="W874">
            <v>0</v>
          </cell>
          <cell r="X874">
            <v>0</v>
          </cell>
          <cell r="Y874">
            <v>0</v>
          </cell>
          <cell r="Z874">
            <v>0</v>
          </cell>
          <cell r="AA874">
            <v>0</v>
          </cell>
          <cell r="AB874">
            <v>0</v>
          </cell>
          <cell r="AC874">
            <v>0</v>
          </cell>
          <cell r="AD874">
            <v>0</v>
          </cell>
          <cell r="AI874">
            <v>0</v>
          </cell>
          <cell r="AJ874">
            <v>0</v>
          </cell>
          <cell r="AK874">
            <v>0</v>
          </cell>
          <cell r="BB874">
            <v>0</v>
          </cell>
          <cell r="BC874">
            <v>0</v>
          </cell>
          <cell r="BD874">
            <v>0</v>
          </cell>
          <cell r="BE874">
            <v>0</v>
          </cell>
          <cell r="BI874">
            <v>0</v>
          </cell>
          <cell r="BJ874">
            <v>0</v>
          </cell>
          <cell r="BK874">
            <v>0</v>
          </cell>
          <cell r="BL874">
            <v>0</v>
          </cell>
          <cell r="BM874">
            <v>0</v>
          </cell>
          <cell r="BN874">
            <v>0</v>
          </cell>
          <cell r="BO874">
            <v>0</v>
          </cell>
          <cell r="BP874">
            <v>0</v>
          </cell>
          <cell r="BQ874">
            <v>0</v>
          </cell>
          <cell r="BR874">
            <v>0</v>
          </cell>
          <cell r="BT874">
            <v>0</v>
          </cell>
          <cell r="CA874" t="str">
            <v>000014 - REVTOT - Identified - Recompete</v>
          </cell>
          <cell r="CC874" t="str">
            <v>000014 - REVTOT - Identified - Recompete - IS4</v>
          </cell>
          <cell r="CD874" t="str">
            <v/>
          </cell>
          <cell r="CF874" t="str">
            <v>000014 - Identified - Recompete - IS4</v>
          </cell>
        </row>
        <row r="875">
          <cell r="D875">
            <v>861</v>
          </cell>
          <cell r="E875">
            <v>2</v>
          </cell>
          <cell r="F875">
            <v>3</v>
          </cell>
          <cell r="G875" t="str">
            <v>000014</v>
          </cell>
          <cell r="H875" t="str">
            <v>FBI ICA</v>
          </cell>
          <cell r="I875" t="str">
            <v>IS4</v>
          </cell>
          <cell r="J875" t="str">
            <v>IS4 Infrastructure and Engineering</v>
          </cell>
          <cell r="K875" t="str">
            <v>Intercompany</v>
          </cell>
          <cell r="L875" t="str">
            <v>Intercompany</v>
          </cell>
          <cell r="M875" t="str">
            <v>US_State</v>
          </cell>
          <cell r="N875" t="str">
            <v>CONUS</v>
          </cell>
          <cell r="O875">
            <v>42030</v>
          </cell>
          <cell r="P875">
            <v>44408</v>
          </cell>
          <cell r="Q875" t="str">
            <v>Sub</v>
          </cell>
          <cell r="R875" t="str">
            <v>T&amp;M</v>
          </cell>
          <cell r="S875">
            <v>0</v>
          </cell>
          <cell r="T875">
            <v>1</v>
          </cell>
          <cell r="U875" t="str">
            <v>CONTRACT</v>
          </cell>
          <cell r="V875" t="str">
            <v>Base</v>
          </cell>
          <cell r="W875" t="str">
            <v>05 Won</v>
          </cell>
          <cell r="X875" t="str">
            <v>Active</v>
          </cell>
          <cell r="Y875">
            <v>1</v>
          </cell>
          <cell r="Z875">
            <v>0</v>
          </cell>
          <cell r="AA875">
            <v>481175.77184000006</v>
          </cell>
          <cell r="AB875">
            <v>1.0000000125728548E-2</v>
          </cell>
          <cell r="AC875">
            <v>0</v>
          </cell>
          <cell r="AD875">
            <v>481175.78184000019</v>
          </cell>
          <cell r="AL875">
            <v>0.15004195964627631</v>
          </cell>
          <cell r="AM875">
            <v>0.29953115941181124</v>
          </cell>
          <cell r="AN875">
            <v>0.32767771393387501</v>
          </cell>
          <cell r="AO875">
            <v>0.28932967703208368</v>
          </cell>
          <cell r="AP875">
            <v>0.31467008734835361</v>
          </cell>
          <cell r="AQ875">
            <v>0.31467008734835361</v>
          </cell>
          <cell r="AR875">
            <v>0.31467008734835361</v>
          </cell>
          <cell r="AS875">
            <v>0.31467008734835361</v>
          </cell>
          <cell r="BF875">
            <v>50646.739999999991</v>
          </cell>
          <cell r="BG875">
            <v>111615.53</v>
          </cell>
          <cell r="BH875">
            <v>137155.32999999999</v>
          </cell>
          <cell r="BI875">
            <v>29974.309999999994</v>
          </cell>
          <cell r="BJ875">
            <v>25870.979999999996</v>
          </cell>
          <cell r="BK875">
            <v>2077.9999999999991</v>
          </cell>
          <cell r="BL875">
            <v>17037.203299999997</v>
          </cell>
          <cell r="BM875">
            <v>74960.493299999987</v>
          </cell>
          <cell r="BN875">
            <v>88285.085800000001</v>
          </cell>
          <cell r="BO875">
            <v>63126.539501505205</v>
          </cell>
          <cell r="BP875">
            <v>0</v>
          </cell>
          <cell r="BQ875">
            <v>0</v>
          </cell>
          <cell r="BR875">
            <v>226372.11860150518</v>
          </cell>
          <cell r="BT875">
            <v>0</v>
          </cell>
          <cell r="CA875" t="str">
            <v>000014 - CONTRACT - Base</v>
          </cell>
          <cell r="CC875" t="str">
            <v>000014 - CONTRACT - Base - IS4</v>
          </cell>
          <cell r="CD875" t="str">
            <v/>
          </cell>
          <cell r="CF875" t="str">
            <v>000014 - Base - IS4</v>
          </cell>
        </row>
        <row r="876">
          <cell r="D876">
            <v>862</v>
          </cell>
          <cell r="E876">
            <v>2</v>
          </cell>
          <cell r="F876">
            <v>4</v>
          </cell>
          <cell r="G876" t="str">
            <v>000014</v>
          </cell>
          <cell r="H876" t="str">
            <v>FBI ICA</v>
          </cell>
          <cell r="I876" t="str">
            <v>IS4</v>
          </cell>
          <cell r="J876" t="str">
            <v>IS4 Infrastructure and Engineering</v>
          </cell>
          <cell r="K876" t="str">
            <v>Intercompany</v>
          </cell>
          <cell r="L876" t="str">
            <v>Intercompany</v>
          </cell>
          <cell r="M876" t="str">
            <v>US_State</v>
          </cell>
          <cell r="N876" t="str">
            <v>CONUS</v>
          </cell>
          <cell r="O876">
            <v>0</v>
          </cell>
          <cell r="P876">
            <v>0</v>
          </cell>
          <cell r="Q876">
            <v>0</v>
          </cell>
          <cell r="R876" t="str">
            <v>T&amp;M</v>
          </cell>
          <cell r="S876">
            <v>0</v>
          </cell>
          <cell r="T876">
            <v>1</v>
          </cell>
          <cell r="U876" t="str">
            <v>CONTRACT</v>
          </cell>
          <cell r="V876" t="str">
            <v>Identified - Recompete</v>
          </cell>
          <cell r="W876">
            <v>0</v>
          </cell>
          <cell r="X876">
            <v>0</v>
          </cell>
          <cell r="Y876">
            <v>0</v>
          </cell>
          <cell r="Z876">
            <v>0</v>
          </cell>
          <cell r="AA876">
            <v>0</v>
          </cell>
          <cell r="AB876">
            <v>0</v>
          </cell>
          <cell r="AC876">
            <v>0</v>
          </cell>
          <cell r="AD876">
            <v>0</v>
          </cell>
          <cell r="AP876">
            <v>0</v>
          </cell>
          <cell r="AQ876">
            <v>0</v>
          </cell>
          <cell r="AR876">
            <v>0</v>
          </cell>
          <cell r="AS876">
            <v>0</v>
          </cell>
          <cell r="BI876">
            <v>0</v>
          </cell>
          <cell r="BJ876">
            <v>0</v>
          </cell>
          <cell r="BK876">
            <v>0</v>
          </cell>
          <cell r="BL876">
            <v>0</v>
          </cell>
          <cell r="BM876">
            <v>0</v>
          </cell>
          <cell r="BN876">
            <v>0</v>
          </cell>
          <cell r="BO876">
            <v>0</v>
          </cell>
          <cell r="BP876">
            <v>0</v>
          </cell>
          <cell r="BQ876">
            <v>0</v>
          </cell>
          <cell r="BR876">
            <v>0</v>
          </cell>
          <cell r="BT876">
            <v>0</v>
          </cell>
          <cell r="CA876" t="str">
            <v>000014 - CONTRACT - Identified - Recompete</v>
          </cell>
          <cell r="CC876" t="str">
            <v>000014 - CONTRACT - Identified - Recompete - IS4</v>
          </cell>
          <cell r="CD876" t="str">
            <v/>
          </cell>
          <cell r="CF876" t="str">
            <v>000014 - Identified - Recompete - IS4</v>
          </cell>
        </row>
        <row r="877">
          <cell r="D877">
            <v>863</v>
          </cell>
          <cell r="E877">
            <v>0</v>
          </cell>
          <cell r="F877">
            <v>5</v>
          </cell>
          <cell r="G877" t="str">
            <v>000014</v>
          </cell>
          <cell r="H877" t="str">
            <v>FBI ICA</v>
          </cell>
          <cell r="I877" t="str">
            <v>IS4</v>
          </cell>
          <cell r="J877" t="str">
            <v>IS4 Infrastructure and Engineering</v>
          </cell>
          <cell r="K877" t="str">
            <v>Intercompany</v>
          </cell>
          <cell r="L877" t="str">
            <v>Intercompany</v>
          </cell>
          <cell r="M877" t="str">
            <v>US_State</v>
          </cell>
          <cell r="N877" t="str">
            <v>CONUS</v>
          </cell>
          <cell r="O877">
            <v>42030</v>
          </cell>
          <cell r="P877">
            <v>44408</v>
          </cell>
          <cell r="Q877" t="str">
            <v>Sub</v>
          </cell>
          <cell r="R877" t="str">
            <v>T&amp;M</v>
          </cell>
          <cell r="S877">
            <v>0</v>
          </cell>
          <cell r="T877">
            <v>1</v>
          </cell>
          <cell r="U877" t="str">
            <v>EBITA</v>
          </cell>
          <cell r="V877" t="str">
            <v>Base</v>
          </cell>
          <cell r="W877" t="str">
            <v>05 Won</v>
          </cell>
          <cell r="X877" t="str">
            <v>Active</v>
          </cell>
          <cell r="Y877">
            <v>1</v>
          </cell>
          <cell r="Z877">
            <v>0</v>
          </cell>
          <cell r="AA877">
            <v>481175.77184000006</v>
          </cell>
          <cell r="AB877">
            <v>1.0000000125728548E-2</v>
          </cell>
          <cell r="AC877">
            <v>0</v>
          </cell>
          <cell r="AD877">
            <v>481175.78184000019</v>
          </cell>
          <cell r="AT877">
            <v>6.2010038142143502E-2</v>
          </cell>
          <cell r="AU877">
            <v>0.22626645139205179</v>
          </cell>
          <cell r="AV877">
            <v>0.26569616193812529</v>
          </cell>
          <cell r="AW877">
            <v>0.21779103922087351</v>
          </cell>
          <cell r="AX877">
            <v>0.20607971456814778</v>
          </cell>
          <cell r="AY877">
            <v>0.20707971456814778</v>
          </cell>
          <cell r="AZ877">
            <v>0.20807971456814778</v>
          </cell>
          <cell r="BA877">
            <v>0.20907971456814778</v>
          </cell>
          <cell r="BF877">
            <v>20931.519999999993</v>
          </cell>
          <cell r="BG877">
            <v>84314.599999999991</v>
          </cell>
          <cell r="BH877">
            <v>111211.84999999998</v>
          </cell>
          <cell r="BI877">
            <v>21666.859999999997</v>
          </cell>
          <cell r="BJ877">
            <v>20413.219999999998</v>
          </cell>
          <cell r="BK877">
            <v>1271.2899999999993</v>
          </cell>
          <cell r="BL877">
            <v>13074.655507594132</v>
          </cell>
          <cell r="BM877">
            <v>56426.025507594124</v>
          </cell>
          <cell r="BN877">
            <v>57818.540794909233</v>
          </cell>
          <cell r="BO877">
            <v>41542.638805623348</v>
          </cell>
          <cell r="BP877">
            <v>0</v>
          </cell>
          <cell r="BQ877">
            <v>0</v>
          </cell>
          <cell r="BR877">
            <v>155787.20510812671</v>
          </cell>
          <cell r="BT877">
            <v>0</v>
          </cell>
          <cell r="CA877" t="str">
            <v>000014 - EBITA - Base</v>
          </cell>
          <cell r="CC877" t="str">
            <v>000014 - EBITA - Base - IS4</v>
          </cell>
          <cell r="CD877" t="str">
            <v/>
          </cell>
          <cell r="CF877" t="str">
            <v>000014 - Base - IS4</v>
          </cell>
        </row>
        <row r="878">
          <cell r="D878">
            <v>864</v>
          </cell>
          <cell r="E878">
            <v>0</v>
          </cell>
          <cell r="F878">
            <v>0</v>
          </cell>
          <cell r="G878" t="str">
            <v>000014</v>
          </cell>
          <cell r="H878" t="str">
            <v>FBI ICA</v>
          </cell>
          <cell r="I878" t="str">
            <v>IS4</v>
          </cell>
          <cell r="J878" t="str">
            <v>IS4 Infrastructure and Engineering</v>
          </cell>
          <cell r="K878" t="str">
            <v>Intercompany</v>
          </cell>
          <cell r="L878" t="str">
            <v>Intercompany</v>
          </cell>
          <cell r="M878" t="str">
            <v>US_State</v>
          </cell>
          <cell r="N878" t="str">
            <v>CONUS</v>
          </cell>
          <cell r="O878">
            <v>0</v>
          </cell>
          <cell r="P878">
            <v>0</v>
          </cell>
          <cell r="Q878">
            <v>0</v>
          </cell>
          <cell r="R878" t="str">
            <v>T&amp;M</v>
          </cell>
          <cell r="S878">
            <v>0</v>
          </cell>
          <cell r="T878">
            <v>1</v>
          </cell>
          <cell r="U878" t="str">
            <v>EBITA</v>
          </cell>
          <cell r="V878" t="str">
            <v>Identified - Recompete</v>
          </cell>
          <cell r="W878">
            <v>0</v>
          </cell>
          <cell r="X878">
            <v>0</v>
          </cell>
          <cell r="Y878">
            <v>0</v>
          </cell>
          <cell r="Z878">
            <v>0</v>
          </cell>
          <cell r="AA878">
            <v>0</v>
          </cell>
          <cell r="AB878">
            <v>0</v>
          </cell>
          <cell r="AC878">
            <v>0</v>
          </cell>
          <cell r="AD878">
            <v>0</v>
          </cell>
          <cell r="AX878">
            <v>0</v>
          </cell>
          <cell r="AY878">
            <v>0</v>
          </cell>
          <cell r="AZ878">
            <v>0</v>
          </cell>
          <cell r="BA878">
            <v>0</v>
          </cell>
          <cell r="BI878">
            <v>0</v>
          </cell>
          <cell r="BJ878">
            <v>0</v>
          </cell>
          <cell r="BK878">
            <v>0</v>
          </cell>
          <cell r="BL878">
            <v>0</v>
          </cell>
          <cell r="BM878">
            <v>0</v>
          </cell>
          <cell r="BN878">
            <v>0</v>
          </cell>
          <cell r="BO878">
            <v>0</v>
          </cell>
          <cell r="BP878">
            <v>0</v>
          </cell>
          <cell r="BQ878">
            <v>0</v>
          </cell>
          <cell r="BR878">
            <v>0</v>
          </cell>
          <cell r="BT878">
            <v>0</v>
          </cell>
          <cell r="CA878" t="str">
            <v>000014 - EBITA - Identified - Recompete</v>
          </cell>
          <cell r="CC878" t="str">
            <v>000014 - EBITA - Identified - Recompete - IS4</v>
          </cell>
          <cell r="CD878" t="str">
            <v/>
          </cell>
          <cell r="CF878" t="str">
            <v>000014 - Identified - Recompete - IS4</v>
          </cell>
        </row>
        <row r="879">
          <cell r="D879">
            <v>865</v>
          </cell>
          <cell r="E879">
            <v>1</v>
          </cell>
          <cell r="F879">
            <v>1</v>
          </cell>
          <cell r="G879" t="str">
            <v>003037</v>
          </cell>
          <cell r="H879" t="str">
            <v>3037 - CACI USFF N43</v>
          </cell>
          <cell r="I879" t="str">
            <v>IS4</v>
          </cell>
          <cell r="J879" t="str">
            <v>IS4 Sustainment Engineering and Acquisition</v>
          </cell>
          <cell r="K879" t="str">
            <v>Navy</v>
          </cell>
          <cell r="L879" t="str">
            <v>DOD</v>
          </cell>
          <cell r="M879" t="str">
            <v>VA</v>
          </cell>
          <cell r="N879" t="str">
            <v>CONUS</v>
          </cell>
          <cell r="O879">
            <v>42276</v>
          </cell>
          <cell r="P879">
            <v>43736</v>
          </cell>
          <cell r="Q879" t="str">
            <v>Sub</v>
          </cell>
          <cell r="R879" t="str">
            <v>T&amp;M</v>
          </cell>
          <cell r="S879">
            <v>0</v>
          </cell>
          <cell r="T879">
            <v>1</v>
          </cell>
          <cell r="U879" t="str">
            <v>REVTOT</v>
          </cell>
          <cell r="V879" t="str">
            <v>Base</v>
          </cell>
          <cell r="W879" t="str">
            <v>05 Won</v>
          </cell>
          <cell r="X879" t="str">
            <v>Active</v>
          </cell>
          <cell r="Y879">
            <v>1</v>
          </cell>
          <cell r="Z879">
            <v>0</v>
          </cell>
          <cell r="AA879">
            <v>254288.49999999997</v>
          </cell>
          <cell r="AB879">
            <v>239859.46999999997</v>
          </cell>
          <cell r="AC879">
            <v>0</v>
          </cell>
          <cell r="AD879">
            <v>494147.97</v>
          </cell>
          <cell r="AE879">
            <v>-6.364717207752113E-2</v>
          </cell>
          <cell r="AF879">
            <v>7.6938993635517816E-2</v>
          </cell>
          <cell r="AG879">
            <v>-6.6515216227803098E-2</v>
          </cell>
          <cell r="AH879">
            <v>0.19184680669878418</v>
          </cell>
          <cell r="AI879">
            <v>0</v>
          </cell>
          <cell r="AJ879">
            <v>0</v>
          </cell>
          <cell r="AK879">
            <v>0</v>
          </cell>
          <cell r="BB879">
            <v>332205.56999999995</v>
          </cell>
          <cell r="BC879">
            <v>332205.56999999995</v>
          </cell>
          <cell r="BD879">
            <v>332205.56999999995</v>
          </cell>
          <cell r="BE879">
            <v>332205.56999999995</v>
          </cell>
          <cell r="BF879">
            <v>296106.94999999995</v>
          </cell>
          <cell r="BG879">
            <v>277260.58</v>
          </cell>
          <cell r="BH879">
            <v>298592.73</v>
          </cell>
          <cell r="BI879">
            <v>51157.849999999991</v>
          </cell>
          <cell r="BJ879">
            <v>70621.179999999993</v>
          </cell>
          <cell r="BK879">
            <v>73911.37</v>
          </cell>
          <cell r="BL879">
            <v>83041.37</v>
          </cell>
          <cell r="BM879">
            <v>278731.76999999996</v>
          </cell>
          <cell r="BN879">
            <v>332205.56999999995</v>
          </cell>
          <cell r="BO879">
            <v>161942.40000000002</v>
          </cell>
          <cell r="BP879">
            <v>0</v>
          </cell>
          <cell r="BQ879">
            <v>0</v>
          </cell>
          <cell r="BR879">
            <v>772879.73999999987</v>
          </cell>
          <cell r="BT879">
            <v>0</v>
          </cell>
          <cell r="CA879" t="str">
            <v>003037 - REVTOT - Base</v>
          </cell>
          <cell r="CC879" t="str">
            <v>003037 - REVTOT - Base - IS4</v>
          </cell>
          <cell r="CD879" t="str">
            <v/>
          </cell>
          <cell r="CF879" t="str">
            <v>003037 - Base - IS4</v>
          </cell>
        </row>
        <row r="880">
          <cell r="D880">
            <v>866</v>
          </cell>
          <cell r="E880">
            <v>1</v>
          </cell>
          <cell r="F880">
            <v>2</v>
          </cell>
          <cell r="G880" t="str">
            <v>003037</v>
          </cell>
          <cell r="H880" t="str">
            <v>3037 - CACI USFF N43</v>
          </cell>
          <cell r="I880" t="str">
            <v>IS4</v>
          </cell>
          <cell r="J880" t="str">
            <v>IS4 Sustainment Engineering and Acquisition</v>
          </cell>
          <cell r="K880" t="str">
            <v>Navy</v>
          </cell>
          <cell r="L880" t="str">
            <v>DOD</v>
          </cell>
          <cell r="M880" t="str">
            <v>VA</v>
          </cell>
          <cell r="N880" t="str">
            <v>CONUS</v>
          </cell>
          <cell r="O880">
            <v>0</v>
          </cell>
          <cell r="P880">
            <v>0</v>
          </cell>
          <cell r="Q880">
            <v>0</v>
          </cell>
          <cell r="R880" t="str">
            <v>T&amp;M</v>
          </cell>
          <cell r="S880">
            <v>0</v>
          </cell>
          <cell r="T880">
            <v>1</v>
          </cell>
          <cell r="U880" t="str">
            <v>REVTOT</v>
          </cell>
          <cell r="V880" t="str">
            <v>Identified - Recompete</v>
          </cell>
          <cell r="W880">
            <v>0</v>
          </cell>
          <cell r="X880">
            <v>0</v>
          </cell>
          <cell r="Y880">
            <v>0</v>
          </cell>
          <cell r="Z880">
            <v>0</v>
          </cell>
          <cell r="AA880">
            <v>0</v>
          </cell>
          <cell r="AB880">
            <v>0</v>
          </cell>
          <cell r="AC880">
            <v>0</v>
          </cell>
          <cell r="AD880">
            <v>0</v>
          </cell>
          <cell r="AI880">
            <v>0</v>
          </cell>
          <cell r="AJ880">
            <v>0</v>
          </cell>
          <cell r="AK880">
            <v>0</v>
          </cell>
          <cell r="BB880">
            <v>0</v>
          </cell>
          <cell r="BC880">
            <v>0</v>
          </cell>
          <cell r="BD880">
            <v>0</v>
          </cell>
          <cell r="BE880">
            <v>0</v>
          </cell>
          <cell r="BI880">
            <v>0</v>
          </cell>
          <cell r="BJ880">
            <v>0</v>
          </cell>
          <cell r="BK880">
            <v>0</v>
          </cell>
          <cell r="BL880">
            <v>0</v>
          </cell>
          <cell r="BM880">
            <v>0</v>
          </cell>
          <cell r="BN880">
            <v>0</v>
          </cell>
          <cell r="BO880">
            <v>0</v>
          </cell>
          <cell r="BP880">
            <v>0</v>
          </cell>
          <cell r="BQ880">
            <v>0</v>
          </cell>
          <cell r="BR880">
            <v>0</v>
          </cell>
          <cell r="BT880">
            <v>0</v>
          </cell>
          <cell r="CA880" t="str">
            <v>003037 - REVTOT - Identified - Recompete</v>
          </cell>
          <cell r="CC880" t="str">
            <v>003037 - REVTOT - Identified - Recompete - IS4</v>
          </cell>
          <cell r="CD880" t="str">
            <v/>
          </cell>
          <cell r="CF880" t="str">
            <v>003037 - Identified - Recompete - IS4</v>
          </cell>
        </row>
        <row r="881">
          <cell r="D881">
            <v>867</v>
          </cell>
          <cell r="E881">
            <v>2</v>
          </cell>
          <cell r="F881">
            <v>3</v>
          </cell>
          <cell r="G881" t="str">
            <v>003037</v>
          </cell>
          <cell r="H881" t="str">
            <v>3037 - CACI USFF N43</v>
          </cell>
          <cell r="I881" t="str">
            <v>IS4</v>
          </cell>
          <cell r="J881" t="str">
            <v>IS4 Sustainment Engineering and Acquisition</v>
          </cell>
          <cell r="K881" t="str">
            <v>Navy</v>
          </cell>
          <cell r="L881" t="str">
            <v>DOD</v>
          </cell>
          <cell r="M881" t="str">
            <v>VA</v>
          </cell>
          <cell r="N881" t="str">
            <v>CONUS</v>
          </cell>
          <cell r="O881">
            <v>42276</v>
          </cell>
          <cell r="P881">
            <v>43736</v>
          </cell>
          <cell r="Q881" t="str">
            <v>Sub</v>
          </cell>
          <cell r="R881" t="str">
            <v>T&amp;M</v>
          </cell>
          <cell r="S881">
            <v>0</v>
          </cell>
          <cell r="T881">
            <v>1</v>
          </cell>
          <cell r="U881" t="str">
            <v>CONTRACT</v>
          </cell>
          <cell r="V881" t="str">
            <v>Base</v>
          </cell>
          <cell r="W881" t="str">
            <v>05 Won</v>
          </cell>
          <cell r="X881" t="str">
            <v>Active</v>
          </cell>
          <cell r="Y881">
            <v>1</v>
          </cell>
          <cell r="Z881">
            <v>0</v>
          </cell>
          <cell r="AA881">
            <v>254288.49999999997</v>
          </cell>
          <cell r="AB881">
            <v>239859.46999999997</v>
          </cell>
          <cell r="AC881">
            <v>0</v>
          </cell>
          <cell r="AD881">
            <v>494147.97</v>
          </cell>
          <cell r="AL881">
            <v>0.2399355368051983</v>
          </cell>
          <cell r="AM881">
            <v>0.17935319186016274</v>
          </cell>
          <cell r="AN881">
            <v>0.19008312760997231</v>
          </cell>
          <cell r="AO881">
            <v>0.22384355396587913</v>
          </cell>
          <cell r="AP881">
            <v>0.19189900816533573</v>
          </cell>
          <cell r="AQ881">
            <v>0.19189900816533573</v>
          </cell>
          <cell r="AR881">
            <v>0.19189900816533573</v>
          </cell>
          <cell r="AS881">
            <v>0.19189900816533573</v>
          </cell>
          <cell r="BF881">
            <v>71046.58</v>
          </cell>
          <cell r="BG881">
            <v>49727.570000000007</v>
          </cell>
          <cell r="BH881">
            <v>56757.440000000002</v>
          </cell>
          <cell r="BI881">
            <v>13624.130000000001</v>
          </cell>
          <cell r="BJ881">
            <v>14507.36</v>
          </cell>
          <cell r="BK881">
            <v>14926.179999999997</v>
          </cell>
          <cell r="BL881">
            <v>19334.64</v>
          </cell>
          <cell r="BM881">
            <v>62392.31</v>
          </cell>
          <cell r="BN881">
            <v>63749.919390000003</v>
          </cell>
          <cell r="BO881">
            <v>31076.585939914068</v>
          </cell>
          <cell r="BP881">
            <v>0</v>
          </cell>
          <cell r="BQ881">
            <v>0</v>
          </cell>
          <cell r="BR881">
            <v>157218.81532991407</v>
          </cell>
          <cell r="BT881">
            <v>0</v>
          </cell>
          <cell r="CA881" t="str">
            <v>003037 - CONTRACT - Base</v>
          </cell>
          <cell r="CC881" t="str">
            <v>003037 - CONTRACT - Base - IS4</v>
          </cell>
          <cell r="CD881" t="str">
            <v/>
          </cell>
          <cell r="CF881" t="str">
            <v>003037 - Base - IS4</v>
          </cell>
        </row>
        <row r="882">
          <cell r="D882">
            <v>868</v>
          </cell>
          <cell r="E882">
            <v>2</v>
          </cell>
          <cell r="F882">
            <v>4</v>
          </cell>
          <cell r="G882" t="str">
            <v>003037</v>
          </cell>
          <cell r="H882" t="str">
            <v>3037 - CACI USFF N43</v>
          </cell>
          <cell r="I882" t="str">
            <v>IS4</v>
          </cell>
          <cell r="J882" t="str">
            <v>IS4 Sustainment Engineering and Acquisition</v>
          </cell>
          <cell r="K882" t="str">
            <v>Navy</v>
          </cell>
          <cell r="L882" t="str">
            <v>DOD</v>
          </cell>
          <cell r="M882" t="str">
            <v>VA</v>
          </cell>
          <cell r="N882" t="str">
            <v>CONUS</v>
          </cell>
          <cell r="O882">
            <v>0</v>
          </cell>
          <cell r="P882">
            <v>0</v>
          </cell>
          <cell r="Q882">
            <v>0</v>
          </cell>
          <cell r="R882" t="str">
            <v>T&amp;M</v>
          </cell>
          <cell r="S882">
            <v>0</v>
          </cell>
          <cell r="T882">
            <v>1</v>
          </cell>
          <cell r="U882" t="str">
            <v>CONTRACT</v>
          </cell>
          <cell r="V882" t="str">
            <v>Identified - Recompete</v>
          </cell>
          <cell r="W882">
            <v>0</v>
          </cell>
          <cell r="X882">
            <v>0</v>
          </cell>
          <cell r="Y882">
            <v>0</v>
          </cell>
          <cell r="Z882">
            <v>0</v>
          </cell>
          <cell r="AA882">
            <v>0</v>
          </cell>
          <cell r="AB882">
            <v>0</v>
          </cell>
          <cell r="AC882">
            <v>0</v>
          </cell>
          <cell r="AD882">
            <v>0</v>
          </cell>
          <cell r="AP882">
            <v>0</v>
          </cell>
          <cell r="AQ882">
            <v>0</v>
          </cell>
          <cell r="AR882">
            <v>0</v>
          </cell>
          <cell r="AS882">
            <v>0</v>
          </cell>
          <cell r="BI882">
            <v>0</v>
          </cell>
          <cell r="BJ882">
            <v>0</v>
          </cell>
          <cell r="BK882">
            <v>0</v>
          </cell>
          <cell r="BL882">
            <v>0</v>
          </cell>
          <cell r="BM882">
            <v>0</v>
          </cell>
          <cell r="BN882">
            <v>0</v>
          </cell>
          <cell r="BO882">
            <v>0</v>
          </cell>
          <cell r="BP882">
            <v>0</v>
          </cell>
          <cell r="BQ882">
            <v>0</v>
          </cell>
          <cell r="BR882">
            <v>0</v>
          </cell>
          <cell r="BT882">
            <v>0</v>
          </cell>
          <cell r="CA882" t="str">
            <v>003037 - CONTRACT - Identified - Recompete</v>
          </cell>
          <cell r="CC882" t="str">
            <v>003037 - CONTRACT - Identified - Recompete - IS4</v>
          </cell>
          <cell r="CD882" t="str">
            <v/>
          </cell>
          <cell r="CF882" t="str">
            <v>003037 - Identified - Recompete - IS4</v>
          </cell>
        </row>
        <row r="883">
          <cell r="D883">
            <v>869</v>
          </cell>
          <cell r="E883">
            <v>0</v>
          </cell>
          <cell r="F883">
            <v>5</v>
          </cell>
          <cell r="G883" t="str">
            <v>003037</v>
          </cell>
          <cell r="H883" t="str">
            <v>3037 - CACI USFF N43</v>
          </cell>
          <cell r="I883" t="str">
            <v>IS4</v>
          </cell>
          <cell r="J883" t="str">
            <v>IS4 Sustainment Engineering and Acquisition</v>
          </cell>
          <cell r="K883" t="str">
            <v>Navy</v>
          </cell>
          <cell r="L883" t="str">
            <v>DOD</v>
          </cell>
          <cell r="M883" t="str">
            <v>VA</v>
          </cell>
          <cell r="N883" t="str">
            <v>CONUS</v>
          </cell>
          <cell r="O883">
            <v>42276</v>
          </cell>
          <cell r="P883">
            <v>43736</v>
          </cell>
          <cell r="Q883" t="str">
            <v>Sub</v>
          </cell>
          <cell r="R883" t="str">
            <v>T&amp;M</v>
          </cell>
          <cell r="S883">
            <v>0</v>
          </cell>
          <cell r="T883">
            <v>1</v>
          </cell>
          <cell r="U883" t="str">
            <v>EBITA</v>
          </cell>
          <cell r="V883" t="str">
            <v>Base</v>
          </cell>
          <cell r="W883" t="str">
            <v>05 Won</v>
          </cell>
          <cell r="X883" t="str">
            <v>Active</v>
          </cell>
          <cell r="Y883">
            <v>1</v>
          </cell>
          <cell r="Z883">
            <v>0</v>
          </cell>
          <cell r="AA883">
            <v>254288.49999999997</v>
          </cell>
          <cell r="AB883">
            <v>239859.46999999997</v>
          </cell>
          <cell r="AC883">
            <v>0</v>
          </cell>
          <cell r="AD883">
            <v>494147.97</v>
          </cell>
          <cell r="AT883">
            <v>6.2153252397486779E-2</v>
          </cell>
          <cell r="AU883">
            <v>5.1830483799752566E-2</v>
          </cell>
          <cell r="AV883">
            <v>7.3925711453189102E-2</v>
          </cell>
          <cell r="AW883">
            <v>0.11304000258025845</v>
          </cell>
          <cell r="AX883">
            <v>7.8511556840683824E-2</v>
          </cell>
          <cell r="AY883">
            <v>7.9511556840683825E-2</v>
          </cell>
          <cell r="AZ883">
            <v>8.0511556840683826E-2</v>
          </cell>
          <cell r="BA883">
            <v>8.1511556840683827E-2</v>
          </cell>
          <cell r="BF883">
            <v>18404.009999999995</v>
          </cell>
          <cell r="BG883">
            <v>14370.550000000001</v>
          </cell>
          <cell r="BH883">
            <v>22073.68</v>
          </cell>
          <cell r="BI883">
            <v>8183.6600000000008</v>
          </cell>
          <cell r="BJ883">
            <v>6644.2300000000005</v>
          </cell>
          <cell r="BK883">
            <v>6578.7199999999975</v>
          </cell>
          <cell r="BL883">
            <v>10101.23</v>
          </cell>
          <cell r="BM883">
            <v>31507.84</v>
          </cell>
          <cell r="BN883">
            <v>26081.976491846766</v>
          </cell>
          <cell r="BO883">
            <v>12876.292342516757</v>
          </cell>
          <cell r="BP883">
            <v>0</v>
          </cell>
          <cell r="BQ883">
            <v>0</v>
          </cell>
          <cell r="BR883">
            <v>70466.10883436352</v>
          </cell>
          <cell r="BT883">
            <v>0</v>
          </cell>
          <cell r="CA883" t="str">
            <v>003037 - EBITA - Base</v>
          </cell>
          <cell r="CC883" t="str">
            <v>003037 - EBITA - Base - IS4</v>
          </cell>
          <cell r="CD883" t="str">
            <v/>
          </cell>
          <cell r="CF883" t="str">
            <v>003037 - Base - IS4</v>
          </cell>
        </row>
        <row r="884">
          <cell r="D884">
            <v>870</v>
          </cell>
          <cell r="E884">
            <v>0</v>
          </cell>
          <cell r="F884">
            <v>0</v>
          </cell>
          <cell r="G884" t="str">
            <v>003037</v>
          </cell>
          <cell r="H884" t="str">
            <v>3037 - CACI USFF N43</v>
          </cell>
          <cell r="I884" t="str">
            <v>IS4</v>
          </cell>
          <cell r="J884" t="str">
            <v>IS4 Sustainment Engineering and Acquisition</v>
          </cell>
          <cell r="K884" t="str">
            <v>Navy</v>
          </cell>
          <cell r="L884" t="str">
            <v>DOD</v>
          </cell>
          <cell r="M884" t="str">
            <v>VA</v>
          </cell>
          <cell r="N884" t="str">
            <v>CONUS</v>
          </cell>
          <cell r="O884">
            <v>0</v>
          </cell>
          <cell r="P884">
            <v>0</v>
          </cell>
          <cell r="Q884">
            <v>0</v>
          </cell>
          <cell r="R884" t="str">
            <v>T&amp;M</v>
          </cell>
          <cell r="S884">
            <v>0</v>
          </cell>
          <cell r="T884">
            <v>1</v>
          </cell>
          <cell r="U884" t="str">
            <v>EBITA</v>
          </cell>
          <cell r="V884" t="str">
            <v>Identified - Recompete</v>
          </cell>
          <cell r="W884">
            <v>0</v>
          </cell>
          <cell r="X884">
            <v>0</v>
          </cell>
          <cell r="Y884">
            <v>0</v>
          </cell>
          <cell r="Z884">
            <v>0</v>
          </cell>
          <cell r="AA884">
            <v>0</v>
          </cell>
          <cell r="AB884">
            <v>0</v>
          </cell>
          <cell r="AC884">
            <v>0</v>
          </cell>
          <cell r="AD884">
            <v>0</v>
          </cell>
          <cell r="AX884">
            <v>0</v>
          </cell>
          <cell r="AY884">
            <v>0</v>
          </cell>
          <cell r="AZ884">
            <v>0</v>
          </cell>
          <cell r="BA884">
            <v>0</v>
          </cell>
          <cell r="BI884">
            <v>0</v>
          </cell>
          <cell r="BJ884">
            <v>0</v>
          </cell>
          <cell r="BK884">
            <v>0</v>
          </cell>
          <cell r="BL884">
            <v>0</v>
          </cell>
          <cell r="BM884">
            <v>0</v>
          </cell>
          <cell r="BN884">
            <v>0</v>
          </cell>
          <cell r="BO884">
            <v>0</v>
          </cell>
          <cell r="BP884">
            <v>0</v>
          </cell>
          <cell r="BQ884">
            <v>0</v>
          </cell>
          <cell r="BR884">
            <v>0</v>
          </cell>
          <cell r="BT884">
            <v>0</v>
          </cell>
          <cell r="CA884" t="str">
            <v>003037 - EBITA - Identified - Recompete</v>
          </cell>
          <cell r="CC884" t="str">
            <v>003037 - EBITA - Identified - Recompete - IS4</v>
          </cell>
          <cell r="CD884" t="str">
            <v/>
          </cell>
          <cell r="CF884" t="str">
            <v>003037 - Identified - Recompete - IS4</v>
          </cell>
        </row>
        <row r="885">
          <cell r="D885">
            <v>871</v>
          </cell>
          <cell r="E885">
            <v>1</v>
          </cell>
          <cell r="F885">
            <v>1</v>
          </cell>
          <cell r="G885" t="str">
            <v>SEA1000 Total</v>
          </cell>
          <cell r="H885" t="str">
            <v>Total SEA1000</v>
          </cell>
          <cell r="I885" t="str">
            <v>IS4</v>
          </cell>
          <cell r="J885" t="str">
            <v>IS4 Sustainment Engineering and Acquisition</v>
          </cell>
          <cell r="K885" t="str">
            <v>Foreign Government</v>
          </cell>
          <cell r="L885" t="str">
            <v>Non-US Gov't</v>
          </cell>
          <cell r="M885" t="str">
            <v>Australia</v>
          </cell>
          <cell r="N885" t="str">
            <v>OCONUS</v>
          </cell>
          <cell r="O885">
            <v>42870</v>
          </cell>
          <cell r="P885">
            <v>44012</v>
          </cell>
          <cell r="Q885" t="str">
            <v>Sub</v>
          </cell>
          <cell r="R885" t="str">
            <v>T&amp;M</v>
          </cell>
          <cell r="S885">
            <v>0</v>
          </cell>
          <cell r="T885">
            <v>1</v>
          </cell>
          <cell r="U885" t="str">
            <v>REVTOT</v>
          </cell>
          <cell r="V885" t="str">
            <v>Base</v>
          </cell>
          <cell r="W885" t="str">
            <v>05 Won</v>
          </cell>
          <cell r="X885" t="str">
            <v>Active</v>
          </cell>
          <cell r="Y885">
            <v>1</v>
          </cell>
          <cell r="Z885">
            <v>0</v>
          </cell>
          <cell r="AA885">
            <v>-76987.63</v>
          </cell>
          <cell r="AB885">
            <v>0</v>
          </cell>
          <cell r="AC885">
            <v>0</v>
          </cell>
          <cell r="AD885">
            <v>-76987.63</v>
          </cell>
          <cell r="AE885">
            <v>0</v>
          </cell>
          <cell r="AF885">
            <v>0.77498634457294302</v>
          </cell>
          <cell r="AG885">
            <v>0.3829869298197135</v>
          </cell>
          <cell r="AH885">
            <v>-1</v>
          </cell>
          <cell r="AI885">
            <v>0</v>
          </cell>
          <cell r="AJ885">
            <v>0</v>
          </cell>
          <cell r="AK885">
            <v>0</v>
          </cell>
          <cell r="BB885">
            <v>0</v>
          </cell>
          <cell r="BC885">
            <v>0</v>
          </cell>
          <cell r="BD885">
            <v>0</v>
          </cell>
          <cell r="BE885">
            <v>0</v>
          </cell>
          <cell r="BF885">
            <v>0</v>
          </cell>
          <cell r="BG885">
            <v>58310.15</v>
          </cell>
          <cell r="BH885">
            <v>103499.72</v>
          </cell>
          <cell r="BI885">
            <v>26420</v>
          </cell>
          <cell r="BJ885">
            <v>-13114.760000000002</v>
          </cell>
          <cell r="BK885">
            <v>103833.52</v>
          </cell>
          <cell r="BL885">
            <v>26000</v>
          </cell>
          <cell r="BM885">
            <v>143138.76</v>
          </cell>
          <cell r="BN885">
            <v>0</v>
          </cell>
          <cell r="BO885">
            <v>0</v>
          </cell>
          <cell r="BP885">
            <v>0</v>
          </cell>
          <cell r="BQ885">
            <v>0</v>
          </cell>
          <cell r="BR885">
            <v>143138.76</v>
          </cell>
          <cell r="BT885">
            <v>0</v>
          </cell>
          <cell r="CA885" t="str">
            <v>SEA1000 Total - REVTOT - Base</v>
          </cell>
          <cell r="CC885" t="str">
            <v>SEA1000 Total - REVTOT - Base - IS4</v>
          </cell>
          <cell r="CD885" t="str">
            <v/>
          </cell>
          <cell r="CF885" t="str">
            <v>SEA1000 Total - Base - IS4</v>
          </cell>
        </row>
        <row r="886">
          <cell r="D886">
            <v>872</v>
          </cell>
          <cell r="E886">
            <v>1</v>
          </cell>
          <cell r="F886">
            <v>2</v>
          </cell>
          <cell r="G886" t="str">
            <v>SEA1000 Total</v>
          </cell>
          <cell r="H886" t="str">
            <v>Total SEA1000</v>
          </cell>
          <cell r="I886" t="str">
            <v>IS4</v>
          </cell>
          <cell r="J886" t="str">
            <v>IS4 Sustainment Engineering and Acquisition</v>
          </cell>
          <cell r="K886" t="str">
            <v>Foreign Government</v>
          </cell>
          <cell r="L886" t="str">
            <v>Non-US Gov't</v>
          </cell>
          <cell r="M886" t="str">
            <v>Australia</v>
          </cell>
          <cell r="N886" t="str">
            <v>OCONUS</v>
          </cell>
          <cell r="O886">
            <v>0</v>
          </cell>
          <cell r="P886">
            <v>0</v>
          </cell>
          <cell r="Q886">
            <v>0</v>
          </cell>
          <cell r="R886" t="str">
            <v>T&amp;M</v>
          </cell>
          <cell r="S886">
            <v>0</v>
          </cell>
          <cell r="T886">
            <v>1</v>
          </cell>
          <cell r="U886" t="str">
            <v>REVTOT</v>
          </cell>
          <cell r="V886" t="str">
            <v>Identified - Recompete</v>
          </cell>
          <cell r="W886">
            <v>0</v>
          </cell>
          <cell r="X886">
            <v>0</v>
          </cell>
          <cell r="Y886">
            <v>0</v>
          </cell>
          <cell r="Z886">
            <v>0</v>
          </cell>
          <cell r="AA886">
            <v>0</v>
          </cell>
          <cell r="AB886">
            <v>0</v>
          </cell>
          <cell r="AC886">
            <v>0</v>
          </cell>
          <cell r="AD886">
            <v>0</v>
          </cell>
          <cell r="AI886">
            <v>0</v>
          </cell>
          <cell r="AJ886">
            <v>0</v>
          </cell>
          <cell r="AK886">
            <v>0</v>
          </cell>
          <cell r="BB886">
            <v>0</v>
          </cell>
          <cell r="BC886">
            <v>0</v>
          </cell>
          <cell r="BD886">
            <v>0</v>
          </cell>
          <cell r="BE886">
            <v>0</v>
          </cell>
          <cell r="BI886">
            <v>0</v>
          </cell>
          <cell r="BJ886">
            <v>0</v>
          </cell>
          <cell r="BK886">
            <v>0</v>
          </cell>
          <cell r="BL886">
            <v>0</v>
          </cell>
          <cell r="BM886">
            <v>0</v>
          </cell>
          <cell r="BN886">
            <v>0</v>
          </cell>
          <cell r="BO886">
            <v>0</v>
          </cell>
          <cell r="BP886">
            <v>0</v>
          </cell>
          <cell r="BQ886">
            <v>0</v>
          </cell>
          <cell r="BR886">
            <v>0</v>
          </cell>
          <cell r="BT886">
            <v>0</v>
          </cell>
          <cell r="CA886" t="str">
            <v>SEA1000 Total - REVTOT - Identified - Recompete</v>
          </cell>
          <cell r="CC886" t="str">
            <v>SEA1000 Total - REVTOT - Identified - Recompete - IS4</v>
          </cell>
          <cell r="CD886" t="str">
            <v/>
          </cell>
          <cell r="CF886" t="str">
            <v>SEA1000 Total - Identified - Recompete - IS4</v>
          </cell>
        </row>
        <row r="887">
          <cell r="D887">
            <v>873</v>
          </cell>
          <cell r="E887">
            <v>2</v>
          </cell>
          <cell r="F887">
            <v>3</v>
          </cell>
          <cell r="G887" t="str">
            <v>SEA1000 Total</v>
          </cell>
          <cell r="H887" t="str">
            <v>Total SEA1000</v>
          </cell>
          <cell r="I887" t="str">
            <v>IS4</v>
          </cell>
          <cell r="J887" t="str">
            <v>IS4 Sustainment Engineering and Acquisition</v>
          </cell>
          <cell r="K887" t="str">
            <v>Foreign Government</v>
          </cell>
          <cell r="L887" t="str">
            <v>Non-US Gov't</v>
          </cell>
          <cell r="M887" t="str">
            <v>Australia</v>
          </cell>
          <cell r="N887" t="str">
            <v>OCONUS</v>
          </cell>
          <cell r="O887">
            <v>42870</v>
          </cell>
          <cell r="P887">
            <v>44012</v>
          </cell>
          <cell r="Q887" t="str">
            <v>Sub</v>
          </cell>
          <cell r="R887" t="str">
            <v>T&amp;M</v>
          </cell>
          <cell r="S887">
            <v>0</v>
          </cell>
          <cell r="T887">
            <v>1</v>
          </cell>
          <cell r="U887" t="str">
            <v>CONTRACT</v>
          </cell>
          <cell r="V887" t="str">
            <v>Base</v>
          </cell>
          <cell r="W887" t="str">
            <v>05 Won</v>
          </cell>
          <cell r="X887" t="str">
            <v>Active</v>
          </cell>
          <cell r="Y887">
            <v>1</v>
          </cell>
          <cell r="Z887">
            <v>0</v>
          </cell>
          <cell r="AA887">
            <v>-76987.63</v>
          </cell>
          <cell r="AB887">
            <v>0</v>
          </cell>
          <cell r="AC887">
            <v>0</v>
          </cell>
          <cell r="AD887">
            <v>-76987.63</v>
          </cell>
          <cell r="AL887">
            <v>0</v>
          </cell>
          <cell r="AM887">
            <v>1.6950287385643839</v>
          </cell>
          <cell r="AN887">
            <v>2.3405477811920652</v>
          </cell>
          <cell r="AO887">
            <v>1.6229446168179744</v>
          </cell>
          <cell r="AP887">
            <v>1.8802829184705636</v>
          </cell>
          <cell r="AQ887">
            <v>1.8802829184705636</v>
          </cell>
          <cell r="AR887">
            <v>1.8802829184705636</v>
          </cell>
          <cell r="AS887">
            <v>1.8802829184705636</v>
          </cell>
          <cell r="BF887">
            <v>0</v>
          </cell>
          <cell r="BG887">
            <v>98837.38</v>
          </cell>
          <cell r="BH887">
            <v>242246.04000000004</v>
          </cell>
          <cell r="BI887">
            <v>73790.100000000006</v>
          </cell>
          <cell r="BJ887">
            <v>15390.53</v>
          </cell>
          <cell r="BK887">
            <v>133125.65000000002</v>
          </cell>
          <cell r="BL887">
            <v>10000</v>
          </cell>
          <cell r="BM887">
            <v>232306.28000000003</v>
          </cell>
          <cell r="BN887">
            <v>0</v>
          </cell>
          <cell r="BO887">
            <v>0</v>
          </cell>
          <cell r="BP887">
            <v>0</v>
          </cell>
          <cell r="BQ887">
            <v>0</v>
          </cell>
          <cell r="BR887">
            <v>232306.28000000003</v>
          </cell>
          <cell r="BT887">
            <v>0</v>
          </cell>
          <cell r="CA887" t="str">
            <v>SEA1000 Total - CONTRACT - Base</v>
          </cell>
          <cell r="CC887" t="str">
            <v>SEA1000 Total - CONTRACT - Base - IS4</v>
          </cell>
          <cell r="CD887" t="str">
            <v/>
          </cell>
          <cell r="CF887" t="str">
            <v>SEA1000 Total - Base - IS4</v>
          </cell>
        </row>
        <row r="888">
          <cell r="D888">
            <v>874</v>
          </cell>
          <cell r="E888">
            <v>2</v>
          </cell>
          <cell r="F888">
            <v>4</v>
          </cell>
          <cell r="G888" t="str">
            <v>SEA1000 Total</v>
          </cell>
          <cell r="H888" t="str">
            <v>Total SEA1000</v>
          </cell>
          <cell r="I888" t="str">
            <v>IS4</v>
          </cell>
          <cell r="J888" t="str">
            <v>IS4 Sustainment Engineering and Acquisition</v>
          </cell>
          <cell r="K888" t="str">
            <v>Foreign Government</v>
          </cell>
          <cell r="L888" t="str">
            <v>Non-US Gov't</v>
          </cell>
          <cell r="M888" t="str">
            <v>Australia</v>
          </cell>
          <cell r="N888" t="str">
            <v>OCONUS</v>
          </cell>
          <cell r="O888">
            <v>0</v>
          </cell>
          <cell r="P888">
            <v>0</v>
          </cell>
          <cell r="Q888">
            <v>0</v>
          </cell>
          <cell r="R888" t="str">
            <v>T&amp;M</v>
          </cell>
          <cell r="S888">
            <v>0</v>
          </cell>
          <cell r="T888">
            <v>1</v>
          </cell>
          <cell r="U888" t="str">
            <v>CONTRACT</v>
          </cell>
          <cell r="V888" t="str">
            <v>Identified - Recompete</v>
          </cell>
          <cell r="W888">
            <v>0</v>
          </cell>
          <cell r="X888">
            <v>0</v>
          </cell>
          <cell r="Y888">
            <v>0</v>
          </cell>
          <cell r="Z888">
            <v>0</v>
          </cell>
          <cell r="AA888">
            <v>0</v>
          </cell>
          <cell r="AB888">
            <v>0</v>
          </cell>
          <cell r="AC888">
            <v>0</v>
          </cell>
          <cell r="AD888">
            <v>0</v>
          </cell>
          <cell r="AP888">
            <v>0</v>
          </cell>
          <cell r="AQ888">
            <v>0</v>
          </cell>
          <cell r="AR888">
            <v>0</v>
          </cell>
          <cell r="AS888">
            <v>0</v>
          </cell>
          <cell r="BI888">
            <v>0</v>
          </cell>
          <cell r="BJ888">
            <v>0</v>
          </cell>
          <cell r="BK888">
            <v>0</v>
          </cell>
          <cell r="BL888">
            <v>0</v>
          </cell>
          <cell r="BM888">
            <v>0</v>
          </cell>
          <cell r="BN888">
            <v>0</v>
          </cell>
          <cell r="BO888">
            <v>0</v>
          </cell>
          <cell r="BP888">
            <v>0</v>
          </cell>
          <cell r="BQ888">
            <v>0</v>
          </cell>
          <cell r="BR888">
            <v>0</v>
          </cell>
          <cell r="BT888">
            <v>0</v>
          </cell>
          <cell r="CA888" t="str">
            <v>SEA1000 Total - CONTRACT - Identified - Recompete</v>
          </cell>
          <cell r="CC888" t="str">
            <v>SEA1000 Total - CONTRACT - Identified - Recompete - IS4</v>
          </cell>
          <cell r="CD888" t="str">
            <v/>
          </cell>
          <cell r="CF888" t="str">
            <v>SEA1000 Total - Identified - Recompete - IS4</v>
          </cell>
        </row>
        <row r="889">
          <cell r="D889">
            <v>875</v>
          </cell>
          <cell r="E889">
            <v>0</v>
          </cell>
          <cell r="F889">
            <v>5</v>
          </cell>
          <cell r="G889" t="str">
            <v>SEA1000 Total</v>
          </cell>
          <cell r="H889" t="str">
            <v>Total SEA1000</v>
          </cell>
          <cell r="I889" t="str">
            <v>IS4</v>
          </cell>
          <cell r="J889" t="str">
            <v>IS4 Sustainment Engineering and Acquisition</v>
          </cell>
          <cell r="K889" t="str">
            <v>Foreign Government</v>
          </cell>
          <cell r="L889" t="str">
            <v>Non-US Gov't</v>
          </cell>
          <cell r="M889" t="str">
            <v>Australia</v>
          </cell>
          <cell r="N889" t="str">
            <v>OCONUS</v>
          </cell>
          <cell r="O889">
            <v>42870</v>
          </cell>
          <cell r="P889">
            <v>44012</v>
          </cell>
          <cell r="Q889" t="str">
            <v>Sub</v>
          </cell>
          <cell r="R889" t="str">
            <v>T&amp;M</v>
          </cell>
          <cell r="S889">
            <v>0</v>
          </cell>
          <cell r="T889">
            <v>1</v>
          </cell>
          <cell r="U889" t="str">
            <v>EBITA</v>
          </cell>
          <cell r="V889" t="str">
            <v>Base</v>
          </cell>
          <cell r="W889" t="str">
            <v>05 Won</v>
          </cell>
          <cell r="X889" t="str">
            <v>Active</v>
          </cell>
          <cell r="Y889">
            <v>1</v>
          </cell>
          <cell r="Z889">
            <v>0</v>
          </cell>
          <cell r="AA889">
            <v>-76987.63</v>
          </cell>
          <cell r="AB889">
            <v>0</v>
          </cell>
          <cell r="AC889">
            <v>0</v>
          </cell>
          <cell r="AD889">
            <v>-76987.63</v>
          </cell>
          <cell r="AT889">
            <v>0</v>
          </cell>
          <cell r="AU889">
            <v>1.0144710655006033</v>
          </cell>
          <cell r="AV889">
            <v>1.164516097241616</v>
          </cell>
          <cell r="AW889">
            <v>0.98899138150980204</v>
          </cell>
          <cell r="AX889">
            <v>1.0544366066835584</v>
          </cell>
          <cell r="AY889">
            <v>1.0554366066835585</v>
          </cell>
          <cell r="AZ889">
            <v>1.0564366066835584</v>
          </cell>
          <cell r="BA889">
            <v>1.0574366066835583</v>
          </cell>
          <cell r="BF889">
            <v>0</v>
          </cell>
          <cell r="BG889">
            <v>59153.96</v>
          </cell>
          <cell r="BH889">
            <v>120527.09000000003</v>
          </cell>
          <cell r="BI889">
            <v>43342.5</v>
          </cell>
          <cell r="BJ889">
            <v>-15686.729999999998</v>
          </cell>
          <cell r="BK889">
            <v>103907.23000000001</v>
          </cell>
          <cell r="BL889">
            <v>10000</v>
          </cell>
          <cell r="BM889">
            <v>141563</v>
          </cell>
          <cell r="BN889">
            <v>0</v>
          </cell>
          <cell r="BO889">
            <v>0</v>
          </cell>
          <cell r="BP889">
            <v>0</v>
          </cell>
          <cell r="BQ889">
            <v>0</v>
          </cell>
          <cell r="BR889">
            <v>141563</v>
          </cell>
          <cell r="BT889">
            <v>0</v>
          </cell>
          <cell r="CA889" t="str">
            <v>SEA1000 Total - EBITA - Base</v>
          </cell>
          <cell r="CC889" t="str">
            <v>SEA1000 Total - EBITA - Base - IS4</v>
          </cell>
          <cell r="CD889" t="str">
            <v/>
          </cell>
          <cell r="CF889" t="str">
            <v>SEA1000 Total - Base - IS4</v>
          </cell>
        </row>
        <row r="890">
          <cell r="D890">
            <v>876</v>
          </cell>
          <cell r="E890">
            <v>0</v>
          </cell>
          <cell r="F890">
            <v>0</v>
          </cell>
          <cell r="G890" t="str">
            <v>SEA1000 Total</v>
          </cell>
          <cell r="H890" t="str">
            <v>Total SEA1000</v>
          </cell>
          <cell r="I890" t="str">
            <v>IS4</v>
          </cell>
          <cell r="J890" t="str">
            <v>IS4 Sustainment Engineering and Acquisition</v>
          </cell>
          <cell r="K890" t="str">
            <v>Foreign Government</v>
          </cell>
          <cell r="L890" t="str">
            <v>Non-US Gov't</v>
          </cell>
          <cell r="M890" t="str">
            <v>Australia</v>
          </cell>
          <cell r="N890" t="str">
            <v>OCONUS</v>
          </cell>
          <cell r="O890">
            <v>0</v>
          </cell>
          <cell r="P890">
            <v>0</v>
          </cell>
          <cell r="Q890">
            <v>0</v>
          </cell>
          <cell r="R890" t="str">
            <v>T&amp;M</v>
          </cell>
          <cell r="S890">
            <v>0</v>
          </cell>
          <cell r="T890">
            <v>1</v>
          </cell>
          <cell r="U890" t="str">
            <v>EBITA</v>
          </cell>
          <cell r="V890" t="str">
            <v>Identified - Recompete</v>
          </cell>
          <cell r="W890">
            <v>0</v>
          </cell>
          <cell r="X890">
            <v>0</v>
          </cell>
          <cell r="Y890">
            <v>0</v>
          </cell>
          <cell r="Z890">
            <v>0</v>
          </cell>
          <cell r="AA890">
            <v>0</v>
          </cell>
          <cell r="AB890">
            <v>0</v>
          </cell>
          <cell r="AC890">
            <v>0</v>
          </cell>
          <cell r="AD890">
            <v>0</v>
          </cell>
          <cell r="AX890">
            <v>0</v>
          </cell>
          <cell r="AY890">
            <v>0</v>
          </cell>
          <cell r="AZ890">
            <v>0</v>
          </cell>
          <cell r="BA890">
            <v>0</v>
          </cell>
          <cell r="BI890">
            <v>0</v>
          </cell>
          <cell r="BJ890">
            <v>0</v>
          </cell>
          <cell r="BK890">
            <v>0</v>
          </cell>
          <cell r="BL890">
            <v>0</v>
          </cell>
          <cell r="BM890">
            <v>0</v>
          </cell>
          <cell r="BN890">
            <v>0</v>
          </cell>
          <cell r="BO890">
            <v>0</v>
          </cell>
          <cell r="BP890">
            <v>0</v>
          </cell>
          <cell r="BQ890">
            <v>0</v>
          </cell>
          <cell r="BR890">
            <v>0</v>
          </cell>
          <cell r="BT890">
            <v>0</v>
          </cell>
          <cell r="CA890" t="str">
            <v>SEA1000 Total - EBITA - Identified - Recompete</v>
          </cell>
          <cell r="CC890" t="str">
            <v>SEA1000 Total - EBITA - Identified - Recompete - IS4</v>
          </cell>
          <cell r="CD890" t="str">
            <v/>
          </cell>
          <cell r="CF890" t="str">
            <v>SEA1000 Total - Identified - Recompete - IS4</v>
          </cell>
        </row>
        <row r="891">
          <cell r="D891">
            <v>877</v>
          </cell>
          <cell r="E891">
            <v>1</v>
          </cell>
          <cell r="F891">
            <v>1</v>
          </cell>
          <cell r="G891" t="str">
            <v>33870I</v>
          </cell>
          <cell r="H891" t="str">
            <v>TSA SIVM Services</v>
          </cell>
          <cell r="I891" t="str">
            <v>IS4</v>
          </cell>
          <cell r="J891" t="str">
            <v>IS4 Engineering and Technology Services</v>
          </cell>
          <cell r="K891" t="str">
            <v>TSA Agency</v>
          </cell>
          <cell r="L891" t="str">
            <v>DOT</v>
          </cell>
          <cell r="M891" t="str">
            <v>VA</v>
          </cell>
          <cell r="N891" t="str">
            <v>CONUS</v>
          </cell>
          <cell r="O891">
            <v>43009</v>
          </cell>
          <cell r="P891">
            <v>43788</v>
          </cell>
          <cell r="Q891" t="str">
            <v>Sub</v>
          </cell>
          <cell r="R891" t="str">
            <v>T&amp;M</v>
          </cell>
          <cell r="S891">
            <v>0</v>
          </cell>
          <cell r="T891">
            <v>1</v>
          </cell>
          <cell r="U891" t="str">
            <v>REVTOT</v>
          </cell>
          <cell r="V891" t="str">
            <v>Base</v>
          </cell>
          <cell r="W891" t="str">
            <v>05 Won</v>
          </cell>
          <cell r="X891" t="str">
            <v>Active</v>
          </cell>
          <cell r="Y891">
            <v>1</v>
          </cell>
          <cell r="Z891">
            <v>0</v>
          </cell>
          <cell r="AA891">
            <v>54027.14999999998</v>
          </cell>
          <cell r="AB891">
            <v>0</v>
          </cell>
          <cell r="AC891">
            <v>0</v>
          </cell>
          <cell r="AD891">
            <v>54027.14999999998</v>
          </cell>
          <cell r="AE891">
            <v>0</v>
          </cell>
          <cell r="AF891">
            <v>0</v>
          </cell>
          <cell r="AG891">
            <v>-4.2439754039861666E-2</v>
          </cell>
          <cell r="AH891">
            <v>-0.81023855462641425</v>
          </cell>
          <cell r="AI891">
            <v>0</v>
          </cell>
          <cell r="AJ891">
            <v>0</v>
          </cell>
          <cell r="AK891">
            <v>0</v>
          </cell>
          <cell r="BB891">
            <v>271482.48</v>
          </cell>
          <cell r="BC891">
            <v>271482.48</v>
          </cell>
          <cell r="BD891">
            <v>271482.48</v>
          </cell>
          <cell r="BE891">
            <v>271482.48</v>
          </cell>
          <cell r="BF891">
            <v>0</v>
          </cell>
          <cell r="BG891">
            <v>0</v>
          </cell>
          <cell r="BH891">
            <v>297329.48</v>
          </cell>
          <cell r="BI891">
            <v>68944</v>
          </cell>
          <cell r="BJ891">
            <v>69677.89</v>
          </cell>
          <cell r="BK891">
            <v>78952</v>
          </cell>
          <cell r="BL891">
            <v>67137</v>
          </cell>
          <cell r="BM891">
            <v>284710.89</v>
          </cell>
          <cell r="BN891">
            <v>54027.14999999998</v>
          </cell>
          <cell r="BO891">
            <v>0</v>
          </cell>
          <cell r="BP891">
            <v>0</v>
          </cell>
          <cell r="BQ891">
            <v>0</v>
          </cell>
          <cell r="BR891">
            <v>338738.04</v>
          </cell>
          <cell r="BT891">
            <v>0</v>
          </cell>
          <cell r="CA891" t="str">
            <v>33870I - REVTOT - Base</v>
          </cell>
          <cell r="CC891" t="str">
            <v>33870I - REVTOT - Base - IS4</v>
          </cell>
          <cell r="CD891" t="str">
            <v/>
          </cell>
          <cell r="CF891" t="str">
            <v>33870I - Base - IS4</v>
          </cell>
        </row>
        <row r="892">
          <cell r="D892">
            <v>878</v>
          </cell>
          <cell r="E892">
            <v>1</v>
          </cell>
          <cell r="F892">
            <v>2</v>
          </cell>
          <cell r="G892" t="str">
            <v>33870I</v>
          </cell>
          <cell r="H892" t="str">
            <v>TSA SIVM Services</v>
          </cell>
          <cell r="I892" t="str">
            <v>IS4</v>
          </cell>
          <cell r="J892" t="str">
            <v>IS4 Engineering and Technology Services</v>
          </cell>
          <cell r="K892" t="str">
            <v>TSA Agency</v>
          </cell>
          <cell r="L892" t="str">
            <v>DOT</v>
          </cell>
          <cell r="M892" t="str">
            <v>VA</v>
          </cell>
          <cell r="N892" t="str">
            <v>CONUS</v>
          </cell>
          <cell r="O892">
            <v>0</v>
          </cell>
          <cell r="P892">
            <v>0</v>
          </cell>
          <cell r="Q892">
            <v>0</v>
          </cell>
          <cell r="R892" t="str">
            <v>T&amp;M</v>
          </cell>
          <cell r="S892">
            <v>0</v>
          </cell>
          <cell r="T892">
            <v>1</v>
          </cell>
          <cell r="U892" t="str">
            <v>REVTOT</v>
          </cell>
          <cell r="V892" t="str">
            <v>Identified - Recompete</v>
          </cell>
          <cell r="W892">
            <v>0</v>
          </cell>
          <cell r="X892">
            <v>0</v>
          </cell>
          <cell r="Y892">
            <v>0</v>
          </cell>
          <cell r="Z892">
            <v>0</v>
          </cell>
          <cell r="AA892">
            <v>0</v>
          </cell>
          <cell r="AB892">
            <v>0</v>
          </cell>
          <cell r="AC892">
            <v>0</v>
          </cell>
          <cell r="AD892">
            <v>0</v>
          </cell>
          <cell r="AI892">
            <v>0</v>
          </cell>
          <cell r="AJ892">
            <v>0</v>
          </cell>
          <cell r="AK892">
            <v>0</v>
          </cell>
          <cell r="BB892">
            <v>0</v>
          </cell>
          <cell r="BC892">
            <v>0</v>
          </cell>
          <cell r="BD892">
            <v>0</v>
          </cell>
          <cell r="BE892">
            <v>0</v>
          </cell>
          <cell r="BI892">
            <v>0</v>
          </cell>
          <cell r="BJ892">
            <v>0</v>
          </cell>
          <cell r="BK892">
            <v>0</v>
          </cell>
          <cell r="BL892">
            <v>0</v>
          </cell>
          <cell r="BM892">
            <v>0</v>
          </cell>
          <cell r="BN892">
            <v>0</v>
          </cell>
          <cell r="BO892">
            <v>0</v>
          </cell>
          <cell r="BP892">
            <v>0</v>
          </cell>
          <cell r="BQ892">
            <v>0</v>
          </cell>
          <cell r="BR892">
            <v>0</v>
          </cell>
          <cell r="BT892">
            <v>0</v>
          </cell>
          <cell r="CA892" t="str">
            <v>33870I - REVTOT - Identified - Recompete</v>
          </cell>
          <cell r="CC892" t="str">
            <v>33870I - REVTOT - Identified - Recompete - IS4</v>
          </cell>
          <cell r="CD892" t="str">
            <v/>
          </cell>
          <cell r="CF892" t="str">
            <v>33870I - Identified - Recompete - IS4</v>
          </cell>
        </row>
        <row r="893">
          <cell r="D893">
            <v>879</v>
          </cell>
          <cell r="E893">
            <v>2</v>
          </cell>
          <cell r="F893">
            <v>3</v>
          </cell>
          <cell r="G893" t="str">
            <v>33870I</v>
          </cell>
          <cell r="H893" t="str">
            <v>TSA SIVM Services</v>
          </cell>
          <cell r="I893" t="str">
            <v>IS4</v>
          </cell>
          <cell r="J893" t="str">
            <v>IS4 Engineering and Technology Services</v>
          </cell>
          <cell r="K893" t="str">
            <v>TSA Agency</v>
          </cell>
          <cell r="L893" t="str">
            <v>DOT</v>
          </cell>
          <cell r="M893" t="str">
            <v>VA</v>
          </cell>
          <cell r="N893" t="str">
            <v>CONUS</v>
          </cell>
          <cell r="O893">
            <v>43009</v>
          </cell>
          <cell r="P893">
            <v>43788</v>
          </cell>
          <cell r="Q893" t="str">
            <v>Sub</v>
          </cell>
          <cell r="R893" t="str">
            <v>T&amp;M</v>
          </cell>
          <cell r="S893">
            <v>0</v>
          </cell>
          <cell r="T893">
            <v>1</v>
          </cell>
          <cell r="U893" t="str">
            <v>CONTRACT</v>
          </cell>
          <cell r="V893" t="str">
            <v>Base</v>
          </cell>
          <cell r="W893" t="str">
            <v>05 Won</v>
          </cell>
          <cell r="X893" t="str">
            <v>Active</v>
          </cell>
          <cell r="Y893">
            <v>1</v>
          </cell>
          <cell r="Z893">
            <v>0</v>
          </cell>
          <cell r="AA893">
            <v>54027.14999999998</v>
          </cell>
          <cell r="AB893">
            <v>0</v>
          </cell>
          <cell r="AC893">
            <v>0</v>
          </cell>
          <cell r="AD893">
            <v>54027.14999999998</v>
          </cell>
          <cell r="AL893">
            <v>0</v>
          </cell>
          <cell r="AM893">
            <v>0</v>
          </cell>
          <cell r="AN893">
            <v>0.14855684676810391</v>
          </cell>
          <cell r="AO893">
            <v>0.13942399604033412</v>
          </cell>
          <cell r="AP893">
            <v>0.11351043508958669</v>
          </cell>
          <cell r="AQ893">
            <v>0.11351043508958669</v>
          </cell>
          <cell r="AR893">
            <v>0.11351043508958669</v>
          </cell>
          <cell r="AS893">
            <v>0.11351043508958669</v>
          </cell>
          <cell r="BF893">
            <v>0</v>
          </cell>
          <cell r="BG893">
            <v>0</v>
          </cell>
          <cell r="BH893">
            <v>44170.330000000009</v>
          </cell>
          <cell r="BI893">
            <v>10591.879999999997</v>
          </cell>
          <cell r="BJ893">
            <v>9989.2399999999961</v>
          </cell>
          <cell r="BK893">
            <v>11455.160000000003</v>
          </cell>
          <cell r="BL893">
            <v>7659.2500000000073</v>
          </cell>
          <cell r="BM893">
            <v>39695.530000000006</v>
          </cell>
          <cell r="BN893">
            <v>6132.6453031503615</v>
          </cell>
          <cell r="BO893">
            <v>0</v>
          </cell>
          <cell r="BP893">
            <v>0</v>
          </cell>
          <cell r="BQ893">
            <v>0</v>
          </cell>
          <cell r="BR893">
            <v>45828.175303150369</v>
          </cell>
          <cell r="BT893">
            <v>0</v>
          </cell>
          <cell r="CA893" t="str">
            <v>33870I - CONTRACT - Base</v>
          </cell>
          <cell r="CC893" t="str">
            <v>33870I - CONTRACT - Base - IS4</v>
          </cell>
          <cell r="CD893" t="str">
            <v/>
          </cell>
          <cell r="CF893" t="str">
            <v>33870I - Base - IS4</v>
          </cell>
        </row>
        <row r="894">
          <cell r="D894">
            <v>880</v>
          </cell>
          <cell r="E894">
            <v>2</v>
          </cell>
          <cell r="F894">
            <v>4</v>
          </cell>
          <cell r="G894" t="str">
            <v>33870I</v>
          </cell>
          <cell r="H894" t="str">
            <v>TSA SIVM Services</v>
          </cell>
          <cell r="I894" t="str">
            <v>IS4</v>
          </cell>
          <cell r="J894" t="str">
            <v>IS4 Engineering and Technology Services</v>
          </cell>
          <cell r="K894" t="str">
            <v>TSA Agency</v>
          </cell>
          <cell r="L894" t="str">
            <v>DOT</v>
          </cell>
          <cell r="M894" t="str">
            <v>VA</v>
          </cell>
          <cell r="N894" t="str">
            <v>CONUS</v>
          </cell>
          <cell r="O894">
            <v>0</v>
          </cell>
          <cell r="P894">
            <v>0</v>
          </cell>
          <cell r="Q894">
            <v>0</v>
          </cell>
          <cell r="R894" t="str">
            <v>T&amp;M</v>
          </cell>
          <cell r="S894">
            <v>0</v>
          </cell>
          <cell r="T894">
            <v>1</v>
          </cell>
          <cell r="U894" t="str">
            <v>CONTRACT</v>
          </cell>
          <cell r="V894" t="str">
            <v>Identified - Recompete</v>
          </cell>
          <cell r="W894">
            <v>0</v>
          </cell>
          <cell r="X894">
            <v>0</v>
          </cell>
          <cell r="Y894">
            <v>0</v>
          </cell>
          <cell r="Z894">
            <v>0</v>
          </cell>
          <cell r="AA894">
            <v>0</v>
          </cell>
          <cell r="AB894">
            <v>0</v>
          </cell>
          <cell r="AC894">
            <v>0</v>
          </cell>
          <cell r="AD894">
            <v>0</v>
          </cell>
          <cell r="AP894">
            <v>0</v>
          </cell>
          <cell r="AQ894">
            <v>0</v>
          </cell>
          <cell r="AR894">
            <v>0</v>
          </cell>
          <cell r="AS894">
            <v>0</v>
          </cell>
          <cell r="BI894">
            <v>0</v>
          </cell>
          <cell r="BJ894">
            <v>0</v>
          </cell>
          <cell r="BK894">
            <v>0</v>
          </cell>
          <cell r="BL894">
            <v>0</v>
          </cell>
          <cell r="BM894">
            <v>0</v>
          </cell>
          <cell r="BN894">
            <v>0</v>
          </cell>
          <cell r="BO894">
            <v>0</v>
          </cell>
          <cell r="BP894">
            <v>0</v>
          </cell>
          <cell r="BQ894">
            <v>0</v>
          </cell>
          <cell r="BR894">
            <v>0</v>
          </cell>
          <cell r="BT894">
            <v>0</v>
          </cell>
          <cell r="CA894" t="str">
            <v>33870I - CONTRACT - Identified - Recompete</v>
          </cell>
          <cell r="CC894" t="str">
            <v>33870I - CONTRACT - Identified - Recompete - IS4</v>
          </cell>
          <cell r="CD894" t="str">
            <v/>
          </cell>
          <cell r="CF894" t="str">
            <v>33870I - Identified - Recompete - IS4</v>
          </cell>
        </row>
        <row r="895">
          <cell r="D895">
            <v>881</v>
          </cell>
          <cell r="E895">
            <v>0</v>
          </cell>
          <cell r="F895">
            <v>5</v>
          </cell>
          <cell r="G895" t="str">
            <v>33870I</v>
          </cell>
          <cell r="H895" t="str">
            <v>TSA SIVM Services</v>
          </cell>
          <cell r="I895" t="str">
            <v>IS4</v>
          </cell>
          <cell r="J895" t="str">
            <v>IS4 Engineering and Technology Services</v>
          </cell>
          <cell r="K895" t="str">
            <v>TSA Agency</v>
          </cell>
          <cell r="L895" t="str">
            <v>DOT</v>
          </cell>
          <cell r="M895" t="str">
            <v>VA</v>
          </cell>
          <cell r="N895" t="str">
            <v>CONUS</v>
          </cell>
          <cell r="O895">
            <v>43009</v>
          </cell>
          <cell r="P895">
            <v>43788</v>
          </cell>
          <cell r="Q895" t="str">
            <v>Sub</v>
          </cell>
          <cell r="R895" t="str">
            <v>T&amp;M</v>
          </cell>
          <cell r="S895">
            <v>0</v>
          </cell>
          <cell r="T895">
            <v>1</v>
          </cell>
          <cell r="U895" t="str">
            <v>EBITA</v>
          </cell>
          <cell r="V895" t="str">
            <v>Base</v>
          </cell>
          <cell r="W895" t="str">
            <v>05 Won</v>
          </cell>
          <cell r="X895" t="str">
            <v>Active</v>
          </cell>
          <cell r="Y895">
            <v>1</v>
          </cell>
          <cell r="Z895">
            <v>0</v>
          </cell>
          <cell r="AA895">
            <v>54027.14999999998</v>
          </cell>
          <cell r="AB895">
            <v>0</v>
          </cell>
          <cell r="AC895">
            <v>0</v>
          </cell>
          <cell r="AD895">
            <v>54027.14999999998</v>
          </cell>
          <cell r="AT895">
            <v>0</v>
          </cell>
          <cell r="AU895">
            <v>0</v>
          </cell>
          <cell r="AV895">
            <v>7.0154126661103419E-2</v>
          </cell>
          <cell r="AW895">
            <v>5.1851792532417715E-2</v>
          </cell>
          <cell r="AX895">
            <v>2.3435805662903587E-2</v>
          </cell>
          <cell r="AY895">
            <v>2.4435805662903584E-2</v>
          </cell>
          <cell r="AZ895">
            <v>2.5435805662903585E-2</v>
          </cell>
          <cell r="BA895">
            <v>2.6435805662903586E-2</v>
          </cell>
          <cell r="BF895">
            <v>0</v>
          </cell>
          <cell r="BG895">
            <v>0</v>
          </cell>
          <cell r="BH895">
            <v>20858.890000000014</v>
          </cell>
          <cell r="BI895">
            <v>4608.9199999999983</v>
          </cell>
          <cell r="BJ895">
            <v>4091.8199999999961</v>
          </cell>
          <cell r="BK895">
            <v>4640.4900000000025</v>
          </cell>
          <cell r="BL895">
            <v>1421.540000000007</v>
          </cell>
          <cell r="BM895">
            <v>14762.770000000002</v>
          </cell>
          <cell r="BN895">
            <v>1266.169787920541</v>
          </cell>
          <cell r="BO895">
            <v>0</v>
          </cell>
          <cell r="BP895">
            <v>0</v>
          </cell>
          <cell r="BQ895">
            <v>0</v>
          </cell>
          <cell r="BR895">
            <v>16028.939787920543</v>
          </cell>
          <cell r="BT895">
            <v>0</v>
          </cell>
          <cell r="CA895" t="str">
            <v>33870I - EBITA - Base</v>
          </cell>
          <cell r="CC895" t="str">
            <v>33870I - EBITA - Base - IS4</v>
          </cell>
          <cell r="CD895" t="str">
            <v/>
          </cell>
          <cell r="CF895" t="str">
            <v>33870I - Base - IS4</v>
          </cell>
        </row>
        <row r="896">
          <cell r="D896">
            <v>882</v>
          </cell>
          <cell r="E896">
            <v>0</v>
          </cell>
          <cell r="F896">
            <v>0</v>
          </cell>
          <cell r="G896" t="str">
            <v>33870I</v>
          </cell>
          <cell r="H896" t="str">
            <v>TSA SIVM Services</v>
          </cell>
          <cell r="I896" t="str">
            <v>IS4</v>
          </cell>
          <cell r="J896" t="str">
            <v>IS4 Engineering and Technology Services</v>
          </cell>
          <cell r="K896" t="str">
            <v>TSA Agency</v>
          </cell>
          <cell r="L896" t="str">
            <v>DOT</v>
          </cell>
          <cell r="M896" t="str">
            <v>VA</v>
          </cell>
          <cell r="N896" t="str">
            <v>CONUS</v>
          </cell>
          <cell r="O896">
            <v>0</v>
          </cell>
          <cell r="P896">
            <v>0</v>
          </cell>
          <cell r="Q896">
            <v>0</v>
          </cell>
          <cell r="R896" t="str">
            <v>T&amp;M</v>
          </cell>
          <cell r="S896">
            <v>0</v>
          </cell>
          <cell r="T896">
            <v>1</v>
          </cell>
          <cell r="U896" t="str">
            <v>EBITA</v>
          </cell>
          <cell r="V896" t="str">
            <v>Identified - Recompete</v>
          </cell>
          <cell r="W896">
            <v>0</v>
          </cell>
          <cell r="X896">
            <v>0</v>
          </cell>
          <cell r="Y896">
            <v>0</v>
          </cell>
          <cell r="Z896">
            <v>0</v>
          </cell>
          <cell r="AA896">
            <v>0</v>
          </cell>
          <cell r="AB896">
            <v>0</v>
          </cell>
          <cell r="AC896">
            <v>0</v>
          </cell>
          <cell r="AD896">
            <v>0</v>
          </cell>
          <cell r="AX896">
            <v>0</v>
          </cell>
          <cell r="AY896">
            <v>0</v>
          </cell>
          <cell r="AZ896">
            <v>0</v>
          </cell>
          <cell r="BA896">
            <v>0</v>
          </cell>
          <cell r="BI896">
            <v>0</v>
          </cell>
          <cell r="BJ896">
            <v>0</v>
          </cell>
          <cell r="BK896">
            <v>0</v>
          </cell>
          <cell r="BL896">
            <v>0</v>
          </cell>
          <cell r="BM896">
            <v>0</v>
          </cell>
          <cell r="BN896">
            <v>0</v>
          </cell>
          <cell r="BO896">
            <v>0</v>
          </cell>
          <cell r="BP896">
            <v>0</v>
          </cell>
          <cell r="BQ896">
            <v>0</v>
          </cell>
          <cell r="BR896">
            <v>0</v>
          </cell>
          <cell r="BT896">
            <v>0</v>
          </cell>
          <cell r="CA896" t="str">
            <v>33870I - EBITA - Identified - Recompete</v>
          </cell>
          <cell r="CC896" t="str">
            <v>33870I - EBITA - Identified - Recompete - IS4</v>
          </cell>
          <cell r="CD896" t="str">
            <v/>
          </cell>
          <cell r="CF896" t="str">
            <v>33870I - Identified - Recompete - IS4</v>
          </cell>
        </row>
        <row r="897">
          <cell r="D897">
            <v>883</v>
          </cell>
          <cell r="E897">
            <v>1</v>
          </cell>
          <cell r="F897">
            <v>1</v>
          </cell>
          <cell r="G897" t="str">
            <v>DARSTO</v>
          </cell>
          <cell r="H897" t="str">
            <v>DARPA STO FRONT OFFICE</v>
          </cell>
          <cell r="I897" t="str">
            <v>IS4</v>
          </cell>
          <cell r="J897" t="str">
            <v>IS4 Engineering and Technology Services</v>
          </cell>
          <cell r="K897" t="str">
            <v>Other DOD</v>
          </cell>
          <cell r="L897" t="str">
            <v>DOD</v>
          </cell>
          <cell r="M897" t="str">
            <v>VA</v>
          </cell>
          <cell r="N897" t="str">
            <v>CONUS</v>
          </cell>
          <cell r="O897">
            <v>43055</v>
          </cell>
          <cell r="P897">
            <v>44825</v>
          </cell>
          <cell r="Q897" t="str">
            <v>Sub</v>
          </cell>
          <cell r="R897" t="str">
            <v>T&amp;M</v>
          </cell>
          <cell r="S897">
            <v>0</v>
          </cell>
          <cell r="T897">
            <v>1</v>
          </cell>
          <cell r="U897" t="str">
            <v>REVTOT</v>
          </cell>
          <cell r="V897" t="str">
            <v>Base</v>
          </cell>
          <cell r="W897" t="str">
            <v>05 Won</v>
          </cell>
          <cell r="X897" t="str">
            <v>Active</v>
          </cell>
          <cell r="Y897">
            <v>1</v>
          </cell>
          <cell r="Z897">
            <v>0</v>
          </cell>
          <cell r="AA897">
            <v>215399.82</v>
          </cell>
          <cell r="AB897">
            <v>474612</v>
          </cell>
          <cell r="AC897">
            <v>0</v>
          </cell>
          <cell r="AD897">
            <v>690011.82000000007</v>
          </cell>
          <cell r="AE897">
            <v>0</v>
          </cell>
          <cell r="AF897">
            <v>0</v>
          </cell>
          <cell r="AG897">
            <v>0.26051550841346161</v>
          </cell>
          <cell r="AH897">
            <v>4.9804594827108861E-2</v>
          </cell>
          <cell r="AI897">
            <v>0</v>
          </cell>
          <cell r="AJ897">
            <v>0</v>
          </cell>
          <cell r="AK897">
            <v>0</v>
          </cell>
          <cell r="BB897">
            <v>215720</v>
          </cell>
          <cell r="BC897">
            <v>215720</v>
          </cell>
          <cell r="BD897">
            <v>215720</v>
          </cell>
          <cell r="BE897">
            <v>215720</v>
          </cell>
          <cell r="BF897">
            <v>0</v>
          </cell>
          <cell r="BG897">
            <v>0</v>
          </cell>
          <cell r="BH897">
            <v>163017.32</v>
          </cell>
          <cell r="BI897">
            <v>49022.92</v>
          </cell>
          <cell r="BJ897">
            <v>52154.34</v>
          </cell>
          <cell r="BK897">
            <v>50750.6</v>
          </cell>
          <cell r="BL897">
            <v>53558</v>
          </cell>
          <cell r="BM897">
            <v>205485.86</v>
          </cell>
          <cell r="BN897">
            <v>215720</v>
          </cell>
          <cell r="BO897">
            <v>215720</v>
          </cell>
          <cell r="BP897">
            <v>215720</v>
          </cell>
          <cell r="BQ897">
            <v>42851.820000000065</v>
          </cell>
          <cell r="BR897">
            <v>895497.68</v>
          </cell>
          <cell r="BT897">
            <v>0</v>
          </cell>
          <cell r="CA897" t="str">
            <v>DARSTO - REVTOT - Base</v>
          </cell>
          <cell r="CC897" t="str">
            <v>DARSTO - REVTOT - Base - IS4</v>
          </cell>
          <cell r="CD897" t="str">
            <v/>
          </cell>
          <cell r="CF897" t="str">
            <v>DARSTO - Base - IS4</v>
          </cell>
        </row>
        <row r="898">
          <cell r="D898">
            <v>884</v>
          </cell>
          <cell r="E898">
            <v>1</v>
          </cell>
          <cell r="F898">
            <v>2</v>
          </cell>
          <cell r="G898" t="str">
            <v>DARSTO</v>
          </cell>
          <cell r="H898" t="str">
            <v>DARPA STO FRONT OFFICE</v>
          </cell>
          <cell r="I898" t="str">
            <v>IS4</v>
          </cell>
          <cell r="J898" t="str">
            <v>IS4 Engineering and Technology Services</v>
          </cell>
          <cell r="K898" t="str">
            <v>Other DOD</v>
          </cell>
          <cell r="L898" t="str">
            <v>DOD</v>
          </cell>
          <cell r="M898" t="str">
            <v>VA</v>
          </cell>
          <cell r="N898" t="str">
            <v>CONUS</v>
          </cell>
          <cell r="O898">
            <v>0</v>
          </cell>
          <cell r="P898">
            <v>0</v>
          </cell>
          <cell r="Q898">
            <v>0</v>
          </cell>
          <cell r="R898" t="str">
            <v>T&amp;M</v>
          </cell>
          <cell r="S898">
            <v>0</v>
          </cell>
          <cell r="T898">
            <v>1</v>
          </cell>
          <cell r="U898" t="str">
            <v>REVTOT</v>
          </cell>
          <cell r="V898" t="str">
            <v>Identified - Recompete</v>
          </cell>
          <cell r="W898">
            <v>0</v>
          </cell>
          <cell r="X898">
            <v>0</v>
          </cell>
          <cell r="Y898">
            <v>0</v>
          </cell>
          <cell r="Z898">
            <v>0</v>
          </cell>
          <cell r="AA898">
            <v>0</v>
          </cell>
          <cell r="AB898">
            <v>0</v>
          </cell>
          <cell r="AC898">
            <v>0</v>
          </cell>
          <cell r="AD898">
            <v>0</v>
          </cell>
          <cell r="AI898">
            <v>0</v>
          </cell>
          <cell r="AJ898">
            <v>0</v>
          </cell>
          <cell r="AK898">
            <v>0</v>
          </cell>
          <cell r="BB898">
            <v>0</v>
          </cell>
          <cell r="BC898">
            <v>0</v>
          </cell>
          <cell r="BD898">
            <v>0</v>
          </cell>
          <cell r="BE898">
            <v>0</v>
          </cell>
          <cell r="BI898">
            <v>0</v>
          </cell>
          <cell r="BJ898">
            <v>0</v>
          </cell>
          <cell r="BK898">
            <v>0</v>
          </cell>
          <cell r="BL898">
            <v>0</v>
          </cell>
          <cell r="BM898">
            <v>0</v>
          </cell>
          <cell r="BN898">
            <v>0</v>
          </cell>
          <cell r="BO898">
            <v>0</v>
          </cell>
          <cell r="BP898">
            <v>0</v>
          </cell>
          <cell r="BQ898">
            <v>0</v>
          </cell>
          <cell r="BR898">
            <v>0</v>
          </cell>
          <cell r="BT898">
            <v>0</v>
          </cell>
          <cell r="CA898" t="str">
            <v>DARSTO - REVTOT - Identified - Recompete</v>
          </cell>
          <cell r="CC898" t="str">
            <v>DARSTO - REVTOT - Identified - Recompete - IS4</v>
          </cell>
          <cell r="CD898" t="str">
            <v/>
          </cell>
          <cell r="CF898" t="str">
            <v>DARSTO - Identified - Recompete - IS4</v>
          </cell>
        </row>
        <row r="899">
          <cell r="D899">
            <v>885</v>
          </cell>
          <cell r="E899">
            <v>2</v>
          </cell>
          <cell r="F899">
            <v>3</v>
          </cell>
          <cell r="G899" t="str">
            <v>DARSTO</v>
          </cell>
          <cell r="H899" t="str">
            <v>DARPA STO FRONT OFFICE</v>
          </cell>
          <cell r="I899" t="str">
            <v>IS4</v>
          </cell>
          <cell r="J899" t="str">
            <v>IS4 Engineering and Technology Services</v>
          </cell>
          <cell r="K899" t="str">
            <v>Other DOD</v>
          </cell>
          <cell r="L899" t="str">
            <v>DOD</v>
          </cell>
          <cell r="M899" t="str">
            <v>VA</v>
          </cell>
          <cell r="N899" t="str">
            <v>CONUS</v>
          </cell>
          <cell r="O899">
            <v>43055</v>
          </cell>
          <cell r="P899">
            <v>44825</v>
          </cell>
          <cell r="Q899" t="str">
            <v>Sub</v>
          </cell>
          <cell r="R899" t="str">
            <v>T&amp;M</v>
          </cell>
          <cell r="S899">
            <v>0</v>
          </cell>
          <cell r="T899">
            <v>1</v>
          </cell>
          <cell r="U899" t="str">
            <v>CONTRACT</v>
          </cell>
          <cell r="V899" t="str">
            <v>Base</v>
          </cell>
          <cell r="W899" t="str">
            <v>05 Won</v>
          </cell>
          <cell r="X899" t="str">
            <v>Active</v>
          </cell>
          <cell r="Y899">
            <v>1</v>
          </cell>
          <cell r="Z899">
            <v>0</v>
          </cell>
          <cell r="AA899">
            <v>215399.82</v>
          </cell>
          <cell r="AB899">
            <v>474612</v>
          </cell>
          <cell r="AC899">
            <v>0</v>
          </cell>
          <cell r="AD899">
            <v>690011.82000000007</v>
          </cell>
          <cell r="AL899">
            <v>0</v>
          </cell>
          <cell r="AM899">
            <v>0</v>
          </cell>
          <cell r="AN899">
            <v>0.23007414181511515</v>
          </cell>
          <cell r="AO899">
            <v>0.23042587942547482</v>
          </cell>
          <cell r="AP899">
            <v>0.22475503244947156</v>
          </cell>
          <cell r="AQ899">
            <v>0.22475503244947156</v>
          </cell>
          <cell r="AR899">
            <v>0.22475503244947156</v>
          </cell>
          <cell r="AS899">
            <v>0.22475503244947156</v>
          </cell>
          <cell r="BF899">
            <v>0</v>
          </cell>
          <cell r="BG899">
            <v>0</v>
          </cell>
          <cell r="BH899">
            <v>37506.070000000007</v>
          </cell>
          <cell r="BI899">
            <v>11803.529999999997</v>
          </cell>
          <cell r="BJ899">
            <v>12023.73</v>
          </cell>
          <cell r="BK899">
            <v>11554.999999999998</v>
          </cell>
          <cell r="BL899">
            <v>11967</v>
          </cell>
          <cell r="BM899">
            <v>47349.259999999995</v>
          </cell>
          <cell r="BN899">
            <v>48484.155600000006</v>
          </cell>
          <cell r="BO899">
            <v>48484.155600000006</v>
          </cell>
          <cell r="BP899">
            <v>48484.155600000006</v>
          </cell>
          <cell r="BQ899">
            <v>9631.1621946189298</v>
          </cell>
          <cell r="BR899">
            <v>202432.88899461893</v>
          </cell>
          <cell r="BT899">
            <v>0</v>
          </cell>
          <cell r="CA899" t="str">
            <v>DARSTO - CONTRACT - Base</v>
          </cell>
          <cell r="CC899" t="str">
            <v>DARSTO - CONTRACT - Base - IS4</v>
          </cell>
          <cell r="CD899" t="str">
            <v/>
          </cell>
          <cell r="CF899" t="str">
            <v>DARSTO - Base - IS4</v>
          </cell>
        </row>
        <row r="900">
          <cell r="D900">
            <v>886</v>
          </cell>
          <cell r="E900">
            <v>2</v>
          </cell>
          <cell r="F900">
            <v>4</v>
          </cell>
          <cell r="G900" t="str">
            <v>DARSTO</v>
          </cell>
          <cell r="H900" t="str">
            <v>DARPA STO FRONT OFFICE</v>
          </cell>
          <cell r="I900" t="str">
            <v>IS4</v>
          </cell>
          <cell r="J900" t="str">
            <v>IS4 Engineering and Technology Services</v>
          </cell>
          <cell r="K900" t="str">
            <v>Other DOD</v>
          </cell>
          <cell r="L900" t="str">
            <v>DOD</v>
          </cell>
          <cell r="M900" t="str">
            <v>VA</v>
          </cell>
          <cell r="N900" t="str">
            <v>CONUS</v>
          </cell>
          <cell r="O900">
            <v>0</v>
          </cell>
          <cell r="P900">
            <v>0</v>
          </cell>
          <cell r="Q900">
            <v>0</v>
          </cell>
          <cell r="R900" t="str">
            <v>T&amp;M</v>
          </cell>
          <cell r="S900">
            <v>0</v>
          </cell>
          <cell r="T900">
            <v>1</v>
          </cell>
          <cell r="U900" t="str">
            <v>CONTRACT</v>
          </cell>
          <cell r="V900" t="str">
            <v>Identified - Recompete</v>
          </cell>
          <cell r="W900">
            <v>0</v>
          </cell>
          <cell r="X900">
            <v>0</v>
          </cell>
          <cell r="Y900">
            <v>0</v>
          </cell>
          <cell r="Z900">
            <v>0</v>
          </cell>
          <cell r="AA900">
            <v>0</v>
          </cell>
          <cell r="AB900">
            <v>0</v>
          </cell>
          <cell r="AC900">
            <v>0</v>
          </cell>
          <cell r="AD900">
            <v>0</v>
          </cell>
          <cell r="AP900">
            <v>0</v>
          </cell>
          <cell r="AQ900">
            <v>0</v>
          </cell>
          <cell r="AR900">
            <v>0</v>
          </cell>
          <cell r="AS900">
            <v>0</v>
          </cell>
          <cell r="BI900">
            <v>0</v>
          </cell>
          <cell r="BJ900">
            <v>0</v>
          </cell>
          <cell r="BK900">
            <v>0</v>
          </cell>
          <cell r="BL900">
            <v>0</v>
          </cell>
          <cell r="BM900">
            <v>0</v>
          </cell>
          <cell r="BN900">
            <v>0</v>
          </cell>
          <cell r="BO900">
            <v>0</v>
          </cell>
          <cell r="BP900">
            <v>0</v>
          </cell>
          <cell r="BQ900">
            <v>0</v>
          </cell>
          <cell r="BR900">
            <v>0</v>
          </cell>
          <cell r="BT900">
            <v>0</v>
          </cell>
          <cell r="CA900" t="str">
            <v>DARSTO - CONTRACT - Identified - Recompete</v>
          </cell>
          <cell r="CC900" t="str">
            <v>DARSTO - CONTRACT - Identified - Recompete - IS4</v>
          </cell>
          <cell r="CD900" t="str">
            <v/>
          </cell>
          <cell r="CF900" t="str">
            <v>DARSTO - Identified - Recompete - IS4</v>
          </cell>
        </row>
        <row r="901">
          <cell r="D901">
            <v>887</v>
          </cell>
          <cell r="E901">
            <v>0</v>
          </cell>
          <cell r="F901">
            <v>5</v>
          </cell>
          <cell r="G901" t="str">
            <v>DARSTO</v>
          </cell>
          <cell r="H901" t="str">
            <v>DARPA STO FRONT OFFICE</v>
          </cell>
          <cell r="I901" t="str">
            <v>IS4</v>
          </cell>
          <cell r="J901" t="str">
            <v>IS4 Engineering and Technology Services</v>
          </cell>
          <cell r="K901" t="str">
            <v>Other DOD</v>
          </cell>
          <cell r="L901" t="str">
            <v>DOD</v>
          </cell>
          <cell r="M901" t="str">
            <v>VA</v>
          </cell>
          <cell r="N901" t="str">
            <v>CONUS</v>
          </cell>
          <cell r="O901">
            <v>43055</v>
          </cell>
          <cell r="P901">
            <v>44825</v>
          </cell>
          <cell r="Q901" t="str">
            <v>Sub</v>
          </cell>
          <cell r="R901" t="str">
            <v>T&amp;M</v>
          </cell>
          <cell r="S901">
            <v>0</v>
          </cell>
          <cell r="T901">
            <v>1</v>
          </cell>
          <cell r="U901" t="str">
            <v>EBITA</v>
          </cell>
          <cell r="V901" t="str">
            <v>Base</v>
          </cell>
          <cell r="W901" t="str">
            <v>05 Won</v>
          </cell>
          <cell r="X901" t="str">
            <v>Active</v>
          </cell>
          <cell r="Y901">
            <v>1</v>
          </cell>
          <cell r="Z901">
            <v>0</v>
          </cell>
          <cell r="AA901">
            <v>215399.82</v>
          </cell>
          <cell r="AB901">
            <v>474612</v>
          </cell>
          <cell r="AC901">
            <v>0</v>
          </cell>
          <cell r="AD901">
            <v>690011.82000000007</v>
          </cell>
          <cell r="AT901">
            <v>0</v>
          </cell>
          <cell r="AU901">
            <v>0</v>
          </cell>
          <cell r="AV901">
            <v>0.15930313417003791</v>
          </cell>
          <cell r="AW901">
            <v>0.15335760815853702</v>
          </cell>
          <cell r="AX901">
            <v>0.14523731788282424</v>
          </cell>
          <cell r="AY901">
            <v>0.14623731788282424</v>
          </cell>
          <cell r="AZ901">
            <v>0.14723731788282424</v>
          </cell>
          <cell r="BA901">
            <v>0.14823731788282424</v>
          </cell>
          <cell r="BF901">
            <v>0</v>
          </cell>
          <cell r="BG901">
            <v>0</v>
          </cell>
          <cell r="BH901">
            <v>25969.170000000006</v>
          </cell>
          <cell r="BI901">
            <v>7988.1399999999976</v>
          </cell>
          <cell r="BJ901">
            <v>8092.8600000000006</v>
          </cell>
          <cell r="BK901">
            <v>7634.8199999999988</v>
          </cell>
          <cell r="BL901">
            <v>7797</v>
          </cell>
          <cell r="BM901">
            <v>31512.819999999996</v>
          </cell>
          <cell r="BN901">
            <v>31330.594213682845</v>
          </cell>
          <cell r="BO901">
            <v>31546.314213682843</v>
          </cell>
          <cell r="BP901">
            <v>31762.034213682844</v>
          </cell>
          <cell r="BQ901">
            <v>6352.2388631975746</v>
          </cell>
          <cell r="BR901">
            <v>132504.00150424609</v>
          </cell>
          <cell r="BT901">
            <v>0</v>
          </cell>
          <cell r="CA901" t="str">
            <v>DARSTO - EBITA - Base</v>
          </cell>
          <cell r="CC901" t="str">
            <v>DARSTO - EBITA - Base - IS4</v>
          </cell>
          <cell r="CD901" t="str">
            <v/>
          </cell>
          <cell r="CF901" t="str">
            <v>DARSTO - Base - IS4</v>
          </cell>
        </row>
        <row r="902">
          <cell r="D902">
            <v>888</v>
          </cell>
          <cell r="E902">
            <v>0</v>
          </cell>
          <cell r="F902">
            <v>0</v>
          </cell>
          <cell r="G902" t="str">
            <v>DARSTO</v>
          </cell>
          <cell r="H902" t="str">
            <v>DARPA STO FRONT OFFICE</v>
          </cell>
          <cell r="I902" t="str">
            <v>IS4</v>
          </cell>
          <cell r="J902" t="str">
            <v>IS4 Engineering and Technology Services</v>
          </cell>
          <cell r="K902" t="str">
            <v>Other DOD</v>
          </cell>
          <cell r="L902" t="str">
            <v>DOD</v>
          </cell>
          <cell r="M902" t="str">
            <v>VA</v>
          </cell>
          <cell r="N902" t="str">
            <v>CONUS</v>
          </cell>
          <cell r="O902">
            <v>0</v>
          </cell>
          <cell r="P902">
            <v>0</v>
          </cell>
          <cell r="Q902">
            <v>0</v>
          </cell>
          <cell r="R902" t="str">
            <v>T&amp;M</v>
          </cell>
          <cell r="S902">
            <v>0</v>
          </cell>
          <cell r="T902">
            <v>1</v>
          </cell>
          <cell r="U902" t="str">
            <v>EBITA</v>
          </cell>
          <cell r="V902" t="str">
            <v>Identified - Recompete</v>
          </cell>
          <cell r="W902">
            <v>0</v>
          </cell>
          <cell r="X902">
            <v>0</v>
          </cell>
          <cell r="Y902">
            <v>0</v>
          </cell>
          <cell r="Z902">
            <v>0</v>
          </cell>
          <cell r="AA902">
            <v>0</v>
          </cell>
          <cell r="AB902">
            <v>0</v>
          </cell>
          <cell r="AC902">
            <v>0</v>
          </cell>
          <cell r="AD902">
            <v>0</v>
          </cell>
          <cell r="AX902">
            <v>0</v>
          </cell>
          <cell r="AY902">
            <v>0</v>
          </cell>
          <cell r="AZ902">
            <v>0</v>
          </cell>
          <cell r="BA902">
            <v>0</v>
          </cell>
          <cell r="BI902">
            <v>0</v>
          </cell>
          <cell r="BJ902">
            <v>0</v>
          </cell>
          <cell r="BK902">
            <v>0</v>
          </cell>
          <cell r="BL902">
            <v>0</v>
          </cell>
          <cell r="BM902">
            <v>0</v>
          </cell>
          <cell r="BN902">
            <v>0</v>
          </cell>
          <cell r="BO902">
            <v>0</v>
          </cell>
          <cell r="BP902">
            <v>0</v>
          </cell>
          <cell r="BQ902">
            <v>0</v>
          </cell>
          <cell r="BR902">
            <v>0</v>
          </cell>
          <cell r="BT902">
            <v>0</v>
          </cell>
          <cell r="CA902" t="str">
            <v>DARSTO - EBITA - Identified - Recompete</v>
          </cell>
          <cell r="CC902" t="str">
            <v>DARSTO - EBITA - Identified - Recompete - IS4</v>
          </cell>
          <cell r="CD902" t="str">
            <v/>
          </cell>
          <cell r="CF902" t="str">
            <v>DARSTO - Identified - Recompete - IS4</v>
          </cell>
        </row>
        <row r="903">
          <cell r="D903">
            <v>889</v>
          </cell>
          <cell r="E903">
            <v>1</v>
          </cell>
          <cell r="F903">
            <v>1</v>
          </cell>
          <cell r="G903" t="str">
            <v>003615</v>
          </cell>
          <cell r="H903" t="str">
            <v>DISA EMS Survivability</v>
          </cell>
          <cell r="I903" t="str">
            <v>IS4</v>
          </cell>
          <cell r="J903" t="str">
            <v>IS4 Spectrum &amp; Infrastructure Assurance</v>
          </cell>
          <cell r="K903" t="str">
            <v>DISA</v>
          </cell>
          <cell r="L903" t="str">
            <v>DOD</v>
          </cell>
          <cell r="M903" t="str">
            <v>MD</v>
          </cell>
          <cell r="N903" t="str">
            <v>CONUS</v>
          </cell>
          <cell r="O903">
            <v>43361</v>
          </cell>
          <cell r="P903">
            <v>43907</v>
          </cell>
          <cell r="Q903" t="str">
            <v>Sub</v>
          </cell>
          <cell r="R903" t="str">
            <v>T&amp;M</v>
          </cell>
          <cell r="S903">
            <v>0</v>
          </cell>
          <cell r="T903">
            <v>1</v>
          </cell>
          <cell r="U903" t="str">
            <v>REVTOT</v>
          </cell>
          <cell r="V903" t="str">
            <v>Base</v>
          </cell>
          <cell r="W903" t="str">
            <v>05 Won</v>
          </cell>
          <cell r="X903" t="str">
            <v>Active</v>
          </cell>
          <cell r="Y903">
            <v>1</v>
          </cell>
          <cell r="Z903">
            <v>0</v>
          </cell>
          <cell r="AA903">
            <v>34789.509999999966</v>
          </cell>
          <cell r="AB903">
            <v>680337.88</v>
          </cell>
          <cell r="AC903">
            <v>0</v>
          </cell>
          <cell r="AD903">
            <v>715127.39</v>
          </cell>
          <cell r="AE903">
            <v>0</v>
          </cell>
          <cell r="AF903">
            <v>0</v>
          </cell>
          <cell r="AG903">
            <v>0</v>
          </cell>
          <cell r="AH903">
            <v>0.51015810083040214</v>
          </cell>
          <cell r="AI903">
            <v>0</v>
          </cell>
          <cell r="AJ903">
            <v>0</v>
          </cell>
          <cell r="AK903">
            <v>0</v>
          </cell>
          <cell r="BB903">
            <v>251072.25624999998</v>
          </cell>
          <cell r="BC903">
            <v>251072.25624999998</v>
          </cell>
          <cell r="BD903">
            <v>251072.25624999998</v>
          </cell>
          <cell r="BE903">
            <v>251072.25624999998</v>
          </cell>
          <cell r="BF903">
            <v>0</v>
          </cell>
          <cell r="BG903">
            <v>0</v>
          </cell>
          <cell r="BH903">
            <v>0</v>
          </cell>
          <cell r="BI903">
            <v>24668.39</v>
          </cell>
          <cell r="BJ903">
            <v>43287.82</v>
          </cell>
          <cell r="BK903">
            <v>40295.300000000003</v>
          </cell>
          <cell r="BL903">
            <v>58004.100000000006</v>
          </cell>
          <cell r="BM903">
            <v>166255.60999999999</v>
          </cell>
          <cell r="BN903">
            <v>251072.25624999998</v>
          </cell>
          <cell r="BO903">
            <v>251072.25624999998</v>
          </cell>
          <cell r="BP903">
            <v>212982.87750000006</v>
          </cell>
          <cell r="BQ903">
            <v>0</v>
          </cell>
          <cell r="BR903">
            <v>881383</v>
          </cell>
          <cell r="BT903">
            <v>0</v>
          </cell>
          <cell r="CA903" t="str">
            <v>003615 - REVTOT - Base</v>
          </cell>
          <cell r="CC903" t="str">
            <v>003615 - REVTOT - Base - IS4</v>
          </cell>
          <cell r="CD903" t="str">
            <v/>
          </cell>
          <cell r="CF903" t="str">
            <v>003615 - Base - IS4</v>
          </cell>
        </row>
        <row r="904">
          <cell r="D904">
            <v>890</v>
          </cell>
          <cell r="E904">
            <v>1</v>
          </cell>
          <cell r="F904">
            <v>2</v>
          </cell>
          <cell r="G904" t="str">
            <v>003615</v>
          </cell>
          <cell r="H904" t="str">
            <v>DISA EMS Survivability</v>
          </cell>
          <cell r="I904" t="str">
            <v>IS4</v>
          </cell>
          <cell r="J904" t="str">
            <v>IS4 Spectrum &amp; Infrastructure Assurance</v>
          </cell>
          <cell r="K904" t="str">
            <v>DISA</v>
          </cell>
          <cell r="L904" t="str">
            <v>DOD</v>
          </cell>
          <cell r="M904" t="str">
            <v>MD</v>
          </cell>
          <cell r="N904" t="str">
            <v>CONUS</v>
          </cell>
          <cell r="O904">
            <v>0</v>
          </cell>
          <cell r="P904">
            <v>0</v>
          </cell>
          <cell r="Q904">
            <v>0</v>
          </cell>
          <cell r="R904" t="str">
            <v>T&amp;M</v>
          </cell>
          <cell r="S904">
            <v>0</v>
          </cell>
          <cell r="T904">
            <v>1</v>
          </cell>
          <cell r="U904" t="str">
            <v>REVTOT</v>
          </cell>
          <cell r="V904" t="str">
            <v>Identified - Recompete</v>
          </cell>
          <cell r="W904">
            <v>0</v>
          </cell>
          <cell r="X904">
            <v>0</v>
          </cell>
          <cell r="Y904">
            <v>0</v>
          </cell>
          <cell r="Z904">
            <v>0</v>
          </cell>
          <cell r="AA904">
            <v>0</v>
          </cell>
          <cell r="AB904">
            <v>0</v>
          </cell>
          <cell r="AC904">
            <v>0</v>
          </cell>
          <cell r="AD904">
            <v>0</v>
          </cell>
          <cell r="AI904">
            <v>0</v>
          </cell>
          <cell r="AJ904">
            <v>0</v>
          </cell>
          <cell r="AK904">
            <v>0</v>
          </cell>
          <cell r="BB904">
            <v>0</v>
          </cell>
          <cell r="BC904">
            <v>0</v>
          </cell>
          <cell r="BD904">
            <v>0</v>
          </cell>
          <cell r="BE904">
            <v>0</v>
          </cell>
          <cell r="BI904">
            <v>0</v>
          </cell>
          <cell r="BJ904">
            <v>0</v>
          </cell>
          <cell r="BK904">
            <v>0</v>
          </cell>
          <cell r="BL904">
            <v>0</v>
          </cell>
          <cell r="BM904">
            <v>0</v>
          </cell>
          <cell r="BN904">
            <v>0</v>
          </cell>
          <cell r="BO904">
            <v>0</v>
          </cell>
          <cell r="BP904">
            <v>0</v>
          </cell>
          <cell r="BQ904">
            <v>0</v>
          </cell>
          <cell r="BR904">
            <v>0</v>
          </cell>
          <cell r="BT904">
            <v>0</v>
          </cell>
          <cell r="CA904" t="str">
            <v>003615 - REVTOT - Identified - Recompete</v>
          </cell>
          <cell r="CC904" t="str">
            <v>003615 - REVTOT - Identified - Recompete - IS4</v>
          </cell>
          <cell r="CD904" t="str">
            <v/>
          </cell>
          <cell r="CF904" t="str">
            <v>003615 - Identified - Recompete - IS4</v>
          </cell>
        </row>
        <row r="905">
          <cell r="D905">
            <v>891</v>
          </cell>
          <cell r="E905">
            <v>2</v>
          </cell>
          <cell r="F905">
            <v>3</v>
          </cell>
          <cell r="G905" t="str">
            <v>003615</v>
          </cell>
          <cell r="H905" t="str">
            <v>DISA EMS Survivability</v>
          </cell>
          <cell r="I905" t="str">
            <v>IS4</v>
          </cell>
          <cell r="J905" t="str">
            <v>IS4 Spectrum &amp; Infrastructure Assurance</v>
          </cell>
          <cell r="K905" t="str">
            <v>DISA</v>
          </cell>
          <cell r="L905" t="str">
            <v>DOD</v>
          </cell>
          <cell r="M905" t="str">
            <v>MD</v>
          </cell>
          <cell r="N905" t="str">
            <v>CONUS</v>
          </cell>
          <cell r="O905">
            <v>43361</v>
          </cell>
          <cell r="P905">
            <v>43907</v>
          </cell>
          <cell r="Q905" t="str">
            <v>Sub</v>
          </cell>
          <cell r="R905" t="str">
            <v>T&amp;M</v>
          </cell>
          <cell r="S905">
            <v>0</v>
          </cell>
          <cell r="T905">
            <v>1</v>
          </cell>
          <cell r="U905" t="str">
            <v>CONTRACT</v>
          </cell>
          <cell r="V905" t="str">
            <v>Base</v>
          </cell>
          <cell r="W905" t="str">
            <v>05 Won</v>
          </cell>
          <cell r="X905" t="str">
            <v>Active</v>
          </cell>
          <cell r="Y905">
            <v>1</v>
          </cell>
          <cell r="Z905">
            <v>0</v>
          </cell>
          <cell r="AA905">
            <v>34789.509999999966</v>
          </cell>
          <cell r="AB905">
            <v>680337.88</v>
          </cell>
          <cell r="AC905">
            <v>0</v>
          </cell>
          <cell r="AD905">
            <v>715127.39</v>
          </cell>
          <cell r="AL905">
            <v>0</v>
          </cell>
          <cell r="AM905">
            <v>0</v>
          </cell>
          <cell r="AN905">
            <v>0</v>
          </cell>
          <cell r="AO905">
            <v>0.2002696285376476</v>
          </cell>
          <cell r="AP905">
            <v>0.22597875015639049</v>
          </cell>
          <cell r="AQ905">
            <v>0.22597875015639049</v>
          </cell>
          <cell r="AR905">
            <v>0.22597875015639049</v>
          </cell>
          <cell r="AS905">
            <v>0.22597875015639049</v>
          </cell>
          <cell r="BF905">
            <v>0</v>
          </cell>
          <cell r="BG905">
            <v>0</v>
          </cell>
          <cell r="BH905">
            <v>0</v>
          </cell>
          <cell r="BI905">
            <v>5716.4400000000005</v>
          </cell>
          <cell r="BJ905">
            <v>9353.9</v>
          </cell>
          <cell r="BK905">
            <v>8605.7500000000018</v>
          </cell>
          <cell r="BL905">
            <v>9619.8592570000055</v>
          </cell>
          <cell r="BM905">
            <v>33295.949257000007</v>
          </cell>
          <cell r="BN905">
            <v>56736.994666319995</v>
          </cell>
          <cell r="BO905">
            <v>56736.994666319995</v>
          </cell>
          <cell r="BP905">
            <v>48129.604462161638</v>
          </cell>
          <cell r="BQ905">
            <v>0</v>
          </cell>
          <cell r="BR905">
            <v>194899.54305180165</v>
          </cell>
          <cell r="BT905">
            <v>0</v>
          </cell>
          <cell r="CA905" t="str">
            <v>003615 - CONTRACT - Base</v>
          </cell>
          <cell r="CC905" t="str">
            <v>003615 - CONTRACT - Base - IS4</v>
          </cell>
          <cell r="CD905" t="str">
            <v/>
          </cell>
          <cell r="CF905" t="str">
            <v>003615 - Base - IS4</v>
          </cell>
        </row>
        <row r="906">
          <cell r="D906">
            <v>892</v>
          </cell>
          <cell r="E906">
            <v>2</v>
          </cell>
          <cell r="F906">
            <v>4</v>
          </cell>
          <cell r="G906" t="str">
            <v>003615</v>
          </cell>
          <cell r="H906" t="str">
            <v>DISA EMS Survivability</v>
          </cell>
          <cell r="I906" t="str">
            <v>IS4</v>
          </cell>
          <cell r="J906" t="str">
            <v>IS4 Spectrum &amp; Infrastructure Assurance</v>
          </cell>
          <cell r="K906" t="str">
            <v>DISA</v>
          </cell>
          <cell r="L906" t="str">
            <v>DOD</v>
          </cell>
          <cell r="M906" t="str">
            <v>MD</v>
          </cell>
          <cell r="N906" t="str">
            <v>CONUS</v>
          </cell>
          <cell r="O906">
            <v>0</v>
          </cell>
          <cell r="P906">
            <v>0</v>
          </cell>
          <cell r="Q906">
            <v>0</v>
          </cell>
          <cell r="R906" t="str">
            <v>T&amp;M</v>
          </cell>
          <cell r="S906">
            <v>0</v>
          </cell>
          <cell r="T906">
            <v>1</v>
          </cell>
          <cell r="U906" t="str">
            <v>CONTRACT</v>
          </cell>
          <cell r="V906" t="str">
            <v>Identified - Recompete</v>
          </cell>
          <cell r="W906">
            <v>0</v>
          </cell>
          <cell r="X906">
            <v>0</v>
          </cell>
          <cell r="Y906">
            <v>0</v>
          </cell>
          <cell r="Z906">
            <v>0</v>
          </cell>
          <cell r="AA906">
            <v>0</v>
          </cell>
          <cell r="AB906">
            <v>0</v>
          </cell>
          <cell r="AC906">
            <v>0</v>
          </cell>
          <cell r="AD906">
            <v>0</v>
          </cell>
          <cell r="AP906">
            <v>0</v>
          </cell>
          <cell r="AQ906">
            <v>0</v>
          </cell>
          <cell r="AR906">
            <v>0</v>
          </cell>
          <cell r="AS906">
            <v>0</v>
          </cell>
          <cell r="BI906">
            <v>0</v>
          </cell>
          <cell r="BJ906">
            <v>0</v>
          </cell>
          <cell r="BK906">
            <v>0</v>
          </cell>
          <cell r="BL906">
            <v>0</v>
          </cell>
          <cell r="BM906">
            <v>0</v>
          </cell>
          <cell r="BN906">
            <v>0</v>
          </cell>
          <cell r="BO906">
            <v>0</v>
          </cell>
          <cell r="BP906">
            <v>0</v>
          </cell>
          <cell r="BQ906">
            <v>0</v>
          </cell>
          <cell r="BR906">
            <v>0</v>
          </cell>
          <cell r="BT906">
            <v>0</v>
          </cell>
          <cell r="CA906" t="str">
            <v>003615 - CONTRACT - Identified - Recompete</v>
          </cell>
          <cell r="CC906" t="str">
            <v>003615 - CONTRACT - Identified - Recompete - IS4</v>
          </cell>
          <cell r="CD906" t="str">
            <v/>
          </cell>
          <cell r="CF906" t="str">
            <v>003615 - Identified - Recompete - IS4</v>
          </cell>
        </row>
        <row r="907">
          <cell r="D907">
            <v>893</v>
          </cell>
          <cell r="E907">
            <v>0</v>
          </cell>
          <cell r="F907">
            <v>5</v>
          </cell>
          <cell r="G907" t="str">
            <v>003615</v>
          </cell>
          <cell r="H907" t="str">
            <v>DISA EMS Survivability</v>
          </cell>
          <cell r="I907" t="str">
            <v>IS4</v>
          </cell>
          <cell r="J907" t="str">
            <v>IS4 Spectrum &amp; Infrastructure Assurance</v>
          </cell>
          <cell r="K907" t="str">
            <v>DISA</v>
          </cell>
          <cell r="L907" t="str">
            <v>DOD</v>
          </cell>
          <cell r="M907" t="str">
            <v>MD</v>
          </cell>
          <cell r="N907" t="str">
            <v>CONUS</v>
          </cell>
          <cell r="O907">
            <v>43361</v>
          </cell>
          <cell r="P907">
            <v>43907</v>
          </cell>
          <cell r="Q907" t="str">
            <v>Sub</v>
          </cell>
          <cell r="R907" t="str">
            <v>T&amp;M</v>
          </cell>
          <cell r="S907">
            <v>0</v>
          </cell>
          <cell r="T907">
            <v>1</v>
          </cell>
          <cell r="U907" t="str">
            <v>EBITA</v>
          </cell>
          <cell r="V907" t="str">
            <v>Base</v>
          </cell>
          <cell r="W907" t="str">
            <v>05 Won</v>
          </cell>
          <cell r="X907" t="str">
            <v>Active</v>
          </cell>
          <cell r="Y907">
            <v>1</v>
          </cell>
          <cell r="Z907">
            <v>0</v>
          </cell>
          <cell r="AA907">
            <v>34789.509999999966</v>
          </cell>
          <cell r="AB907">
            <v>680337.88</v>
          </cell>
          <cell r="AC907">
            <v>0</v>
          </cell>
          <cell r="AD907">
            <v>715127.39</v>
          </cell>
          <cell r="AT907">
            <v>0</v>
          </cell>
          <cell r="AU907">
            <v>0</v>
          </cell>
          <cell r="AV907">
            <v>0</v>
          </cell>
          <cell r="AW907">
            <v>5.7674704513128963E-2</v>
          </cell>
          <cell r="AX907">
            <v>0.11402940542575107</v>
          </cell>
          <cell r="AY907">
            <v>0.11502940542575107</v>
          </cell>
          <cell r="AZ907">
            <v>0.11602940542575108</v>
          </cell>
          <cell r="BA907">
            <v>0.11702940542575108</v>
          </cell>
          <cell r="BF907">
            <v>0</v>
          </cell>
          <cell r="BG907">
            <v>0</v>
          </cell>
          <cell r="BH907">
            <v>0</v>
          </cell>
          <cell r="BI907">
            <v>2283.4300000000007</v>
          </cell>
          <cell r="BJ907">
            <v>3336.9299999999994</v>
          </cell>
          <cell r="BK907">
            <v>2763.3700000000017</v>
          </cell>
          <cell r="BL907">
            <v>1205.0131804000052</v>
          </cell>
          <cell r="BM907">
            <v>9588.743180400008</v>
          </cell>
          <cell r="BN907">
            <v>28629.620099089312</v>
          </cell>
          <cell r="BO907">
            <v>28880.69235533931</v>
          </cell>
          <cell r="BP907">
            <v>24712.276642190584</v>
          </cell>
          <cell r="BQ907">
            <v>0</v>
          </cell>
          <cell r="BR907">
            <v>91811.332277019217</v>
          </cell>
          <cell r="BT907">
            <v>0</v>
          </cell>
          <cell r="CA907" t="str">
            <v>003615 - EBITA - Base</v>
          </cell>
          <cell r="CC907" t="str">
            <v>003615 - EBITA - Base - IS4</v>
          </cell>
          <cell r="CD907" t="str">
            <v/>
          </cell>
          <cell r="CF907" t="str">
            <v>003615 - Base - IS4</v>
          </cell>
        </row>
        <row r="908">
          <cell r="D908">
            <v>894</v>
          </cell>
          <cell r="E908">
            <v>0</v>
          </cell>
          <cell r="F908">
            <v>0</v>
          </cell>
          <cell r="G908" t="str">
            <v>003615</v>
          </cell>
          <cell r="H908" t="str">
            <v>DISA EMS Survivability</v>
          </cell>
          <cell r="I908" t="str">
            <v>IS4</v>
          </cell>
          <cell r="J908" t="str">
            <v>IS4 Spectrum &amp; Infrastructure Assurance</v>
          </cell>
          <cell r="K908" t="str">
            <v>DISA</v>
          </cell>
          <cell r="L908" t="str">
            <v>DOD</v>
          </cell>
          <cell r="M908" t="str">
            <v>MD</v>
          </cell>
          <cell r="N908" t="str">
            <v>CONUS</v>
          </cell>
          <cell r="O908">
            <v>0</v>
          </cell>
          <cell r="P908">
            <v>0</v>
          </cell>
          <cell r="Q908">
            <v>0</v>
          </cell>
          <cell r="R908" t="str">
            <v>T&amp;M</v>
          </cell>
          <cell r="S908">
            <v>0</v>
          </cell>
          <cell r="T908">
            <v>1</v>
          </cell>
          <cell r="U908" t="str">
            <v>EBITA</v>
          </cell>
          <cell r="V908" t="str">
            <v>Identified - Recompete</v>
          </cell>
          <cell r="W908">
            <v>0</v>
          </cell>
          <cell r="X908">
            <v>0</v>
          </cell>
          <cell r="Y908">
            <v>0</v>
          </cell>
          <cell r="Z908">
            <v>0</v>
          </cell>
          <cell r="AA908">
            <v>0</v>
          </cell>
          <cell r="AB908">
            <v>0</v>
          </cell>
          <cell r="AC908">
            <v>0</v>
          </cell>
          <cell r="AD908">
            <v>0</v>
          </cell>
          <cell r="AX908">
            <v>0</v>
          </cell>
          <cell r="AY908">
            <v>0</v>
          </cell>
          <cell r="AZ908">
            <v>0</v>
          </cell>
          <cell r="BA908">
            <v>0</v>
          </cell>
          <cell r="BI908">
            <v>0</v>
          </cell>
          <cell r="BJ908">
            <v>0</v>
          </cell>
          <cell r="BK908">
            <v>0</v>
          </cell>
          <cell r="BL908">
            <v>0</v>
          </cell>
          <cell r="BM908">
            <v>0</v>
          </cell>
          <cell r="BN908">
            <v>0</v>
          </cell>
          <cell r="BO908">
            <v>0</v>
          </cell>
          <cell r="BP908">
            <v>0</v>
          </cell>
          <cell r="BQ908">
            <v>0</v>
          </cell>
          <cell r="BR908">
            <v>0</v>
          </cell>
          <cell r="BT908">
            <v>0</v>
          </cell>
          <cell r="CA908" t="str">
            <v>003615 - EBITA - Identified - Recompete</v>
          </cell>
          <cell r="CC908" t="str">
            <v>003615 - EBITA - Identified - Recompete - IS4</v>
          </cell>
          <cell r="CD908" t="str">
            <v/>
          </cell>
          <cell r="CF908" t="str">
            <v>003615 - Identified - Recompete - IS4</v>
          </cell>
        </row>
        <row r="909">
          <cell r="D909">
            <v>895</v>
          </cell>
          <cell r="E909">
            <v>1</v>
          </cell>
          <cell r="F909">
            <v>1</v>
          </cell>
          <cell r="G909" t="str">
            <v>002565</v>
          </cell>
          <cell r="H909" t="str">
            <v>Bowhead</v>
          </cell>
          <cell r="I909" t="str">
            <v>IS4</v>
          </cell>
          <cell r="J909" t="str">
            <v>IS4 Spectrum &amp; Infrastructure Assurance</v>
          </cell>
          <cell r="K909" t="str">
            <v>Navy</v>
          </cell>
          <cell r="L909" t="str">
            <v>DOD</v>
          </cell>
          <cell r="M909" t="str">
            <v>IN</v>
          </cell>
          <cell r="N909" t="str">
            <v>CONUS</v>
          </cell>
          <cell r="O909">
            <v>41884</v>
          </cell>
          <cell r="P909">
            <v>44053</v>
          </cell>
          <cell r="Q909" t="str">
            <v>Sub</v>
          </cell>
          <cell r="R909" t="str">
            <v>T&amp;M</v>
          </cell>
          <cell r="S909">
            <v>0</v>
          </cell>
          <cell r="T909">
            <v>1</v>
          </cell>
          <cell r="U909" t="str">
            <v>REVTOT</v>
          </cell>
          <cell r="V909" t="str">
            <v>Base</v>
          </cell>
          <cell r="W909" t="str">
            <v>05 Won</v>
          </cell>
          <cell r="X909" t="str">
            <v>Active</v>
          </cell>
          <cell r="Y909">
            <v>1</v>
          </cell>
          <cell r="Z909">
            <v>0</v>
          </cell>
          <cell r="AA909">
            <v>211592.62</v>
          </cell>
          <cell r="AB909">
            <v>0</v>
          </cell>
          <cell r="AC909">
            <v>0</v>
          </cell>
          <cell r="AD909">
            <v>211592.62</v>
          </cell>
          <cell r="AE909">
            <v>7.1200074274844427E-2</v>
          </cell>
          <cell r="AF909">
            <v>0.21791228905579496</v>
          </cell>
          <cell r="AG909">
            <v>0.2613012563236492</v>
          </cell>
          <cell r="AH909">
            <v>1.0151238241365546E-2</v>
          </cell>
          <cell r="AI909">
            <v>0</v>
          </cell>
          <cell r="AJ909">
            <v>0</v>
          </cell>
          <cell r="AK909">
            <v>0</v>
          </cell>
          <cell r="BB909">
            <v>194612</v>
          </cell>
          <cell r="BC909">
            <v>194612</v>
          </cell>
          <cell r="BD909">
            <v>194612</v>
          </cell>
          <cell r="BE909">
            <v>194612</v>
          </cell>
          <cell r="BF909">
            <v>117078.67</v>
          </cell>
          <cell r="BG909">
            <v>125414.68</v>
          </cell>
          <cell r="BH909">
            <v>152744.08000000002</v>
          </cell>
          <cell r="BI909">
            <v>46623.22</v>
          </cell>
          <cell r="BJ909">
            <v>48054.1</v>
          </cell>
          <cell r="BK909">
            <v>49783.979999999996</v>
          </cell>
          <cell r="BL909">
            <v>48195</v>
          </cell>
          <cell r="BM909">
            <v>192656.3</v>
          </cell>
          <cell r="BN909">
            <v>194612</v>
          </cell>
          <cell r="BO909">
            <v>16980.619999999995</v>
          </cell>
          <cell r="BP909">
            <v>0</v>
          </cell>
          <cell r="BQ909">
            <v>0</v>
          </cell>
          <cell r="BR909">
            <v>404248.92</v>
          </cell>
          <cell r="BT909">
            <v>0</v>
          </cell>
          <cell r="CA909" t="str">
            <v>002565 - REVTOT - Base</v>
          </cell>
          <cell r="CC909" t="str">
            <v>002565 - REVTOT - Base - IS4</v>
          </cell>
          <cell r="CD909" t="str">
            <v/>
          </cell>
          <cell r="CF909" t="str">
            <v>002565 - Base - IS4</v>
          </cell>
        </row>
        <row r="910">
          <cell r="D910">
            <v>896</v>
          </cell>
          <cell r="E910">
            <v>1</v>
          </cell>
          <cell r="F910">
            <v>2</v>
          </cell>
          <cell r="G910" t="str">
            <v>002565</v>
          </cell>
          <cell r="H910" t="str">
            <v>Bowhead</v>
          </cell>
          <cell r="I910" t="str">
            <v>IS4</v>
          </cell>
          <cell r="J910" t="str">
            <v>IS4 Spectrum &amp; Infrastructure Assurance</v>
          </cell>
          <cell r="K910" t="str">
            <v>Navy</v>
          </cell>
          <cell r="L910" t="str">
            <v>DOD</v>
          </cell>
          <cell r="M910" t="str">
            <v>IN</v>
          </cell>
          <cell r="N910" t="str">
            <v>CONUS</v>
          </cell>
          <cell r="O910">
            <v>0</v>
          </cell>
          <cell r="P910">
            <v>0</v>
          </cell>
          <cell r="Q910">
            <v>0</v>
          </cell>
          <cell r="R910" t="str">
            <v>T&amp;M</v>
          </cell>
          <cell r="S910">
            <v>0</v>
          </cell>
          <cell r="T910">
            <v>1</v>
          </cell>
          <cell r="U910" t="str">
            <v>REVTOT</v>
          </cell>
          <cell r="V910" t="str">
            <v>Identified - Recompete</v>
          </cell>
          <cell r="W910">
            <v>0</v>
          </cell>
          <cell r="X910">
            <v>0</v>
          </cell>
          <cell r="Y910">
            <v>0</v>
          </cell>
          <cell r="Z910">
            <v>0</v>
          </cell>
          <cell r="AA910">
            <v>0</v>
          </cell>
          <cell r="AB910">
            <v>0</v>
          </cell>
          <cell r="AC910">
            <v>0</v>
          </cell>
          <cell r="AD910">
            <v>0</v>
          </cell>
          <cell r="AI910">
            <v>0</v>
          </cell>
          <cell r="AJ910">
            <v>0</v>
          </cell>
          <cell r="AK910">
            <v>0</v>
          </cell>
          <cell r="BB910">
            <v>0</v>
          </cell>
          <cell r="BC910">
            <v>0</v>
          </cell>
          <cell r="BD910">
            <v>0</v>
          </cell>
          <cell r="BE910">
            <v>0</v>
          </cell>
          <cell r="BI910">
            <v>0</v>
          </cell>
          <cell r="BJ910">
            <v>0</v>
          </cell>
          <cell r="BK910">
            <v>0</v>
          </cell>
          <cell r="BL910">
            <v>0</v>
          </cell>
          <cell r="BM910">
            <v>0</v>
          </cell>
          <cell r="BN910">
            <v>0</v>
          </cell>
          <cell r="BO910">
            <v>0</v>
          </cell>
          <cell r="BP910">
            <v>0</v>
          </cell>
          <cell r="BQ910">
            <v>0</v>
          </cell>
          <cell r="BR910">
            <v>0</v>
          </cell>
          <cell r="BT910">
            <v>0</v>
          </cell>
          <cell r="CA910" t="str">
            <v>002565 - REVTOT - Identified - Recompete</v>
          </cell>
          <cell r="CC910" t="str">
            <v>002565 - REVTOT - Identified - Recompete - IS4</v>
          </cell>
          <cell r="CD910" t="str">
            <v/>
          </cell>
          <cell r="CF910" t="str">
            <v>002565 - Identified - Recompete - IS4</v>
          </cell>
        </row>
        <row r="911">
          <cell r="D911">
            <v>897</v>
          </cell>
          <cell r="E911">
            <v>2</v>
          </cell>
          <cell r="F911">
            <v>3</v>
          </cell>
          <cell r="G911" t="str">
            <v>002565</v>
          </cell>
          <cell r="H911" t="str">
            <v>Bowhead</v>
          </cell>
          <cell r="I911" t="str">
            <v>IS4</v>
          </cell>
          <cell r="J911" t="str">
            <v>IS4 Spectrum &amp; Infrastructure Assurance</v>
          </cell>
          <cell r="K911" t="str">
            <v>Navy</v>
          </cell>
          <cell r="L911" t="str">
            <v>DOD</v>
          </cell>
          <cell r="M911" t="str">
            <v>IN</v>
          </cell>
          <cell r="N911" t="str">
            <v>CONUS</v>
          </cell>
          <cell r="O911">
            <v>41884</v>
          </cell>
          <cell r="P911">
            <v>44053</v>
          </cell>
          <cell r="Q911" t="str">
            <v>Sub</v>
          </cell>
          <cell r="R911" t="str">
            <v>T&amp;M</v>
          </cell>
          <cell r="S911">
            <v>0</v>
          </cell>
          <cell r="T911">
            <v>1</v>
          </cell>
          <cell r="U911" t="str">
            <v>CONTRACT</v>
          </cell>
          <cell r="V911" t="str">
            <v>Base</v>
          </cell>
          <cell r="W911" t="str">
            <v>05 Won</v>
          </cell>
          <cell r="X911" t="str">
            <v>Active</v>
          </cell>
          <cell r="Y911">
            <v>1</v>
          </cell>
          <cell r="Z911">
            <v>0</v>
          </cell>
          <cell r="AA911">
            <v>211592.62</v>
          </cell>
          <cell r="AB911">
            <v>0</v>
          </cell>
          <cell r="AC911">
            <v>0</v>
          </cell>
          <cell r="AD911">
            <v>211592.62</v>
          </cell>
          <cell r="AL911">
            <v>0.18847728625547255</v>
          </cell>
          <cell r="AM911">
            <v>0.17911491700971527</v>
          </cell>
          <cell r="AN911">
            <v>0.21765845196750014</v>
          </cell>
          <cell r="AO911">
            <v>0.21342411330436639</v>
          </cell>
          <cell r="AP911">
            <v>0.19081552370871269</v>
          </cell>
          <cell r="AQ911">
            <v>0.19081552370871269</v>
          </cell>
          <cell r="AR911">
            <v>0.19081552370871269</v>
          </cell>
          <cell r="AS911">
            <v>0.19081552370871269</v>
          </cell>
          <cell r="BF911">
            <v>22066.670000000006</v>
          </cell>
          <cell r="BG911">
            <v>22463.639999999996</v>
          </cell>
          <cell r="BH911">
            <v>33246.04</v>
          </cell>
          <cell r="BI911">
            <v>10634.85</v>
          </cell>
          <cell r="BJ911">
            <v>9709.3399999999983</v>
          </cell>
          <cell r="BK911">
            <v>9616.7900000000027</v>
          </cell>
          <cell r="BL911">
            <v>11156.52</v>
          </cell>
          <cell r="BM911">
            <v>41117.5</v>
          </cell>
          <cell r="BN911">
            <v>37134.990699999995</v>
          </cell>
          <cell r="BO911">
            <v>3240.1658981986398</v>
          </cell>
          <cell r="BP911">
            <v>0</v>
          </cell>
          <cell r="BQ911">
            <v>0</v>
          </cell>
          <cell r="BR911">
            <v>81492.656598198635</v>
          </cell>
          <cell r="BT911">
            <v>0</v>
          </cell>
          <cell r="CA911" t="str">
            <v>002565 - CONTRACT - Base</v>
          </cell>
          <cell r="CC911" t="str">
            <v>002565 - CONTRACT - Base - IS4</v>
          </cell>
          <cell r="CD911" t="str">
            <v/>
          </cell>
          <cell r="CF911" t="str">
            <v>002565 - Base - IS4</v>
          </cell>
        </row>
        <row r="912">
          <cell r="D912">
            <v>898</v>
          </cell>
          <cell r="E912">
            <v>2</v>
          </cell>
          <cell r="F912">
            <v>4</v>
          </cell>
          <cell r="G912" t="str">
            <v>002565</v>
          </cell>
          <cell r="H912" t="str">
            <v>Bowhead</v>
          </cell>
          <cell r="I912" t="str">
            <v>IS4</v>
          </cell>
          <cell r="J912" t="str">
            <v>IS4 Spectrum &amp; Infrastructure Assurance</v>
          </cell>
          <cell r="K912" t="str">
            <v>Navy</v>
          </cell>
          <cell r="L912" t="str">
            <v>DOD</v>
          </cell>
          <cell r="M912" t="str">
            <v>IN</v>
          </cell>
          <cell r="N912" t="str">
            <v>CONUS</v>
          </cell>
          <cell r="O912">
            <v>0</v>
          </cell>
          <cell r="P912">
            <v>0</v>
          </cell>
          <cell r="Q912">
            <v>0</v>
          </cell>
          <cell r="R912" t="str">
            <v>T&amp;M</v>
          </cell>
          <cell r="S912">
            <v>0</v>
          </cell>
          <cell r="T912">
            <v>1</v>
          </cell>
          <cell r="U912" t="str">
            <v>CONTRACT</v>
          </cell>
          <cell r="V912" t="str">
            <v>Identified - Recompete</v>
          </cell>
          <cell r="W912">
            <v>0</v>
          </cell>
          <cell r="X912">
            <v>0</v>
          </cell>
          <cell r="Y912">
            <v>0</v>
          </cell>
          <cell r="Z912">
            <v>0</v>
          </cell>
          <cell r="AA912">
            <v>0</v>
          </cell>
          <cell r="AB912">
            <v>0</v>
          </cell>
          <cell r="AC912">
            <v>0</v>
          </cell>
          <cell r="AD912">
            <v>0</v>
          </cell>
          <cell r="AP912">
            <v>0</v>
          </cell>
          <cell r="AQ912">
            <v>0</v>
          </cell>
          <cell r="AR912">
            <v>0</v>
          </cell>
          <cell r="AS912">
            <v>0</v>
          </cell>
          <cell r="BI912">
            <v>0</v>
          </cell>
          <cell r="BJ912">
            <v>0</v>
          </cell>
          <cell r="BK912">
            <v>0</v>
          </cell>
          <cell r="BL912">
            <v>0</v>
          </cell>
          <cell r="BM912">
            <v>0</v>
          </cell>
          <cell r="BN912">
            <v>0</v>
          </cell>
          <cell r="BO912">
            <v>0</v>
          </cell>
          <cell r="BP912">
            <v>0</v>
          </cell>
          <cell r="BQ912">
            <v>0</v>
          </cell>
          <cell r="BR912">
            <v>0</v>
          </cell>
          <cell r="BT912">
            <v>0</v>
          </cell>
          <cell r="CA912" t="str">
            <v>002565 - CONTRACT - Identified - Recompete</v>
          </cell>
          <cell r="CC912" t="str">
            <v>002565 - CONTRACT - Identified - Recompete - IS4</v>
          </cell>
          <cell r="CD912" t="str">
            <v/>
          </cell>
          <cell r="CF912" t="str">
            <v>002565 - Identified - Recompete - IS4</v>
          </cell>
        </row>
        <row r="913">
          <cell r="D913">
            <v>899</v>
          </cell>
          <cell r="E913">
            <v>0</v>
          </cell>
          <cell r="F913">
            <v>5</v>
          </cell>
          <cell r="G913" t="str">
            <v>002565</v>
          </cell>
          <cell r="H913" t="str">
            <v>Bowhead</v>
          </cell>
          <cell r="I913" t="str">
            <v>IS4</v>
          </cell>
          <cell r="J913" t="str">
            <v>IS4 Spectrum &amp; Infrastructure Assurance</v>
          </cell>
          <cell r="K913" t="str">
            <v>Navy</v>
          </cell>
          <cell r="L913" t="str">
            <v>DOD</v>
          </cell>
          <cell r="M913" t="str">
            <v>IN</v>
          </cell>
          <cell r="N913" t="str">
            <v>CONUS</v>
          </cell>
          <cell r="O913">
            <v>41884</v>
          </cell>
          <cell r="P913">
            <v>44053</v>
          </cell>
          <cell r="Q913" t="str">
            <v>Sub</v>
          </cell>
          <cell r="R913" t="str">
            <v>T&amp;M</v>
          </cell>
          <cell r="S913">
            <v>0</v>
          </cell>
          <cell r="T913">
            <v>1</v>
          </cell>
          <cell r="U913" t="str">
            <v>EBITA</v>
          </cell>
          <cell r="V913" t="str">
            <v>Base</v>
          </cell>
          <cell r="W913" t="str">
            <v>05 Won</v>
          </cell>
          <cell r="X913" t="str">
            <v>Active</v>
          </cell>
          <cell r="Y913">
            <v>1</v>
          </cell>
          <cell r="Z913">
            <v>0</v>
          </cell>
          <cell r="AA913">
            <v>211592.62</v>
          </cell>
          <cell r="AB913">
            <v>0</v>
          </cell>
          <cell r="AC913">
            <v>0</v>
          </cell>
          <cell r="AD913">
            <v>211592.62</v>
          </cell>
          <cell r="AT913">
            <v>-1.9830085189727543E-2</v>
          </cell>
          <cell r="AU913">
            <v>5.0510992812005724E-2</v>
          </cell>
          <cell r="AV913">
            <v>0.10286709638763085</v>
          </cell>
          <cell r="AW913">
            <v>9.4973016714221148E-2</v>
          </cell>
          <cell r="AX913">
            <v>7.0777549069322834E-2</v>
          </cell>
          <cell r="AY913">
            <v>7.1777549069322835E-2</v>
          </cell>
          <cell r="AZ913">
            <v>7.2777549069322836E-2</v>
          </cell>
          <cell r="BA913">
            <v>7.3777549069322837E-2</v>
          </cell>
          <cell r="BF913">
            <v>-2321.6799999999985</v>
          </cell>
          <cell r="BG913">
            <v>6334.8199999999979</v>
          </cell>
          <cell r="BH913">
            <v>15712.34</v>
          </cell>
          <cell r="BI913">
            <v>5175.8300000000008</v>
          </cell>
          <cell r="BJ913">
            <v>4089.5399999999977</v>
          </cell>
          <cell r="BK913">
            <v>3617.2600000000025</v>
          </cell>
          <cell r="BL913">
            <v>5414.52</v>
          </cell>
          <cell r="BM913">
            <v>18297.150000000001</v>
          </cell>
          <cell r="BN913">
            <v>13774.160379479055</v>
          </cell>
          <cell r="BO913">
            <v>1218.8272852775244</v>
          </cell>
          <cell r="BP913">
            <v>0</v>
          </cell>
          <cell r="BQ913">
            <v>0</v>
          </cell>
          <cell r="BR913">
            <v>33290.137664756585</v>
          </cell>
          <cell r="BT913">
            <v>0</v>
          </cell>
          <cell r="CA913" t="str">
            <v>002565 - EBITA - Base</v>
          </cell>
          <cell r="CC913" t="str">
            <v>002565 - EBITA - Base - IS4</v>
          </cell>
          <cell r="CD913" t="str">
            <v/>
          </cell>
          <cell r="CF913" t="str">
            <v>002565 - Base - IS4</v>
          </cell>
        </row>
        <row r="914">
          <cell r="D914">
            <v>900</v>
          </cell>
          <cell r="E914">
            <v>0</v>
          </cell>
          <cell r="F914">
            <v>0</v>
          </cell>
          <cell r="G914" t="str">
            <v>002565</v>
          </cell>
          <cell r="H914" t="str">
            <v>Bowhead</v>
          </cell>
          <cell r="I914" t="str">
            <v>IS4</v>
          </cell>
          <cell r="J914" t="str">
            <v>IS4 Spectrum &amp; Infrastructure Assurance</v>
          </cell>
          <cell r="K914" t="str">
            <v>Navy</v>
          </cell>
          <cell r="L914" t="str">
            <v>DOD</v>
          </cell>
          <cell r="M914" t="str">
            <v>IN</v>
          </cell>
          <cell r="N914" t="str">
            <v>CONUS</v>
          </cell>
          <cell r="O914">
            <v>0</v>
          </cell>
          <cell r="P914">
            <v>0</v>
          </cell>
          <cell r="Q914">
            <v>0</v>
          </cell>
          <cell r="R914" t="str">
            <v>T&amp;M</v>
          </cell>
          <cell r="S914">
            <v>0</v>
          </cell>
          <cell r="T914">
            <v>1</v>
          </cell>
          <cell r="U914" t="str">
            <v>EBITA</v>
          </cell>
          <cell r="V914" t="str">
            <v>Identified - Recompete</v>
          </cell>
          <cell r="W914">
            <v>0</v>
          </cell>
          <cell r="X914">
            <v>0</v>
          </cell>
          <cell r="Y914">
            <v>0</v>
          </cell>
          <cell r="Z914">
            <v>0</v>
          </cell>
          <cell r="AA914">
            <v>0</v>
          </cell>
          <cell r="AB914">
            <v>0</v>
          </cell>
          <cell r="AC914">
            <v>0</v>
          </cell>
          <cell r="AD914">
            <v>0</v>
          </cell>
          <cell r="AX914">
            <v>0</v>
          </cell>
          <cell r="AY914">
            <v>0</v>
          </cell>
          <cell r="AZ914">
            <v>0</v>
          </cell>
          <cell r="BA914">
            <v>0</v>
          </cell>
          <cell r="BI914">
            <v>0</v>
          </cell>
          <cell r="BJ914">
            <v>0</v>
          </cell>
          <cell r="BK914">
            <v>0</v>
          </cell>
          <cell r="BL914">
            <v>0</v>
          </cell>
          <cell r="BM914">
            <v>0</v>
          </cell>
          <cell r="BN914">
            <v>0</v>
          </cell>
          <cell r="BO914">
            <v>0</v>
          </cell>
          <cell r="BP914">
            <v>0</v>
          </cell>
          <cell r="BQ914">
            <v>0</v>
          </cell>
          <cell r="BR914">
            <v>0</v>
          </cell>
          <cell r="BT914">
            <v>0</v>
          </cell>
          <cell r="CA914" t="str">
            <v>002565 - EBITA - Identified - Recompete</v>
          </cell>
          <cell r="CC914" t="str">
            <v>002565 - EBITA - Identified - Recompete - IS4</v>
          </cell>
          <cell r="CD914" t="str">
            <v/>
          </cell>
          <cell r="CF914" t="str">
            <v>002565 - Identified - Recompete - IS4</v>
          </cell>
        </row>
        <row r="915">
          <cell r="D915">
            <v>901</v>
          </cell>
          <cell r="E915">
            <v>1</v>
          </cell>
          <cell r="F915">
            <v>1</v>
          </cell>
          <cell r="G915" t="str">
            <v>003208</v>
          </cell>
          <cell r="H915" t="str">
            <v>G2 Ops</v>
          </cell>
          <cell r="I915" t="str">
            <v>IS4</v>
          </cell>
          <cell r="J915" t="str">
            <v>IS4 Sustainment Engineering and Acquisition</v>
          </cell>
          <cell r="K915" t="str">
            <v>Navy</v>
          </cell>
          <cell r="L915" t="str">
            <v>DOD</v>
          </cell>
          <cell r="M915" t="str">
            <v>CA</v>
          </cell>
          <cell r="N915" t="str">
            <v>CONUS</v>
          </cell>
          <cell r="O915">
            <v>43351</v>
          </cell>
          <cell r="P915">
            <v>43716</v>
          </cell>
          <cell r="Q915" t="str">
            <v>Sub</v>
          </cell>
          <cell r="R915" t="str">
            <v>T&amp;M</v>
          </cell>
          <cell r="S915">
            <v>0</v>
          </cell>
          <cell r="T915">
            <v>1</v>
          </cell>
          <cell r="U915" t="str">
            <v>REVTOT</v>
          </cell>
          <cell r="V915" t="str">
            <v>Base</v>
          </cell>
          <cell r="W915" t="str">
            <v>05 Won</v>
          </cell>
          <cell r="X915" t="str">
            <v>Active</v>
          </cell>
          <cell r="Y915">
            <v>1</v>
          </cell>
          <cell r="Z915">
            <v>0</v>
          </cell>
          <cell r="AA915">
            <v>56410.390000000007</v>
          </cell>
          <cell r="AB915">
            <v>0</v>
          </cell>
          <cell r="AC915">
            <v>0</v>
          </cell>
          <cell r="AD915">
            <v>56410.390000000007</v>
          </cell>
          <cell r="AE915">
            <v>0</v>
          </cell>
          <cell r="AF915">
            <v>0</v>
          </cell>
          <cell r="AG915">
            <v>0</v>
          </cell>
          <cell r="AH915">
            <v>-0.53415235846022102</v>
          </cell>
          <cell r="AI915">
            <v>0</v>
          </cell>
          <cell r="AJ915">
            <v>0</v>
          </cell>
          <cell r="AK915">
            <v>0</v>
          </cell>
          <cell r="BB915">
            <v>214004</v>
          </cell>
          <cell r="BC915">
            <v>214004</v>
          </cell>
          <cell r="BD915">
            <v>214004</v>
          </cell>
          <cell r="BE915">
            <v>214004</v>
          </cell>
          <cell r="BF915">
            <v>0</v>
          </cell>
          <cell r="BG915">
            <v>0</v>
          </cell>
          <cell r="BH915">
            <v>0</v>
          </cell>
          <cell r="BI915">
            <v>790.37</v>
          </cell>
          <cell r="BJ915">
            <v>23358.86</v>
          </cell>
          <cell r="BK915">
            <v>59157.760000000002</v>
          </cell>
          <cell r="BL915">
            <v>37784.94</v>
          </cell>
          <cell r="BM915">
            <v>121091.93000000001</v>
          </cell>
          <cell r="BN915">
            <v>56410.390000000007</v>
          </cell>
          <cell r="BO915">
            <v>0</v>
          </cell>
          <cell r="BP915">
            <v>0</v>
          </cell>
          <cell r="BQ915">
            <v>0</v>
          </cell>
          <cell r="BR915">
            <v>177502.32</v>
          </cell>
          <cell r="BT915">
            <v>0</v>
          </cell>
          <cell r="CA915" t="str">
            <v>003208 - REVTOT - Base</v>
          </cell>
          <cell r="CC915" t="str">
            <v>003208 - REVTOT - Base - IS4</v>
          </cell>
          <cell r="CD915" t="str">
            <v/>
          </cell>
          <cell r="CF915" t="str">
            <v>003208 - Base - IS4</v>
          </cell>
        </row>
        <row r="916">
          <cell r="D916">
            <v>902</v>
          </cell>
          <cell r="E916">
            <v>1</v>
          </cell>
          <cell r="F916">
            <v>2</v>
          </cell>
          <cell r="G916" t="str">
            <v>003208</v>
          </cell>
          <cell r="H916" t="str">
            <v>G2 Ops</v>
          </cell>
          <cell r="I916" t="str">
            <v>IS4</v>
          </cell>
          <cell r="J916" t="str">
            <v>IS4 Sustainment Engineering and Acquisition</v>
          </cell>
          <cell r="K916" t="str">
            <v>Navy</v>
          </cell>
          <cell r="L916" t="str">
            <v>DOD</v>
          </cell>
          <cell r="M916" t="str">
            <v>CA</v>
          </cell>
          <cell r="N916" t="str">
            <v>CONUS</v>
          </cell>
          <cell r="O916">
            <v>0</v>
          </cell>
          <cell r="P916">
            <v>0</v>
          </cell>
          <cell r="Q916">
            <v>0</v>
          </cell>
          <cell r="R916" t="str">
            <v>T&amp;M</v>
          </cell>
          <cell r="S916">
            <v>0</v>
          </cell>
          <cell r="T916">
            <v>1</v>
          </cell>
          <cell r="U916" t="str">
            <v>REVTOT</v>
          </cell>
          <cell r="V916" t="str">
            <v>Identified - Recompete</v>
          </cell>
          <cell r="W916">
            <v>0</v>
          </cell>
          <cell r="X916">
            <v>0</v>
          </cell>
          <cell r="Y916">
            <v>0</v>
          </cell>
          <cell r="Z916">
            <v>0</v>
          </cell>
          <cell r="AA916">
            <v>0</v>
          </cell>
          <cell r="AB916">
            <v>0</v>
          </cell>
          <cell r="AC916">
            <v>0</v>
          </cell>
          <cell r="AD916">
            <v>0</v>
          </cell>
          <cell r="AI916">
            <v>0</v>
          </cell>
          <cell r="AJ916">
            <v>0</v>
          </cell>
          <cell r="AK916">
            <v>0</v>
          </cell>
          <cell r="BB916">
            <v>0</v>
          </cell>
          <cell r="BC916">
            <v>0</v>
          </cell>
          <cell r="BD916">
            <v>0</v>
          </cell>
          <cell r="BE916">
            <v>0</v>
          </cell>
          <cell r="BI916">
            <v>0</v>
          </cell>
          <cell r="BJ916">
            <v>0</v>
          </cell>
          <cell r="BK916">
            <v>0</v>
          </cell>
          <cell r="BL916">
            <v>0</v>
          </cell>
          <cell r="BM916">
            <v>0</v>
          </cell>
          <cell r="BN916">
            <v>0</v>
          </cell>
          <cell r="BO916">
            <v>0</v>
          </cell>
          <cell r="BP916">
            <v>0</v>
          </cell>
          <cell r="BQ916">
            <v>0</v>
          </cell>
          <cell r="BR916">
            <v>0</v>
          </cell>
          <cell r="BT916">
            <v>0</v>
          </cell>
          <cell r="CA916" t="str">
            <v>003208 - REVTOT - Identified - Recompete</v>
          </cell>
          <cell r="CC916" t="str">
            <v>003208 - REVTOT - Identified - Recompete - IS4</v>
          </cell>
          <cell r="CD916" t="str">
            <v/>
          </cell>
          <cell r="CF916" t="str">
            <v>003208 - Identified - Recompete - IS4</v>
          </cell>
        </row>
        <row r="917">
          <cell r="D917">
            <v>903</v>
          </cell>
          <cell r="E917">
            <v>2</v>
          </cell>
          <cell r="F917">
            <v>3</v>
          </cell>
          <cell r="G917" t="str">
            <v>003208</v>
          </cell>
          <cell r="H917" t="str">
            <v>G2 Ops</v>
          </cell>
          <cell r="I917" t="str">
            <v>IS4</v>
          </cell>
          <cell r="J917" t="str">
            <v>IS4 Sustainment Engineering and Acquisition</v>
          </cell>
          <cell r="K917" t="str">
            <v>Navy</v>
          </cell>
          <cell r="L917" t="str">
            <v>DOD</v>
          </cell>
          <cell r="M917" t="str">
            <v>CA</v>
          </cell>
          <cell r="N917" t="str">
            <v>CONUS</v>
          </cell>
          <cell r="O917">
            <v>43351</v>
          </cell>
          <cell r="P917">
            <v>43716</v>
          </cell>
          <cell r="Q917" t="str">
            <v>Sub</v>
          </cell>
          <cell r="R917" t="str">
            <v>T&amp;M</v>
          </cell>
          <cell r="S917">
            <v>0</v>
          </cell>
          <cell r="T917">
            <v>1</v>
          </cell>
          <cell r="U917" t="str">
            <v>CONTRACT</v>
          </cell>
          <cell r="V917" t="str">
            <v>Base</v>
          </cell>
          <cell r="W917" t="str">
            <v>05 Won</v>
          </cell>
          <cell r="X917" t="str">
            <v>Active</v>
          </cell>
          <cell r="Y917">
            <v>1</v>
          </cell>
          <cell r="Z917">
            <v>0</v>
          </cell>
          <cell r="AA917">
            <v>56410.390000000007</v>
          </cell>
          <cell r="AB917">
            <v>0</v>
          </cell>
          <cell r="AC917">
            <v>0</v>
          </cell>
          <cell r="AD917">
            <v>56410.390000000007</v>
          </cell>
          <cell r="AL917">
            <v>0</v>
          </cell>
          <cell r="AM917">
            <v>0</v>
          </cell>
          <cell r="AN917">
            <v>0</v>
          </cell>
          <cell r="AO917">
            <v>0.26830707950315102</v>
          </cell>
          <cell r="AP917">
            <v>0.21599180389151604</v>
          </cell>
          <cell r="AQ917">
            <v>0.21599180389151604</v>
          </cell>
          <cell r="AR917">
            <v>0.21599180389151604</v>
          </cell>
          <cell r="AS917">
            <v>0.21599180389151604</v>
          </cell>
          <cell r="BF917">
            <v>0</v>
          </cell>
          <cell r="BG917">
            <v>0</v>
          </cell>
          <cell r="BH917">
            <v>0</v>
          </cell>
          <cell r="BI917">
            <v>-184.95000000000005</v>
          </cell>
          <cell r="BJ917">
            <v>7029.6</v>
          </cell>
          <cell r="BK917">
            <v>15204.890000000001</v>
          </cell>
          <cell r="BL917">
            <v>10440.282089699997</v>
          </cell>
          <cell r="BM917">
            <v>32489.822089699999</v>
          </cell>
          <cell r="BN917">
            <v>12184.18189432394</v>
          </cell>
          <cell r="BO917">
            <v>0</v>
          </cell>
          <cell r="BP917">
            <v>0</v>
          </cell>
          <cell r="BQ917">
            <v>0</v>
          </cell>
          <cell r="BR917">
            <v>44674.003984023941</v>
          </cell>
          <cell r="BT917">
            <v>0</v>
          </cell>
          <cell r="CA917" t="str">
            <v>003208 - CONTRACT - Base</v>
          </cell>
          <cell r="CC917" t="str">
            <v>003208 - CONTRACT - Base - IS4</v>
          </cell>
          <cell r="CD917" t="str">
            <v/>
          </cell>
          <cell r="CF917" t="str">
            <v>003208 - Base - IS4</v>
          </cell>
        </row>
        <row r="918">
          <cell r="D918">
            <v>904</v>
          </cell>
          <cell r="E918">
            <v>2</v>
          </cell>
          <cell r="F918">
            <v>4</v>
          </cell>
          <cell r="G918" t="str">
            <v>003208</v>
          </cell>
          <cell r="H918" t="str">
            <v>G2 Ops</v>
          </cell>
          <cell r="I918" t="str">
            <v>IS4</v>
          </cell>
          <cell r="J918" t="str">
            <v>IS4 Sustainment Engineering and Acquisition</v>
          </cell>
          <cell r="K918" t="str">
            <v>Navy</v>
          </cell>
          <cell r="L918" t="str">
            <v>DOD</v>
          </cell>
          <cell r="M918" t="str">
            <v>CA</v>
          </cell>
          <cell r="N918" t="str">
            <v>CONUS</v>
          </cell>
          <cell r="O918">
            <v>0</v>
          </cell>
          <cell r="P918">
            <v>0</v>
          </cell>
          <cell r="Q918">
            <v>0</v>
          </cell>
          <cell r="R918" t="str">
            <v>T&amp;M</v>
          </cell>
          <cell r="S918">
            <v>0</v>
          </cell>
          <cell r="T918">
            <v>1</v>
          </cell>
          <cell r="U918" t="str">
            <v>CONTRACT</v>
          </cell>
          <cell r="V918" t="str">
            <v>Identified - Recompete</v>
          </cell>
          <cell r="W918">
            <v>0</v>
          </cell>
          <cell r="X918">
            <v>0</v>
          </cell>
          <cell r="Y918">
            <v>0</v>
          </cell>
          <cell r="Z918">
            <v>0</v>
          </cell>
          <cell r="AA918">
            <v>0</v>
          </cell>
          <cell r="AB918">
            <v>0</v>
          </cell>
          <cell r="AC918">
            <v>0</v>
          </cell>
          <cell r="AD918">
            <v>0</v>
          </cell>
          <cell r="AP918">
            <v>0</v>
          </cell>
          <cell r="AQ918">
            <v>0</v>
          </cell>
          <cell r="AR918">
            <v>0</v>
          </cell>
          <cell r="AS918">
            <v>0</v>
          </cell>
          <cell r="BI918">
            <v>0</v>
          </cell>
          <cell r="BJ918">
            <v>0</v>
          </cell>
          <cell r="BK918">
            <v>0</v>
          </cell>
          <cell r="BL918">
            <v>0</v>
          </cell>
          <cell r="BM918">
            <v>0</v>
          </cell>
          <cell r="BN918">
            <v>0</v>
          </cell>
          <cell r="BO918">
            <v>0</v>
          </cell>
          <cell r="BP918">
            <v>0</v>
          </cell>
          <cell r="BQ918">
            <v>0</v>
          </cell>
          <cell r="BR918">
            <v>0</v>
          </cell>
          <cell r="BT918">
            <v>0</v>
          </cell>
          <cell r="CA918" t="str">
            <v>003208 - CONTRACT - Identified - Recompete</v>
          </cell>
          <cell r="CC918" t="str">
            <v>003208 - CONTRACT - Identified - Recompete - IS4</v>
          </cell>
          <cell r="CD918" t="str">
            <v/>
          </cell>
          <cell r="CF918" t="str">
            <v>003208 - Identified - Recompete - IS4</v>
          </cell>
        </row>
        <row r="919">
          <cell r="D919">
            <v>905</v>
          </cell>
          <cell r="E919">
            <v>0</v>
          </cell>
          <cell r="F919">
            <v>5</v>
          </cell>
          <cell r="G919" t="str">
            <v>003208</v>
          </cell>
          <cell r="H919" t="str">
            <v>G2 Ops</v>
          </cell>
          <cell r="I919" t="str">
            <v>IS4</v>
          </cell>
          <cell r="J919" t="str">
            <v>IS4 Sustainment Engineering and Acquisition</v>
          </cell>
          <cell r="K919" t="str">
            <v>Navy</v>
          </cell>
          <cell r="L919" t="str">
            <v>DOD</v>
          </cell>
          <cell r="M919" t="str">
            <v>CA</v>
          </cell>
          <cell r="N919" t="str">
            <v>CONUS</v>
          </cell>
          <cell r="O919">
            <v>43351</v>
          </cell>
          <cell r="P919">
            <v>43716</v>
          </cell>
          <cell r="Q919" t="str">
            <v>Sub</v>
          </cell>
          <cell r="R919" t="str">
            <v>T&amp;M</v>
          </cell>
          <cell r="S919">
            <v>0</v>
          </cell>
          <cell r="T919">
            <v>1</v>
          </cell>
          <cell r="U919" t="str">
            <v>EBITA</v>
          </cell>
          <cell r="V919" t="str">
            <v>Base</v>
          </cell>
          <cell r="W919" t="str">
            <v>05 Won</v>
          </cell>
          <cell r="X919" t="str">
            <v>Active</v>
          </cell>
          <cell r="Y919">
            <v>1</v>
          </cell>
          <cell r="Z919">
            <v>0</v>
          </cell>
          <cell r="AA919">
            <v>56410.390000000007</v>
          </cell>
          <cell r="AB919">
            <v>0</v>
          </cell>
          <cell r="AC919">
            <v>0</v>
          </cell>
          <cell r="AD919">
            <v>56410.390000000007</v>
          </cell>
          <cell r="AT919">
            <v>0</v>
          </cell>
          <cell r="AU919">
            <v>0</v>
          </cell>
          <cell r="AV919">
            <v>0</v>
          </cell>
          <cell r="AW919">
            <v>0.16498270088568245</v>
          </cell>
          <cell r="AX919">
            <v>0.10528646040742344</v>
          </cell>
          <cell r="AY919">
            <v>0.10628646040742344</v>
          </cell>
          <cell r="AZ919">
            <v>0.10728646040742344</v>
          </cell>
          <cell r="BA919">
            <v>0.10828646040742344</v>
          </cell>
          <cell r="BF919">
            <v>0</v>
          </cell>
          <cell r="BG919">
            <v>0</v>
          </cell>
          <cell r="BH919">
            <v>0</v>
          </cell>
          <cell r="BI919">
            <v>-351.99</v>
          </cell>
          <cell r="BJ919">
            <v>4681.92</v>
          </cell>
          <cell r="BK919">
            <v>9169.7800000000007</v>
          </cell>
          <cell r="BL919">
            <v>6478.3636668599975</v>
          </cell>
          <cell r="BM919">
            <v>19978.07366686</v>
          </cell>
          <cell r="BN919">
            <v>5939.2502933023161</v>
          </cell>
          <cell r="BO919">
            <v>0</v>
          </cell>
          <cell r="BP919">
            <v>0</v>
          </cell>
          <cell r="BQ919">
            <v>0</v>
          </cell>
          <cell r="BR919">
            <v>25917.323960162317</v>
          </cell>
          <cell r="BT919">
            <v>0</v>
          </cell>
          <cell r="CA919" t="str">
            <v>003208 - EBITA - Base</v>
          </cell>
          <cell r="CC919" t="str">
            <v>003208 - EBITA - Base - IS4</v>
          </cell>
          <cell r="CD919" t="str">
            <v/>
          </cell>
          <cell r="CF919" t="str">
            <v>003208 - Base - IS4</v>
          </cell>
        </row>
        <row r="920">
          <cell r="D920">
            <v>906</v>
          </cell>
          <cell r="E920">
            <v>0</v>
          </cell>
          <cell r="F920">
            <v>0</v>
          </cell>
          <cell r="G920" t="str">
            <v>003208</v>
          </cell>
          <cell r="H920" t="str">
            <v>G2 Ops</v>
          </cell>
          <cell r="I920" t="str">
            <v>IS4</v>
          </cell>
          <cell r="J920" t="str">
            <v>IS4 Sustainment Engineering and Acquisition</v>
          </cell>
          <cell r="K920" t="str">
            <v>Navy</v>
          </cell>
          <cell r="L920" t="str">
            <v>DOD</v>
          </cell>
          <cell r="M920" t="str">
            <v>CA</v>
          </cell>
          <cell r="N920" t="str">
            <v>CONUS</v>
          </cell>
          <cell r="O920">
            <v>0</v>
          </cell>
          <cell r="P920">
            <v>0</v>
          </cell>
          <cell r="Q920">
            <v>0</v>
          </cell>
          <cell r="R920" t="str">
            <v>T&amp;M</v>
          </cell>
          <cell r="S920">
            <v>0</v>
          </cell>
          <cell r="T920">
            <v>1</v>
          </cell>
          <cell r="U920" t="str">
            <v>EBITA</v>
          </cell>
          <cell r="V920" t="str">
            <v>Identified - Recompete</v>
          </cell>
          <cell r="W920">
            <v>0</v>
          </cell>
          <cell r="X920">
            <v>0</v>
          </cell>
          <cell r="Y920">
            <v>0</v>
          </cell>
          <cell r="Z920">
            <v>0</v>
          </cell>
          <cell r="AA920">
            <v>0</v>
          </cell>
          <cell r="AB920">
            <v>0</v>
          </cell>
          <cell r="AC920">
            <v>0</v>
          </cell>
          <cell r="AD920">
            <v>0</v>
          </cell>
          <cell r="AX920">
            <v>0</v>
          </cell>
          <cell r="AY920">
            <v>0</v>
          </cell>
          <cell r="AZ920">
            <v>0</v>
          </cell>
          <cell r="BA920">
            <v>0</v>
          </cell>
          <cell r="BI920">
            <v>0</v>
          </cell>
          <cell r="BJ920">
            <v>0</v>
          </cell>
          <cell r="BK920">
            <v>0</v>
          </cell>
          <cell r="BL920">
            <v>0</v>
          </cell>
          <cell r="BM920">
            <v>0</v>
          </cell>
          <cell r="BN920">
            <v>0</v>
          </cell>
          <cell r="BO920">
            <v>0</v>
          </cell>
          <cell r="BP920">
            <v>0</v>
          </cell>
          <cell r="BQ920">
            <v>0</v>
          </cell>
          <cell r="BR920">
            <v>0</v>
          </cell>
          <cell r="BT920">
            <v>0</v>
          </cell>
          <cell r="CA920" t="str">
            <v>003208 - EBITA - Identified - Recompete</v>
          </cell>
          <cell r="CC920" t="str">
            <v>003208 - EBITA - Identified - Recompete - IS4</v>
          </cell>
          <cell r="CD920" t="str">
            <v/>
          </cell>
          <cell r="CF920" t="str">
            <v>003208 - Identified - Recompete - IS4</v>
          </cell>
        </row>
        <row r="921">
          <cell r="D921">
            <v>907</v>
          </cell>
          <cell r="E921">
            <v>1</v>
          </cell>
          <cell r="F921">
            <v>1</v>
          </cell>
          <cell r="G921" t="str">
            <v>CUIPRG</v>
          </cell>
          <cell r="H921" t="str">
            <v>CUI Prog Supp Serv</v>
          </cell>
          <cell r="I921" t="str">
            <v>IS4</v>
          </cell>
          <cell r="J921" t="str">
            <v>IS4 Engineering and Technology Services</v>
          </cell>
          <cell r="K921" t="str">
            <v>DOJ</v>
          </cell>
          <cell r="L921" t="str">
            <v>DOJ</v>
          </cell>
          <cell r="M921" t="str">
            <v>DC</v>
          </cell>
          <cell r="N921" t="str">
            <v>CONUS</v>
          </cell>
          <cell r="O921">
            <v>43009</v>
          </cell>
          <cell r="P921">
            <v>44834</v>
          </cell>
          <cell r="Q921" t="str">
            <v>Sub</v>
          </cell>
          <cell r="R921" t="str">
            <v>T&amp;M</v>
          </cell>
          <cell r="S921">
            <v>0</v>
          </cell>
          <cell r="T921">
            <v>1</v>
          </cell>
          <cell r="U921" t="str">
            <v>REVTOT</v>
          </cell>
          <cell r="V921" t="str">
            <v>Base</v>
          </cell>
          <cell r="W921" t="str">
            <v>05 Won</v>
          </cell>
          <cell r="X921" t="str">
            <v>Active</v>
          </cell>
          <cell r="Y921">
            <v>1</v>
          </cell>
          <cell r="Z921">
            <v>0</v>
          </cell>
          <cell r="AA921">
            <v>159782.96999999997</v>
          </cell>
          <cell r="AB921">
            <v>492774</v>
          </cell>
          <cell r="AC921">
            <v>0</v>
          </cell>
          <cell r="AD921">
            <v>652556.97</v>
          </cell>
          <cell r="AE921">
            <v>0</v>
          </cell>
          <cell r="AF921">
            <v>0</v>
          </cell>
          <cell r="AG921">
            <v>0.85376456347213203</v>
          </cell>
          <cell r="AH921">
            <v>0.57137379862042881</v>
          </cell>
          <cell r="AI921">
            <v>0</v>
          </cell>
          <cell r="AJ921">
            <v>0</v>
          </cell>
          <cell r="AK921">
            <v>0</v>
          </cell>
          <cell r="BB921">
            <v>160822</v>
          </cell>
          <cell r="BC921">
            <v>160822</v>
          </cell>
          <cell r="BD921">
            <v>160822</v>
          </cell>
          <cell r="BE921">
            <v>160822</v>
          </cell>
          <cell r="BF921">
            <v>0</v>
          </cell>
          <cell r="BG921">
            <v>0</v>
          </cell>
          <cell r="BH921">
            <v>55209.19</v>
          </cell>
          <cell r="BI921">
            <v>0</v>
          </cell>
          <cell r="BJ921">
            <v>22088.880000000001</v>
          </cell>
          <cell r="BK921">
            <v>40830.959999999999</v>
          </cell>
          <cell r="BL921">
            <v>39425</v>
          </cell>
          <cell r="BM921">
            <v>102344.84</v>
          </cell>
          <cell r="BN921">
            <v>160822</v>
          </cell>
          <cell r="BO921">
            <v>160822</v>
          </cell>
          <cell r="BP921">
            <v>160822</v>
          </cell>
          <cell r="BQ921">
            <v>160822</v>
          </cell>
          <cell r="BR921">
            <v>745632.84</v>
          </cell>
          <cell r="BT921">
            <v>0</v>
          </cell>
          <cell r="CA921" t="str">
            <v>CUIPRG - REVTOT - Base</v>
          </cell>
          <cell r="CC921" t="str">
            <v>CUIPRG - REVTOT - Base - IS4</v>
          </cell>
          <cell r="CD921" t="str">
            <v/>
          </cell>
          <cell r="CF921" t="str">
            <v>CUIPRG - Base - IS4</v>
          </cell>
        </row>
        <row r="922">
          <cell r="D922">
            <v>908</v>
          </cell>
          <cell r="E922">
            <v>1</v>
          </cell>
          <cell r="F922">
            <v>2</v>
          </cell>
          <cell r="G922" t="str">
            <v>CUIPRG</v>
          </cell>
          <cell r="H922" t="str">
            <v>CUI Prog Supp Serv</v>
          </cell>
          <cell r="I922" t="str">
            <v>IS4</v>
          </cell>
          <cell r="J922" t="str">
            <v>IS4 Engineering and Technology Services</v>
          </cell>
          <cell r="K922" t="str">
            <v>DOJ</v>
          </cell>
          <cell r="L922" t="str">
            <v>DOJ</v>
          </cell>
          <cell r="M922" t="str">
            <v>DC</v>
          </cell>
          <cell r="N922" t="str">
            <v>CONUS</v>
          </cell>
          <cell r="O922">
            <v>0</v>
          </cell>
          <cell r="P922">
            <v>0</v>
          </cell>
          <cell r="Q922">
            <v>0</v>
          </cell>
          <cell r="R922" t="str">
            <v>T&amp;M</v>
          </cell>
          <cell r="S922">
            <v>0</v>
          </cell>
          <cell r="T922">
            <v>1</v>
          </cell>
          <cell r="U922" t="str">
            <v>REVTOT</v>
          </cell>
          <cell r="V922" t="str">
            <v>Identified - Recompete</v>
          </cell>
          <cell r="W922">
            <v>0</v>
          </cell>
          <cell r="X922">
            <v>0</v>
          </cell>
          <cell r="Y922">
            <v>0</v>
          </cell>
          <cell r="Z922">
            <v>0</v>
          </cell>
          <cell r="AA922">
            <v>0</v>
          </cell>
          <cell r="AB922">
            <v>0</v>
          </cell>
          <cell r="AC922">
            <v>0</v>
          </cell>
          <cell r="AD922">
            <v>0</v>
          </cell>
          <cell r="AI922">
            <v>0</v>
          </cell>
          <cell r="AJ922">
            <v>0</v>
          </cell>
          <cell r="AK922">
            <v>0</v>
          </cell>
          <cell r="BB922">
            <v>0</v>
          </cell>
          <cell r="BC922">
            <v>0</v>
          </cell>
          <cell r="BD922">
            <v>0</v>
          </cell>
          <cell r="BE922">
            <v>0</v>
          </cell>
          <cell r="BI922">
            <v>0</v>
          </cell>
          <cell r="BJ922">
            <v>0</v>
          </cell>
          <cell r="BK922">
            <v>0</v>
          </cell>
          <cell r="BL922">
            <v>0</v>
          </cell>
          <cell r="BM922">
            <v>0</v>
          </cell>
          <cell r="BN922">
            <v>0</v>
          </cell>
          <cell r="BO922">
            <v>0</v>
          </cell>
          <cell r="BP922">
            <v>0</v>
          </cell>
          <cell r="BQ922">
            <v>0</v>
          </cell>
          <cell r="BR922">
            <v>0</v>
          </cell>
          <cell r="BT922">
            <v>0</v>
          </cell>
          <cell r="CA922" t="str">
            <v>CUIPRG - REVTOT - Identified - Recompete</v>
          </cell>
          <cell r="CC922" t="str">
            <v>CUIPRG - REVTOT - Identified - Recompete - IS4</v>
          </cell>
          <cell r="CD922" t="str">
            <v/>
          </cell>
          <cell r="CF922" t="str">
            <v>CUIPRG - Identified - Recompete - IS4</v>
          </cell>
        </row>
        <row r="923">
          <cell r="D923">
            <v>909</v>
          </cell>
          <cell r="E923">
            <v>2</v>
          </cell>
          <cell r="F923">
            <v>3</v>
          </cell>
          <cell r="G923" t="str">
            <v>CUIPRG</v>
          </cell>
          <cell r="H923" t="str">
            <v>CUI Prog Supp Serv</v>
          </cell>
          <cell r="I923" t="str">
            <v>IS4</v>
          </cell>
          <cell r="J923" t="str">
            <v>IS4 Engineering and Technology Services</v>
          </cell>
          <cell r="K923" t="str">
            <v>DOJ</v>
          </cell>
          <cell r="L923" t="str">
            <v>DOJ</v>
          </cell>
          <cell r="M923" t="str">
            <v>DC</v>
          </cell>
          <cell r="N923" t="str">
            <v>CONUS</v>
          </cell>
          <cell r="O923">
            <v>43009</v>
          </cell>
          <cell r="P923">
            <v>44834</v>
          </cell>
          <cell r="Q923" t="str">
            <v>Sub</v>
          </cell>
          <cell r="R923" t="str">
            <v>T&amp;M</v>
          </cell>
          <cell r="S923">
            <v>0</v>
          </cell>
          <cell r="T923">
            <v>1</v>
          </cell>
          <cell r="U923" t="str">
            <v>CONTRACT</v>
          </cell>
          <cell r="V923" t="str">
            <v>Base</v>
          </cell>
          <cell r="W923" t="str">
            <v>05 Won</v>
          </cell>
          <cell r="X923" t="str">
            <v>Active</v>
          </cell>
          <cell r="Y923">
            <v>1</v>
          </cell>
          <cell r="Z923">
            <v>0</v>
          </cell>
          <cell r="AA923">
            <v>159782.96999999997</v>
          </cell>
          <cell r="AB923">
            <v>492774</v>
          </cell>
          <cell r="AC923">
            <v>0</v>
          </cell>
          <cell r="AD923">
            <v>652556.97</v>
          </cell>
          <cell r="AL923">
            <v>0</v>
          </cell>
          <cell r="AM923">
            <v>0</v>
          </cell>
          <cell r="AN923">
            <v>0.36229638580098716</v>
          </cell>
          <cell r="AO923">
            <v>0.32996113922304243</v>
          </cell>
          <cell r="AP923">
            <v>0.31467141808956489</v>
          </cell>
          <cell r="AQ923">
            <v>0.31467141808956489</v>
          </cell>
          <cell r="AR923">
            <v>0.31467141808956489</v>
          </cell>
          <cell r="AS923">
            <v>0.31467141808956489</v>
          </cell>
          <cell r="BF923">
            <v>0</v>
          </cell>
          <cell r="BG923">
            <v>0</v>
          </cell>
          <cell r="BH923">
            <v>20002.090000000004</v>
          </cell>
          <cell r="BI923">
            <v>-141.08000000000001</v>
          </cell>
          <cell r="BJ923">
            <v>7581.7300000000014</v>
          </cell>
          <cell r="BK923">
            <v>13765.169999999998</v>
          </cell>
          <cell r="BL923">
            <v>12564</v>
          </cell>
          <cell r="BM923">
            <v>33769.82</v>
          </cell>
          <cell r="BN923">
            <v>50606.086800000005</v>
          </cell>
          <cell r="BO923">
            <v>50606.086800000005</v>
          </cell>
          <cell r="BP923">
            <v>50606.086800000005</v>
          </cell>
          <cell r="BQ923">
            <v>50606.086800000005</v>
          </cell>
          <cell r="BR923">
            <v>236194.16719999997</v>
          </cell>
          <cell r="BT923">
            <v>0</v>
          </cell>
          <cell r="CA923" t="str">
            <v>CUIPRG - CONTRACT - Base</v>
          </cell>
          <cell r="CC923" t="str">
            <v>CUIPRG - CONTRACT - Base - IS4</v>
          </cell>
          <cell r="CD923" t="str">
            <v/>
          </cell>
          <cell r="CF923" t="str">
            <v>CUIPRG - Base - IS4</v>
          </cell>
        </row>
        <row r="924">
          <cell r="D924">
            <v>910</v>
          </cell>
          <cell r="E924">
            <v>2</v>
          </cell>
          <cell r="F924">
            <v>4</v>
          </cell>
          <cell r="G924" t="str">
            <v>CUIPRG</v>
          </cell>
          <cell r="H924" t="str">
            <v>CUI Prog Supp Serv</v>
          </cell>
          <cell r="I924" t="str">
            <v>IS4</v>
          </cell>
          <cell r="J924" t="str">
            <v>IS4 Engineering and Technology Services</v>
          </cell>
          <cell r="K924" t="str">
            <v>DOJ</v>
          </cell>
          <cell r="L924" t="str">
            <v>DOJ</v>
          </cell>
          <cell r="M924" t="str">
            <v>DC</v>
          </cell>
          <cell r="N924" t="str">
            <v>CONUS</v>
          </cell>
          <cell r="O924">
            <v>0</v>
          </cell>
          <cell r="P924">
            <v>0</v>
          </cell>
          <cell r="Q924">
            <v>0</v>
          </cell>
          <cell r="R924" t="str">
            <v>T&amp;M</v>
          </cell>
          <cell r="S924">
            <v>0</v>
          </cell>
          <cell r="T924">
            <v>1</v>
          </cell>
          <cell r="U924" t="str">
            <v>CONTRACT</v>
          </cell>
          <cell r="V924" t="str">
            <v>Identified - Recompete</v>
          </cell>
          <cell r="W924">
            <v>0</v>
          </cell>
          <cell r="X924">
            <v>0</v>
          </cell>
          <cell r="Y924">
            <v>0</v>
          </cell>
          <cell r="Z924">
            <v>0</v>
          </cell>
          <cell r="AA924">
            <v>0</v>
          </cell>
          <cell r="AB924">
            <v>0</v>
          </cell>
          <cell r="AC924">
            <v>0</v>
          </cell>
          <cell r="AD924">
            <v>0</v>
          </cell>
          <cell r="AP924">
            <v>0</v>
          </cell>
          <cell r="AQ924">
            <v>0</v>
          </cell>
          <cell r="AR924">
            <v>0</v>
          </cell>
          <cell r="AS924">
            <v>0</v>
          </cell>
          <cell r="BI924">
            <v>0</v>
          </cell>
          <cell r="BJ924">
            <v>0</v>
          </cell>
          <cell r="BK924">
            <v>0</v>
          </cell>
          <cell r="BL924">
            <v>0</v>
          </cell>
          <cell r="BM924">
            <v>0</v>
          </cell>
          <cell r="BN924">
            <v>0</v>
          </cell>
          <cell r="BO924">
            <v>0</v>
          </cell>
          <cell r="BP924">
            <v>0</v>
          </cell>
          <cell r="BQ924">
            <v>0</v>
          </cell>
          <cell r="BR924">
            <v>0</v>
          </cell>
          <cell r="BT924">
            <v>0</v>
          </cell>
          <cell r="CA924" t="str">
            <v>CUIPRG - CONTRACT - Identified - Recompete</v>
          </cell>
          <cell r="CC924" t="str">
            <v>CUIPRG - CONTRACT - Identified - Recompete - IS4</v>
          </cell>
          <cell r="CD924" t="str">
            <v/>
          </cell>
          <cell r="CF924" t="str">
            <v>CUIPRG - Identified - Recompete - IS4</v>
          </cell>
        </row>
        <row r="925">
          <cell r="D925">
            <v>911</v>
          </cell>
          <cell r="E925">
            <v>0</v>
          </cell>
          <cell r="F925">
            <v>5</v>
          </cell>
          <cell r="G925" t="str">
            <v>CUIPRG</v>
          </cell>
          <cell r="H925" t="str">
            <v>CUI Prog Supp Serv</v>
          </cell>
          <cell r="I925" t="str">
            <v>IS4</v>
          </cell>
          <cell r="J925" t="str">
            <v>IS4 Engineering and Technology Services</v>
          </cell>
          <cell r="K925" t="str">
            <v>DOJ</v>
          </cell>
          <cell r="L925" t="str">
            <v>DOJ</v>
          </cell>
          <cell r="M925" t="str">
            <v>DC</v>
          </cell>
          <cell r="N925" t="str">
            <v>CONUS</v>
          </cell>
          <cell r="O925">
            <v>43009</v>
          </cell>
          <cell r="P925">
            <v>44834</v>
          </cell>
          <cell r="Q925" t="str">
            <v>Sub</v>
          </cell>
          <cell r="R925" t="str">
            <v>T&amp;M</v>
          </cell>
          <cell r="S925">
            <v>0</v>
          </cell>
          <cell r="T925">
            <v>1</v>
          </cell>
          <cell r="U925" t="str">
            <v>EBITA</v>
          </cell>
          <cell r="V925" t="str">
            <v>Base</v>
          </cell>
          <cell r="W925" t="str">
            <v>05 Won</v>
          </cell>
          <cell r="X925" t="str">
            <v>Active</v>
          </cell>
          <cell r="Y925">
            <v>1</v>
          </cell>
          <cell r="Z925">
            <v>0</v>
          </cell>
          <cell r="AA925">
            <v>159782.96999999997</v>
          </cell>
          <cell r="AB925">
            <v>492774</v>
          </cell>
          <cell r="AC925">
            <v>0</v>
          </cell>
          <cell r="AD925">
            <v>652556.97</v>
          </cell>
          <cell r="AT925">
            <v>0</v>
          </cell>
          <cell r="AU925">
            <v>0</v>
          </cell>
          <cell r="AV925">
            <v>0.26515042151496881</v>
          </cell>
          <cell r="AW925">
            <v>0.22264561652546427</v>
          </cell>
          <cell r="AX925">
            <v>0.20629218517961551</v>
          </cell>
          <cell r="AY925">
            <v>0.20729218517961551</v>
          </cell>
          <cell r="AZ925">
            <v>0.20829218517961551</v>
          </cell>
          <cell r="BA925">
            <v>0.20929218517961551</v>
          </cell>
          <cell r="BF925">
            <v>0</v>
          </cell>
          <cell r="BG925">
            <v>0</v>
          </cell>
          <cell r="BH925">
            <v>14638.740000000002</v>
          </cell>
          <cell r="BI925">
            <v>-164.01000000000002</v>
          </cell>
          <cell r="BJ925">
            <v>5256.7800000000007</v>
          </cell>
          <cell r="BK925">
            <v>9428.8599999999969</v>
          </cell>
          <cell r="BL925">
            <v>8265</v>
          </cell>
          <cell r="BM925">
            <v>22786.629999999997</v>
          </cell>
          <cell r="BN925">
            <v>33176.321804956126</v>
          </cell>
          <cell r="BO925">
            <v>33337.143804956126</v>
          </cell>
          <cell r="BP925">
            <v>33497.965804956126</v>
          </cell>
          <cell r="BQ925">
            <v>33658.787804956126</v>
          </cell>
          <cell r="BR925">
            <v>156456.84921982448</v>
          </cell>
          <cell r="BT925">
            <v>0</v>
          </cell>
          <cell r="CA925" t="str">
            <v>CUIPRG - EBITA - Base</v>
          </cell>
          <cell r="CC925" t="str">
            <v>CUIPRG - EBITA - Base - IS4</v>
          </cell>
          <cell r="CD925" t="str">
            <v/>
          </cell>
          <cell r="CF925" t="str">
            <v>CUIPRG - Base - IS4</v>
          </cell>
        </row>
        <row r="926">
          <cell r="D926">
            <v>912</v>
          </cell>
          <cell r="E926">
            <v>0</v>
          </cell>
          <cell r="F926">
            <v>0</v>
          </cell>
          <cell r="G926" t="str">
            <v>CUIPRG</v>
          </cell>
          <cell r="H926" t="str">
            <v>CUI Prog Supp Serv</v>
          </cell>
          <cell r="I926" t="str">
            <v>IS4</v>
          </cell>
          <cell r="J926" t="str">
            <v>IS4 Engineering and Technology Services</v>
          </cell>
          <cell r="K926" t="str">
            <v>DOJ</v>
          </cell>
          <cell r="L926" t="str">
            <v>DOJ</v>
          </cell>
          <cell r="M926" t="str">
            <v>DC</v>
          </cell>
          <cell r="N926" t="str">
            <v>CONUS</v>
          </cell>
          <cell r="O926">
            <v>0</v>
          </cell>
          <cell r="P926">
            <v>0</v>
          </cell>
          <cell r="Q926">
            <v>0</v>
          </cell>
          <cell r="R926" t="str">
            <v>T&amp;M</v>
          </cell>
          <cell r="S926">
            <v>0</v>
          </cell>
          <cell r="T926">
            <v>1</v>
          </cell>
          <cell r="U926" t="str">
            <v>EBITA</v>
          </cell>
          <cell r="V926" t="str">
            <v>Identified - Recompete</v>
          </cell>
          <cell r="W926">
            <v>0</v>
          </cell>
          <cell r="X926">
            <v>0</v>
          </cell>
          <cell r="Y926">
            <v>0</v>
          </cell>
          <cell r="Z926">
            <v>0</v>
          </cell>
          <cell r="AA926">
            <v>0</v>
          </cell>
          <cell r="AB926">
            <v>0</v>
          </cell>
          <cell r="AC926">
            <v>0</v>
          </cell>
          <cell r="AD926">
            <v>0</v>
          </cell>
          <cell r="AX926">
            <v>0</v>
          </cell>
          <cell r="AY926">
            <v>0</v>
          </cell>
          <cell r="AZ926">
            <v>0</v>
          </cell>
          <cell r="BA926">
            <v>0</v>
          </cell>
          <cell r="BI926">
            <v>0</v>
          </cell>
          <cell r="BJ926">
            <v>0</v>
          </cell>
          <cell r="BK926">
            <v>0</v>
          </cell>
          <cell r="BL926">
            <v>0</v>
          </cell>
          <cell r="BM926">
            <v>0</v>
          </cell>
          <cell r="BN926">
            <v>0</v>
          </cell>
          <cell r="BO926">
            <v>0</v>
          </cell>
          <cell r="BP926">
            <v>0</v>
          </cell>
          <cell r="BQ926">
            <v>0</v>
          </cell>
          <cell r="BR926">
            <v>0</v>
          </cell>
          <cell r="BT926">
            <v>0</v>
          </cell>
          <cell r="CA926" t="str">
            <v>CUIPRG - EBITA - Identified - Recompete</v>
          </cell>
          <cell r="CC926" t="str">
            <v>CUIPRG - EBITA - Identified - Recompete - IS4</v>
          </cell>
          <cell r="CD926" t="str">
            <v/>
          </cell>
          <cell r="CF926" t="str">
            <v>CUIPRG - Identified - Recompete - IS4</v>
          </cell>
        </row>
        <row r="927">
          <cell r="D927">
            <v>913</v>
          </cell>
          <cell r="E927">
            <v>1</v>
          </cell>
          <cell r="F927">
            <v>1</v>
          </cell>
          <cell r="G927" t="str">
            <v>FGRBMR</v>
          </cell>
          <cell r="H927" t="str">
            <v>Fighter Bomber</v>
          </cell>
          <cell r="I927" t="str">
            <v>IS4</v>
          </cell>
          <cell r="J927" t="str">
            <v>IS4 Spectrum &amp; Infrastructure Assurance</v>
          </cell>
          <cell r="K927" t="str">
            <v>Air Force</v>
          </cell>
          <cell r="L927" t="str">
            <v>DOD</v>
          </cell>
          <cell r="M927" t="str">
            <v>OH</v>
          </cell>
          <cell r="N927" t="str">
            <v>CONUS</v>
          </cell>
          <cell r="O927">
            <v>42388</v>
          </cell>
          <cell r="P927">
            <v>44125</v>
          </cell>
          <cell r="Q927" t="str">
            <v>Sub</v>
          </cell>
          <cell r="R927" t="str">
            <v>T&amp;M</v>
          </cell>
          <cell r="S927">
            <v>0</v>
          </cell>
          <cell r="T927">
            <v>1</v>
          </cell>
          <cell r="U927" t="str">
            <v>REVTOT</v>
          </cell>
          <cell r="V927" t="str">
            <v>Base</v>
          </cell>
          <cell r="W927" t="str">
            <v>05 Won</v>
          </cell>
          <cell r="X927" t="str">
            <v>Active</v>
          </cell>
          <cell r="Y927">
            <v>1</v>
          </cell>
          <cell r="Z927">
            <v>0</v>
          </cell>
          <cell r="AA927">
            <v>374584.62000000017</v>
          </cell>
          <cell r="AB927">
            <v>0.40000000002328306</v>
          </cell>
          <cell r="AC927">
            <v>0</v>
          </cell>
          <cell r="AD927">
            <v>374585.02000000019</v>
          </cell>
          <cell r="AE927">
            <v>1.1992504187037007</v>
          </cell>
          <cell r="AF927">
            <v>-0.54097440855082068</v>
          </cell>
          <cell r="AG927">
            <v>-0.40246007084839308</v>
          </cell>
          <cell r="AH927">
            <v>-0.42396263536113432</v>
          </cell>
          <cell r="AI927">
            <v>0</v>
          </cell>
          <cell r="AJ927">
            <v>0</v>
          </cell>
          <cell r="AK927">
            <v>0</v>
          </cell>
          <cell r="BB927">
            <v>103298.92</v>
          </cell>
          <cell r="BC927">
            <v>103298.92</v>
          </cell>
          <cell r="BD927">
            <v>103298.92</v>
          </cell>
          <cell r="BE927">
            <v>103298.92</v>
          </cell>
          <cell r="BF927">
            <v>297280.63</v>
          </cell>
          <cell r="BG927">
            <v>653794.54999999993</v>
          </cell>
          <cell r="BH927">
            <v>300108.43</v>
          </cell>
          <cell r="BI927">
            <v>61684.42</v>
          </cell>
          <cell r="BJ927">
            <v>61856.759999999995</v>
          </cell>
          <cell r="BK927">
            <v>24341.66</v>
          </cell>
          <cell r="BL927">
            <v>31443.93</v>
          </cell>
          <cell r="BM927">
            <v>179326.77</v>
          </cell>
          <cell r="BN927">
            <v>103298.92</v>
          </cell>
          <cell r="BO927">
            <v>103298.92</v>
          </cell>
          <cell r="BP927">
            <v>103298.92</v>
          </cell>
          <cell r="BQ927">
            <v>64688.260000000184</v>
          </cell>
          <cell r="BR927">
            <v>553911.79000000015</v>
          </cell>
          <cell r="BT927">
            <v>0</v>
          </cell>
          <cell r="CA927" t="str">
            <v>FGRBMR - REVTOT - Base</v>
          </cell>
          <cell r="CC927" t="str">
            <v>FGRBMR - REVTOT - Base - IS4</v>
          </cell>
          <cell r="CD927" t="str">
            <v/>
          </cell>
          <cell r="CF927" t="str">
            <v>FGRBMR - Base - IS4</v>
          </cell>
        </row>
        <row r="928">
          <cell r="D928">
            <v>914</v>
          </cell>
          <cell r="E928">
            <v>1</v>
          </cell>
          <cell r="F928">
            <v>2</v>
          </cell>
          <cell r="G928" t="str">
            <v>FGRBMR</v>
          </cell>
          <cell r="H928" t="str">
            <v>Fighter Bomber</v>
          </cell>
          <cell r="I928" t="str">
            <v>IS4</v>
          </cell>
          <cell r="J928" t="str">
            <v>IS4 Spectrum &amp; Infrastructure Assurance</v>
          </cell>
          <cell r="K928" t="str">
            <v>Air Force</v>
          </cell>
          <cell r="L928" t="str">
            <v>DOD</v>
          </cell>
          <cell r="M928" t="str">
            <v>OH</v>
          </cell>
          <cell r="N928" t="str">
            <v>CONUS</v>
          </cell>
          <cell r="O928">
            <v>0</v>
          </cell>
          <cell r="P928">
            <v>0</v>
          </cell>
          <cell r="Q928">
            <v>0</v>
          </cell>
          <cell r="R928" t="str">
            <v>T&amp;M</v>
          </cell>
          <cell r="S928">
            <v>0</v>
          </cell>
          <cell r="T928">
            <v>1</v>
          </cell>
          <cell r="U928" t="str">
            <v>REVTOT</v>
          </cell>
          <cell r="V928" t="str">
            <v>Identified - Recompete</v>
          </cell>
          <cell r="W928">
            <v>0</v>
          </cell>
          <cell r="X928">
            <v>0</v>
          </cell>
          <cell r="Y928">
            <v>0</v>
          </cell>
          <cell r="Z928">
            <v>0</v>
          </cell>
          <cell r="AA928">
            <v>0</v>
          </cell>
          <cell r="AB928">
            <v>0</v>
          </cell>
          <cell r="AC928">
            <v>0</v>
          </cell>
          <cell r="AD928">
            <v>0</v>
          </cell>
          <cell r="AI928">
            <v>0</v>
          </cell>
          <cell r="AJ928">
            <v>0</v>
          </cell>
          <cell r="AK928">
            <v>0</v>
          </cell>
          <cell r="BB928">
            <v>0</v>
          </cell>
          <cell r="BC928">
            <v>0</v>
          </cell>
          <cell r="BD928">
            <v>0</v>
          </cell>
          <cell r="BE928">
            <v>0</v>
          </cell>
          <cell r="BI928">
            <v>0</v>
          </cell>
          <cell r="BJ928">
            <v>0</v>
          </cell>
          <cell r="BK928">
            <v>0</v>
          </cell>
          <cell r="BL928">
            <v>0</v>
          </cell>
          <cell r="BM928">
            <v>0</v>
          </cell>
          <cell r="BN928">
            <v>0</v>
          </cell>
          <cell r="BO928">
            <v>0</v>
          </cell>
          <cell r="BP928">
            <v>0</v>
          </cell>
          <cell r="BQ928">
            <v>0</v>
          </cell>
          <cell r="BR928">
            <v>0</v>
          </cell>
          <cell r="BT928">
            <v>0</v>
          </cell>
          <cell r="CA928" t="str">
            <v>FGRBMR - REVTOT - Identified - Recompete</v>
          </cell>
          <cell r="CC928" t="str">
            <v>FGRBMR - REVTOT - Identified - Recompete - IS4</v>
          </cell>
          <cell r="CD928" t="str">
            <v/>
          </cell>
          <cell r="CF928" t="str">
            <v>FGRBMR - Identified - Recompete - IS4</v>
          </cell>
        </row>
        <row r="929">
          <cell r="D929">
            <v>915</v>
          </cell>
          <cell r="E929">
            <v>2</v>
          </cell>
          <cell r="F929">
            <v>3</v>
          </cell>
          <cell r="G929" t="str">
            <v>FGRBMR</v>
          </cell>
          <cell r="H929" t="str">
            <v>Fighter Bomber</v>
          </cell>
          <cell r="I929" t="str">
            <v>IS4</v>
          </cell>
          <cell r="J929" t="str">
            <v>IS4 Spectrum &amp; Infrastructure Assurance</v>
          </cell>
          <cell r="K929" t="str">
            <v>Air Force</v>
          </cell>
          <cell r="L929" t="str">
            <v>DOD</v>
          </cell>
          <cell r="M929" t="str">
            <v>OH</v>
          </cell>
          <cell r="N929" t="str">
            <v>CONUS</v>
          </cell>
          <cell r="O929">
            <v>42388</v>
          </cell>
          <cell r="P929">
            <v>44125</v>
          </cell>
          <cell r="Q929" t="str">
            <v>Sub</v>
          </cell>
          <cell r="R929" t="str">
            <v>T&amp;M</v>
          </cell>
          <cell r="S929">
            <v>0</v>
          </cell>
          <cell r="T929">
            <v>1</v>
          </cell>
          <cell r="U929" t="str">
            <v>CONTRACT</v>
          </cell>
          <cell r="V929" t="str">
            <v>Base</v>
          </cell>
          <cell r="W929" t="str">
            <v>05 Won</v>
          </cell>
          <cell r="X929" t="str">
            <v>Active</v>
          </cell>
          <cell r="Y929">
            <v>1</v>
          </cell>
          <cell r="Z929">
            <v>0</v>
          </cell>
          <cell r="AA929">
            <v>374584.62000000017</v>
          </cell>
          <cell r="AB929">
            <v>0.40000000002328306</v>
          </cell>
          <cell r="AC929">
            <v>0</v>
          </cell>
          <cell r="AD929">
            <v>374585.02000000019</v>
          </cell>
          <cell r="AL929">
            <v>4.3524699204250186E-2</v>
          </cell>
          <cell r="AM929">
            <v>0.12084781067691679</v>
          </cell>
          <cell r="AN929">
            <v>0.11587855096239717</v>
          </cell>
          <cell r="AO929">
            <v>0.14912380343436735</v>
          </cell>
          <cell r="AP929">
            <v>0.19747570224354721</v>
          </cell>
          <cell r="AQ929">
            <v>0.19747570224354721</v>
          </cell>
          <cell r="AR929">
            <v>0.19747570224354721</v>
          </cell>
          <cell r="AS929">
            <v>0.19747570224354721</v>
          </cell>
          <cell r="BF929">
            <v>12939.049999999994</v>
          </cell>
          <cell r="BG929">
            <v>79009.64</v>
          </cell>
          <cell r="BH929">
            <v>34776.130000000005</v>
          </cell>
          <cell r="BI929">
            <v>7302.9199999999973</v>
          </cell>
          <cell r="BJ929">
            <v>7786.010000000002</v>
          </cell>
          <cell r="BK929">
            <v>5459.329999999999</v>
          </cell>
          <cell r="BL929">
            <v>6193.630000000001</v>
          </cell>
          <cell r="BM929">
            <v>26741.89</v>
          </cell>
          <cell r="BN929">
            <v>20399.026768000003</v>
          </cell>
          <cell r="BO929">
            <v>20399.026768000003</v>
          </cell>
          <cell r="BP929">
            <v>20399.026768000003</v>
          </cell>
          <cell r="BQ929">
            <v>12774.359570413202</v>
          </cell>
          <cell r="BR929">
            <v>100713.32987441322</v>
          </cell>
          <cell r="BT929">
            <v>0</v>
          </cell>
          <cell r="CA929" t="str">
            <v>FGRBMR - CONTRACT - Base</v>
          </cell>
          <cell r="CC929" t="str">
            <v>FGRBMR - CONTRACT - Base - IS4</v>
          </cell>
          <cell r="CD929" t="str">
            <v/>
          </cell>
          <cell r="CF929" t="str">
            <v>FGRBMR - Base - IS4</v>
          </cell>
        </row>
        <row r="930">
          <cell r="D930">
            <v>916</v>
          </cell>
          <cell r="E930">
            <v>2</v>
          </cell>
          <cell r="F930">
            <v>4</v>
          </cell>
          <cell r="G930" t="str">
            <v>FGRBMR</v>
          </cell>
          <cell r="H930" t="str">
            <v>Fighter Bomber</v>
          </cell>
          <cell r="I930" t="str">
            <v>IS4</v>
          </cell>
          <cell r="J930" t="str">
            <v>IS4 Spectrum &amp; Infrastructure Assurance</v>
          </cell>
          <cell r="K930" t="str">
            <v>Air Force</v>
          </cell>
          <cell r="L930" t="str">
            <v>DOD</v>
          </cell>
          <cell r="M930" t="str">
            <v>OH</v>
          </cell>
          <cell r="N930" t="str">
            <v>CONUS</v>
          </cell>
          <cell r="O930">
            <v>0</v>
          </cell>
          <cell r="P930">
            <v>0</v>
          </cell>
          <cell r="Q930">
            <v>0</v>
          </cell>
          <cell r="R930" t="str">
            <v>T&amp;M</v>
          </cell>
          <cell r="S930">
            <v>0</v>
          </cell>
          <cell r="T930">
            <v>1</v>
          </cell>
          <cell r="U930" t="str">
            <v>CONTRACT</v>
          </cell>
          <cell r="V930" t="str">
            <v>Identified - Recompete</v>
          </cell>
          <cell r="W930">
            <v>0</v>
          </cell>
          <cell r="X930">
            <v>0</v>
          </cell>
          <cell r="Y930">
            <v>0</v>
          </cell>
          <cell r="Z930">
            <v>0</v>
          </cell>
          <cell r="AA930">
            <v>0</v>
          </cell>
          <cell r="AB930">
            <v>0</v>
          </cell>
          <cell r="AC930">
            <v>0</v>
          </cell>
          <cell r="AD930">
            <v>0</v>
          </cell>
          <cell r="AP930">
            <v>0</v>
          </cell>
          <cell r="AQ930">
            <v>0</v>
          </cell>
          <cell r="AR930">
            <v>0</v>
          </cell>
          <cell r="AS930">
            <v>0</v>
          </cell>
          <cell r="BI930">
            <v>0</v>
          </cell>
          <cell r="BJ930">
            <v>0</v>
          </cell>
          <cell r="BK930">
            <v>0</v>
          </cell>
          <cell r="BL930">
            <v>0</v>
          </cell>
          <cell r="BM930">
            <v>0</v>
          </cell>
          <cell r="BN930">
            <v>0</v>
          </cell>
          <cell r="BO930">
            <v>0</v>
          </cell>
          <cell r="BP930">
            <v>0</v>
          </cell>
          <cell r="BQ930">
            <v>0</v>
          </cell>
          <cell r="BR930">
            <v>0</v>
          </cell>
          <cell r="BT930">
            <v>0</v>
          </cell>
          <cell r="CA930" t="str">
            <v>FGRBMR - CONTRACT - Identified - Recompete</v>
          </cell>
          <cell r="CC930" t="str">
            <v>FGRBMR - CONTRACT - Identified - Recompete - IS4</v>
          </cell>
          <cell r="CD930" t="str">
            <v/>
          </cell>
          <cell r="CF930" t="str">
            <v>FGRBMR - Identified - Recompete - IS4</v>
          </cell>
        </row>
        <row r="931">
          <cell r="D931">
            <v>917</v>
          </cell>
          <cell r="E931">
            <v>0</v>
          </cell>
          <cell r="F931">
            <v>5</v>
          </cell>
          <cell r="G931" t="str">
            <v>FGRBMR</v>
          </cell>
          <cell r="H931" t="str">
            <v>Fighter Bomber</v>
          </cell>
          <cell r="I931" t="str">
            <v>IS4</v>
          </cell>
          <cell r="J931" t="str">
            <v>IS4 Spectrum &amp; Infrastructure Assurance</v>
          </cell>
          <cell r="K931" t="str">
            <v>Air Force</v>
          </cell>
          <cell r="L931" t="str">
            <v>DOD</v>
          </cell>
          <cell r="M931" t="str">
            <v>OH</v>
          </cell>
          <cell r="N931" t="str">
            <v>CONUS</v>
          </cell>
          <cell r="O931">
            <v>42388</v>
          </cell>
          <cell r="P931">
            <v>44125</v>
          </cell>
          <cell r="Q931" t="str">
            <v>Sub</v>
          </cell>
          <cell r="R931" t="str">
            <v>T&amp;M</v>
          </cell>
          <cell r="S931">
            <v>0</v>
          </cell>
          <cell r="T931">
            <v>1</v>
          </cell>
          <cell r="U931" t="str">
            <v>EBITA</v>
          </cell>
          <cell r="V931" t="str">
            <v>Base</v>
          </cell>
          <cell r="W931" t="str">
            <v>05 Won</v>
          </cell>
          <cell r="X931" t="str">
            <v>Active</v>
          </cell>
          <cell r="Y931">
            <v>1</v>
          </cell>
          <cell r="Z931">
            <v>0</v>
          </cell>
          <cell r="AA931">
            <v>374584.62000000017</v>
          </cell>
          <cell r="AB931">
            <v>0.40000000002328306</v>
          </cell>
          <cell r="AC931">
            <v>0</v>
          </cell>
          <cell r="AD931">
            <v>374585.02000000019</v>
          </cell>
          <cell r="AT931">
            <v>-8.4040524268264638E-2</v>
          </cell>
          <cell r="AU931">
            <v>-1.450299639236822E-2</v>
          </cell>
          <cell r="AV931">
            <v>8.3727404791661634E-3</v>
          </cell>
          <cell r="AW931">
            <v>3.6667698860577261E-2</v>
          </cell>
          <cell r="AX931">
            <v>6.5500690087357635E-2</v>
          </cell>
          <cell r="AY931">
            <v>6.6500690087357636E-2</v>
          </cell>
          <cell r="AZ931">
            <v>6.7500690087357637E-2</v>
          </cell>
          <cell r="BA931">
            <v>6.8500690087357638E-2</v>
          </cell>
          <cell r="BF931">
            <v>-24983.620000000003</v>
          </cell>
          <cell r="BG931">
            <v>-9481.9800000000032</v>
          </cell>
          <cell r="BH931">
            <v>2512.730000000005</v>
          </cell>
          <cell r="BI931">
            <v>959.01999999999748</v>
          </cell>
          <cell r="BJ931">
            <v>1522.330000000002</v>
          </cell>
          <cell r="BK931">
            <v>2325.9599999999991</v>
          </cell>
          <cell r="BL931">
            <v>1768.190000000001</v>
          </cell>
          <cell r="BM931">
            <v>6575.5</v>
          </cell>
          <cell r="BN931">
            <v>6766.1505452787496</v>
          </cell>
          <cell r="BO931">
            <v>6869.4494652787489</v>
          </cell>
          <cell r="BP931">
            <v>6972.7483852787491</v>
          </cell>
          <cell r="BQ931">
            <v>4431.1904505504262</v>
          </cell>
          <cell r="BR931">
            <v>31615.038846386677</v>
          </cell>
          <cell r="BT931">
            <v>0</v>
          </cell>
          <cell r="CA931" t="str">
            <v>FGRBMR - EBITA - Base</v>
          </cell>
          <cell r="CC931" t="str">
            <v>FGRBMR - EBITA - Base - IS4</v>
          </cell>
          <cell r="CD931" t="str">
            <v/>
          </cell>
          <cell r="CF931" t="str">
            <v>FGRBMR - Base - IS4</v>
          </cell>
        </row>
        <row r="932">
          <cell r="D932">
            <v>918</v>
          </cell>
          <cell r="E932">
            <v>0</v>
          </cell>
          <cell r="F932">
            <v>0</v>
          </cell>
          <cell r="G932" t="str">
            <v>FGRBMR</v>
          </cell>
          <cell r="H932" t="str">
            <v>Fighter Bomber</v>
          </cell>
          <cell r="I932" t="str">
            <v>IS4</v>
          </cell>
          <cell r="J932" t="str">
            <v>IS4 Spectrum &amp; Infrastructure Assurance</v>
          </cell>
          <cell r="K932" t="str">
            <v>Air Force</v>
          </cell>
          <cell r="L932" t="str">
            <v>DOD</v>
          </cell>
          <cell r="M932" t="str">
            <v>OH</v>
          </cell>
          <cell r="N932" t="str">
            <v>CONUS</v>
          </cell>
          <cell r="O932">
            <v>0</v>
          </cell>
          <cell r="P932">
            <v>0</v>
          </cell>
          <cell r="Q932">
            <v>0</v>
          </cell>
          <cell r="R932" t="str">
            <v>T&amp;M</v>
          </cell>
          <cell r="S932">
            <v>0</v>
          </cell>
          <cell r="T932">
            <v>1</v>
          </cell>
          <cell r="U932" t="str">
            <v>EBITA</v>
          </cell>
          <cell r="V932" t="str">
            <v>Identified - Recompete</v>
          </cell>
          <cell r="W932">
            <v>0</v>
          </cell>
          <cell r="X932">
            <v>0</v>
          </cell>
          <cell r="Y932">
            <v>0</v>
          </cell>
          <cell r="Z932">
            <v>0</v>
          </cell>
          <cell r="AA932">
            <v>0</v>
          </cell>
          <cell r="AB932">
            <v>0</v>
          </cell>
          <cell r="AC932">
            <v>0</v>
          </cell>
          <cell r="AD932">
            <v>0</v>
          </cell>
          <cell r="AX932">
            <v>0</v>
          </cell>
          <cell r="AY932">
            <v>0</v>
          </cell>
          <cell r="AZ932">
            <v>0</v>
          </cell>
          <cell r="BA932">
            <v>0</v>
          </cell>
          <cell r="BI932">
            <v>0</v>
          </cell>
          <cell r="BJ932">
            <v>0</v>
          </cell>
          <cell r="BK932">
            <v>0</v>
          </cell>
          <cell r="BL932">
            <v>0</v>
          </cell>
          <cell r="BM932">
            <v>0</v>
          </cell>
          <cell r="BN932">
            <v>0</v>
          </cell>
          <cell r="BO932">
            <v>0</v>
          </cell>
          <cell r="BP932">
            <v>0</v>
          </cell>
          <cell r="BQ932">
            <v>0</v>
          </cell>
          <cell r="BR932">
            <v>0</v>
          </cell>
          <cell r="BT932">
            <v>0</v>
          </cell>
          <cell r="CA932" t="str">
            <v>FGRBMR - EBITA - Identified - Recompete</v>
          </cell>
          <cell r="CC932" t="str">
            <v>FGRBMR - EBITA - Identified - Recompete - IS4</v>
          </cell>
          <cell r="CD932" t="str">
            <v/>
          </cell>
          <cell r="CF932" t="str">
            <v>FGRBMR - Identified - Recompete - IS4</v>
          </cell>
        </row>
        <row r="933">
          <cell r="D933">
            <v>919</v>
          </cell>
          <cell r="E933">
            <v>1</v>
          </cell>
          <cell r="F933">
            <v>1</v>
          </cell>
          <cell r="G933" t="str">
            <v>25123I</v>
          </cell>
          <cell r="H933" t="str">
            <v>GIGBE PROGRAM ACQUISITION</v>
          </cell>
          <cell r="I933" t="str">
            <v>IS4</v>
          </cell>
          <cell r="J933" t="str">
            <v>IS4 Engineering and Technology Services</v>
          </cell>
          <cell r="K933" t="str">
            <v>DISA</v>
          </cell>
          <cell r="L933" t="str">
            <v>DOD</v>
          </cell>
          <cell r="M933" t="str">
            <v>US_State</v>
          </cell>
          <cell r="N933" t="str">
            <v>CONUS</v>
          </cell>
          <cell r="O933">
            <v>43739</v>
          </cell>
          <cell r="P933">
            <v>43830</v>
          </cell>
          <cell r="Q933" t="str">
            <v>Other</v>
          </cell>
          <cell r="R933" t="str">
            <v>T&amp;M</v>
          </cell>
          <cell r="S933">
            <v>0</v>
          </cell>
          <cell r="T933">
            <v>1</v>
          </cell>
          <cell r="U933" t="str">
            <v>REVTOT</v>
          </cell>
          <cell r="V933" t="str">
            <v>Base</v>
          </cell>
          <cell r="W933" t="str">
            <v>05 Won</v>
          </cell>
          <cell r="X933" t="str">
            <v>Active</v>
          </cell>
          <cell r="Y933">
            <v>1</v>
          </cell>
          <cell r="Z933">
            <v>0</v>
          </cell>
          <cell r="AA933">
            <v>-0.28999999999359716</v>
          </cell>
          <cell r="AB933">
            <v>0</v>
          </cell>
          <cell r="AC933">
            <v>0</v>
          </cell>
          <cell r="AD933">
            <v>-0.28999999999359716</v>
          </cell>
          <cell r="AE933">
            <v>0</v>
          </cell>
          <cell r="AF933">
            <v>0</v>
          </cell>
          <cell r="AG933">
            <v>0</v>
          </cell>
          <cell r="AH933">
            <v>-1</v>
          </cell>
          <cell r="AI933">
            <v>0</v>
          </cell>
          <cell r="AJ933">
            <v>0</v>
          </cell>
          <cell r="AK933">
            <v>0</v>
          </cell>
          <cell r="BB933">
            <v>0</v>
          </cell>
          <cell r="BC933">
            <v>0</v>
          </cell>
          <cell r="BD933">
            <v>0</v>
          </cell>
          <cell r="BE933">
            <v>0</v>
          </cell>
          <cell r="BF933">
            <v>0</v>
          </cell>
          <cell r="BG933">
            <v>0</v>
          </cell>
          <cell r="BH933">
            <v>0</v>
          </cell>
          <cell r="BI933">
            <v>0</v>
          </cell>
          <cell r="BJ933">
            <v>110241.29</v>
          </cell>
          <cell r="BK933">
            <v>0</v>
          </cell>
          <cell r="BL933">
            <v>0</v>
          </cell>
          <cell r="BM933">
            <v>110241.29</v>
          </cell>
          <cell r="BN933">
            <v>0</v>
          </cell>
          <cell r="BO933">
            <v>0</v>
          </cell>
          <cell r="BP933">
            <v>0</v>
          </cell>
          <cell r="BQ933">
            <v>0</v>
          </cell>
          <cell r="BR933">
            <v>110241.29</v>
          </cell>
          <cell r="BT933">
            <v>0</v>
          </cell>
          <cell r="CA933" t="str">
            <v>25123I - REVTOT - Base</v>
          </cell>
          <cell r="CC933" t="str">
            <v>25123I - REVTOT - Base - IS4</v>
          </cell>
          <cell r="CD933" t="str">
            <v/>
          </cell>
          <cell r="CF933" t="str">
            <v>25123I - Base - IS4</v>
          </cell>
        </row>
        <row r="934">
          <cell r="D934">
            <v>920</v>
          </cell>
          <cell r="E934">
            <v>1</v>
          </cell>
          <cell r="F934">
            <v>2</v>
          </cell>
          <cell r="G934" t="str">
            <v>25123I</v>
          </cell>
          <cell r="H934" t="str">
            <v>GIGBE PROGRAM ACQUISITION</v>
          </cell>
          <cell r="I934" t="str">
            <v>IS4</v>
          </cell>
          <cell r="J934" t="str">
            <v>IS4 Engineering and Technology Services</v>
          </cell>
          <cell r="K934" t="str">
            <v>DISA</v>
          </cell>
          <cell r="L934" t="str">
            <v>DOD</v>
          </cell>
          <cell r="M934" t="str">
            <v>US_State</v>
          </cell>
          <cell r="N934" t="str">
            <v>CONUS</v>
          </cell>
          <cell r="O934">
            <v>0</v>
          </cell>
          <cell r="P934">
            <v>0</v>
          </cell>
          <cell r="Q934">
            <v>0</v>
          </cell>
          <cell r="R934" t="str">
            <v>T&amp;M</v>
          </cell>
          <cell r="S934">
            <v>0</v>
          </cell>
          <cell r="T934">
            <v>1</v>
          </cell>
          <cell r="U934" t="str">
            <v>REVTOT</v>
          </cell>
          <cell r="V934" t="str">
            <v>Identified - Recompete</v>
          </cell>
          <cell r="W934">
            <v>0</v>
          </cell>
          <cell r="X934">
            <v>0</v>
          </cell>
          <cell r="Y934">
            <v>0</v>
          </cell>
          <cell r="Z934">
            <v>0</v>
          </cell>
          <cell r="AA934">
            <v>0</v>
          </cell>
          <cell r="AB934">
            <v>0</v>
          </cell>
          <cell r="AC934">
            <v>0</v>
          </cell>
          <cell r="AD934">
            <v>0</v>
          </cell>
          <cell r="AI934">
            <v>0</v>
          </cell>
          <cell r="AJ934">
            <v>0</v>
          </cell>
          <cell r="AK934">
            <v>0</v>
          </cell>
          <cell r="BB934">
            <v>0</v>
          </cell>
          <cell r="BC934">
            <v>0</v>
          </cell>
          <cell r="BD934">
            <v>0</v>
          </cell>
          <cell r="BE934">
            <v>0</v>
          </cell>
          <cell r="BI934">
            <v>0</v>
          </cell>
          <cell r="BJ934">
            <v>0</v>
          </cell>
          <cell r="BK934">
            <v>0</v>
          </cell>
          <cell r="BL934">
            <v>0</v>
          </cell>
          <cell r="BM934">
            <v>0</v>
          </cell>
          <cell r="BN934">
            <v>0</v>
          </cell>
          <cell r="BO934">
            <v>0</v>
          </cell>
          <cell r="BP934">
            <v>0</v>
          </cell>
          <cell r="BQ934">
            <v>0</v>
          </cell>
          <cell r="BR934">
            <v>0</v>
          </cell>
          <cell r="BT934">
            <v>0</v>
          </cell>
          <cell r="CA934" t="str">
            <v>25123I - REVTOT - Identified - Recompete</v>
          </cell>
          <cell r="CC934" t="str">
            <v>25123I - REVTOT - Identified - Recompete - IS4</v>
          </cell>
          <cell r="CD934" t="str">
            <v/>
          </cell>
          <cell r="CF934" t="str">
            <v>25123I - Identified - Recompete - IS4</v>
          </cell>
        </row>
        <row r="935">
          <cell r="D935">
            <v>921</v>
          </cell>
          <cell r="E935">
            <v>2</v>
          </cell>
          <cell r="F935">
            <v>3</v>
          </cell>
          <cell r="G935" t="str">
            <v>25123I</v>
          </cell>
          <cell r="H935" t="str">
            <v>GIGBE PROGRAM ACQUISITION</v>
          </cell>
          <cell r="I935" t="str">
            <v>IS4</v>
          </cell>
          <cell r="J935" t="str">
            <v>IS4 Engineering and Technology Services</v>
          </cell>
          <cell r="K935" t="str">
            <v>DISA</v>
          </cell>
          <cell r="L935" t="str">
            <v>DOD</v>
          </cell>
          <cell r="M935" t="str">
            <v>US_State</v>
          </cell>
          <cell r="N935" t="str">
            <v>CONUS</v>
          </cell>
          <cell r="O935">
            <v>43739</v>
          </cell>
          <cell r="P935">
            <v>43830</v>
          </cell>
          <cell r="Q935" t="str">
            <v>Other</v>
          </cell>
          <cell r="R935" t="str">
            <v>T&amp;M</v>
          </cell>
          <cell r="S935">
            <v>0</v>
          </cell>
          <cell r="T935">
            <v>1</v>
          </cell>
          <cell r="U935" t="str">
            <v>CONTRACT</v>
          </cell>
          <cell r="V935" t="str">
            <v>Base</v>
          </cell>
          <cell r="W935" t="str">
            <v>05 Won</v>
          </cell>
          <cell r="X935" t="str">
            <v>Active</v>
          </cell>
          <cell r="Y935">
            <v>1</v>
          </cell>
          <cell r="Z935">
            <v>0</v>
          </cell>
          <cell r="AA935">
            <v>-0.28999999999359716</v>
          </cell>
          <cell r="AB935">
            <v>0</v>
          </cell>
          <cell r="AC935">
            <v>0</v>
          </cell>
          <cell r="AD935">
            <v>-0.28999999999359716</v>
          </cell>
          <cell r="AL935">
            <v>0</v>
          </cell>
          <cell r="AM935">
            <v>0</v>
          </cell>
          <cell r="AN935">
            <v>0</v>
          </cell>
          <cell r="AO935">
            <v>1</v>
          </cell>
          <cell r="AP935">
            <v>1</v>
          </cell>
          <cell r="AQ935">
            <v>1</v>
          </cell>
          <cell r="AR935">
            <v>1</v>
          </cell>
          <cell r="AS935">
            <v>1</v>
          </cell>
          <cell r="BF935">
            <v>0</v>
          </cell>
          <cell r="BG935">
            <v>0</v>
          </cell>
          <cell r="BH935">
            <v>0</v>
          </cell>
          <cell r="BI935">
            <v>0</v>
          </cell>
          <cell r="BJ935">
            <v>110241.29</v>
          </cell>
          <cell r="BK935">
            <v>0</v>
          </cell>
          <cell r="BL935">
            <v>0</v>
          </cell>
          <cell r="BM935">
            <v>110241.29</v>
          </cell>
          <cell r="BN935">
            <v>0</v>
          </cell>
          <cell r="BO935">
            <v>0</v>
          </cell>
          <cell r="BP935">
            <v>0</v>
          </cell>
          <cell r="BQ935">
            <v>0</v>
          </cell>
          <cell r="BR935">
            <v>110241.29</v>
          </cell>
          <cell r="BT935">
            <v>0</v>
          </cell>
          <cell r="CA935" t="str">
            <v>25123I - CONTRACT - Base</v>
          </cell>
          <cell r="CC935" t="str">
            <v>25123I - CONTRACT - Base - IS4</v>
          </cell>
          <cell r="CD935" t="str">
            <v/>
          </cell>
          <cell r="CF935" t="str">
            <v>25123I - Base - IS4</v>
          </cell>
        </row>
        <row r="936">
          <cell r="D936">
            <v>922</v>
          </cell>
          <cell r="E936">
            <v>2</v>
          </cell>
          <cell r="F936">
            <v>4</v>
          </cell>
          <cell r="G936" t="str">
            <v>25123I</v>
          </cell>
          <cell r="H936" t="str">
            <v>GIGBE PROGRAM ACQUISITION</v>
          </cell>
          <cell r="I936" t="str">
            <v>IS4</v>
          </cell>
          <cell r="J936" t="str">
            <v>IS4 Engineering and Technology Services</v>
          </cell>
          <cell r="K936" t="str">
            <v>DISA</v>
          </cell>
          <cell r="L936" t="str">
            <v>DOD</v>
          </cell>
          <cell r="M936" t="str">
            <v>US_State</v>
          </cell>
          <cell r="N936" t="str">
            <v>CONUS</v>
          </cell>
          <cell r="O936">
            <v>0</v>
          </cell>
          <cell r="P936">
            <v>0</v>
          </cell>
          <cell r="Q936">
            <v>0</v>
          </cell>
          <cell r="R936" t="str">
            <v>T&amp;M</v>
          </cell>
          <cell r="S936">
            <v>0</v>
          </cell>
          <cell r="T936">
            <v>1</v>
          </cell>
          <cell r="U936" t="str">
            <v>CONTRACT</v>
          </cell>
          <cell r="V936" t="str">
            <v>Identified - Recompete</v>
          </cell>
          <cell r="W936">
            <v>0</v>
          </cell>
          <cell r="X936">
            <v>0</v>
          </cell>
          <cell r="Y936">
            <v>0</v>
          </cell>
          <cell r="Z936">
            <v>0</v>
          </cell>
          <cell r="AA936">
            <v>0</v>
          </cell>
          <cell r="AB936">
            <v>0</v>
          </cell>
          <cell r="AC936">
            <v>0</v>
          </cell>
          <cell r="AD936">
            <v>0</v>
          </cell>
          <cell r="AP936">
            <v>0</v>
          </cell>
          <cell r="AQ936">
            <v>0</v>
          </cell>
          <cell r="AR936">
            <v>0</v>
          </cell>
          <cell r="AS936">
            <v>0</v>
          </cell>
          <cell r="BI936">
            <v>0</v>
          </cell>
          <cell r="BJ936">
            <v>0</v>
          </cell>
          <cell r="BK936">
            <v>0</v>
          </cell>
          <cell r="BL936">
            <v>0</v>
          </cell>
          <cell r="BM936">
            <v>0</v>
          </cell>
          <cell r="BN936">
            <v>0</v>
          </cell>
          <cell r="BO936">
            <v>0</v>
          </cell>
          <cell r="BP936">
            <v>0</v>
          </cell>
          <cell r="BQ936">
            <v>0</v>
          </cell>
          <cell r="BR936">
            <v>0</v>
          </cell>
          <cell r="BT936">
            <v>0</v>
          </cell>
          <cell r="CA936" t="str">
            <v>25123I - CONTRACT - Identified - Recompete</v>
          </cell>
          <cell r="CC936" t="str">
            <v>25123I - CONTRACT - Identified - Recompete - IS4</v>
          </cell>
          <cell r="CD936" t="str">
            <v/>
          </cell>
          <cell r="CF936" t="str">
            <v>25123I - Identified - Recompete - IS4</v>
          </cell>
        </row>
        <row r="937">
          <cell r="D937">
            <v>923</v>
          </cell>
          <cell r="E937">
            <v>0</v>
          </cell>
          <cell r="F937">
            <v>5</v>
          </cell>
          <cell r="G937" t="str">
            <v>25123I</v>
          </cell>
          <cell r="H937" t="str">
            <v>GIGBE PROGRAM ACQUISITION</v>
          </cell>
          <cell r="I937" t="str">
            <v>IS4</v>
          </cell>
          <cell r="J937" t="str">
            <v>IS4 Engineering and Technology Services</v>
          </cell>
          <cell r="K937" t="str">
            <v>DISA</v>
          </cell>
          <cell r="L937" t="str">
            <v>DOD</v>
          </cell>
          <cell r="M937" t="str">
            <v>US_State</v>
          </cell>
          <cell r="N937" t="str">
            <v>CONUS</v>
          </cell>
          <cell r="O937">
            <v>43739</v>
          </cell>
          <cell r="P937">
            <v>43830</v>
          </cell>
          <cell r="Q937" t="str">
            <v>Other</v>
          </cell>
          <cell r="R937" t="str">
            <v>T&amp;M</v>
          </cell>
          <cell r="S937">
            <v>0</v>
          </cell>
          <cell r="T937">
            <v>1</v>
          </cell>
          <cell r="U937" t="str">
            <v>EBITA</v>
          </cell>
          <cell r="V937" t="str">
            <v>Base</v>
          </cell>
          <cell r="W937" t="str">
            <v>05 Won</v>
          </cell>
          <cell r="X937" t="str">
            <v>Active</v>
          </cell>
          <cell r="Y937">
            <v>1</v>
          </cell>
          <cell r="Z937">
            <v>0</v>
          </cell>
          <cell r="AA937">
            <v>-0.28999999999359716</v>
          </cell>
          <cell r="AB937">
            <v>0</v>
          </cell>
          <cell r="AC937">
            <v>0</v>
          </cell>
          <cell r="AD937">
            <v>-0.28999999999359716</v>
          </cell>
          <cell r="AT937">
            <v>0</v>
          </cell>
          <cell r="AU937">
            <v>0</v>
          </cell>
          <cell r="AV937">
            <v>0</v>
          </cell>
          <cell r="AW937">
            <v>1</v>
          </cell>
          <cell r="AX937">
            <v>1.0009999999999999</v>
          </cell>
          <cell r="AY937">
            <v>1.002</v>
          </cell>
          <cell r="AZ937">
            <v>1.0029999999999999</v>
          </cell>
          <cell r="BA937">
            <v>1.0039999999999998</v>
          </cell>
          <cell r="BF937">
            <v>0</v>
          </cell>
          <cell r="BG937">
            <v>0</v>
          </cell>
          <cell r="BH937">
            <v>0</v>
          </cell>
          <cell r="BI937">
            <v>0</v>
          </cell>
          <cell r="BJ937">
            <v>110241.29</v>
          </cell>
          <cell r="BK937">
            <v>0</v>
          </cell>
          <cell r="BL937">
            <v>0</v>
          </cell>
          <cell r="BM937">
            <v>110241.29</v>
          </cell>
          <cell r="BN937">
            <v>0</v>
          </cell>
          <cell r="BO937">
            <v>0</v>
          </cell>
          <cell r="BP937">
            <v>0</v>
          </cell>
          <cell r="BQ937">
            <v>0</v>
          </cell>
          <cell r="BR937">
            <v>110241.29</v>
          </cell>
          <cell r="BT937">
            <v>0</v>
          </cell>
          <cell r="CA937" t="str">
            <v>25123I - EBITA - Base</v>
          </cell>
          <cell r="CC937" t="str">
            <v>25123I - EBITA - Base - IS4</v>
          </cell>
          <cell r="CD937" t="str">
            <v/>
          </cell>
          <cell r="CF937" t="str">
            <v>25123I - Base - IS4</v>
          </cell>
        </row>
        <row r="938">
          <cell r="D938">
            <v>924</v>
          </cell>
          <cell r="E938">
            <v>0</v>
          </cell>
          <cell r="F938">
            <v>0</v>
          </cell>
          <cell r="G938" t="str">
            <v>25123I</v>
          </cell>
          <cell r="H938" t="str">
            <v>GIGBE PROGRAM ACQUISITION</v>
          </cell>
          <cell r="I938" t="str">
            <v>IS4</v>
          </cell>
          <cell r="J938" t="str">
            <v>IS4 Engineering and Technology Services</v>
          </cell>
          <cell r="K938" t="str">
            <v>DISA</v>
          </cell>
          <cell r="L938" t="str">
            <v>DOD</v>
          </cell>
          <cell r="M938" t="str">
            <v>US_State</v>
          </cell>
          <cell r="N938" t="str">
            <v>CONUS</v>
          </cell>
          <cell r="O938">
            <v>0</v>
          </cell>
          <cell r="P938">
            <v>0</v>
          </cell>
          <cell r="Q938">
            <v>0</v>
          </cell>
          <cell r="R938" t="str">
            <v>T&amp;M</v>
          </cell>
          <cell r="S938">
            <v>0</v>
          </cell>
          <cell r="T938">
            <v>1</v>
          </cell>
          <cell r="U938" t="str">
            <v>EBITA</v>
          </cell>
          <cell r="V938" t="str">
            <v>Identified - Recompete</v>
          </cell>
          <cell r="W938">
            <v>0</v>
          </cell>
          <cell r="X938">
            <v>0</v>
          </cell>
          <cell r="Y938">
            <v>0</v>
          </cell>
          <cell r="Z938">
            <v>0</v>
          </cell>
          <cell r="AA938">
            <v>0</v>
          </cell>
          <cell r="AB938">
            <v>0</v>
          </cell>
          <cell r="AC938">
            <v>0</v>
          </cell>
          <cell r="AD938">
            <v>0</v>
          </cell>
          <cell r="AX938">
            <v>0</v>
          </cell>
          <cell r="AY938">
            <v>0</v>
          </cell>
          <cell r="AZ938">
            <v>0</v>
          </cell>
          <cell r="BA938">
            <v>0</v>
          </cell>
          <cell r="BI938">
            <v>0</v>
          </cell>
          <cell r="BJ938">
            <v>0</v>
          </cell>
          <cell r="BK938">
            <v>0</v>
          </cell>
          <cell r="BL938">
            <v>0</v>
          </cell>
          <cell r="BM938">
            <v>0</v>
          </cell>
          <cell r="BN938">
            <v>0</v>
          </cell>
          <cell r="BO938">
            <v>0</v>
          </cell>
          <cell r="BP938">
            <v>0</v>
          </cell>
          <cell r="BQ938">
            <v>0</v>
          </cell>
          <cell r="BR938">
            <v>0</v>
          </cell>
          <cell r="BT938">
            <v>0</v>
          </cell>
          <cell r="CA938" t="str">
            <v>25123I - EBITA - Identified - Recompete</v>
          </cell>
          <cell r="CC938" t="str">
            <v>25123I - EBITA - Identified - Recompete - IS4</v>
          </cell>
          <cell r="CD938" t="str">
            <v/>
          </cell>
          <cell r="CF938" t="str">
            <v>25123I - Identified - Recompete - IS4</v>
          </cell>
        </row>
        <row r="939">
          <cell r="D939">
            <v>925</v>
          </cell>
          <cell r="E939">
            <v>1</v>
          </cell>
          <cell r="F939">
            <v>1</v>
          </cell>
          <cell r="G939" t="str">
            <v>000007</v>
          </cell>
          <cell r="H939" t="str">
            <v>Anser HD and ASA</v>
          </cell>
          <cell r="I939" t="str">
            <v>IS4</v>
          </cell>
          <cell r="J939" t="str">
            <v>IS4 Engineering and Technology Services</v>
          </cell>
          <cell r="K939" t="str">
            <v>Other DOD</v>
          </cell>
          <cell r="L939" t="str">
            <v>DOD</v>
          </cell>
          <cell r="M939" t="str">
            <v>US_State</v>
          </cell>
          <cell r="N939" t="str">
            <v>CONUS</v>
          </cell>
          <cell r="O939">
            <v>43465</v>
          </cell>
          <cell r="P939">
            <v>43646</v>
          </cell>
          <cell r="Q939" t="str">
            <v>Sub</v>
          </cell>
          <cell r="R939" t="str">
            <v>T&amp;M</v>
          </cell>
          <cell r="S939">
            <v>0</v>
          </cell>
          <cell r="T939">
            <v>1</v>
          </cell>
          <cell r="U939" t="str">
            <v>REVTOT</v>
          </cell>
          <cell r="V939" t="str">
            <v>Base</v>
          </cell>
          <cell r="W939" t="str">
            <v>05 Won</v>
          </cell>
          <cell r="X939" t="str">
            <v>Active</v>
          </cell>
          <cell r="Y939">
            <v>1</v>
          </cell>
          <cell r="Z939">
            <v>0</v>
          </cell>
          <cell r="AA939">
            <v>8.0000000009022187E-2</v>
          </cell>
          <cell r="AB939">
            <v>0</v>
          </cell>
          <cell r="AC939">
            <v>0</v>
          </cell>
          <cell r="AD939">
            <v>8.0000000009022187E-2</v>
          </cell>
          <cell r="AE939">
            <v>-6.3270896493362261E-2</v>
          </cell>
          <cell r="AF939">
            <v>-5.548083398100212E-2</v>
          </cell>
          <cell r="AG939">
            <v>-0.22418797740782725</v>
          </cell>
          <cell r="AH939">
            <v>-1</v>
          </cell>
          <cell r="AI939">
            <v>0</v>
          </cell>
          <cell r="AJ939">
            <v>0</v>
          </cell>
          <cell r="AK939">
            <v>0</v>
          </cell>
          <cell r="BB939">
            <v>0</v>
          </cell>
          <cell r="BC939">
            <v>0</v>
          </cell>
          <cell r="BD939">
            <v>0</v>
          </cell>
          <cell r="BE939">
            <v>0</v>
          </cell>
          <cell r="BF939">
            <v>370246.69</v>
          </cell>
          <cell r="BG939">
            <v>346820.85000000003</v>
          </cell>
          <cell r="BH939">
            <v>327578.94</v>
          </cell>
          <cell r="BI939">
            <v>84361.61</v>
          </cell>
          <cell r="BJ939">
            <v>65529.15</v>
          </cell>
          <cell r="BK939">
            <v>53498.92</v>
          </cell>
          <cell r="BL939">
            <v>50750</v>
          </cell>
          <cell r="BM939">
            <v>254139.68</v>
          </cell>
          <cell r="BN939">
            <v>0</v>
          </cell>
          <cell r="BO939">
            <v>0</v>
          </cell>
          <cell r="BP939">
            <v>0</v>
          </cell>
          <cell r="BQ939">
            <v>0</v>
          </cell>
          <cell r="BR939">
            <v>254139.68</v>
          </cell>
          <cell r="BT939">
            <v>0</v>
          </cell>
          <cell r="CA939" t="str">
            <v>000007 - REVTOT - Base</v>
          </cell>
          <cell r="CC939" t="str">
            <v>000007 - REVTOT - Base - IS4</v>
          </cell>
          <cell r="CD939" t="str">
            <v/>
          </cell>
          <cell r="CF939" t="str">
            <v>000007 - Base - IS4</v>
          </cell>
        </row>
        <row r="940">
          <cell r="D940">
            <v>926</v>
          </cell>
          <cell r="E940">
            <v>1</v>
          </cell>
          <cell r="F940">
            <v>2</v>
          </cell>
          <cell r="G940" t="str">
            <v>000007</v>
          </cell>
          <cell r="H940" t="str">
            <v>Anser HD and ASA</v>
          </cell>
          <cell r="I940" t="str">
            <v>IS4</v>
          </cell>
          <cell r="J940" t="str">
            <v>IS4 Engineering and Technology Services</v>
          </cell>
          <cell r="K940" t="str">
            <v>Other DOD</v>
          </cell>
          <cell r="L940" t="str">
            <v>DOD</v>
          </cell>
          <cell r="M940" t="str">
            <v>US_State</v>
          </cell>
          <cell r="N940" t="str">
            <v>CONUS</v>
          </cell>
          <cell r="O940">
            <v>0</v>
          </cell>
          <cell r="P940">
            <v>0</v>
          </cell>
          <cell r="Q940">
            <v>0</v>
          </cell>
          <cell r="R940" t="str">
            <v>T&amp;M</v>
          </cell>
          <cell r="S940">
            <v>0</v>
          </cell>
          <cell r="T940">
            <v>1</v>
          </cell>
          <cell r="U940" t="str">
            <v>REVTOT</v>
          </cell>
          <cell r="V940" t="str">
            <v>Identified - Recompete</v>
          </cell>
          <cell r="W940">
            <v>0</v>
          </cell>
          <cell r="X940">
            <v>0</v>
          </cell>
          <cell r="Y940">
            <v>0</v>
          </cell>
          <cell r="Z940">
            <v>0</v>
          </cell>
          <cell r="AA940">
            <v>0</v>
          </cell>
          <cell r="AB940">
            <v>0</v>
          </cell>
          <cell r="AC940">
            <v>0</v>
          </cell>
          <cell r="AD940">
            <v>0</v>
          </cell>
          <cell r="AI940">
            <v>0</v>
          </cell>
          <cell r="AJ940">
            <v>0</v>
          </cell>
          <cell r="AK940">
            <v>0</v>
          </cell>
          <cell r="BB940">
            <v>0</v>
          </cell>
          <cell r="BC940">
            <v>0</v>
          </cell>
          <cell r="BD940">
            <v>0</v>
          </cell>
          <cell r="BE940">
            <v>0</v>
          </cell>
          <cell r="BI940">
            <v>0</v>
          </cell>
          <cell r="BJ940">
            <v>0</v>
          </cell>
          <cell r="BK940">
            <v>0</v>
          </cell>
          <cell r="BL940">
            <v>0</v>
          </cell>
          <cell r="BM940">
            <v>0</v>
          </cell>
          <cell r="BN940">
            <v>0</v>
          </cell>
          <cell r="BO940">
            <v>0</v>
          </cell>
          <cell r="BP940">
            <v>0</v>
          </cell>
          <cell r="BQ940">
            <v>0</v>
          </cell>
          <cell r="BR940">
            <v>0</v>
          </cell>
          <cell r="BT940">
            <v>0</v>
          </cell>
          <cell r="CA940" t="str">
            <v>000007 - REVTOT - Identified - Recompete</v>
          </cell>
          <cell r="CC940" t="str">
            <v>000007 - REVTOT - Identified - Recompete - IS4</v>
          </cell>
          <cell r="CD940" t="str">
            <v/>
          </cell>
          <cell r="CF940" t="str">
            <v>000007 - Identified - Recompete - IS4</v>
          </cell>
        </row>
        <row r="941">
          <cell r="D941">
            <v>927</v>
          </cell>
          <cell r="E941">
            <v>2</v>
          </cell>
          <cell r="F941">
            <v>3</v>
          </cell>
          <cell r="G941" t="str">
            <v>000007</v>
          </cell>
          <cell r="H941" t="str">
            <v>Anser HD and ASA</v>
          </cell>
          <cell r="I941" t="str">
            <v>IS4</v>
          </cell>
          <cell r="J941" t="str">
            <v>IS4 Engineering and Technology Services</v>
          </cell>
          <cell r="K941" t="str">
            <v>Other DOD</v>
          </cell>
          <cell r="L941" t="str">
            <v>DOD</v>
          </cell>
          <cell r="M941" t="str">
            <v>US_State</v>
          </cell>
          <cell r="N941" t="str">
            <v>CONUS</v>
          </cell>
          <cell r="O941">
            <v>43465</v>
          </cell>
          <cell r="P941">
            <v>43646</v>
          </cell>
          <cell r="Q941" t="str">
            <v>Sub</v>
          </cell>
          <cell r="R941" t="str">
            <v>T&amp;M</v>
          </cell>
          <cell r="S941">
            <v>0</v>
          </cell>
          <cell r="T941">
            <v>1</v>
          </cell>
          <cell r="U941" t="str">
            <v>CONTRACT</v>
          </cell>
          <cell r="V941" t="str">
            <v>Base</v>
          </cell>
          <cell r="W941" t="str">
            <v>05 Won</v>
          </cell>
          <cell r="X941" t="str">
            <v>Active</v>
          </cell>
          <cell r="Y941">
            <v>1</v>
          </cell>
          <cell r="Z941">
            <v>0</v>
          </cell>
          <cell r="AA941">
            <v>8.0000000009022187E-2</v>
          </cell>
          <cell r="AB941">
            <v>0</v>
          </cell>
          <cell r="AC941">
            <v>0</v>
          </cell>
          <cell r="AD941">
            <v>8.0000000009022187E-2</v>
          </cell>
          <cell r="AL941">
            <v>0.17644954503171925</v>
          </cell>
          <cell r="AM941">
            <v>0.13881137768966312</v>
          </cell>
          <cell r="AN941">
            <v>0.12792891997269423</v>
          </cell>
          <cell r="AO941">
            <v>0.11690590780628982</v>
          </cell>
          <cell r="AP941">
            <v>0.14250982625192127</v>
          </cell>
          <cell r="AQ941">
            <v>0.14250982625192127</v>
          </cell>
          <cell r="AR941">
            <v>0.14250982625192127</v>
          </cell>
          <cell r="AS941">
            <v>0.14250982625192127</v>
          </cell>
          <cell r="BF941">
            <v>65329.86</v>
          </cell>
          <cell r="BG941">
            <v>48142.680000000008</v>
          </cell>
          <cell r="BH941">
            <v>41906.820000000007</v>
          </cell>
          <cell r="BI941">
            <v>8908.4099999999962</v>
          </cell>
          <cell r="BJ941">
            <v>7571.510000000002</v>
          </cell>
          <cell r="BK941">
            <v>7537.5099999999984</v>
          </cell>
          <cell r="BL941">
            <v>5693</v>
          </cell>
          <cell r="BM941">
            <v>29710.429999999997</v>
          </cell>
          <cell r="BN941">
            <v>0</v>
          </cell>
          <cell r="BO941">
            <v>0</v>
          </cell>
          <cell r="BP941">
            <v>0</v>
          </cell>
          <cell r="BQ941">
            <v>0</v>
          </cell>
          <cell r="BR941">
            <v>29710.429999999997</v>
          </cell>
          <cell r="BT941">
            <v>0</v>
          </cell>
          <cell r="CA941" t="str">
            <v>000007 - CONTRACT - Base</v>
          </cell>
          <cell r="CC941" t="str">
            <v>000007 - CONTRACT - Base - IS4</v>
          </cell>
          <cell r="CD941" t="str">
            <v/>
          </cell>
          <cell r="CF941" t="str">
            <v>000007 - Base - IS4</v>
          </cell>
        </row>
        <row r="942">
          <cell r="D942">
            <v>928</v>
          </cell>
          <cell r="E942">
            <v>2</v>
          </cell>
          <cell r="F942">
            <v>4</v>
          </cell>
          <cell r="G942" t="str">
            <v>000007</v>
          </cell>
          <cell r="H942" t="str">
            <v>Anser HD and ASA</v>
          </cell>
          <cell r="I942" t="str">
            <v>IS4</v>
          </cell>
          <cell r="J942" t="str">
            <v>IS4 Engineering and Technology Services</v>
          </cell>
          <cell r="K942" t="str">
            <v>Other DOD</v>
          </cell>
          <cell r="L942" t="str">
            <v>DOD</v>
          </cell>
          <cell r="M942" t="str">
            <v>US_State</v>
          </cell>
          <cell r="N942" t="str">
            <v>CONUS</v>
          </cell>
          <cell r="O942">
            <v>0</v>
          </cell>
          <cell r="P942">
            <v>0</v>
          </cell>
          <cell r="Q942">
            <v>0</v>
          </cell>
          <cell r="R942" t="str">
            <v>T&amp;M</v>
          </cell>
          <cell r="S942">
            <v>0</v>
          </cell>
          <cell r="T942">
            <v>1</v>
          </cell>
          <cell r="U942" t="str">
            <v>CONTRACT</v>
          </cell>
          <cell r="V942" t="str">
            <v>Identified - Recompete</v>
          </cell>
          <cell r="W942">
            <v>0</v>
          </cell>
          <cell r="X942">
            <v>0</v>
          </cell>
          <cell r="Y942">
            <v>0</v>
          </cell>
          <cell r="Z942">
            <v>0</v>
          </cell>
          <cell r="AA942">
            <v>0</v>
          </cell>
          <cell r="AB942">
            <v>0</v>
          </cell>
          <cell r="AC942">
            <v>0</v>
          </cell>
          <cell r="AD942">
            <v>0</v>
          </cell>
          <cell r="AP942">
            <v>0</v>
          </cell>
          <cell r="AQ942">
            <v>0</v>
          </cell>
          <cell r="AR942">
            <v>0</v>
          </cell>
          <cell r="AS942">
            <v>0</v>
          </cell>
          <cell r="BI942">
            <v>0</v>
          </cell>
          <cell r="BJ942">
            <v>0</v>
          </cell>
          <cell r="BK942">
            <v>0</v>
          </cell>
          <cell r="BL942">
            <v>0</v>
          </cell>
          <cell r="BM942">
            <v>0</v>
          </cell>
          <cell r="BN942">
            <v>0</v>
          </cell>
          <cell r="BO942">
            <v>0</v>
          </cell>
          <cell r="BP942">
            <v>0</v>
          </cell>
          <cell r="BQ942">
            <v>0</v>
          </cell>
          <cell r="BR942">
            <v>0</v>
          </cell>
          <cell r="BT942">
            <v>0</v>
          </cell>
          <cell r="CA942" t="str">
            <v>000007 - CONTRACT - Identified - Recompete</v>
          </cell>
          <cell r="CC942" t="str">
            <v>000007 - CONTRACT - Identified - Recompete - IS4</v>
          </cell>
          <cell r="CD942" t="str">
            <v/>
          </cell>
          <cell r="CF942" t="str">
            <v>000007 - Identified - Recompete - IS4</v>
          </cell>
        </row>
        <row r="943">
          <cell r="D943">
            <v>929</v>
          </cell>
          <cell r="E943">
            <v>0</v>
          </cell>
          <cell r="F943">
            <v>5</v>
          </cell>
          <cell r="G943" t="str">
            <v>000007</v>
          </cell>
          <cell r="H943" t="str">
            <v>Anser HD and ASA</v>
          </cell>
          <cell r="I943" t="str">
            <v>IS4</v>
          </cell>
          <cell r="J943" t="str">
            <v>IS4 Engineering and Technology Services</v>
          </cell>
          <cell r="K943" t="str">
            <v>Other DOD</v>
          </cell>
          <cell r="L943" t="str">
            <v>DOD</v>
          </cell>
          <cell r="M943" t="str">
            <v>US_State</v>
          </cell>
          <cell r="N943" t="str">
            <v>CONUS</v>
          </cell>
          <cell r="O943">
            <v>43465</v>
          </cell>
          <cell r="P943">
            <v>43646</v>
          </cell>
          <cell r="Q943" t="str">
            <v>Sub</v>
          </cell>
          <cell r="R943" t="str">
            <v>T&amp;M</v>
          </cell>
          <cell r="S943">
            <v>0</v>
          </cell>
          <cell r="T943">
            <v>1</v>
          </cell>
          <cell r="U943" t="str">
            <v>EBITA</v>
          </cell>
          <cell r="V943" t="str">
            <v>Base</v>
          </cell>
          <cell r="W943" t="str">
            <v>05 Won</v>
          </cell>
          <cell r="X943" t="str">
            <v>Active</v>
          </cell>
          <cell r="Y943">
            <v>1</v>
          </cell>
          <cell r="Z943">
            <v>0</v>
          </cell>
          <cell r="AA943">
            <v>8.0000000009022187E-2</v>
          </cell>
          <cell r="AB943">
            <v>0</v>
          </cell>
          <cell r="AC943">
            <v>0</v>
          </cell>
          <cell r="AD943">
            <v>8.0000000009022187E-2</v>
          </cell>
          <cell r="AT943">
            <v>8.6590375730300234E-2</v>
          </cell>
          <cell r="AU943">
            <v>4.7462083089871931E-2</v>
          </cell>
          <cell r="AV943">
            <v>4.8346545110622835E-2</v>
          </cell>
          <cell r="AW943">
            <v>2.820401757018029E-2</v>
          </cell>
          <cell r="AX943">
            <v>5.6071198171683649E-2</v>
          </cell>
          <cell r="AY943">
            <v>5.707119817168365E-2</v>
          </cell>
          <cell r="AZ943">
            <v>5.8071198171683651E-2</v>
          </cell>
          <cell r="BA943">
            <v>5.9071198171683652E-2</v>
          </cell>
          <cell r="BF943">
            <v>32059.799999999996</v>
          </cell>
          <cell r="BG943">
            <v>16460.840000000011</v>
          </cell>
          <cell r="BH943">
            <v>15837.310000000012</v>
          </cell>
          <cell r="BI943">
            <v>1215.0999999999963</v>
          </cell>
          <cell r="BJ943">
            <v>1901.4200000000021</v>
          </cell>
          <cell r="BK943">
            <v>2924.239999999998</v>
          </cell>
          <cell r="BL943">
            <v>1127</v>
          </cell>
          <cell r="BM943">
            <v>7167.7599999999966</v>
          </cell>
          <cell r="BN943">
            <v>0</v>
          </cell>
          <cell r="BO943">
            <v>0</v>
          </cell>
          <cell r="BP943">
            <v>0</v>
          </cell>
          <cell r="BQ943">
            <v>0</v>
          </cell>
          <cell r="BR943">
            <v>7167.7599999999966</v>
          </cell>
          <cell r="BT943">
            <v>0</v>
          </cell>
          <cell r="CA943" t="str">
            <v>000007 - EBITA - Base</v>
          </cell>
          <cell r="CC943" t="str">
            <v>000007 - EBITA - Base - IS4</v>
          </cell>
          <cell r="CD943" t="str">
            <v/>
          </cell>
          <cell r="CF943" t="str">
            <v>000007 - Base - IS4</v>
          </cell>
        </row>
        <row r="944">
          <cell r="D944">
            <v>930</v>
          </cell>
          <cell r="E944">
            <v>0</v>
          </cell>
          <cell r="F944">
            <v>0</v>
          </cell>
          <cell r="G944" t="str">
            <v>000007</v>
          </cell>
          <cell r="H944" t="str">
            <v>Anser HD and ASA</v>
          </cell>
          <cell r="I944" t="str">
            <v>IS4</v>
          </cell>
          <cell r="J944" t="str">
            <v>IS4 Engineering and Technology Services</v>
          </cell>
          <cell r="K944" t="str">
            <v>Other DOD</v>
          </cell>
          <cell r="L944" t="str">
            <v>DOD</v>
          </cell>
          <cell r="M944" t="str">
            <v>US_State</v>
          </cell>
          <cell r="N944" t="str">
            <v>CONUS</v>
          </cell>
          <cell r="O944">
            <v>0</v>
          </cell>
          <cell r="P944">
            <v>0</v>
          </cell>
          <cell r="Q944">
            <v>0</v>
          </cell>
          <cell r="R944" t="str">
            <v>T&amp;M</v>
          </cell>
          <cell r="S944">
            <v>0</v>
          </cell>
          <cell r="T944">
            <v>1</v>
          </cell>
          <cell r="U944" t="str">
            <v>EBITA</v>
          </cell>
          <cell r="V944" t="str">
            <v>Identified - Recompete</v>
          </cell>
          <cell r="W944">
            <v>0</v>
          </cell>
          <cell r="X944">
            <v>0</v>
          </cell>
          <cell r="Y944">
            <v>0</v>
          </cell>
          <cell r="Z944">
            <v>0</v>
          </cell>
          <cell r="AA944">
            <v>0</v>
          </cell>
          <cell r="AB944">
            <v>0</v>
          </cell>
          <cell r="AC944">
            <v>0</v>
          </cell>
          <cell r="AD944">
            <v>0</v>
          </cell>
          <cell r="AX944">
            <v>0</v>
          </cell>
          <cell r="AY944">
            <v>0</v>
          </cell>
          <cell r="AZ944">
            <v>0</v>
          </cell>
          <cell r="BA944">
            <v>0</v>
          </cell>
          <cell r="BI944">
            <v>0</v>
          </cell>
          <cell r="BJ944">
            <v>0</v>
          </cell>
          <cell r="BK944">
            <v>0</v>
          </cell>
          <cell r="BL944">
            <v>0</v>
          </cell>
          <cell r="BM944">
            <v>0</v>
          </cell>
          <cell r="BN944">
            <v>0</v>
          </cell>
          <cell r="BO944">
            <v>0</v>
          </cell>
          <cell r="BP944">
            <v>0</v>
          </cell>
          <cell r="BQ944">
            <v>0</v>
          </cell>
          <cell r="BR944">
            <v>0</v>
          </cell>
          <cell r="BT944">
            <v>0</v>
          </cell>
          <cell r="CA944" t="str">
            <v>000007 - EBITA - Identified - Recompete</v>
          </cell>
          <cell r="CC944" t="str">
            <v>000007 - EBITA - Identified - Recompete - IS4</v>
          </cell>
          <cell r="CD944" t="str">
            <v/>
          </cell>
          <cell r="CF944" t="str">
            <v>000007 - Identified - Recompete - IS4</v>
          </cell>
        </row>
        <row r="945">
          <cell r="D945">
            <v>931</v>
          </cell>
          <cell r="E945">
            <v>1</v>
          </cell>
          <cell r="F945">
            <v>1</v>
          </cell>
          <cell r="G945" t="str">
            <v>003586</v>
          </cell>
          <cell r="H945" t="str">
            <v>CEMAT (3586)</v>
          </cell>
          <cell r="I945" t="str">
            <v>IS4</v>
          </cell>
          <cell r="J945" t="str">
            <v>IS4 Sustainment Engineering and Acquisition</v>
          </cell>
          <cell r="K945" t="str">
            <v>Navy</v>
          </cell>
          <cell r="L945" t="str">
            <v>DOD</v>
          </cell>
          <cell r="M945" t="str">
            <v>VA</v>
          </cell>
          <cell r="N945" t="str">
            <v>CONUS</v>
          </cell>
          <cell r="O945">
            <v>43353</v>
          </cell>
          <cell r="P945">
            <v>43708</v>
          </cell>
          <cell r="Q945" t="str">
            <v>Sub</v>
          </cell>
          <cell r="R945" t="str">
            <v>T&amp;M</v>
          </cell>
          <cell r="S945">
            <v>0</v>
          </cell>
          <cell r="T945">
            <v>1</v>
          </cell>
          <cell r="U945" t="str">
            <v>REVTOT</v>
          </cell>
          <cell r="V945" t="str">
            <v>Base</v>
          </cell>
          <cell r="W945" t="str">
            <v>05 Won</v>
          </cell>
          <cell r="X945" t="str">
            <v>Active</v>
          </cell>
          <cell r="Y945">
            <v>1</v>
          </cell>
          <cell r="Z945">
            <v>0</v>
          </cell>
          <cell r="AA945">
            <v>23651.519999999971</v>
          </cell>
          <cell r="AB945">
            <v>0</v>
          </cell>
          <cell r="AC945">
            <v>0</v>
          </cell>
          <cell r="AD945">
            <v>23651.519999999971</v>
          </cell>
          <cell r="AE945">
            <v>0</v>
          </cell>
          <cell r="AF945">
            <v>0</v>
          </cell>
          <cell r="AG945">
            <v>40.172806267164923</v>
          </cell>
          <cell r="AH945">
            <v>-0.74136906154823956</v>
          </cell>
          <cell r="AI945">
            <v>0</v>
          </cell>
          <cell r="AJ945">
            <v>0</v>
          </cell>
          <cell r="AK945">
            <v>0</v>
          </cell>
          <cell r="BB945">
            <v>96261</v>
          </cell>
          <cell r="BC945">
            <v>96261</v>
          </cell>
          <cell r="BD945">
            <v>96261</v>
          </cell>
          <cell r="BE945">
            <v>96261</v>
          </cell>
          <cell r="BF945">
            <v>0</v>
          </cell>
          <cell r="BG945">
            <v>0</v>
          </cell>
          <cell r="BH945">
            <v>2221.1</v>
          </cell>
          <cell r="BI945">
            <v>25673.8</v>
          </cell>
          <cell r="BJ945">
            <v>21542.880000000001</v>
          </cell>
          <cell r="BK945">
            <v>26136.42</v>
          </cell>
          <cell r="BL945">
            <v>18095.82</v>
          </cell>
          <cell r="BM945">
            <v>91448.920000000013</v>
          </cell>
          <cell r="BN945">
            <v>23651.519999999971</v>
          </cell>
          <cell r="BO945">
            <v>0</v>
          </cell>
          <cell r="BP945">
            <v>0</v>
          </cell>
          <cell r="BQ945">
            <v>0</v>
          </cell>
          <cell r="BR945">
            <v>115100.43999999999</v>
          </cell>
          <cell r="BT945">
            <v>0</v>
          </cell>
          <cell r="CA945" t="str">
            <v>003586 - REVTOT - Base</v>
          </cell>
          <cell r="CC945" t="str">
            <v>003586 - REVTOT - Base - IS4</v>
          </cell>
          <cell r="CD945" t="str">
            <v/>
          </cell>
          <cell r="CF945" t="str">
            <v>003586 - Base - IS4</v>
          </cell>
        </row>
        <row r="946">
          <cell r="D946">
            <v>932</v>
          </cell>
          <cell r="E946">
            <v>1</v>
          </cell>
          <cell r="F946">
            <v>2</v>
          </cell>
          <cell r="G946" t="str">
            <v>003586</v>
          </cell>
          <cell r="H946" t="str">
            <v>CEMAT (3586)</v>
          </cell>
          <cell r="I946" t="str">
            <v>IS4</v>
          </cell>
          <cell r="J946" t="str">
            <v>IS4 Sustainment Engineering and Acquisition</v>
          </cell>
          <cell r="K946" t="str">
            <v>Navy</v>
          </cell>
          <cell r="L946" t="str">
            <v>DOD</v>
          </cell>
          <cell r="M946" t="str">
            <v>VA</v>
          </cell>
          <cell r="N946" t="str">
            <v>CONUS</v>
          </cell>
          <cell r="O946">
            <v>0</v>
          </cell>
          <cell r="P946">
            <v>0</v>
          </cell>
          <cell r="Q946">
            <v>0</v>
          </cell>
          <cell r="R946" t="str">
            <v>T&amp;M</v>
          </cell>
          <cell r="S946">
            <v>0</v>
          </cell>
          <cell r="T946">
            <v>1</v>
          </cell>
          <cell r="U946" t="str">
            <v>REVTOT</v>
          </cell>
          <cell r="V946" t="str">
            <v>Identified - Recompete</v>
          </cell>
          <cell r="W946">
            <v>0</v>
          </cell>
          <cell r="X946">
            <v>0</v>
          </cell>
          <cell r="Y946">
            <v>0</v>
          </cell>
          <cell r="Z946">
            <v>0</v>
          </cell>
          <cell r="AA946">
            <v>0</v>
          </cell>
          <cell r="AB946">
            <v>0</v>
          </cell>
          <cell r="AC946">
            <v>0</v>
          </cell>
          <cell r="AD946">
            <v>0</v>
          </cell>
          <cell r="AI946">
            <v>0</v>
          </cell>
          <cell r="AJ946">
            <v>0</v>
          </cell>
          <cell r="AK946">
            <v>0</v>
          </cell>
          <cell r="BB946">
            <v>0</v>
          </cell>
          <cell r="BC946">
            <v>0</v>
          </cell>
          <cell r="BD946">
            <v>0</v>
          </cell>
          <cell r="BE946">
            <v>0</v>
          </cell>
          <cell r="BI946">
            <v>0</v>
          </cell>
          <cell r="BJ946">
            <v>0</v>
          </cell>
          <cell r="BK946">
            <v>0</v>
          </cell>
          <cell r="BL946">
            <v>0</v>
          </cell>
          <cell r="BM946">
            <v>0</v>
          </cell>
          <cell r="BN946">
            <v>0</v>
          </cell>
          <cell r="BO946">
            <v>0</v>
          </cell>
          <cell r="BP946">
            <v>0</v>
          </cell>
          <cell r="BQ946">
            <v>0</v>
          </cell>
          <cell r="BR946">
            <v>0</v>
          </cell>
          <cell r="BT946">
            <v>0</v>
          </cell>
          <cell r="CA946" t="str">
            <v>003586 - REVTOT - Identified - Recompete</v>
          </cell>
          <cell r="CC946" t="str">
            <v>003586 - REVTOT - Identified - Recompete - IS4</v>
          </cell>
          <cell r="CD946" t="str">
            <v/>
          </cell>
          <cell r="CF946" t="str">
            <v>003586 - Identified - Recompete - IS4</v>
          </cell>
        </row>
        <row r="947">
          <cell r="D947">
            <v>933</v>
          </cell>
          <cell r="E947">
            <v>2</v>
          </cell>
          <cell r="F947">
            <v>3</v>
          </cell>
          <cell r="G947" t="str">
            <v>003586</v>
          </cell>
          <cell r="H947" t="str">
            <v>CEMAT (3586)</v>
          </cell>
          <cell r="I947" t="str">
            <v>IS4</v>
          </cell>
          <cell r="J947" t="str">
            <v>IS4 Sustainment Engineering and Acquisition</v>
          </cell>
          <cell r="K947" t="str">
            <v>Navy</v>
          </cell>
          <cell r="L947" t="str">
            <v>DOD</v>
          </cell>
          <cell r="M947" t="str">
            <v>VA</v>
          </cell>
          <cell r="N947" t="str">
            <v>CONUS</v>
          </cell>
          <cell r="O947">
            <v>43353</v>
          </cell>
          <cell r="P947">
            <v>43708</v>
          </cell>
          <cell r="Q947" t="str">
            <v>Sub</v>
          </cell>
          <cell r="R947" t="str">
            <v>T&amp;M</v>
          </cell>
          <cell r="S947">
            <v>0</v>
          </cell>
          <cell r="T947">
            <v>1</v>
          </cell>
          <cell r="U947" t="str">
            <v>CONTRACT</v>
          </cell>
          <cell r="V947" t="str">
            <v>Base</v>
          </cell>
          <cell r="W947" t="str">
            <v>05 Won</v>
          </cell>
          <cell r="X947" t="str">
            <v>Active</v>
          </cell>
          <cell r="Y947">
            <v>1</v>
          </cell>
          <cell r="Z947">
            <v>0</v>
          </cell>
          <cell r="AA947">
            <v>23651.519999999971</v>
          </cell>
          <cell r="AB947">
            <v>0</v>
          </cell>
          <cell r="AC947">
            <v>0</v>
          </cell>
          <cell r="AD947">
            <v>23651.519999999971</v>
          </cell>
          <cell r="AL947">
            <v>0</v>
          </cell>
          <cell r="AM947">
            <v>0</v>
          </cell>
          <cell r="AN947">
            <v>0.25495024987618747</v>
          </cell>
          <cell r="AO947">
            <v>0.14621801989569694</v>
          </cell>
          <cell r="AP947">
            <v>0.15087761398697291</v>
          </cell>
          <cell r="AQ947">
            <v>0.15087761398697291</v>
          </cell>
          <cell r="AR947">
            <v>0.15087761398697291</v>
          </cell>
          <cell r="AS947">
            <v>0.15087761398697291</v>
          </cell>
          <cell r="BF947">
            <v>0</v>
          </cell>
          <cell r="BG947">
            <v>0</v>
          </cell>
          <cell r="BH947">
            <v>566.27</v>
          </cell>
          <cell r="BI947">
            <v>3589.6100000000006</v>
          </cell>
          <cell r="BJ947">
            <v>3221.8100000000004</v>
          </cell>
          <cell r="BK947">
            <v>3909.49</v>
          </cell>
          <cell r="BL947">
            <v>2650.5700039999992</v>
          </cell>
          <cell r="BM947">
            <v>13371.480003999999</v>
          </cell>
          <cell r="BN947">
            <v>3568.4849047651651</v>
          </cell>
          <cell r="BO947">
            <v>0</v>
          </cell>
          <cell r="BP947">
            <v>0</v>
          </cell>
          <cell r="BQ947">
            <v>0</v>
          </cell>
          <cell r="BR947">
            <v>16939.964908765163</v>
          </cell>
          <cell r="BT947">
            <v>0</v>
          </cell>
          <cell r="CA947" t="str">
            <v>003586 - CONTRACT - Base</v>
          </cell>
          <cell r="CC947" t="str">
            <v>003586 - CONTRACT - Base - IS4</v>
          </cell>
          <cell r="CD947" t="str">
            <v/>
          </cell>
          <cell r="CF947" t="str">
            <v>003586 - Base - IS4</v>
          </cell>
        </row>
        <row r="948">
          <cell r="D948">
            <v>934</v>
          </cell>
          <cell r="E948">
            <v>2</v>
          </cell>
          <cell r="F948">
            <v>4</v>
          </cell>
          <cell r="G948" t="str">
            <v>003586</v>
          </cell>
          <cell r="H948" t="str">
            <v>CEMAT (3586)</v>
          </cell>
          <cell r="I948" t="str">
            <v>IS4</v>
          </cell>
          <cell r="J948" t="str">
            <v>IS4 Sustainment Engineering and Acquisition</v>
          </cell>
          <cell r="K948" t="str">
            <v>Navy</v>
          </cell>
          <cell r="L948" t="str">
            <v>DOD</v>
          </cell>
          <cell r="M948" t="str">
            <v>VA</v>
          </cell>
          <cell r="N948" t="str">
            <v>CONUS</v>
          </cell>
          <cell r="O948">
            <v>0</v>
          </cell>
          <cell r="P948">
            <v>0</v>
          </cell>
          <cell r="Q948">
            <v>0</v>
          </cell>
          <cell r="R948" t="str">
            <v>T&amp;M</v>
          </cell>
          <cell r="S948">
            <v>0</v>
          </cell>
          <cell r="T948">
            <v>1</v>
          </cell>
          <cell r="U948" t="str">
            <v>CONTRACT</v>
          </cell>
          <cell r="V948" t="str">
            <v>Identified - Recompete</v>
          </cell>
          <cell r="W948">
            <v>0</v>
          </cell>
          <cell r="X948">
            <v>0</v>
          </cell>
          <cell r="Y948">
            <v>0</v>
          </cell>
          <cell r="Z948">
            <v>0</v>
          </cell>
          <cell r="AA948">
            <v>0</v>
          </cell>
          <cell r="AB948">
            <v>0</v>
          </cell>
          <cell r="AC948">
            <v>0</v>
          </cell>
          <cell r="AD948">
            <v>0</v>
          </cell>
          <cell r="AP948">
            <v>0</v>
          </cell>
          <cell r="AQ948">
            <v>0</v>
          </cell>
          <cell r="AR948">
            <v>0</v>
          </cell>
          <cell r="AS948">
            <v>0</v>
          </cell>
          <cell r="BI948">
            <v>0</v>
          </cell>
          <cell r="BJ948">
            <v>0</v>
          </cell>
          <cell r="BK948">
            <v>0</v>
          </cell>
          <cell r="BL948">
            <v>0</v>
          </cell>
          <cell r="BM948">
            <v>0</v>
          </cell>
          <cell r="BN948">
            <v>0</v>
          </cell>
          <cell r="BO948">
            <v>0</v>
          </cell>
          <cell r="BP948">
            <v>0</v>
          </cell>
          <cell r="BQ948">
            <v>0</v>
          </cell>
          <cell r="BR948">
            <v>0</v>
          </cell>
          <cell r="BT948">
            <v>0</v>
          </cell>
          <cell r="CA948" t="str">
            <v>003586 - CONTRACT - Identified - Recompete</v>
          </cell>
          <cell r="CC948" t="str">
            <v>003586 - CONTRACT - Identified - Recompete - IS4</v>
          </cell>
          <cell r="CD948" t="str">
            <v/>
          </cell>
          <cell r="CF948" t="str">
            <v>003586 - Identified - Recompete - IS4</v>
          </cell>
        </row>
        <row r="949">
          <cell r="D949">
            <v>935</v>
          </cell>
          <cell r="E949">
            <v>0</v>
          </cell>
          <cell r="F949">
            <v>5</v>
          </cell>
          <cell r="G949" t="str">
            <v>003586</v>
          </cell>
          <cell r="H949" t="str">
            <v>CEMAT (3586)</v>
          </cell>
          <cell r="I949" t="str">
            <v>IS4</v>
          </cell>
          <cell r="J949" t="str">
            <v>IS4 Sustainment Engineering and Acquisition</v>
          </cell>
          <cell r="K949" t="str">
            <v>Navy</v>
          </cell>
          <cell r="L949" t="str">
            <v>DOD</v>
          </cell>
          <cell r="M949" t="str">
            <v>VA</v>
          </cell>
          <cell r="N949" t="str">
            <v>CONUS</v>
          </cell>
          <cell r="O949">
            <v>43353</v>
          </cell>
          <cell r="P949">
            <v>43708</v>
          </cell>
          <cell r="Q949" t="str">
            <v>Sub</v>
          </cell>
          <cell r="R949" t="str">
            <v>T&amp;M</v>
          </cell>
          <cell r="S949">
            <v>0</v>
          </cell>
          <cell r="T949">
            <v>1</v>
          </cell>
          <cell r="U949" t="str">
            <v>EBITA</v>
          </cell>
          <cell r="V949" t="str">
            <v>Base</v>
          </cell>
          <cell r="W949" t="str">
            <v>05 Won</v>
          </cell>
          <cell r="X949" t="str">
            <v>Active</v>
          </cell>
          <cell r="Y949">
            <v>1</v>
          </cell>
          <cell r="Z949">
            <v>0</v>
          </cell>
          <cell r="AA949">
            <v>23651.519999999971</v>
          </cell>
          <cell r="AB949">
            <v>0</v>
          </cell>
          <cell r="AC949">
            <v>0</v>
          </cell>
          <cell r="AD949">
            <v>23651.519999999971</v>
          </cell>
          <cell r="AT949">
            <v>0</v>
          </cell>
          <cell r="AU949">
            <v>0</v>
          </cell>
          <cell r="AV949">
            <v>0.14942145783620728</v>
          </cell>
          <cell r="AW949">
            <v>2.3936662637896643E-2</v>
          </cell>
          <cell r="AX949">
            <v>3.0608842434223453E-2</v>
          </cell>
          <cell r="AY949">
            <v>3.1608842434223454E-2</v>
          </cell>
          <cell r="AZ949">
            <v>3.2608842434223455E-2</v>
          </cell>
          <cell r="BA949">
            <v>3.3608842434223456E-2</v>
          </cell>
          <cell r="BF949">
            <v>0</v>
          </cell>
          <cell r="BG949">
            <v>0</v>
          </cell>
          <cell r="BH949">
            <v>331.88</v>
          </cell>
          <cell r="BI949">
            <v>387.88000000000034</v>
          </cell>
          <cell r="BJ949">
            <v>653.61000000000024</v>
          </cell>
          <cell r="BK949">
            <v>736.31999999999994</v>
          </cell>
          <cell r="BL949">
            <v>411.17194663999908</v>
          </cell>
          <cell r="BM949">
            <v>2188.9819466399995</v>
          </cell>
          <cell r="BN949">
            <v>723.94564900988382</v>
          </cell>
          <cell r="BO949">
            <v>0</v>
          </cell>
          <cell r="BP949">
            <v>0</v>
          </cell>
          <cell r="BQ949">
            <v>0</v>
          </cell>
          <cell r="BR949">
            <v>2912.9275956498832</v>
          </cell>
          <cell r="BT949">
            <v>0</v>
          </cell>
          <cell r="CA949" t="str">
            <v>003586 - EBITA - Base</v>
          </cell>
          <cell r="CC949" t="str">
            <v>003586 - EBITA - Base - IS4</v>
          </cell>
          <cell r="CD949" t="str">
            <v/>
          </cell>
          <cell r="CF949" t="str">
            <v>003586 - Base - IS4</v>
          </cell>
        </row>
        <row r="950">
          <cell r="D950">
            <v>936</v>
          </cell>
          <cell r="E950">
            <v>0</v>
          </cell>
          <cell r="F950">
            <v>0</v>
          </cell>
          <cell r="G950" t="str">
            <v>003586</v>
          </cell>
          <cell r="H950" t="str">
            <v>CEMAT (3586)</v>
          </cell>
          <cell r="I950" t="str">
            <v>IS4</v>
          </cell>
          <cell r="J950" t="str">
            <v>IS4 Sustainment Engineering and Acquisition</v>
          </cell>
          <cell r="K950" t="str">
            <v>Navy</v>
          </cell>
          <cell r="L950" t="str">
            <v>DOD</v>
          </cell>
          <cell r="M950" t="str">
            <v>VA</v>
          </cell>
          <cell r="N950" t="str">
            <v>CONUS</v>
          </cell>
          <cell r="O950">
            <v>0</v>
          </cell>
          <cell r="P950">
            <v>0</v>
          </cell>
          <cell r="Q950">
            <v>0</v>
          </cell>
          <cell r="R950" t="str">
            <v>T&amp;M</v>
          </cell>
          <cell r="S950">
            <v>0</v>
          </cell>
          <cell r="T950">
            <v>1</v>
          </cell>
          <cell r="U950" t="str">
            <v>EBITA</v>
          </cell>
          <cell r="V950" t="str">
            <v>Identified - Recompete</v>
          </cell>
          <cell r="W950">
            <v>0</v>
          </cell>
          <cell r="X950">
            <v>0</v>
          </cell>
          <cell r="Y950">
            <v>0</v>
          </cell>
          <cell r="Z950">
            <v>0</v>
          </cell>
          <cell r="AA950">
            <v>0</v>
          </cell>
          <cell r="AB950">
            <v>0</v>
          </cell>
          <cell r="AC950">
            <v>0</v>
          </cell>
          <cell r="AD950">
            <v>0</v>
          </cell>
          <cell r="AX950">
            <v>0</v>
          </cell>
          <cell r="AY950">
            <v>0</v>
          </cell>
          <cell r="AZ950">
            <v>0</v>
          </cell>
          <cell r="BA950">
            <v>0</v>
          </cell>
          <cell r="BI950">
            <v>0</v>
          </cell>
          <cell r="BJ950">
            <v>0</v>
          </cell>
          <cell r="BK950">
            <v>0</v>
          </cell>
          <cell r="BL950">
            <v>0</v>
          </cell>
          <cell r="BM950">
            <v>0</v>
          </cell>
          <cell r="BN950">
            <v>0</v>
          </cell>
          <cell r="BO950">
            <v>0</v>
          </cell>
          <cell r="BP950">
            <v>0</v>
          </cell>
          <cell r="BQ950">
            <v>0</v>
          </cell>
          <cell r="BR950">
            <v>0</v>
          </cell>
          <cell r="BT950">
            <v>0</v>
          </cell>
          <cell r="CA950" t="str">
            <v>003586 - EBITA - Identified - Recompete</v>
          </cell>
          <cell r="CC950" t="str">
            <v>003586 - EBITA - Identified - Recompete - IS4</v>
          </cell>
          <cell r="CD950" t="str">
            <v/>
          </cell>
          <cell r="CF950" t="str">
            <v>003586 - Identified - Recompete - IS4</v>
          </cell>
        </row>
        <row r="951">
          <cell r="D951">
            <v>937</v>
          </cell>
          <cell r="E951">
            <v>1</v>
          </cell>
          <cell r="F951">
            <v>1</v>
          </cell>
          <cell r="G951" t="str">
            <v>CP3334</v>
          </cell>
          <cell r="H951" t="str">
            <v>DCS - FEMA Support</v>
          </cell>
          <cell r="I951" t="str">
            <v>IS4</v>
          </cell>
          <cell r="J951" t="str">
            <v>IS4 Infrastructure and Engineering</v>
          </cell>
          <cell r="K951" t="str">
            <v>Homeland Security</v>
          </cell>
          <cell r="L951" t="str">
            <v>DOD</v>
          </cell>
          <cell r="M951" t="str">
            <v>CA</v>
          </cell>
          <cell r="N951" t="str">
            <v>CONUS</v>
          </cell>
          <cell r="O951">
            <v>43066</v>
          </cell>
          <cell r="P951">
            <v>43529</v>
          </cell>
          <cell r="Q951" t="str">
            <v>Sub</v>
          </cell>
          <cell r="R951" t="str">
            <v>T&amp;M</v>
          </cell>
          <cell r="S951">
            <v>0</v>
          </cell>
          <cell r="T951">
            <v>1</v>
          </cell>
          <cell r="U951" t="str">
            <v>REVTOT</v>
          </cell>
          <cell r="V951" t="str">
            <v>Base</v>
          </cell>
          <cell r="W951" t="str">
            <v>05 Won</v>
          </cell>
          <cell r="X951" t="str">
            <v>Active</v>
          </cell>
          <cell r="Y951">
            <v>1</v>
          </cell>
          <cell r="Z951">
            <v>0</v>
          </cell>
          <cell r="AA951">
            <v>40003.919999999976</v>
          </cell>
          <cell r="AB951">
            <v>0</v>
          </cell>
          <cell r="AC951">
            <v>0</v>
          </cell>
          <cell r="AD951">
            <v>40003.919999999976</v>
          </cell>
          <cell r="AE951">
            <v>0</v>
          </cell>
          <cell r="AF951">
            <v>7.7786635304846659</v>
          </cell>
          <cell r="AG951">
            <v>-0.80370707946887521</v>
          </cell>
          <cell r="AH951">
            <v>-1</v>
          </cell>
          <cell r="AI951">
            <v>0</v>
          </cell>
          <cell r="AJ951">
            <v>0</v>
          </cell>
          <cell r="AK951">
            <v>0</v>
          </cell>
          <cell r="BB951">
            <v>0</v>
          </cell>
          <cell r="BC951">
            <v>0</v>
          </cell>
          <cell r="BD951">
            <v>0</v>
          </cell>
          <cell r="BE951">
            <v>0</v>
          </cell>
          <cell r="BF951">
            <v>0</v>
          </cell>
          <cell r="BG951">
            <v>70616.649999999994</v>
          </cell>
          <cell r="BH951">
            <v>619919.80999999994</v>
          </cell>
          <cell r="BI951">
            <v>99267</v>
          </cell>
          <cell r="BJ951">
            <v>23142</v>
          </cell>
          <cell r="BK951">
            <v>-723.13</v>
          </cell>
          <cell r="BL951">
            <v>0</v>
          </cell>
          <cell r="BM951">
            <v>121685.87</v>
          </cell>
          <cell r="BN951">
            <v>0</v>
          </cell>
          <cell r="BO951">
            <v>0</v>
          </cell>
          <cell r="BP951">
            <v>0</v>
          </cell>
          <cell r="BQ951">
            <v>0</v>
          </cell>
          <cell r="BR951">
            <v>121685.87</v>
          </cell>
          <cell r="BT951">
            <v>0</v>
          </cell>
          <cell r="CA951" t="str">
            <v>CP3334 - REVTOT - Base</v>
          </cell>
          <cell r="CC951" t="str">
            <v>CP3334 - REVTOT - Base - IS4</v>
          </cell>
          <cell r="CD951" t="str">
            <v/>
          </cell>
          <cell r="CF951" t="str">
            <v>CP3334 - Base - IS4</v>
          </cell>
        </row>
        <row r="952">
          <cell r="D952">
            <v>938</v>
          </cell>
          <cell r="E952">
            <v>1</v>
          </cell>
          <cell r="F952">
            <v>2</v>
          </cell>
          <cell r="G952" t="str">
            <v>CP3334</v>
          </cell>
          <cell r="H952" t="str">
            <v>DCS - FEMA Support</v>
          </cell>
          <cell r="I952" t="str">
            <v>IS4</v>
          </cell>
          <cell r="J952" t="str">
            <v>IS4 Infrastructure and Engineering</v>
          </cell>
          <cell r="K952" t="str">
            <v>Homeland Security</v>
          </cell>
          <cell r="L952" t="str">
            <v>DOD</v>
          </cell>
          <cell r="M952" t="str">
            <v>CA</v>
          </cell>
          <cell r="N952" t="str">
            <v>CONUS</v>
          </cell>
          <cell r="O952">
            <v>0</v>
          </cell>
          <cell r="P952">
            <v>0</v>
          </cell>
          <cell r="Q952">
            <v>0</v>
          </cell>
          <cell r="R952" t="str">
            <v>T&amp;M</v>
          </cell>
          <cell r="S952">
            <v>0</v>
          </cell>
          <cell r="T952">
            <v>1</v>
          </cell>
          <cell r="U952" t="str">
            <v>REVTOT</v>
          </cell>
          <cell r="V952" t="str">
            <v>Identified - Recompete</v>
          </cell>
          <cell r="W952">
            <v>0</v>
          </cell>
          <cell r="X952">
            <v>0</v>
          </cell>
          <cell r="Y952">
            <v>0</v>
          </cell>
          <cell r="Z952">
            <v>0</v>
          </cell>
          <cell r="AA952">
            <v>0</v>
          </cell>
          <cell r="AB952">
            <v>0</v>
          </cell>
          <cell r="AC952">
            <v>0</v>
          </cell>
          <cell r="AD952">
            <v>0</v>
          </cell>
          <cell r="AI952">
            <v>0</v>
          </cell>
          <cell r="AJ952">
            <v>0</v>
          </cell>
          <cell r="AK952">
            <v>0</v>
          </cell>
          <cell r="BB952">
            <v>0</v>
          </cell>
          <cell r="BC952">
            <v>0</v>
          </cell>
          <cell r="BD952">
            <v>0</v>
          </cell>
          <cell r="BE952">
            <v>0</v>
          </cell>
          <cell r="BI952">
            <v>0</v>
          </cell>
          <cell r="BJ952">
            <v>0</v>
          </cell>
          <cell r="BK952">
            <v>0</v>
          </cell>
          <cell r="BL952">
            <v>0</v>
          </cell>
          <cell r="BM952">
            <v>0</v>
          </cell>
          <cell r="BN952">
            <v>0</v>
          </cell>
          <cell r="BO952">
            <v>0</v>
          </cell>
          <cell r="BP952">
            <v>0</v>
          </cell>
          <cell r="BQ952">
            <v>0</v>
          </cell>
          <cell r="BR952">
            <v>0</v>
          </cell>
          <cell r="BT952">
            <v>0</v>
          </cell>
          <cell r="CA952" t="str">
            <v>CP3334 - REVTOT - Identified - Recompete</v>
          </cell>
          <cell r="CC952" t="str">
            <v>CP3334 - REVTOT - Identified - Recompete - IS4</v>
          </cell>
          <cell r="CD952" t="str">
            <v/>
          </cell>
          <cell r="CF952" t="str">
            <v>CP3334 - Identified - Recompete - IS4</v>
          </cell>
        </row>
        <row r="953">
          <cell r="D953">
            <v>939</v>
          </cell>
          <cell r="E953">
            <v>2</v>
          </cell>
          <cell r="F953">
            <v>3</v>
          </cell>
          <cell r="G953" t="str">
            <v>CP3334</v>
          </cell>
          <cell r="H953" t="str">
            <v>DCS - FEMA Support</v>
          </cell>
          <cell r="I953" t="str">
            <v>IS4</v>
          </cell>
          <cell r="J953" t="str">
            <v>IS4 Infrastructure and Engineering</v>
          </cell>
          <cell r="K953" t="str">
            <v>Homeland Security</v>
          </cell>
          <cell r="L953" t="str">
            <v>DOD</v>
          </cell>
          <cell r="M953" t="str">
            <v>CA</v>
          </cell>
          <cell r="N953" t="str">
            <v>CONUS</v>
          </cell>
          <cell r="O953">
            <v>43066</v>
          </cell>
          <cell r="P953">
            <v>43529</v>
          </cell>
          <cell r="Q953" t="str">
            <v>Sub</v>
          </cell>
          <cell r="R953" t="str">
            <v>T&amp;M</v>
          </cell>
          <cell r="S953">
            <v>0</v>
          </cell>
          <cell r="T953">
            <v>1</v>
          </cell>
          <cell r="U953" t="str">
            <v>CONTRACT</v>
          </cell>
          <cell r="V953" t="str">
            <v>Base</v>
          </cell>
          <cell r="W953" t="str">
            <v>05 Won</v>
          </cell>
          <cell r="X953" t="str">
            <v>Active</v>
          </cell>
          <cell r="Y953">
            <v>1</v>
          </cell>
          <cell r="Z953">
            <v>0</v>
          </cell>
          <cell r="AA953">
            <v>40003.919999999976</v>
          </cell>
          <cell r="AB953">
            <v>0</v>
          </cell>
          <cell r="AC953">
            <v>0</v>
          </cell>
          <cell r="AD953">
            <v>40003.919999999976</v>
          </cell>
          <cell r="AL953">
            <v>0</v>
          </cell>
          <cell r="AM953">
            <v>0.28053922127430286</v>
          </cell>
          <cell r="AN953">
            <v>0.29338430078561295</v>
          </cell>
          <cell r="AO953">
            <v>0.42884740849533315</v>
          </cell>
          <cell r="AP953">
            <v>0.31256238670512793</v>
          </cell>
          <cell r="AQ953">
            <v>0.31256238670512793</v>
          </cell>
          <cell r="AR953">
            <v>0.31256238670512793</v>
          </cell>
          <cell r="AS953">
            <v>0.31256238670512793</v>
          </cell>
          <cell r="BF953">
            <v>0</v>
          </cell>
          <cell r="BG953">
            <v>19810.739999999998</v>
          </cell>
          <cell r="BH953">
            <v>181874.74000000002</v>
          </cell>
          <cell r="BI953">
            <v>44071.96</v>
          </cell>
          <cell r="BJ953">
            <v>9294.84</v>
          </cell>
          <cell r="BK953">
            <v>-1182.1300000000001</v>
          </cell>
          <cell r="BL953">
            <v>0</v>
          </cell>
          <cell r="BM953">
            <v>52184.670000000006</v>
          </cell>
          <cell r="BN953">
            <v>0</v>
          </cell>
          <cell r="BO953">
            <v>0</v>
          </cell>
          <cell r="BP953">
            <v>0</v>
          </cell>
          <cell r="BQ953">
            <v>0</v>
          </cell>
          <cell r="BR953">
            <v>52184.670000000006</v>
          </cell>
          <cell r="BT953">
            <v>0</v>
          </cell>
          <cell r="CA953" t="str">
            <v>CP3334 - CONTRACT - Base</v>
          </cell>
          <cell r="CC953" t="str">
            <v>CP3334 - CONTRACT - Base - IS4</v>
          </cell>
          <cell r="CD953" t="str">
            <v/>
          </cell>
          <cell r="CF953" t="str">
            <v>CP3334 - Base - IS4</v>
          </cell>
        </row>
        <row r="954">
          <cell r="D954">
            <v>940</v>
          </cell>
          <cell r="E954">
            <v>2</v>
          </cell>
          <cell r="F954">
            <v>4</v>
          </cell>
          <cell r="G954" t="str">
            <v>CP3334</v>
          </cell>
          <cell r="H954" t="str">
            <v>DCS - FEMA Support</v>
          </cell>
          <cell r="I954" t="str">
            <v>IS4</v>
          </cell>
          <cell r="J954" t="str">
            <v>IS4 Infrastructure and Engineering</v>
          </cell>
          <cell r="K954" t="str">
            <v>Homeland Security</v>
          </cell>
          <cell r="L954" t="str">
            <v>DOD</v>
          </cell>
          <cell r="M954" t="str">
            <v>CA</v>
          </cell>
          <cell r="N954" t="str">
            <v>CONUS</v>
          </cell>
          <cell r="O954">
            <v>0</v>
          </cell>
          <cell r="P954">
            <v>0</v>
          </cell>
          <cell r="Q954">
            <v>0</v>
          </cell>
          <cell r="R954" t="str">
            <v>T&amp;M</v>
          </cell>
          <cell r="S954">
            <v>0</v>
          </cell>
          <cell r="T954">
            <v>1</v>
          </cell>
          <cell r="U954" t="str">
            <v>CONTRACT</v>
          </cell>
          <cell r="V954" t="str">
            <v>Identified - Recompete</v>
          </cell>
          <cell r="W954">
            <v>0</v>
          </cell>
          <cell r="X954">
            <v>0</v>
          </cell>
          <cell r="Y954">
            <v>0</v>
          </cell>
          <cell r="Z954">
            <v>0</v>
          </cell>
          <cell r="AA954">
            <v>0</v>
          </cell>
          <cell r="AB954">
            <v>0</v>
          </cell>
          <cell r="AC954">
            <v>0</v>
          </cell>
          <cell r="AD954">
            <v>0</v>
          </cell>
          <cell r="AP954">
            <v>0</v>
          </cell>
          <cell r="AQ954">
            <v>0</v>
          </cell>
          <cell r="AR954">
            <v>0</v>
          </cell>
          <cell r="AS954">
            <v>0</v>
          </cell>
          <cell r="BI954">
            <v>0</v>
          </cell>
          <cell r="BJ954">
            <v>0</v>
          </cell>
          <cell r="BK954">
            <v>0</v>
          </cell>
          <cell r="BL954">
            <v>0</v>
          </cell>
          <cell r="BM954">
            <v>0</v>
          </cell>
          <cell r="BN954">
            <v>0</v>
          </cell>
          <cell r="BO954">
            <v>0</v>
          </cell>
          <cell r="BP954">
            <v>0</v>
          </cell>
          <cell r="BQ954">
            <v>0</v>
          </cell>
          <cell r="BR954">
            <v>0</v>
          </cell>
          <cell r="BT954">
            <v>0</v>
          </cell>
          <cell r="CA954" t="str">
            <v>CP3334 - CONTRACT - Identified - Recompete</v>
          </cell>
          <cell r="CC954" t="str">
            <v>CP3334 - CONTRACT - Identified - Recompete - IS4</v>
          </cell>
          <cell r="CD954" t="str">
            <v/>
          </cell>
          <cell r="CF954" t="str">
            <v>CP3334 - Identified - Recompete - IS4</v>
          </cell>
        </row>
        <row r="955">
          <cell r="D955">
            <v>941</v>
          </cell>
          <cell r="E955">
            <v>0</v>
          </cell>
          <cell r="F955">
            <v>5</v>
          </cell>
          <cell r="G955" t="str">
            <v>CP3334</v>
          </cell>
          <cell r="H955" t="str">
            <v>DCS - FEMA Support</v>
          </cell>
          <cell r="I955" t="str">
            <v>IS4</v>
          </cell>
          <cell r="J955" t="str">
            <v>IS4 Infrastructure and Engineering</v>
          </cell>
          <cell r="K955" t="str">
            <v>Homeland Security</v>
          </cell>
          <cell r="L955" t="str">
            <v>DOD</v>
          </cell>
          <cell r="M955" t="str">
            <v>CA</v>
          </cell>
          <cell r="N955" t="str">
            <v>CONUS</v>
          </cell>
          <cell r="O955">
            <v>43066</v>
          </cell>
          <cell r="P955">
            <v>43529</v>
          </cell>
          <cell r="Q955" t="str">
            <v>Sub</v>
          </cell>
          <cell r="R955" t="str">
            <v>T&amp;M</v>
          </cell>
          <cell r="S955">
            <v>0</v>
          </cell>
          <cell r="T955">
            <v>1</v>
          </cell>
          <cell r="U955" t="str">
            <v>EBITA</v>
          </cell>
          <cell r="V955" t="str">
            <v>Base</v>
          </cell>
          <cell r="W955" t="str">
            <v>05 Won</v>
          </cell>
          <cell r="X955" t="str">
            <v>Active</v>
          </cell>
          <cell r="Y955">
            <v>1</v>
          </cell>
          <cell r="Z955">
            <v>0</v>
          </cell>
          <cell r="AA955">
            <v>40003.919999999976</v>
          </cell>
          <cell r="AB955">
            <v>0</v>
          </cell>
          <cell r="AC955">
            <v>0</v>
          </cell>
          <cell r="AD955">
            <v>40003.919999999976</v>
          </cell>
          <cell r="AT955">
            <v>0</v>
          </cell>
          <cell r="AU955">
            <v>0.20588841300174954</v>
          </cell>
          <cell r="AV955">
            <v>0.22840349302597701</v>
          </cell>
          <cell r="AW955">
            <v>0.36956969613645368</v>
          </cell>
          <cell r="AX955">
            <v>0.24859527357490896</v>
          </cell>
          <cell r="AY955">
            <v>0.24959527357490896</v>
          </cell>
          <cell r="AZ955">
            <v>0.25059527357490896</v>
          </cell>
          <cell r="BA955">
            <v>0.25159527357490896</v>
          </cell>
          <cell r="BF955">
            <v>0</v>
          </cell>
          <cell r="BG955">
            <v>14539.149999999996</v>
          </cell>
          <cell r="BH955">
            <v>141591.84999999998</v>
          </cell>
          <cell r="BI955">
            <v>38236.39</v>
          </cell>
          <cell r="BJ955">
            <v>7964.33</v>
          </cell>
          <cell r="BK955">
            <v>-1229.3100000000002</v>
          </cell>
          <cell r="BL955">
            <v>0</v>
          </cell>
          <cell r="BM955">
            <v>44971.41</v>
          </cell>
          <cell r="BN955">
            <v>0</v>
          </cell>
          <cell r="BO955">
            <v>0</v>
          </cell>
          <cell r="BP955">
            <v>0</v>
          </cell>
          <cell r="BQ955">
            <v>0</v>
          </cell>
          <cell r="BR955">
            <v>44971.41</v>
          </cell>
          <cell r="BT955">
            <v>0</v>
          </cell>
          <cell r="CA955" t="str">
            <v>CP3334 - EBITA - Base</v>
          </cell>
          <cell r="CC955" t="str">
            <v>CP3334 - EBITA - Base - IS4</v>
          </cell>
          <cell r="CD955" t="str">
            <v/>
          </cell>
          <cell r="CF955" t="str">
            <v>CP3334 - Base - IS4</v>
          </cell>
        </row>
        <row r="956">
          <cell r="D956">
            <v>942</v>
          </cell>
          <cell r="E956">
            <v>0</v>
          </cell>
          <cell r="F956">
            <v>0</v>
          </cell>
          <cell r="G956" t="str">
            <v>CP3334</v>
          </cell>
          <cell r="H956" t="str">
            <v>DCS - FEMA Support</v>
          </cell>
          <cell r="I956" t="str">
            <v>IS4</v>
          </cell>
          <cell r="J956" t="str">
            <v>IS4 Infrastructure and Engineering</v>
          </cell>
          <cell r="K956" t="str">
            <v>Homeland Security</v>
          </cell>
          <cell r="L956" t="str">
            <v>DOD</v>
          </cell>
          <cell r="M956" t="str">
            <v>CA</v>
          </cell>
          <cell r="N956" t="str">
            <v>CONUS</v>
          </cell>
          <cell r="O956">
            <v>0</v>
          </cell>
          <cell r="P956">
            <v>0</v>
          </cell>
          <cell r="Q956">
            <v>0</v>
          </cell>
          <cell r="R956" t="str">
            <v>T&amp;M</v>
          </cell>
          <cell r="S956">
            <v>0</v>
          </cell>
          <cell r="T956">
            <v>1</v>
          </cell>
          <cell r="U956" t="str">
            <v>EBITA</v>
          </cell>
          <cell r="V956" t="str">
            <v>Identified - Recompete</v>
          </cell>
          <cell r="W956">
            <v>0</v>
          </cell>
          <cell r="X956">
            <v>0</v>
          </cell>
          <cell r="Y956">
            <v>0</v>
          </cell>
          <cell r="Z956">
            <v>0</v>
          </cell>
          <cell r="AA956">
            <v>0</v>
          </cell>
          <cell r="AB956">
            <v>0</v>
          </cell>
          <cell r="AC956">
            <v>0</v>
          </cell>
          <cell r="AD956">
            <v>0</v>
          </cell>
          <cell r="AX956">
            <v>0</v>
          </cell>
          <cell r="AY956">
            <v>0</v>
          </cell>
          <cell r="AZ956">
            <v>0</v>
          </cell>
          <cell r="BA956">
            <v>0</v>
          </cell>
          <cell r="BI956">
            <v>0</v>
          </cell>
          <cell r="BJ956">
            <v>0</v>
          </cell>
          <cell r="BK956">
            <v>0</v>
          </cell>
          <cell r="BL956">
            <v>0</v>
          </cell>
          <cell r="BM956">
            <v>0</v>
          </cell>
          <cell r="BN956">
            <v>0</v>
          </cell>
          <cell r="BO956">
            <v>0</v>
          </cell>
          <cell r="BP956">
            <v>0</v>
          </cell>
          <cell r="BQ956">
            <v>0</v>
          </cell>
          <cell r="BR956">
            <v>0</v>
          </cell>
          <cell r="BT956">
            <v>0</v>
          </cell>
          <cell r="CA956" t="str">
            <v>CP3334 - EBITA - Identified - Recompete</v>
          </cell>
          <cell r="CC956" t="str">
            <v>CP3334 - EBITA - Identified - Recompete - IS4</v>
          </cell>
          <cell r="CD956" t="str">
            <v/>
          </cell>
          <cell r="CF956" t="str">
            <v>CP3334 - Identified - Recompete - IS4</v>
          </cell>
        </row>
        <row r="957">
          <cell r="D957">
            <v>943</v>
          </cell>
          <cell r="E957">
            <v>1</v>
          </cell>
          <cell r="F957">
            <v>1</v>
          </cell>
          <cell r="G957" t="str">
            <v>12989I</v>
          </cell>
          <cell r="H957" t="str">
            <v>SEC DSAS</v>
          </cell>
          <cell r="I957" t="str">
            <v>IS4</v>
          </cell>
          <cell r="J957" t="str">
            <v>IS4 Engineering and Technology Services</v>
          </cell>
          <cell r="K957" t="str">
            <v>Other Civilian</v>
          </cell>
          <cell r="L957" t="str">
            <v>Other</v>
          </cell>
          <cell r="M957" t="str">
            <v>DC</v>
          </cell>
          <cell r="N957" t="str">
            <v>CONUS</v>
          </cell>
          <cell r="O957">
            <v>42150</v>
          </cell>
          <cell r="P957">
            <v>43976</v>
          </cell>
          <cell r="Q957" t="str">
            <v>Sub</v>
          </cell>
          <cell r="R957" t="str">
            <v>T&amp;M</v>
          </cell>
          <cell r="S957">
            <v>0</v>
          </cell>
          <cell r="T957">
            <v>1</v>
          </cell>
          <cell r="U957" t="str">
            <v>REVTOT</v>
          </cell>
          <cell r="V957" t="str">
            <v>Base</v>
          </cell>
          <cell r="W957" t="str">
            <v>05 Won</v>
          </cell>
          <cell r="X957" t="str">
            <v>Active</v>
          </cell>
          <cell r="Y957">
            <v>1</v>
          </cell>
          <cell r="Z957">
            <v>0</v>
          </cell>
          <cell r="AA957">
            <v>88068.420000000086</v>
          </cell>
          <cell r="AB957">
            <v>40954</v>
          </cell>
          <cell r="AC957">
            <v>0</v>
          </cell>
          <cell r="AD957">
            <v>129022.42000000009</v>
          </cell>
          <cell r="AE957">
            <v>-0.10232323220356576</v>
          </cell>
          <cell r="AF957">
            <v>-0.12565997888067582</v>
          </cell>
          <cell r="AG957">
            <v>1.208735742110667E-3</v>
          </cell>
          <cell r="AH957">
            <v>-0.38480359344653503</v>
          </cell>
          <cell r="AI957">
            <v>0</v>
          </cell>
          <cell r="AJ957">
            <v>0</v>
          </cell>
          <cell r="AK957">
            <v>0</v>
          </cell>
          <cell r="BB957">
            <v>61210</v>
          </cell>
          <cell r="BC957">
            <v>61210</v>
          </cell>
          <cell r="BD957">
            <v>61210</v>
          </cell>
          <cell r="BE957">
            <v>61210</v>
          </cell>
          <cell r="BF957">
            <v>126614.54999999999</v>
          </cell>
          <cell r="BG957">
            <v>113658.94</v>
          </cell>
          <cell r="BH957">
            <v>99376.56</v>
          </cell>
          <cell r="BI957">
            <v>26764.46</v>
          </cell>
          <cell r="BJ957">
            <v>17882.98</v>
          </cell>
          <cell r="BK957">
            <v>31445.239999999998</v>
          </cell>
          <cell r="BL957">
            <v>23404</v>
          </cell>
          <cell r="BM957">
            <v>99496.68</v>
          </cell>
          <cell r="BN957">
            <v>61210</v>
          </cell>
          <cell r="BO957">
            <v>61210</v>
          </cell>
          <cell r="BP957">
            <v>6602.4200000000856</v>
          </cell>
          <cell r="BQ957">
            <v>0</v>
          </cell>
          <cell r="BR957">
            <v>228519.10000000009</v>
          </cell>
          <cell r="BT957">
            <v>0</v>
          </cell>
          <cell r="CA957" t="str">
            <v>12989I - REVTOT - Base</v>
          </cell>
          <cell r="CC957" t="str">
            <v>12989I - REVTOT - Base - IS4</v>
          </cell>
          <cell r="CD957" t="str">
            <v/>
          </cell>
          <cell r="CF957" t="str">
            <v>12989I - Base - IS4</v>
          </cell>
        </row>
        <row r="958">
          <cell r="D958">
            <v>944</v>
          </cell>
          <cell r="E958">
            <v>1</v>
          </cell>
          <cell r="F958">
            <v>2</v>
          </cell>
          <cell r="G958" t="str">
            <v>12989I</v>
          </cell>
          <cell r="H958" t="str">
            <v>SEC DSAS</v>
          </cell>
          <cell r="I958" t="str">
            <v>IS4</v>
          </cell>
          <cell r="J958" t="str">
            <v>IS4 Engineering and Technology Services</v>
          </cell>
          <cell r="K958" t="str">
            <v>Other Civilian</v>
          </cell>
          <cell r="L958" t="str">
            <v>Other</v>
          </cell>
          <cell r="M958" t="str">
            <v>DC</v>
          </cell>
          <cell r="N958" t="str">
            <v>CONUS</v>
          </cell>
          <cell r="O958">
            <v>0</v>
          </cell>
          <cell r="P958">
            <v>0</v>
          </cell>
          <cell r="Q958">
            <v>0</v>
          </cell>
          <cell r="R958" t="str">
            <v>T&amp;M</v>
          </cell>
          <cell r="S958">
            <v>0</v>
          </cell>
          <cell r="T958">
            <v>1</v>
          </cell>
          <cell r="U958" t="str">
            <v>REVTOT</v>
          </cell>
          <cell r="V958" t="str">
            <v>Identified - Recompete</v>
          </cell>
          <cell r="W958">
            <v>0</v>
          </cell>
          <cell r="X958">
            <v>0</v>
          </cell>
          <cell r="Y958">
            <v>0</v>
          </cell>
          <cell r="Z958">
            <v>0</v>
          </cell>
          <cell r="AA958">
            <v>0</v>
          </cell>
          <cell r="AB958">
            <v>0</v>
          </cell>
          <cell r="AC958">
            <v>0</v>
          </cell>
          <cell r="AD958">
            <v>0</v>
          </cell>
          <cell r="AI958">
            <v>0</v>
          </cell>
          <cell r="AJ958">
            <v>0</v>
          </cell>
          <cell r="AK958">
            <v>0</v>
          </cell>
          <cell r="BB958">
            <v>0</v>
          </cell>
          <cell r="BC958">
            <v>0</v>
          </cell>
          <cell r="BD958">
            <v>0</v>
          </cell>
          <cell r="BE958">
            <v>0</v>
          </cell>
          <cell r="BI958">
            <v>0</v>
          </cell>
          <cell r="BJ958">
            <v>0</v>
          </cell>
          <cell r="BK958">
            <v>0</v>
          </cell>
          <cell r="BL958">
            <v>0</v>
          </cell>
          <cell r="BM958">
            <v>0</v>
          </cell>
          <cell r="BN958">
            <v>0</v>
          </cell>
          <cell r="BO958">
            <v>0</v>
          </cell>
          <cell r="BP958">
            <v>0</v>
          </cell>
          <cell r="BQ958">
            <v>0</v>
          </cell>
          <cell r="BR958">
            <v>0</v>
          </cell>
          <cell r="BT958">
            <v>0</v>
          </cell>
          <cell r="CA958" t="str">
            <v>12989I - REVTOT - Identified - Recompete</v>
          </cell>
          <cell r="CC958" t="str">
            <v>12989I - REVTOT - Identified - Recompete - IS4</v>
          </cell>
          <cell r="CD958" t="str">
            <v/>
          </cell>
          <cell r="CF958" t="str">
            <v>12989I - Identified - Recompete - IS4</v>
          </cell>
        </row>
        <row r="959">
          <cell r="D959">
            <v>945</v>
          </cell>
          <cell r="E959">
            <v>2</v>
          </cell>
          <cell r="F959">
            <v>3</v>
          </cell>
          <cell r="G959" t="str">
            <v>12989I</v>
          </cell>
          <cell r="H959" t="str">
            <v>SEC DSAS</v>
          </cell>
          <cell r="I959" t="str">
            <v>IS4</v>
          </cell>
          <cell r="J959" t="str">
            <v>IS4 Engineering and Technology Services</v>
          </cell>
          <cell r="K959" t="str">
            <v>Other Civilian</v>
          </cell>
          <cell r="L959" t="str">
            <v>Other</v>
          </cell>
          <cell r="M959" t="str">
            <v>DC</v>
          </cell>
          <cell r="N959" t="str">
            <v>CONUS</v>
          </cell>
          <cell r="O959">
            <v>42150</v>
          </cell>
          <cell r="P959">
            <v>43976</v>
          </cell>
          <cell r="Q959" t="str">
            <v>Sub</v>
          </cell>
          <cell r="R959" t="str">
            <v>T&amp;M</v>
          </cell>
          <cell r="S959">
            <v>0</v>
          </cell>
          <cell r="T959">
            <v>1</v>
          </cell>
          <cell r="U959" t="str">
            <v>CONTRACT</v>
          </cell>
          <cell r="V959" t="str">
            <v>Base</v>
          </cell>
          <cell r="W959" t="str">
            <v>05 Won</v>
          </cell>
          <cell r="X959" t="str">
            <v>Active</v>
          </cell>
          <cell r="Y959">
            <v>1</v>
          </cell>
          <cell r="Z959">
            <v>0</v>
          </cell>
          <cell r="AA959">
            <v>88068.420000000086</v>
          </cell>
          <cell r="AB959">
            <v>40954</v>
          </cell>
          <cell r="AC959">
            <v>0</v>
          </cell>
          <cell r="AD959">
            <v>129022.42000000009</v>
          </cell>
          <cell r="AL959">
            <v>0.11713211475300433</v>
          </cell>
          <cell r="AM959">
            <v>0.10944875959603355</v>
          </cell>
          <cell r="AN959">
            <v>0.12032253883611989</v>
          </cell>
          <cell r="AO959">
            <v>0.11617975594763566</v>
          </cell>
          <cell r="AP959">
            <v>0.1068495605293253</v>
          </cell>
          <cell r="AQ959">
            <v>0.1068495605293253</v>
          </cell>
          <cell r="AR959">
            <v>0.1068495605293253</v>
          </cell>
          <cell r="AS959">
            <v>0.1068495605293253</v>
          </cell>
          <cell r="BF959">
            <v>14830.630000000003</v>
          </cell>
          <cell r="BG959">
            <v>12439.830000000002</v>
          </cell>
          <cell r="BH959">
            <v>11957.239999999998</v>
          </cell>
          <cell r="BI959">
            <v>3226.0700000000024</v>
          </cell>
          <cell r="BJ959">
            <v>2231.7199999999993</v>
          </cell>
          <cell r="BK959">
            <v>3580.71</v>
          </cell>
          <cell r="BL959">
            <v>2521</v>
          </cell>
          <cell r="BM959">
            <v>11559.500000000002</v>
          </cell>
          <cell r="BN959">
            <v>6540.2616000000016</v>
          </cell>
          <cell r="BO959">
            <v>6540.2616000000016</v>
          </cell>
          <cell r="BP959">
            <v>705.46567543003709</v>
          </cell>
          <cell r="BQ959">
            <v>0</v>
          </cell>
          <cell r="BR959">
            <v>25345.488875430045</v>
          </cell>
          <cell r="BT959">
            <v>0</v>
          </cell>
          <cell r="CA959" t="str">
            <v>12989I - CONTRACT - Base</v>
          </cell>
          <cell r="CC959" t="str">
            <v>12989I - CONTRACT - Base - IS4</v>
          </cell>
          <cell r="CD959" t="str">
            <v/>
          </cell>
          <cell r="CF959" t="str">
            <v>12989I - Base - IS4</v>
          </cell>
        </row>
        <row r="960">
          <cell r="D960">
            <v>946</v>
          </cell>
          <cell r="E960">
            <v>2</v>
          </cell>
          <cell r="F960">
            <v>4</v>
          </cell>
          <cell r="G960" t="str">
            <v>12989I</v>
          </cell>
          <cell r="H960" t="str">
            <v>SEC DSAS</v>
          </cell>
          <cell r="I960" t="str">
            <v>IS4</v>
          </cell>
          <cell r="J960" t="str">
            <v>IS4 Engineering and Technology Services</v>
          </cell>
          <cell r="K960" t="str">
            <v>Other Civilian</v>
          </cell>
          <cell r="L960" t="str">
            <v>Other</v>
          </cell>
          <cell r="M960" t="str">
            <v>DC</v>
          </cell>
          <cell r="N960" t="str">
            <v>CONUS</v>
          </cell>
          <cell r="O960">
            <v>0</v>
          </cell>
          <cell r="P960">
            <v>0</v>
          </cell>
          <cell r="Q960">
            <v>0</v>
          </cell>
          <cell r="R960" t="str">
            <v>T&amp;M</v>
          </cell>
          <cell r="S960">
            <v>0</v>
          </cell>
          <cell r="T960">
            <v>1</v>
          </cell>
          <cell r="U960" t="str">
            <v>CONTRACT</v>
          </cell>
          <cell r="V960" t="str">
            <v>Identified - Recompete</v>
          </cell>
          <cell r="W960">
            <v>0</v>
          </cell>
          <cell r="X960">
            <v>0</v>
          </cell>
          <cell r="Y960">
            <v>0</v>
          </cell>
          <cell r="Z960">
            <v>0</v>
          </cell>
          <cell r="AA960">
            <v>0</v>
          </cell>
          <cell r="AB960">
            <v>0</v>
          </cell>
          <cell r="AC960">
            <v>0</v>
          </cell>
          <cell r="AD960">
            <v>0</v>
          </cell>
          <cell r="AP960">
            <v>0</v>
          </cell>
          <cell r="AQ960">
            <v>0</v>
          </cell>
          <cell r="AR960">
            <v>0</v>
          </cell>
          <cell r="AS960">
            <v>0</v>
          </cell>
          <cell r="BI960">
            <v>0</v>
          </cell>
          <cell r="BJ960">
            <v>0</v>
          </cell>
          <cell r="BK960">
            <v>0</v>
          </cell>
          <cell r="BL960">
            <v>0</v>
          </cell>
          <cell r="BM960">
            <v>0</v>
          </cell>
          <cell r="BN960">
            <v>0</v>
          </cell>
          <cell r="BO960">
            <v>0</v>
          </cell>
          <cell r="BP960">
            <v>0</v>
          </cell>
          <cell r="BQ960">
            <v>0</v>
          </cell>
          <cell r="BR960">
            <v>0</v>
          </cell>
          <cell r="BT960">
            <v>0</v>
          </cell>
          <cell r="CA960" t="str">
            <v>12989I - CONTRACT - Identified - Recompete</v>
          </cell>
          <cell r="CC960" t="str">
            <v>12989I - CONTRACT - Identified - Recompete - IS4</v>
          </cell>
          <cell r="CD960" t="str">
            <v/>
          </cell>
          <cell r="CF960" t="str">
            <v>12989I - Identified - Recompete - IS4</v>
          </cell>
        </row>
        <row r="961">
          <cell r="D961">
            <v>947</v>
          </cell>
          <cell r="E961">
            <v>0</v>
          </cell>
          <cell r="F961">
            <v>5</v>
          </cell>
          <cell r="G961" t="str">
            <v>12989I</v>
          </cell>
          <cell r="H961" t="str">
            <v>SEC DSAS</v>
          </cell>
          <cell r="I961" t="str">
            <v>IS4</v>
          </cell>
          <cell r="J961" t="str">
            <v>IS4 Engineering and Technology Services</v>
          </cell>
          <cell r="K961" t="str">
            <v>Other Civilian</v>
          </cell>
          <cell r="L961" t="str">
            <v>Other</v>
          </cell>
          <cell r="M961" t="str">
            <v>DC</v>
          </cell>
          <cell r="N961" t="str">
            <v>CONUS</v>
          </cell>
          <cell r="O961">
            <v>42150</v>
          </cell>
          <cell r="P961">
            <v>43976</v>
          </cell>
          <cell r="Q961" t="str">
            <v>Sub</v>
          </cell>
          <cell r="R961" t="str">
            <v>T&amp;M</v>
          </cell>
          <cell r="S961">
            <v>0</v>
          </cell>
          <cell r="T961">
            <v>1</v>
          </cell>
          <cell r="U961" t="str">
            <v>EBITA</v>
          </cell>
          <cell r="V961" t="str">
            <v>Base</v>
          </cell>
          <cell r="W961" t="str">
            <v>05 Won</v>
          </cell>
          <cell r="X961" t="str">
            <v>Active</v>
          </cell>
          <cell r="Y961">
            <v>1</v>
          </cell>
          <cell r="Z961">
            <v>0</v>
          </cell>
          <cell r="AA961">
            <v>88068.420000000086</v>
          </cell>
          <cell r="AB961">
            <v>40954</v>
          </cell>
          <cell r="AC961">
            <v>0</v>
          </cell>
          <cell r="AD961">
            <v>129022.42000000009</v>
          </cell>
          <cell r="AT961">
            <v>8.2105176695727367E-2</v>
          </cell>
          <cell r="AU961">
            <v>1.4541135083610686E-2</v>
          </cell>
          <cell r="AV961">
            <v>4.0148300565042691E-2</v>
          </cell>
          <cell r="AW961">
            <v>2.7975606824267932E-2</v>
          </cell>
          <cell r="AX961">
            <v>1.8237951174329758E-2</v>
          </cell>
          <cell r="AY961">
            <v>1.9237951174329755E-2</v>
          </cell>
          <cell r="AZ961">
            <v>2.0237951174329756E-2</v>
          </cell>
          <cell r="BA961">
            <v>2.1237951174329757E-2</v>
          </cell>
          <cell r="BF961">
            <v>10395.710000000006</v>
          </cell>
          <cell r="BG961">
            <v>1652.7300000000021</v>
          </cell>
          <cell r="BH961">
            <v>3989.7999999999988</v>
          </cell>
          <cell r="BI961">
            <v>834.41000000000247</v>
          </cell>
          <cell r="BJ961">
            <v>727.47999999999956</v>
          </cell>
          <cell r="BK961">
            <v>796.59000000000015</v>
          </cell>
          <cell r="BL961">
            <v>425</v>
          </cell>
          <cell r="BM961">
            <v>2783.4800000000023</v>
          </cell>
          <cell r="BN961">
            <v>1116.3449913807244</v>
          </cell>
          <cell r="BO961">
            <v>1177.5549913807242</v>
          </cell>
          <cell r="BP961">
            <v>133.61945359242</v>
          </cell>
          <cell r="BQ961">
            <v>0</v>
          </cell>
          <cell r="BR961">
            <v>5210.9994363538708</v>
          </cell>
          <cell r="BT961">
            <v>0</v>
          </cell>
          <cell r="CA961" t="str">
            <v>12989I - EBITA - Base</v>
          </cell>
          <cell r="CC961" t="str">
            <v>12989I - EBITA - Base - IS4</v>
          </cell>
          <cell r="CD961" t="str">
            <v/>
          </cell>
          <cell r="CF961" t="str">
            <v>12989I - Base - IS4</v>
          </cell>
        </row>
        <row r="962">
          <cell r="D962">
            <v>948</v>
          </cell>
          <cell r="E962">
            <v>0</v>
          </cell>
          <cell r="F962">
            <v>0</v>
          </cell>
          <cell r="G962" t="str">
            <v>12989I</v>
          </cell>
          <cell r="H962" t="str">
            <v>SEC DSAS</v>
          </cell>
          <cell r="I962" t="str">
            <v>IS4</v>
          </cell>
          <cell r="J962" t="str">
            <v>IS4 Engineering and Technology Services</v>
          </cell>
          <cell r="K962" t="str">
            <v>Other Civilian</v>
          </cell>
          <cell r="L962" t="str">
            <v>Other</v>
          </cell>
          <cell r="M962" t="str">
            <v>DC</v>
          </cell>
          <cell r="N962" t="str">
            <v>CONUS</v>
          </cell>
          <cell r="O962">
            <v>0</v>
          </cell>
          <cell r="P962">
            <v>0</v>
          </cell>
          <cell r="Q962">
            <v>0</v>
          </cell>
          <cell r="R962" t="str">
            <v>T&amp;M</v>
          </cell>
          <cell r="S962">
            <v>0</v>
          </cell>
          <cell r="T962">
            <v>1</v>
          </cell>
          <cell r="U962" t="str">
            <v>EBITA</v>
          </cell>
          <cell r="V962" t="str">
            <v>Identified - Recompete</v>
          </cell>
          <cell r="W962">
            <v>0</v>
          </cell>
          <cell r="X962">
            <v>0</v>
          </cell>
          <cell r="Y962">
            <v>0</v>
          </cell>
          <cell r="Z962">
            <v>0</v>
          </cell>
          <cell r="AA962">
            <v>0</v>
          </cell>
          <cell r="AB962">
            <v>0</v>
          </cell>
          <cell r="AC962">
            <v>0</v>
          </cell>
          <cell r="AD962">
            <v>0</v>
          </cell>
          <cell r="AX962">
            <v>0</v>
          </cell>
          <cell r="AY962">
            <v>0</v>
          </cell>
          <cell r="AZ962">
            <v>0</v>
          </cell>
          <cell r="BA962">
            <v>0</v>
          </cell>
          <cell r="BI962">
            <v>0</v>
          </cell>
          <cell r="BJ962">
            <v>0</v>
          </cell>
          <cell r="BK962">
            <v>0</v>
          </cell>
          <cell r="BL962">
            <v>0</v>
          </cell>
          <cell r="BM962">
            <v>0</v>
          </cell>
          <cell r="BN962">
            <v>0</v>
          </cell>
          <cell r="BO962">
            <v>0</v>
          </cell>
          <cell r="BP962">
            <v>0</v>
          </cell>
          <cell r="BQ962">
            <v>0</v>
          </cell>
          <cell r="BR962">
            <v>0</v>
          </cell>
          <cell r="BT962">
            <v>0</v>
          </cell>
          <cell r="CA962" t="str">
            <v>12989I - EBITA - Identified - Recompete</v>
          </cell>
          <cell r="CC962" t="str">
            <v>12989I - EBITA - Identified - Recompete - IS4</v>
          </cell>
          <cell r="CD962" t="str">
            <v/>
          </cell>
          <cell r="CF962" t="str">
            <v>12989I - Identified - Recompete - IS4</v>
          </cell>
        </row>
        <row r="963">
          <cell r="D963">
            <v>949</v>
          </cell>
          <cell r="E963">
            <v>1</v>
          </cell>
          <cell r="F963">
            <v>1</v>
          </cell>
          <cell r="G963" t="str">
            <v>ISIGHT</v>
          </cell>
          <cell r="H963" t="str">
            <v>3569-ISIGHT</v>
          </cell>
          <cell r="I963" t="str">
            <v>IS4</v>
          </cell>
          <cell r="J963" t="str">
            <v>IS4 Global Mission Solutions</v>
          </cell>
          <cell r="K963" t="str">
            <v>Classified Agency</v>
          </cell>
          <cell r="L963" t="str">
            <v>Classified</v>
          </cell>
          <cell r="M963" t="str">
            <v>VA</v>
          </cell>
          <cell r="N963" t="str">
            <v>CONUS</v>
          </cell>
          <cell r="O963">
            <v>43332</v>
          </cell>
          <cell r="P963">
            <v>43600</v>
          </cell>
          <cell r="Q963" t="str">
            <v>Sub</v>
          </cell>
          <cell r="R963" t="str">
            <v>T&amp;M</v>
          </cell>
          <cell r="S963">
            <v>0</v>
          </cell>
          <cell r="T963">
            <v>1</v>
          </cell>
          <cell r="U963" t="str">
            <v>REVTOT</v>
          </cell>
          <cell r="V963" t="str">
            <v>Base</v>
          </cell>
          <cell r="W963" t="str">
            <v>05 Won</v>
          </cell>
          <cell r="X963" t="str">
            <v>Active</v>
          </cell>
          <cell r="Y963">
            <v>1</v>
          </cell>
          <cell r="Z963">
            <v>0</v>
          </cell>
          <cell r="AA963">
            <v>4561.7100000000019</v>
          </cell>
          <cell r="AB963">
            <v>0</v>
          </cell>
          <cell r="AC963">
            <v>0</v>
          </cell>
          <cell r="AD963">
            <v>4561.7100000000019</v>
          </cell>
          <cell r="AE963">
            <v>0</v>
          </cell>
          <cell r="AF963">
            <v>0</v>
          </cell>
          <cell r="AG963">
            <v>3.0371985094850942</v>
          </cell>
          <cell r="AH963">
            <v>-1</v>
          </cell>
          <cell r="AI963">
            <v>0</v>
          </cell>
          <cell r="AJ963">
            <v>0</v>
          </cell>
          <cell r="AK963">
            <v>0</v>
          </cell>
          <cell r="BB963">
            <v>0</v>
          </cell>
          <cell r="BC963">
            <v>0</v>
          </cell>
          <cell r="BD963">
            <v>0</v>
          </cell>
          <cell r="BE963">
            <v>0</v>
          </cell>
          <cell r="BF963">
            <v>0</v>
          </cell>
          <cell r="BG963">
            <v>0</v>
          </cell>
          <cell r="BH963">
            <v>26568</v>
          </cell>
          <cell r="BI963">
            <v>52672</v>
          </cell>
          <cell r="BJ963">
            <v>54446.49</v>
          </cell>
          <cell r="BK963">
            <v>141.80000000000001</v>
          </cell>
          <cell r="BL963">
            <v>0</v>
          </cell>
          <cell r="BM963">
            <v>107260.29</v>
          </cell>
          <cell r="BN963">
            <v>0</v>
          </cell>
          <cell r="BO963">
            <v>0</v>
          </cell>
          <cell r="BP963">
            <v>0</v>
          </cell>
          <cell r="BQ963">
            <v>0</v>
          </cell>
          <cell r="BR963">
            <v>107260.29</v>
          </cell>
          <cell r="BT963">
            <v>0</v>
          </cell>
          <cell r="CA963" t="str">
            <v>ISIGHT - REVTOT - Base</v>
          </cell>
          <cell r="CC963" t="str">
            <v>ISIGHT - REVTOT - Base - IS4</v>
          </cell>
          <cell r="CD963" t="str">
            <v/>
          </cell>
          <cell r="CF963" t="str">
            <v>ISIGHT - Base - IS4</v>
          </cell>
        </row>
        <row r="964">
          <cell r="D964">
            <v>950</v>
          </cell>
          <cell r="E964">
            <v>1</v>
          </cell>
          <cell r="F964">
            <v>2</v>
          </cell>
          <cell r="G964" t="str">
            <v>ISIGHT</v>
          </cell>
          <cell r="H964" t="str">
            <v>3569-ISIGHT</v>
          </cell>
          <cell r="I964" t="str">
            <v>IS4</v>
          </cell>
          <cell r="J964" t="str">
            <v>IS4 Global Mission Solutions</v>
          </cell>
          <cell r="K964" t="str">
            <v>Classified Agency</v>
          </cell>
          <cell r="L964" t="str">
            <v>Classified</v>
          </cell>
          <cell r="M964" t="str">
            <v>VA</v>
          </cell>
          <cell r="N964" t="str">
            <v>CONUS</v>
          </cell>
          <cell r="O964">
            <v>0</v>
          </cell>
          <cell r="P964">
            <v>0</v>
          </cell>
          <cell r="Q964">
            <v>0</v>
          </cell>
          <cell r="R964" t="str">
            <v>T&amp;M</v>
          </cell>
          <cell r="S964">
            <v>0</v>
          </cell>
          <cell r="T964">
            <v>1</v>
          </cell>
          <cell r="U964" t="str">
            <v>REVTOT</v>
          </cell>
          <cell r="V964" t="str">
            <v>Identified - Recompete</v>
          </cell>
          <cell r="W964">
            <v>0</v>
          </cell>
          <cell r="X964">
            <v>0</v>
          </cell>
          <cell r="Y964">
            <v>0</v>
          </cell>
          <cell r="Z964">
            <v>0</v>
          </cell>
          <cell r="AA964">
            <v>0</v>
          </cell>
          <cell r="AB964">
            <v>0</v>
          </cell>
          <cell r="AC964">
            <v>0</v>
          </cell>
          <cell r="AD964">
            <v>0</v>
          </cell>
          <cell r="AI964">
            <v>0</v>
          </cell>
          <cell r="AJ964">
            <v>0</v>
          </cell>
          <cell r="AK964">
            <v>0</v>
          </cell>
          <cell r="BB964">
            <v>0</v>
          </cell>
          <cell r="BC964">
            <v>0</v>
          </cell>
          <cell r="BD964">
            <v>0</v>
          </cell>
          <cell r="BE964">
            <v>0</v>
          </cell>
          <cell r="BI964">
            <v>0</v>
          </cell>
          <cell r="BJ964">
            <v>0</v>
          </cell>
          <cell r="BK964">
            <v>0</v>
          </cell>
          <cell r="BL964">
            <v>0</v>
          </cell>
          <cell r="BM964">
            <v>0</v>
          </cell>
          <cell r="BN964">
            <v>0</v>
          </cell>
          <cell r="BO964">
            <v>0</v>
          </cell>
          <cell r="BP964">
            <v>0</v>
          </cell>
          <cell r="BQ964">
            <v>0</v>
          </cell>
          <cell r="BR964">
            <v>0</v>
          </cell>
          <cell r="BT964">
            <v>0</v>
          </cell>
          <cell r="CA964" t="str">
            <v>ISIGHT - REVTOT - Identified - Recompete</v>
          </cell>
          <cell r="CC964" t="str">
            <v>ISIGHT - REVTOT - Identified - Recompete - IS4</v>
          </cell>
          <cell r="CD964" t="str">
            <v/>
          </cell>
          <cell r="CF964" t="str">
            <v>ISIGHT - Identified - Recompete - IS4</v>
          </cell>
        </row>
        <row r="965">
          <cell r="D965">
            <v>951</v>
          </cell>
          <cell r="E965">
            <v>2</v>
          </cell>
          <cell r="F965">
            <v>3</v>
          </cell>
          <cell r="G965" t="str">
            <v>ISIGHT</v>
          </cell>
          <cell r="H965" t="str">
            <v>3569-ISIGHT</v>
          </cell>
          <cell r="I965" t="str">
            <v>IS4</v>
          </cell>
          <cell r="J965" t="str">
            <v>IS4 Global Mission Solutions</v>
          </cell>
          <cell r="K965" t="str">
            <v>Classified Agency</v>
          </cell>
          <cell r="L965" t="str">
            <v>Classified</v>
          </cell>
          <cell r="M965" t="str">
            <v>VA</v>
          </cell>
          <cell r="N965" t="str">
            <v>CONUS</v>
          </cell>
          <cell r="O965">
            <v>43332</v>
          </cell>
          <cell r="P965">
            <v>43600</v>
          </cell>
          <cell r="Q965" t="str">
            <v>Sub</v>
          </cell>
          <cell r="R965" t="str">
            <v>T&amp;M</v>
          </cell>
          <cell r="S965">
            <v>0</v>
          </cell>
          <cell r="T965">
            <v>1</v>
          </cell>
          <cell r="U965" t="str">
            <v>CONTRACT</v>
          </cell>
          <cell r="V965" t="str">
            <v>Base</v>
          </cell>
          <cell r="W965" t="str">
            <v>05 Won</v>
          </cell>
          <cell r="X965" t="str">
            <v>Active</v>
          </cell>
          <cell r="Y965">
            <v>1</v>
          </cell>
          <cell r="Z965">
            <v>0</v>
          </cell>
          <cell r="AA965">
            <v>4561.7100000000019</v>
          </cell>
          <cell r="AB965">
            <v>0</v>
          </cell>
          <cell r="AC965">
            <v>0</v>
          </cell>
          <cell r="AD965">
            <v>4561.7100000000019</v>
          </cell>
          <cell r="AL965">
            <v>0</v>
          </cell>
          <cell r="AM965">
            <v>0</v>
          </cell>
          <cell r="AN965">
            <v>0.13916102077687453</v>
          </cell>
          <cell r="AO965">
            <v>0.15426025792024245</v>
          </cell>
          <cell r="AP965">
            <v>0.15126271134451472</v>
          </cell>
          <cell r="AQ965">
            <v>0.15126271134451472</v>
          </cell>
          <cell r="AR965">
            <v>0.15126271134451472</v>
          </cell>
          <cell r="AS965">
            <v>0.15126271134451472</v>
          </cell>
          <cell r="BF965">
            <v>0</v>
          </cell>
          <cell r="BG965">
            <v>0</v>
          </cell>
          <cell r="BH965">
            <v>3697.2300000000023</v>
          </cell>
          <cell r="BI965">
            <v>6832.6700000000019</v>
          </cell>
          <cell r="BJ965">
            <v>9701.0099999999984</v>
          </cell>
          <cell r="BK965">
            <v>12.320000000000022</v>
          </cell>
          <cell r="BL965">
            <v>0</v>
          </cell>
          <cell r="BM965">
            <v>16546</v>
          </cell>
          <cell r="BN965">
            <v>0</v>
          </cell>
          <cell r="BO965">
            <v>0</v>
          </cell>
          <cell r="BP965">
            <v>0</v>
          </cell>
          <cell r="BQ965">
            <v>0</v>
          </cell>
          <cell r="BR965">
            <v>16546</v>
          </cell>
          <cell r="BT965">
            <v>0</v>
          </cell>
          <cell r="CA965" t="str">
            <v>ISIGHT - CONTRACT - Base</v>
          </cell>
          <cell r="CC965" t="str">
            <v>ISIGHT - CONTRACT - Base - IS4</v>
          </cell>
          <cell r="CD965" t="str">
            <v/>
          </cell>
          <cell r="CF965" t="str">
            <v>ISIGHT - Base - IS4</v>
          </cell>
        </row>
        <row r="966">
          <cell r="D966">
            <v>952</v>
          </cell>
          <cell r="E966">
            <v>2</v>
          </cell>
          <cell r="F966">
            <v>4</v>
          </cell>
          <cell r="G966" t="str">
            <v>ISIGHT</v>
          </cell>
          <cell r="H966" t="str">
            <v>3569-ISIGHT</v>
          </cell>
          <cell r="I966" t="str">
            <v>IS4</v>
          </cell>
          <cell r="J966" t="str">
            <v>IS4 Global Mission Solutions</v>
          </cell>
          <cell r="K966" t="str">
            <v>Classified Agency</v>
          </cell>
          <cell r="L966" t="str">
            <v>Classified</v>
          </cell>
          <cell r="M966" t="str">
            <v>VA</v>
          </cell>
          <cell r="N966" t="str">
            <v>CONUS</v>
          </cell>
          <cell r="O966">
            <v>0</v>
          </cell>
          <cell r="P966">
            <v>0</v>
          </cell>
          <cell r="Q966">
            <v>0</v>
          </cell>
          <cell r="R966" t="str">
            <v>T&amp;M</v>
          </cell>
          <cell r="S966">
            <v>0</v>
          </cell>
          <cell r="T966">
            <v>1</v>
          </cell>
          <cell r="U966" t="str">
            <v>CONTRACT</v>
          </cell>
          <cell r="V966" t="str">
            <v>Identified - Recompete</v>
          </cell>
          <cell r="W966">
            <v>0</v>
          </cell>
          <cell r="X966">
            <v>0</v>
          </cell>
          <cell r="Y966">
            <v>0</v>
          </cell>
          <cell r="Z966">
            <v>0</v>
          </cell>
          <cell r="AA966">
            <v>0</v>
          </cell>
          <cell r="AB966">
            <v>0</v>
          </cell>
          <cell r="AC966">
            <v>0</v>
          </cell>
          <cell r="AD966">
            <v>0</v>
          </cell>
          <cell r="AP966">
            <v>0</v>
          </cell>
          <cell r="AQ966">
            <v>0</v>
          </cell>
          <cell r="AR966">
            <v>0</v>
          </cell>
          <cell r="AS966">
            <v>0</v>
          </cell>
          <cell r="BI966">
            <v>0</v>
          </cell>
          <cell r="BJ966">
            <v>0</v>
          </cell>
          <cell r="BK966">
            <v>0</v>
          </cell>
          <cell r="BL966">
            <v>0</v>
          </cell>
          <cell r="BM966">
            <v>0</v>
          </cell>
          <cell r="BN966">
            <v>0</v>
          </cell>
          <cell r="BO966">
            <v>0</v>
          </cell>
          <cell r="BP966">
            <v>0</v>
          </cell>
          <cell r="BQ966">
            <v>0</v>
          </cell>
          <cell r="BR966">
            <v>0</v>
          </cell>
          <cell r="BT966">
            <v>0</v>
          </cell>
          <cell r="CA966" t="str">
            <v>ISIGHT - CONTRACT - Identified - Recompete</v>
          </cell>
          <cell r="CC966" t="str">
            <v>ISIGHT - CONTRACT - Identified - Recompete - IS4</v>
          </cell>
          <cell r="CD966" t="str">
            <v/>
          </cell>
          <cell r="CF966" t="str">
            <v>ISIGHT - Identified - Recompete - IS4</v>
          </cell>
        </row>
        <row r="967">
          <cell r="D967">
            <v>953</v>
          </cell>
          <cell r="E967">
            <v>0</v>
          </cell>
          <cell r="F967">
            <v>5</v>
          </cell>
          <cell r="G967" t="str">
            <v>ISIGHT</v>
          </cell>
          <cell r="H967" t="str">
            <v>3569-ISIGHT</v>
          </cell>
          <cell r="I967" t="str">
            <v>IS4</v>
          </cell>
          <cell r="J967" t="str">
            <v>IS4 Global Mission Solutions</v>
          </cell>
          <cell r="K967" t="str">
            <v>Classified Agency</v>
          </cell>
          <cell r="L967" t="str">
            <v>Classified</v>
          </cell>
          <cell r="M967" t="str">
            <v>VA</v>
          </cell>
          <cell r="N967" t="str">
            <v>CONUS</v>
          </cell>
          <cell r="O967">
            <v>43332</v>
          </cell>
          <cell r="P967">
            <v>43600</v>
          </cell>
          <cell r="Q967" t="str">
            <v>Sub</v>
          </cell>
          <cell r="R967" t="str">
            <v>T&amp;M</v>
          </cell>
          <cell r="S967">
            <v>0</v>
          </cell>
          <cell r="T967">
            <v>1</v>
          </cell>
          <cell r="U967" t="str">
            <v>EBITA</v>
          </cell>
          <cell r="V967" t="str">
            <v>Base</v>
          </cell>
          <cell r="W967" t="str">
            <v>05 Won</v>
          </cell>
          <cell r="X967" t="str">
            <v>Active</v>
          </cell>
          <cell r="Y967">
            <v>1</v>
          </cell>
          <cell r="Z967">
            <v>0</v>
          </cell>
          <cell r="AA967">
            <v>4561.7100000000019</v>
          </cell>
          <cell r="AB967">
            <v>0</v>
          </cell>
          <cell r="AC967">
            <v>0</v>
          </cell>
          <cell r="AD967">
            <v>4561.7100000000019</v>
          </cell>
          <cell r="AT967">
            <v>0</v>
          </cell>
          <cell r="AU967">
            <v>0</v>
          </cell>
          <cell r="AV967">
            <v>5.8623155676001293E-2</v>
          </cell>
          <cell r="AW967">
            <v>7.3784715666907127E-2</v>
          </cell>
          <cell r="AX967">
            <v>7.1774796569544497E-2</v>
          </cell>
          <cell r="AY967">
            <v>7.2774796569544498E-2</v>
          </cell>
          <cell r="AZ967">
            <v>7.3774796569544498E-2</v>
          </cell>
          <cell r="BA967">
            <v>7.4774796569544499E-2</v>
          </cell>
          <cell r="BF967">
            <v>0</v>
          </cell>
          <cell r="BG967">
            <v>0</v>
          </cell>
          <cell r="BH967">
            <v>1557.5000000000023</v>
          </cell>
          <cell r="BI967">
            <v>2375.4000000000024</v>
          </cell>
          <cell r="BJ967">
            <v>5538.7699999999986</v>
          </cell>
          <cell r="BK967">
            <v>0</v>
          </cell>
          <cell r="BL967">
            <v>0</v>
          </cell>
          <cell r="BM967">
            <v>7914.170000000001</v>
          </cell>
          <cell r="BN967">
            <v>0</v>
          </cell>
          <cell r="BO967">
            <v>0</v>
          </cell>
          <cell r="BP967">
            <v>0</v>
          </cell>
          <cell r="BQ967">
            <v>0</v>
          </cell>
          <cell r="BR967">
            <v>7914.170000000001</v>
          </cell>
          <cell r="BT967">
            <v>0</v>
          </cell>
          <cell r="CA967" t="str">
            <v>ISIGHT - EBITA - Base</v>
          </cell>
          <cell r="CC967" t="str">
            <v>ISIGHT - EBITA - Base - IS4</v>
          </cell>
          <cell r="CD967" t="str">
            <v/>
          </cell>
          <cell r="CF967" t="str">
            <v>ISIGHT - Base - IS4</v>
          </cell>
        </row>
        <row r="968">
          <cell r="D968">
            <v>954</v>
          </cell>
          <cell r="E968">
            <v>0</v>
          </cell>
          <cell r="F968">
            <v>0</v>
          </cell>
          <cell r="G968" t="str">
            <v>ISIGHT</v>
          </cell>
          <cell r="H968" t="str">
            <v>3569-ISIGHT</v>
          </cell>
          <cell r="I968" t="str">
            <v>IS4</v>
          </cell>
          <cell r="J968" t="str">
            <v>IS4 Global Mission Solutions</v>
          </cell>
          <cell r="K968" t="str">
            <v>Classified Agency</v>
          </cell>
          <cell r="L968" t="str">
            <v>Classified</v>
          </cell>
          <cell r="M968" t="str">
            <v>VA</v>
          </cell>
          <cell r="N968" t="str">
            <v>CONUS</v>
          </cell>
          <cell r="O968">
            <v>0</v>
          </cell>
          <cell r="P968">
            <v>0</v>
          </cell>
          <cell r="Q968">
            <v>0</v>
          </cell>
          <cell r="R968" t="str">
            <v>T&amp;M</v>
          </cell>
          <cell r="S968">
            <v>0</v>
          </cell>
          <cell r="T968">
            <v>1</v>
          </cell>
          <cell r="U968" t="str">
            <v>EBITA</v>
          </cell>
          <cell r="V968" t="str">
            <v>Identified - Recompete</v>
          </cell>
          <cell r="W968">
            <v>0</v>
          </cell>
          <cell r="X968">
            <v>0</v>
          </cell>
          <cell r="Y968">
            <v>0</v>
          </cell>
          <cell r="Z968">
            <v>0</v>
          </cell>
          <cell r="AA968">
            <v>0</v>
          </cell>
          <cell r="AB968">
            <v>0</v>
          </cell>
          <cell r="AC968">
            <v>0</v>
          </cell>
          <cell r="AD968">
            <v>0</v>
          </cell>
          <cell r="AX968">
            <v>0</v>
          </cell>
          <cell r="AY968">
            <v>0</v>
          </cell>
          <cell r="AZ968">
            <v>0</v>
          </cell>
          <cell r="BA968">
            <v>0</v>
          </cell>
          <cell r="BI968">
            <v>0</v>
          </cell>
          <cell r="BJ968">
            <v>0</v>
          </cell>
          <cell r="BK968">
            <v>0</v>
          </cell>
          <cell r="BL968">
            <v>0</v>
          </cell>
          <cell r="BM968">
            <v>0</v>
          </cell>
          <cell r="BN968">
            <v>0</v>
          </cell>
          <cell r="BO968">
            <v>0</v>
          </cell>
          <cell r="BP968">
            <v>0</v>
          </cell>
          <cell r="BQ968">
            <v>0</v>
          </cell>
          <cell r="BR968">
            <v>0</v>
          </cell>
          <cell r="BT968">
            <v>0</v>
          </cell>
          <cell r="CA968" t="str">
            <v>ISIGHT - EBITA - Identified - Recompete</v>
          </cell>
          <cell r="CC968" t="str">
            <v>ISIGHT - EBITA - Identified - Recompete - IS4</v>
          </cell>
          <cell r="CD968" t="str">
            <v/>
          </cell>
          <cell r="CF968" t="str">
            <v>ISIGHT - Identified - Recompete - IS4</v>
          </cell>
        </row>
        <row r="969">
          <cell r="D969">
            <v>955</v>
          </cell>
          <cell r="E969">
            <v>1</v>
          </cell>
          <cell r="F969">
            <v>1</v>
          </cell>
          <cell r="G969" t="str">
            <v>000064</v>
          </cell>
          <cell r="H969" t="str">
            <v>OTEK 02</v>
          </cell>
          <cell r="I969" t="str">
            <v>IS4</v>
          </cell>
          <cell r="J969" t="str">
            <v>IS4 Infrastructure and Engineering</v>
          </cell>
          <cell r="K969" t="str">
            <v>Classified Agency</v>
          </cell>
          <cell r="L969" t="str">
            <v>Classified</v>
          </cell>
          <cell r="M969" t="str">
            <v>Classified Location</v>
          </cell>
          <cell r="N969" t="str">
            <v>Other</v>
          </cell>
          <cell r="O969">
            <v>41655</v>
          </cell>
          <cell r="P969">
            <v>43343</v>
          </cell>
          <cell r="Q969" t="str">
            <v>Prime</v>
          </cell>
          <cell r="R969" t="str">
            <v>T&amp;M</v>
          </cell>
          <cell r="S969">
            <v>0</v>
          </cell>
          <cell r="T969">
            <v>1</v>
          </cell>
          <cell r="U969" t="str">
            <v>REVTOT</v>
          </cell>
          <cell r="V969" t="str">
            <v>Base</v>
          </cell>
          <cell r="W969" t="str">
            <v>05 Won</v>
          </cell>
          <cell r="X969" t="str">
            <v>Active</v>
          </cell>
          <cell r="Y969">
            <v>1</v>
          </cell>
          <cell r="Z969">
            <v>0</v>
          </cell>
          <cell r="AA969">
            <v>65668.539999999804</v>
          </cell>
          <cell r="AB969">
            <v>0</v>
          </cell>
          <cell r="AC969">
            <v>0</v>
          </cell>
          <cell r="AD969">
            <v>65668.539999999804</v>
          </cell>
          <cell r="AE969">
            <v>-0.10218659754833681</v>
          </cell>
          <cell r="AF969">
            <v>0.3504145185042653</v>
          </cell>
          <cell r="AG969">
            <v>-0.99258070108239704</v>
          </cell>
          <cell r="AH969">
            <v>-1</v>
          </cell>
          <cell r="AI969">
            <v>0</v>
          </cell>
          <cell r="AJ969">
            <v>0</v>
          </cell>
          <cell r="AK969">
            <v>0</v>
          </cell>
          <cell r="BB969">
            <v>0</v>
          </cell>
          <cell r="BC969">
            <v>0</v>
          </cell>
          <cell r="BD969">
            <v>0</v>
          </cell>
          <cell r="BE969">
            <v>0</v>
          </cell>
          <cell r="BF969">
            <v>647160.69999999995</v>
          </cell>
          <cell r="BG969">
            <v>581029.55000000005</v>
          </cell>
          <cell r="BH969">
            <v>784630.74</v>
          </cell>
          <cell r="BI969">
            <v>5832.48</v>
          </cell>
          <cell r="BJ969">
            <v>-11.07</v>
          </cell>
          <cell r="BK969">
            <v>0</v>
          </cell>
          <cell r="BL969">
            <v>0</v>
          </cell>
          <cell r="BM969">
            <v>5821.41</v>
          </cell>
          <cell r="BN969">
            <v>0</v>
          </cell>
          <cell r="BO969">
            <v>0</v>
          </cell>
          <cell r="BP969">
            <v>0</v>
          </cell>
          <cell r="BQ969">
            <v>0</v>
          </cell>
          <cell r="BR969">
            <v>5821.41</v>
          </cell>
          <cell r="BT969">
            <v>0</v>
          </cell>
          <cell r="CA969" t="str">
            <v>000064 - REVTOT - Base</v>
          </cell>
          <cell r="CC969" t="str">
            <v>000064 - REVTOT - Base - IS4</v>
          </cell>
          <cell r="CD969" t="str">
            <v/>
          </cell>
          <cell r="CF969" t="str">
            <v>000064 - Base - IS4</v>
          </cell>
        </row>
        <row r="970">
          <cell r="D970">
            <v>956</v>
          </cell>
          <cell r="E970">
            <v>1</v>
          </cell>
          <cell r="F970">
            <v>2</v>
          </cell>
          <cell r="G970" t="str">
            <v>000064</v>
          </cell>
          <cell r="H970" t="str">
            <v>OTEK 02</v>
          </cell>
          <cell r="I970" t="str">
            <v>IS4</v>
          </cell>
          <cell r="J970" t="str">
            <v>IS4 Infrastructure and Engineering</v>
          </cell>
          <cell r="K970" t="str">
            <v>Classified Agency</v>
          </cell>
          <cell r="L970" t="str">
            <v>Classified</v>
          </cell>
          <cell r="M970" t="str">
            <v>Classified Location</v>
          </cell>
          <cell r="N970" t="str">
            <v>Other</v>
          </cell>
          <cell r="O970">
            <v>0</v>
          </cell>
          <cell r="P970">
            <v>0</v>
          </cell>
          <cell r="Q970">
            <v>0</v>
          </cell>
          <cell r="R970" t="str">
            <v>T&amp;M</v>
          </cell>
          <cell r="S970">
            <v>0</v>
          </cell>
          <cell r="T970">
            <v>1</v>
          </cell>
          <cell r="U970" t="str">
            <v>REVTOT</v>
          </cell>
          <cell r="V970" t="str">
            <v>Identified - Recompete</v>
          </cell>
          <cell r="W970">
            <v>0</v>
          </cell>
          <cell r="X970">
            <v>0</v>
          </cell>
          <cell r="Y970">
            <v>0</v>
          </cell>
          <cell r="Z970">
            <v>0</v>
          </cell>
          <cell r="AA970">
            <v>0</v>
          </cell>
          <cell r="AB970">
            <v>0</v>
          </cell>
          <cell r="AC970">
            <v>0</v>
          </cell>
          <cell r="AD970">
            <v>0</v>
          </cell>
          <cell r="AI970">
            <v>0</v>
          </cell>
          <cell r="AJ970">
            <v>0</v>
          </cell>
          <cell r="AK970">
            <v>0</v>
          </cell>
          <cell r="BB970">
            <v>0</v>
          </cell>
          <cell r="BC970">
            <v>0</v>
          </cell>
          <cell r="BD970">
            <v>0</v>
          </cell>
          <cell r="BE970">
            <v>0</v>
          </cell>
          <cell r="BI970">
            <v>0</v>
          </cell>
          <cell r="BJ970">
            <v>0</v>
          </cell>
          <cell r="BK970">
            <v>0</v>
          </cell>
          <cell r="BL970">
            <v>0</v>
          </cell>
          <cell r="BM970">
            <v>0</v>
          </cell>
          <cell r="BN970">
            <v>0</v>
          </cell>
          <cell r="BO970">
            <v>0</v>
          </cell>
          <cell r="BP970">
            <v>0</v>
          </cell>
          <cell r="BQ970">
            <v>0</v>
          </cell>
          <cell r="BR970">
            <v>0</v>
          </cell>
          <cell r="BT970">
            <v>0</v>
          </cell>
          <cell r="CA970" t="str">
            <v>000064 - REVTOT - Identified - Recompete</v>
          </cell>
          <cell r="CC970" t="str">
            <v>000064 - REVTOT - Identified - Recompete - IS4</v>
          </cell>
          <cell r="CD970" t="str">
            <v/>
          </cell>
          <cell r="CF970" t="str">
            <v>000064 - Identified - Recompete - IS4</v>
          </cell>
        </row>
        <row r="971">
          <cell r="D971">
            <v>957</v>
          </cell>
          <cell r="E971">
            <v>2</v>
          </cell>
          <cell r="F971">
            <v>3</v>
          </cell>
          <cell r="G971" t="str">
            <v>000064</v>
          </cell>
          <cell r="H971" t="str">
            <v>OTEK 02</v>
          </cell>
          <cell r="I971" t="str">
            <v>IS4</v>
          </cell>
          <cell r="J971" t="str">
            <v>IS4 Infrastructure and Engineering</v>
          </cell>
          <cell r="K971" t="str">
            <v>Classified Agency</v>
          </cell>
          <cell r="L971" t="str">
            <v>Classified</v>
          </cell>
          <cell r="M971" t="str">
            <v>Classified Location</v>
          </cell>
          <cell r="N971" t="str">
            <v>Other</v>
          </cell>
          <cell r="O971">
            <v>41655</v>
          </cell>
          <cell r="P971">
            <v>43343</v>
          </cell>
          <cell r="Q971" t="str">
            <v>Prime</v>
          </cell>
          <cell r="R971" t="str">
            <v>T&amp;M</v>
          </cell>
          <cell r="S971">
            <v>0</v>
          </cell>
          <cell r="T971">
            <v>1</v>
          </cell>
          <cell r="U971" t="str">
            <v>CONTRACT</v>
          </cell>
          <cell r="V971" t="str">
            <v>Base</v>
          </cell>
          <cell r="W971" t="str">
            <v>05 Won</v>
          </cell>
          <cell r="X971" t="str">
            <v>Active</v>
          </cell>
          <cell r="Y971">
            <v>1</v>
          </cell>
          <cell r="Z971">
            <v>0</v>
          </cell>
          <cell r="AA971">
            <v>65668.539999999804</v>
          </cell>
          <cell r="AB971">
            <v>0</v>
          </cell>
          <cell r="AC971">
            <v>0</v>
          </cell>
          <cell r="AD971">
            <v>65668.539999999804</v>
          </cell>
          <cell r="AL971">
            <v>1.9748062575493233E-2</v>
          </cell>
          <cell r="AM971">
            <v>0.13814724225299732</v>
          </cell>
          <cell r="AN971">
            <v>8.648870932586708E-2</v>
          </cell>
          <cell r="AO971">
            <v>9.3199070328322489E-2</v>
          </cell>
          <cell r="AP971">
            <v>0</v>
          </cell>
          <cell r="AQ971">
            <v>0</v>
          </cell>
          <cell r="AR971">
            <v>0</v>
          </cell>
          <cell r="AS971">
            <v>0</v>
          </cell>
          <cell r="BF971">
            <v>12780.170000000002</v>
          </cell>
          <cell r="BG971">
            <v>80267.630000000019</v>
          </cell>
          <cell r="BH971">
            <v>67861.699999999983</v>
          </cell>
          <cell r="BI971">
            <v>553.61999999999989</v>
          </cell>
          <cell r="BJ971">
            <v>-11.07</v>
          </cell>
          <cell r="BK971">
            <v>0</v>
          </cell>
          <cell r="BL971">
            <v>0</v>
          </cell>
          <cell r="BM971">
            <v>542.54999999999984</v>
          </cell>
          <cell r="BN971">
            <v>0</v>
          </cell>
          <cell r="BO971">
            <v>0</v>
          </cell>
          <cell r="BP971">
            <v>0</v>
          </cell>
          <cell r="BQ971">
            <v>0</v>
          </cell>
          <cell r="BR971">
            <v>542.54999999999984</v>
          </cell>
          <cell r="BT971">
            <v>0</v>
          </cell>
          <cell r="CA971" t="str">
            <v>000064 - CONTRACT - Base</v>
          </cell>
          <cell r="CC971" t="str">
            <v>000064 - CONTRACT - Base - IS4</v>
          </cell>
          <cell r="CD971" t="str">
            <v/>
          </cell>
          <cell r="CF971" t="str">
            <v>000064 - Base - IS4</v>
          </cell>
        </row>
        <row r="972">
          <cell r="D972">
            <v>958</v>
          </cell>
          <cell r="E972">
            <v>2</v>
          </cell>
          <cell r="F972">
            <v>4</v>
          </cell>
          <cell r="G972" t="str">
            <v>000064</v>
          </cell>
          <cell r="H972" t="str">
            <v>OTEK 02</v>
          </cell>
          <cell r="I972" t="str">
            <v>IS4</v>
          </cell>
          <cell r="J972" t="str">
            <v>IS4 Infrastructure and Engineering</v>
          </cell>
          <cell r="K972" t="str">
            <v>Classified Agency</v>
          </cell>
          <cell r="L972" t="str">
            <v>Classified</v>
          </cell>
          <cell r="M972" t="str">
            <v>Classified Location</v>
          </cell>
          <cell r="N972" t="str">
            <v>Other</v>
          </cell>
          <cell r="O972">
            <v>0</v>
          </cell>
          <cell r="P972">
            <v>0</v>
          </cell>
          <cell r="Q972">
            <v>0</v>
          </cell>
          <cell r="R972" t="str">
            <v>T&amp;M</v>
          </cell>
          <cell r="S972">
            <v>0</v>
          </cell>
          <cell r="T972">
            <v>1</v>
          </cell>
          <cell r="U972" t="str">
            <v>CONTRACT</v>
          </cell>
          <cell r="V972" t="str">
            <v>Identified - Recompete</v>
          </cell>
          <cell r="W972">
            <v>0</v>
          </cell>
          <cell r="X972">
            <v>0</v>
          </cell>
          <cell r="Y972">
            <v>0</v>
          </cell>
          <cell r="Z972">
            <v>0</v>
          </cell>
          <cell r="AA972">
            <v>0</v>
          </cell>
          <cell r="AB972">
            <v>0</v>
          </cell>
          <cell r="AC972">
            <v>0</v>
          </cell>
          <cell r="AD972">
            <v>0</v>
          </cell>
          <cell r="AP972">
            <v>0</v>
          </cell>
          <cell r="AQ972">
            <v>0</v>
          </cell>
          <cell r="AR972">
            <v>0</v>
          </cell>
          <cell r="AS972">
            <v>0</v>
          </cell>
          <cell r="BI972">
            <v>0</v>
          </cell>
          <cell r="BJ972">
            <v>0</v>
          </cell>
          <cell r="BK972">
            <v>0</v>
          </cell>
          <cell r="BL972">
            <v>0</v>
          </cell>
          <cell r="BM972">
            <v>0</v>
          </cell>
          <cell r="BN972">
            <v>0</v>
          </cell>
          <cell r="BO972">
            <v>0</v>
          </cell>
          <cell r="BP972">
            <v>0</v>
          </cell>
          <cell r="BQ972">
            <v>0</v>
          </cell>
          <cell r="BR972">
            <v>0</v>
          </cell>
          <cell r="BT972">
            <v>0</v>
          </cell>
          <cell r="CA972" t="str">
            <v>000064 - CONTRACT - Identified - Recompete</v>
          </cell>
          <cell r="CC972" t="str">
            <v>000064 - CONTRACT - Identified - Recompete - IS4</v>
          </cell>
          <cell r="CD972" t="str">
            <v/>
          </cell>
          <cell r="CF972" t="str">
            <v>000064 - Identified - Recompete - IS4</v>
          </cell>
        </row>
        <row r="973">
          <cell r="D973">
            <v>959</v>
          </cell>
          <cell r="E973">
            <v>0</v>
          </cell>
          <cell r="F973">
            <v>5</v>
          </cell>
          <cell r="G973" t="str">
            <v>000064</v>
          </cell>
          <cell r="H973" t="str">
            <v>OTEK 02</v>
          </cell>
          <cell r="I973" t="str">
            <v>IS4</v>
          </cell>
          <cell r="J973" t="str">
            <v>IS4 Infrastructure and Engineering</v>
          </cell>
          <cell r="K973" t="str">
            <v>Classified Agency</v>
          </cell>
          <cell r="L973" t="str">
            <v>Classified</v>
          </cell>
          <cell r="M973" t="str">
            <v>Classified Location</v>
          </cell>
          <cell r="N973" t="str">
            <v>Other</v>
          </cell>
          <cell r="O973">
            <v>41655</v>
          </cell>
          <cell r="P973">
            <v>43343</v>
          </cell>
          <cell r="Q973" t="str">
            <v>Prime</v>
          </cell>
          <cell r="R973" t="str">
            <v>T&amp;M</v>
          </cell>
          <cell r="S973">
            <v>0</v>
          </cell>
          <cell r="T973">
            <v>1</v>
          </cell>
          <cell r="U973" t="str">
            <v>EBITA</v>
          </cell>
          <cell r="V973" t="str">
            <v>Base</v>
          </cell>
          <cell r="W973" t="str">
            <v>05 Won</v>
          </cell>
          <cell r="X973" t="str">
            <v>Active</v>
          </cell>
          <cell r="Y973">
            <v>1</v>
          </cell>
          <cell r="Z973">
            <v>0</v>
          </cell>
          <cell r="AA973">
            <v>65668.539999999804</v>
          </cell>
          <cell r="AB973">
            <v>0</v>
          </cell>
          <cell r="AC973">
            <v>0</v>
          </cell>
          <cell r="AD973">
            <v>65668.539999999804</v>
          </cell>
          <cell r="AT973">
            <v>-9.0887703780529336E-2</v>
          </cell>
          <cell r="AU973">
            <v>4.3017932564703508E-2</v>
          </cell>
          <cell r="AV973">
            <v>2.2476050326552025E-3</v>
          </cell>
          <cell r="AW973">
            <v>0</v>
          </cell>
          <cell r="AX973">
            <v>0</v>
          </cell>
          <cell r="AY973">
            <v>0</v>
          </cell>
          <cell r="AZ973">
            <v>0</v>
          </cell>
          <cell r="BA973">
            <v>0</v>
          </cell>
          <cell r="BF973">
            <v>-58818.950000000004</v>
          </cell>
          <cell r="BG973">
            <v>24994.690000000028</v>
          </cell>
          <cell r="BH973">
            <v>1763.5399999999756</v>
          </cell>
          <cell r="BI973">
            <v>0</v>
          </cell>
          <cell r="BJ973">
            <v>0</v>
          </cell>
          <cell r="BK973">
            <v>0</v>
          </cell>
          <cell r="BL973">
            <v>0</v>
          </cell>
          <cell r="BM973">
            <v>0</v>
          </cell>
          <cell r="BN973">
            <v>0</v>
          </cell>
          <cell r="BO973">
            <v>0</v>
          </cell>
          <cell r="BP973">
            <v>0</v>
          </cell>
          <cell r="BQ973">
            <v>0</v>
          </cell>
          <cell r="BR973">
            <v>0</v>
          </cell>
          <cell r="BT973">
            <v>0</v>
          </cell>
          <cell r="CA973" t="str">
            <v>000064 - EBITA - Base</v>
          </cell>
          <cell r="CC973" t="str">
            <v>000064 - EBITA - Base - IS4</v>
          </cell>
          <cell r="CD973" t="str">
            <v/>
          </cell>
          <cell r="CF973" t="str">
            <v>000064 - Base - IS4</v>
          </cell>
        </row>
        <row r="974">
          <cell r="D974">
            <v>960</v>
          </cell>
          <cell r="E974">
            <v>0</v>
          </cell>
          <cell r="F974">
            <v>0</v>
          </cell>
          <cell r="G974" t="str">
            <v>000064</v>
          </cell>
          <cell r="H974" t="str">
            <v>OTEK 02</v>
          </cell>
          <cell r="I974" t="str">
            <v>IS4</v>
          </cell>
          <cell r="J974" t="str">
            <v>IS4 Infrastructure and Engineering</v>
          </cell>
          <cell r="K974" t="str">
            <v>Classified Agency</v>
          </cell>
          <cell r="L974" t="str">
            <v>Classified</v>
          </cell>
          <cell r="M974" t="str">
            <v>Classified Location</v>
          </cell>
          <cell r="N974" t="str">
            <v>Other</v>
          </cell>
          <cell r="O974">
            <v>0</v>
          </cell>
          <cell r="P974">
            <v>0</v>
          </cell>
          <cell r="Q974">
            <v>0</v>
          </cell>
          <cell r="R974" t="str">
            <v>T&amp;M</v>
          </cell>
          <cell r="S974">
            <v>0</v>
          </cell>
          <cell r="T974">
            <v>1</v>
          </cell>
          <cell r="U974" t="str">
            <v>EBITA</v>
          </cell>
          <cell r="V974" t="str">
            <v>Identified - Recompete</v>
          </cell>
          <cell r="W974">
            <v>0</v>
          </cell>
          <cell r="X974">
            <v>0</v>
          </cell>
          <cell r="Y974">
            <v>0</v>
          </cell>
          <cell r="Z974">
            <v>0</v>
          </cell>
          <cell r="AA974">
            <v>0</v>
          </cell>
          <cell r="AB974">
            <v>0</v>
          </cell>
          <cell r="AC974">
            <v>0</v>
          </cell>
          <cell r="AD974">
            <v>0</v>
          </cell>
          <cell r="AX974">
            <v>0</v>
          </cell>
          <cell r="AY974">
            <v>0</v>
          </cell>
          <cell r="AZ974">
            <v>0</v>
          </cell>
          <cell r="BA974">
            <v>0</v>
          </cell>
          <cell r="BI974">
            <v>0</v>
          </cell>
          <cell r="BJ974">
            <v>0</v>
          </cell>
          <cell r="BK974">
            <v>0</v>
          </cell>
          <cell r="BL974">
            <v>0</v>
          </cell>
          <cell r="BM974">
            <v>0</v>
          </cell>
          <cell r="BN974">
            <v>0</v>
          </cell>
          <cell r="BO974">
            <v>0</v>
          </cell>
          <cell r="BP974">
            <v>0</v>
          </cell>
          <cell r="BQ974">
            <v>0</v>
          </cell>
          <cell r="BR974">
            <v>0</v>
          </cell>
          <cell r="BT974">
            <v>0</v>
          </cell>
          <cell r="CA974" t="str">
            <v>000064 - EBITA - Identified - Recompete</v>
          </cell>
          <cell r="CC974" t="str">
            <v>000064 - EBITA - Identified - Recompete - IS4</v>
          </cell>
          <cell r="CD974" t="str">
            <v/>
          </cell>
          <cell r="CF974" t="str">
            <v>000064 - Identified - Recompete - IS4</v>
          </cell>
        </row>
        <row r="975">
          <cell r="D975">
            <v>961</v>
          </cell>
          <cell r="E975">
            <v>1</v>
          </cell>
          <cell r="F975">
            <v>1</v>
          </cell>
          <cell r="G975" t="str">
            <v>00STSC</v>
          </cell>
          <cell r="H975" t="str">
            <v>STSC</v>
          </cell>
          <cell r="I975" t="str">
            <v>IS4</v>
          </cell>
          <cell r="J975" t="str">
            <v>IS4 Sustainment Engineering and Acquisition</v>
          </cell>
          <cell r="K975" t="str">
            <v>Navy</v>
          </cell>
          <cell r="L975" t="str">
            <v>DOD</v>
          </cell>
          <cell r="M975" t="str">
            <v>CT</v>
          </cell>
          <cell r="N975" t="str">
            <v>CONUS</v>
          </cell>
          <cell r="O975">
            <v>43647</v>
          </cell>
          <cell r="P975">
            <v>45473</v>
          </cell>
          <cell r="Q975" t="str">
            <v>Prime</v>
          </cell>
          <cell r="R975" t="str">
            <v>Multi</v>
          </cell>
          <cell r="S975">
            <v>0</v>
          </cell>
          <cell r="T975">
            <v>1</v>
          </cell>
          <cell r="U975" t="str">
            <v>REVTOT</v>
          </cell>
          <cell r="V975" t="str">
            <v>Base</v>
          </cell>
          <cell r="W975" t="str">
            <v>05 Won</v>
          </cell>
          <cell r="X975" t="str">
            <v>Active</v>
          </cell>
          <cell r="Y975">
            <v>1</v>
          </cell>
          <cell r="Z975">
            <v>0</v>
          </cell>
          <cell r="AA975">
            <v>4620154.05</v>
          </cell>
          <cell r="AB975">
            <v>27752999.66</v>
          </cell>
          <cell r="AC975">
            <v>0</v>
          </cell>
          <cell r="AD975">
            <v>32373153.710000001</v>
          </cell>
          <cell r="AE975">
            <v>0</v>
          </cell>
          <cell r="AF975">
            <v>0</v>
          </cell>
          <cell r="AG975">
            <v>0</v>
          </cell>
          <cell r="AH975">
            <v>2.8853388231257511</v>
          </cell>
          <cell r="AI975">
            <v>0</v>
          </cell>
          <cell r="AJ975">
            <v>0</v>
          </cell>
          <cell r="AK975">
            <v>0</v>
          </cell>
          <cell r="BB975">
            <v>5005128.4400000004</v>
          </cell>
          <cell r="BC975">
            <v>5005128.4400000004</v>
          </cell>
          <cell r="BD975">
            <v>5005128.4400000004</v>
          </cell>
          <cell r="BE975">
            <v>5005128.4400000004</v>
          </cell>
          <cell r="BF975">
            <v>0</v>
          </cell>
          <cell r="BG975">
            <v>0</v>
          </cell>
          <cell r="BH975">
            <v>0</v>
          </cell>
          <cell r="BI975">
            <v>0</v>
          </cell>
          <cell r="BJ975">
            <v>0</v>
          </cell>
          <cell r="BK975">
            <v>0</v>
          </cell>
          <cell r="BL975">
            <v>1288209</v>
          </cell>
          <cell r="BM975">
            <v>1288209</v>
          </cell>
          <cell r="BN975">
            <v>5005128.4400000004</v>
          </cell>
          <cell r="BO975">
            <v>5005128.4400000004</v>
          </cell>
          <cell r="BP975">
            <v>5005128.4400000004</v>
          </cell>
          <cell r="BQ975">
            <v>5005128.4400000004</v>
          </cell>
          <cell r="BR975">
            <v>21308722.760000002</v>
          </cell>
          <cell r="BT975">
            <v>0</v>
          </cell>
          <cell r="CA975" t="str">
            <v>00STSC - REVTOT - Base</v>
          </cell>
          <cell r="CC975" t="str">
            <v>00STSC - REVTOT - Base - IS4</v>
          </cell>
          <cell r="CD975" t="str">
            <v/>
          </cell>
          <cell r="CF975" t="str">
            <v>00STSC - Base - IS4</v>
          </cell>
        </row>
        <row r="976">
          <cell r="D976">
            <v>962</v>
          </cell>
          <cell r="E976">
            <v>1</v>
          </cell>
          <cell r="F976">
            <v>2</v>
          </cell>
          <cell r="G976" t="str">
            <v>00STSC</v>
          </cell>
          <cell r="H976" t="str">
            <v>STSC</v>
          </cell>
          <cell r="I976" t="str">
            <v>IS4</v>
          </cell>
          <cell r="J976" t="str">
            <v>IS4 Sustainment Engineering and Acquisition</v>
          </cell>
          <cell r="K976" t="str">
            <v>Navy</v>
          </cell>
          <cell r="L976" t="str">
            <v>DOD</v>
          </cell>
          <cell r="M976" t="str">
            <v>CT</v>
          </cell>
          <cell r="N976" t="str">
            <v>CONUS</v>
          </cell>
          <cell r="O976">
            <v>45474</v>
          </cell>
          <cell r="P976">
            <v>47299</v>
          </cell>
          <cell r="Q976" t="str">
            <v>Prime</v>
          </cell>
          <cell r="R976" t="str">
            <v>Multi</v>
          </cell>
          <cell r="S976">
            <v>0</v>
          </cell>
          <cell r="T976">
            <v>1</v>
          </cell>
          <cell r="U976" t="str">
            <v>REVTOT</v>
          </cell>
          <cell r="V976" t="str">
            <v>Identified - Recompete</v>
          </cell>
          <cell r="W976" t="str">
            <v>02 Capture</v>
          </cell>
          <cell r="X976" t="str">
            <v>Priority 3</v>
          </cell>
          <cell r="Y976">
            <v>0.75</v>
          </cell>
          <cell r="Z976">
            <v>15000000</v>
          </cell>
          <cell r="AA976">
            <v>0</v>
          </cell>
          <cell r="AB976">
            <v>0</v>
          </cell>
          <cell r="AC976">
            <v>0</v>
          </cell>
          <cell r="AD976">
            <v>0</v>
          </cell>
          <cell r="AI976">
            <v>0</v>
          </cell>
          <cell r="AJ976">
            <v>0</v>
          </cell>
          <cell r="AK976">
            <v>0</v>
          </cell>
          <cell r="BB976">
            <v>3000000</v>
          </cell>
          <cell r="BC976">
            <v>3000000</v>
          </cell>
          <cell r="BD976">
            <v>3000000</v>
          </cell>
          <cell r="BE976">
            <v>3000000</v>
          </cell>
          <cell r="BI976">
            <v>0</v>
          </cell>
          <cell r="BJ976">
            <v>0</v>
          </cell>
          <cell r="BK976">
            <v>0</v>
          </cell>
          <cell r="BL976">
            <v>0</v>
          </cell>
          <cell r="BM976">
            <v>0</v>
          </cell>
          <cell r="BN976">
            <v>0</v>
          </cell>
          <cell r="BO976">
            <v>0</v>
          </cell>
          <cell r="BP976">
            <v>0</v>
          </cell>
          <cell r="BQ976">
            <v>0</v>
          </cell>
          <cell r="BR976">
            <v>0</v>
          </cell>
          <cell r="BT976">
            <v>0</v>
          </cell>
          <cell r="CA976" t="str">
            <v>00STSC - REVTOT - Identified - Recompete</v>
          </cell>
          <cell r="CC976" t="str">
            <v>00STSC - REVTOT - Identified - Recompete - IS4</v>
          </cell>
          <cell r="CD976" t="str">
            <v/>
          </cell>
          <cell r="CF976" t="str">
            <v>00STSC - Identified - Recompete - IS4</v>
          </cell>
        </row>
        <row r="977">
          <cell r="D977">
            <v>963</v>
          </cell>
          <cell r="E977">
            <v>2</v>
          </cell>
          <cell r="F977">
            <v>3</v>
          </cell>
          <cell r="G977" t="str">
            <v>00STSC</v>
          </cell>
          <cell r="H977" t="str">
            <v>STSC</v>
          </cell>
          <cell r="I977" t="str">
            <v>IS4</v>
          </cell>
          <cell r="J977" t="str">
            <v>IS4 Sustainment Engineering and Acquisition</v>
          </cell>
          <cell r="K977" t="str">
            <v>Navy</v>
          </cell>
          <cell r="L977" t="str">
            <v>DOD</v>
          </cell>
          <cell r="M977" t="str">
            <v>CT</v>
          </cell>
          <cell r="N977" t="str">
            <v>CONUS</v>
          </cell>
          <cell r="O977">
            <v>43647</v>
          </cell>
          <cell r="P977">
            <v>45473</v>
          </cell>
          <cell r="Q977" t="str">
            <v>Prime</v>
          </cell>
          <cell r="R977" t="str">
            <v>Multi</v>
          </cell>
          <cell r="S977">
            <v>0</v>
          </cell>
          <cell r="T977">
            <v>1</v>
          </cell>
          <cell r="U977" t="str">
            <v>CONTRACT</v>
          </cell>
          <cell r="V977" t="str">
            <v>Base</v>
          </cell>
          <cell r="W977" t="str">
            <v>05 Won</v>
          </cell>
          <cell r="X977" t="str">
            <v>Active</v>
          </cell>
          <cell r="Y977">
            <v>1</v>
          </cell>
          <cell r="Z977">
            <v>0</v>
          </cell>
          <cell r="AA977">
            <v>4620154.05</v>
          </cell>
          <cell r="AB977">
            <v>27752999.66</v>
          </cell>
          <cell r="AC977">
            <v>0</v>
          </cell>
          <cell r="AD977">
            <v>32373153.710000001</v>
          </cell>
          <cell r="AL977">
            <v>0</v>
          </cell>
          <cell r="AM977">
            <v>0</v>
          </cell>
          <cell r="AN977">
            <v>0</v>
          </cell>
          <cell r="AO977">
            <v>0.13033064125823016</v>
          </cell>
          <cell r="AP977">
            <v>0.14426502085129317</v>
          </cell>
          <cell r="AQ977">
            <v>0.14426502085129317</v>
          </cell>
          <cell r="AR977">
            <v>0.14426502085129317</v>
          </cell>
          <cell r="AS977">
            <v>0.14426502085129317</v>
          </cell>
          <cell r="BF977">
            <v>0</v>
          </cell>
          <cell r="BG977">
            <v>0</v>
          </cell>
          <cell r="BH977">
            <v>0</v>
          </cell>
          <cell r="BI977">
            <v>0</v>
          </cell>
          <cell r="BJ977">
            <v>0</v>
          </cell>
          <cell r="BK977">
            <v>0</v>
          </cell>
          <cell r="BL977">
            <v>167893.10504462343</v>
          </cell>
          <cell r="BM977">
            <v>167893.10504462343</v>
          </cell>
          <cell r="BN977">
            <v>722064.95876000053</v>
          </cell>
          <cell r="BO977">
            <v>722064.95876000053</v>
          </cell>
          <cell r="BP977">
            <v>722064.95876000053</v>
          </cell>
          <cell r="BQ977">
            <v>722064.95876000053</v>
          </cell>
          <cell r="BR977">
            <v>3056152.940084626</v>
          </cell>
          <cell r="BT977">
            <v>0</v>
          </cell>
          <cell r="CA977" t="str">
            <v>00STSC - CONTRACT - Base</v>
          </cell>
          <cell r="CC977" t="str">
            <v>00STSC - CONTRACT - Base - IS4</v>
          </cell>
          <cell r="CD977" t="str">
            <v/>
          </cell>
          <cell r="CF977" t="str">
            <v>00STSC - Base - IS4</v>
          </cell>
        </row>
        <row r="978">
          <cell r="D978">
            <v>964</v>
          </cell>
          <cell r="E978">
            <v>2</v>
          </cell>
          <cell r="F978">
            <v>4</v>
          </cell>
          <cell r="G978" t="str">
            <v>00STSC</v>
          </cell>
          <cell r="H978" t="str">
            <v>STSC</v>
          </cell>
          <cell r="I978" t="str">
            <v>IS4</v>
          </cell>
          <cell r="J978" t="str">
            <v>IS4 Sustainment Engineering and Acquisition</v>
          </cell>
          <cell r="K978" t="str">
            <v>Navy</v>
          </cell>
          <cell r="L978" t="str">
            <v>DOD</v>
          </cell>
          <cell r="M978" t="str">
            <v>CT</v>
          </cell>
          <cell r="N978" t="str">
            <v>CONUS</v>
          </cell>
          <cell r="O978">
            <v>45474</v>
          </cell>
          <cell r="P978">
            <v>47299</v>
          </cell>
          <cell r="Q978" t="str">
            <v>Prime</v>
          </cell>
          <cell r="R978" t="str">
            <v>Multi</v>
          </cell>
          <cell r="S978">
            <v>0</v>
          </cell>
          <cell r="T978">
            <v>1</v>
          </cell>
          <cell r="U978" t="str">
            <v>CONTRACT</v>
          </cell>
          <cell r="V978" t="str">
            <v>Identified - Recompete</v>
          </cell>
          <cell r="W978" t="str">
            <v>02 Capture</v>
          </cell>
          <cell r="X978" t="str">
            <v>Priority 3</v>
          </cell>
          <cell r="Y978">
            <v>0.75</v>
          </cell>
          <cell r="Z978">
            <v>15000000</v>
          </cell>
          <cell r="AA978">
            <v>0</v>
          </cell>
          <cell r="AB978">
            <v>0</v>
          </cell>
          <cell r="AC978">
            <v>0</v>
          </cell>
          <cell r="AD978">
            <v>0</v>
          </cell>
          <cell r="AP978">
            <v>0</v>
          </cell>
          <cell r="AQ978">
            <v>0</v>
          </cell>
          <cell r="AR978">
            <v>0</v>
          </cell>
          <cell r="AS978">
            <v>0</v>
          </cell>
          <cell r="BI978">
            <v>0</v>
          </cell>
          <cell r="BJ978">
            <v>0</v>
          </cell>
          <cell r="BK978">
            <v>0</v>
          </cell>
          <cell r="BL978">
            <v>0</v>
          </cell>
          <cell r="BM978">
            <v>0</v>
          </cell>
          <cell r="BN978">
            <v>0</v>
          </cell>
          <cell r="BO978">
            <v>0</v>
          </cell>
          <cell r="BP978">
            <v>0</v>
          </cell>
          <cell r="BQ978">
            <v>0</v>
          </cell>
          <cell r="BR978">
            <v>0</v>
          </cell>
          <cell r="BT978">
            <v>0</v>
          </cell>
          <cell r="CA978" t="str">
            <v>00STSC - CONTRACT - Identified - Recompete</v>
          </cell>
          <cell r="CC978" t="str">
            <v>00STSC - CONTRACT - Identified - Recompete - IS4</v>
          </cell>
          <cell r="CD978" t="str">
            <v/>
          </cell>
          <cell r="CF978" t="str">
            <v>00STSC - Identified - Recompete - IS4</v>
          </cell>
        </row>
        <row r="979">
          <cell r="D979">
            <v>965</v>
          </cell>
          <cell r="E979">
            <v>0</v>
          </cell>
          <cell r="F979">
            <v>5</v>
          </cell>
          <cell r="G979" t="str">
            <v>00STSC</v>
          </cell>
          <cell r="H979" t="str">
            <v>STSC</v>
          </cell>
          <cell r="I979" t="str">
            <v>IS4</v>
          </cell>
          <cell r="J979" t="str">
            <v>IS4 Sustainment Engineering and Acquisition</v>
          </cell>
          <cell r="K979" t="str">
            <v>Navy</v>
          </cell>
          <cell r="L979" t="str">
            <v>DOD</v>
          </cell>
          <cell r="M979" t="str">
            <v>CT</v>
          </cell>
          <cell r="N979" t="str">
            <v>CONUS</v>
          </cell>
          <cell r="O979">
            <v>43647</v>
          </cell>
          <cell r="P979">
            <v>45473</v>
          </cell>
          <cell r="Q979" t="str">
            <v>Prime</v>
          </cell>
          <cell r="R979" t="str">
            <v>Multi</v>
          </cell>
          <cell r="S979">
            <v>0</v>
          </cell>
          <cell r="T979">
            <v>1</v>
          </cell>
          <cell r="U979" t="str">
            <v>EBITA</v>
          </cell>
          <cell r="V979" t="str">
            <v>Base</v>
          </cell>
          <cell r="W979" t="str">
            <v>05 Won</v>
          </cell>
          <cell r="X979" t="str">
            <v>Active</v>
          </cell>
          <cell r="Y979">
            <v>1</v>
          </cell>
          <cell r="Z979">
            <v>0</v>
          </cell>
          <cell r="AA979">
            <v>4620154.05</v>
          </cell>
          <cell r="AB979">
            <v>27752999.66</v>
          </cell>
          <cell r="AC979">
            <v>0</v>
          </cell>
          <cell r="AD979">
            <v>32373153.710000001</v>
          </cell>
          <cell r="AT979">
            <v>0</v>
          </cell>
          <cell r="AU979">
            <v>0</v>
          </cell>
          <cell r="AV979">
            <v>0</v>
          </cell>
          <cell r="AW979">
            <v>4.2756254723843749E-2</v>
          </cell>
          <cell r="AX979">
            <v>4.34130489985248E-2</v>
          </cell>
          <cell r="AY979">
            <v>4.34130489985248E-2</v>
          </cell>
          <cell r="AZ979">
            <v>4.34130489985248E-2</v>
          </cell>
          <cell r="BA979">
            <v>4.34130489985248E-2</v>
          </cell>
          <cell r="BF979">
            <v>0</v>
          </cell>
          <cell r="BG979">
            <v>0</v>
          </cell>
          <cell r="BH979">
            <v>0</v>
          </cell>
          <cell r="BI979">
            <v>0</v>
          </cell>
          <cell r="BJ979">
            <v>0</v>
          </cell>
          <cell r="BK979">
            <v>0</v>
          </cell>
          <cell r="BL979">
            <v>55078.992141548035</v>
          </cell>
          <cell r="BM979">
            <v>55078.992141548035</v>
          </cell>
          <cell r="BN979">
            <v>217287.88620963</v>
          </cell>
          <cell r="BO979">
            <v>217287.88620963</v>
          </cell>
          <cell r="BP979">
            <v>217287.88620963</v>
          </cell>
          <cell r="BQ979">
            <v>217287.88620963</v>
          </cell>
          <cell r="BR979">
            <v>924230.53698006808</v>
          </cell>
          <cell r="BT979">
            <v>0</v>
          </cell>
          <cell r="CA979" t="str">
            <v>00STSC - EBITA - Base</v>
          </cell>
          <cell r="CC979" t="str">
            <v>00STSC - EBITA - Base - IS4</v>
          </cell>
          <cell r="CD979" t="str">
            <v/>
          </cell>
          <cell r="CF979" t="str">
            <v>00STSC - Base - IS4</v>
          </cell>
        </row>
        <row r="980">
          <cell r="D980">
            <v>966</v>
          </cell>
          <cell r="E980">
            <v>0</v>
          </cell>
          <cell r="F980">
            <v>0</v>
          </cell>
          <cell r="G980" t="str">
            <v>00STSC</v>
          </cell>
          <cell r="H980" t="str">
            <v>STSC</v>
          </cell>
          <cell r="I980" t="str">
            <v>IS4</v>
          </cell>
          <cell r="J980" t="str">
            <v>IS4 Sustainment Engineering and Acquisition</v>
          </cell>
          <cell r="K980" t="str">
            <v>Navy</v>
          </cell>
          <cell r="L980" t="str">
            <v>DOD</v>
          </cell>
          <cell r="M980" t="str">
            <v>CT</v>
          </cell>
          <cell r="N980" t="str">
            <v>CONUS</v>
          </cell>
          <cell r="O980">
            <v>45474</v>
          </cell>
          <cell r="P980">
            <v>47299</v>
          </cell>
          <cell r="Q980" t="str">
            <v>Prime</v>
          </cell>
          <cell r="R980" t="str">
            <v>Multi</v>
          </cell>
          <cell r="S980">
            <v>0</v>
          </cell>
          <cell r="T980">
            <v>1</v>
          </cell>
          <cell r="U980" t="str">
            <v>EBITA</v>
          </cell>
          <cell r="V980" t="str">
            <v>Identified - Recompete</v>
          </cell>
          <cell r="W980" t="str">
            <v>02 Capture</v>
          </cell>
          <cell r="X980" t="str">
            <v>Priority 3</v>
          </cell>
          <cell r="Y980">
            <v>0.75</v>
          </cell>
          <cell r="Z980">
            <v>15000000</v>
          </cell>
          <cell r="AA980">
            <v>0</v>
          </cell>
          <cell r="AB980">
            <v>0</v>
          </cell>
          <cell r="AC980">
            <v>0</v>
          </cell>
          <cell r="AD980">
            <v>0</v>
          </cell>
          <cell r="AX980">
            <v>0</v>
          </cell>
          <cell r="AY980">
            <v>0</v>
          </cell>
          <cell r="AZ980">
            <v>0</v>
          </cell>
          <cell r="BA980">
            <v>0</v>
          </cell>
          <cell r="BI980">
            <v>0</v>
          </cell>
          <cell r="BJ980">
            <v>0</v>
          </cell>
          <cell r="BK980">
            <v>0</v>
          </cell>
          <cell r="BL980">
            <v>0</v>
          </cell>
          <cell r="BM980">
            <v>0</v>
          </cell>
          <cell r="BN980">
            <v>0</v>
          </cell>
          <cell r="BO980">
            <v>0</v>
          </cell>
          <cell r="BP980">
            <v>0</v>
          </cell>
          <cell r="BQ980">
            <v>0</v>
          </cell>
          <cell r="BR980">
            <v>0</v>
          </cell>
          <cell r="BT980">
            <v>0</v>
          </cell>
          <cell r="CA980" t="str">
            <v>00STSC - EBITA - Identified - Recompete</v>
          </cell>
          <cell r="CC980" t="str">
            <v>00STSC - EBITA - Identified - Recompete - IS4</v>
          </cell>
          <cell r="CD980" t="str">
            <v/>
          </cell>
          <cell r="CF980" t="str">
            <v>00STSC - Identified - Recompete - IS4</v>
          </cell>
        </row>
        <row r="981">
          <cell r="D981">
            <v>967</v>
          </cell>
          <cell r="E981">
            <v>1</v>
          </cell>
          <cell r="F981">
            <v>1</v>
          </cell>
          <cell r="G981" t="str">
            <v>CP4441</v>
          </cell>
          <cell r="H981" t="str">
            <v>TS Support</v>
          </cell>
          <cell r="I981" t="str">
            <v>IS4</v>
          </cell>
          <cell r="J981" t="str">
            <v>IS4 Global Mission Solutions</v>
          </cell>
          <cell r="K981" t="str">
            <v>M P O</v>
          </cell>
          <cell r="L981" t="str">
            <v>Other</v>
          </cell>
          <cell r="M981" t="str">
            <v>Multi_Dom-Intl</v>
          </cell>
          <cell r="N981" t="str">
            <v>Other</v>
          </cell>
          <cell r="O981">
            <v>43556</v>
          </cell>
          <cell r="P981">
            <v>45381</v>
          </cell>
          <cell r="Q981" t="str">
            <v>Sub</v>
          </cell>
          <cell r="R981" t="str">
            <v>Multi</v>
          </cell>
          <cell r="S981">
            <v>0</v>
          </cell>
          <cell r="T981">
            <v>1</v>
          </cell>
          <cell r="U981" t="str">
            <v>REVTOT</v>
          </cell>
          <cell r="V981" t="str">
            <v>Base</v>
          </cell>
          <cell r="W981" t="str">
            <v>05 Won</v>
          </cell>
          <cell r="X981" t="str">
            <v>Active</v>
          </cell>
          <cell r="Y981">
            <v>1</v>
          </cell>
          <cell r="Z981">
            <v>0</v>
          </cell>
          <cell r="AA981">
            <v>134727.18770000001</v>
          </cell>
          <cell r="AB981">
            <v>13097826.810000001</v>
          </cell>
          <cell r="AC981">
            <v>0</v>
          </cell>
          <cell r="AD981">
            <v>13232553.9977</v>
          </cell>
          <cell r="AE981">
            <v>0</v>
          </cell>
          <cell r="AF981">
            <v>0</v>
          </cell>
          <cell r="AG981">
            <v>0</v>
          </cell>
          <cell r="AH981">
            <v>1.0271363603287003</v>
          </cell>
          <cell r="AI981">
            <v>0</v>
          </cell>
          <cell r="AJ981">
            <v>0</v>
          </cell>
          <cell r="AK981">
            <v>0</v>
          </cell>
          <cell r="BB981">
            <v>2499999.9972000001</v>
          </cell>
          <cell r="BC981">
            <v>2499999.9972000001</v>
          </cell>
          <cell r="BD981">
            <v>2499999.9972000001</v>
          </cell>
          <cell r="BE981">
            <v>2499999.9972000001</v>
          </cell>
          <cell r="BF981">
            <v>0</v>
          </cell>
          <cell r="BG981">
            <v>0</v>
          </cell>
          <cell r="BH981">
            <v>0</v>
          </cell>
          <cell r="BI981">
            <v>0</v>
          </cell>
          <cell r="BJ981">
            <v>0</v>
          </cell>
          <cell r="BK981">
            <v>441557.86</v>
          </cell>
          <cell r="BL981">
            <v>791708.9523</v>
          </cell>
          <cell r="BM981">
            <v>1233266.8122999999</v>
          </cell>
          <cell r="BN981">
            <v>2499999.9972000001</v>
          </cell>
          <cell r="BO981">
            <v>2499999.9972000001</v>
          </cell>
          <cell r="BP981">
            <v>2499999.9972000001</v>
          </cell>
          <cell r="BQ981">
            <v>2499999.9972000001</v>
          </cell>
          <cell r="BR981">
            <v>11233266.801100001</v>
          </cell>
          <cell r="BT981">
            <v>0</v>
          </cell>
          <cell r="CA981" t="str">
            <v>CP4441 - REVTOT - Base</v>
          </cell>
          <cell r="CC981" t="str">
            <v>CP4441 - REVTOT - Base - IS4</v>
          </cell>
          <cell r="CD981" t="str">
            <v/>
          </cell>
          <cell r="CF981" t="str">
            <v>CP4441 - Base - IS4</v>
          </cell>
        </row>
        <row r="982">
          <cell r="D982">
            <v>968</v>
          </cell>
          <cell r="E982">
            <v>1</v>
          </cell>
          <cell r="F982">
            <v>2</v>
          </cell>
          <cell r="G982" t="str">
            <v>CP4441</v>
          </cell>
          <cell r="H982" t="str">
            <v>TS Support</v>
          </cell>
          <cell r="I982" t="str">
            <v>IS4</v>
          </cell>
          <cell r="J982" t="str">
            <v>IS4 Global Mission Solutions</v>
          </cell>
          <cell r="K982" t="str">
            <v>M P O</v>
          </cell>
          <cell r="L982" t="str">
            <v>Other</v>
          </cell>
          <cell r="M982" t="str">
            <v>Multi_Dom-Intl</v>
          </cell>
          <cell r="N982" t="str">
            <v>Other</v>
          </cell>
          <cell r="O982">
            <v>0</v>
          </cell>
          <cell r="P982">
            <v>0</v>
          </cell>
          <cell r="Q982">
            <v>0</v>
          </cell>
          <cell r="R982" t="str">
            <v>Multi</v>
          </cell>
          <cell r="S982">
            <v>0</v>
          </cell>
          <cell r="T982">
            <v>1</v>
          </cell>
          <cell r="U982" t="str">
            <v>REVTOT</v>
          </cell>
          <cell r="V982" t="str">
            <v>Identified - Recompete</v>
          </cell>
          <cell r="W982">
            <v>0</v>
          </cell>
          <cell r="X982">
            <v>0</v>
          </cell>
          <cell r="Y982">
            <v>0</v>
          </cell>
          <cell r="Z982">
            <v>0</v>
          </cell>
          <cell r="AA982">
            <v>0</v>
          </cell>
          <cell r="AB982">
            <v>0</v>
          </cell>
          <cell r="AC982">
            <v>0</v>
          </cell>
          <cell r="AD982">
            <v>0</v>
          </cell>
          <cell r="AI982">
            <v>0</v>
          </cell>
          <cell r="AJ982">
            <v>0</v>
          </cell>
          <cell r="AK982">
            <v>0</v>
          </cell>
          <cell r="BB982">
            <v>0</v>
          </cell>
          <cell r="BC982">
            <v>0</v>
          </cell>
          <cell r="BD982">
            <v>0</v>
          </cell>
          <cell r="BE982">
            <v>0</v>
          </cell>
          <cell r="BI982">
            <v>0</v>
          </cell>
          <cell r="BJ982">
            <v>0</v>
          </cell>
          <cell r="BK982">
            <v>0</v>
          </cell>
          <cell r="BL982">
            <v>0</v>
          </cell>
          <cell r="BM982">
            <v>0</v>
          </cell>
          <cell r="BN982">
            <v>0</v>
          </cell>
          <cell r="BO982">
            <v>0</v>
          </cell>
          <cell r="BP982">
            <v>0</v>
          </cell>
          <cell r="BQ982">
            <v>0</v>
          </cell>
          <cell r="BR982">
            <v>0</v>
          </cell>
          <cell r="BT982">
            <v>0</v>
          </cell>
          <cell r="CA982" t="str">
            <v>CP4441 - REVTOT - Identified - Recompete</v>
          </cell>
          <cell r="CC982" t="str">
            <v>CP4441 - REVTOT - Identified - Recompete - IS4</v>
          </cell>
          <cell r="CD982" t="str">
            <v/>
          </cell>
          <cell r="CF982" t="str">
            <v>CP4441 - Identified - Recompete - IS4</v>
          </cell>
        </row>
        <row r="983">
          <cell r="D983">
            <v>969</v>
          </cell>
          <cell r="E983">
            <v>2</v>
          </cell>
          <cell r="F983">
            <v>3</v>
          </cell>
          <cell r="G983" t="str">
            <v>CP4441</v>
          </cell>
          <cell r="H983" t="str">
            <v>TS Support</v>
          </cell>
          <cell r="I983" t="str">
            <v>IS4</v>
          </cell>
          <cell r="J983" t="str">
            <v>IS4 Global Mission Solutions</v>
          </cell>
          <cell r="K983" t="str">
            <v>M P O</v>
          </cell>
          <cell r="L983" t="str">
            <v>Other</v>
          </cell>
          <cell r="M983" t="str">
            <v>Multi_Dom-Intl</v>
          </cell>
          <cell r="N983" t="str">
            <v>Other</v>
          </cell>
          <cell r="O983">
            <v>43556</v>
          </cell>
          <cell r="P983">
            <v>45381</v>
          </cell>
          <cell r="Q983" t="str">
            <v>Sub</v>
          </cell>
          <cell r="R983" t="str">
            <v>Multi</v>
          </cell>
          <cell r="S983">
            <v>0</v>
          </cell>
          <cell r="T983">
            <v>1</v>
          </cell>
          <cell r="U983" t="str">
            <v>CONTRACT</v>
          </cell>
          <cell r="V983" t="str">
            <v>Base</v>
          </cell>
          <cell r="W983" t="str">
            <v>05 Won</v>
          </cell>
          <cell r="X983" t="str">
            <v>Active</v>
          </cell>
          <cell r="Y983">
            <v>1</v>
          </cell>
          <cell r="Z983">
            <v>0</v>
          </cell>
          <cell r="AA983">
            <v>134727.18770000001</v>
          </cell>
          <cell r="AB983">
            <v>13097826.810000001</v>
          </cell>
          <cell r="AC983">
            <v>0</v>
          </cell>
          <cell r="AD983">
            <v>13232553.9977</v>
          </cell>
          <cell r="AL983">
            <v>0</v>
          </cell>
          <cell r="AM983">
            <v>0</v>
          </cell>
          <cell r="AN983">
            <v>0</v>
          </cell>
          <cell r="AO983">
            <v>0.16015127901840806</v>
          </cell>
          <cell r="AP983">
            <v>0.1878395294309507</v>
          </cell>
          <cell r="AQ983">
            <v>0.1878395294309507</v>
          </cell>
          <cell r="AR983">
            <v>0.1878395294309507</v>
          </cell>
          <cell r="AS983">
            <v>0.1878395294309507</v>
          </cell>
          <cell r="BF983">
            <v>0</v>
          </cell>
          <cell r="BG983">
            <v>0</v>
          </cell>
          <cell r="BH983">
            <v>0</v>
          </cell>
          <cell r="BI983">
            <v>0</v>
          </cell>
          <cell r="BJ983">
            <v>0</v>
          </cell>
          <cell r="BK983">
            <v>67462.829999999987</v>
          </cell>
          <cell r="BL983">
            <v>130046.42736079998</v>
          </cell>
          <cell r="BM983">
            <v>197509.25736079997</v>
          </cell>
          <cell r="BN983">
            <v>469598.82305142609</v>
          </cell>
          <cell r="BO983">
            <v>469598.82305142609</v>
          </cell>
          <cell r="BP983">
            <v>469598.82305142609</v>
          </cell>
          <cell r="BQ983">
            <v>469598.82305142609</v>
          </cell>
          <cell r="BR983">
            <v>2075904.5495665043</v>
          </cell>
          <cell r="BT983">
            <v>0</v>
          </cell>
          <cell r="CA983" t="str">
            <v>CP4441 - CONTRACT - Base</v>
          </cell>
          <cell r="CC983" t="str">
            <v>CP4441 - CONTRACT - Base - IS4</v>
          </cell>
          <cell r="CD983" t="str">
            <v/>
          </cell>
          <cell r="CF983" t="str">
            <v>CP4441 - Base - IS4</v>
          </cell>
        </row>
        <row r="984">
          <cell r="D984">
            <v>970</v>
          </cell>
          <cell r="E984">
            <v>2</v>
          </cell>
          <cell r="F984">
            <v>4</v>
          </cell>
          <cell r="G984" t="str">
            <v>CP4441</v>
          </cell>
          <cell r="H984" t="str">
            <v>TS Support</v>
          </cell>
          <cell r="I984" t="str">
            <v>IS4</v>
          </cell>
          <cell r="J984" t="str">
            <v>IS4 Global Mission Solutions</v>
          </cell>
          <cell r="K984" t="str">
            <v>M P O</v>
          </cell>
          <cell r="L984" t="str">
            <v>Other</v>
          </cell>
          <cell r="M984" t="str">
            <v>Multi_Dom-Intl</v>
          </cell>
          <cell r="N984" t="str">
            <v>Other</v>
          </cell>
          <cell r="O984">
            <v>0</v>
          </cell>
          <cell r="P984">
            <v>0</v>
          </cell>
          <cell r="Q984">
            <v>0</v>
          </cell>
          <cell r="R984" t="str">
            <v>Multi</v>
          </cell>
          <cell r="S984">
            <v>0</v>
          </cell>
          <cell r="T984">
            <v>1</v>
          </cell>
          <cell r="U984" t="str">
            <v>CONTRACT</v>
          </cell>
          <cell r="V984" t="str">
            <v>Identified - Recompete</v>
          </cell>
          <cell r="W984">
            <v>0</v>
          </cell>
          <cell r="X984">
            <v>0</v>
          </cell>
          <cell r="Y984">
            <v>0</v>
          </cell>
          <cell r="Z984">
            <v>0</v>
          </cell>
          <cell r="AA984">
            <v>0</v>
          </cell>
          <cell r="AB984">
            <v>0</v>
          </cell>
          <cell r="AC984">
            <v>0</v>
          </cell>
          <cell r="AD984">
            <v>0</v>
          </cell>
          <cell r="AP984">
            <v>0</v>
          </cell>
          <cell r="AQ984">
            <v>0</v>
          </cell>
          <cell r="AR984">
            <v>0</v>
          </cell>
          <cell r="AS984">
            <v>0</v>
          </cell>
          <cell r="BI984">
            <v>0</v>
          </cell>
          <cell r="BJ984">
            <v>0</v>
          </cell>
          <cell r="BK984">
            <v>0</v>
          </cell>
          <cell r="BL984">
            <v>0</v>
          </cell>
          <cell r="BM984">
            <v>0</v>
          </cell>
          <cell r="BN984">
            <v>0</v>
          </cell>
          <cell r="BO984">
            <v>0</v>
          </cell>
          <cell r="BP984">
            <v>0</v>
          </cell>
          <cell r="BQ984">
            <v>0</v>
          </cell>
          <cell r="BR984">
            <v>0</v>
          </cell>
          <cell r="BT984">
            <v>0</v>
          </cell>
          <cell r="CA984" t="str">
            <v>CP4441 - CONTRACT - Identified - Recompete</v>
          </cell>
          <cell r="CC984" t="str">
            <v>CP4441 - CONTRACT - Identified - Recompete - IS4</v>
          </cell>
          <cell r="CD984" t="str">
            <v/>
          </cell>
          <cell r="CF984" t="str">
            <v>CP4441 - Identified - Recompete - IS4</v>
          </cell>
        </row>
        <row r="985">
          <cell r="D985">
            <v>971</v>
          </cell>
          <cell r="E985">
            <v>0</v>
          </cell>
          <cell r="F985">
            <v>5</v>
          </cell>
          <cell r="G985" t="str">
            <v>CP4441</v>
          </cell>
          <cell r="H985" t="str">
            <v>TS Support</v>
          </cell>
          <cell r="I985" t="str">
            <v>IS4</v>
          </cell>
          <cell r="J985" t="str">
            <v>IS4 Global Mission Solutions</v>
          </cell>
          <cell r="K985" t="str">
            <v>M P O</v>
          </cell>
          <cell r="L985" t="str">
            <v>Other</v>
          </cell>
          <cell r="M985" t="str">
            <v>Multi_Dom-Intl</v>
          </cell>
          <cell r="N985" t="str">
            <v>Other</v>
          </cell>
          <cell r="O985">
            <v>43556</v>
          </cell>
          <cell r="P985">
            <v>45381</v>
          </cell>
          <cell r="Q985" t="str">
            <v>Sub</v>
          </cell>
          <cell r="R985" t="str">
            <v>Multi</v>
          </cell>
          <cell r="S985">
            <v>0</v>
          </cell>
          <cell r="T985">
            <v>1</v>
          </cell>
          <cell r="U985" t="str">
            <v>EBITA</v>
          </cell>
          <cell r="V985" t="str">
            <v>Base</v>
          </cell>
          <cell r="W985" t="str">
            <v>05 Won</v>
          </cell>
          <cell r="X985" t="str">
            <v>Active</v>
          </cell>
          <cell r="Y985">
            <v>1</v>
          </cell>
          <cell r="Z985">
            <v>0</v>
          </cell>
          <cell r="AA985">
            <v>134727.18770000001</v>
          </cell>
          <cell r="AB985">
            <v>13097826.810000001</v>
          </cell>
          <cell r="AC985">
            <v>0</v>
          </cell>
          <cell r="AD985">
            <v>13232553.9977</v>
          </cell>
          <cell r="AT985">
            <v>0</v>
          </cell>
          <cell r="AU985">
            <v>0</v>
          </cell>
          <cell r="AV985">
            <v>0</v>
          </cell>
          <cell r="AW985">
            <v>6.9885785446591783E-2</v>
          </cell>
          <cell r="AX985">
            <v>6.9999999296752602E-2</v>
          </cell>
          <cell r="AY985">
            <v>6.9999999296752602E-2</v>
          </cell>
          <cell r="AZ985">
            <v>6.9999999296752602E-2</v>
          </cell>
          <cell r="BA985">
            <v>6.9999999296752602E-2</v>
          </cell>
          <cell r="BF985">
            <v>0</v>
          </cell>
          <cell r="BG985">
            <v>0</v>
          </cell>
          <cell r="BH985">
            <v>0</v>
          </cell>
          <cell r="BI985">
            <v>0</v>
          </cell>
          <cell r="BJ985">
            <v>0</v>
          </cell>
          <cell r="BK985">
            <v>30768.179999999986</v>
          </cell>
          <cell r="BL985">
            <v>55419.639842799981</v>
          </cell>
          <cell r="BM985">
            <v>86187.819842799974</v>
          </cell>
          <cell r="BN985">
            <v>174999.99804588151</v>
          </cell>
          <cell r="BO985">
            <v>174999.99804588151</v>
          </cell>
          <cell r="BP985">
            <v>174999.99804588151</v>
          </cell>
          <cell r="BQ985">
            <v>174999.99804588151</v>
          </cell>
          <cell r="BR985">
            <v>786187.81202632608</v>
          </cell>
          <cell r="BT985">
            <v>0</v>
          </cell>
          <cell r="CA985" t="str">
            <v>CP4441 - EBITA - Base</v>
          </cell>
          <cell r="CC985" t="str">
            <v>CP4441 - EBITA - Base - IS4</v>
          </cell>
          <cell r="CD985" t="str">
            <v/>
          </cell>
          <cell r="CF985" t="str">
            <v>CP4441 - Base - IS4</v>
          </cell>
        </row>
        <row r="986">
          <cell r="D986">
            <v>972</v>
          </cell>
          <cell r="E986">
            <v>0</v>
          </cell>
          <cell r="F986">
            <v>0</v>
          </cell>
          <cell r="G986" t="str">
            <v>CP4441</v>
          </cell>
          <cell r="H986" t="str">
            <v>TS Support</v>
          </cell>
          <cell r="I986" t="str">
            <v>IS4</v>
          </cell>
          <cell r="J986" t="str">
            <v>IS4 Global Mission Solutions</v>
          </cell>
          <cell r="K986" t="str">
            <v>M P O</v>
          </cell>
          <cell r="L986" t="str">
            <v>Other</v>
          </cell>
          <cell r="M986" t="str">
            <v>Multi_Dom-Intl</v>
          </cell>
          <cell r="N986" t="str">
            <v>Other</v>
          </cell>
          <cell r="O986">
            <v>0</v>
          </cell>
          <cell r="P986">
            <v>0</v>
          </cell>
          <cell r="Q986">
            <v>0</v>
          </cell>
          <cell r="R986" t="str">
            <v>Multi</v>
          </cell>
          <cell r="S986">
            <v>0</v>
          </cell>
          <cell r="T986">
            <v>1</v>
          </cell>
          <cell r="U986" t="str">
            <v>EBITA</v>
          </cell>
          <cell r="V986" t="str">
            <v>Identified - Recompete</v>
          </cell>
          <cell r="W986">
            <v>0</v>
          </cell>
          <cell r="X986">
            <v>0</v>
          </cell>
          <cell r="Y986">
            <v>0</v>
          </cell>
          <cell r="Z986">
            <v>0</v>
          </cell>
          <cell r="AA986">
            <v>0</v>
          </cell>
          <cell r="AB986">
            <v>0</v>
          </cell>
          <cell r="AC986">
            <v>0</v>
          </cell>
          <cell r="AD986">
            <v>0</v>
          </cell>
          <cell r="AX986">
            <v>0</v>
          </cell>
          <cell r="AY986">
            <v>0</v>
          </cell>
          <cell r="AZ986">
            <v>0</v>
          </cell>
          <cell r="BA986">
            <v>0</v>
          </cell>
          <cell r="BI986">
            <v>0</v>
          </cell>
          <cell r="BJ986">
            <v>0</v>
          </cell>
          <cell r="BK986">
            <v>0</v>
          </cell>
          <cell r="BL986">
            <v>0</v>
          </cell>
          <cell r="BM986">
            <v>0</v>
          </cell>
          <cell r="BN986">
            <v>0</v>
          </cell>
          <cell r="BO986">
            <v>0</v>
          </cell>
          <cell r="BP986">
            <v>0</v>
          </cell>
          <cell r="BQ986">
            <v>0</v>
          </cell>
          <cell r="BR986">
            <v>0</v>
          </cell>
          <cell r="BT986">
            <v>0</v>
          </cell>
          <cell r="CA986" t="str">
            <v>CP4441 - EBITA - Identified - Recompete</v>
          </cell>
          <cell r="CC986" t="str">
            <v>CP4441 - EBITA - Identified - Recompete - IS4</v>
          </cell>
          <cell r="CD986" t="str">
            <v/>
          </cell>
          <cell r="CF986" t="str">
            <v>CP4441 - Identified - Recompete - IS4</v>
          </cell>
        </row>
        <row r="987">
          <cell r="D987">
            <v>973</v>
          </cell>
          <cell r="E987">
            <v>1</v>
          </cell>
          <cell r="F987">
            <v>1</v>
          </cell>
          <cell r="G987" t="str">
            <v>CP4428</v>
          </cell>
          <cell r="H987" t="str">
            <v>CS Support</v>
          </cell>
          <cell r="I987" t="str">
            <v>IS4</v>
          </cell>
          <cell r="J987" t="str">
            <v>IS4 Global Mission Solutions</v>
          </cell>
          <cell r="K987" t="str">
            <v>Navy</v>
          </cell>
          <cell r="L987" t="str">
            <v>DOD</v>
          </cell>
          <cell r="M987" t="str">
            <v>Multi_Dom-Intl</v>
          </cell>
          <cell r="N987" t="str">
            <v>Other</v>
          </cell>
          <cell r="O987">
            <v>0</v>
          </cell>
          <cell r="P987">
            <v>0</v>
          </cell>
          <cell r="Q987" t="str">
            <v>Sub</v>
          </cell>
          <cell r="R987" t="str">
            <v>Multi</v>
          </cell>
          <cell r="S987">
            <v>0</v>
          </cell>
          <cell r="T987">
            <v>1</v>
          </cell>
          <cell r="U987" t="str">
            <v>REVTOT</v>
          </cell>
          <cell r="V987" t="str">
            <v>Base</v>
          </cell>
          <cell r="W987" t="str">
            <v>05 Won</v>
          </cell>
          <cell r="X987" t="str">
            <v>Active</v>
          </cell>
          <cell r="Y987">
            <v>1</v>
          </cell>
          <cell r="Z987">
            <v>0</v>
          </cell>
          <cell r="AA987">
            <v>-0.1000000000349246</v>
          </cell>
          <cell r="AB987">
            <v>0</v>
          </cell>
          <cell r="AC987">
            <v>0</v>
          </cell>
          <cell r="AD987">
            <v>-0.1000000000349246</v>
          </cell>
          <cell r="AE987">
            <v>0</v>
          </cell>
          <cell r="AF987">
            <v>0</v>
          </cell>
          <cell r="AG987">
            <v>0</v>
          </cell>
          <cell r="AH987">
            <v>-1</v>
          </cell>
          <cell r="AI987">
            <v>0</v>
          </cell>
          <cell r="AJ987">
            <v>0</v>
          </cell>
          <cell r="AK987">
            <v>0</v>
          </cell>
          <cell r="BB987">
            <v>250000</v>
          </cell>
          <cell r="BC987">
            <v>250000</v>
          </cell>
          <cell r="BD987">
            <v>250000</v>
          </cell>
          <cell r="BE987">
            <v>250000</v>
          </cell>
          <cell r="BF987">
            <v>0</v>
          </cell>
          <cell r="BG987">
            <v>0</v>
          </cell>
          <cell r="BH987">
            <v>0</v>
          </cell>
          <cell r="BI987">
            <v>0</v>
          </cell>
          <cell r="BJ987">
            <v>76780.33</v>
          </cell>
          <cell r="BK987">
            <v>401219.78</v>
          </cell>
          <cell r="BL987">
            <v>67661</v>
          </cell>
          <cell r="BM987">
            <v>545661.1100000001</v>
          </cell>
          <cell r="BN987">
            <v>0</v>
          </cell>
          <cell r="BO987">
            <v>0</v>
          </cell>
          <cell r="BP987">
            <v>0</v>
          </cell>
          <cell r="BQ987">
            <v>0</v>
          </cell>
          <cell r="BR987">
            <v>545661.1100000001</v>
          </cell>
          <cell r="BT987">
            <v>0</v>
          </cell>
          <cell r="CA987" t="str">
            <v>CP4428 - REVTOT - Base</v>
          </cell>
          <cell r="CC987" t="str">
            <v>CP4428 - REVTOT - Base - IS4</v>
          </cell>
          <cell r="CD987" t="str">
            <v/>
          </cell>
          <cell r="CF987" t="str">
            <v>CP4428 - Base - IS4</v>
          </cell>
        </row>
        <row r="988">
          <cell r="D988">
            <v>974</v>
          </cell>
          <cell r="E988">
            <v>1</v>
          </cell>
          <cell r="F988">
            <v>2</v>
          </cell>
          <cell r="G988" t="str">
            <v>CP4428</v>
          </cell>
          <cell r="H988" t="str">
            <v>CS Support</v>
          </cell>
          <cell r="I988" t="str">
            <v>IS4</v>
          </cell>
          <cell r="J988" t="str">
            <v>IS4 Global Mission Solutions</v>
          </cell>
          <cell r="K988" t="str">
            <v>Navy</v>
          </cell>
          <cell r="L988" t="str">
            <v>DOD</v>
          </cell>
          <cell r="M988" t="str">
            <v>Multi_Dom-Intl</v>
          </cell>
          <cell r="N988" t="str">
            <v>Other</v>
          </cell>
          <cell r="O988">
            <v>0</v>
          </cell>
          <cell r="P988">
            <v>0</v>
          </cell>
          <cell r="Q988">
            <v>0</v>
          </cell>
          <cell r="R988" t="str">
            <v>Multi</v>
          </cell>
          <cell r="S988">
            <v>0</v>
          </cell>
          <cell r="T988">
            <v>1</v>
          </cell>
          <cell r="U988" t="str">
            <v>REVTOT</v>
          </cell>
          <cell r="V988" t="str">
            <v>Identified - Recompete</v>
          </cell>
          <cell r="W988">
            <v>0</v>
          </cell>
          <cell r="X988">
            <v>0</v>
          </cell>
          <cell r="Y988">
            <v>0</v>
          </cell>
          <cell r="Z988">
            <v>0</v>
          </cell>
          <cell r="AA988">
            <v>0</v>
          </cell>
          <cell r="AB988">
            <v>0</v>
          </cell>
          <cell r="AC988">
            <v>0</v>
          </cell>
          <cell r="AD988">
            <v>0</v>
          </cell>
          <cell r="AI988">
            <v>0</v>
          </cell>
          <cell r="AJ988">
            <v>0</v>
          </cell>
          <cell r="AK988">
            <v>0</v>
          </cell>
          <cell r="BB988">
            <v>0</v>
          </cell>
          <cell r="BC988">
            <v>0</v>
          </cell>
          <cell r="BD988">
            <v>0</v>
          </cell>
          <cell r="BE988">
            <v>0</v>
          </cell>
          <cell r="BI988">
            <v>0</v>
          </cell>
          <cell r="BJ988">
            <v>0</v>
          </cell>
          <cell r="BK988">
            <v>0</v>
          </cell>
          <cell r="BL988">
            <v>0</v>
          </cell>
          <cell r="BM988">
            <v>0</v>
          </cell>
          <cell r="BN988">
            <v>0</v>
          </cell>
          <cell r="BO988">
            <v>0</v>
          </cell>
          <cell r="BP988">
            <v>0</v>
          </cell>
          <cell r="BQ988">
            <v>0</v>
          </cell>
          <cell r="BR988">
            <v>0</v>
          </cell>
          <cell r="BT988">
            <v>0</v>
          </cell>
          <cell r="CA988" t="str">
            <v>CP4428 - REVTOT - Identified - Recompete</v>
          </cell>
          <cell r="CC988" t="str">
            <v>CP4428 - REVTOT - Identified - Recompete - IS4</v>
          </cell>
          <cell r="CD988" t="str">
            <v/>
          </cell>
          <cell r="CF988" t="str">
            <v>CP4428 - Identified - Recompete - IS4</v>
          </cell>
        </row>
        <row r="989">
          <cell r="D989">
            <v>975</v>
          </cell>
          <cell r="E989">
            <v>2</v>
          </cell>
          <cell r="F989">
            <v>3</v>
          </cell>
          <cell r="G989" t="str">
            <v>CP4428</v>
          </cell>
          <cell r="H989" t="str">
            <v>CS Support</v>
          </cell>
          <cell r="I989" t="str">
            <v>IS4</v>
          </cell>
          <cell r="J989" t="str">
            <v>IS4 Global Mission Solutions</v>
          </cell>
          <cell r="K989" t="str">
            <v>Navy</v>
          </cell>
          <cell r="L989" t="str">
            <v>DOD</v>
          </cell>
          <cell r="M989" t="str">
            <v>Multi_Dom-Intl</v>
          </cell>
          <cell r="N989" t="str">
            <v>Other</v>
          </cell>
          <cell r="O989">
            <v>0</v>
          </cell>
          <cell r="P989">
            <v>0</v>
          </cell>
          <cell r="Q989" t="str">
            <v>Sub</v>
          </cell>
          <cell r="R989" t="str">
            <v>Multi</v>
          </cell>
          <cell r="S989">
            <v>0</v>
          </cell>
          <cell r="T989">
            <v>1</v>
          </cell>
          <cell r="U989" t="str">
            <v>CONTRACT</v>
          </cell>
          <cell r="V989" t="str">
            <v>Base</v>
          </cell>
          <cell r="W989" t="str">
            <v>05 Won</v>
          </cell>
          <cell r="X989" t="str">
            <v>Active</v>
          </cell>
          <cell r="Y989">
            <v>1</v>
          </cell>
          <cell r="Z989">
            <v>0</v>
          </cell>
          <cell r="AA989">
            <v>-0.1000000000349246</v>
          </cell>
          <cell r="AB989">
            <v>0</v>
          </cell>
          <cell r="AC989">
            <v>0</v>
          </cell>
          <cell r="AD989">
            <v>-0.1000000000349246</v>
          </cell>
          <cell r="AL989">
            <v>0</v>
          </cell>
          <cell r="AM989">
            <v>0</v>
          </cell>
          <cell r="AN989">
            <v>0</v>
          </cell>
          <cell r="AO989">
            <v>0.11327128891410276</v>
          </cell>
          <cell r="AP989">
            <v>0.33307132960000002</v>
          </cell>
          <cell r="AQ989">
            <v>0.33307132960000002</v>
          </cell>
          <cell r="AR989">
            <v>0.33307132960000002</v>
          </cell>
          <cell r="AS989">
            <v>0.33307132960000002</v>
          </cell>
          <cell r="BF989">
            <v>0</v>
          </cell>
          <cell r="BG989">
            <v>0</v>
          </cell>
          <cell r="BH989">
            <v>0</v>
          </cell>
          <cell r="BI989">
            <v>0</v>
          </cell>
          <cell r="BJ989">
            <v>10020.289999999994</v>
          </cell>
          <cell r="BK989">
            <v>38907.500000000029</v>
          </cell>
          <cell r="BL989">
            <v>12879.947239999994</v>
          </cell>
          <cell r="BM989">
            <v>61807.737240000017</v>
          </cell>
          <cell r="BN989">
            <v>0</v>
          </cell>
          <cell r="BO989">
            <v>0</v>
          </cell>
          <cell r="BP989">
            <v>0</v>
          </cell>
          <cell r="BQ989">
            <v>0</v>
          </cell>
          <cell r="BR989">
            <v>61807.737240000017</v>
          </cell>
          <cell r="BT989">
            <v>0</v>
          </cell>
          <cell r="CA989" t="str">
            <v>CP4428 - CONTRACT - Base</v>
          </cell>
          <cell r="CC989" t="str">
            <v>CP4428 - CONTRACT - Base - IS4</v>
          </cell>
          <cell r="CD989" t="str">
            <v/>
          </cell>
          <cell r="CF989" t="str">
            <v>CP4428 - Base - IS4</v>
          </cell>
        </row>
        <row r="990">
          <cell r="D990">
            <v>976</v>
          </cell>
          <cell r="E990">
            <v>2</v>
          </cell>
          <cell r="F990">
            <v>4</v>
          </cell>
          <cell r="G990" t="str">
            <v>CP4428</v>
          </cell>
          <cell r="H990" t="str">
            <v>CS Support</v>
          </cell>
          <cell r="I990" t="str">
            <v>IS4</v>
          </cell>
          <cell r="J990" t="str">
            <v>IS4 Global Mission Solutions</v>
          </cell>
          <cell r="K990" t="str">
            <v>Navy</v>
          </cell>
          <cell r="L990" t="str">
            <v>DOD</v>
          </cell>
          <cell r="M990" t="str">
            <v>Multi_Dom-Intl</v>
          </cell>
          <cell r="N990" t="str">
            <v>Other</v>
          </cell>
          <cell r="O990">
            <v>0</v>
          </cell>
          <cell r="P990">
            <v>0</v>
          </cell>
          <cell r="Q990">
            <v>0</v>
          </cell>
          <cell r="R990" t="str">
            <v>Multi</v>
          </cell>
          <cell r="S990">
            <v>0</v>
          </cell>
          <cell r="T990">
            <v>1</v>
          </cell>
          <cell r="U990" t="str">
            <v>CONTRACT</v>
          </cell>
          <cell r="V990" t="str">
            <v>Identified - Recompete</v>
          </cell>
          <cell r="W990">
            <v>0</v>
          </cell>
          <cell r="X990">
            <v>0</v>
          </cell>
          <cell r="Y990">
            <v>0</v>
          </cell>
          <cell r="Z990">
            <v>0</v>
          </cell>
          <cell r="AA990">
            <v>0</v>
          </cell>
          <cell r="AB990">
            <v>0</v>
          </cell>
          <cell r="AC990">
            <v>0</v>
          </cell>
          <cell r="AD990">
            <v>0</v>
          </cell>
          <cell r="AP990">
            <v>0</v>
          </cell>
          <cell r="AQ990">
            <v>0</v>
          </cell>
          <cell r="AR990">
            <v>0</v>
          </cell>
          <cell r="AS990">
            <v>0</v>
          </cell>
          <cell r="BI990">
            <v>0</v>
          </cell>
          <cell r="BJ990">
            <v>0</v>
          </cell>
          <cell r="BK990">
            <v>0</v>
          </cell>
          <cell r="BL990">
            <v>0</v>
          </cell>
          <cell r="BM990">
            <v>0</v>
          </cell>
          <cell r="BN990">
            <v>0</v>
          </cell>
          <cell r="BO990">
            <v>0</v>
          </cell>
          <cell r="BP990">
            <v>0</v>
          </cell>
          <cell r="BQ990">
            <v>0</v>
          </cell>
          <cell r="BR990">
            <v>0</v>
          </cell>
          <cell r="BT990">
            <v>0</v>
          </cell>
          <cell r="CA990" t="str">
            <v>CP4428 - CONTRACT - Identified - Recompete</v>
          </cell>
          <cell r="CC990" t="str">
            <v>CP4428 - CONTRACT - Identified - Recompete - IS4</v>
          </cell>
          <cell r="CD990" t="str">
            <v/>
          </cell>
          <cell r="CF990" t="str">
            <v>CP4428 - Identified - Recompete - IS4</v>
          </cell>
        </row>
        <row r="991">
          <cell r="D991">
            <v>977</v>
          </cell>
          <cell r="E991">
            <v>0</v>
          </cell>
          <cell r="F991">
            <v>5</v>
          </cell>
          <cell r="G991" t="str">
            <v>CP4428</v>
          </cell>
          <cell r="H991" t="str">
            <v>CS Support</v>
          </cell>
          <cell r="I991" t="str">
            <v>IS4</v>
          </cell>
          <cell r="J991" t="str">
            <v>IS4 Global Mission Solutions</v>
          </cell>
          <cell r="K991" t="str">
            <v>Navy</v>
          </cell>
          <cell r="L991" t="str">
            <v>DOD</v>
          </cell>
          <cell r="M991" t="str">
            <v>Multi_Dom-Intl</v>
          </cell>
          <cell r="N991" t="str">
            <v>Other</v>
          </cell>
          <cell r="O991">
            <v>0</v>
          </cell>
          <cell r="P991">
            <v>0</v>
          </cell>
          <cell r="Q991" t="str">
            <v>Sub</v>
          </cell>
          <cell r="R991" t="str">
            <v>Multi</v>
          </cell>
          <cell r="S991">
            <v>0</v>
          </cell>
          <cell r="T991">
            <v>1</v>
          </cell>
          <cell r="U991" t="str">
            <v>EBITA</v>
          </cell>
          <cell r="V991" t="str">
            <v>Base</v>
          </cell>
          <cell r="W991" t="str">
            <v>05 Won</v>
          </cell>
          <cell r="X991" t="str">
            <v>Active</v>
          </cell>
          <cell r="Y991">
            <v>1</v>
          </cell>
          <cell r="Z991">
            <v>0</v>
          </cell>
          <cell r="AA991">
            <v>-0.1000000000349246</v>
          </cell>
          <cell r="AB991">
            <v>0</v>
          </cell>
          <cell r="AC991">
            <v>0</v>
          </cell>
          <cell r="AD991">
            <v>-0.1000000000349246</v>
          </cell>
          <cell r="AT991">
            <v>0</v>
          </cell>
          <cell r="AU991">
            <v>0</v>
          </cell>
          <cell r="AV991">
            <v>0</v>
          </cell>
          <cell r="AW991">
            <v>1.6017885676147994E-2</v>
          </cell>
          <cell r="AX991">
            <v>5.0000021116209464E-2</v>
          </cell>
          <cell r="AY991">
            <v>5.0000021116209464E-2</v>
          </cell>
          <cell r="AZ991">
            <v>5.0000021116209464E-2</v>
          </cell>
          <cell r="BA991">
            <v>5.0000021116209464E-2</v>
          </cell>
          <cell r="BF991">
            <v>0</v>
          </cell>
          <cell r="BG991">
            <v>0</v>
          </cell>
          <cell r="BH991">
            <v>0</v>
          </cell>
          <cell r="BI991">
            <v>0</v>
          </cell>
          <cell r="BJ991">
            <v>3155.9199999999937</v>
          </cell>
          <cell r="BK991">
            <v>2455.6700000000274</v>
          </cell>
          <cell r="BL991">
            <v>3128.7472778999945</v>
          </cell>
          <cell r="BM991">
            <v>8740.3372779000165</v>
          </cell>
          <cell r="BN991">
            <v>0</v>
          </cell>
          <cell r="BO991">
            <v>0</v>
          </cell>
          <cell r="BP991">
            <v>0</v>
          </cell>
          <cell r="BQ991">
            <v>0</v>
          </cell>
          <cell r="BR991">
            <v>8740.3372779000165</v>
          </cell>
          <cell r="BT991">
            <v>0</v>
          </cell>
          <cell r="CA991" t="str">
            <v>CP4428 - EBITA - Base</v>
          </cell>
          <cell r="CC991" t="str">
            <v>CP4428 - EBITA - Base - IS4</v>
          </cell>
          <cell r="CD991" t="str">
            <v/>
          </cell>
          <cell r="CF991" t="str">
            <v>CP4428 - Base - IS4</v>
          </cell>
        </row>
        <row r="992">
          <cell r="D992">
            <v>978</v>
          </cell>
          <cell r="E992">
            <v>0</v>
          </cell>
          <cell r="F992">
            <v>0</v>
          </cell>
          <cell r="G992" t="str">
            <v>CP4428</v>
          </cell>
          <cell r="H992" t="str">
            <v>CS Support</v>
          </cell>
          <cell r="I992" t="str">
            <v>IS4</v>
          </cell>
          <cell r="J992" t="str">
            <v>IS4 Global Mission Solutions</v>
          </cell>
          <cell r="K992" t="str">
            <v>Navy</v>
          </cell>
          <cell r="L992" t="str">
            <v>DOD</v>
          </cell>
          <cell r="M992" t="str">
            <v>Multi_Dom-Intl</v>
          </cell>
          <cell r="N992" t="str">
            <v>Other</v>
          </cell>
          <cell r="O992">
            <v>0</v>
          </cell>
          <cell r="P992">
            <v>0</v>
          </cell>
          <cell r="Q992">
            <v>0</v>
          </cell>
          <cell r="R992" t="str">
            <v>Multi</v>
          </cell>
          <cell r="S992">
            <v>0</v>
          </cell>
          <cell r="T992">
            <v>1</v>
          </cell>
          <cell r="U992" t="str">
            <v>EBITA</v>
          </cell>
          <cell r="V992" t="str">
            <v>Identified - Recompete</v>
          </cell>
          <cell r="W992">
            <v>0</v>
          </cell>
          <cell r="X992">
            <v>0</v>
          </cell>
          <cell r="Y992">
            <v>0</v>
          </cell>
          <cell r="Z992">
            <v>0</v>
          </cell>
          <cell r="AA992">
            <v>0</v>
          </cell>
          <cell r="AB992">
            <v>0</v>
          </cell>
          <cell r="AC992">
            <v>0</v>
          </cell>
          <cell r="AD992">
            <v>0</v>
          </cell>
          <cell r="AX992">
            <v>0</v>
          </cell>
          <cell r="AY992">
            <v>0</v>
          </cell>
          <cell r="AZ992">
            <v>0</v>
          </cell>
          <cell r="BA992">
            <v>0</v>
          </cell>
          <cell r="BI992">
            <v>0</v>
          </cell>
          <cell r="BJ992">
            <v>0</v>
          </cell>
          <cell r="BK992">
            <v>0</v>
          </cell>
          <cell r="BL992">
            <v>0</v>
          </cell>
          <cell r="BM992">
            <v>0</v>
          </cell>
          <cell r="BN992">
            <v>0</v>
          </cell>
          <cell r="BO992">
            <v>0</v>
          </cell>
          <cell r="BP992">
            <v>0</v>
          </cell>
          <cell r="BQ992">
            <v>0</v>
          </cell>
          <cell r="BR992">
            <v>0</v>
          </cell>
          <cell r="BT992">
            <v>0</v>
          </cell>
          <cell r="CA992" t="str">
            <v>CP4428 - EBITA - Identified - Recompete</v>
          </cell>
          <cell r="CC992" t="str">
            <v>CP4428 - EBITA - Identified - Recompete - IS4</v>
          </cell>
          <cell r="CD992" t="str">
            <v/>
          </cell>
          <cell r="CF992" t="str">
            <v>CP4428 - Identified - Recompete - IS4</v>
          </cell>
        </row>
        <row r="993">
          <cell r="D993">
            <v>979</v>
          </cell>
          <cell r="E993">
            <v>1</v>
          </cell>
          <cell r="F993">
            <v>1</v>
          </cell>
          <cell r="G993" t="str">
            <v>TOPITS</v>
          </cell>
          <cell r="H993" t="str">
            <v>DGS Reserves</v>
          </cell>
          <cell r="I993" t="str">
            <v>IS4</v>
          </cell>
          <cell r="J993" t="str">
            <v>IS4 Engineering and Technology Services</v>
          </cell>
          <cell r="K993" t="str">
            <v>Army</v>
          </cell>
          <cell r="L993" t="str">
            <v>DOD</v>
          </cell>
          <cell r="M993" t="str">
            <v>Multi_Dom-Intl</v>
          </cell>
          <cell r="N993" t="str">
            <v>Other</v>
          </cell>
          <cell r="O993">
            <v>0</v>
          </cell>
          <cell r="P993">
            <v>0</v>
          </cell>
          <cell r="Q993" t="str">
            <v>Other</v>
          </cell>
          <cell r="R993" t="str">
            <v>Multi</v>
          </cell>
          <cell r="S993">
            <v>0</v>
          </cell>
          <cell r="T993">
            <v>1</v>
          </cell>
          <cell r="U993" t="str">
            <v>REVTOT</v>
          </cell>
          <cell r="V993" t="str">
            <v>Base</v>
          </cell>
          <cell r="W993" t="str">
            <v>05 Won</v>
          </cell>
          <cell r="X993" t="str">
            <v>Active</v>
          </cell>
          <cell r="Y993">
            <v>1</v>
          </cell>
          <cell r="Z993">
            <v>0</v>
          </cell>
          <cell r="AA993">
            <v>0</v>
          </cell>
          <cell r="AB993">
            <v>0</v>
          </cell>
          <cell r="AC993">
            <v>0</v>
          </cell>
          <cell r="AD993">
            <v>0</v>
          </cell>
          <cell r="AE993">
            <v>0</v>
          </cell>
          <cell r="AF993">
            <v>0</v>
          </cell>
          <cell r="AG993">
            <v>0</v>
          </cell>
          <cell r="AH993">
            <v>0</v>
          </cell>
          <cell r="AI993">
            <v>0</v>
          </cell>
          <cell r="AJ993">
            <v>0</v>
          </cell>
          <cell r="AK993">
            <v>0</v>
          </cell>
          <cell r="BB993">
            <v>0</v>
          </cell>
          <cell r="BC993">
            <v>0</v>
          </cell>
          <cell r="BD993">
            <v>0</v>
          </cell>
          <cell r="BE993">
            <v>0</v>
          </cell>
          <cell r="BF993">
            <v>0</v>
          </cell>
          <cell r="BG993">
            <v>0</v>
          </cell>
          <cell r="BH993">
            <v>0</v>
          </cell>
          <cell r="BI993">
            <v>0</v>
          </cell>
          <cell r="BJ993">
            <v>0</v>
          </cell>
          <cell r="BK993">
            <v>0</v>
          </cell>
          <cell r="BL993">
            <v>0</v>
          </cell>
          <cell r="BM993">
            <v>0</v>
          </cell>
          <cell r="BN993">
            <v>0</v>
          </cell>
          <cell r="BO993">
            <v>0</v>
          </cell>
          <cell r="BP993">
            <v>0</v>
          </cell>
          <cell r="BQ993">
            <v>0</v>
          </cell>
          <cell r="BR993">
            <v>0</v>
          </cell>
          <cell r="BT993">
            <v>0</v>
          </cell>
          <cell r="CA993" t="str">
            <v>TOPITS - REVTOT - Base</v>
          </cell>
          <cell r="CC993" t="str">
            <v>TOPITS - REVTOT - Base - IS4</v>
          </cell>
          <cell r="CD993" t="str">
            <v/>
          </cell>
          <cell r="CF993" t="str">
            <v>TOPITS - Base - IS4</v>
          </cell>
        </row>
        <row r="994">
          <cell r="D994">
            <v>980</v>
          </cell>
          <cell r="E994">
            <v>1</v>
          </cell>
          <cell r="F994">
            <v>2</v>
          </cell>
          <cell r="G994" t="str">
            <v>TOPITS</v>
          </cell>
          <cell r="H994" t="str">
            <v>DGS Reserves</v>
          </cell>
          <cell r="I994" t="str">
            <v>IS4</v>
          </cell>
          <cell r="J994" t="str">
            <v>IS4 Engineering and Technology Services</v>
          </cell>
          <cell r="K994" t="str">
            <v>Army</v>
          </cell>
          <cell r="L994" t="str">
            <v>DOD</v>
          </cell>
          <cell r="M994" t="str">
            <v>Multi_Dom-Intl</v>
          </cell>
          <cell r="N994" t="str">
            <v>Other</v>
          </cell>
          <cell r="O994">
            <v>0</v>
          </cell>
          <cell r="P994">
            <v>0</v>
          </cell>
          <cell r="Q994">
            <v>0</v>
          </cell>
          <cell r="R994" t="str">
            <v>Multi</v>
          </cell>
          <cell r="S994">
            <v>0</v>
          </cell>
          <cell r="T994">
            <v>1</v>
          </cell>
          <cell r="U994" t="str">
            <v>REVTOT</v>
          </cell>
          <cell r="V994" t="str">
            <v>Identified - Recompete</v>
          </cell>
          <cell r="W994">
            <v>0</v>
          </cell>
          <cell r="X994">
            <v>0</v>
          </cell>
          <cell r="Y994">
            <v>0</v>
          </cell>
          <cell r="Z994">
            <v>0</v>
          </cell>
          <cell r="AA994">
            <v>0</v>
          </cell>
          <cell r="AB994">
            <v>0</v>
          </cell>
          <cell r="AC994">
            <v>0</v>
          </cell>
          <cell r="AD994">
            <v>0</v>
          </cell>
          <cell r="AI994">
            <v>0</v>
          </cell>
          <cell r="AJ994">
            <v>0</v>
          </cell>
          <cell r="AK994">
            <v>0</v>
          </cell>
          <cell r="BB994">
            <v>0</v>
          </cell>
          <cell r="BC994">
            <v>0</v>
          </cell>
          <cell r="BD994">
            <v>0</v>
          </cell>
          <cell r="BE994">
            <v>0</v>
          </cell>
          <cell r="BI994">
            <v>0</v>
          </cell>
          <cell r="BJ994">
            <v>0</v>
          </cell>
          <cell r="BK994">
            <v>0</v>
          </cell>
          <cell r="BL994">
            <v>0</v>
          </cell>
          <cell r="BM994">
            <v>0</v>
          </cell>
          <cell r="BN994">
            <v>0</v>
          </cell>
          <cell r="BO994">
            <v>0</v>
          </cell>
          <cell r="BP994">
            <v>0</v>
          </cell>
          <cell r="BQ994">
            <v>0</v>
          </cell>
          <cell r="BR994">
            <v>0</v>
          </cell>
          <cell r="BT994">
            <v>0</v>
          </cell>
          <cell r="CA994" t="str">
            <v>TOPITS - REVTOT - Identified - Recompete</v>
          </cell>
          <cell r="CC994" t="str">
            <v>TOPITS - REVTOT - Identified - Recompete - IS4</v>
          </cell>
          <cell r="CD994" t="str">
            <v/>
          </cell>
          <cell r="CF994" t="str">
            <v>TOPITS - Identified - Recompete - IS4</v>
          </cell>
        </row>
        <row r="995">
          <cell r="D995">
            <v>981</v>
          </cell>
          <cell r="E995">
            <v>2</v>
          </cell>
          <cell r="F995">
            <v>3</v>
          </cell>
          <cell r="G995" t="str">
            <v>TOPITS</v>
          </cell>
          <cell r="H995" t="str">
            <v>DGS Reserves</v>
          </cell>
          <cell r="I995" t="str">
            <v>IS4</v>
          </cell>
          <cell r="J995" t="str">
            <v>IS4 Engineering and Technology Services</v>
          </cell>
          <cell r="K995" t="str">
            <v>Army</v>
          </cell>
          <cell r="L995" t="str">
            <v>DOD</v>
          </cell>
          <cell r="M995" t="str">
            <v>Multi_Dom-Intl</v>
          </cell>
          <cell r="N995" t="str">
            <v>Other</v>
          </cell>
          <cell r="O995">
            <v>0</v>
          </cell>
          <cell r="P995">
            <v>0</v>
          </cell>
          <cell r="Q995" t="str">
            <v>Other</v>
          </cell>
          <cell r="R995" t="str">
            <v>Multi</v>
          </cell>
          <cell r="S995">
            <v>0</v>
          </cell>
          <cell r="T995">
            <v>1</v>
          </cell>
          <cell r="U995" t="str">
            <v>CONTRACT</v>
          </cell>
          <cell r="V995" t="str">
            <v>Base</v>
          </cell>
          <cell r="W995" t="str">
            <v>05 Won</v>
          </cell>
          <cell r="X995" t="str">
            <v>Active</v>
          </cell>
          <cell r="Y995">
            <v>1</v>
          </cell>
          <cell r="Z995">
            <v>0</v>
          </cell>
          <cell r="AA995">
            <v>0</v>
          </cell>
          <cell r="AB995">
            <v>0</v>
          </cell>
          <cell r="AC995">
            <v>0</v>
          </cell>
          <cell r="AD995">
            <v>0</v>
          </cell>
          <cell r="AL995">
            <v>0</v>
          </cell>
          <cell r="AM995">
            <v>0</v>
          </cell>
          <cell r="AN995">
            <v>0</v>
          </cell>
          <cell r="AO995">
            <v>0</v>
          </cell>
          <cell r="AP995">
            <v>0</v>
          </cell>
          <cell r="AQ995">
            <v>0</v>
          </cell>
          <cell r="AR995">
            <v>0</v>
          </cell>
          <cell r="AS995">
            <v>0</v>
          </cell>
          <cell r="BF995">
            <v>0</v>
          </cell>
          <cell r="BG995">
            <v>0</v>
          </cell>
          <cell r="BH995">
            <v>39849.74</v>
          </cell>
          <cell r="BI995">
            <v>0</v>
          </cell>
          <cell r="BJ995">
            <v>400016.9</v>
          </cell>
          <cell r="BK995">
            <v>0</v>
          </cell>
          <cell r="BL995">
            <v>0</v>
          </cell>
          <cell r="BM995">
            <v>400016.9</v>
          </cell>
          <cell r="BN995">
            <v>0</v>
          </cell>
          <cell r="BO995">
            <v>0</v>
          </cell>
          <cell r="BP995">
            <v>0</v>
          </cell>
          <cell r="BQ995">
            <v>0</v>
          </cell>
          <cell r="BR995">
            <v>400016.9</v>
          </cell>
          <cell r="BT995">
            <v>0</v>
          </cell>
          <cell r="CA995" t="str">
            <v>TOPITS - CONTRACT - Base</v>
          </cell>
          <cell r="CC995" t="str">
            <v>TOPITS - CONTRACT - Base - IS4</v>
          </cell>
          <cell r="CD995" t="str">
            <v/>
          </cell>
          <cell r="CF995" t="str">
            <v>TOPITS - Base - IS4</v>
          </cell>
        </row>
        <row r="996">
          <cell r="D996">
            <v>982</v>
          </cell>
          <cell r="E996">
            <v>2</v>
          </cell>
          <cell r="F996">
            <v>4</v>
          </cell>
          <cell r="G996" t="str">
            <v>TOPITS</v>
          </cell>
          <cell r="H996" t="str">
            <v>DGS Reserves</v>
          </cell>
          <cell r="I996" t="str">
            <v>IS4</v>
          </cell>
          <cell r="J996" t="str">
            <v>IS4 Engineering and Technology Services</v>
          </cell>
          <cell r="K996" t="str">
            <v>Army</v>
          </cell>
          <cell r="L996" t="str">
            <v>DOD</v>
          </cell>
          <cell r="M996" t="str">
            <v>Multi_Dom-Intl</v>
          </cell>
          <cell r="N996" t="str">
            <v>Other</v>
          </cell>
          <cell r="O996">
            <v>0</v>
          </cell>
          <cell r="P996">
            <v>0</v>
          </cell>
          <cell r="Q996">
            <v>0</v>
          </cell>
          <cell r="R996" t="str">
            <v>Multi</v>
          </cell>
          <cell r="S996">
            <v>0</v>
          </cell>
          <cell r="T996">
            <v>1</v>
          </cell>
          <cell r="U996" t="str">
            <v>CONTRACT</v>
          </cell>
          <cell r="V996" t="str">
            <v>Identified - Recompete</v>
          </cell>
          <cell r="W996">
            <v>0</v>
          </cell>
          <cell r="X996">
            <v>0</v>
          </cell>
          <cell r="Y996">
            <v>0</v>
          </cell>
          <cell r="Z996">
            <v>0</v>
          </cell>
          <cell r="AA996">
            <v>0</v>
          </cell>
          <cell r="AB996">
            <v>0</v>
          </cell>
          <cell r="AC996">
            <v>0</v>
          </cell>
          <cell r="AD996">
            <v>0</v>
          </cell>
          <cell r="AP996">
            <v>0</v>
          </cell>
          <cell r="AQ996">
            <v>0</v>
          </cell>
          <cell r="AR996">
            <v>0</v>
          </cell>
          <cell r="AS996">
            <v>0</v>
          </cell>
          <cell r="BI996">
            <v>0</v>
          </cell>
          <cell r="BJ996">
            <v>0</v>
          </cell>
          <cell r="BK996">
            <v>0</v>
          </cell>
          <cell r="BL996">
            <v>0</v>
          </cell>
          <cell r="BM996">
            <v>0</v>
          </cell>
          <cell r="BN996">
            <v>0</v>
          </cell>
          <cell r="BO996">
            <v>0</v>
          </cell>
          <cell r="BP996">
            <v>0</v>
          </cell>
          <cell r="BQ996">
            <v>0</v>
          </cell>
          <cell r="BR996">
            <v>0</v>
          </cell>
          <cell r="BT996">
            <v>0</v>
          </cell>
          <cell r="CA996" t="str">
            <v>TOPITS - CONTRACT - Identified - Recompete</v>
          </cell>
          <cell r="CC996" t="str">
            <v>TOPITS - CONTRACT - Identified - Recompete - IS4</v>
          </cell>
          <cell r="CD996" t="str">
            <v/>
          </cell>
          <cell r="CF996" t="str">
            <v>TOPITS - Identified - Recompete - IS4</v>
          </cell>
        </row>
        <row r="997">
          <cell r="D997">
            <v>983</v>
          </cell>
          <cell r="E997">
            <v>0</v>
          </cell>
          <cell r="F997">
            <v>5</v>
          </cell>
          <cell r="G997" t="str">
            <v>TOPITS</v>
          </cell>
          <cell r="H997" t="str">
            <v>DGS Reserves</v>
          </cell>
          <cell r="I997" t="str">
            <v>IS4</v>
          </cell>
          <cell r="J997" t="str">
            <v>IS4 Engineering and Technology Services</v>
          </cell>
          <cell r="K997" t="str">
            <v>Army</v>
          </cell>
          <cell r="L997" t="str">
            <v>DOD</v>
          </cell>
          <cell r="M997" t="str">
            <v>Multi_Dom-Intl</v>
          </cell>
          <cell r="N997" t="str">
            <v>Other</v>
          </cell>
          <cell r="O997">
            <v>0</v>
          </cell>
          <cell r="P997">
            <v>0</v>
          </cell>
          <cell r="Q997" t="str">
            <v>Other</v>
          </cell>
          <cell r="R997" t="str">
            <v>Multi</v>
          </cell>
          <cell r="S997">
            <v>0</v>
          </cell>
          <cell r="T997">
            <v>1</v>
          </cell>
          <cell r="U997" t="str">
            <v>EBITA</v>
          </cell>
          <cell r="V997" t="str">
            <v>Base</v>
          </cell>
          <cell r="W997" t="str">
            <v>05 Won</v>
          </cell>
          <cell r="X997" t="str">
            <v>Active</v>
          </cell>
          <cell r="Y997">
            <v>1</v>
          </cell>
          <cell r="Z997">
            <v>0</v>
          </cell>
          <cell r="AA997">
            <v>0</v>
          </cell>
          <cell r="AB997">
            <v>0</v>
          </cell>
          <cell r="AC997">
            <v>0</v>
          </cell>
          <cell r="AD997">
            <v>0</v>
          </cell>
          <cell r="AT997">
            <v>0</v>
          </cell>
          <cell r="AU997">
            <v>0</v>
          </cell>
          <cell r="AV997">
            <v>0</v>
          </cell>
          <cell r="AW997">
            <v>0</v>
          </cell>
          <cell r="AX997">
            <v>0</v>
          </cell>
          <cell r="AY997">
            <v>0</v>
          </cell>
          <cell r="AZ997">
            <v>0</v>
          </cell>
          <cell r="BA997">
            <v>0</v>
          </cell>
          <cell r="BF997">
            <v>0</v>
          </cell>
          <cell r="BG997">
            <v>0</v>
          </cell>
          <cell r="BH997">
            <v>39849.74</v>
          </cell>
          <cell r="BI997">
            <v>0</v>
          </cell>
          <cell r="BJ997">
            <v>400016.9</v>
          </cell>
          <cell r="BK997">
            <v>0</v>
          </cell>
          <cell r="BL997">
            <v>0</v>
          </cell>
          <cell r="BM997">
            <v>400016.9</v>
          </cell>
          <cell r="BN997">
            <v>0</v>
          </cell>
          <cell r="BO997">
            <v>0</v>
          </cell>
          <cell r="BP997">
            <v>0</v>
          </cell>
          <cell r="BQ997">
            <v>0</v>
          </cell>
          <cell r="BR997">
            <v>400016.9</v>
          </cell>
          <cell r="BT997">
            <v>0</v>
          </cell>
          <cell r="CA997" t="str">
            <v>TOPITS - EBITA - Base</v>
          </cell>
          <cell r="CC997" t="str">
            <v>TOPITS - EBITA - Base - IS4</v>
          </cell>
          <cell r="CD997" t="str">
            <v/>
          </cell>
          <cell r="CF997" t="str">
            <v>TOPITS - Base - IS4</v>
          </cell>
        </row>
        <row r="998">
          <cell r="D998">
            <v>984</v>
          </cell>
          <cell r="E998">
            <v>0</v>
          </cell>
          <cell r="F998">
            <v>0</v>
          </cell>
          <cell r="G998" t="str">
            <v>TOPITS</v>
          </cell>
          <cell r="H998" t="str">
            <v>DGS Reserves</v>
          </cell>
          <cell r="I998" t="str">
            <v>IS4</v>
          </cell>
          <cell r="J998" t="str">
            <v>IS4 Engineering and Technology Services</v>
          </cell>
          <cell r="K998" t="str">
            <v>Army</v>
          </cell>
          <cell r="L998" t="str">
            <v>DOD</v>
          </cell>
          <cell r="M998" t="str">
            <v>Multi_Dom-Intl</v>
          </cell>
          <cell r="N998" t="str">
            <v>Other</v>
          </cell>
          <cell r="O998">
            <v>0</v>
          </cell>
          <cell r="P998">
            <v>0</v>
          </cell>
          <cell r="Q998">
            <v>0</v>
          </cell>
          <cell r="R998" t="str">
            <v>Multi</v>
          </cell>
          <cell r="S998">
            <v>0</v>
          </cell>
          <cell r="T998">
            <v>1</v>
          </cell>
          <cell r="U998" t="str">
            <v>EBITA</v>
          </cell>
          <cell r="V998" t="str">
            <v>Identified - Recompete</v>
          </cell>
          <cell r="W998">
            <v>0</v>
          </cell>
          <cell r="X998">
            <v>0</v>
          </cell>
          <cell r="Y998">
            <v>0</v>
          </cell>
          <cell r="Z998">
            <v>0</v>
          </cell>
          <cell r="AA998">
            <v>0</v>
          </cell>
          <cell r="AB998">
            <v>0</v>
          </cell>
          <cell r="AC998">
            <v>0</v>
          </cell>
          <cell r="AD998">
            <v>0</v>
          </cell>
          <cell r="AX998">
            <v>0</v>
          </cell>
          <cell r="AY998">
            <v>0</v>
          </cell>
          <cell r="AZ998">
            <v>0</v>
          </cell>
          <cell r="BA998">
            <v>0</v>
          </cell>
          <cell r="BI998">
            <v>0</v>
          </cell>
          <cell r="BJ998">
            <v>0</v>
          </cell>
          <cell r="BK998">
            <v>0</v>
          </cell>
          <cell r="BL998">
            <v>0</v>
          </cell>
          <cell r="BM998">
            <v>0</v>
          </cell>
          <cell r="BN998">
            <v>0</v>
          </cell>
          <cell r="BO998">
            <v>0</v>
          </cell>
          <cell r="BP998">
            <v>0</v>
          </cell>
          <cell r="BQ998">
            <v>0</v>
          </cell>
          <cell r="BR998">
            <v>0</v>
          </cell>
          <cell r="BT998">
            <v>0</v>
          </cell>
          <cell r="CA998" t="str">
            <v>TOPITS - EBITA - Identified - Recompete</v>
          </cell>
          <cell r="CC998" t="str">
            <v>TOPITS - EBITA - Identified - Recompete - IS4</v>
          </cell>
          <cell r="CD998" t="str">
            <v/>
          </cell>
          <cell r="CF998" t="str">
            <v>TOPITS - Identified - Recompete - IS4</v>
          </cell>
        </row>
        <row r="999">
          <cell r="D999">
            <v>985</v>
          </cell>
          <cell r="E999">
            <v>1</v>
          </cell>
          <cell r="F999">
            <v>1</v>
          </cell>
          <cell r="G999" t="str">
            <v>924503</v>
          </cell>
          <cell r="H999" t="str">
            <v>CGMAP</v>
          </cell>
          <cell r="I999" t="str">
            <v>IS4</v>
          </cell>
          <cell r="J999" t="str">
            <v>IS4 Sustainment Engineering and Acquisition</v>
          </cell>
          <cell r="K999" t="str">
            <v>Coast Guard</v>
          </cell>
          <cell r="L999" t="str">
            <v>DOD</v>
          </cell>
          <cell r="M999" t="str">
            <v>Multi_Dom-Intl</v>
          </cell>
          <cell r="N999" t="str">
            <v>Other</v>
          </cell>
          <cell r="O999">
            <v>41611</v>
          </cell>
          <cell r="P999">
            <v>43721</v>
          </cell>
          <cell r="Q999" t="str">
            <v>Prime</v>
          </cell>
          <cell r="R999" t="str">
            <v>Multi</v>
          </cell>
          <cell r="S999">
            <v>0</v>
          </cell>
          <cell r="T999">
            <v>1</v>
          </cell>
          <cell r="U999" t="str">
            <v>REVTOT</v>
          </cell>
          <cell r="V999" t="str">
            <v>Base</v>
          </cell>
          <cell r="W999" t="str">
            <v>05 Won</v>
          </cell>
          <cell r="X999" t="str">
            <v>Active</v>
          </cell>
          <cell r="Y999">
            <v>1</v>
          </cell>
          <cell r="Z999">
            <v>0</v>
          </cell>
          <cell r="AA999">
            <v>16991.549999999508</v>
          </cell>
          <cell r="AB999">
            <v>0</v>
          </cell>
          <cell r="AC999">
            <v>0</v>
          </cell>
          <cell r="AD999">
            <v>16991.549999999508</v>
          </cell>
          <cell r="AE999">
            <v>-0.92068277376956142</v>
          </cell>
          <cell r="AF999">
            <v>-1.2813251712060838</v>
          </cell>
          <cell r="AG999">
            <v>-4.4250774421181287</v>
          </cell>
          <cell r="AH999">
            <v>-1</v>
          </cell>
          <cell r="AI999">
            <v>0</v>
          </cell>
          <cell r="AJ999">
            <v>0</v>
          </cell>
          <cell r="AK999">
            <v>0</v>
          </cell>
          <cell r="BB999">
            <v>0</v>
          </cell>
          <cell r="BC999">
            <v>0</v>
          </cell>
          <cell r="BD999">
            <v>0</v>
          </cell>
          <cell r="BE999">
            <v>0</v>
          </cell>
          <cell r="BF999">
            <v>1113546.0000000002</v>
          </cell>
          <cell r="BG999">
            <v>88323.37999999999</v>
          </cell>
          <cell r="BH999">
            <v>-24847.59</v>
          </cell>
          <cell r="BI999">
            <v>0</v>
          </cell>
          <cell r="BJ999">
            <v>85104.92</v>
          </cell>
          <cell r="BK999">
            <v>0</v>
          </cell>
          <cell r="BL999">
            <v>0</v>
          </cell>
          <cell r="BM999">
            <v>85104.92</v>
          </cell>
          <cell r="BN999">
            <v>0</v>
          </cell>
          <cell r="BO999">
            <v>0</v>
          </cell>
          <cell r="BP999">
            <v>0</v>
          </cell>
          <cell r="BQ999">
            <v>0</v>
          </cell>
          <cell r="BR999">
            <v>85104.92</v>
          </cell>
          <cell r="BT999">
            <v>0</v>
          </cell>
          <cell r="CA999" t="str">
            <v>924503 - REVTOT - Base</v>
          </cell>
          <cell r="CC999" t="str">
            <v>924503 - REVTOT - Base - IS4</v>
          </cell>
          <cell r="CD999" t="str">
            <v/>
          </cell>
          <cell r="CF999" t="str">
            <v>924503 - Base - IS4</v>
          </cell>
        </row>
        <row r="1000">
          <cell r="D1000">
            <v>986</v>
          </cell>
          <cell r="E1000">
            <v>1</v>
          </cell>
          <cell r="F1000">
            <v>2</v>
          </cell>
          <cell r="G1000" t="str">
            <v>924503</v>
          </cell>
          <cell r="H1000" t="str">
            <v>CGMAP</v>
          </cell>
          <cell r="I1000" t="str">
            <v>IS4</v>
          </cell>
          <cell r="J1000" t="str">
            <v>IS4 Sustainment Engineering and Acquisition</v>
          </cell>
          <cell r="K1000" t="str">
            <v>Coast Guard</v>
          </cell>
          <cell r="L1000" t="str">
            <v>DOD</v>
          </cell>
          <cell r="M1000" t="str">
            <v>Multi_Dom-Intl</v>
          </cell>
          <cell r="N1000" t="str">
            <v>Other</v>
          </cell>
          <cell r="O1000">
            <v>0</v>
          </cell>
          <cell r="P1000">
            <v>0</v>
          </cell>
          <cell r="Q1000">
            <v>0</v>
          </cell>
          <cell r="R1000" t="str">
            <v>Multi</v>
          </cell>
          <cell r="S1000">
            <v>0</v>
          </cell>
          <cell r="T1000">
            <v>1</v>
          </cell>
          <cell r="U1000" t="str">
            <v>REVTOT</v>
          </cell>
          <cell r="V1000" t="str">
            <v>Identified - Recompete</v>
          </cell>
          <cell r="W1000">
            <v>0</v>
          </cell>
          <cell r="X1000">
            <v>0</v>
          </cell>
          <cell r="Y1000">
            <v>0</v>
          </cell>
          <cell r="Z1000">
            <v>0</v>
          </cell>
          <cell r="AA1000">
            <v>0</v>
          </cell>
          <cell r="AB1000">
            <v>0</v>
          </cell>
          <cell r="AC1000">
            <v>0</v>
          </cell>
          <cell r="AD1000">
            <v>0</v>
          </cell>
          <cell r="AI1000">
            <v>0</v>
          </cell>
          <cell r="AJ1000">
            <v>0</v>
          </cell>
          <cell r="AK1000">
            <v>0</v>
          </cell>
          <cell r="BB1000">
            <v>0</v>
          </cell>
          <cell r="BC1000">
            <v>0</v>
          </cell>
          <cell r="BD1000">
            <v>0</v>
          </cell>
          <cell r="BE1000">
            <v>0</v>
          </cell>
          <cell r="BI1000">
            <v>0</v>
          </cell>
          <cell r="BJ1000">
            <v>0</v>
          </cell>
          <cell r="BK1000">
            <v>0</v>
          </cell>
          <cell r="BL1000">
            <v>0</v>
          </cell>
          <cell r="BM1000">
            <v>0</v>
          </cell>
          <cell r="BN1000">
            <v>0</v>
          </cell>
          <cell r="BO1000">
            <v>0</v>
          </cell>
          <cell r="BP1000">
            <v>0</v>
          </cell>
          <cell r="BQ1000">
            <v>0</v>
          </cell>
          <cell r="BR1000">
            <v>0</v>
          </cell>
          <cell r="BT1000">
            <v>0</v>
          </cell>
          <cell r="CA1000" t="str">
            <v>924503 - REVTOT - Identified - Recompete</v>
          </cell>
          <cell r="CC1000" t="str">
            <v>924503 - REVTOT - Identified - Recompete - IS4</v>
          </cell>
          <cell r="CD1000" t="str">
            <v/>
          </cell>
          <cell r="CF1000" t="str">
            <v>924503 - Identified - Recompete - IS4</v>
          </cell>
        </row>
        <row r="1001">
          <cell r="D1001">
            <v>987</v>
          </cell>
          <cell r="E1001">
            <v>2</v>
          </cell>
          <cell r="F1001">
            <v>3</v>
          </cell>
          <cell r="G1001" t="str">
            <v>924503</v>
          </cell>
          <cell r="H1001" t="str">
            <v>CGMAP</v>
          </cell>
          <cell r="I1001" t="str">
            <v>IS4</v>
          </cell>
          <cell r="J1001" t="str">
            <v>IS4 Sustainment Engineering and Acquisition</v>
          </cell>
          <cell r="K1001" t="str">
            <v>Coast Guard</v>
          </cell>
          <cell r="L1001" t="str">
            <v>DOD</v>
          </cell>
          <cell r="M1001" t="str">
            <v>Multi_Dom-Intl</v>
          </cell>
          <cell r="N1001" t="str">
            <v>Other</v>
          </cell>
          <cell r="O1001">
            <v>41611</v>
          </cell>
          <cell r="P1001">
            <v>43721</v>
          </cell>
          <cell r="Q1001" t="str">
            <v>Prime</v>
          </cell>
          <cell r="R1001" t="str">
            <v>Multi</v>
          </cell>
          <cell r="S1001">
            <v>0</v>
          </cell>
          <cell r="T1001">
            <v>1</v>
          </cell>
          <cell r="U1001" t="str">
            <v>CONTRACT</v>
          </cell>
          <cell r="V1001" t="str">
            <v>Base</v>
          </cell>
          <cell r="W1001" t="str">
            <v>05 Won</v>
          </cell>
          <cell r="X1001" t="str">
            <v>Active</v>
          </cell>
          <cell r="Y1001">
            <v>1</v>
          </cell>
          <cell r="Z1001">
            <v>0</v>
          </cell>
          <cell r="AA1001">
            <v>16991.549999999508</v>
          </cell>
          <cell r="AB1001">
            <v>0</v>
          </cell>
          <cell r="AC1001">
            <v>0</v>
          </cell>
          <cell r="AD1001">
            <v>16991.549999999508</v>
          </cell>
          <cell r="AL1001">
            <v>0.13545040797596145</v>
          </cell>
          <cell r="AM1001">
            <v>0.3807527519893375</v>
          </cell>
          <cell r="AN1001">
            <v>-0.1899753658201862</v>
          </cell>
          <cell r="AO1001">
            <v>1</v>
          </cell>
          <cell r="AP1001">
            <v>0.21731968575484786</v>
          </cell>
          <cell r="AQ1001">
            <v>0.21731968575484786</v>
          </cell>
          <cell r="AR1001">
            <v>0.21731968575484786</v>
          </cell>
          <cell r="AS1001">
            <v>0.21731968575484786</v>
          </cell>
          <cell r="BF1001">
            <v>150830.26</v>
          </cell>
          <cell r="BG1001">
            <v>33629.37000000001</v>
          </cell>
          <cell r="BH1001">
            <v>4720.43</v>
          </cell>
          <cell r="BI1001">
            <v>0</v>
          </cell>
          <cell r="BJ1001">
            <v>85104.92</v>
          </cell>
          <cell r="BK1001">
            <v>0</v>
          </cell>
          <cell r="BL1001">
            <v>0</v>
          </cell>
          <cell r="BM1001">
            <v>85104.92</v>
          </cell>
          <cell r="BN1001">
            <v>0</v>
          </cell>
          <cell r="BO1001">
            <v>0</v>
          </cell>
          <cell r="BP1001">
            <v>0</v>
          </cell>
          <cell r="BQ1001">
            <v>0</v>
          </cell>
          <cell r="BR1001">
            <v>85104.92</v>
          </cell>
          <cell r="BT1001">
            <v>0</v>
          </cell>
          <cell r="CA1001" t="str">
            <v>924503 - CONTRACT - Base</v>
          </cell>
          <cell r="CC1001" t="str">
            <v>924503 - CONTRACT - Base - IS4</v>
          </cell>
          <cell r="CD1001" t="str">
            <v/>
          </cell>
          <cell r="CF1001" t="str">
            <v>924503 - Base - IS4</v>
          </cell>
        </row>
        <row r="1002">
          <cell r="D1002">
            <v>988</v>
          </cell>
          <cell r="E1002">
            <v>2</v>
          </cell>
          <cell r="F1002">
            <v>4</v>
          </cell>
          <cell r="G1002" t="str">
            <v>924503</v>
          </cell>
          <cell r="H1002" t="str">
            <v>CGMAP</v>
          </cell>
          <cell r="I1002" t="str">
            <v>IS4</v>
          </cell>
          <cell r="J1002" t="str">
            <v>IS4 Sustainment Engineering and Acquisition</v>
          </cell>
          <cell r="K1002" t="str">
            <v>Coast Guard</v>
          </cell>
          <cell r="L1002" t="str">
            <v>DOD</v>
          </cell>
          <cell r="M1002" t="str">
            <v>Multi_Dom-Intl</v>
          </cell>
          <cell r="N1002" t="str">
            <v>Other</v>
          </cell>
          <cell r="O1002">
            <v>0</v>
          </cell>
          <cell r="P1002">
            <v>0</v>
          </cell>
          <cell r="Q1002">
            <v>0</v>
          </cell>
          <cell r="R1002" t="str">
            <v>Multi</v>
          </cell>
          <cell r="S1002">
            <v>0</v>
          </cell>
          <cell r="T1002">
            <v>1</v>
          </cell>
          <cell r="U1002" t="str">
            <v>CONTRACT</v>
          </cell>
          <cell r="V1002" t="str">
            <v>Identified - Recompete</v>
          </cell>
          <cell r="W1002">
            <v>0</v>
          </cell>
          <cell r="X1002">
            <v>0</v>
          </cell>
          <cell r="Y1002">
            <v>0</v>
          </cell>
          <cell r="Z1002">
            <v>0</v>
          </cell>
          <cell r="AA1002">
            <v>0</v>
          </cell>
          <cell r="AB1002">
            <v>0</v>
          </cell>
          <cell r="AC1002">
            <v>0</v>
          </cell>
          <cell r="AD1002">
            <v>0</v>
          </cell>
          <cell r="AP1002">
            <v>0</v>
          </cell>
          <cell r="AQ1002">
            <v>0</v>
          </cell>
          <cell r="AR1002">
            <v>0</v>
          </cell>
          <cell r="AS1002">
            <v>0</v>
          </cell>
          <cell r="BI1002">
            <v>0</v>
          </cell>
          <cell r="BJ1002">
            <v>0</v>
          </cell>
          <cell r="BK1002">
            <v>0</v>
          </cell>
          <cell r="BL1002">
            <v>0</v>
          </cell>
          <cell r="BM1002">
            <v>0</v>
          </cell>
          <cell r="BN1002">
            <v>0</v>
          </cell>
          <cell r="BO1002">
            <v>0</v>
          </cell>
          <cell r="BP1002">
            <v>0</v>
          </cell>
          <cell r="BQ1002">
            <v>0</v>
          </cell>
          <cell r="BR1002">
            <v>0</v>
          </cell>
          <cell r="BT1002">
            <v>0</v>
          </cell>
          <cell r="CA1002" t="str">
            <v>924503 - CONTRACT - Identified - Recompete</v>
          </cell>
          <cell r="CC1002" t="str">
            <v>924503 - CONTRACT - Identified - Recompete - IS4</v>
          </cell>
          <cell r="CD1002" t="str">
            <v/>
          </cell>
          <cell r="CF1002" t="str">
            <v>924503 - Identified - Recompete - IS4</v>
          </cell>
        </row>
        <row r="1003">
          <cell r="D1003">
            <v>989</v>
          </cell>
          <cell r="E1003">
            <v>0</v>
          </cell>
          <cell r="F1003">
            <v>5</v>
          </cell>
          <cell r="G1003" t="str">
            <v>924503</v>
          </cell>
          <cell r="H1003" t="str">
            <v>CGMAP</v>
          </cell>
          <cell r="I1003" t="str">
            <v>IS4</v>
          </cell>
          <cell r="J1003" t="str">
            <v>IS4 Sustainment Engineering and Acquisition</v>
          </cell>
          <cell r="K1003" t="str">
            <v>Coast Guard</v>
          </cell>
          <cell r="L1003" t="str">
            <v>DOD</v>
          </cell>
          <cell r="M1003" t="str">
            <v>Multi_Dom-Intl</v>
          </cell>
          <cell r="N1003" t="str">
            <v>Other</v>
          </cell>
          <cell r="O1003">
            <v>41611</v>
          </cell>
          <cell r="P1003">
            <v>43721</v>
          </cell>
          <cell r="Q1003" t="str">
            <v>Prime</v>
          </cell>
          <cell r="R1003" t="str">
            <v>Multi</v>
          </cell>
          <cell r="S1003">
            <v>0</v>
          </cell>
          <cell r="T1003">
            <v>1</v>
          </cell>
          <cell r="U1003" t="str">
            <v>EBITA</v>
          </cell>
          <cell r="V1003" t="str">
            <v>Base</v>
          </cell>
          <cell r="W1003" t="str">
            <v>05 Won</v>
          </cell>
          <cell r="X1003" t="str">
            <v>Active</v>
          </cell>
          <cell r="Y1003">
            <v>1</v>
          </cell>
          <cell r="Z1003">
            <v>0</v>
          </cell>
          <cell r="AA1003">
            <v>16991.549999999508</v>
          </cell>
          <cell r="AB1003">
            <v>0</v>
          </cell>
          <cell r="AC1003">
            <v>0</v>
          </cell>
          <cell r="AD1003">
            <v>16991.549999999508</v>
          </cell>
          <cell r="AT1003">
            <v>2.9298556144065888E-2</v>
          </cell>
          <cell r="AU1003">
            <v>0.32282890441919243</v>
          </cell>
          <cell r="AV1003">
            <v>-0.1899753658201862</v>
          </cell>
          <cell r="AW1003">
            <v>1</v>
          </cell>
          <cell r="AX1003">
            <v>0.11961079565458209</v>
          </cell>
          <cell r="AY1003">
            <v>0.11961079565458209</v>
          </cell>
          <cell r="AZ1003">
            <v>0.11961079565458209</v>
          </cell>
          <cell r="BA1003">
            <v>0.11961079565458209</v>
          </cell>
          <cell r="BF1003">
            <v>32625.29</v>
          </cell>
          <cell r="BG1003">
            <v>28513.340000000007</v>
          </cell>
          <cell r="BH1003">
            <v>4720.43</v>
          </cell>
          <cell r="BI1003">
            <v>0</v>
          </cell>
          <cell r="BJ1003">
            <v>85104.92</v>
          </cell>
          <cell r="BK1003">
            <v>0</v>
          </cell>
          <cell r="BL1003">
            <v>0</v>
          </cell>
          <cell r="BM1003">
            <v>85104.92</v>
          </cell>
          <cell r="BN1003">
            <v>0</v>
          </cell>
          <cell r="BO1003">
            <v>0</v>
          </cell>
          <cell r="BP1003">
            <v>0</v>
          </cell>
          <cell r="BQ1003">
            <v>0</v>
          </cell>
          <cell r="BR1003">
            <v>85104.92</v>
          </cell>
          <cell r="BT1003">
            <v>0</v>
          </cell>
          <cell r="CA1003" t="str">
            <v>924503 - EBITA - Base</v>
          </cell>
          <cell r="CC1003" t="str">
            <v>924503 - EBITA - Base - IS4</v>
          </cell>
          <cell r="CD1003" t="str">
            <v/>
          </cell>
          <cell r="CF1003" t="str">
            <v>924503 - Base - IS4</v>
          </cell>
        </row>
        <row r="1004">
          <cell r="D1004">
            <v>990</v>
          </cell>
          <cell r="E1004">
            <v>0</v>
          </cell>
          <cell r="F1004">
            <v>0</v>
          </cell>
          <cell r="G1004" t="str">
            <v>924503</v>
          </cell>
          <cell r="H1004" t="str">
            <v>CGMAP</v>
          </cell>
          <cell r="I1004" t="str">
            <v>IS4</v>
          </cell>
          <cell r="J1004" t="str">
            <v>IS4 Sustainment Engineering and Acquisition</v>
          </cell>
          <cell r="K1004" t="str">
            <v>Coast Guard</v>
          </cell>
          <cell r="L1004" t="str">
            <v>DOD</v>
          </cell>
          <cell r="M1004" t="str">
            <v>Multi_Dom-Intl</v>
          </cell>
          <cell r="N1004" t="str">
            <v>Other</v>
          </cell>
          <cell r="O1004">
            <v>0</v>
          </cell>
          <cell r="P1004">
            <v>0</v>
          </cell>
          <cell r="Q1004">
            <v>0</v>
          </cell>
          <cell r="R1004" t="str">
            <v>Multi</v>
          </cell>
          <cell r="S1004">
            <v>0</v>
          </cell>
          <cell r="T1004">
            <v>1</v>
          </cell>
          <cell r="U1004" t="str">
            <v>EBITA</v>
          </cell>
          <cell r="V1004" t="str">
            <v>Identified - Recompete</v>
          </cell>
          <cell r="W1004">
            <v>0</v>
          </cell>
          <cell r="X1004">
            <v>0</v>
          </cell>
          <cell r="Y1004">
            <v>0</v>
          </cell>
          <cell r="Z1004">
            <v>0</v>
          </cell>
          <cell r="AA1004">
            <v>0</v>
          </cell>
          <cell r="AB1004">
            <v>0</v>
          </cell>
          <cell r="AC1004">
            <v>0</v>
          </cell>
          <cell r="AD1004">
            <v>0</v>
          </cell>
          <cell r="AX1004">
            <v>0</v>
          </cell>
          <cell r="AY1004">
            <v>0</v>
          </cell>
          <cell r="AZ1004">
            <v>0</v>
          </cell>
          <cell r="BA1004">
            <v>0</v>
          </cell>
          <cell r="BI1004">
            <v>0</v>
          </cell>
          <cell r="BJ1004">
            <v>0</v>
          </cell>
          <cell r="BK1004">
            <v>0</v>
          </cell>
          <cell r="BL1004">
            <v>0</v>
          </cell>
          <cell r="BM1004">
            <v>0</v>
          </cell>
          <cell r="BN1004">
            <v>0</v>
          </cell>
          <cell r="BO1004">
            <v>0</v>
          </cell>
          <cell r="BP1004">
            <v>0</v>
          </cell>
          <cell r="BQ1004">
            <v>0</v>
          </cell>
          <cell r="BR1004">
            <v>0</v>
          </cell>
          <cell r="BT1004">
            <v>0</v>
          </cell>
          <cell r="CA1004" t="str">
            <v>924503 - EBITA - Identified - Recompete</v>
          </cell>
          <cell r="CC1004" t="str">
            <v>924503 - EBITA - Identified - Recompete - IS4</v>
          </cell>
          <cell r="CD1004" t="str">
            <v/>
          </cell>
          <cell r="CF1004" t="str">
            <v>924503 - Identified - Recompete - IS4</v>
          </cell>
        </row>
        <row r="1005">
          <cell r="D1005">
            <v>991</v>
          </cell>
          <cell r="E1005">
            <v>1</v>
          </cell>
          <cell r="F1005">
            <v>1</v>
          </cell>
          <cell r="G1005" t="str">
            <v>000910</v>
          </cell>
          <cell r="H1005" t="str">
            <v>Michigan DOT ITS Center</v>
          </cell>
          <cell r="I1005" t="str">
            <v>IS4</v>
          </cell>
          <cell r="J1005" t="str">
            <v>IS4 Sustainment Engineering and Acquisition</v>
          </cell>
          <cell r="K1005" t="str">
            <v>Other Civilian</v>
          </cell>
          <cell r="L1005" t="str">
            <v>Other</v>
          </cell>
          <cell r="M1005" t="str">
            <v>US_State</v>
          </cell>
          <cell r="N1005" t="str">
            <v>CONUS</v>
          </cell>
          <cell r="O1005">
            <v>38749</v>
          </cell>
          <cell r="P1005">
            <v>43800</v>
          </cell>
          <cell r="Q1005" t="str">
            <v>Sub</v>
          </cell>
          <cell r="R1005" t="str">
            <v>Multi</v>
          </cell>
          <cell r="S1005">
            <v>0</v>
          </cell>
          <cell r="T1005">
            <v>1</v>
          </cell>
          <cell r="U1005" t="str">
            <v>REVTOT</v>
          </cell>
          <cell r="V1005" t="str">
            <v>Base</v>
          </cell>
          <cell r="W1005" t="str">
            <v>05 Won</v>
          </cell>
          <cell r="X1005" t="str">
            <v>Active</v>
          </cell>
          <cell r="Y1005">
            <v>1</v>
          </cell>
          <cell r="Z1005">
            <v>0</v>
          </cell>
          <cell r="AA1005">
            <v>190195.31999999998</v>
          </cell>
          <cell r="AB1005">
            <v>0</v>
          </cell>
          <cell r="AC1005">
            <v>0</v>
          </cell>
          <cell r="AD1005">
            <v>190195.31999999998</v>
          </cell>
          <cell r="AE1005">
            <v>2.9746280367063185</v>
          </cell>
          <cell r="AF1005">
            <v>-0.61446281272600722</v>
          </cell>
          <cell r="AG1005">
            <v>3.2177019538677305</v>
          </cell>
          <cell r="AH1005">
            <v>-1</v>
          </cell>
          <cell r="AI1005">
            <v>0</v>
          </cell>
          <cell r="AJ1005">
            <v>0</v>
          </cell>
          <cell r="AK1005">
            <v>0</v>
          </cell>
          <cell r="BB1005">
            <v>0</v>
          </cell>
          <cell r="BC1005">
            <v>0</v>
          </cell>
          <cell r="BD1005">
            <v>0</v>
          </cell>
          <cell r="BE1005">
            <v>0</v>
          </cell>
          <cell r="BF1005">
            <v>17397.55</v>
          </cell>
          <cell r="BG1005">
            <v>69148.790000000008</v>
          </cell>
          <cell r="BH1005">
            <v>26659.43</v>
          </cell>
          <cell r="BI1005">
            <v>45891.74</v>
          </cell>
          <cell r="BJ1005">
            <v>6151.0999999999995</v>
          </cell>
          <cell r="BK1005">
            <v>53971.740000000005</v>
          </cell>
          <cell r="BL1005">
            <v>6426.95</v>
          </cell>
          <cell r="BM1005">
            <v>112441.53</v>
          </cell>
          <cell r="BN1005">
            <v>0</v>
          </cell>
          <cell r="BO1005">
            <v>0</v>
          </cell>
          <cell r="BP1005">
            <v>0</v>
          </cell>
          <cell r="BQ1005">
            <v>0</v>
          </cell>
          <cell r="BR1005">
            <v>112441.53</v>
          </cell>
          <cell r="BT1005">
            <v>0</v>
          </cell>
          <cell r="CA1005" t="str">
            <v>000910 - REVTOT - Base</v>
          </cell>
          <cell r="CC1005" t="str">
            <v>000910 - REVTOT - Base - IS4</v>
          </cell>
          <cell r="CD1005" t="str">
            <v/>
          </cell>
          <cell r="CF1005" t="str">
            <v>000910 - Base - IS4</v>
          </cell>
        </row>
        <row r="1006">
          <cell r="D1006">
            <v>992</v>
          </cell>
          <cell r="E1006">
            <v>1</v>
          </cell>
          <cell r="F1006">
            <v>2</v>
          </cell>
          <cell r="G1006" t="str">
            <v>000910</v>
          </cell>
          <cell r="H1006" t="str">
            <v>Michigan DOT ITS Center</v>
          </cell>
          <cell r="I1006" t="str">
            <v>IS4</v>
          </cell>
          <cell r="J1006" t="str">
            <v>IS4 Sustainment Engineering and Acquisition</v>
          </cell>
          <cell r="K1006" t="str">
            <v>Other Civilian</v>
          </cell>
          <cell r="L1006" t="str">
            <v>Other</v>
          </cell>
          <cell r="M1006" t="str">
            <v>US_State</v>
          </cell>
          <cell r="N1006" t="str">
            <v>CONUS</v>
          </cell>
          <cell r="O1006">
            <v>0</v>
          </cell>
          <cell r="P1006">
            <v>0</v>
          </cell>
          <cell r="Q1006">
            <v>0</v>
          </cell>
          <cell r="R1006" t="str">
            <v>Multi</v>
          </cell>
          <cell r="S1006">
            <v>0</v>
          </cell>
          <cell r="T1006">
            <v>1</v>
          </cell>
          <cell r="U1006" t="str">
            <v>REVTOT</v>
          </cell>
          <cell r="V1006" t="str">
            <v>Identified - Recompete</v>
          </cell>
          <cell r="W1006">
            <v>0</v>
          </cell>
          <cell r="X1006">
            <v>0</v>
          </cell>
          <cell r="Y1006">
            <v>0</v>
          </cell>
          <cell r="Z1006">
            <v>0</v>
          </cell>
          <cell r="AA1006">
            <v>0</v>
          </cell>
          <cell r="AB1006">
            <v>0</v>
          </cell>
          <cell r="AC1006">
            <v>0</v>
          </cell>
          <cell r="AD1006">
            <v>0</v>
          </cell>
          <cell r="AI1006">
            <v>0</v>
          </cell>
          <cell r="AJ1006">
            <v>0</v>
          </cell>
          <cell r="AK1006">
            <v>0</v>
          </cell>
          <cell r="BB1006">
            <v>0</v>
          </cell>
          <cell r="BC1006">
            <v>0</v>
          </cell>
          <cell r="BD1006">
            <v>0</v>
          </cell>
          <cell r="BE1006">
            <v>0</v>
          </cell>
          <cell r="BI1006">
            <v>0</v>
          </cell>
          <cell r="BJ1006">
            <v>0</v>
          </cell>
          <cell r="BK1006">
            <v>0</v>
          </cell>
          <cell r="BL1006">
            <v>0</v>
          </cell>
          <cell r="BM1006">
            <v>0</v>
          </cell>
          <cell r="BN1006">
            <v>0</v>
          </cell>
          <cell r="BO1006">
            <v>0</v>
          </cell>
          <cell r="BP1006">
            <v>0</v>
          </cell>
          <cell r="BQ1006">
            <v>0</v>
          </cell>
          <cell r="BR1006">
            <v>0</v>
          </cell>
          <cell r="BT1006">
            <v>0</v>
          </cell>
          <cell r="CA1006" t="str">
            <v>000910 - REVTOT - Identified - Recompete</v>
          </cell>
          <cell r="CC1006" t="str">
            <v>000910 - REVTOT - Identified - Recompete - IS4</v>
          </cell>
          <cell r="CD1006" t="str">
            <v/>
          </cell>
          <cell r="CF1006" t="str">
            <v>000910 - Identified - Recompete - IS4</v>
          </cell>
        </row>
        <row r="1007">
          <cell r="D1007">
            <v>993</v>
          </cell>
          <cell r="E1007">
            <v>2</v>
          </cell>
          <cell r="F1007">
            <v>3</v>
          </cell>
          <cell r="G1007" t="str">
            <v>000910</v>
          </cell>
          <cell r="H1007" t="str">
            <v>Michigan DOT ITS Center</v>
          </cell>
          <cell r="I1007" t="str">
            <v>IS4</v>
          </cell>
          <cell r="J1007" t="str">
            <v>IS4 Sustainment Engineering and Acquisition</v>
          </cell>
          <cell r="K1007" t="str">
            <v>Other Civilian</v>
          </cell>
          <cell r="L1007" t="str">
            <v>Other</v>
          </cell>
          <cell r="M1007" t="str">
            <v>US_State</v>
          </cell>
          <cell r="N1007" t="str">
            <v>CONUS</v>
          </cell>
          <cell r="O1007">
            <v>38749</v>
          </cell>
          <cell r="P1007">
            <v>43800</v>
          </cell>
          <cell r="Q1007" t="str">
            <v>Sub</v>
          </cell>
          <cell r="R1007" t="str">
            <v>Multi</v>
          </cell>
          <cell r="S1007">
            <v>0</v>
          </cell>
          <cell r="T1007">
            <v>1</v>
          </cell>
          <cell r="U1007" t="str">
            <v>CONTRACT</v>
          </cell>
          <cell r="V1007" t="str">
            <v>Base</v>
          </cell>
          <cell r="W1007" t="str">
            <v>05 Won</v>
          </cell>
          <cell r="X1007" t="str">
            <v>Active</v>
          </cell>
          <cell r="Y1007">
            <v>1</v>
          </cell>
          <cell r="Z1007">
            <v>0</v>
          </cell>
          <cell r="AA1007">
            <v>190195.31999999998</v>
          </cell>
          <cell r="AB1007">
            <v>0</v>
          </cell>
          <cell r="AC1007">
            <v>0</v>
          </cell>
          <cell r="AD1007">
            <v>190195.31999999998</v>
          </cell>
          <cell r="AL1007">
            <v>0.19390316452603962</v>
          </cell>
          <cell r="AM1007">
            <v>0.26288428185077423</v>
          </cell>
          <cell r="AN1007">
            <v>0.22101597821108707</v>
          </cell>
          <cell r="AO1007">
            <v>0.32628344705021362</v>
          </cell>
          <cell r="AP1007">
            <v>0.2842114219846637</v>
          </cell>
          <cell r="AQ1007">
            <v>0.2842114219846637</v>
          </cell>
          <cell r="AR1007">
            <v>0.2842114219846637</v>
          </cell>
          <cell r="AS1007">
            <v>0.2842114219846637</v>
          </cell>
          <cell r="BF1007">
            <v>3373.4400000000005</v>
          </cell>
          <cell r="BG1007">
            <v>18178.13</v>
          </cell>
          <cell r="BH1007">
            <v>5892.1600000000008</v>
          </cell>
          <cell r="BI1007">
            <v>14611.960000000001</v>
          </cell>
          <cell r="BJ1007">
            <v>-533.68000000000006</v>
          </cell>
          <cell r="BK1007">
            <v>20961.900000000009</v>
          </cell>
          <cell r="BL1007">
            <v>1647.63</v>
          </cell>
          <cell r="BM1007">
            <v>36687.810000000005</v>
          </cell>
          <cell r="BN1007">
            <v>0</v>
          </cell>
          <cell r="BO1007">
            <v>0</v>
          </cell>
          <cell r="BP1007">
            <v>0</v>
          </cell>
          <cell r="BQ1007">
            <v>0</v>
          </cell>
          <cell r="BR1007">
            <v>36687.810000000005</v>
          </cell>
          <cell r="BT1007">
            <v>0</v>
          </cell>
          <cell r="CA1007" t="str">
            <v>000910 - CONTRACT - Base</v>
          </cell>
          <cell r="CC1007" t="str">
            <v>000910 - CONTRACT - Base - IS4</v>
          </cell>
          <cell r="CD1007" t="str">
            <v/>
          </cell>
          <cell r="CF1007" t="str">
            <v>000910 - Base - IS4</v>
          </cell>
        </row>
        <row r="1008">
          <cell r="D1008">
            <v>994</v>
          </cell>
          <cell r="E1008">
            <v>2</v>
          </cell>
          <cell r="F1008">
            <v>4</v>
          </cell>
          <cell r="G1008" t="str">
            <v>000910</v>
          </cell>
          <cell r="H1008" t="str">
            <v>Michigan DOT ITS Center</v>
          </cell>
          <cell r="I1008" t="str">
            <v>IS4</v>
          </cell>
          <cell r="J1008" t="str">
            <v>IS4 Sustainment Engineering and Acquisition</v>
          </cell>
          <cell r="K1008" t="str">
            <v>Other Civilian</v>
          </cell>
          <cell r="L1008" t="str">
            <v>Other</v>
          </cell>
          <cell r="M1008" t="str">
            <v>US_State</v>
          </cell>
          <cell r="N1008" t="str">
            <v>CONUS</v>
          </cell>
          <cell r="O1008">
            <v>0</v>
          </cell>
          <cell r="P1008">
            <v>0</v>
          </cell>
          <cell r="Q1008">
            <v>0</v>
          </cell>
          <cell r="R1008" t="str">
            <v>Multi</v>
          </cell>
          <cell r="S1008">
            <v>0</v>
          </cell>
          <cell r="T1008">
            <v>1</v>
          </cell>
          <cell r="U1008" t="str">
            <v>CONTRACT</v>
          </cell>
          <cell r="V1008" t="str">
            <v>Identified - Recompete</v>
          </cell>
          <cell r="W1008">
            <v>0</v>
          </cell>
          <cell r="X1008">
            <v>0</v>
          </cell>
          <cell r="Y1008">
            <v>0</v>
          </cell>
          <cell r="Z1008">
            <v>0</v>
          </cell>
          <cell r="AA1008">
            <v>0</v>
          </cell>
          <cell r="AB1008">
            <v>0</v>
          </cell>
          <cell r="AC1008">
            <v>0</v>
          </cell>
          <cell r="AD1008">
            <v>0</v>
          </cell>
          <cell r="AP1008">
            <v>0</v>
          </cell>
          <cell r="AQ1008">
            <v>0</v>
          </cell>
          <cell r="AR1008">
            <v>0</v>
          </cell>
          <cell r="AS1008">
            <v>0</v>
          </cell>
          <cell r="BI1008">
            <v>0</v>
          </cell>
          <cell r="BJ1008">
            <v>0</v>
          </cell>
          <cell r="BK1008">
            <v>0</v>
          </cell>
          <cell r="BL1008">
            <v>0</v>
          </cell>
          <cell r="BM1008">
            <v>0</v>
          </cell>
          <cell r="BN1008">
            <v>0</v>
          </cell>
          <cell r="BO1008">
            <v>0</v>
          </cell>
          <cell r="BP1008">
            <v>0</v>
          </cell>
          <cell r="BQ1008">
            <v>0</v>
          </cell>
          <cell r="BR1008">
            <v>0</v>
          </cell>
          <cell r="BT1008">
            <v>0</v>
          </cell>
          <cell r="CA1008" t="str">
            <v>000910 - CONTRACT - Identified - Recompete</v>
          </cell>
          <cell r="CC1008" t="str">
            <v>000910 - CONTRACT - Identified - Recompete - IS4</v>
          </cell>
          <cell r="CD1008" t="str">
            <v/>
          </cell>
          <cell r="CF1008" t="str">
            <v>000910 - Identified - Recompete - IS4</v>
          </cell>
        </row>
        <row r="1009">
          <cell r="D1009">
            <v>995</v>
          </cell>
          <cell r="E1009">
            <v>0</v>
          </cell>
          <cell r="F1009">
            <v>5</v>
          </cell>
          <cell r="G1009" t="str">
            <v>000910</v>
          </cell>
          <cell r="H1009" t="str">
            <v>Michigan DOT ITS Center</v>
          </cell>
          <cell r="I1009" t="str">
            <v>IS4</v>
          </cell>
          <cell r="J1009" t="str">
            <v>IS4 Sustainment Engineering and Acquisition</v>
          </cell>
          <cell r="K1009" t="str">
            <v>Other Civilian</v>
          </cell>
          <cell r="L1009" t="str">
            <v>Other</v>
          </cell>
          <cell r="M1009" t="str">
            <v>US_State</v>
          </cell>
          <cell r="N1009" t="str">
            <v>CONUS</v>
          </cell>
          <cell r="O1009">
            <v>38749</v>
          </cell>
          <cell r="P1009">
            <v>43800</v>
          </cell>
          <cell r="Q1009" t="str">
            <v>Sub</v>
          </cell>
          <cell r="R1009" t="str">
            <v>Multi</v>
          </cell>
          <cell r="S1009">
            <v>0</v>
          </cell>
          <cell r="T1009">
            <v>1</v>
          </cell>
          <cell r="U1009" t="str">
            <v>EBITA</v>
          </cell>
          <cell r="V1009" t="str">
            <v>Base</v>
          </cell>
          <cell r="W1009" t="str">
            <v>05 Won</v>
          </cell>
          <cell r="X1009" t="str">
            <v>Active</v>
          </cell>
          <cell r="Y1009">
            <v>1</v>
          </cell>
          <cell r="Z1009">
            <v>0</v>
          </cell>
          <cell r="AA1009">
            <v>190195.31999999998</v>
          </cell>
          <cell r="AB1009">
            <v>0</v>
          </cell>
          <cell r="AC1009">
            <v>0</v>
          </cell>
          <cell r="AD1009">
            <v>190195.31999999998</v>
          </cell>
          <cell r="AT1009">
            <v>1.8032424105693098E-2</v>
          </cell>
          <cell r="AU1009">
            <v>3.6374461505400177E-2</v>
          </cell>
          <cell r="AV1009">
            <v>4.608238060603697E-2</v>
          </cell>
          <cell r="AW1009">
            <v>5.8878512236537575E-2</v>
          </cell>
          <cell r="AX1009">
            <v>4.7321151194807148E-2</v>
          </cell>
          <cell r="AY1009">
            <v>4.7321151194807148E-2</v>
          </cell>
          <cell r="AZ1009">
            <v>4.7321151194807148E-2</v>
          </cell>
          <cell r="BA1009">
            <v>4.7321151194807148E-2</v>
          </cell>
          <cell r="BF1009">
            <v>313.72000000000094</v>
          </cell>
          <cell r="BG1009">
            <v>2515.2500000000009</v>
          </cell>
          <cell r="BH1009">
            <v>1228.5300000000002</v>
          </cell>
          <cell r="BI1009">
            <v>1739.3399999999988</v>
          </cell>
          <cell r="BJ1009">
            <v>-1031.1100000000001</v>
          </cell>
          <cell r="BK1009">
            <v>5713.3600000000079</v>
          </cell>
          <cell r="BL1009">
            <v>198.79999999999995</v>
          </cell>
          <cell r="BM1009">
            <v>6620.3900000000067</v>
          </cell>
          <cell r="BN1009">
            <v>0</v>
          </cell>
          <cell r="BO1009">
            <v>0</v>
          </cell>
          <cell r="BP1009">
            <v>0</v>
          </cell>
          <cell r="BQ1009">
            <v>0</v>
          </cell>
          <cell r="BR1009">
            <v>6620.3900000000067</v>
          </cell>
          <cell r="BT1009">
            <v>0</v>
          </cell>
          <cell r="CA1009" t="str">
            <v>000910 - EBITA - Base</v>
          </cell>
          <cell r="CC1009" t="str">
            <v>000910 - EBITA - Base - IS4</v>
          </cell>
          <cell r="CD1009" t="str">
            <v/>
          </cell>
          <cell r="CF1009" t="str">
            <v>000910 - Base - IS4</v>
          </cell>
        </row>
        <row r="1010">
          <cell r="D1010">
            <v>996</v>
          </cell>
          <cell r="E1010">
            <v>0</v>
          </cell>
          <cell r="F1010">
            <v>0</v>
          </cell>
          <cell r="G1010" t="str">
            <v>000910</v>
          </cell>
          <cell r="H1010" t="str">
            <v>Michigan DOT ITS Center</v>
          </cell>
          <cell r="I1010" t="str">
            <v>IS4</v>
          </cell>
          <cell r="J1010" t="str">
            <v>IS4 Sustainment Engineering and Acquisition</v>
          </cell>
          <cell r="K1010" t="str">
            <v>Other Civilian</v>
          </cell>
          <cell r="L1010" t="str">
            <v>Other</v>
          </cell>
          <cell r="M1010" t="str">
            <v>US_State</v>
          </cell>
          <cell r="N1010" t="str">
            <v>CONUS</v>
          </cell>
          <cell r="O1010">
            <v>0</v>
          </cell>
          <cell r="P1010">
            <v>0</v>
          </cell>
          <cell r="Q1010">
            <v>0</v>
          </cell>
          <cell r="R1010" t="str">
            <v>Multi</v>
          </cell>
          <cell r="S1010">
            <v>0</v>
          </cell>
          <cell r="T1010">
            <v>1</v>
          </cell>
          <cell r="U1010" t="str">
            <v>EBITA</v>
          </cell>
          <cell r="V1010" t="str">
            <v>Identified - Recompete</v>
          </cell>
          <cell r="W1010">
            <v>0</v>
          </cell>
          <cell r="X1010">
            <v>0</v>
          </cell>
          <cell r="Y1010">
            <v>0</v>
          </cell>
          <cell r="Z1010">
            <v>0</v>
          </cell>
          <cell r="AA1010">
            <v>0</v>
          </cell>
          <cell r="AB1010">
            <v>0</v>
          </cell>
          <cell r="AC1010">
            <v>0</v>
          </cell>
          <cell r="AD1010">
            <v>0</v>
          </cell>
          <cell r="AX1010">
            <v>0</v>
          </cell>
          <cell r="AY1010">
            <v>0</v>
          </cell>
          <cell r="AZ1010">
            <v>0</v>
          </cell>
          <cell r="BA1010">
            <v>0</v>
          </cell>
          <cell r="BI1010">
            <v>0</v>
          </cell>
          <cell r="BJ1010">
            <v>0</v>
          </cell>
          <cell r="BK1010">
            <v>0</v>
          </cell>
          <cell r="BL1010">
            <v>0</v>
          </cell>
          <cell r="BM1010">
            <v>0</v>
          </cell>
          <cell r="BN1010">
            <v>0</v>
          </cell>
          <cell r="BO1010">
            <v>0</v>
          </cell>
          <cell r="BP1010">
            <v>0</v>
          </cell>
          <cell r="BQ1010">
            <v>0</v>
          </cell>
          <cell r="BR1010">
            <v>0</v>
          </cell>
          <cell r="BT1010">
            <v>0</v>
          </cell>
          <cell r="CA1010" t="str">
            <v>000910 - EBITA - Identified - Recompete</v>
          </cell>
          <cell r="CC1010" t="str">
            <v>000910 - EBITA - Identified - Recompete - IS4</v>
          </cell>
          <cell r="CD1010" t="str">
            <v/>
          </cell>
          <cell r="CF1010" t="str">
            <v>000910 - Identified - Recompete - IS4</v>
          </cell>
        </row>
        <row r="1011">
          <cell r="D1011">
            <v>997</v>
          </cell>
          <cell r="E1011">
            <v>1</v>
          </cell>
          <cell r="F1011">
            <v>1</v>
          </cell>
          <cell r="G1011" t="str">
            <v>25174I</v>
          </cell>
          <cell r="H1011" t="str">
            <v>BRAC Trans Site Support</v>
          </cell>
          <cell r="I1011" t="str">
            <v>IS4</v>
          </cell>
          <cell r="J1011" t="str">
            <v>IS4 Engineering and Technology Services</v>
          </cell>
          <cell r="K1011" t="str">
            <v>DISA</v>
          </cell>
          <cell r="L1011" t="str">
            <v>DOD</v>
          </cell>
          <cell r="M1011" t="str">
            <v>US_State</v>
          </cell>
          <cell r="N1011" t="str">
            <v>CONUS</v>
          </cell>
          <cell r="O1011">
            <v>40265</v>
          </cell>
          <cell r="P1011">
            <v>40983</v>
          </cell>
          <cell r="Q1011" t="str">
            <v>Prime</v>
          </cell>
          <cell r="R1011" t="str">
            <v>Multi</v>
          </cell>
          <cell r="S1011">
            <v>0</v>
          </cell>
          <cell r="T1011">
            <v>1</v>
          </cell>
          <cell r="U1011" t="str">
            <v>REVTOT</v>
          </cell>
          <cell r="V1011" t="str">
            <v>Base</v>
          </cell>
          <cell r="W1011" t="str">
            <v>05 Won</v>
          </cell>
          <cell r="X1011" t="str">
            <v>Active</v>
          </cell>
          <cell r="Y1011">
            <v>1</v>
          </cell>
          <cell r="Z1011">
            <v>0</v>
          </cell>
          <cell r="AA1011">
            <v>150263.10999999999</v>
          </cell>
          <cell r="AB1011">
            <v>0</v>
          </cell>
          <cell r="AC1011">
            <v>0</v>
          </cell>
          <cell r="AD1011">
            <v>150263.10999999999</v>
          </cell>
          <cell r="AE1011">
            <v>368602.75</v>
          </cell>
          <cell r="AF1011">
            <v>8.018951923305174</v>
          </cell>
          <cell r="AG1011">
            <v>-1</v>
          </cell>
          <cell r="AH1011">
            <v>0</v>
          </cell>
          <cell r="AI1011">
            <v>0</v>
          </cell>
          <cell r="AJ1011">
            <v>0</v>
          </cell>
          <cell r="AK1011">
            <v>0</v>
          </cell>
          <cell r="BB1011">
            <v>0</v>
          </cell>
          <cell r="BC1011">
            <v>0</v>
          </cell>
          <cell r="BD1011">
            <v>0</v>
          </cell>
          <cell r="BE1011">
            <v>0</v>
          </cell>
          <cell r="BF1011">
            <v>-0.04</v>
          </cell>
          <cell r="BG1011">
            <v>-14744.15</v>
          </cell>
          <cell r="BH1011">
            <v>-132976.77999999997</v>
          </cell>
          <cell r="BI1011">
            <v>0</v>
          </cell>
          <cell r="BJ1011">
            <v>0</v>
          </cell>
          <cell r="BK1011">
            <v>0</v>
          </cell>
          <cell r="BL1011">
            <v>0</v>
          </cell>
          <cell r="BM1011">
            <v>0</v>
          </cell>
          <cell r="BN1011">
            <v>0</v>
          </cell>
          <cell r="BO1011">
            <v>0</v>
          </cell>
          <cell r="BP1011">
            <v>0</v>
          </cell>
          <cell r="BQ1011">
            <v>0</v>
          </cell>
          <cell r="BR1011">
            <v>0</v>
          </cell>
          <cell r="BT1011">
            <v>0</v>
          </cell>
          <cell r="CA1011" t="str">
            <v>25174I - REVTOT - Base</v>
          </cell>
          <cell r="CC1011" t="str">
            <v>25174I - REVTOT - Base - IS4</v>
          </cell>
          <cell r="CD1011" t="str">
            <v/>
          </cell>
          <cell r="CF1011" t="str">
            <v>25174I - Base - IS4</v>
          </cell>
        </row>
        <row r="1012">
          <cell r="D1012">
            <v>998</v>
          </cell>
          <cell r="E1012">
            <v>1</v>
          </cell>
          <cell r="F1012">
            <v>2</v>
          </cell>
          <cell r="G1012" t="str">
            <v>25174I</v>
          </cell>
          <cell r="H1012" t="str">
            <v>BRAC Trans Site Support</v>
          </cell>
          <cell r="I1012" t="str">
            <v>IS4</v>
          </cell>
          <cell r="J1012" t="str">
            <v>IS4 Engineering and Technology Services</v>
          </cell>
          <cell r="K1012" t="str">
            <v>DISA</v>
          </cell>
          <cell r="L1012" t="str">
            <v>DOD</v>
          </cell>
          <cell r="M1012" t="str">
            <v>US_State</v>
          </cell>
          <cell r="N1012" t="str">
            <v>CONUS</v>
          </cell>
          <cell r="O1012">
            <v>0</v>
          </cell>
          <cell r="P1012">
            <v>0</v>
          </cell>
          <cell r="Q1012">
            <v>0</v>
          </cell>
          <cell r="R1012" t="str">
            <v>Multi</v>
          </cell>
          <cell r="S1012">
            <v>0</v>
          </cell>
          <cell r="T1012">
            <v>1</v>
          </cell>
          <cell r="U1012" t="str">
            <v>REVTOT</v>
          </cell>
          <cell r="V1012" t="str">
            <v>Identified - Recompete</v>
          </cell>
          <cell r="W1012">
            <v>0</v>
          </cell>
          <cell r="X1012">
            <v>0</v>
          </cell>
          <cell r="Y1012">
            <v>0</v>
          </cell>
          <cell r="Z1012">
            <v>0</v>
          </cell>
          <cell r="AA1012">
            <v>0</v>
          </cell>
          <cell r="AB1012">
            <v>0</v>
          </cell>
          <cell r="AC1012">
            <v>0</v>
          </cell>
          <cell r="AD1012">
            <v>0</v>
          </cell>
          <cell r="AI1012">
            <v>0</v>
          </cell>
          <cell r="AJ1012">
            <v>0</v>
          </cell>
          <cell r="AK1012">
            <v>0</v>
          </cell>
          <cell r="BB1012">
            <v>0</v>
          </cell>
          <cell r="BC1012">
            <v>0</v>
          </cell>
          <cell r="BD1012">
            <v>0</v>
          </cell>
          <cell r="BE1012">
            <v>0</v>
          </cell>
          <cell r="BI1012">
            <v>0</v>
          </cell>
          <cell r="BJ1012">
            <v>0</v>
          </cell>
          <cell r="BK1012">
            <v>0</v>
          </cell>
          <cell r="BL1012">
            <v>0</v>
          </cell>
          <cell r="BM1012">
            <v>0</v>
          </cell>
          <cell r="BN1012">
            <v>0</v>
          </cell>
          <cell r="BO1012">
            <v>0</v>
          </cell>
          <cell r="BP1012">
            <v>0</v>
          </cell>
          <cell r="BQ1012">
            <v>0</v>
          </cell>
          <cell r="BR1012">
            <v>0</v>
          </cell>
          <cell r="BT1012">
            <v>0</v>
          </cell>
          <cell r="CA1012" t="str">
            <v>25174I - REVTOT - Identified - Recompete</v>
          </cell>
          <cell r="CC1012" t="str">
            <v>25174I - REVTOT - Identified - Recompete - IS4</v>
          </cell>
          <cell r="CD1012" t="str">
            <v/>
          </cell>
          <cell r="CF1012" t="str">
            <v>25174I - Identified - Recompete - IS4</v>
          </cell>
        </row>
        <row r="1013">
          <cell r="D1013">
            <v>999</v>
          </cell>
          <cell r="E1013">
            <v>2</v>
          </cell>
          <cell r="F1013">
            <v>3</v>
          </cell>
          <cell r="G1013" t="str">
            <v>25174I</v>
          </cell>
          <cell r="H1013" t="str">
            <v>BRAC Trans Site Support</v>
          </cell>
          <cell r="I1013" t="str">
            <v>IS4</v>
          </cell>
          <cell r="J1013" t="str">
            <v>IS4 Engineering and Technology Services</v>
          </cell>
          <cell r="K1013" t="str">
            <v>DISA</v>
          </cell>
          <cell r="L1013" t="str">
            <v>DOD</v>
          </cell>
          <cell r="M1013" t="str">
            <v>US_State</v>
          </cell>
          <cell r="N1013" t="str">
            <v>CONUS</v>
          </cell>
          <cell r="O1013">
            <v>40265</v>
          </cell>
          <cell r="P1013">
            <v>40983</v>
          </cell>
          <cell r="Q1013" t="str">
            <v>Prime</v>
          </cell>
          <cell r="R1013" t="str">
            <v>Multi</v>
          </cell>
          <cell r="S1013">
            <v>0</v>
          </cell>
          <cell r="T1013">
            <v>1</v>
          </cell>
          <cell r="U1013" t="str">
            <v>CONTRACT</v>
          </cell>
          <cell r="V1013" t="str">
            <v>Base</v>
          </cell>
          <cell r="W1013" t="str">
            <v>05 Won</v>
          </cell>
          <cell r="X1013" t="str">
            <v>Active</v>
          </cell>
          <cell r="Y1013">
            <v>1</v>
          </cell>
          <cell r="Z1013">
            <v>0</v>
          </cell>
          <cell r="AA1013">
            <v>150263.10999999999</v>
          </cell>
          <cell r="AB1013">
            <v>0</v>
          </cell>
          <cell r="AC1013">
            <v>0</v>
          </cell>
          <cell r="AD1013">
            <v>150263.10999999999</v>
          </cell>
          <cell r="AL1013">
            <v>1</v>
          </cell>
          <cell r="AM1013">
            <v>1</v>
          </cell>
          <cell r="AN1013">
            <v>1.1449877189085194</v>
          </cell>
          <cell r="AO1013">
            <v>0</v>
          </cell>
          <cell r="AP1013">
            <v>0</v>
          </cell>
          <cell r="AQ1013">
            <v>0</v>
          </cell>
          <cell r="AR1013">
            <v>0</v>
          </cell>
          <cell r="AS1013">
            <v>0</v>
          </cell>
          <cell r="BF1013">
            <v>-0.04</v>
          </cell>
          <cell r="BG1013">
            <v>-14744.15</v>
          </cell>
          <cell r="BH1013">
            <v>-152256.77999999997</v>
          </cell>
          <cell r="BI1013">
            <v>18780</v>
          </cell>
          <cell r="BJ1013">
            <v>-11670</v>
          </cell>
          <cell r="BK1013">
            <v>0</v>
          </cell>
          <cell r="BL1013">
            <v>0</v>
          </cell>
          <cell r="BM1013">
            <v>7110</v>
          </cell>
          <cell r="BN1013">
            <v>0</v>
          </cell>
          <cell r="BO1013">
            <v>0</v>
          </cell>
          <cell r="BP1013">
            <v>0</v>
          </cell>
          <cell r="BQ1013">
            <v>0</v>
          </cell>
          <cell r="BR1013">
            <v>7110</v>
          </cell>
          <cell r="BT1013">
            <v>0</v>
          </cell>
          <cell r="CA1013" t="str">
            <v>25174I - CONTRACT - Base</v>
          </cell>
          <cell r="CC1013" t="str">
            <v>25174I - CONTRACT - Base - IS4</v>
          </cell>
          <cell r="CD1013" t="str">
            <v/>
          </cell>
          <cell r="CF1013" t="str">
            <v>25174I - Base - IS4</v>
          </cell>
        </row>
        <row r="1014">
          <cell r="D1014">
            <v>1000</v>
          </cell>
          <cell r="E1014">
            <v>2</v>
          </cell>
          <cell r="F1014">
            <v>4</v>
          </cell>
          <cell r="G1014" t="str">
            <v>25174I</v>
          </cell>
          <cell r="H1014" t="str">
            <v>BRAC Trans Site Support</v>
          </cell>
          <cell r="I1014" t="str">
            <v>IS4</v>
          </cell>
          <cell r="J1014" t="str">
            <v>IS4 Engineering and Technology Services</v>
          </cell>
          <cell r="K1014" t="str">
            <v>DISA</v>
          </cell>
          <cell r="L1014" t="str">
            <v>DOD</v>
          </cell>
          <cell r="M1014" t="str">
            <v>US_State</v>
          </cell>
          <cell r="N1014" t="str">
            <v>CONUS</v>
          </cell>
          <cell r="O1014">
            <v>0</v>
          </cell>
          <cell r="P1014">
            <v>0</v>
          </cell>
          <cell r="Q1014">
            <v>0</v>
          </cell>
          <cell r="R1014" t="str">
            <v>Multi</v>
          </cell>
          <cell r="S1014">
            <v>0</v>
          </cell>
          <cell r="T1014">
            <v>1</v>
          </cell>
          <cell r="U1014" t="str">
            <v>CONTRACT</v>
          </cell>
          <cell r="V1014" t="str">
            <v>Identified - Recompete</v>
          </cell>
          <cell r="W1014">
            <v>0</v>
          </cell>
          <cell r="X1014">
            <v>0</v>
          </cell>
          <cell r="Y1014">
            <v>0</v>
          </cell>
          <cell r="Z1014">
            <v>0</v>
          </cell>
          <cell r="AA1014">
            <v>0</v>
          </cell>
          <cell r="AB1014">
            <v>0</v>
          </cell>
          <cell r="AC1014">
            <v>0</v>
          </cell>
          <cell r="AD1014">
            <v>0</v>
          </cell>
          <cell r="AP1014">
            <v>0</v>
          </cell>
          <cell r="AQ1014">
            <v>0</v>
          </cell>
          <cell r="AR1014">
            <v>0</v>
          </cell>
          <cell r="AS1014">
            <v>0</v>
          </cell>
          <cell r="BI1014">
            <v>0</v>
          </cell>
          <cell r="BJ1014">
            <v>0</v>
          </cell>
          <cell r="BK1014">
            <v>0</v>
          </cell>
          <cell r="BL1014">
            <v>0</v>
          </cell>
          <cell r="BM1014">
            <v>0</v>
          </cell>
          <cell r="BN1014">
            <v>0</v>
          </cell>
          <cell r="BO1014">
            <v>0</v>
          </cell>
          <cell r="BP1014">
            <v>0</v>
          </cell>
          <cell r="BQ1014">
            <v>0</v>
          </cell>
          <cell r="BR1014">
            <v>0</v>
          </cell>
          <cell r="BT1014">
            <v>0</v>
          </cell>
          <cell r="CA1014" t="str">
            <v>25174I - CONTRACT - Identified - Recompete</v>
          </cell>
          <cell r="CC1014" t="str">
            <v>25174I - CONTRACT - Identified - Recompete - IS4</v>
          </cell>
          <cell r="CD1014" t="str">
            <v/>
          </cell>
          <cell r="CF1014" t="str">
            <v>25174I - Identified - Recompete - IS4</v>
          </cell>
        </row>
        <row r="1015">
          <cell r="D1015">
            <v>1001</v>
          </cell>
          <cell r="E1015">
            <v>0</v>
          </cell>
          <cell r="F1015">
            <v>5</v>
          </cell>
          <cell r="G1015" t="str">
            <v>25174I</v>
          </cell>
          <cell r="H1015" t="str">
            <v>BRAC Trans Site Support</v>
          </cell>
          <cell r="I1015" t="str">
            <v>IS4</v>
          </cell>
          <cell r="J1015" t="str">
            <v>IS4 Engineering and Technology Services</v>
          </cell>
          <cell r="K1015" t="str">
            <v>DISA</v>
          </cell>
          <cell r="L1015" t="str">
            <v>DOD</v>
          </cell>
          <cell r="M1015" t="str">
            <v>US_State</v>
          </cell>
          <cell r="N1015" t="str">
            <v>CONUS</v>
          </cell>
          <cell r="O1015">
            <v>40265</v>
          </cell>
          <cell r="P1015">
            <v>40983</v>
          </cell>
          <cell r="Q1015" t="str">
            <v>Prime</v>
          </cell>
          <cell r="R1015" t="str">
            <v>Multi</v>
          </cell>
          <cell r="S1015">
            <v>0</v>
          </cell>
          <cell r="T1015">
            <v>1</v>
          </cell>
          <cell r="U1015" t="str">
            <v>EBITA</v>
          </cell>
          <cell r="V1015" t="str">
            <v>Base</v>
          </cell>
          <cell r="W1015" t="str">
            <v>05 Won</v>
          </cell>
          <cell r="X1015" t="str">
            <v>Active</v>
          </cell>
          <cell r="Y1015">
            <v>1</v>
          </cell>
          <cell r="Z1015">
            <v>0</v>
          </cell>
          <cell r="AA1015">
            <v>150263.10999999999</v>
          </cell>
          <cell r="AB1015">
            <v>0</v>
          </cell>
          <cell r="AC1015">
            <v>0</v>
          </cell>
          <cell r="AD1015">
            <v>150263.10999999999</v>
          </cell>
          <cell r="AT1015">
            <v>1</v>
          </cell>
          <cell r="AU1015">
            <v>1</v>
          </cell>
          <cell r="AV1015">
            <v>1.1581590409994891</v>
          </cell>
          <cell r="AW1015">
            <v>0</v>
          </cell>
          <cell r="AX1015">
            <v>0</v>
          </cell>
          <cell r="AY1015">
            <v>0</v>
          </cell>
          <cell r="AZ1015">
            <v>0</v>
          </cell>
          <cell r="BA1015">
            <v>0</v>
          </cell>
          <cell r="BF1015">
            <v>-0.04</v>
          </cell>
          <cell r="BG1015">
            <v>-14744.15</v>
          </cell>
          <cell r="BH1015">
            <v>-154008.26</v>
          </cell>
          <cell r="BI1015">
            <v>20706.7</v>
          </cell>
          <cell r="BJ1015">
            <v>-12867.369999999999</v>
          </cell>
          <cell r="BK1015">
            <v>0</v>
          </cell>
          <cell r="BL1015">
            <v>0</v>
          </cell>
          <cell r="BM1015">
            <v>7839.3300000000017</v>
          </cell>
          <cell r="BN1015">
            <v>0</v>
          </cell>
          <cell r="BO1015">
            <v>0</v>
          </cell>
          <cell r="BP1015">
            <v>0</v>
          </cell>
          <cell r="BQ1015">
            <v>0</v>
          </cell>
          <cell r="BR1015">
            <v>7839.3300000000017</v>
          </cell>
          <cell r="BT1015">
            <v>0</v>
          </cell>
          <cell r="CA1015" t="str">
            <v>25174I - EBITA - Base</v>
          </cell>
          <cell r="CC1015" t="str">
            <v>25174I - EBITA - Base - IS4</v>
          </cell>
          <cell r="CD1015" t="str">
            <v/>
          </cell>
          <cell r="CF1015" t="str">
            <v>25174I - Base - IS4</v>
          </cell>
        </row>
        <row r="1016">
          <cell r="D1016">
            <v>1002</v>
          </cell>
          <cell r="E1016">
            <v>0</v>
          </cell>
          <cell r="F1016">
            <v>0</v>
          </cell>
          <cell r="G1016" t="str">
            <v>25174I</v>
          </cell>
          <cell r="H1016" t="str">
            <v>BRAC Trans Site Support</v>
          </cell>
          <cell r="I1016" t="str">
            <v>IS4</v>
          </cell>
          <cell r="J1016" t="str">
            <v>IS4 Engineering and Technology Services</v>
          </cell>
          <cell r="K1016" t="str">
            <v>DISA</v>
          </cell>
          <cell r="L1016" t="str">
            <v>DOD</v>
          </cell>
          <cell r="M1016" t="str">
            <v>US_State</v>
          </cell>
          <cell r="N1016" t="str">
            <v>CONUS</v>
          </cell>
          <cell r="O1016">
            <v>0</v>
          </cell>
          <cell r="P1016">
            <v>0</v>
          </cell>
          <cell r="Q1016">
            <v>0</v>
          </cell>
          <cell r="R1016" t="str">
            <v>Multi</v>
          </cell>
          <cell r="S1016">
            <v>0</v>
          </cell>
          <cell r="T1016">
            <v>1</v>
          </cell>
          <cell r="U1016" t="str">
            <v>EBITA</v>
          </cell>
          <cell r="V1016" t="str">
            <v>Identified - Recompete</v>
          </cell>
          <cell r="W1016">
            <v>0</v>
          </cell>
          <cell r="X1016">
            <v>0</v>
          </cell>
          <cell r="Y1016">
            <v>0</v>
          </cell>
          <cell r="Z1016">
            <v>0</v>
          </cell>
          <cell r="AA1016">
            <v>0</v>
          </cell>
          <cell r="AB1016">
            <v>0</v>
          </cell>
          <cell r="AC1016">
            <v>0</v>
          </cell>
          <cell r="AD1016">
            <v>0</v>
          </cell>
          <cell r="AX1016">
            <v>0</v>
          </cell>
          <cell r="AY1016">
            <v>0</v>
          </cell>
          <cell r="AZ1016">
            <v>0</v>
          </cell>
          <cell r="BA1016">
            <v>0</v>
          </cell>
          <cell r="BI1016">
            <v>0</v>
          </cell>
          <cell r="BJ1016">
            <v>0</v>
          </cell>
          <cell r="BK1016">
            <v>0</v>
          </cell>
          <cell r="BL1016">
            <v>0</v>
          </cell>
          <cell r="BM1016">
            <v>0</v>
          </cell>
          <cell r="BN1016">
            <v>0</v>
          </cell>
          <cell r="BO1016">
            <v>0</v>
          </cell>
          <cell r="BP1016">
            <v>0</v>
          </cell>
          <cell r="BQ1016">
            <v>0</v>
          </cell>
          <cell r="BR1016">
            <v>0</v>
          </cell>
          <cell r="BT1016">
            <v>0</v>
          </cell>
          <cell r="CA1016" t="str">
            <v>25174I - EBITA - Identified - Recompete</v>
          </cell>
          <cell r="CC1016" t="str">
            <v>25174I - EBITA - Identified - Recompete - IS4</v>
          </cell>
          <cell r="CD1016" t="str">
            <v/>
          </cell>
          <cell r="CF1016" t="str">
            <v>25174I - Identified - Recompete - IS4</v>
          </cell>
        </row>
        <row r="1017">
          <cell r="D1017">
            <v>1003</v>
          </cell>
          <cell r="E1017">
            <v>1</v>
          </cell>
          <cell r="F1017">
            <v>1</v>
          </cell>
          <cell r="G1017" t="str">
            <v>75004I</v>
          </cell>
          <cell r="H1017" t="str">
            <v>NE&amp;S</v>
          </cell>
          <cell r="I1017" t="str">
            <v>IS4</v>
          </cell>
          <cell r="J1017" t="str">
            <v>IS4 Engineering and Technology Services</v>
          </cell>
          <cell r="K1017" t="str">
            <v>Other DOD</v>
          </cell>
          <cell r="L1017" t="str">
            <v>DOD</v>
          </cell>
          <cell r="M1017" t="str">
            <v>TX</v>
          </cell>
          <cell r="N1017" t="str">
            <v>CONUS</v>
          </cell>
          <cell r="O1017">
            <v>43218</v>
          </cell>
          <cell r="P1017">
            <v>43643</v>
          </cell>
          <cell r="Q1017" t="str">
            <v>Prime</v>
          </cell>
          <cell r="R1017" t="str">
            <v>FFP</v>
          </cell>
          <cell r="S1017">
            <v>0</v>
          </cell>
          <cell r="T1017">
            <v>1</v>
          </cell>
          <cell r="U1017" t="str">
            <v>REVTOT</v>
          </cell>
          <cell r="V1017" t="str">
            <v>Base</v>
          </cell>
          <cell r="W1017" t="str">
            <v>05 Won</v>
          </cell>
          <cell r="X1017" t="str">
            <v>Active</v>
          </cell>
          <cell r="Y1017">
            <v>1</v>
          </cell>
          <cell r="Z1017">
            <v>0</v>
          </cell>
          <cell r="AA1017">
            <v>474250.63500000059</v>
          </cell>
          <cell r="AB1017">
            <v>1.999999862164259E-3</v>
          </cell>
          <cell r="AC1017">
            <v>0</v>
          </cell>
          <cell r="AD1017">
            <v>474250.63700000045</v>
          </cell>
          <cell r="AE1017">
            <v>7.6593997008773673E-3</v>
          </cell>
          <cell r="AF1017">
            <v>-1.1926301042394782E-2</v>
          </cell>
          <cell r="AG1017">
            <v>-3.0630150440032811E-2</v>
          </cell>
          <cell r="AH1017">
            <v>-0.95292529408258853</v>
          </cell>
          <cell r="AI1017">
            <v>0</v>
          </cell>
          <cell r="AJ1017">
            <v>0</v>
          </cell>
          <cell r="AK1017">
            <v>0</v>
          </cell>
          <cell r="BB1017">
            <v>5201472</v>
          </cell>
          <cell r="BC1017">
            <v>5201472</v>
          </cell>
          <cell r="BD1017">
            <v>5201472</v>
          </cell>
          <cell r="BE1017">
            <v>5201472</v>
          </cell>
          <cell r="BF1017">
            <v>10438250.140000001</v>
          </cell>
          <cell r="BG1017">
            <v>10518200.869999999</v>
          </cell>
          <cell r="BH1017">
            <v>10392757.640000001</v>
          </cell>
          <cell r="BI1017">
            <v>2441333.6800000002</v>
          </cell>
          <cell r="BJ1017">
            <v>2552400.29</v>
          </cell>
          <cell r="BK1017">
            <v>2491601.0600000005</v>
          </cell>
          <cell r="BL1017">
            <v>2589090.88</v>
          </cell>
          <cell r="BM1017">
            <v>10074425.91</v>
          </cell>
          <cell r="BN1017">
            <v>474250.63700000045</v>
          </cell>
          <cell r="BO1017">
            <v>0</v>
          </cell>
          <cell r="BP1017">
            <v>0</v>
          </cell>
          <cell r="BQ1017">
            <v>0</v>
          </cell>
          <cell r="BR1017">
            <v>10548676.547</v>
          </cell>
          <cell r="BT1017">
            <v>0</v>
          </cell>
          <cell r="CA1017" t="str">
            <v>75004I - REVTOT - Base</v>
          </cell>
          <cell r="CC1017" t="str">
            <v>75004I - REVTOT - Base - IS4</v>
          </cell>
          <cell r="CD1017" t="str">
            <v/>
          </cell>
          <cell r="CF1017" t="str">
            <v>75004I - Base - IS4</v>
          </cell>
        </row>
        <row r="1018">
          <cell r="D1018">
            <v>1004</v>
          </cell>
          <cell r="E1018">
            <v>1</v>
          </cell>
          <cell r="F1018">
            <v>2</v>
          </cell>
          <cell r="G1018" t="str">
            <v>75004I</v>
          </cell>
          <cell r="H1018" t="str">
            <v>NE&amp;S</v>
          </cell>
          <cell r="I1018" t="str">
            <v>IS4</v>
          </cell>
          <cell r="J1018" t="str">
            <v>IS4 Engineering and Technology Services</v>
          </cell>
          <cell r="K1018" t="str">
            <v>Other DOD</v>
          </cell>
          <cell r="L1018" t="str">
            <v>DOD</v>
          </cell>
          <cell r="M1018" t="str">
            <v>TX</v>
          </cell>
          <cell r="N1018" t="str">
            <v>CONUS</v>
          </cell>
          <cell r="O1018">
            <v>0</v>
          </cell>
          <cell r="P1018">
            <v>0</v>
          </cell>
          <cell r="Q1018">
            <v>0</v>
          </cell>
          <cell r="R1018" t="str">
            <v>FFP</v>
          </cell>
          <cell r="S1018">
            <v>0</v>
          </cell>
          <cell r="T1018">
            <v>1</v>
          </cell>
          <cell r="U1018" t="str">
            <v>REVTOT</v>
          </cell>
          <cell r="V1018" t="str">
            <v>Identified - Recompete</v>
          </cell>
          <cell r="W1018">
            <v>0</v>
          </cell>
          <cell r="X1018">
            <v>0</v>
          </cell>
          <cell r="Y1018">
            <v>0</v>
          </cell>
          <cell r="Z1018">
            <v>0</v>
          </cell>
          <cell r="AA1018">
            <v>0</v>
          </cell>
          <cell r="AB1018">
            <v>0</v>
          </cell>
          <cell r="AC1018">
            <v>0</v>
          </cell>
          <cell r="AD1018">
            <v>0</v>
          </cell>
          <cell r="AI1018">
            <v>0</v>
          </cell>
          <cell r="AJ1018">
            <v>0</v>
          </cell>
          <cell r="AK1018">
            <v>0</v>
          </cell>
          <cell r="BB1018">
            <v>0</v>
          </cell>
          <cell r="BC1018">
            <v>0</v>
          </cell>
          <cell r="BD1018">
            <v>0</v>
          </cell>
          <cell r="BE1018">
            <v>0</v>
          </cell>
          <cell r="BI1018">
            <v>0</v>
          </cell>
          <cell r="BJ1018">
            <v>0</v>
          </cell>
          <cell r="BK1018">
            <v>0</v>
          </cell>
          <cell r="BL1018">
            <v>0</v>
          </cell>
          <cell r="BM1018">
            <v>0</v>
          </cell>
          <cell r="BN1018">
            <v>0</v>
          </cell>
          <cell r="BO1018">
            <v>0</v>
          </cell>
          <cell r="BP1018">
            <v>0</v>
          </cell>
          <cell r="BQ1018">
            <v>0</v>
          </cell>
          <cell r="BR1018">
            <v>0</v>
          </cell>
          <cell r="BT1018">
            <v>0</v>
          </cell>
          <cell r="CA1018" t="str">
            <v>75004I - REVTOT - Identified - Recompete</v>
          </cell>
          <cell r="CC1018" t="str">
            <v>75004I - REVTOT - Identified - Recompete - IS4</v>
          </cell>
          <cell r="CD1018" t="str">
            <v/>
          </cell>
          <cell r="CF1018" t="str">
            <v>75004I - Identified - Recompete - IS4</v>
          </cell>
        </row>
        <row r="1019">
          <cell r="D1019">
            <v>1005</v>
          </cell>
          <cell r="E1019">
            <v>2</v>
          </cell>
          <cell r="F1019">
            <v>3</v>
          </cell>
          <cell r="G1019" t="str">
            <v>75004I</v>
          </cell>
          <cell r="H1019" t="str">
            <v>NE&amp;S</v>
          </cell>
          <cell r="I1019" t="str">
            <v>IS4</v>
          </cell>
          <cell r="J1019" t="str">
            <v>IS4 Engineering and Technology Services</v>
          </cell>
          <cell r="K1019" t="str">
            <v>Other DOD</v>
          </cell>
          <cell r="L1019" t="str">
            <v>DOD</v>
          </cell>
          <cell r="M1019" t="str">
            <v>TX</v>
          </cell>
          <cell r="N1019" t="str">
            <v>CONUS</v>
          </cell>
          <cell r="O1019">
            <v>43218</v>
          </cell>
          <cell r="P1019">
            <v>43643</v>
          </cell>
          <cell r="Q1019" t="str">
            <v>Prime</v>
          </cell>
          <cell r="R1019" t="str">
            <v>FFP</v>
          </cell>
          <cell r="S1019">
            <v>0</v>
          </cell>
          <cell r="T1019">
            <v>1</v>
          </cell>
          <cell r="U1019" t="str">
            <v>CONTRACT</v>
          </cell>
          <cell r="V1019" t="str">
            <v>Base</v>
          </cell>
          <cell r="W1019" t="str">
            <v>05 Won</v>
          </cell>
          <cell r="X1019" t="str">
            <v>Active</v>
          </cell>
          <cell r="Y1019">
            <v>1</v>
          </cell>
          <cell r="Z1019">
            <v>0</v>
          </cell>
          <cell r="AA1019">
            <v>474250.63500000059</v>
          </cell>
          <cell r="AB1019">
            <v>1.999999862164259E-3</v>
          </cell>
          <cell r="AC1019">
            <v>0</v>
          </cell>
          <cell r="AD1019">
            <v>474250.63700000045</v>
          </cell>
          <cell r="AL1019">
            <v>0.21041473240647976</v>
          </cell>
          <cell r="AM1019">
            <v>0.20150369024089576</v>
          </cell>
          <cell r="AN1019">
            <v>0.19978790345389028</v>
          </cell>
          <cell r="AO1019">
            <v>0.15400606484781826</v>
          </cell>
          <cell r="AP1019">
            <v>0.15435173261415228</v>
          </cell>
          <cell r="AQ1019">
            <v>0.15435173261415228</v>
          </cell>
          <cell r="AR1019">
            <v>0.15435173261415228</v>
          </cell>
          <cell r="AS1019">
            <v>0.15435173261415228</v>
          </cell>
          <cell r="BF1019">
            <v>2196361.61</v>
          </cell>
          <cell r="BG1019">
            <v>2119456.29</v>
          </cell>
          <cell r="BH1019">
            <v>2076347.2600000007</v>
          </cell>
          <cell r="BI1019">
            <v>518322.78000000014</v>
          </cell>
          <cell r="BJ1019">
            <v>354198.75999999989</v>
          </cell>
          <cell r="BK1019">
            <v>317231.10000000033</v>
          </cell>
          <cell r="BL1019">
            <v>361770.04999999993</v>
          </cell>
          <cell r="BM1019">
            <v>1551522.6900000004</v>
          </cell>
          <cell r="BN1019">
            <v>73201.407514315462</v>
          </cell>
          <cell r="BO1019">
            <v>0</v>
          </cell>
          <cell r="BP1019">
            <v>0</v>
          </cell>
          <cell r="BQ1019">
            <v>0</v>
          </cell>
          <cell r="BR1019">
            <v>1624724.097514316</v>
          </cell>
          <cell r="BT1019">
            <v>0</v>
          </cell>
          <cell r="CA1019" t="str">
            <v>75004I - CONTRACT - Base</v>
          </cell>
          <cell r="CC1019" t="str">
            <v>75004I - CONTRACT - Base - IS4</v>
          </cell>
          <cell r="CD1019" t="str">
            <v/>
          </cell>
          <cell r="CF1019" t="str">
            <v>75004I - Base - IS4</v>
          </cell>
        </row>
        <row r="1020">
          <cell r="D1020">
            <v>1006</v>
          </cell>
          <cell r="E1020">
            <v>2</v>
          </cell>
          <cell r="F1020">
            <v>4</v>
          </cell>
          <cell r="G1020" t="str">
            <v>75004I</v>
          </cell>
          <cell r="H1020" t="str">
            <v>NE&amp;S</v>
          </cell>
          <cell r="I1020" t="str">
            <v>IS4</v>
          </cell>
          <cell r="J1020" t="str">
            <v>IS4 Engineering and Technology Services</v>
          </cell>
          <cell r="K1020" t="str">
            <v>Other DOD</v>
          </cell>
          <cell r="L1020" t="str">
            <v>DOD</v>
          </cell>
          <cell r="M1020" t="str">
            <v>TX</v>
          </cell>
          <cell r="N1020" t="str">
            <v>CONUS</v>
          </cell>
          <cell r="O1020">
            <v>0</v>
          </cell>
          <cell r="P1020">
            <v>0</v>
          </cell>
          <cell r="Q1020">
            <v>0</v>
          </cell>
          <cell r="R1020" t="str">
            <v>FFP</v>
          </cell>
          <cell r="S1020">
            <v>0</v>
          </cell>
          <cell r="T1020">
            <v>1</v>
          </cell>
          <cell r="U1020" t="str">
            <v>CONTRACT</v>
          </cell>
          <cell r="V1020" t="str">
            <v>Identified - Recompete</v>
          </cell>
          <cell r="W1020">
            <v>0</v>
          </cell>
          <cell r="X1020">
            <v>0</v>
          </cell>
          <cell r="Y1020">
            <v>0</v>
          </cell>
          <cell r="Z1020">
            <v>0</v>
          </cell>
          <cell r="AA1020">
            <v>0</v>
          </cell>
          <cell r="AB1020">
            <v>0</v>
          </cell>
          <cell r="AC1020">
            <v>0</v>
          </cell>
          <cell r="AD1020">
            <v>0</v>
          </cell>
          <cell r="AP1020">
            <v>0</v>
          </cell>
          <cell r="AQ1020">
            <v>0</v>
          </cell>
          <cell r="AR1020">
            <v>0</v>
          </cell>
          <cell r="AS1020">
            <v>0</v>
          </cell>
          <cell r="BI1020">
            <v>0</v>
          </cell>
          <cell r="BJ1020">
            <v>0</v>
          </cell>
          <cell r="BK1020">
            <v>0</v>
          </cell>
          <cell r="BL1020">
            <v>0</v>
          </cell>
          <cell r="BM1020">
            <v>0</v>
          </cell>
          <cell r="BN1020">
            <v>0</v>
          </cell>
          <cell r="BO1020">
            <v>0</v>
          </cell>
          <cell r="BP1020">
            <v>0</v>
          </cell>
          <cell r="BQ1020">
            <v>0</v>
          </cell>
          <cell r="BR1020">
            <v>0</v>
          </cell>
          <cell r="BT1020">
            <v>0</v>
          </cell>
          <cell r="CA1020" t="str">
            <v>75004I - CONTRACT - Identified - Recompete</v>
          </cell>
          <cell r="CC1020" t="str">
            <v>75004I - CONTRACT - Identified - Recompete - IS4</v>
          </cell>
          <cell r="CD1020" t="str">
            <v/>
          </cell>
          <cell r="CF1020" t="str">
            <v>75004I - Identified - Recompete - IS4</v>
          </cell>
        </row>
        <row r="1021">
          <cell r="D1021">
            <v>1007</v>
          </cell>
          <cell r="E1021">
            <v>0</v>
          </cell>
          <cell r="F1021">
            <v>5</v>
          </cell>
          <cell r="G1021" t="str">
            <v>75004I</v>
          </cell>
          <cell r="H1021" t="str">
            <v>NE&amp;S</v>
          </cell>
          <cell r="I1021" t="str">
            <v>IS4</v>
          </cell>
          <cell r="J1021" t="str">
            <v>IS4 Engineering and Technology Services</v>
          </cell>
          <cell r="K1021" t="str">
            <v>Other DOD</v>
          </cell>
          <cell r="L1021" t="str">
            <v>DOD</v>
          </cell>
          <cell r="M1021" t="str">
            <v>TX</v>
          </cell>
          <cell r="N1021" t="str">
            <v>CONUS</v>
          </cell>
          <cell r="O1021">
            <v>43218</v>
          </cell>
          <cell r="P1021">
            <v>43643</v>
          </cell>
          <cell r="Q1021" t="str">
            <v>Prime</v>
          </cell>
          <cell r="R1021" t="str">
            <v>FFP</v>
          </cell>
          <cell r="S1021">
            <v>0</v>
          </cell>
          <cell r="T1021">
            <v>1</v>
          </cell>
          <cell r="U1021" t="str">
            <v>EBITA</v>
          </cell>
          <cell r="V1021" t="str">
            <v>Base</v>
          </cell>
          <cell r="W1021" t="str">
            <v>05 Won</v>
          </cell>
          <cell r="X1021" t="str">
            <v>Active</v>
          </cell>
          <cell r="Y1021">
            <v>1</v>
          </cell>
          <cell r="Z1021">
            <v>0</v>
          </cell>
          <cell r="AA1021">
            <v>474250.63500000059</v>
          </cell>
          <cell r="AB1021">
            <v>1.999999862164259E-3</v>
          </cell>
          <cell r="AC1021">
            <v>0</v>
          </cell>
          <cell r="AD1021">
            <v>474250.63700000045</v>
          </cell>
          <cell r="AT1021">
            <v>4.827442466328942E-2</v>
          </cell>
          <cell r="AU1021">
            <v>9.1267710311373831E-2</v>
          </cell>
          <cell r="AV1021">
            <v>9.2184860186925385E-2</v>
          </cell>
          <cell r="AW1021">
            <v>3.9370357531370276E-2</v>
          </cell>
          <cell r="AX1021">
            <v>1.9815566727035043E-2</v>
          </cell>
          <cell r="AY1021">
            <v>2.0815566727035044E-2</v>
          </cell>
          <cell r="AZ1021">
            <v>2.1815566727035045E-2</v>
          </cell>
          <cell r="BA1021">
            <v>2.2815566727035046E-2</v>
          </cell>
          <cell r="BF1021">
            <v>503900.52000000025</v>
          </cell>
          <cell r="BG1021">
            <v>959972.1100000001</v>
          </cell>
          <cell r="BH1021">
            <v>958054.91000000061</v>
          </cell>
          <cell r="BI1021">
            <v>250883.96000000017</v>
          </cell>
          <cell r="BJ1021">
            <v>65403.489999999903</v>
          </cell>
          <cell r="BK1021">
            <v>23814.240000000325</v>
          </cell>
          <cell r="BL1021">
            <v>56532.059999999925</v>
          </cell>
          <cell r="BM1021">
            <v>396633.75000000035</v>
          </cell>
          <cell r="BN1021">
            <v>9397.5451428123833</v>
          </cell>
          <cell r="BO1021">
            <v>0</v>
          </cell>
          <cell r="BP1021">
            <v>0</v>
          </cell>
          <cell r="BQ1021">
            <v>0</v>
          </cell>
          <cell r="BR1021">
            <v>406031.29514281271</v>
          </cell>
          <cell r="BT1021">
            <v>0</v>
          </cell>
          <cell r="CA1021" t="str">
            <v>75004I - EBITA - Base</v>
          </cell>
          <cell r="CC1021" t="str">
            <v>75004I - EBITA - Base - IS4</v>
          </cell>
          <cell r="CD1021" t="str">
            <v/>
          </cell>
          <cell r="CF1021" t="str">
            <v>75004I - Base - IS4</v>
          </cell>
        </row>
        <row r="1022">
          <cell r="D1022">
            <v>1008</v>
          </cell>
          <cell r="E1022">
            <v>0</v>
          </cell>
          <cell r="F1022">
            <v>0</v>
          </cell>
          <cell r="G1022" t="str">
            <v>75004I</v>
          </cell>
          <cell r="H1022" t="str">
            <v>NE&amp;S</v>
          </cell>
          <cell r="I1022" t="str">
            <v>IS4</v>
          </cell>
          <cell r="J1022" t="str">
            <v>IS4 Engineering and Technology Services</v>
          </cell>
          <cell r="K1022" t="str">
            <v>Other DOD</v>
          </cell>
          <cell r="L1022" t="str">
            <v>DOD</v>
          </cell>
          <cell r="M1022" t="str">
            <v>TX</v>
          </cell>
          <cell r="N1022" t="str">
            <v>CONUS</v>
          </cell>
          <cell r="O1022">
            <v>0</v>
          </cell>
          <cell r="P1022">
            <v>0</v>
          </cell>
          <cell r="Q1022">
            <v>0</v>
          </cell>
          <cell r="R1022" t="str">
            <v>FFP</v>
          </cell>
          <cell r="S1022">
            <v>0</v>
          </cell>
          <cell r="T1022">
            <v>1</v>
          </cell>
          <cell r="U1022" t="str">
            <v>EBITA</v>
          </cell>
          <cell r="V1022" t="str">
            <v>Identified - Recompete</v>
          </cell>
          <cell r="W1022">
            <v>0</v>
          </cell>
          <cell r="X1022">
            <v>0</v>
          </cell>
          <cell r="Y1022">
            <v>0</v>
          </cell>
          <cell r="Z1022">
            <v>0</v>
          </cell>
          <cell r="AA1022">
            <v>0</v>
          </cell>
          <cell r="AB1022">
            <v>0</v>
          </cell>
          <cell r="AC1022">
            <v>0</v>
          </cell>
          <cell r="AD1022">
            <v>0</v>
          </cell>
          <cell r="AX1022">
            <v>0</v>
          </cell>
          <cell r="AY1022">
            <v>0</v>
          </cell>
          <cell r="AZ1022">
            <v>0</v>
          </cell>
          <cell r="BA1022">
            <v>0</v>
          </cell>
          <cell r="BI1022">
            <v>0</v>
          </cell>
          <cell r="BJ1022">
            <v>0</v>
          </cell>
          <cell r="BK1022">
            <v>0</v>
          </cell>
          <cell r="BL1022">
            <v>0</v>
          </cell>
          <cell r="BM1022">
            <v>0</v>
          </cell>
          <cell r="BN1022">
            <v>0</v>
          </cell>
          <cell r="BO1022">
            <v>0</v>
          </cell>
          <cell r="BP1022">
            <v>0</v>
          </cell>
          <cell r="BQ1022">
            <v>0</v>
          </cell>
          <cell r="BR1022">
            <v>0</v>
          </cell>
          <cell r="BT1022">
            <v>0</v>
          </cell>
          <cell r="CA1022" t="str">
            <v>75004I - EBITA - Identified - Recompete</v>
          </cell>
          <cell r="CC1022" t="str">
            <v>75004I - EBITA - Identified - Recompete - IS4</v>
          </cell>
          <cell r="CD1022" t="str">
            <v/>
          </cell>
          <cell r="CF1022" t="str">
            <v>75004I - Identified - Recompete - IS4</v>
          </cell>
        </row>
        <row r="1023">
          <cell r="D1023">
            <v>1009</v>
          </cell>
          <cell r="E1023">
            <v>1</v>
          </cell>
          <cell r="F1023">
            <v>1</v>
          </cell>
          <cell r="G1023" t="str">
            <v>NETMDE</v>
          </cell>
          <cell r="H1023" t="str">
            <v>NC2 NETMOD-E</v>
          </cell>
          <cell r="I1023" t="str">
            <v>IS4</v>
          </cell>
          <cell r="J1023" t="str">
            <v>IS4 Engineering and Technology Services</v>
          </cell>
          <cell r="K1023" t="str">
            <v>Army</v>
          </cell>
          <cell r="L1023" t="str">
            <v>DOD</v>
          </cell>
          <cell r="M1023" t="str">
            <v>Germany</v>
          </cell>
          <cell r="N1023" t="str">
            <v>OCONUS</v>
          </cell>
          <cell r="O1023">
            <v>43336</v>
          </cell>
          <cell r="P1023">
            <v>44329</v>
          </cell>
          <cell r="Q1023" t="str">
            <v>Prime</v>
          </cell>
          <cell r="R1023" t="str">
            <v>FFP</v>
          </cell>
          <cell r="S1023">
            <v>0</v>
          </cell>
          <cell r="T1023">
            <v>1</v>
          </cell>
          <cell r="U1023" t="str">
            <v>REVTOT</v>
          </cell>
          <cell r="V1023" t="str">
            <v>Base</v>
          </cell>
          <cell r="W1023" t="str">
            <v>05 Won</v>
          </cell>
          <cell r="X1023" t="str">
            <v>Active</v>
          </cell>
          <cell r="Y1023">
            <v>1</v>
          </cell>
          <cell r="Z1023">
            <v>0</v>
          </cell>
          <cell r="AA1023">
            <v>12874395.880000001</v>
          </cell>
          <cell r="AB1023">
            <v>43743085.699999996</v>
          </cell>
          <cell r="AC1023">
            <v>0</v>
          </cell>
          <cell r="AD1023">
            <v>56617481.579999998</v>
          </cell>
          <cell r="AE1023">
            <v>0</v>
          </cell>
          <cell r="AF1023">
            <v>0</v>
          </cell>
          <cell r="AG1023">
            <v>0</v>
          </cell>
          <cell r="AH1023">
            <v>4.6365105765263941</v>
          </cell>
          <cell r="AI1023">
            <v>0</v>
          </cell>
          <cell r="AJ1023">
            <v>0</v>
          </cell>
          <cell r="AK1023">
            <v>0</v>
          </cell>
          <cell r="BB1023">
            <v>13170744.08</v>
          </cell>
          <cell r="BC1023">
            <v>13170744.08</v>
          </cell>
          <cell r="BD1023">
            <v>13170744.08</v>
          </cell>
          <cell r="BE1023">
            <v>13170744.08</v>
          </cell>
          <cell r="BF1023">
            <v>0</v>
          </cell>
          <cell r="BG1023">
            <v>0</v>
          </cell>
          <cell r="BH1023">
            <v>0</v>
          </cell>
          <cell r="BI1023">
            <v>107673.43000000001</v>
          </cell>
          <cell r="BJ1023">
            <v>214976.53</v>
          </cell>
          <cell r="BK1023">
            <v>679674.33</v>
          </cell>
          <cell r="BL1023">
            <v>1334359.71</v>
          </cell>
          <cell r="BM1023">
            <v>2336684</v>
          </cell>
          <cell r="BN1023">
            <v>13170744.08</v>
          </cell>
          <cell r="BO1023">
            <v>8158544.2495555561</v>
          </cell>
          <cell r="BP1023">
            <v>0</v>
          </cell>
          <cell r="BQ1023">
            <v>0</v>
          </cell>
          <cell r="BR1023">
            <v>23665972.329555556</v>
          </cell>
          <cell r="BT1023">
            <v>0</v>
          </cell>
          <cell r="CA1023" t="str">
            <v>NETMDE - REVTOT - Base</v>
          </cell>
          <cell r="CC1023" t="str">
            <v>NETMDE - REVTOT - Base - IS4</v>
          </cell>
          <cell r="CD1023" t="str">
            <v/>
          </cell>
          <cell r="CF1023" t="str">
            <v>NETMDE - Base - IS4</v>
          </cell>
        </row>
        <row r="1024">
          <cell r="D1024">
            <v>1010</v>
          </cell>
          <cell r="E1024">
            <v>1</v>
          </cell>
          <cell r="F1024">
            <v>2</v>
          </cell>
          <cell r="G1024" t="str">
            <v>NETMDE</v>
          </cell>
          <cell r="H1024" t="str">
            <v>NC2 NETMOD-E</v>
          </cell>
          <cell r="I1024" t="str">
            <v>IS4</v>
          </cell>
          <cell r="J1024" t="str">
            <v>IS4 Engineering and Technology Services</v>
          </cell>
          <cell r="K1024" t="str">
            <v>Army</v>
          </cell>
          <cell r="L1024" t="str">
            <v>DOD</v>
          </cell>
          <cell r="M1024" t="str">
            <v>Germany</v>
          </cell>
          <cell r="N1024" t="str">
            <v>OCONUS</v>
          </cell>
          <cell r="O1024">
            <v>44330</v>
          </cell>
          <cell r="P1024">
            <v>45425</v>
          </cell>
          <cell r="Q1024" t="str">
            <v>Prime</v>
          </cell>
          <cell r="R1024" t="str">
            <v>FFP</v>
          </cell>
          <cell r="S1024">
            <v>0</v>
          </cell>
          <cell r="T1024">
            <v>1</v>
          </cell>
          <cell r="U1024" t="str">
            <v>REVTOT</v>
          </cell>
          <cell r="V1024" t="str">
            <v>Identified - Recompete</v>
          </cell>
          <cell r="W1024" t="str">
            <v>00 Investigate</v>
          </cell>
          <cell r="X1024" t="str">
            <v>Priority 3</v>
          </cell>
          <cell r="Y1024">
            <v>0.3</v>
          </cell>
          <cell r="Z1024">
            <v>56000000</v>
          </cell>
          <cell r="AA1024">
            <v>0</v>
          </cell>
          <cell r="AB1024">
            <v>0</v>
          </cell>
          <cell r="AC1024">
            <v>0</v>
          </cell>
          <cell r="AD1024">
            <v>0</v>
          </cell>
          <cell r="AI1024">
            <v>0</v>
          </cell>
          <cell r="AJ1024">
            <v>0</v>
          </cell>
          <cell r="AK1024">
            <v>0</v>
          </cell>
          <cell r="BB1024">
            <v>13170744.08</v>
          </cell>
          <cell r="BC1024">
            <v>13170744.08</v>
          </cell>
          <cell r="BD1024">
            <v>13170744.08</v>
          </cell>
          <cell r="BE1024">
            <v>13170744.08</v>
          </cell>
          <cell r="BI1024">
            <v>0</v>
          </cell>
          <cell r="BJ1024">
            <v>0</v>
          </cell>
          <cell r="BK1024">
            <v>0</v>
          </cell>
          <cell r="BL1024">
            <v>0</v>
          </cell>
          <cell r="BM1024">
            <v>0</v>
          </cell>
          <cell r="BN1024">
            <v>0</v>
          </cell>
          <cell r="BO1024">
            <v>1492684.3290666668</v>
          </cell>
          <cell r="BP1024">
            <v>3951223.2239999999</v>
          </cell>
          <cell r="BQ1024">
            <v>3951223.2239999999</v>
          </cell>
          <cell r="BR1024">
            <v>9395130.7770666666</v>
          </cell>
          <cell r="BT1024">
            <v>0</v>
          </cell>
          <cell r="CA1024" t="str">
            <v>NETMDE - REVTOT - Identified - Recompete</v>
          </cell>
          <cell r="CC1024" t="str">
            <v>NETMDE - REVTOT - Identified - Recompete - IS4</v>
          </cell>
          <cell r="CD1024" t="str">
            <v/>
          </cell>
          <cell r="CF1024" t="str">
            <v>NETMDE - Identified - Recompete - IS4</v>
          </cell>
        </row>
        <row r="1025">
          <cell r="D1025">
            <v>1011</v>
          </cell>
          <cell r="E1025">
            <v>2</v>
          </cell>
          <cell r="F1025">
            <v>3</v>
          </cell>
          <cell r="G1025" t="str">
            <v>NETMDE</v>
          </cell>
          <cell r="H1025" t="str">
            <v>NC2 NETMOD-E</v>
          </cell>
          <cell r="I1025" t="str">
            <v>IS4</v>
          </cell>
          <cell r="J1025" t="str">
            <v>IS4 Engineering and Technology Services</v>
          </cell>
          <cell r="K1025" t="str">
            <v>Army</v>
          </cell>
          <cell r="L1025" t="str">
            <v>DOD</v>
          </cell>
          <cell r="M1025" t="str">
            <v>Germany</v>
          </cell>
          <cell r="N1025" t="str">
            <v>OCONUS</v>
          </cell>
          <cell r="O1025">
            <v>43336</v>
          </cell>
          <cell r="P1025">
            <v>44329</v>
          </cell>
          <cell r="Q1025" t="str">
            <v>Prime</v>
          </cell>
          <cell r="R1025" t="str">
            <v>FFP</v>
          </cell>
          <cell r="S1025">
            <v>0</v>
          </cell>
          <cell r="T1025">
            <v>1</v>
          </cell>
          <cell r="U1025" t="str">
            <v>CONTRACT</v>
          </cell>
          <cell r="V1025" t="str">
            <v>Base</v>
          </cell>
          <cell r="W1025" t="str">
            <v>05 Won</v>
          </cell>
          <cell r="X1025" t="str">
            <v>Active</v>
          </cell>
          <cell r="Y1025">
            <v>1</v>
          </cell>
          <cell r="Z1025">
            <v>0</v>
          </cell>
          <cell r="AA1025">
            <v>12874395.880000001</v>
          </cell>
          <cell r="AB1025">
            <v>43743085.699999996</v>
          </cell>
          <cell r="AC1025">
            <v>0</v>
          </cell>
          <cell r="AD1025">
            <v>56617481.579999998</v>
          </cell>
          <cell r="AL1025">
            <v>0</v>
          </cell>
          <cell r="AM1025">
            <v>0</v>
          </cell>
          <cell r="AN1025">
            <v>0</v>
          </cell>
          <cell r="AO1025">
            <v>6.9493042277004438E-2</v>
          </cell>
          <cell r="AP1025">
            <v>6.2195993288178784E-2</v>
          </cell>
          <cell r="AQ1025">
            <v>6.2195993288178784E-2</v>
          </cell>
          <cell r="AR1025">
            <v>6.2195993288178784E-2</v>
          </cell>
          <cell r="AS1025">
            <v>6.2195993288178784E-2</v>
          </cell>
          <cell r="BF1025">
            <v>0</v>
          </cell>
          <cell r="BG1025">
            <v>0</v>
          </cell>
          <cell r="BH1025">
            <v>0</v>
          </cell>
          <cell r="BI1025">
            <v>12433.990000000003</v>
          </cell>
          <cell r="BJ1025">
            <v>6226.4699999999721</v>
          </cell>
          <cell r="BK1025">
            <v>49195.189999999886</v>
          </cell>
          <cell r="BL1025">
            <v>94527.63</v>
          </cell>
          <cell r="BM1025">
            <v>162383.27999999985</v>
          </cell>
          <cell r="BN1025">
            <v>819167.51040000049</v>
          </cell>
          <cell r="BO1025">
            <v>507428.76338666701</v>
          </cell>
          <cell r="BP1025">
            <v>0</v>
          </cell>
          <cell r="BQ1025">
            <v>0</v>
          </cell>
          <cell r="BR1025">
            <v>1488979.5537866673</v>
          </cell>
          <cell r="BT1025">
            <v>0</v>
          </cell>
          <cell r="CA1025" t="str">
            <v>NETMDE - CONTRACT - Base</v>
          </cell>
          <cell r="CC1025" t="str">
            <v>NETMDE - CONTRACT - Base - IS4</v>
          </cell>
          <cell r="CD1025" t="str">
            <v/>
          </cell>
          <cell r="CF1025" t="str">
            <v>NETMDE - Base - IS4</v>
          </cell>
        </row>
        <row r="1026">
          <cell r="D1026">
            <v>1012</v>
          </cell>
          <cell r="E1026">
            <v>2</v>
          </cell>
          <cell r="F1026">
            <v>4</v>
          </cell>
          <cell r="G1026" t="str">
            <v>NETMDE</v>
          </cell>
          <cell r="H1026" t="str">
            <v>NC2 NETMOD-E</v>
          </cell>
          <cell r="I1026" t="str">
            <v>IS4</v>
          </cell>
          <cell r="J1026" t="str">
            <v>IS4 Engineering and Technology Services</v>
          </cell>
          <cell r="K1026" t="str">
            <v>Army</v>
          </cell>
          <cell r="L1026" t="str">
            <v>DOD</v>
          </cell>
          <cell r="M1026" t="str">
            <v>Germany</v>
          </cell>
          <cell r="N1026" t="str">
            <v>OCONUS</v>
          </cell>
          <cell r="O1026">
            <v>44330</v>
          </cell>
          <cell r="P1026">
            <v>45425</v>
          </cell>
          <cell r="Q1026" t="str">
            <v>Prime</v>
          </cell>
          <cell r="R1026" t="str">
            <v>FFP</v>
          </cell>
          <cell r="S1026">
            <v>0</v>
          </cell>
          <cell r="T1026">
            <v>1</v>
          </cell>
          <cell r="U1026" t="str">
            <v>CONTRACT</v>
          </cell>
          <cell r="V1026" t="str">
            <v>Identified - Recompete</v>
          </cell>
          <cell r="W1026" t="str">
            <v>00 Investigate</v>
          </cell>
          <cell r="X1026" t="str">
            <v>Priority 3</v>
          </cell>
          <cell r="Y1026">
            <v>0.3</v>
          </cell>
          <cell r="Z1026">
            <v>56000000</v>
          </cell>
          <cell r="AA1026">
            <v>0</v>
          </cell>
          <cell r="AB1026">
            <v>0</v>
          </cell>
          <cell r="AC1026">
            <v>0</v>
          </cell>
          <cell r="AD1026">
            <v>0</v>
          </cell>
          <cell r="AP1026">
            <v>6.2195993288178784E-2</v>
          </cell>
          <cell r="AQ1026">
            <v>6.2195993288178784E-2</v>
          </cell>
          <cell r="AR1026">
            <v>6.2195993288178784E-2</v>
          </cell>
          <cell r="AS1026">
            <v>6.2195993288178784E-2</v>
          </cell>
          <cell r="BI1026">
            <v>0</v>
          </cell>
          <cell r="BJ1026">
            <v>0</v>
          </cell>
          <cell r="BK1026">
            <v>0</v>
          </cell>
          <cell r="BL1026">
            <v>0</v>
          </cell>
          <cell r="BM1026">
            <v>0</v>
          </cell>
          <cell r="BN1026">
            <v>0</v>
          </cell>
          <cell r="BO1026">
            <v>92838.984512000054</v>
          </cell>
          <cell r="BP1026">
            <v>245750.25312000012</v>
          </cell>
          <cell r="BQ1026">
            <v>245750.25312000012</v>
          </cell>
          <cell r="BR1026">
            <v>584339.49075200036</v>
          </cell>
          <cell r="BT1026">
            <v>0</v>
          </cell>
          <cell r="CA1026" t="str">
            <v>NETMDE - CONTRACT - Identified - Recompete</v>
          </cell>
          <cell r="CC1026" t="str">
            <v>NETMDE - CONTRACT - Identified - Recompete - IS4</v>
          </cell>
          <cell r="CD1026" t="str">
            <v/>
          </cell>
          <cell r="CF1026" t="str">
            <v>NETMDE - Identified - Recompete - IS4</v>
          </cell>
        </row>
        <row r="1027">
          <cell r="D1027">
            <v>1013</v>
          </cell>
          <cell r="E1027">
            <v>0</v>
          </cell>
          <cell r="F1027">
            <v>5</v>
          </cell>
          <cell r="G1027" t="str">
            <v>NETMDE</v>
          </cell>
          <cell r="H1027" t="str">
            <v>NC2 NETMOD-E</v>
          </cell>
          <cell r="I1027" t="str">
            <v>IS4</v>
          </cell>
          <cell r="J1027" t="str">
            <v>IS4 Engineering and Technology Services</v>
          </cell>
          <cell r="K1027" t="str">
            <v>Army</v>
          </cell>
          <cell r="L1027" t="str">
            <v>DOD</v>
          </cell>
          <cell r="M1027" t="str">
            <v>Germany</v>
          </cell>
          <cell r="N1027" t="str">
            <v>OCONUS</v>
          </cell>
          <cell r="O1027">
            <v>43336</v>
          </cell>
          <cell r="P1027">
            <v>44329</v>
          </cell>
          <cell r="Q1027" t="str">
            <v>Prime</v>
          </cell>
          <cell r="R1027" t="str">
            <v>FFP</v>
          </cell>
          <cell r="S1027">
            <v>0</v>
          </cell>
          <cell r="T1027">
            <v>1</v>
          </cell>
          <cell r="U1027" t="str">
            <v>EBITA</v>
          </cell>
          <cell r="V1027" t="str">
            <v>Base</v>
          </cell>
          <cell r="W1027" t="str">
            <v>05 Won</v>
          </cell>
          <cell r="X1027" t="str">
            <v>Active</v>
          </cell>
          <cell r="Y1027">
            <v>1</v>
          </cell>
          <cell r="Z1027">
            <v>0</v>
          </cell>
          <cell r="AA1027">
            <v>12874395.880000001</v>
          </cell>
          <cell r="AB1027">
            <v>43743085.699999996</v>
          </cell>
          <cell r="AC1027">
            <v>0</v>
          </cell>
          <cell r="AD1027">
            <v>56617481.579999998</v>
          </cell>
          <cell r="AT1027">
            <v>0</v>
          </cell>
          <cell r="AU1027">
            <v>0</v>
          </cell>
          <cell r="AV1027">
            <v>0</v>
          </cell>
          <cell r="AW1027">
            <v>1.217485975852955E-2</v>
          </cell>
          <cell r="AX1027">
            <v>2.0745524265746693E-2</v>
          </cell>
          <cell r="AY1027">
            <v>2.1745524265746691E-2</v>
          </cell>
          <cell r="AZ1027">
            <v>2.2745524265746692E-2</v>
          </cell>
          <cell r="BA1027">
            <v>2.3745524265746693E-2</v>
          </cell>
          <cell r="BF1027">
            <v>0</v>
          </cell>
          <cell r="BG1027">
            <v>0</v>
          </cell>
          <cell r="BH1027">
            <v>0</v>
          </cell>
          <cell r="BI1027">
            <v>2094.0600000000022</v>
          </cell>
          <cell r="BJ1027">
            <v>-19818.630000000026</v>
          </cell>
          <cell r="BK1027">
            <v>14787.889999999879</v>
          </cell>
          <cell r="BL1027">
            <v>31385.480000000007</v>
          </cell>
          <cell r="BM1027">
            <v>28448.799999999861</v>
          </cell>
          <cell r="BN1027">
            <v>273233.99090957962</v>
          </cell>
          <cell r="BO1027">
            <v>177411.82195187846</v>
          </cell>
          <cell r="BP1027">
            <v>0</v>
          </cell>
          <cell r="BQ1027">
            <v>0</v>
          </cell>
          <cell r="BR1027">
            <v>479094.61286145798</v>
          </cell>
          <cell r="BT1027">
            <v>0</v>
          </cell>
          <cell r="CA1027" t="str">
            <v>NETMDE - EBITA - Base</v>
          </cell>
          <cell r="CC1027" t="str">
            <v>NETMDE - EBITA - Base - IS4</v>
          </cell>
          <cell r="CD1027" t="str">
            <v/>
          </cell>
          <cell r="CF1027" t="str">
            <v>NETMDE - Base - IS4</v>
          </cell>
        </row>
        <row r="1028">
          <cell r="D1028">
            <v>1014</v>
          </cell>
          <cell r="E1028">
            <v>0</v>
          </cell>
          <cell r="F1028">
            <v>0</v>
          </cell>
          <cell r="G1028" t="str">
            <v>NETMDE</v>
          </cell>
          <cell r="H1028" t="str">
            <v>NC2 NETMOD-E</v>
          </cell>
          <cell r="I1028" t="str">
            <v>IS4</v>
          </cell>
          <cell r="J1028" t="str">
            <v>IS4 Engineering and Technology Services</v>
          </cell>
          <cell r="K1028" t="str">
            <v>Army</v>
          </cell>
          <cell r="L1028" t="str">
            <v>DOD</v>
          </cell>
          <cell r="M1028" t="str">
            <v>Germany</v>
          </cell>
          <cell r="N1028" t="str">
            <v>OCONUS</v>
          </cell>
          <cell r="O1028">
            <v>44330</v>
          </cell>
          <cell r="P1028">
            <v>45425</v>
          </cell>
          <cell r="Q1028" t="str">
            <v>Prime</v>
          </cell>
          <cell r="R1028" t="str">
            <v>FFP</v>
          </cell>
          <cell r="S1028">
            <v>0</v>
          </cell>
          <cell r="T1028">
            <v>1</v>
          </cell>
          <cell r="U1028" t="str">
            <v>EBITA</v>
          </cell>
          <cell r="V1028" t="str">
            <v>Identified - Recompete</v>
          </cell>
          <cell r="W1028" t="str">
            <v>00 Investigate</v>
          </cell>
          <cell r="X1028" t="str">
            <v>Priority 3</v>
          </cell>
          <cell r="Y1028">
            <v>0.3</v>
          </cell>
          <cell r="Z1028">
            <v>56000000</v>
          </cell>
          <cell r="AA1028">
            <v>0</v>
          </cell>
          <cell r="AB1028">
            <v>0</v>
          </cell>
          <cell r="AC1028">
            <v>0</v>
          </cell>
          <cell r="AD1028">
            <v>0</v>
          </cell>
          <cell r="AX1028">
            <v>2.0745524265746693E-2</v>
          </cell>
          <cell r="AY1028">
            <v>2.1745524265746691E-2</v>
          </cell>
          <cell r="AZ1028">
            <v>2.2745524265746692E-2</v>
          </cell>
          <cell r="BA1028">
            <v>2.3745524265746693E-2</v>
          </cell>
          <cell r="BI1028">
            <v>0</v>
          </cell>
          <cell r="BJ1028">
            <v>0</v>
          </cell>
          <cell r="BK1028">
            <v>0</v>
          </cell>
          <cell r="BL1028">
            <v>0</v>
          </cell>
          <cell r="BM1028">
            <v>0</v>
          </cell>
          <cell r="BN1028">
            <v>0</v>
          </cell>
          <cell r="BO1028">
            <v>32459.203298819022</v>
          </cell>
          <cell r="BP1028">
            <v>89872.643720873879</v>
          </cell>
          <cell r="BQ1028">
            <v>93823.86694487388</v>
          </cell>
          <cell r="BR1028">
            <v>216155.71396456676</v>
          </cell>
          <cell r="BT1028">
            <v>0</v>
          </cell>
          <cell r="CA1028" t="str">
            <v>NETMDE - EBITA - Identified - Recompete</v>
          </cell>
          <cell r="CC1028" t="str">
            <v>NETMDE - EBITA - Identified - Recompete - IS4</v>
          </cell>
          <cell r="CD1028" t="str">
            <v/>
          </cell>
          <cell r="CF1028" t="str">
            <v>NETMDE - Identified - Recompete - IS4</v>
          </cell>
        </row>
        <row r="1029">
          <cell r="D1029">
            <v>1015</v>
          </cell>
          <cell r="E1029">
            <v>1</v>
          </cell>
          <cell r="F1029">
            <v>1</v>
          </cell>
          <cell r="G1029" t="str">
            <v>NB5048</v>
          </cell>
          <cell r="H1029" t="str">
            <v>FTC Consolidated IT</v>
          </cell>
          <cell r="I1029" t="str">
            <v>IS4</v>
          </cell>
          <cell r="J1029" t="str">
            <v>IS4 Engineering and Technology Services</v>
          </cell>
          <cell r="K1029" t="str">
            <v>Other Civilian</v>
          </cell>
          <cell r="L1029" t="str">
            <v>Other</v>
          </cell>
          <cell r="M1029" t="str">
            <v>US_State</v>
          </cell>
          <cell r="N1029" t="str">
            <v>CONUS</v>
          </cell>
          <cell r="O1029">
            <v>41153</v>
          </cell>
          <cell r="P1029">
            <v>43708</v>
          </cell>
          <cell r="Q1029" t="str">
            <v>Prime</v>
          </cell>
          <cell r="R1029" t="str">
            <v>FFP</v>
          </cell>
          <cell r="S1029">
            <v>0</v>
          </cell>
          <cell r="T1029">
            <v>1</v>
          </cell>
          <cell r="U1029" t="str">
            <v>REVTOT</v>
          </cell>
          <cell r="V1029" t="str">
            <v>Base</v>
          </cell>
          <cell r="W1029" t="str">
            <v>05 Won</v>
          </cell>
          <cell r="X1029" t="str">
            <v>Active</v>
          </cell>
          <cell r="Y1029">
            <v>1</v>
          </cell>
          <cell r="Z1029">
            <v>0</v>
          </cell>
          <cell r="AA1029">
            <v>446.25999999896158</v>
          </cell>
          <cell r="AB1029">
            <v>0</v>
          </cell>
          <cell r="AC1029">
            <v>0</v>
          </cell>
          <cell r="AD1029">
            <v>446.25999999896158</v>
          </cell>
          <cell r="AE1029">
            <v>-2.1206829141801276E-2</v>
          </cell>
          <cell r="AF1029">
            <v>0.1817747654232269</v>
          </cell>
          <cell r="AG1029">
            <v>-0.30231202469791152</v>
          </cell>
          <cell r="AH1029">
            <v>-1</v>
          </cell>
          <cell r="AI1029">
            <v>0</v>
          </cell>
          <cell r="AJ1029">
            <v>0</v>
          </cell>
          <cell r="AK1029">
            <v>0</v>
          </cell>
          <cell r="BB1029">
            <v>0</v>
          </cell>
          <cell r="BC1029">
            <v>0</v>
          </cell>
          <cell r="BD1029">
            <v>0</v>
          </cell>
          <cell r="BE1029">
            <v>0</v>
          </cell>
          <cell r="BF1029">
            <v>9760074.3900000006</v>
          </cell>
          <cell r="BG1029">
            <v>9553094.1600000001</v>
          </cell>
          <cell r="BH1029">
            <v>11289605.609999999</v>
          </cell>
          <cell r="BI1029">
            <v>2383884.2299999995</v>
          </cell>
          <cell r="BJ1029">
            <v>2209641.0099999998</v>
          </cell>
          <cell r="BK1029">
            <v>1729419.8399999999</v>
          </cell>
          <cell r="BL1029">
            <v>1553677</v>
          </cell>
          <cell r="BM1029">
            <v>7876622.0799999991</v>
          </cell>
          <cell r="BN1029">
            <v>0</v>
          </cell>
          <cell r="BO1029">
            <v>0</v>
          </cell>
          <cell r="BP1029">
            <v>0</v>
          </cell>
          <cell r="BQ1029">
            <v>0</v>
          </cell>
          <cell r="BR1029">
            <v>7876622.0799999991</v>
          </cell>
          <cell r="BT1029">
            <v>0</v>
          </cell>
          <cell r="CA1029" t="str">
            <v>NB5048 - REVTOT - Base</v>
          </cell>
          <cell r="CC1029" t="str">
            <v>NB5048 - REVTOT - Base - IS4</v>
          </cell>
          <cell r="CD1029" t="str">
            <v/>
          </cell>
          <cell r="CF1029" t="str">
            <v>NB5048 - Base - IS4</v>
          </cell>
        </row>
        <row r="1030">
          <cell r="D1030">
            <v>1016</v>
          </cell>
          <cell r="E1030">
            <v>1</v>
          </cell>
          <cell r="F1030">
            <v>2</v>
          </cell>
          <cell r="G1030" t="str">
            <v>NB5048</v>
          </cell>
          <cell r="H1030" t="str">
            <v>FTC Consolidated IT</v>
          </cell>
          <cell r="I1030" t="str">
            <v>IS4</v>
          </cell>
          <cell r="J1030" t="str">
            <v>IS4 Engineering and Technology Services</v>
          </cell>
          <cell r="K1030" t="str">
            <v>Other Civilian</v>
          </cell>
          <cell r="L1030" t="str">
            <v>Other</v>
          </cell>
          <cell r="M1030" t="str">
            <v>US_State</v>
          </cell>
          <cell r="N1030" t="str">
            <v>CONUS</v>
          </cell>
          <cell r="O1030">
            <v>0</v>
          </cell>
          <cell r="P1030">
            <v>0</v>
          </cell>
          <cell r="Q1030">
            <v>0</v>
          </cell>
          <cell r="R1030" t="str">
            <v>FFP</v>
          </cell>
          <cell r="S1030">
            <v>0</v>
          </cell>
          <cell r="T1030">
            <v>1</v>
          </cell>
          <cell r="U1030" t="str">
            <v>REVTOT</v>
          </cell>
          <cell r="V1030" t="str">
            <v>Identified - Recompete</v>
          </cell>
          <cell r="W1030">
            <v>0</v>
          </cell>
          <cell r="X1030">
            <v>0</v>
          </cell>
          <cell r="Y1030">
            <v>0</v>
          </cell>
          <cell r="Z1030">
            <v>0</v>
          </cell>
          <cell r="AA1030">
            <v>0</v>
          </cell>
          <cell r="AB1030">
            <v>0</v>
          </cell>
          <cell r="AC1030">
            <v>0</v>
          </cell>
          <cell r="AD1030">
            <v>0</v>
          </cell>
          <cell r="AI1030">
            <v>0</v>
          </cell>
          <cell r="AJ1030">
            <v>0</v>
          </cell>
          <cell r="AK1030">
            <v>0</v>
          </cell>
          <cell r="BB1030">
            <v>0</v>
          </cell>
          <cell r="BC1030">
            <v>0</v>
          </cell>
          <cell r="BD1030">
            <v>0</v>
          </cell>
          <cell r="BE1030">
            <v>0</v>
          </cell>
          <cell r="BI1030">
            <v>0</v>
          </cell>
          <cell r="BJ1030">
            <v>0</v>
          </cell>
          <cell r="BK1030">
            <v>0</v>
          </cell>
          <cell r="BL1030">
            <v>0</v>
          </cell>
          <cell r="BM1030">
            <v>0</v>
          </cell>
          <cell r="BN1030">
            <v>0</v>
          </cell>
          <cell r="BO1030">
            <v>0</v>
          </cell>
          <cell r="BP1030">
            <v>0</v>
          </cell>
          <cell r="BQ1030">
            <v>0</v>
          </cell>
          <cell r="BR1030">
            <v>0</v>
          </cell>
          <cell r="BT1030">
            <v>0</v>
          </cell>
          <cell r="CA1030" t="str">
            <v>NB5048 - REVTOT - Identified - Recompete</v>
          </cell>
          <cell r="CC1030" t="str">
            <v>NB5048 - REVTOT - Identified - Recompete - IS4</v>
          </cell>
          <cell r="CD1030" t="str">
            <v/>
          </cell>
          <cell r="CF1030" t="str">
            <v>NB5048 - Identified - Recompete - IS4</v>
          </cell>
        </row>
        <row r="1031">
          <cell r="D1031">
            <v>1017</v>
          </cell>
          <cell r="E1031">
            <v>2</v>
          </cell>
          <cell r="F1031">
            <v>3</v>
          </cell>
          <cell r="G1031" t="str">
            <v>NB5048</v>
          </cell>
          <cell r="H1031" t="str">
            <v>FTC Consolidated IT</v>
          </cell>
          <cell r="I1031" t="str">
            <v>IS4</v>
          </cell>
          <cell r="J1031" t="str">
            <v>IS4 Engineering and Technology Services</v>
          </cell>
          <cell r="K1031" t="str">
            <v>Other Civilian</v>
          </cell>
          <cell r="L1031" t="str">
            <v>Other</v>
          </cell>
          <cell r="M1031" t="str">
            <v>US_State</v>
          </cell>
          <cell r="N1031" t="str">
            <v>CONUS</v>
          </cell>
          <cell r="O1031">
            <v>41153</v>
          </cell>
          <cell r="P1031">
            <v>43708</v>
          </cell>
          <cell r="Q1031" t="str">
            <v>Prime</v>
          </cell>
          <cell r="R1031" t="str">
            <v>FFP</v>
          </cell>
          <cell r="S1031">
            <v>0</v>
          </cell>
          <cell r="T1031">
            <v>1</v>
          </cell>
          <cell r="U1031" t="str">
            <v>CONTRACT</v>
          </cell>
          <cell r="V1031" t="str">
            <v>Base</v>
          </cell>
          <cell r="W1031" t="str">
            <v>05 Won</v>
          </cell>
          <cell r="X1031" t="str">
            <v>Active</v>
          </cell>
          <cell r="Y1031">
            <v>1</v>
          </cell>
          <cell r="Z1031">
            <v>0</v>
          </cell>
          <cell r="AA1031">
            <v>446.25999999896158</v>
          </cell>
          <cell r="AB1031">
            <v>0</v>
          </cell>
          <cell r="AC1031">
            <v>0</v>
          </cell>
          <cell r="AD1031">
            <v>446.25999999896158</v>
          </cell>
          <cell r="AL1031">
            <v>0.15526355429756106</v>
          </cell>
          <cell r="AM1031">
            <v>0.2545669234772831</v>
          </cell>
          <cell r="AN1031">
            <v>0.26888740447329057</v>
          </cell>
          <cell r="AO1031">
            <v>0.23485286347520176</v>
          </cell>
          <cell r="AP1031">
            <v>0.22954532797004198</v>
          </cell>
          <cell r="AQ1031">
            <v>0.22954532797004198</v>
          </cell>
          <cell r="AR1031">
            <v>0.22954532797004198</v>
          </cell>
          <cell r="AS1031">
            <v>0.22954532797004198</v>
          </cell>
          <cell r="BF1031">
            <v>1515383.8400000003</v>
          </cell>
          <cell r="BG1031">
            <v>2431901.79</v>
          </cell>
          <cell r="BH1031">
            <v>3035632.7500000005</v>
          </cell>
          <cell r="BI1031">
            <v>529245.63999999978</v>
          </cell>
          <cell r="BJ1031">
            <v>476585.9599999999</v>
          </cell>
          <cell r="BK1031">
            <v>438185.49000000005</v>
          </cell>
          <cell r="BL1031">
            <v>405830.16000000003</v>
          </cell>
          <cell r="BM1031">
            <v>1849847.2499999995</v>
          </cell>
          <cell r="BN1031">
            <v>0</v>
          </cell>
          <cell r="BO1031">
            <v>0</v>
          </cell>
          <cell r="BP1031">
            <v>0</v>
          </cell>
          <cell r="BQ1031">
            <v>0</v>
          </cell>
          <cell r="BR1031">
            <v>1849847.2499999995</v>
          </cell>
          <cell r="BT1031">
            <v>0</v>
          </cell>
          <cell r="CA1031" t="str">
            <v>NB5048 - CONTRACT - Base</v>
          </cell>
          <cell r="CC1031" t="str">
            <v>NB5048 - CONTRACT - Base - IS4</v>
          </cell>
          <cell r="CD1031" t="str">
            <v/>
          </cell>
          <cell r="CF1031" t="str">
            <v>NB5048 - Base - IS4</v>
          </cell>
        </row>
        <row r="1032">
          <cell r="D1032">
            <v>1018</v>
          </cell>
          <cell r="E1032">
            <v>2</v>
          </cell>
          <cell r="F1032">
            <v>4</v>
          </cell>
          <cell r="G1032" t="str">
            <v>NB5048</v>
          </cell>
          <cell r="H1032" t="str">
            <v>FTC Consolidated IT</v>
          </cell>
          <cell r="I1032" t="str">
            <v>IS4</v>
          </cell>
          <cell r="J1032" t="str">
            <v>IS4 Engineering and Technology Services</v>
          </cell>
          <cell r="K1032" t="str">
            <v>Other Civilian</v>
          </cell>
          <cell r="L1032" t="str">
            <v>Other</v>
          </cell>
          <cell r="M1032" t="str">
            <v>US_State</v>
          </cell>
          <cell r="N1032" t="str">
            <v>CONUS</v>
          </cell>
          <cell r="O1032">
            <v>0</v>
          </cell>
          <cell r="P1032">
            <v>0</v>
          </cell>
          <cell r="Q1032">
            <v>0</v>
          </cell>
          <cell r="R1032" t="str">
            <v>FFP</v>
          </cell>
          <cell r="S1032">
            <v>0</v>
          </cell>
          <cell r="T1032">
            <v>1</v>
          </cell>
          <cell r="U1032" t="str">
            <v>CONTRACT</v>
          </cell>
          <cell r="V1032" t="str">
            <v>Identified - Recompete</v>
          </cell>
          <cell r="W1032">
            <v>0</v>
          </cell>
          <cell r="X1032">
            <v>0</v>
          </cell>
          <cell r="Y1032">
            <v>0</v>
          </cell>
          <cell r="Z1032">
            <v>0</v>
          </cell>
          <cell r="AA1032">
            <v>0</v>
          </cell>
          <cell r="AB1032">
            <v>0</v>
          </cell>
          <cell r="AC1032">
            <v>0</v>
          </cell>
          <cell r="AD1032">
            <v>0</v>
          </cell>
          <cell r="AP1032">
            <v>0</v>
          </cell>
          <cell r="AQ1032">
            <v>0</v>
          </cell>
          <cell r="AR1032">
            <v>0</v>
          </cell>
          <cell r="AS1032">
            <v>0</v>
          </cell>
          <cell r="BI1032">
            <v>0</v>
          </cell>
          <cell r="BJ1032">
            <v>0</v>
          </cell>
          <cell r="BK1032">
            <v>0</v>
          </cell>
          <cell r="BL1032">
            <v>0</v>
          </cell>
          <cell r="BM1032">
            <v>0</v>
          </cell>
          <cell r="BN1032">
            <v>0</v>
          </cell>
          <cell r="BO1032">
            <v>0</v>
          </cell>
          <cell r="BP1032">
            <v>0</v>
          </cell>
          <cell r="BQ1032">
            <v>0</v>
          </cell>
          <cell r="BR1032">
            <v>0</v>
          </cell>
          <cell r="BT1032">
            <v>0</v>
          </cell>
          <cell r="CA1032" t="str">
            <v>NB5048 - CONTRACT - Identified - Recompete</v>
          </cell>
          <cell r="CC1032" t="str">
            <v>NB5048 - CONTRACT - Identified - Recompete - IS4</v>
          </cell>
          <cell r="CD1032" t="str">
            <v/>
          </cell>
          <cell r="CF1032" t="str">
            <v>NB5048 - Identified - Recompete - IS4</v>
          </cell>
        </row>
        <row r="1033">
          <cell r="D1033">
            <v>1019</v>
          </cell>
          <cell r="E1033">
            <v>0</v>
          </cell>
          <cell r="F1033">
            <v>5</v>
          </cell>
          <cell r="G1033" t="str">
            <v>NB5048</v>
          </cell>
          <cell r="H1033" t="str">
            <v>FTC Consolidated IT</v>
          </cell>
          <cell r="I1033" t="str">
            <v>IS4</v>
          </cell>
          <cell r="J1033" t="str">
            <v>IS4 Engineering and Technology Services</v>
          </cell>
          <cell r="K1033" t="str">
            <v>Other Civilian</v>
          </cell>
          <cell r="L1033" t="str">
            <v>Other</v>
          </cell>
          <cell r="M1033" t="str">
            <v>US_State</v>
          </cell>
          <cell r="N1033" t="str">
            <v>CONUS</v>
          </cell>
          <cell r="O1033">
            <v>41153</v>
          </cell>
          <cell r="P1033">
            <v>43708</v>
          </cell>
          <cell r="Q1033" t="str">
            <v>Prime</v>
          </cell>
          <cell r="R1033" t="str">
            <v>FFP</v>
          </cell>
          <cell r="S1033">
            <v>0</v>
          </cell>
          <cell r="T1033">
            <v>1</v>
          </cell>
          <cell r="U1033" t="str">
            <v>EBITA</v>
          </cell>
          <cell r="V1033" t="str">
            <v>Base</v>
          </cell>
          <cell r="W1033" t="str">
            <v>05 Won</v>
          </cell>
          <cell r="X1033" t="str">
            <v>Active</v>
          </cell>
          <cell r="Y1033">
            <v>1</v>
          </cell>
          <cell r="Z1033">
            <v>0</v>
          </cell>
          <cell r="AA1033">
            <v>446.25999999896158</v>
          </cell>
          <cell r="AB1033">
            <v>0</v>
          </cell>
          <cell r="AC1033">
            <v>0</v>
          </cell>
          <cell r="AD1033">
            <v>446.25999999896158</v>
          </cell>
          <cell r="AT1033">
            <v>7.9963417164077826E-3</v>
          </cell>
          <cell r="AU1033">
            <v>0.15338383202955888</v>
          </cell>
          <cell r="AV1033">
            <v>0.17739952299361147</v>
          </cell>
          <cell r="AW1033">
            <v>0.13277997590561055</v>
          </cell>
          <cell r="AX1033">
            <v>0.12033564111451868</v>
          </cell>
          <cell r="AY1033">
            <v>0.12133564111451868</v>
          </cell>
          <cell r="AZ1033">
            <v>0.12233564111451868</v>
          </cell>
          <cell r="BA1033">
            <v>0.12333564111451868</v>
          </cell>
          <cell r="BF1033">
            <v>78044.890000000247</v>
          </cell>
          <cell r="BG1033">
            <v>1465290.19</v>
          </cell>
          <cell r="BH1033">
            <v>2002770.65</v>
          </cell>
          <cell r="BI1033">
            <v>280761.82999999978</v>
          </cell>
          <cell r="BJ1033">
            <v>246267.39999999991</v>
          </cell>
          <cell r="BK1033">
            <v>264165.97000000009</v>
          </cell>
          <cell r="BL1033">
            <v>254662.49000000005</v>
          </cell>
          <cell r="BM1033">
            <v>1045857.69</v>
          </cell>
          <cell r="BN1033">
            <v>0</v>
          </cell>
          <cell r="BO1033">
            <v>0</v>
          </cell>
          <cell r="BP1033">
            <v>0</v>
          </cell>
          <cell r="BQ1033">
            <v>0</v>
          </cell>
          <cell r="BR1033">
            <v>1045857.69</v>
          </cell>
          <cell r="BT1033">
            <v>0</v>
          </cell>
          <cell r="CA1033" t="str">
            <v>NB5048 - EBITA - Base</v>
          </cell>
          <cell r="CC1033" t="str">
            <v>NB5048 - EBITA - Base - IS4</v>
          </cell>
          <cell r="CD1033" t="str">
            <v/>
          </cell>
          <cell r="CF1033" t="str">
            <v>NB5048 - Base - IS4</v>
          </cell>
        </row>
        <row r="1034">
          <cell r="D1034">
            <v>1020</v>
          </cell>
          <cell r="E1034">
            <v>0</v>
          </cell>
          <cell r="F1034">
            <v>0</v>
          </cell>
          <cell r="G1034" t="str">
            <v>NB5048</v>
          </cell>
          <cell r="H1034" t="str">
            <v>FTC Consolidated IT</v>
          </cell>
          <cell r="I1034" t="str">
            <v>IS4</v>
          </cell>
          <cell r="J1034" t="str">
            <v>IS4 Engineering and Technology Services</v>
          </cell>
          <cell r="K1034" t="str">
            <v>Other Civilian</v>
          </cell>
          <cell r="L1034" t="str">
            <v>Other</v>
          </cell>
          <cell r="M1034" t="str">
            <v>US_State</v>
          </cell>
          <cell r="N1034" t="str">
            <v>CONUS</v>
          </cell>
          <cell r="O1034">
            <v>0</v>
          </cell>
          <cell r="P1034">
            <v>0</v>
          </cell>
          <cell r="Q1034">
            <v>0</v>
          </cell>
          <cell r="R1034" t="str">
            <v>FFP</v>
          </cell>
          <cell r="S1034">
            <v>0</v>
          </cell>
          <cell r="T1034">
            <v>1</v>
          </cell>
          <cell r="U1034" t="str">
            <v>EBITA</v>
          </cell>
          <cell r="V1034" t="str">
            <v>Identified - Recompete</v>
          </cell>
          <cell r="W1034">
            <v>0</v>
          </cell>
          <cell r="X1034">
            <v>0</v>
          </cell>
          <cell r="Y1034">
            <v>0</v>
          </cell>
          <cell r="Z1034">
            <v>0</v>
          </cell>
          <cell r="AA1034">
            <v>0</v>
          </cell>
          <cell r="AB1034">
            <v>0</v>
          </cell>
          <cell r="AC1034">
            <v>0</v>
          </cell>
          <cell r="AD1034">
            <v>0</v>
          </cell>
          <cell r="AX1034">
            <v>0</v>
          </cell>
          <cell r="AY1034">
            <v>0</v>
          </cell>
          <cell r="AZ1034">
            <v>0</v>
          </cell>
          <cell r="BA1034">
            <v>0</v>
          </cell>
          <cell r="BI1034">
            <v>0</v>
          </cell>
          <cell r="BJ1034">
            <v>0</v>
          </cell>
          <cell r="BK1034">
            <v>0</v>
          </cell>
          <cell r="BL1034">
            <v>0</v>
          </cell>
          <cell r="BM1034">
            <v>0</v>
          </cell>
          <cell r="BN1034">
            <v>0</v>
          </cell>
          <cell r="BO1034">
            <v>0</v>
          </cell>
          <cell r="BP1034">
            <v>0</v>
          </cell>
          <cell r="BQ1034">
            <v>0</v>
          </cell>
          <cell r="BR1034">
            <v>0</v>
          </cell>
          <cell r="BT1034">
            <v>0</v>
          </cell>
          <cell r="CA1034" t="str">
            <v>NB5048 - EBITA - Identified - Recompete</v>
          </cell>
          <cell r="CC1034" t="str">
            <v>NB5048 - EBITA - Identified - Recompete - IS4</v>
          </cell>
          <cell r="CD1034" t="str">
            <v/>
          </cell>
          <cell r="CF1034" t="str">
            <v>NB5048 - Identified - Recompete - IS4</v>
          </cell>
        </row>
        <row r="1035">
          <cell r="D1035">
            <v>1021</v>
          </cell>
          <cell r="E1035">
            <v>1</v>
          </cell>
          <cell r="F1035">
            <v>1</v>
          </cell>
          <cell r="G1035" t="str">
            <v>CP3115</v>
          </cell>
          <cell r="H1035" t="str">
            <v>MPO FEC 2016 (3115)</v>
          </cell>
          <cell r="I1035" t="str">
            <v>IS4</v>
          </cell>
          <cell r="J1035" t="str">
            <v>IS4 Global Mission Solutions</v>
          </cell>
          <cell r="K1035" t="str">
            <v>M P O</v>
          </cell>
          <cell r="L1035" t="str">
            <v>Other</v>
          </cell>
          <cell r="M1035" t="str">
            <v>US_State</v>
          </cell>
          <cell r="N1035" t="str">
            <v>CONUS</v>
          </cell>
          <cell r="O1035">
            <v>42447</v>
          </cell>
          <cell r="P1035">
            <v>44834</v>
          </cell>
          <cell r="Q1035" t="str">
            <v>Prime</v>
          </cell>
          <cell r="R1035" t="str">
            <v>FFP</v>
          </cell>
          <cell r="S1035">
            <v>0</v>
          </cell>
          <cell r="T1035">
            <v>1</v>
          </cell>
          <cell r="U1035" t="str">
            <v>REVTOT</v>
          </cell>
          <cell r="V1035" t="str">
            <v>Base</v>
          </cell>
          <cell r="W1035" t="str">
            <v>05 Won</v>
          </cell>
          <cell r="X1035" t="str">
            <v>Active</v>
          </cell>
          <cell r="Y1035">
            <v>1</v>
          </cell>
          <cell r="Z1035">
            <v>0</v>
          </cell>
          <cell r="AA1035">
            <v>3300850.1719999993</v>
          </cell>
          <cell r="AB1035">
            <v>0.43999999994412065</v>
          </cell>
          <cell r="AC1035">
            <v>7500000</v>
          </cell>
          <cell r="AD1035">
            <v>10800850.612</v>
          </cell>
          <cell r="AE1035">
            <v>3.9421510817627983</v>
          </cell>
          <cell r="AF1035">
            <v>7.8876868049389426E-2</v>
          </cell>
          <cell r="AG1035">
            <v>0.31035546090628174</v>
          </cell>
          <cell r="AH1035">
            <v>-0.43654633893010941</v>
          </cell>
          <cell r="AI1035">
            <v>0</v>
          </cell>
          <cell r="AJ1035">
            <v>0</v>
          </cell>
          <cell r="AK1035">
            <v>0</v>
          </cell>
          <cell r="BB1035">
            <v>2500000</v>
          </cell>
          <cell r="BC1035">
            <v>2500000</v>
          </cell>
          <cell r="BD1035">
            <v>2500000</v>
          </cell>
          <cell r="BE1035">
            <v>2500000</v>
          </cell>
          <cell r="BF1035">
            <v>635045.40999999992</v>
          </cell>
          <cell r="BG1035">
            <v>3138490.3599999994</v>
          </cell>
          <cell r="BH1035">
            <v>3386044.6500000004</v>
          </cell>
          <cell r="BI1035">
            <v>691856.66999999993</v>
          </cell>
          <cell r="BJ1035">
            <v>728790.64</v>
          </cell>
          <cell r="BK1035">
            <v>981677.57000000007</v>
          </cell>
          <cell r="BL1035">
            <v>2034597.2180000001</v>
          </cell>
          <cell r="BM1035">
            <v>4436922.0980000002</v>
          </cell>
          <cell r="BN1035">
            <v>2500000</v>
          </cell>
          <cell r="BO1035">
            <v>2500000</v>
          </cell>
          <cell r="BP1035">
            <v>2500000</v>
          </cell>
          <cell r="BQ1035">
            <v>2500000</v>
          </cell>
          <cell r="BR1035">
            <v>14436922.098000001</v>
          </cell>
          <cell r="BT1035">
            <v>0</v>
          </cell>
          <cell r="CA1035" t="str">
            <v>CP3115 - REVTOT - Base</v>
          </cell>
          <cell r="CC1035" t="str">
            <v>CP3115 - REVTOT - Base - IS4</v>
          </cell>
          <cell r="CD1035" t="str">
            <v/>
          </cell>
          <cell r="CF1035" t="str">
            <v>CP3115 - Base - IS4</v>
          </cell>
        </row>
        <row r="1036">
          <cell r="D1036">
            <v>1022</v>
          </cell>
          <cell r="E1036">
            <v>1</v>
          </cell>
          <cell r="F1036">
            <v>2</v>
          </cell>
          <cell r="G1036" t="str">
            <v>CP3115</v>
          </cell>
          <cell r="H1036" t="str">
            <v>MPO FEC 2016 (3115)</v>
          </cell>
          <cell r="I1036" t="str">
            <v>IS4</v>
          </cell>
          <cell r="J1036" t="str">
            <v>IS4 Global Mission Solutions</v>
          </cell>
          <cell r="K1036" t="str">
            <v>M P O</v>
          </cell>
          <cell r="L1036" t="str">
            <v>Other</v>
          </cell>
          <cell r="M1036" t="str">
            <v>US_State</v>
          </cell>
          <cell r="N1036" t="str">
            <v>CONUS</v>
          </cell>
          <cell r="O1036">
            <v>0</v>
          </cell>
          <cell r="P1036">
            <v>0</v>
          </cell>
          <cell r="Q1036">
            <v>0</v>
          </cell>
          <cell r="R1036" t="str">
            <v>FFP</v>
          </cell>
          <cell r="S1036">
            <v>0</v>
          </cell>
          <cell r="T1036">
            <v>1</v>
          </cell>
          <cell r="U1036" t="str">
            <v>REVTOT</v>
          </cell>
          <cell r="V1036" t="str">
            <v>Identified - Recompete</v>
          </cell>
          <cell r="W1036">
            <v>0</v>
          </cell>
          <cell r="X1036">
            <v>0</v>
          </cell>
          <cell r="Y1036">
            <v>0</v>
          </cell>
          <cell r="Z1036">
            <v>0</v>
          </cell>
          <cell r="AA1036">
            <v>0</v>
          </cell>
          <cell r="AB1036">
            <v>0</v>
          </cell>
          <cell r="AC1036">
            <v>0</v>
          </cell>
          <cell r="AD1036">
            <v>0</v>
          </cell>
          <cell r="AI1036">
            <v>0</v>
          </cell>
          <cell r="AJ1036">
            <v>0</v>
          </cell>
          <cell r="AK1036">
            <v>0</v>
          </cell>
          <cell r="BB1036">
            <v>0</v>
          </cell>
          <cell r="BC1036">
            <v>0</v>
          </cell>
          <cell r="BD1036">
            <v>0</v>
          </cell>
          <cell r="BE1036">
            <v>0</v>
          </cell>
          <cell r="BI1036">
            <v>0</v>
          </cell>
          <cell r="BJ1036">
            <v>0</v>
          </cell>
          <cell r="BK1036">
            <v>0</v>
          </cell>
          <cell r="BL1036">
            <v>0</v>
          </cell>
          <cell r="BM1036">
            <v>0</v>
          </cell>
          <cell r="BN1036">
            <v>0</v>
          </cell>
          <cell r="BO1036">
            <v>0</v>
          </cell>
          <cell r="BP1036">
            <v>0</v>
          </cell>
          <cell r="BQ1036">
            <v>0</v>
          </cell>
          <cell r="BR1036">
            <v>0</v>
          </cell>
          <cell r="BT1036">
            <v>0</v>
          </cell>
          <cell r="CA1036" t="str">
            <v>CP3115 - REVTOT - Identified - Recompete</v>
          </cell>
          <cell r="CC1036" t="str">
            <v>CP3115 - REVTOT - Identified - Recompete - IS4</v>
          </cell>
          <cell r="CD1036" t="str">
            <v/>
          </cell>
          <cell r="CF1036" t="str">
            <v>CP3115 - Identified - Recompete - IS4</v>
          </cell>
        </row>
        <row r="1037">
          <cell r="D1037">
            <v>1023</v>
          </cell>
          <cell r="E1037">
            <v>2</v>
          </cell>
          <cell r="F1037">
            <v>3</v>
          </cell>
          <cell r="G1037" t="str">
            <v>CP3115</v>
          </cell>
          <cell r="H1037" t="str">
            <v>MPO FEC 2016 (3115)</v>
          </cell>
          <cell r="I1037" t="str">
            <v>IS4</v>
          </cell>
          <cell r="J1037" t="str">
            <v>IS4 Global Mission Solutions</v>
          </cell>
          <cell r="K1037" t="str">
            <v>M P O</v>
          </cell>
          <cell r="L1037" t="str">
            <v>Other</v>
          </cell>
          <cell r="M1037" t="str">
            <v>US_State</v>
          </cell>
          <cell r="N1037" t="str">
            <v>CONUS</v>
          </cell>
          <cell r="O1037">
            <v>42447</v>
          </cell>
          <cell r="P1037">
            <v>44834</v>
          </cell>
          <cell r="Q1037" t="str">
            <v>Prime</v>
          </cell>
          <cell r="R1037" t="str">
            <v>FFP</v>
          </cell>
          <cell r="S1037">
            <v>0</v>
          </cell>
          <cell r="T1037">
            <v>1</v>
          </cell>
          <cell r="U1037" t="str">
            <v>CONTRACT</v>
          </cell>
          <cell r="V1037" t="str">
            <v>Base</v>
          </cell>
          <cell r="W1037" t="str">
            <v>05 Won</v>
          </cell>
          <cell r="X1037" t="str">
            <v>Active</v>
          </cell>
          <cell r="Y1037">
            <v>1</v>
          </cell>
          <cell r="Z1037">
            <v>0</v>
          </cell>
          <cell r="AA1037">
            <v>3300850.1719999993</v>
          </cell>
          <cell r="AB1037">
            <v>0.43999999994412065</v>
          </cell>
          <cell r="AC1037">
            <v>0</v>
          </cell>
          <cell r="AD1037">
            <v>3300850.6119999993</v>
          </cell>
          <cell r="AL1037">
            <v>0.2096389610941366</v>
          </cell>
          <cell r="AM1037">
            <v>0.30725178967890798</v>
          </cell>
          <cell r="AN1037">
            <v>0.39896276028138017</v>
          </cell>
          <cell r="AO1037">
            <v>0.31931350000524622</v>
          </cell>
          <cell r="AP1037">
            <v>0.28080085382403952</v>
          </cell>
          <cell r="AQ1037">
            <v>0.28080085382403952</v>
          </cell>
          <cell r="AR1037">
            <v>0.28080085382403952</v>
          </cell>
          <cell r="AS1037">
            <v>0.28080085382403952</v>
          </cell>
          <cell r="BF1037">
            <v>133130.26</v>
          </cell>
          <cell r="BG1037">
            <v>964306.78</v>
          </cell>
          <cell r="BH1037">
            <v>1350905.72</v>
          </cell>
          <cell r="BI1037">
            <v>362406.01999999996</v>
          </cell>
          <cell r="BJ1037">
            <v>263126.51</v>
          </cell>
          <cell r="BK1037">
            <v>254701.12000000002</v>
          </cell>
          <cell r="BL1037">
            <v>536535.47436300002</v>
          </cell>
          <cell r="BM1037">
            <v>1416769.124363</v>
          </cell>
          <cell r="BN1037">
            <v>702002.13456009876</v>
          </cell>
          <cell r="BO1037">
            <v>702002.13456009876</v>
          </cell>
          <cell r="BP1037">
            <v>702002.13456009876</v>
          </cell>
          <cell r="BQ1037">
            <v>702002.13456009876</v>
          </cell>
          <cell r="BR1037">
            <v>4224777.6626033951</v>
          </cell>
          <cell r="BT1037">
            <v>0</v>
          </cell>
          <cell r="CA1037" t="str">
            <v>CP3115 - CONTRACT - Base</v>
          </cell>
          <cell r="CC1037" t="str">
            <v>CP3115 - CONTRACT - Base - IS4</v>
          </cell>
          <cell r="CD1037" t="str">
            <v/>
          </cell>
          <cell r="CF1037" t="str">
            <v>CP3115 - Base - IS4</v>
          </cell>
        </row>
        <row r="1038">
          <cell r="D1038">
            <v>1024</v>
          </cell>
          <cell r="E1038">
            <v>2</v>
          </cell>
          <cell r="F1038">
            <v>4</v>
          </cell>
          <cell r="G1038" t="str">
            <v>CP3115</v>
          </cell>
          <cell r="H1038" t="str">
            <v>MPO FEC 2016 (3115)</v>
          </cell>
          <cell r="I1038" t="str">
            <v>IS4</v>
          </cell>
          <cell r="J1038" t="str">
            <v>IS4 Global Mission Solutions</v>
          </cell>
          <cell r="K1038" t="str">
            <v>M P O</v>
          </cell>
          <cell r="L1038" t="str">
            <v>Other</v>
          </cell>
          <cell r="M1038" t="str">
            <v>US_State</v>
          </cell>
          <cell r="N1038" t="str">
            <v>CONUS</v>
          </cell>
          <cell r="O1038">
            <v>0</v>
          </cell>
          <cell r="P1038">
            <v>0</v>
          </cell>
          <cell r="Q1038">
            <v>0</v>
          </cell>
          <cell r="R1038" t="str">
            <v>FFP</v>
          </cell>
          <cell r="S1038">
            <v>0</v>
          </cell>
          <cell r="T1038">
            <v>1</v>
          </cell>
          <cell r="U1038" t="str">
            <v>CONTRACT</v>
          </cell>
          <cell r="V1038" t="str">
            <v>Identified - Recompete</v>
          </cell>
          <cell r="W1038">
            <v>0</v>
          </cell>
          <cell r="X1038">
            <v>0</v>
          </cell>
          <cell r="Y1038">
            <v>0</v>
          </cell>
          <cell r="Z1038">
            <v>0</v>
          </cell>
          <cell r="AA1038">
            <v>0</v>
          </cell>
          <cell r="AB1038">
            <v>0</v>
          </cell>
          <cell r="AC1038">
            <v>0</v>
          </cell>
          <cell r="AD1038">
            <v>0</v>
          </cell>
          <cell r="AP1038">
            <v>0</v>
          </cell>
          <cell r="AQ1038">
            <v>0</v>
          </cell>
          <cell r="AR1038">
            <v>0</v>
          </cell>
          <cell r="AS1038">
            <v>0</v>
          </cell>
          <cell r="BI1038">
            <v>0</v>
          </cell>
          <cell r="BJ1038">
            <v>0</v>
          </cell>
          <cell r="BK1038">
            <v>0</v>
          </cell>
          <cell r="BL1038">
            <v>0</v>
          </cell>
          <cell r="BM1038">
            <v>0</v>
          </cell>
          <cell r="BN1038">
            <v>0</v>
          </cell>
          <cell r="BO1038">
            <v>0</v>
          </cell>
          <cell r="BP1038">
            <v>0</v>
          </cell>
          <cell r="BQ1038">
            <v>0</v>
          </cell>
          <cell r="BR1038">
            <v>0</v>
          </cell>
          <cell r="BT1038">
            <v>0</v>
          </cell>
          <cell r="CA1038" t="str">
            <v>CP3115 - CONTRACT - Identified - Recompete</v>
          </cell>
          <cell r="CC1038" t="str">
            <v>CP3115 - CONTRACT - Identified - Recompete - IS4</v>
          </cell>
          <cell r="CD1038" t="str">
            <v/>
          </cell>
          <cell r="CF1038" t="str">
            <v>CP3115 - Identified - Recompete - IS4</v>
          </cell>
        </row>
        <row r="1039">
          <cell r="D1039">
            <v>1025</v>
          </cell>
          <cell r="E1039">
            <v>0</v>
          </cell>
          <cell r="F1039">
            <v>5</v>
          </cell>
          <cell r="G1039" t="str">
            <v>CP3115</v>
          </cell>
          <cell r="H1039" t="str">
            <v>MPO FEC 2016 (3115)</v>
          </cell>
          <cell r="I1039" t="str">
            <v>IS4</v>
          </cell>
          <cell r="J1039" t="str">
            <v>IS4 Global Mission Solutions</v>
          </cell>
          <cell r="K1039" t="str">
            <v>M P O</v>
          </cell>
          <cell r="L1039" t="str">
            <v>Other</v>
          </cell>
          <cell r="M1039" t="str">
            <v>US_State</v>
          </cell>
          <cell r="N1039" t="str">
            <v>CONUS</v>
          </cell>
          <cell r="O1039">
            <v>42447</v>
          </cell>
          <cell r="P1039">
            <v>44834</v>
          </cell>
          <cell r="Q1039" t="str">
            <v>Prime</v>
          </cell>
          <cell r="R1039" t="str">
            <v>FFP</v>
          </cell>
          <cell r="S1039">
            <v>0</v>
          </cell>
          <cell r="T1039">
            <v>1</v>
          </cell>
          <cell r="U1039" t="str">
            <v>EBITA</v>
          </cell>
          <cell r="V1039" t="str">
            <v>Base</v>
          </cell>
          <cell r="W1039" t="str">
            <v>05 Won</v>
          </cell>
          <cell r="X1039" t="str">
            <v>Active</v>
          </cell>
          <cell r="Y1039">
            <v>1</v>
          </cell>
          <cell r="Z1039">
            <v>0</v>
          </cell>
          <cell r="AA1039">
            <v>3300850.1719999993</v>
          </cell>
          <cell r="AB1039">
            <v>0.43999999994412065</v>
          </cell>
          <cell r="AC1039">
            <v>0</v>
          </cell>
          <cell r="AD1039">
            <v>3300850.6119999993</v>
          </cell>
          <cell r="AT1039">
            <v>-5.4518872910206503E-2</v>
          </cell>
          <cell r="AU1039">
            <v>0.11953859243333793</v>
          </cell>
          <cell r="AV1039">
            <v>0.16011411721933433</v>
          </cell>
          <cell r="AW1039">
            <v>8.2035020310379125E-2</v>
          </cell>
          <cell r="AX1039">
            <v>6.6000191853999982E-2</v>
          </cell>
          <cell r="AY1039">
            <v>6.7000191853999982E-2</v>
          </cell>
          <cell r="AZ1039">
            <v>6.8000191853999983E-2</v>
          </cell>
          <cell r="BA1039">
            <v>6.9000191853999984E-2</v>
          </cell>
          <cell r="BF1039">
            <v>-34621.959999999977</v>
          </cell>
          <cell r="BG1039">
            <v>375170.72</v>
          </cell>
          <cell r="BH1039">
            <v>542153.54999999993</v>
          </cell>
          <cell r="BI1039">
            <v>206831.75999999995</v>
          </cell>
          <cell r="BJ1039">
            <v>97407.879999999976</v>
          </cell>
          <cell r="BK1039">
            <v>11117.030000000028</v>
          </cell>
          <cell r="BL1039">
            <v>48626.324425000057</v>
          </cell>
          <cell r="BM1039">
            <v>363982.99442499998</v>
          </cell>
          <cell r="BN1039">
            <v>165000.47963499997</v>
          </cell>
          <cell r="BO1039">
            <v>167500.47963499997</v>
          </cell>
          <cell r="BP1039">
            <v>170000.47963499997</v>
          </cell>
          <cell r="BQ1039">
            <v>172500.47963499997</v>
          </cell>
          <cell r="BR1039">
            <v>1038984.9129649999</v>
          </cell>
          <cell r="BT1039">
            <v>0</v>
          </cell>
          <cell r="CA1039" t="str">
            <v>CP3115 - EBITA - Base</v>
          </cell>
          <cell r="CC1039" t="str">
            <v>CP3115 - EBITA - Base - IS4</v>
          </cell>
          <cell r="CD1039" t="str">
            <v/>
          </cell>
          <cell r="CF1039" t="str">
            <v>CP3115 - Base - IS4</v>
          </cell>
        </row>
        <row r="1040">
          <cell r="D1040">
            <v>1026</v>
          </cell>
          <cell r="E1040">
            <v>0</v>
          </cell>
          <cell r="F1040">
            <v>0</v>
          </cell>
          <cell r="G1040" t="str">
            <v>CP3115</v>
          </cell>
          <cell r="H1040" t="str">
            <v>MPO FEC 2016 (3115)</v>
          </cell>
          <cell r="I1040" t="str">
            <v>IS4</v>
          </cell>
          <cell r="J1040" t="str">
            <v>IS4 Global Mission Solutions</v>
          </cell>
          <cell r="K1040" t="str">
            <v>M P O</v>
          </cell>
          <cell r="L1040" t="str">
            <v>Other</v>
          </cell>
          <cell r="M1040" t="str">
            <v>US_State</v>
          </cell>
          <cell r="N1040" t="str">
            <v>CONUS</v>
          </cell>
          <cell r="O1040">
            <v>0</v>
          </cell>
          <cell r="P1040">
            <v>0</v>
          </cell>
          <cell r="Q1040">
            <v>0</v>
          </cell>
          <cell r="R1040" t="str">
            <v>FFP</v>
          </cell>
          <cell r="S1040">
            <v>0</v>
          </cell>
          <cell r="T1040">
            <v>1</v>
          </cell>
          <cell r="U1040" t="str">
            <v>EBITA</v>
          </cell>
          <cell r="V1040" t="str">
            <v>Identified - Recompete</v>
          </cell>
          <cell r="W1040">
            <v>0</v>
          </cell>
          <cell r="X1040">
            <v>0</v>
          </cell>
          <cell r="Y1040">
            <v>0</v>
          </cell>
          <cell r="Z1040">
            <v>0</v>
          </cell>
          <cell r="AA1040">
            <v>0</v>
          </cell>
          <cell r="AB1040">
            <v>0</v>
          </cell>
          <cell r="AC1040">
            <v>0</v>
          </cell>
          <cell r="AD1040">
            <v>0</v>
          </cell>
          <cell r="AX1040">
            <v>0</v>
          </cell>
          <cell r="AY1040">
            <v>0</v>
          </cell>
          <cell r="AZ1040">
            <v>0</v>
          </cell>
          <cell r="BA1040">
            <v>0</v>
          </cell>
          <cell r="BI1040">
            <v>0</v>
          </cell>
          <cell r="BJ1040">
            <v>0</v>
          </cell>
          <cell r="BK1040">
            <v>0</v>
          </cell>
          <cell r="BL1040">
            <v>0</v>
          </cell>
          <cell r="BM1040">
            <v>0</v>
          </cell>
          <cell r="BN1040">
            <v>0</v>
          </cell>
          <cell r="BO1040">
            <v>0</v>
          </cell>
          <cell r="BP1040">
            <v>0</v>
          </cell>
          <cell r="BQ1040">
            <v>0</v>
          </cell>
          <cell r="BR1040">
            <v>0</v>
          </cell>
          <cell r="BT1040">
            <v>0</v>
          </cell>
          <cell r="CA1040" t="str">
            <v>CP3115 - EBITA - Identified - Recompete</v>
          </cell>
          <cell r="CC1040" t="str">
            <v>CP3115 - EBITA - Identified - Recompete - IS4</v>
          </cell>
          <cell r="CD1040" t="str">
            <v/>
          </cell>
          <cell r="CF1040" t="str">
            <v>CP3115 - Identified - Recompete - IS4</v>
          </cell>
        </row>
        <row r="1041">
          <cell r="D1041">
            <v>1027</v>
          </cell>
          <cell r="E1041">
            <v>1</v>
          </cell>
          <cell r="F1041">
            <v>1</v>
          </cell>
          <cell r="G1041" t="str">
            <v>002307</v>
          </cell>
          <cell r="H1041" t="str">
            <v>IJAMSVILLE SHOP</v>
          </cell>
          <cell r="I1041" t="str">
            <v>IS4</v>
          </cell>
          <cell r="J1041" t="str">
            <v>IS4 Sustainment Engineering and Acquisition</v>
          </cell>
          <cell r="K1041" t="str">
            <v>Navy</v>
          </cell>
          <cell r="L1041" t="str">
            <v>DOD</v>
          </cell>
          <cell r="M1041" t="str">
            <v>MD</v>
          </cell>
          <cell r="N1041" t="str">
            <v>CONUS</v>
          </cell>
          <cell r="O1041">
            <v>41642</v>
          </cell>
          <cell r="P1041">
            <v>43799</v>
          </cell>
          <cell r="Q1041" t="str">
            <v>Prime</v>
          </cell>
          <cell r="R1041" t="str">
            <v>FFP</v>
          </cell>
          <cell r="S1041">
            <v>0</v>
          </cell>
          <cell r="T1041">
            <v>1</v>
          </cell>
          <cell r="U1041" t="str">
            <v>REVTOT</v>
          </cell>
          <cell r="V1041" t="str">
            <v>Base</v>
          </cell>
          <cell r="W1041" t="str">
            <v>05 Won</v>
          </cell>
          <cell r="X1041" t="str">
            <v>Active</v>
          </cell>
          <cell r="Y1041">
            <v>1</v>
          </cell>
          <cell r="Z1041">
            <v>0</v>
          </cell>
          <cell r="AA1041">
            <v>1197658.4299999997</v>
          </cell>
          <cell r="AB1041">
            <v>900033.61999999965</v>
          </cell>
          <cell r="AC1041">
            <v>0</v>
          </cell>
          <cell r="AD1041">
            <v>2097692.0499999993</v>
          </cell>
          <cell r="AE1041">
            <v>6.3525076674802294</v>
          </cell>
          <cell r="AF1041">
            <v>1.3188307967741162</v>
          </cell>
          <cell r="AG1041">
            <v>-0.15957816623124133</v>
          </cell>
          <cell r="AH1041">
            <v>0.24647821922729807</v>
          </cell>
          <cell r="AI1041">
            <v>0</v>
          </cell>
          <cell r="AJ1041">
            <v>0</v>
          </cell>
          <cell r="AK1041">
            <v>0</v>
          </cell>
          <cell r="BB1041">
            <v>2231697</v>
          </cell>
          <cell r="BC1041">
            <v>2231697</v>
          </cell>
          <cell r="BD1041">
            <v>2231697</v>
          </cell>
          <cell r="BE1041">
            <v>2231697</v>
          </cell>
          <cell r="BF1041">
            <v>117450.57999999999</v>
          </cell>
          <cell r="BG1041">
            <v>863556.29</v>
          </cell>
          <cell r="BH1041">
            <v>2002440.92</v>
          </cell>
          <cell r="BI1041">
            <v>505090.42000000004</v>
          </cell>
          <cell r="BJ1041">
            <v>357742.23</v>
          </cell>
          <cell r="BK1041">
            <v>239249.42</v>
          </cell>
          <cell r="BL1041">
            <v>580813</v>
          </cell>
          <cell r="BM1041">
            <v>1682895.07</v>
          </cell>
          <cell r="BN1041">
            <v>2097692.0499999993</v>
          </cell>
          <cell r="BO1041">
            <v>0</v>
          </cell>
          <cell r="BP1041">
            <v>0</v>
          </cell>
          <cell r="BQ1041">
            <v>0</v>
          </cell>
          <cell r="BR1041">
            <v>3780587.1199999992</v>
          </cell>
          <cell r="BT1041">
            <v>0</v>
          </cell>
          <cell r="CA1041" t="str">
            <v>002307 - REVTOT - Base</v>
          </cell>
          <cell r="CC1041" t="str">
            <v>002307 - REVTOT - Base - IS4</v>
          </cell>
          <cell r="CD1041" t="str">
            <v/>
          </cell>
          <cell r="CF1041" t="str">
            <v>002307 - Base - IS4</v>
          </cell>
        </row>
        <row r="1042">
          <cell r="D1042">
            <v>1028</v>
          </cell>
          <cell r="E1042">
            <v>1</v>
          </cell>
          <cell r="F1042">
            <v>2</v>
          </cell>
          <cell r="G1042" t="str">
            <v>002307</v>
          </cell>
          <cell r="H1042" t="str">
            <v>IJAMSVILLE SHOP</v>
          </cell>
          <cell r="I1042" t="str">
            <v>IS4</v>
          </cell>
          <cell r="J1042" t="str">
            <v>IS4 Sustainment Engineering and Acquisition</v>
          </cell>
          <cell r="K1042" t="str">
            <v>Navy</v>
          </cell>
          <cell r="L1042" t="str">
            <v>DOD</v>
          </cell>
          <cell r="M1042" t="str">
            <v>MD</v>
          </cell>
          <cell r="N1042" t="str">
            <v>CONUS</v>
          </cell>
          <cell r="O1042">
            <v>0</v>
          </cell>
          <cell r="P1042">
            <v>0</v>
          </cell>
          <cell r="Q1042">
            <v>0</v>
          </cell>
          <cell r="R1042" t="str">
            <v>FFP</v>
          </cell>
          <cell r="S1042">
            <v>0</v>
          </cell>
          <cell r="T1042">
            <v>1</v>
          </cell>
          <cell r="U1042" t="str">
            <v>REVTOT</v>
          </cell>
          <cell r="V1042" t="str">
            <v>Identified - Recompete</v>
          </cell>
          <cell r="W1042">
            <v>0</v>
          </cell>
          <cell r="X1042">
            <v>0</v>
          </cell>
          <cell r="Y1042">
            <v>0</v>
          </cell>
          <cell r="Z1042">
            <v>0</v>
          </cell>
          <cell r="AA1042">
            <v>0</v>
          </cell>
          <cell r="AB1042">
            <v>0</v>
          </cell>
          <cell r="AC1042">
            <v>0</v>
          </cell>
          <cell r="AD1042">
            <v>0</v>
          </cell>
          <cell r="AI1042">
            <v>0</v>
          </cell>
          <cell r="AJ1042">
            <v>0</v>
          </cell>
          <cell r="AK1042">
            <v>0</v>
          </cell>
          <cell r="BB1042">
            <v>0</v>
          </cell>
          <cell r="BC1042">
            <v>0</v>
          </cell>
          <cell r="BD1042">
            <v>0</v>
          </cell>
          <cell r="BE1042">
            <v>0</v>
          </cell>
          <cell r="BI1042">
            <v>0</v>
          </cell>
          <cell r="BJ1042">
            <v>0</v>
          </cell>
          <cell r="BK1042">
            <v>0</v>
          </cell>
          <cell r="BL1042">
            <v>0</v>
          </cell>
          <cell r="BM1042">
            <v>0</v>
          </cell>
          <cell r="BN1042">
            <v>0</v>
          </cell>
          <cell r="BO1042">
            <v>0</v>
          </cell>
          <cell r="BP1042">
            <v>0</v>
          </cell>
          <cell r="BQ1042">
            <v>0</v>
          </cell>
          <cell r="BR1042">
            <v>0</v>
          </cell>
          <cell r="BT1042">
            <v>0</v>
          </cell>
          <cell r="CA1042" t="str">
            <v>002307 - REVTOT - Identified - Recompete</v>
          </cell>
          <cell r="CC1042" t="str">
            <v>002307 - REVTOT - Identified - Recompete - IS4</v>
          </cell>
          <cell r="CD1042" t="str">
            <v/>
          </cell>
          <cell r="CF1042" t="str">
            <v>002307 - Identified - Recompete - IS4</v>
          </cell>
        </row>
        <row r="1043">
          <cell r="D1043">
            <v>1029</v>
          </cell>
          <cell r="E1043">
            <v>2</v>
          </cell>
          <cell r="F1043">
            <v>3</v>
          </cell>
          <cell r="G1043" t="str">
            <v>002307</v>
          </cell>
          <cell r="H1043" t="str">
            <v>IJAMSVILLE SHOP</v>
          </cell>
          <cell r="I1043" t="str">
            <v>IS4</v>
          </cell>
          <cell r="J1043" t="str">
            <v>IS4 Sustainment Engineering and Acquisition</v>
          </cell>
          <cell r="K1043" t="str">
            <v>Navy</v>
          </cell>
          <cell r="L1043" t="str">
            <v>DOD</v>
          </cell>
          <cell r="M1043" t="str">
            <v>MD</v>
          </cell>
          <cell r="N1043" t="str">
            <v>CONUS</v>
          </cell>
          <cell r="O1043">
            <v>41642</v>
          </cell>
          <cell r="P1043">
            <v>43799</v>
          </cell>
          <cell r="Q1043" t="str">
            <v>Prime</v>
          </cell>
          <cell r="R1043" t="str">
            <v>FFP</v>
          </cell>
          <cell r="S1043">
            <v>0</v>
          </cell>
          <cell r="T1043">
            <v>1</v>
          </cell>
          <cell r="U1043" t="str">
            <v>CONTRACT</v>
          </cell>
          <cell r="V1043" t="str">
            <v>Base</v>
          </cell>
          <cell r="W1043" t="str">
            <v>05 Won</v>
          </cell>
          <cell r="X1043" t="str">
            <v>Active</v>
          </cell>
          <cell r="Y1043">
            <v>1</v>
          </cell>
          <cell r="Z1043">
            <v>0</v>
          </cell>
          <cell r="AA1043">
            <v>1197658.4299999997</v>
          </cell>
          <cell r="AB1043">
            <v>900033.61999999965</v>
          </cell>
          <cell r="AC1043">
            <v>0</v>
          </cell>
          <cell r="AD1043">
            <v>2097692.0499999993</v>
          </cell>
          <cell r="AL1043">
            <v>0.40394921847129234</v>
          </cell>
          <cell r="AM1043">
            <v>0.29203172152217205</v>
          </cell>
          <cell r="AN1043">
            <v>0.23097308658674437</v>
          </cell>
          <cell r="AO1043">
            <v>0.26387058701170241</v>
          </cell>
          <cell r="AP1043">
            <v>0.31062307750559326</v>
          </cell>
          <cell r="AQ1043">
            <v>0.31062307750559326</v>
          </cell>
          <cell r="AR1043">
            <v>0.31062307750559326</v>
          </cell>
          <cell r="AS1043">
            <v>0.31062307750559326</v>
          </cell>
          <cell r="BF1043">
            <v>47444.069999999992</v>
          </cell>
          <cell r="BG1043">
            <v>252185.83000000005</v>
          </cell>
          <cell r="BH1043">
            <v>462509.96</v>
          </cell>
          <cell r="BI1043">
            <v>126945.58</v>
          </cell>
          <cell r="BJ1043">
            <v>101328.89999999997</v>
          </cell>
          <cell r="BK1043">
            <v>73853.03</v>
          </cell>
          <cell r="BL1043">
            <v>141939</v>
          </cell>
          <cell r="BM1043">
            <v>444066.51</v>
          </cell>
          <cell r="BN1043">
            <v>651591.56023001659</v>
          </cell>
          <cell r="BO1043">
            <v>0</v>
          </cell>
          <cell r="BP1043">
            <v>0</v>
          </cell>
          <cell r="BQ1043">
            <v>0</v>
          </cell>
          <cell r="BR1043">
            <v>1095658.0702300165</v>
          </cell>
          <cell r="BT1043">
            <v>0</v>
          </cell>
          <cell r="CA1043" t="str">
            <v>002307 - CONTRACT - Base</v>
          </cell>
          <cell r="CC1043" t="str">
            <v>002307 - CONTRACT - Base - IS4</v>
          </cell>
          <cell r="CD1043" t="str">
            <v/>
          </cell>
          <cell r="CF1043" t="str">
            <v>002307 - Base - IS4</v>
          </cell>
        </row>
        <row r="1044">
          <cell r="D1044">
            <v>1030</v>
          </cell>
          <cell r="E1044">
            <v>2</v>
          </cell>
          <cell r="F1044">
            <v>4</v>
          </cell>
          <cell r="G1044" t="str">
            <v>002307</v>
          </cell>
          <cell r="H1044" t="str">
            <v>IJAMSVILLE SHOP</v>
          </cell>
          <cell r="I1044" t="str">
            <v>IS4</v>
          </cell>
          <cell r="J1044" t="str">
            <v>IS4 Sustainment Engineering and Acquisition</v>
          </cell>
          <cell r="K1044" t="str">
            <v>Navy</v>
          </cell>
          <cell r="L1044" t="str">
            <v>DOD</v>
          </cell>
          <cell r="M1044" t="str">
            <v>MD</v>
          </cell>
          <cell r="N1044" t="str">
            <v>CONUS</v>
          </cell>
          <cell r="O1044">
            <v>0</v>
          </cell>
          <cell r="P1044">
            <v>0</v>
          </cell>
          <cell r="Q1044">
            <v>0</v>
          </cell>
          <cell r="R1044" t="str">
            <v>FFP</v>
          </cell>
          <cell r="S1044">
            <v>0</v>
          </cell>
          <cell r="T1044">
            <v>1</v>
          </cell>
          <cell r="U1044" t="str">
            <v>CONTRACT</v>
          </cell>
          <cell r="V1044" t="str">
            <v>Identified - Recompete</v>
          </cell>
          <cell r="W1044">
            <v>0</v>
          </cell>
          <cell r="X1044">
            <v>0</v>
          </cell>
          <cell r="Y1044">
            <v>0</v>
          </cell>
          <cell r="Z1044">
            <v>0</v>
          </cell>
          <cell r="AA1044">
            <v>0</v>
          </cell>
          <cell r="AB1044">
            <v>0</v>
          </cell>
          <cell r="AC1044">
            <v>0</v>
          </cell>
          <cell r="AD1044">
            <v>0</v>
          </cell>
          <cell r="AP1044">
            <v>0</v>
          </cell>
          <cell r="AQ1044">
            <v>0</v>
          </cell>
          <cell r="AR1044">
            <v>0</v>
          </cell>
          <cell r="AS1044">
            <v>0</v>
          </cell>
          <cell r="BI1044">
            <v>0</v>
          </cell>
          <cell r="BJ1044">
            <v>0</v>
          </cell>
          <cell r="BK1044">
            <v>0</v>
          </cell>
          <cell r="BL1044">
            <v>0</v>
          </cell>
          <cell r="BM1044">
            <v>0</v>
          </cell>
          <cell r="BN1044">
            <v>0</v>
          </cell>
          <cell r="BO1044">
            <v>0</v>
          </cell>
          <cell r="BP1044">
            <v>0</v>
          </cell>
          <cell r="BQ1044">
            <v>0</v>
          </cell>
          <cell r="BR1044">
            <v>0</v>
          </cell>
          <cell r="BT1044">
            <v>0</v>
          </cell>
          <cell r="CA1044" t="str">
            <v>002307 - CONTRACT - Identified - Recompete</v>
          </cell>
          <cell r="CC1044" t="str">
            <v>002307 - CONTRACT - Identified - Recompete - IS4</v>
          </cell>
          <cell r="CD1044" t="str">
            <v/>
          </cell>
          <cell r="CF1044" t="str">
            <v>002307 - Identified - Recompete - IS4</v>
          </cell>
        </row>
        <row r="1045">
          <cell r="D1045">
            <v>1031</v>
          </cell>
          <cell r="E1045">
            <v>0</v>
          </cell>
          <cell r="F1045">
            <v>5</v>
          </cell>
          <cell r="G1045" t="str">
            <v>002307</v>
          </cell>
          <cell r="H1045" t="str">
            <v>IJAMSVILLE SHOP</v>
          </cell>
          <cell r="I1045" t="str">
            <v>IS4</v>
          </cell>
          <cell r="J1045" t="str">
            <v>IS4 Sustainment Engineering and Acquisition</v>
          </cell>
          <cell r="K1045" t="str">
            <v>Navy</v>
          </cell>
          <cell r="L1045" t="str">
            <v>DOD</v>
          </cell>
          <cell r="M1045" t="str">
            <v>MD</v>
          </cell>
          <cell r="N1045" t="str">
            <v>CONUS</v>
          </cell>
          <cell r="O1045">
            <v>41642</v>
          </cell>
          <cell r="P1045">
            <v>43799</v>
          </cell>
          <cell r="Q1045" t="str">
            <v>Prime</v>
          </cell>
          <cell r="R1045" t="str">
            <v>FFP</v>
          </cell>
          <cell r="S1045">
            <v>0</v>
          </cell>
          <cell r="T1045">
            <v>1</v>
          </cell>
          <cell r="U1045" t="str">
            <v>EBITA</v>
          </cell>
          <cell r="V1045" t="str">
            <v>Base</v>
          </cell>
          <cell r="W1045" t="str">
            <v>05 Won</v>
          </cell>
          <cell r="X1045" t="str">
            <v>Active</v>
          </cell>
          <cell r="Y1045">
            <v>1</v>
          </cell>
          <cell r="Z1045">
            <v>0</v>
          </cell>
          <cell r="AA1045">
            <v>1197658.4299999997</v>
          </cell>
          <cell r="AB1045">
            <v>900033.61999999965</v>
          </cell>
          <cell r="AC1045">
            <v>0</v>
          </cell>
          <cell r="AD1045">
            <v>2097692.0499999993</v>
          </cell>
          <cell r="AT1045">
            <v>0.11779635315551441</v>
          </cell>
          <cell r="AU1045">
            <v>4.2917503385911306E-2</v>
          </cell>
          <cell r="AV1045">
            <v>6.1283436017677877E-2</v>
          </cell>
          <cell r="AW1045">
            <v>5.0100758807261808E-2</v>
          </cell>
          <cell r="AX1045">
            <v>0.13164329482541998</v>
          </cell>
          <cell r="AY1045">
            <v>0.13264329482541998</v>
          </cell>
          <cell r="AZ1045">
            <v>0.13364329482541998</v>
          </cell>
          <cell r="BA1045">
            <v>0.13464329482541998</v>
          </cell>
          <cell r="BF1045">
            <v>13835.249999999996</v>
          </cell>
          <cell r="BG1045">
            <v>37061.680000000008</v>
          </cell>
          <cell r="BH1045">
            <v>122716.46000000002</v>
          </cell>
          <cell r="BI1045">
            <v>24041.79</v>
          </cell>
          <cell r="BJ1045">
            <v>19396.839999999971</v>
          </cell>
          <cell r="BK1045">
            <v>13220.69000000001</v>
          </cell>
          <cell r="BL1045">
            <v>27655</v>
          </cell>
          <cell r="BM1045">
            <v>84314.319999999978</v>
          </cell>
          <cell r="BN1045">
            <v>276147.09299108956</v>
          </cell>
          <cell r="BO1045">
            <v>0</v>
          </cell>
          <cell r="BP1045">
            <v>0</v>
          </cell>
          <cell r="BQ1045">
            <v>0</v>
          </cell>
          <cell r="BR1045">
            <v>360461.41299108951</v>
          </cell>
          <cell r="BT1045">
            <v>0</v>
          </cell>
          <cell r="CA1045" t="str">
            <v>002307 - EBITA - Base</v>
          </cell>
          <cell r="CC1045" t="str">
            <v>002307 - EBITA - Base - IS4</v>
          </cell>
          <cell r="CD1045" t="str">
            <v/>
          </cell>
          <cell r="CF1045" t="str">
            <v>002307 - Base - IS4</v>
          </cell>
        </row>
        <row r="1046">
          <cell r="D1046">
            <v>1032</v>
          </cell>
          <cell r="E1046">
            <v>0</v>
          </cell>
          <cell r="F1046">
            <v>0</v>
          </cell>
          <cell r="G1046" t="str">
            <v>002307</v>
          </cell>
          <cell r="H1046" t="str">
            <v>IJAMSVILLE SHOP</v>
          </cell>
          <cell r="I1046" t="str">
            <v>IS4</v>
          </cell>
          <cell r="J1046" t="str">
            <v>IS4 Sustainment Engineering and Acquisition</v>
          </cell>
          <cell r="K1046" t="str">
            <v>Navy</v>
          </cell>
          <cell r="L1046" t="str">
            <v>DOD</v>
          </cell>
          <cell r="M1046" t="str">
            <v>MD</v>
          </cell>
          <cell r="N1046" t="str">
            <v>CONUS</v>
          </cell>
          <cell r="O1046">
            <v>0</v>
          </cell>
          <cell r="P1046">
            <v>0</v>
          </cell>
          <cell r="Q1046">
            <v>0</v>
          </cell>
          <cell r="R1046" t="str">
            <v>FFP</v>
          </cell>
          <cell r="S1046">
            <v>0</v>
          </cell>
          <cell r="T1046">
            <v>1</v>
          </cell>
          <cell r="U1046" t="str">
            <v>EBITA</v>
          </cell>
          <cell r="V1046" t="str">
            <v>Identified - Recompete</v>
          </cell>
          <cell r="W1046">
            <v>0</v>
          </cell>
          <cell r="X1046">
            <v>0</v>
          </cell>
          <cell r="Y1046">
            <v>0</v>
          </cell>
          <cell r="Z1046">
            <v>0</v>
          </cell>
          <cell r="AA1046">
            <v>0</v>
          </cell>
          <cell r="AB1046">
            <v>0</v>
          </cell>
          <cell r="AC1046">
            <v>0</v>
          </cell>
          <cell r="AD1046">
            <v>0</v>
          </cell>
          <cell r="AX1046">
            <v>0</v>
          </cell>
          <cell r="AY1046">
            <v>0</v>
          </cell>
          <cell r="AZ1046">
            <v>0</v>
          </cell>
          <cell r="BA1046">
            <v>0</v>
          </cell>
          <cell r="BI1046">
            <v>0</v>
          </cell>
          <cell r="BJ1046">
            <v>0</v>
          </cell>
          <cell r="BK1046">
            <v>0</v>
          </cell>
          <cell r="BL1046">
            <v>0</v>
          </cell>
          <cell r="BM1046">
            <v>0</v>
          </cell>
          <cell r="BN1046">
            <v>0</v>
          </cell>
          <cell r="BO1046">
            <v>0</v>
          </cell>
          <cell r="BP1046">
            <v>0</v>
          </cell>
          <cell r="BQ1046">
            <v>0</v>
          </cell>
          <cell r="BR1046">
            <v>0</v>
          </cell>
          <cell r="BT1046">
            <v>0</v>
          </cell>
          <cell r="CA1046" t="str">
            <v>002307 - EBITA - Identified - Recompete</v>
          </cell>
          <cell r="CC1046" t="str">
            <v>002307 - EBITA - Identified - Recompete - IS4</v>
          </cell>
          <cell r="CD1046" t="str">
            <v/>
          </cell>
          <cell r="CF1046" t="str">
            <v>002307 - Identified - Recompete - IS4</v>
          </cell>
        </row>
        <row r="1047">
          <cell r="D1047">
            <v>1033</v>
          </cell>
          <cell r="E1047">
            <v>1</v>
          </cell>
          <cell r="F1047">
            <v>1</v>
          </cell>
          <cell r="G1047" t="str">
            <v>NTCR02</v>
          </cell>
          <cell r="H1047" t="str">
            <v>NTCR Recompete</v>
          </cell>
          <cell r="I1047" t="str">
            <v>IS4</v>
          </cell>
          <cell r="J1047" t="str">
            <v>IS4 Sustainment Engineering and Acquisition</v>
          </cell>
          <cell r="K1047" t="str">
            <v>Navy</v>
          </cell>
          <cell r="L1047" t="str">
            <v>DOD</v>
          </cell>
          <cell r="M1047" t="str">
            <v>IN</v>
          </cell>
          <cell r="N1047" t="str">
            <v>CONUS</v>
          </cell>
          <cell r="O1047">
            <v>43369</v>
          </cell>
          <cell r="P1047">
            <v>45194</v>
          </cell>
          <cell r="Q1047" t="str">
            <v>Prime</v>
          </cell>
          <cell r="R1047" t="str">
            <v>FFP</v>
          </cell>
          <cell r="S1047">
            <v>0</v>
          </cell>
          <cell r="T1047">
            <v>1</v>
          </cell>
          <cell r="U1047" t="str">
            <v>REVTOT</v>
          </cell>
          <cell r="V1047" t="str">
            <v>Base</v>
          </cell>
          <cell r="W1047" t="str">
            <v>05 Won</v>
          </cell>
          <cell r="X1047" t="str">
            <v>Active</v>
          </cell>
          <cell r="Y1047">
            <v>1</v>
          </cell>
          <cell r="Z1047">
            <v>0</v>
          </cell>
          <cell r="AA1047">
            <v>2214540.44</v>
          </cell>
          <cell r="AB1047">
            <v>21600000</v>
          </cell>
          <cell r="AC1047">
            <v>0</v>
          </cell>
          <cell r="AD1047">
            <v>23814540.440000001</v>
          </cell>
          <cell r="AE1047">
            <v>0</v>
          </cell>
          <cell r="AF1047">
            <v>0</v>
          </cell>
          <cell r="AG1047">
            <v>0</v>
          </cell>
          <cell r="AH1047">
            <v>1.1495975788495052</v>
          </cell>
          <cell r="AI1047">
            <v>0</v>
          </cell>
          <cell r="AJ1047">
            <v>0</v>
          </cell>
          <cell r="AK1047">
            <v>0</v>
          </cell>
          <cell r="BB1047">
            <v>2548261</v>
          </cell>
          <cell r="BC1047">
            <v>2548261</v>
          </cell>
          <cell r="BD1047">
            <v>2548261</v>
          </cell>
          <cell r="BE1047">
            <v>2548261</v>
          </cell>
          <cell r="BF1047">
            <v>0</v>
          </cell>
          <cell r="BG1047">
            <v>0</v>
          </cell>
          <cell r="BH1047">
            <v>0</v>
          </cell>
          <cell r="BI1047">
            <v>0</v>
          </cell>
          <cell r="BJ1047">
            <v>238189.11</v>
          </cell>
          <cell r="BK1047">
            <v>390535.45</v>
          </cell>
          <cell r="BL1047">
            <v>556735</v>
          </cell>
          <cell r="BM1047">
            <v>1185459.56</v>
          </cell>
          <cell r="BN1047">
            <v>2548261</v>
          </cell>
          <cell r="BO1047">
            <v>2548261</v>
          </cell>
          <cell r="BP1047">
            <v>2548261</v>
          </cell>
          <cell r="BQ1047">
            <v>2548261</v>
          </cell>
          <cell r="BR1047">
            <v>11378503.560000001</v>
          </cell>
          <cell r="BT1047">
            <v>0</v>
          </cell>
          <cell r="CA1047" t="str">
            <v>NTCR02 - REVTOT - Base</v>
          </cell>
          <cell r="CC1047" t="str">
            <v>NTCR02 - REVTOT - Base - IS4</v>
          </cell>
          <cell r="CD1047" t="str">
            <v/>
          </cell>
          <cell r="CF1047" t="str">
            <v>NTCR02 - Base - IS4</v>
          </cell>
        </row>
        <row r="1048">
          <cell r="D1048">
            <v>1034</v>
          </cell>
          <cell r="E1048">
            <v>1</v>
          </cell>
          <cell r="F1048">
            <v>2</v>
          </cell>
          <cell r="G1048" t="str">
            <v>NTCR02</v>
          </cell>
          <cell r="H1048" t="str">
            <v>NTCR Recompete</v>
          </cell>
          <cell r="I1048" t="str">
            <v>IS4</v>
          </cell>
          <cell r="J1048" t="str">
            <v>IS4 Sustainment Engineering and Acquisition</v>
          </cell>
          <cell r="K1048" t="str">
            <v>Navy</v>
          </cell>
          <cell r="L1048" t="str">
            <v>DOD</v>
          </cell>
          <cell r="M1048" t="str">
            <v>IN</v>
          </cell>
          <cell r="N1048" t="str">
            <v>CONUS</v>
          </cell>
          <cell r="O1048">
            <v>0</v>
          </cell>
          <cell r="P1048">
            <v>0</v>
          </cell>
          <cell r="Q1048">
            <v>0</v>
          </cell>
          <cell r="R1048" t="str">
            <v>FFP</v>
          </cell>
          <cell r="S1048">
            <v>0</v>
          </cell>
          <cell r="T1048">
            <v>1</v>
          </cell>
          <cell r="U1048" t="str">
            <v>REVTOT</v>
          </cell>
          <cell r="V1048" t="str">
            <v>Identified - Recompete</v>
          </cell>
          <cell r="W1048">
            <v>0</v>
          </cell>
          <cell r="X1048">
            <v>0</v>
          </cell>
          <cell r="Y1048">
            <v>0</v>
          </cell>
          <cell r="Z1048">
            <v>0</v>
          </cell>
          <cell r="AA1048">
            <v>0</v>
          </cell>
          <cell r="AB1048">
            <v>0</v>
          </cell>
          <cell r="AC1048">
            <v>0</v>
          </cell>
          <cell r="AD1048">
            <v>0</v>
          </cell>
          <cell r="AI1048">
            <v>0</v>
          </cell>
          <cell r="AJ1048">
            <v>0</v>
          </cell>
          <cell r="AK1048">
            <v>0</v>
          </cell>
          <cell r="BB1048">
            <v>0</v>
          </cell>
          <cell r="BC1048">
            <v>0</v>
          </cell>
          <cell r="BD1048">
            <v>0</v>
          </cell>
          <cell r="BE1048">
            <v>0</v>
          </cell>
          <cell r="BI1048">
            <v>0</v>
          </cell>
          <cell r="BJ1048">
            <v>0</v>
          </cell>
          <cell r="BK1048">
            <v>0</v>
          </cell>
          <cell r="BL1048">
            <v>0</v>
          </cell>
          <cell r="BM1048">
            <v>0</v>
          </cell>
          <cell r="BN1048">
            <v>0</v>
          </cell>
          <cell r="BO1048">
            <v>0</v>
          </cell>
          <cell r="BP1048">
            <v>0</v>
          </cell>
          <cell r="BQ1048">
            <v>0</v>
          </cell>
          <cell r="BR1048">
            <v>0</v>
          </cell>
          <cell r="BT1048">
            <v>0</v>
          </cell>
          <cell r="CA1048" t="str">
            <v>NTCR02 - REVTOT - Identified - Recompete</v>
          </cell>
          <cell r="CC1048" t="str">
            <v>NTCR02 - REVTOT - Identified - Recompete - IS4</v>
          </cell>
          <cell r="CD1048" t="str">
            <v/>
          </cell>
          <cell r="CF1048" t="str">
            <v>NTCR02 - Identified - Recompete - IS4</v>
          </cell>
        </row>
        <row r="1049">
          <cell r="D1049">
            <v>1035</v>
          </cell>
          <cell r="E1049">
            <v>2</v>
          </cell>
          <cell r="F1049">
            <v>3</v>
          </cell>
          <cell r="G1049" t="str">
            <v>NTCR02</v>
          </cell>
          <cell r="H1049" t="str">
            <v>NTCR Recompete</v>
          </cell>
          <cell r="I1049" t="str">
            <v>IS4</v>
          </cell>
          <cell r="J1049" t="str">
            <v>IS4 Sustainment Engineering and Acquisition</v>
          </cell>
          <cell r="K1049" t="str">
            <v>Navy</v>
          </cell>
          <cell r="L1049" t="str">
            <v>DOD</v>
          </cell>
          <cell r="M1049" t="str">
            <v>IN</v>
          </cell>
          <cell r="N1049" t="str">
            <v>CONUS</v>
          </cell>
          <cell r="O1049">
            <v>43369</v>
          </cell>
          <cell r="P1049">
            <v>45194</v>
          </cell>
          <cell r="Q1049" t="str">
            <v>Prime</v>
          </cell>
          <cell r="R1049" t="str">
            <v>FFP</v>
          </cell>
          <cell r="S1049">
            <v>0</v>
          </cell>
          <cell r="T1049">
            <v>1</v>
          </cell>
          <cell r="U1049" t="str">
            <v>CONTRACT</v>
          </cell>
          <cell r="V1049" t="str">
            <v>Base</v>
          </cell>
          <cell r="W1049" t="str">
            <v>05 Won</v>
          </cell>
          <cell r="X1049" t="str">
            <v>Active</v>
          </cell>
          <cell r="Y1049">
            <v>1</v>
          </cell>
          <cell r="Z1049">
            <v>0</v>
          </cell>
          <cell r="AA1049">
            <v>2214540.44</v>
          </cell>
          <cell r="AB1049">
            <v>21600000</v>
          </cell>
          <cell r="AC1049">
            <v>0</v>
          </cell>
          <cell r="AD1049">
            <v>23814540.440000001</v>
          </cell>
          <cell r="AL1049">
            <v>0</v>
          </cell>
          <cell r="AM1049">
            <v>0</v>
          </cell>
          <cell r="AN1049">
            <v>0</v>
          </cell>
          <cell r="AO1049">
            <v>0.25401671174679302</v>
          </cell>
          <cell r="AP1049">
            <v>0.26943717264440337</v>
          </cell>
          <cell r="AQ1049">
            <v>0.26943717264440337</v>
          </cell>
          <cell r="AR1049">
            <v>0.26943717264440337</v>
          </cell>
          <cell r="AS1049">
            <v>0.26943717264440337</v>
          </cell>
          <cell r="BF1049">
            <v>0</v>
          </cell>
          <cell r="BG1049">
            <v>0</v>
          </cell>
          <cell r="BH1049">
            <v>0</v>
          </cell>
          <cell r="BI1049">
            <v>0</v>
          </cell>
          <cell r="BJ1049">
            <v>-3641.4000000000033</v>
          </cell>
          <cell r="BK1049">
            <v>104584.17000000001</v>
          </cell>
          <cell r="BL1049">
            <v>200183.76934000006</v>
          </cell>
          <cell r="BM1049">
            <v>301126.53934000008</v>
          </cell>
          <cell r="BN1049">
            <v>686596.23899999994</v>
          </cell>
          <cell r="BO1049">
            <v>686596.23899999994</v>
          </cell>
          <cell r="BP1049">
            <v>686596.23899999994</v>
          </cell>
          <cell r="BQ1049">
            <v>686596.23899999994</v>
          </cell>
          <cell r="BR1049">
            <v>3047511.4953399999</v>
          </cell>
          <cell r="BT1049">
            <v>0</v>
          </cell>
          <cell r="CA1049" t="str">
            <v>NTCR02 - CONTRACT - Base</v>
          </cell>
          <cell r="CC1049" t="str">
            <v>NTCR02 - CONTRACT - Base - IS4</v>
          </cell>
          <cell r="CD1049" t="str">
            <v/>
          </cell>
          <cell r="CF1049" t="str">
            <v>NTCR02 - Base - IS4</v>
          </cell>
        </row>
        <row r="1050">
          <cell r="D1050">
            <v>1036</v>
          </cell>
          <cell r="E1050">
            <v>2</v>
          </cell>
          <cell r="F1050">
            <v>4</v>
          </cell>
          <cell r="G1050" t="str">
            <v>NTCR02</v>
          </cell>
          <cell r="H1050" t="str">
            <v>NTCR Recompete</v>
          </cell>
          <cell r="I1050" t="str">
            <v>IS4</v>
          </cell>
          <cell r="J1050" t="str">
            <v>IS4 Sustainment Engineering and Acquisition</v>
          </cell>
          <cell r="K1050" t="str">
            <v>Navy</v>
          </cell>
          <cell r="L1050" t="str">
            <v>DOD</v>
          </cell>
          <cell r="M1050" t="str">
            <v>IN</v>
          </cell>
          <cell r="N1050" t="str">
            <v>CONUS</v>
          </cell>
          <cell r="O1050">
            <v>0</v>
          </cell>
          <cell r="P1050">
            <v>0</v>
          </cell>
          <cell r="Q1050">
            <v>0</v>
          </cell>
          <cell r="R1050" t="str">
            <v>FFP</v>
          </cell>
          <cell r="S1050">
            <v>0</v>
          </cell>
          <cell r="T1050">
            <v>1</v>
          </cell>
          <cell r="U1050" t="str">
            <v>CONTRACT</v>
          </cell>
          <cell r="V1050" t="str">
            <v>Identified - Recompete</v>
          </cell>
          <cell r="W1050">
            <v>0</v>
          </cell>
          <cell r="X1050">
            <v>0</v>
          </cell>
          <cell r="Y1050">
            <v>0</v>
          </cell>
          <cell r="Z1050">
            <v>0</v>
          </cell>
          <cell r="AA1050">
            <v>0</v>
          </cell>
          <cell r="AB1050">
            <v>0</v>
          </cell>
          <cell r="AC1050">
            <v>0</v>
          </cell>
          <cell r="AD1050">
            <v>0</v>
          </cell>
          <cell r="AP1050">
            <v>0</v>
          </cell>
          <cell r="AQ1050">
            <v>0</v>
          </cell>
          <cell r="AR1050">
            <v>0</v>
          </cell>
          <cell r="AS1050">
            <v>0</v>
          </cell>
          <cell r="BI1050">
            <v>0</v>
          </cell>
          <cell r="BJ1050">
            <v>0</v>
          </cell>
          <cell r="BK1050">
            <v>0</v>
          </cell>
          <cell r="BL1050">
            <v>0</v>
          </cell>
          <cell r="BM1050">
            <v>0</v>
          </cell>
          <cell r="BN1050">
            <v>0</v>
          </cell>
          <cell r="BO1050">
            <v>0</v>
          </cell>
          <cell r="BP1050">
            <v>0</v>
          </cell>
          <cell r="BQ1050">
            <v>0</v>
          </cell>
          <cell r="BR1050">
            <v>0</v>
          </cell>
          <cell r="BT1050">
            <v>0</v>
          </cell>
          <cell r="CA1050" t="str">
            <v>NTCR02 - CONTRACT - Identified - Recompete</v>
          </cell>
          <cell r="CC1050" t="str">
            <v>NTCR02 - CONTRACT - Identified - Recompete - IS4</v>
          </cell>
          <cell r="CD1050" t="str">
            <v/>
          </cell>
          <cell r="CF1050" t="str">
            <v>NTCR02 - Identified - Recompete - IS4</v>
          </cell>
        </row>
        <row r="1051">
          <cell r="D1051">
            <v>1037</v>
          </cell>
          <cell r="E1051">
            <v>0</v>
          </cell>
          <cell r="F1051">
            <v>5</v>
          </cell>
          <cell r="G1051" t="str">
            <v>NTCR02</v>
          </cell>
          <cell r="H1051" t="str">
            <v>NTCR Recompete</v>
          </cell>
          <cell r="I1051" t="str">
            <v>IS4</v>
          </cell>
          <cell r="J1051" t="str">
            <v>IS4 Sustainment Engineering and Acquisition</v>
          </cell>
          <cell r="K1051" t="str">
            <v>Navy</v>
          </cell>
          <cell r="L1051" t="str">
            <v>DOD</v>
          </cell>
          <cell r="M1051" t="str">
            <v>IN</v>
          </cell>
          <cell r="N1051" t="str">
            <v>CONUS</v>
          </cell>
          <cell r="O1051">
            <v>43369</v>
          </cell>
          <cell r="P1051">
            <v>45194</v>
          </cell>
          <cell r="Q1051" t="str">
            <v>Prime</v>
          </cell>
          <cell r="R1051" t="str">
            <v>FFP</v>
          </cell>
          <cell r="S1051">
            <v>0</v>
          </cell>
          <cell r="T1051">
            <v>1</v>
          </cell>
          <cell r="U1051" t="str">
            <v>EBITA</v>
          </cell>
          <cell r="V1051" t="str">
            <v>Base</v>
          </cell>
          <cell r="W1051" t="str">
            <v>05 Won</v>
          </cell>
          <cell r="X1051" t="str">
            <v>Active</v>
          </cell>
          <cell r="Y1051">
            <v>1</v>
          </cell>
          <cell r="Z1051">
            <v>0</v>
          </cell>
          <cell r="AA1051">
            <v>2214540.44</v>
          </cell>
          <cell r="AB1051">
            <v>21600000</v>
          </cell>
          <cell r="AC1051">
            <v>0</v>
          </cell>
          <cell r="AD1051">
            <v>23814540.440000001</v>
          </cell>
          <cell r="AT1051">
            <v>0</v>
          </cell>
          <cell r="AU1051">
            <v>0</v>
          </cell>
          <cell r="AV1051">
            <v>0</v>
          </cell>
          <cell r="AW1051">
            <v>0.13744788559876289</v>
          </cell>
          <cell r="AX1051">
            <v>0.18131499419709382</v>
          </cell>
          <cell r="AY1051">
            <v>0.18231499419709382</v>
          </cell>
          <cell r="AZ1051">
            <v>0.18331499419709382</v>
          </cell>
          <cell r="BA1051">
            <v>0.18431499419709382</v>
          </cell>
          <cell r="BF1051">
            <v>0</v>
          </cell>
          <cell r="BG1051">
            <v>0</v>
          </cell>
          <cell r="BH1051">
            <v>0</v>
          </cell>
          <cell r="BI1051">
            <v>0</v>
          </cell>
          <cell r="BJ1051">
            <v>-36354.060000000005</v>
          </cell>
          <cell r="BK1051">
            <v>69938.69</v>
          </cell>
          <cell r="BL1051">
            <v>129354.2799848398</v>
          </cell>
          <cell r="BM1051">
            <v>162938.90998483979</v>
          </cell>
          <cell r="BN1051">
            <v>462037.92842768051</v>
          </cell>
          <cell r="BO1051">
            <v>464586.18942768051</v>
          </cell>
          <cell r="BP1051">
            <v>467134.45042768051</v>
          </cell>
          <cell r="BQ1051">
            <v>469682.71142768051</v>
          </cell>
          <cell r="BR1051">
            <v>2026380.1896955618</v>
          </cell>
          <cell r="BT1051">
            <v>0</v>
          </cell>
          <cell r="CA1051" t="str">
            <v>NTCR02 - EBITA - Base</v>
          </cell>
          <cell r="CC1051" t="str">
            <v>NTCR02 - EBITA - Base - IS4</v>
          </cell>
          <cell r="CD1051" t="str">
            <v/>
          </cell>
          <cell r="CF1051" t="str">
            <v>NTCR02 - Base - IS4</v>
          </cell>
        </row>
        <row r="1052">
          <cell r="D1052">
            <v>1038</v>
          </cell>
          <cell r="E1052">
            <v>0</v>
          </cell>
          <cell r="F1052">
            <v>0</v>
          </cell>
          <cell r="G1052" t="str">
            <v>NTCR02</v>
          </cell>
          <cell r="H1052" t="str">
            <v>NTCR Recompete</v>
          </cell>
          <cell r="I1052" t="str">
            <v>IS4</v>
          </cell>
          <cell r="J1052" t="str">
            <v>IS4 Sustainment Engineering and Acquisition</v>
          </cell>
          <cell r="K1052" t="str">
            <v>Navy</v>
          </cell>
          <cell r="L1052" t="str">
            <v>DOD</v>
          </cell>
          <cell r="M1052" t="str">
            <v>IN</v>
          </cell>
          <cell r="N1052" t="str">
            <v>CONUS</v>
          </cell>
          <cell r="O1052">
            <v>0</v>
          </cell>
          <cell r="P1052">
            <v>0</v>
          </cell>
          <cell r="Q1052">
            <v>0</v>
          </cell>
          <cell r="R1052" t="str">
            <v>FFP</v>
          </cell>
          <cell r="S1052">
            <v>0</v>
          </cell>
          <cell r="T1052">
            <v>1</v>
          </cell>
          <cell r="U1052" t="str">
            <v>EBITA</v>
          </cell>
          <cell r="V1052" t="str">
            <v>Identified - Recompete</v>
          </cell>
          <cell r="W1052">
            <v>0</v>
          </cell>
          <cell r="X1052">
            <v>0</v>
          </cell>
          <cell r="Y1052">
            <v>0</v>
          </cell>
          <cell r="Z1052">
            <v>0</v>
          </cell>
          <cell r="AA1052">
            <v>0</v>
          </cell>
          <cell r="AB1052">
            <v>0</v>
          </cell>
          <cell r="AC1052">
            <v>0</v>
          </cell>
          <cell r="AD1052">
            <v>0</v>
          </cell>
          <cell r="AX1052">
            <v>0</v>
          </cell>
          <cell r="AY1052">
            <v>0</v>
          </cell>
          <cell r="AZ1052">
            <v>0</v>
          </cell>
          <cell r="BA1052">
            <v>0</v>
          </cell>
          <cell r="BI1052">
            <v>0</v>
          </cell>
          <cell r="BJ1052">
            <v>0</v>
          </cell>
          <cell r="BK1052">
            <v>0</v>
          </cell>
          <cell r="BL1052">
            <v>0</v>
          </cell>
          <cell r="BM1052">
            <v>0</v>
          </cell>
          <cell r="BN1052">
            <v>0</v>
          </cell>
          <cell r="BO1052">
            <v>0</v>
          </cell>
          <cell r="BP1052">
            <v>0</v>
          </cell>
          <cell r="BQ1052">
            <v>0</v>
          </cell>
          <cell r="BR1052">
            <v>0</v>
          </cell>
          <cell r="BT1052">
            <v>0</v>
          </cell>
          <cell r="CA1052" t="str">
            <v>NTCR02 - EBITA - Identified - Recompete</v>
          </cell>
          <cell r="CC1052" t="str">
            <v>NTCR02 - EBITA - Identified - Recompete - IS4</v>
          </cell>
          <cell r="CD1052" t="str">
            <v/>
          </cell>
          <cell r="CF1052" t="str">
            <v>NTCR02 - Identified - Recompete - IS4</v>
          </cell>
        </row>
        <row r="1053">
          <cell r="D1053">
            <v>1039</v>
          </cell>
          <cell r="E1053">
            <v>1</v>
          </cell>
          <cell r="F1053">
            <v>1</v>
          </cell>
          <cell r="G1053" t="str">
            <v>004420</v>
          </cell>
          <cell r="H1053" t="str">
            <v>4420 LDCS Production</v>
          </cell>
          <cell r="I1053" t="str">
            <v>IS4</v>
          </cell>
          <cell r="J1053" t="str">
            <v>IS4 Sustainment Engineering and Acquisition</v>
          </cell>
          <cell r="K1053" t="str">
            <v>Army</v>
          </cell>
          <cell r="L1053" t="str">
            <v>DOD</v>
          </cell>
          <cell r="M1053" t="str">
            <v>IN</v>
          </cell>
          <cell r="N1053" t="str">
            <v>CONUS</v>
          </cell>
          <cell r="O1053">
            <v>43502</v>
          </cell>
          <cell r="P1053">
            <v>43866</v>
          </cell>
          <cell r="Q1053" t="str">
            <v>Prime</v>
          </cell>
          <cell r="R1053" t="str">
            <v>FFP</v>
          </cell>
          <cell r="S1053">
            <v>0</v>
          </cell>
          <cell r="T1053">
            <v>1</v>
          </cell>
          <cell r="U1053" t="str">
            <v>REVTOT</v>
          </cell>
          <cell r="V1053" t="str">
            <v>Base</v>
          </cell>
          <cell r="W1053" t="str">
            <v>05 Won</v>
          </cell>
          <cell r="X1053" t="str">
            <v>Active</v>
          </cell>
          <cell r="Y1053">
            <v>1</v>
          </cell>
          <cell r="Z1053">
            <v>0</v>
          </cell>
          <cell r="AA1053">
            <v>2129557.4899999998</v>
          </cell>
          <cell r="AB1053">
            <v>0</v>
          </cell>
          <cell r="AC1053">
            <v>0</v>
          </cell>
          <cell r="AD1053">
            <v>2129557.4899999998</v>
          </cell>
          <cell r="AE1053">
            <v>0</v>
          </cell>
          <cell r="AF1053">
            <v>0</v>
          </cell>
          <cell r="AG1053">
            <v>0</v>
          </cell>
          <cell r="AH1053">
            <v>-0.5921760881432161</v>
          </cell>
          <cell r="AI1053">
            <v>0</v>
          </cell>
          <cell r="AJ1053">
            <v>0</v>
          </cell>
          <cell r="AK1053">
            <v>0</v>
          </cell>
          <cell r="BB1053">
            <v>1206880.06</v>
          </cell>
          <cell r="BC1053">
            <v>1206880.06</v>
          </cell>
          <cell r="BD1053">
            <v>1206880.06</v>
          </cell>
          <cell r="BE1053">
            <v>1206880.06</v>
          </cell>
          <cell r="BF1053">
            <v>0</v>
          </cell>
          <cell r="BG1053">
            <v>0</v>
          </cell>
          <cell r="BH1053">
            <v>0</v>
          </cell>
          <cell r="BI1053">
            <v>0</v>
          </cell>
          <cell r="BJ1053">
            <v>49354.07</v>
          </cell>
          <cell r="BK1053">
            <v>600481.35000000009</v>
          </cell>
          <cell r="BL1053">
            <v>2309481.15</v>
          </cell>
          <cell r="BM1053">
            <v>2959316.57</v>
          </cell>
          <cell r="BN1053">
            <v>1206880.06</v>
          </cell>
          <cell r="BO1053">
            <v>922677.4299999997</v>
          </cell>
          <cell r="BP1053">
            <v>0</v>
          </cell>
          <cell r="BQ1053">
            <v>0</v>
          </cell>
          <cell r="BR1053">
            <v>5088874.0599999996</v>
          </cell>
          <cell r="BT1053">
            <v>0</v>
          </cell>
          <cell r="CA1053" t="str">
            <v>004420 - REVTOT - Base</v>
          </cell>
          <cell r="CC1053" t="str">
            <v>004420 - REVTOT - Base - IS4</v>
          </cell>
          <cell r="CD1053" t="str">
            <v/>
          </cell>
          <cell r="CF1053" t="str">
            <v>004420 - Base - IS4</v>
          </cell>
        </row>
        <row r="1054">
          <cell r="D1054">
            <v>1040</v>
          </cell>
          <cell r="E1054">
            <v>1</v>
          </cell>
          <cell r="F1054">
            <v>2</v>
          </cell>
          <cell r="G1054" t="str">
            <v>004420</v>
          </cell>
          <cell r="H1054" t="str">
            <v>4420 LDCS Production</v>
          </cell>
          <cell r="I1054" t="str">
            <v>IS4</v>
          </cell>
          <cell r="J1054" t="str">
            <v>IS4 Sustainment Engineering and Acquisition</v>
          </cell>
          <cell r="K1054" t="str">
            <v>Army</v>
          </cell>
          <cell r="L1054" t="str">
            <v>DOD</v>
          </cell>
          <cell r="M1054" t="str">
            <v>IN</v>
          </cell>
          <cell r="N1054" t="str">
            <v>CONUS</v>
          </cell>
          <cell r="O1054">
            <v>0</v>
          </cell>
          <cell r="P1054">
            <v>0</v>
          </cell>
          <cell r="Q1054">
            <v>0</v>
          </cell>
          <cell r="R1054" t="str">
            <v>FFP</v>
          </cell>
          <cell r="S1054">
            <v>0</v>
          </cell>
          <cell r="T1054">
            <v>1</v>
          </cell>
          <cell r="U1054" t="str">
            <v>REVTOT</v>
          </cell>
          <cell r="V1054" t="str">
            <v>Identified - Recompete</v>
          </cell>
          <cell r="W1054">
            <v>0</v>
          </cell>
          <cell r="X1054">
            <v>0</v>
          </cell>
          <cell r="Y1054">
            <v>0</v>
          </cell>
          <cell r="Z1054">
            <v>0</v>
          </cell>
          <cell r="AA1054">
            <v>0</v>
          </cell>
          <cell r="AB1054">
            <v>0</v>
          </cell>
          <cell r="AC1054">
            <v>0</v>
          </cell>
          <cell r="AD1054">
            <v>0</v>
          </cell>
          <cell r="AI1054">
            <v>0</v>
          </cell>
          <cell r="AJ1054">
            <v>0</v>
          </cell>
          <cell r="AK1054">
            <v>0</v>
          </cell>
          <cell r="BB1054">
            <v>0</v>
          </cell>
          <cell r="BC1054">
            <v>0</v>
          </cell>
          <cell r="BD1054">
            <v>0</v>
          </cell>
          <cell r="BE1054">
            <v>0</v>
          </cell>
          <cell r="BI1054">
            <v>0</v>
          </cell>
          <cell r="BJ1054">
            <v>0</v>
          </cell>
          <cell r="BK1054">
            <v>0</v>
          </cell>
          <cell r="BL1054">
            <v>0</v>
          </cell>
          <cell r="BM1054">
            <v>0</v>
          </cell>
          <cell r="BN1054">
            <v>0</v>
          </cell>
          <cell r="BO1054">
            <v>0</v>
          </cell>
          <cell r="BP1054">
            <v>0</v>
          </cell>
          <cell r="BQ1054">
            <v>0</v>
          </cell>
          <cell r="BR1054">
            <v>0</v>
          </cell>
          <cell r="BT1054">
            <v>0</v>
          </cell>
          <cell r="CA1054" t="str">
            <v>004420 - REVTOT - Identified - Recompete</v>
          </cell>
          <cell r="CC1054" t="str">
            <v>004420 - REVTOT - Identified - Recompete - IS4</v>
          </cell>
          <cell r="CD1054" t="str">
            <v/>
          </cell>
          <cell r="CF1054" t="str">
            <v>004420 - Identified - Recompete - IS4</v>
          </cell>
        </row>
        <row r="1055">
          <cell r="D1055">
            <v>1041</v>
          </cell>
          <cell r="E1055">
            <v>2</v>
          </cell>
          <cell r="F1055">
            <v>3</v>
          </cell>
          <cell r="G1055" t="str">
            <v>004420</v>
          </cell>
          <cell r="H1055" t="str">
            <v>4420 LDCS Production</v>
          </cell>
          <cell r="I1055" t="str">
            <v>IS4</v>
          </cell>
          <cell r="J1055" t="str">
            <v>IS4 Sustainment Engineering and Acquisition</v>
          </cell>
          <cell r="K1055" t="str">
            <v>Army</v>
          </cell>
          <cell r="L1055" t="str">
            <v>DOD</v>
          </cell>
          <cell r="M1055" t="str">
            <v>IN</v>
          </cell>
          <cell r="N1055" t="str">
            <v>CONUS</v>
          </cell>
          <cell r="O1055">
            <v>43502</v>
          </cell>
          <cell r="P1055">
            <v>43866</v>
          </cell>
          <cell r="Q1055" t="str">
            <v>Prime</v>
          </cell>
          <cell r="R1055" t="str">
            <v>FFP</v>
          </cell>
          <cell r="S1055">
            <v>0</v>
          </cell>
          <cell r="T1055">
            <v>1</v>
          </cell>
          <cell r="U1055" t="str">
            <v>CONTRACT</v>
          </cell>
          <cell r="V1055" t="str">
            <v>Base</v>
          </cell>
          <cell r="W1055" t="str">
            <v>05 Won</v>
          </cell>
          <cell r="X1055" t="str">
            <v>Active</v>
          </cell>
          <cell r="Y1055">
            <v>1</v>
          </cell>
          <cell r="Z1055">
            <v>0</v>
          </cell>
          <cell r="AA1055">
            <v>2129557.4899999998</v>
          </cell>
          <cell r="AB1055">
            <v>0</v>
          </cell>
          <cell r="AC1055">
            <v>0</v>
          </cell>
          <cell r="AD1055">
            <v>2129557.4899999998</v>
          </cell>
          <cell r="AL1055">
            <v>0</v>
          </cell>
          <cell r="AM1055">
            <v>0</v>
          </cell>
          <cell r="AN1055">
            <v>0</v>
          </cell>
          <cell r="AO1055">
            <v>0.14244477737641978</v>
          </cell>
          <cell r="AP1055">
            <v>0.23017902914312785</v>
          </cell>
          <cell r="AQ1055">
            <v>0.23017902914312785</v>
          </cell>
          <cell r="AR1055">
            <v>0.23017902914312785</v>
          </cell>
          <cell r="AS1055">
            <v>0.23017902914312785</v>
          </cell>
          <cell r="BF1055">
            <v>0</v>
          </cell>
          <cell r="BG1055">
            <v>0</v>
          </cell>
          <cell r="BH1055">
            <v>0</v>
          </cell>
          <cell r="BI1055">
            <v>0</v>
          </cell>
          <cell r="BJ1055">
            <v>8636.14</v>
          </cell>
          <cell r="BK1055">
            <v>89076.890000000072</v>
          </cell>
          <cell r="BL1055">
            <v>323826.16000000003</v>
          </cell>
          <cell r="BM1055">
            <v>421539.19000000012</v>
          </cell>
          <cell r="BN1055">
            <v>277798.48050299991</v>
          </cell>
          <cell r="BO1055">
            <v>212380.99504967625</v>
          </cell>
          <cell r="BP1055">
            <v>0</v>
          </cell>
          <cell r="BQ1055">
            <v>0</v>
          </cell>
          <cell r="BR1055">
            <v>911718.66555267631</v>
          </cell>
          <cell r="BT1055">
            <v>0</v>
          </cell>
          <cell r="CA1055" t="str">
            <v>004420 - CONTRACT - Base</v>
          </cell>
          <cell r="CC1055" t="str">
            <v>004420 - CONTRACT - Base - IS4</v>
          </cell>
          <cell r="CD1055" t="str">
            <v/>
          </cell>
          <cell r="CF1055" t="str">
            <v>004420 - Base - IS4</v>
          </cell>
        </row>
        <row r="1056">
          <cell r="D1056">
            <v>1042</v>
          </cell>
          <cell r="E1056">
            <v>2</v>
          </cell>
          <cell r="F1056">
            <v>4</v>
          </cell>
          <cell r="G1056" t="str">
            <v>004420</v>
          </cell>
          <cell r="H1056" t="str">
            <v>4420 LDCS Production</v>
          </cell>
          <cell r="I1056" t="str">
            <v>IS4</v>
          </cell>
          <cell r="J1056" t="str">
            <v>IS4 Sustainment Engineering and Acquisition</v>
          </cell>
          <cell r="K1056" t="str">
            <v>Army</v>
          </cell>
          <cell r="L1056" t="str">
            <v>DOD</v>
          </cell>
          <cell r="M1056" t="str">
            <v>IN</v>
          </cell>
          <cell r="N1056" t="str">
            <v>CONUS</v>
          </cell>
          <cell r="O1056">
            <v>0</v>
          </cell>
          <cell r="P1056">
            <v>0</v>
          </cell>
          <cell r="Q1056">
            <v>0</v>
          </cell>
          <cell r="R1056" t="str">
            <v>FFP</v>
          </cell>
          <cell r="S1056">
            <v>0</v>
          </cell>
          <cell r="T1056">
            <v>1</v>
          </cell>
          <cell r="U1056" t="str">
            <v>CONTRACT</v>
          </cell>
          <cell r="V1056" t="str">
            <v>Identified - Recompete</v>
          </cell>
          <cell r="W1056">
            <v>0</v>
          </cell>
          <cell r="X1056">
            <v>0</v>
          </cell>
          <cell r="Y1056">
            <v>0</v>
          </cell>
          <cell r="Z1056">
            <v>0</v>
          </cell>
          <cell r="AA1056">
            <v>0</v>
          </cell>
          <cell r="AB1056">
            <v>0</v>
          </cell>
          <cell r="AC1056">
            <v>0</v>
          </cell>
          <cell r="AD1056">
            <v>0</v>
          </cell>
          <cell r="AP1056">
            <v>0</v>
          </cell>
          <cell r="AQ1056">
            <v>0</v>
          </cell>
          <cell r="AR1056">
            <v>0</v>
          </cell>
          <cell r="AS1056">
            <v>0</v>
          </cell>
          <cell r="BI1056">
            <v>0</v>
          </cell>
          <cell r="BJ1056">
            <v>0</v>
          </cell>
          <cell r="BK1056">
            <v>0</v>
          </cell>
          <cell r="BL1056">
            <v>0</v>
          </cell>
          <cell r="BM1056">
            <v>0</v>
          </cell>
          <cell r="BN1056">
            <v>0</v>
          </cell>
          <cell r="BO1056">
            <v>0</v>
          </cell>
          <cell r="BP1056">
            <v>0</v>
          </cell>
          <cell r="BQ1056">
            <v>0</v>
          </cell>
          <cell r="BR1056">
            <v>0</v>
          </cell>
          <cell r="BT1056">
            <v>0</v>
          </cell>
          <cell r="CA1056" t="str">
            <v>004420 - CONTRACT - Identified - Recompete</v>
          </cell>
          <cell r="CC1056" t="str">
            <v>004420 - CONTRACT - Identified - Recompete - IS4</v>
          </cell>
          <cell r="CD1056" t="str">
            <v/>
          </cell>
          <cell r="CF1056" t="str">
            <v>004420 - Identified - Recompete - IS4</v>
          </cell>
        </row>
        <row r="1057">
          <cell r="D1057">
            <v>1043</v>
          </cell>
          <cell r="E1057">
            <v>0</v>
          </cell>
          <cell r="F1057">
            <v>5</v>
          </cell>
          <cell r="G1057" t="str">
            <v>004420</v>
          </cell>
          <cell r="H1057" t="str">
            <v>4420 LDCS Production</v>
          </cell>
          <cell r="I1057" t="str">
            <v>IS4</v>
          </cell>
          <cell r="J1057" t="str">
            <v>IS4 Sustainment Engineering and Acquisition</v>
          </cell>
          <cell r="K1057" t="str">
            <v>Army</v>
          </cell>
          <cell r="L1057" t="str">
            <v>DOD</v>
          </cell>
          <cell r="M1057" t="str">
            <v>IN</v>
          </cell>
          <cell r="N1057" t="str">
            <v>CONUS</v>
          </cell>
          <cell r="O1057">
            <v>43502</v>
          </cell>
          <cell r="P1057">
            <v>43866</v>
          </cell>
          <cell r="Q1057" t="str">
            <v>Prime</v>
          </cell>
          <cell r="R1057" t="str">
            <v>FFP</v>
          </cell>
          <cell r="S1057">
            <v>0</v>
          </cell>
          <cell r="T1057">
            <v>1</v>
          </cell>
          <cell r="U1057" t="str">
            <v>EBITA</v>
          </cell>
          <cell r="V1057" t="str">
            <v>Base</v>
          </cell>
          <cell r="W1057" t="str">
            <v>05 Won</v>
          </cell>
          <cell r="X1057" t="str">
            <v>Active</v>
          </cell>
          <cell r="Y1057">
            <v>1</v>
          </cell>
          <cell r="Z1057">
            <v>0</v>
          </cell>
          <cell r="AA1057">
            <v>2129557.4899999998</v>
          </cell>
          <cell r="AB1057">
            <v>0</v>
          </cell>
          <cell r="AC1057">
            <v>0</v>
          </cell>
          <cell r="AD1057">
            <v>2129557.4899999998</v>
          </cell>
          <cell r="AT1057">
            <v>0</v>
          </cell>
          <cell r="AU1057">
            <v>0</v>
          </cell>
          <cell r="AV1057">
            <v>0</v>
          </cell>
          <cell r="AW1057">
            <v>6.6426161361979638E-2</v>
          </cell>
          <cell r="AX1057">
            <v>0.15399304685534052</v>
          </cell>
          <cell r="AY1057">
            <v>0.15499304685534052</v>
          </cell>
          <cell r="AZ1057">
            <v>0.15599304685534052</v>
          </cell>
          <cell r="BA1057">
            <v>0.15699304685534052</v>
          </cell>
          <cell r="BF1057">
            <v>0</v>
          </cell>
          <cell r="BG1057">
            <v>0</v>
          </cell>
          <cell r="BH1057">
            <v>0</v>
          </cell>
          <cell r="BI1057">
            <v>0</v>
          </cell>
          <cell r="BJ1057">
            <v>3454.7799999999979</v>
          </cell>
          <cell r="BK1057">
            <v>42033.690000000075</v>
          </cell>
          <cell r="BL1057">
            <v>151087.57</v>
          </cell>
          <cell r="BM1057">
            <v>196576.0400000001</v>
          </cell>
          <cell r="BN1057">
            <v>185851.13762835617</v>
          </cell>
          <cell r="BO1057">
            <v>143008.58614035512</v>
          </cell>
          <cell r="BP1057">
            <v>0</v>
          </cell>
          <cell r="BQ1057">
            <v>0</v>
          </cell>
          <cell r="BR1057">
            <v>525435.76376871136</v>
          </cell>
          <cell r="BT1057">
            <v>0</v>
          </cell>
          <cell r="CA1057" t="str">
            <v>004420 - EBITA - Base</v>
          </cell>
          <cell r="CC1057" t="str">
            <v>004420 - EBITA - Base - IS4</v>
          </cell>
          <cell r="CD1057" t="str">
            <v/>
          </cell>
          <cell r="CF1057" t="str">
            <v>004420 - Base - IS4</v>
          </cell>
        </row>
        <row r="1058">
          <cell r="D1058">
            <v>1044</v>
          </cell>
          <cell r="E1058">
            <v>0</v>
          </cell>
          <cell r="F1058">
            <v>0</v>
          </cell>
          <cell r="G1058" t="str">
            <v>004420</v>
          </cell>
          <cell r="H1058" t="str">
            <v>4420 LDCS Production</v>
          </cell>
          <cell r="I1058" t="str">
            <v>IS4</v>
          </cell>
          <cell r="J1058" t="str">
            <v>IS4 Sustainment Engineering and Acquisition</v>
          </cell>
          <cell r="K1058" t="str">
            <v>Army</v>
          </cell>
          <cell r="L1058" t="str">
            <v>DOD</v>
          </cell>
          <cell r="M1058" t="str">
            <v>IN</v>
          </cell>
          <cell r="N1058" t="str">
            <v>CONUS</v>
          </cell>
          <cell r="O1058">
            <v>0</v>
          </cell>
          <cell r="P1058">
            <v>0</v>
          </cell>
          <cell r="Q1058">
            <v>0</v>
          </cell>
          <cell r="R1058" t="str">
            <v>FFP</v>
          </cell>
          <cell r="S1058">
            <v>0</v>
          </cell>
          <cell r="T1058">
            <v>1</v>
          </cell>
          <cell r="U1058" t="str">
            <v>EBITA</v>
          </cell>
          <cell r="V1058" t="str">
            <v>Identified - Recompete</v>
          </cell>
          <cell r="W1058">
            <v>0</v>
          </cell>
          <cell r="X1058">
            <v>0</v>
          </cell>
          <cell r="Y1058">
            <v>0</v>
          </cell>
          <cell r="Z1058">
            <v>0</v>
          </cell>
          <cell r="AA1058">
            <v>0</v>
          </cell>
          <cell r="AB1058">
            <v>0</v>
          </cell>
          <cell r="AC1058">
            <v>0</v>
          </cell>
          <cell r="AD1058">
            <v>0</v>
          </cell>
          <cell r="AX1058">
            <v>0</v>
          </cell>
          <cell r="AY1058">
            <v>0</v>
          </cell>
          <cell r="AZ1058">
            <v>0</v>
          </cell>
          <cell r="BA1058">
            <v>0</v>
          </cell>
          <cell r="BI1058">
            <v>0</v>
          </cell>
          <cell r="BJ1058">
            <v>0</v>
          </cell>
          <cell r="BK1058">
            <v>0</v>
          </cell>
          <cell r="BL1058">
            <v>0</v>
          </cell>
          <cell r="BM1058">
            <v>0</v>
          </cell>
          <cell r="BN1058">
            <v>0</v>
          </cell>
          <cell r="BO1058">
            <v>0</v>
          </cell>
          <cell r="BP1058">
            <v>0</v>
          </cell>
          <cell r="BQ1058">
            <v>0</v>
          </cell>
          <cell r="BR1058">
            <v>0</v>
          </cell>
          <cell r="BT1058">
            <v>0</v>
          </cell>
          <cell r="CA1058" t="str">
            <v>004420 - EBITA - Identified - Recompete</v>
          </cell>
          <cell r="CC1058" t="str">
            <v>004420 - EBITA - Identified - Recompete - IS4</v>
          </cell>
          <cell r="CD1058" t="str">
            <v/>
          </cell>
          <cell r="CF1058" t="str">
            <v>004420 - Identified - Recompete - IS4</v>
          </cell>
        </row>
        <row r="1059">
          <cell r="D1059">
            <v>1045</v>
          </cell>
          <cell r="E1059">
            <v>1</v>
          </cell>
          <cell r="F1059">
            <v>1</v>
          </cell>
          <cell r="G1059" t="str">
            <v>12489I</v>
          </cell>
          <cell r="H1059" t="str">
            <v>SSA HDISS</v>
          </cell>
          <cell r="I1059" t="str">
            <v>IS4</v>
          </cell>
          <cell r="J1059" t="str">
            <v>IS4 Engineering and Technology Services</v>
          </cell>
          <cell r="K1059" t="str">
            <v>Other Civilian</v>
          </cell>
          <cell r="L1059" t="str">
            <v>Other</v>
          </cell>
          <cell r="M1059" t="str">
            <v>MD</v>
          </cell>
          <cell r="N1059" t="str">
            <v>CONUS</v>
          </cell>
          <cell r="O1059">
            <v>40831</v>
          </cell>
          <cell r="P1059">
            <v>43918</v>
          </cell>
          <cell r="Q1059" t="str">
            <v>Prime</v>
          </cell>
          <cell r="R1059" t="str">
            <v>FFP</v>
          </cell>
          <cell r="S1059">
            <v>0</v>
          </cell>
          <cell r="T1059">
            <v>1</v>
          </cell>
          <cell r="U1059" t="str">
            <v>REVTOT</v>
          </cell>
          <cell r="V1059" t="str">
            <v>Base</v>
          </cell>
          <cell r="W1059" t="str">
            <v>05 Won</v>
          </cell>
          <cell r="X1059" t="str">
            <v>Active</v>
          </cell>
          <cell r="Y1059">
            <v>1</v>
          </cell>
          <cell r="Z1059">
            <v>0</v>
          </cell>
          <cell r="AA1059">
            <v>734460.34000000078</v>
          </cell>
          <cell r="AB1059">
            <v>0.30000000004656613</v>
          </cell>
          <cell r="AC1059">
            <v>0</v>
          </cell>
          <cell r="AD1059">
            <v>734460.64000000083</v>
          </cell>
          <cell r="AE1059">
            <v>2.7361079328698912E-2</v>
          </cell>
          <cell r="AF1059">
            <v>1.5913796400897073E-2</v>
          </cell>
          <cell r="AG1059">
            <v>3.2868913852517556E-2</v>
          </cell>
          <cell r="AH1059">
            <v>-0.44331230813236377</v>
          </cell>
          <cell r="AI1059">
            <v>0</v>
          </cell>
          <cell r="AJ1059">
            <v>0</v>
          </cell>
          <cell r="AK1059">
            <v>0</v>
          </cell>
          <cell r="BB1059">
            <v>1359032.16</v>
          </cell>
          <cell r="BC1059">
            <v>1359032.16</v>
          </cell>
          <cell r="BD1059">
            <v>1359032.16</v>
          </cell>
          <cell r="BE1059">
            <v>1359032.16</v>
          </cell>
          <cell r="BF1059">
            <v>1223859.98</v>
          </cell>
          <cell r="BG1059">
            <v>1257346.1099999999</v>
          </cell>
          <cell r="BH1059">
            <v>1277355.2599999998</v>
          </cell>
          <cell r="BI1059">
            <v>329835.18</v>
          </cell>
          <cell r="BJ1059">
            <v>384835.18</v>
          </cell>
          <cell r="BK1059">
            <v>274835.18</v>
          </cell>
          <cell r="BL1059">
            <v>329835</v>
          </cell>
          <cell r="BM1059">
            <v>1319340.54</v>
          </cell>
          <cell r="BN1059">
            <v>734460.64000000083</v>
          </cell>
          <cell r="BO1059">
            <v>0</v>
          </cell>
          <cell r="BP1059">
            <v>0</v>
          </cell>
          <cell r="BQ1059">
            <v>0</v>
          </cell>
          <cell r="BR1059">
            <v>2053801.1800000009</v>
          </cell>
          <cell r="BT1059">
            <v>0</v>
          </cell>
          <cell r="CA1059" t="str">
            <v>12489I - REVTOT - Base</v>
          </cell>
          <cell r="CC1059" t="str">
            <v>12489I - REVTOT - Base - IS4</v>
          </cell>
          <cell r="CD1059" t="str">
            <v/>
          </cell>
          <cell r="CF1059" t="str">
            <v>12489I - Base - IS4</v>
          </cell>
        </row>
        <row r="1060">
          <cell r="D1060">
            <v>1046</v>
          </cell>
          <cell r="E1060">
            <v>1</v>
          </cell>
          <cell r="F1060">
            <v>2</v>
          </cell>
          <cell r="G1060" t="str">
            <v>12489I</v>
          </cell>
          <cell r="H1060" t="str">
            <v>SSA HDISS</v>
          </cell>
          <cell r="I1060" t="str">
            <v>IS4</v>
          </cell>
          <cell r="J1060" t="str">
            <v>IS4 Engineering and Technology Services</v>
          </cell>
          <cell r="K1060" t="str">
            <v>Other Civilian</v>
          </cell>
          <cell r="L1060" t="str">
            <v>Other</v>
          </cell>
          <cell r="M1060" t="str">
            <v>MD</v>
          </cell>
          <cell r="N1060" t="str">
            <v>CONUS</v>
          </cell>
          <cell r="O1060">
            <v>43707</v>
          </cell>
          <cell r="P1060">
            <v>45534</v>
          </cell>
          <cell r="Q1060" t="str">
            <v>Sub</v>
          </cell>
          <cell r="R1060" t="str">
            <v>FFP</v>
          </cell>
          <cell r="S1060">
            <v>0</v>
          </cell>
          <cell r="T1060">
            <v>1</v>
          </cell>
          <cell r="U1060" t="str">
            <v>REVTOT</v>
          </cell>
          <cell r="V1060" t="str">
            <v>Identified - Recompete</v>
          </cell>
          <cell r="W1060" t="str">
            <v>02 Capture</v>
          </cell>
          <cell r="X1060" t="str">
            <v>Priority 3</v>
          </cell>
          <cell r="Y1060">
            <v>0.25</v>
          </cell>
          <cell r="Z1060">
            <v>1000000</v>
          </cell>
          <cell r="AA1060">
            <v>0</v>
          </cell>
          <cell r="AB1060">
            <v>0</v>
          </cell>
          <cell r="AC1060">
            <v>0</v>
          </cell>
          <cell r="AD1060">
            <v>0</v>
          </cell>
          <cell r="AI1060">
            <v>0</v>
          </cell>
          <cell r="AJ1060">
            <v>0</v>
          </cell>
          <cell r="AK1060">
            <v>0</v>
          </cell>
          <cell r="BB1060">
            <v>200000</v>
          </cell>
          <cell r="BC1060">
            <v>200000</v>
          </cell>
          <cell r="BD1060">
            <v>200000</v>
          </cell>
          <cell r="BE1060">
            <v>200000</v>
          </cell>
          <cell r="BI1060">
            <v>0</v>
          </cell>
          <cell r="BJ1060">
            <v>0</v>
          </cell>
          <cell r="BK1060">
            <v>0</v>
          </cell>
          <cell r="BL1060">
            <v>0</v>
          </cell>
          <cell r="BM1060">
            <v>0</v>
          </cell>
          <cell r="BN1060">
            <v>50000</v>
          </cell>
          <cell r="BO1060">
            <v>50000</v>
          </cell>
          <cell r="BP1060">
            <v>50000</v>
          </cell>
          <cell r="BQ1060">
            <v>50000</v>
          </cell>
          <cell r="BR1060">
            <v>200000</v>
          </cell>
          <cell r="BT1060">
            <v>0</v>
          </cell>
          <cell r="CA1060" t="str">
            <v>12489I - REVTOT - Identified - Recompete</v>
          </cell>
          <cell r="CC1060" t="str">
            <v>12489I - REVTOT - Identified - Recompete - IS4</v>
          </cell>
          <cell r="CD1060" t="str">
            <v/>
          </cell>
          <cell r="CF1060" t="str">
            <v>12489I - Identified - Recompete - IS4</v>
          </cell>
        </row>
        <row r="1061">
          <cell r="D1061">
            <v>1047</v>
          </cell>
          <cell r="E1061">
            <v>2</v>
          </cell>
          <cell r="F1061">
            <v>3</v>
          </cell>
          <cell r="G1061" t="str">
            <v>12489I</v>
          </cell>
          <cell r="H1061" t="str">
            <v>SSA HDISS</v>
          </cell>
          <cell r="I1061" t="str">
            <v>IS4</v>
          </cell>
          <cell r="J1061" t="str">
            <v>IS4 Engineering and Technology Services</v>
          </cell>
          <cell r="K1061" t="str">
            <v>Other Civilian</v>
          </cell>
          <cell r="L1061" t="str">
            <v>Other</v>
          </cell>
          <cell r="M1061" t="str">
            <v>MD</v>
          </cell>
          <cell r="N1061" t="str">
            <v>CONUS</v>
          </cell>
          <cell r="O1061">
            <v>40831</v>
          </cell>
          <cell r="P1061">
            <v>43918</v>
          </cell>
          <cell r="Q1061" t="str">
            <v>Prime</v>
          </cell>
          <cell r="R1061" t="str">
            <v>FFP</v>
          </cell>
          <cell r="S1061">
            <v>0</v>
          </cell>
          <cell r="T1061">
            <v>1</v>
          </cell>
          <cell r="U1061" t="str">
            <v>CONTRACT</v>
          </cell>
          <cell r="V1061" t="str">
            <v>Base</v>
          </cell>
          <cell r="W1061" t="str">
            <v>05 Won</v>
          </cell>
          <cell r="X1061" t="str">
            <v>Active</v>
          </cell>
          <cell r="Y1061">
            <v>1</v>
          </cell>
          <cell r="Z1061">
            <v>0</v>
          </cell>
          <cell r="AA1061">
            <v>734460.34000000078</v>
          </cell>
          <cell r="AB1061">
            <v>0.30000000004656613</v>
          </cell>
          <cell r="AC1061">
            <v>0</v>
          </cell>
          <cell r="AD1061">
            <v>734460.64000000083</v>
          </cell>
          <cell r="AL1061">
            <v>0.34048345138305769</v>
          </cell>
          <cell r="AM1061">
            <v>0.35644587153492691</v>
          </cell>
          <cell r="AN1061">
            <v>0.39207996058982064</v>
          </cell>
          <cell r="AO1061">
            <v>0.41858850179802709</v>
          </cell>
          <cell r="AP1061">
            <v>0.36742405038484904</v>
          </cell>
          <cell r="AQ1061">
            <v>0.36742405038484904</v>
          </cell>
          <cell r="AR1061">
            <v>0.36742405038484904</v>
          </cell>
          <cell r="AS1061">
            <v>0.36742405038484904</v>
          </cell>
          <cell r="BF1061">
            <v>416704.06999999995</v>
          </cell>
          <cell r="BG1061">
            <v>448175.83</v>
          </cell>
          <cell r="BH1061">
            <v>500825.4</v>
          </cell>
          <cell r="BI1061">
            <v>164011.40999999997</v>
          </cell>
          <cell r="BJ1061">
            <v>195191.34</v>
          </cell>
          <cell r="BK1061">
            <v>70872.03</v>
          </cell>
          <cell r="BL1061">
            <v>122186</v>
          </cell>
          <cell r="BM1061">
            <v>552260.78</v>
          </cell>
          <cell r="BN1061">
            <v>269858.50319704879</v>
          </cell>
          <cell r="BO1061">
            <v>0</v>
          </cell>
          <cell r="BP1061">
            <v>0</v>
          </cell>
          <cell r="BQ1061">
            <v>0</v>
          </cell>
          <cell r="BR1061">
            <v>822119.28319704882</v>
          </cell>
          <cell r="BT1061">
            <v>0</v>
          </cell>
          <cell r="CA1061" t="str">
            <v>12489I - CONTRACT - Base</v>
          </cell>
          <cell r="CC1061" t="str">
            <v>12489I - CONTRACT - Base - IS4</v>
          </cell>
          <cell r="CD1061" t="str">
            <v/>
          </cell>
          <cell r="CF1061" t="str">
            <v>12489I - Base - IS4</v>
          </cell>
        </row>
        <row r="1062">
          <cell r="D1062">
            <v>1048</v>
          </cell>
          <cell r="E1062">
            <v>2</v>
          </cell>
          <cell r="F1062">
            <v>4</v>
          </cell>
          <cell r="G1062" t="str">
            <v>12489I</v>
          </cell>
          <cell r="H1062" t="str">
            <v>SSA HDISS</v>
          </cell>
          <cell r="I1062" t="str">
            <v>IS4</v>
          </cell>
          <cell r="J1062" t="str">
            <v>IS4 Engineering and Technology Services</v>
          </cell>
          <cell r="K1062" t="str">
            <v>Other Civilian</v>
          </cell>
          <cell r="L1062" t="str">
            <v>Other</v>
          </cell>
          <cell r="M1062" t="str">
            <v>MD</v>
          </cell>
          <cell r="N1062" t="str">
            <v>CONUS</v>
          </cell>
          <cell r="O1062">
            <v>43707</v>
          </cell>
          <cell r="P1062">
            <v>45534</v>
          </cell>
          <cell r="Q1062" t="str">
            <v>Sub</v>
          </cell>
          <cell r="R1062" t="str">
            <v>FFP</v>
          </cell>
          <cell r="S1062">
            <v>0</v>
          </cell>
          <cell r="T1062">
            <v>1</v>
          </cell>
          <cell r="U1062" t="str">
            <v>CONTRACT</v>
          </cell>
          <cell r="V1062" t="str">
            <v>Identified - Recompete</v>
          </cell>
          <cell r="W1062" t="str">
            <v>02 Capture</v>
          </cell>
          <cell r="X1062" t="str">
            <v>Priority 3</v>
          </cell>
          <cell r="Y1062">
            <v>0.25</v>
          </cell>
          <cell r="Z1062">
            <v>1000000</v>
          </cell>
          <cell r="AA1062">
            <v>0</v>
          </cell>
          <cell r="AB1062">
            <v>0</v>
          </cell>
          <cell r="AC1062">
            <v>0</v>
          </cell>
          <cell r="AD1062">
            <v>0</v>
          </cell>
          <cell r="AP1062">
            <v>0.36742405038484904</v>
          </cell>
          <cell r="AQ1062">
            <v>0.36742405038484904</v>
          </cell>
          <cell r="AR1062">
            <v>0.36742405038484904</v>
          </cell>
          <cell r="AS1062">
            <v>0.36742405038484904</v>
          </cell>
          <cell r="BI1062">
            <v>0</v>
          </cell>
          <cell r="BJ1062">
            <v>0</v>
          </cell>
          <cell r="BK1062">
            <v>0</v>
          </cell>
          <cell r="BL1062">
            <v>0</v>
          </cell>
          <cell r="BM1062">
            <v>0</v>
          </cell>
          <cell r="BN1062">
            <v>18371.202519242452</v>
          </cell>
          <cell r="BO1062">
            <v>18371.202519242452</v>
          </cell>
          <cell r="BP1062">
            <v>18371.202519242452</v>
          </cell>
          <cell r="BQ1062">
            <v>18371.202519242452</v>
          </cell>
          <cell r="BR1062">
            <v>73484.810076969807</v>
          </cell>
          <cell r="BT1062">
            <v>0</v>
          </cell>
          <cell r="CA1062" t="str">
            <v>12489I - CONTRACT - Identified - Recompete</v>
          </cell>
          <cell r="CC1062" t="str">
            <v>12489I - CONTRACT - Identified - Recompete - IS4</v>
          </cell>
          <cell r="CD1062" t="str">
            <v/>
          </cell>
          <cell r="CF1062" t="str">
            <v>12489I - Identified - Recompete - IS4</v>
          </cell>
        </row>
        <row r="1063">
          <cell r="D1063">
            <v>1049</v>
          </cell>
          <cell r="E1063">
            <v>0</v>
          </cell>
          <cell r="F1063">
            <v>5</v>
          </cell>
          <cell r="G1063" t="str">
            <v>12489I</v>
          </cell>
          <cell r="H1063" t="str">
            <v>SSA HDISS</v>
          </cell>
          <cell r="I1063" t="str">
            <v>IS4</v>
          </cell>
          <cell r="J1063" t="str">
            <v>IS4 Engineering and Technology Services</v>
          </cell>
          <cell r="K1063" t="str">
            <v>Other Civilian</v>
          </cell>
          <cell r="L1063" t="str">
            <v>Other</v>
          </cell>
          <cell r="M1063" t="str">
            <v>MD</v>
          </cell>
          <cell r="N1063" t="str">
            <v>CONUS</v>
          </cell>
          <cell r="O1063">
            <v>40831</v>
          </cell>
          <cell r="P1063">
            <v>43918</v>
          </cell>
          <cell r="Q1063" t="str">
            <v>Prime</v>
          </cell>
          <cell r="R1063" t="str">
            <v>FFP</v>
          </cell>
          <cell r="S1063">
            <v>0</v>
          </cell>
          <cell r="T1063">
            <v>1</v>
          </cell>
          <cell r="U1063" t="str">
            <v>EBITA</v>
          </cell>
          <cell r="V1063" t="str">
            <v>Base</v>
          </cell>
          <cell r="W1063" t="str">
            <v>05 Won</v>
          </cell>
          <cell r="X1063" t="str">
            <v>Active</v>
          </cell>
          <cell r="Y1063">
            <v>1</v>
          </cell>
          <cell r="Z1063">
            <v>0</v>
          </cell>
          <cell r="AA1063">
            <v>734460.34000000078</v>
          </cell>
          <cell r="AB1063">
            <v>0.30000000004656613</v>
          </cell>
          <cell r="AC1063">
            <v>0</v>
          </cell>
          <cell r="AD1063">
            <v>734460.64000000083</v>
          </cell>
          <cell r="AT1063">
            <v>0.1848152760089434</v>
          </cell>
          <cell r="AU1063">
            <v>0.26163060225318546</v>
          </cell>
          <cell r="AV1063">
            <v>0.30401727081000163</v>
          </cell>
          <cell r="AW1063">
            <v>0.32974250908715341</v>
          </cell>
          <cell r="AX1063">
            <v>0.27130434774352846</v>
          </cell>
          <cell r="AY1063">
            <v>0.27230434774352846</v>
          </cell>
          <cell r="AZ1063">
            <v>0.27330434774352846</v>
          </cell>
          <cell r="BA1063">
            <v>0.27430434774352846</v>
          </cell>
          <cell r="BF1063">
            <v>226188.01999999996</v>
          </cell>
          <cell r="BG1063">
            <v>328960.21999999997</v>
          </cell>
          <cell r="BH1063">
            <v>388338.05999999994</v>
          </cell>
          <cell r="BI1063">
            <v>138480.52999999997</v>
          </cell>
          <cell r="BJ1063">
            <v>166480.52999999997</v>
          </cell>
          <cell r="BK1063">
            <v>39661.599999999999</v>
          </cell>
          <cell r="BL1063">
            <v>90420</v>
          </cell>
          <cell r="BM1063">
            <v>435042.65999999992</v>
          </cell>
          <cell r="BN1063">
            <v>199262.3648784947</v>
          </cell>
          <cell r="BO1063">
            <v>0</v>
          </cell>
          <cell r="BP1063">
            <v>0</v>
          </cell>
          <cell r="BQ1063">
            <v>0</v>
          </cell>
          <cell r="BR1063">
            <v>634305.02487849467</v>
          </cell>
          <cell r="BT1063">
            <v>0</v>
          </cell>
          <cell r="CA1063" t="str">
            <v>12489I - EBITA - Base</v>
          </cell>
          <cell r="CC1063" t="str">
            <v>12489I - EBITA - Base - IS4</v>
          </cell>
          <cell r="CD1063" t="str">
            <v/>
          </cell>
          <cell r="CF1063" t="str">
            <v>12489I - Base - IS4</v>
          </cell>
        </row>
        <row r="1064">
          <cell r="D1064">
            <v>1050</v>
          </cell>
          <cell r="E1064">
            <v>0</v>
          </cell>
          <cell r="F1064">
            <v>0</v>
          </cell>
          <cell r="G1064" t="str">
            <v>12489I</v>
          </cell>
          <cell r="H1064" t="str">
            <v>SSA HDISS</v>
          </cell>
          <cell r="I1064" t="str">
            <v>IS4</v>
          </cell>
          <cell r="J1064" t="str">
            <v>IS4 Engineering and Technology Services</v>
          </cell>
          <cell r="K1064" t="str">
            <v>Other Civilian</v>
          </cell>
          <cell r="L1064" t="str">
            <v>Other</v>
          </cell>
          <cell r="M1064" t="str">
            <v>MD</v>
          </cell>
          <cell r="N1064" t="str">
            <v>CONUS</v>
          </cell>
          <cell r="O1064">
            <v>43707</v>
          </cell>
          <cell r="P1064">
            <v>45534</v>
          </cell>
          <cell r="Q1064" t="str">
            <v>Sub</v>
          </cell>
          <cell r="R1064" t="str">
            <v>FFP</v>
          </cell>
          <cell r="S1064">
            <v>0</v>
          </cell>
          <cell r="T1064">
            <v>1</v>
          </cell>
          <cell r="U1064" t="str">
            <v>EBITA</v>
          </cell>
          <cell r="V1064" t="str">
            <v>Identified - Recompete</v>
          </cell>
          <cell r="W1064" t="str">
            <v>02 Capture</v>
          </cell>
          <cell r="X1064" t="str">
            <v>Priority 3</v>
          </cell>
          <cell r="Y1064">
            <v>0.25</v>
          </cell>
          <cell r="Z1064">
            <v>1000000</v>
          </cell>
          <cell r="AA1064">
            <v>0</v>
          </cell>
          <cell r="AB1064">
            <v>0</v>
          </cell>
          <cell r="AC1064">
            <v>0</v>
          </cell>
          <cell r="AD1064">
            <v>0</v>
          </cell>
          <cell r="AX1064">
            <v>0.27130434774352846</v>
          </cell>
          <cell r="AY1064">
            <v>0.27230434774352846</v>
          </cell>
          <cell r="AZ1064">
            <v>0.27330434774352846</v>
          </cell>
          <cell r="BA1064">
            <v>0.27430434774352846</v>
          </cell>
          <cell r="BI1064">
            <v>0</v>
          </cell>
          <cell r="BJ1064">
            <v>0</v>
          </cell>
          <cell r="BK1064">
            <v>0</v>
          </cell>
          <cell r="BL1064">
            <v>0</v>
          </cell>
          <cell r="BM1064">
            <v>0</v>
          </cell>
          <cell r="BN1064">
            <v>13565.217387176423</v>
          </cell>
          <cell r="BO1064">
            <v>13615.217387176423</v>
          </cell>
          <cell r="BP1064">
            <v>13665.217387176423</v>
          </cell>
          <cell r="BQ1064">
            <v>13715.217387176423</v>
          </cell>
          <cell r="BR1064">
            <v>54560.86954870569</v>
          </cell>
          <cell r="BT1064">
            <v>0</v>
          </cell>
          <cell r="CA1064" t="str">
            <v>12489I - EBITA - Identified - Recompete</v>
          </cell>
          <cell r="CC1064" t="str">
            <v>12489I - EBITA - Identified - Recompete - IS4</v>
          </cell>
          <cell r="CD1064" t="str">
            <v/>
          </cell>
          <cell r="CF1064" t="str">
            <v>12489I - Identified - Recompete - IS4</v>
          </cell>
        </row>
        <row r="1065">
          <cell r="D1065">
            <v>1051</v>
          </cell>
          <cell r="E1065">
            <v>1</v>
          </cell>
          <cell r="F1065">
            <v>1</v>
          </cell>
          <cell r="G1065" t="str">
            <v>B2PESX</v>
          </cell>
          <cell r="H1065" t="str">
            <v>B2</v>
          </cell>
          <cell r="I1065" t="str">
            <v>IS4</v>
          </cell>
          <cell r="J1065" t="str">
            <v>IS4 Spectrum &amp; Infrastructure Assurance</v>
          </cell>
          <cell r="K1065" t="str">
            <v>Air Force</v>
          </cell>
          <cell r="L1065" t="str">
            <v>DOD</v>
          </cell>
          <cell r="M1065" t="str">
            <v>OH</v>
          </cell>
          <cell r="N1065" t="str">
            <v>CONUS</v>
          </cell>
          <cell r="O1065">
            <v>42265</v>
          </cell>
          <cell r="P1065">
            <v>44061</v>
          </cell>
          <cell r="Q1065" t="str">
            <v>Sub</v>
          </cell>
          <cell r="R1065" t="str">
            <v>FFP</v>
          </cell>
          <cell r="S1065">
            <v>0</v>
          </cell>
          <cell r="T1065">
            <v>1</v>
          </cell>
          <cell r="U1065" t="str">
            <v>REVTOT</v>
          </cell>
          <cell r="V1065" t="str">
            <v>Base</v>
          </cell>
          <cell r="W1065" t="str">
            <v>05 Won</v>
          </cell>
          <cell r="X1065" t="str">
            <v>Active</v>
          </cell>
          <cell r="Y1065">
            <v>1</v>
          </cell>
          <cell r="Z1065">
            <v>0</v>
          </cell>
          <cell r="AA1065">
            <v>1037898.5099999993</v>
          </cell>
          <cell r="AB1065">
            <v>1761192</v>
          </cell>
          <cell r="AC1065">
            <v>0</v>
          </cell>
          <cell r="AD1065">
            <v>2799090.5099999993</v>
          </cell>
          <cell r="AE1065">
            <v>0.34484625229542365</v>
          </cell>
          <cell r="AF1065">
            <v>-2.778340488929032E-2</v>
          </cell>
          <cell r="AG1065">
            <v>-0.29062652929055521</v>
          </cell>
          <cell r="AH1065">
            <v>-2.3531199030499605E-2</v>
          </cell>
          <cell r="AI1065">
            <v>0</v>
          </cell>
          <cell r="AJ1065">
            <v>0</v>
          </cell>
          <cell r="AK1065">
            <v>0</v>
          </cell>
          <cell r="BB1065">
            <v>1775309.09</v>
          </cell>
          <cell r="BC1065">
            <v>1775309.09</v>
          </cell>
          <cell r="BD1065">
            <v>1775309.09</v>
          </cell>
          <cell r="BE1065">
            <v>1775309.09</v>
          </cell>
          <cell r="BF1065">
            <v>1960220.81</v>
          </cell>
          <cell r="BG1065">
            <v>2636195.61</v>
          </cell>
          <cell r="BH1065">
            <v>2562953.12</v>
          </cell>
          <cell r="BI1065">
            <v>449352.22000000003</v>
          </cell>
          <cell r="BJ1065">
            <v>456679.31</v>
          </cell>
          <cell r="BK1065">
            <v>459961.36</v>
          </cell>
          <cell r="BL1065">
            <v>452098.06</v>
          </cell>
          <cell r="BM1065">
            <v>1818090.9500000002</v>
          </cell>
          <cell r="BN1065">
            <v>1775309.09</v>
          </cell>
          <cell r="BO1065">
            <v>1023781.4199999992</v>
          </cell>
          <cell r="BP1065">
            <v>0</v>
          </cell>
          <cell r="BQ1065">
            <v>0</v>
          </cell>
          <cell r="BR1065">
            <v>4617181.459999999</v>
          </cell>
          <cell r="BT1065">
            <v>0</v>
          </cell>
          <cell r="CA1065" t="str">
            <v>B2PESX - REVTOT - Base</v>
          </cell>
          <cell r="CC1065" t="str">
            <v>B2PESX - REVTOT - Base - IS4</v>
          </cell>
          <cell r="CD1065" t="str">
            <v/>
          </cell>
          <cell r="CF1065" t="str">
            <v>B2PESX - Base - IS4</v>
          </cell>
        </row>
        <row r="1066">
          <cell r="D1066">
            <v>1052</v>
          </cell>
          <cell r="E1066">
            <v>1</v>
          </cell>
          <cell r="F1066">
            <v>2</v>
          </cell>
          <cell r="G1066" t="str">
            <v>B2PESX</v>
          </cell>
          <cell r="H1066" t="str">
            <v>B2</v>
          </cell>
          <cell r="I1066" t="str">
            <v>IS4</v>
          </cell>
          <cell r="J1066" t="str">
            <v>IS4 Spectrum &amp; Infrastructure Assurance</v>
          </cell>
          <cell r="K1066" t="str">
            <v>Air Force</v>
          </cell>
          <cell r="L1066" t="str">
            <v>DOD</v>
          </cell>
          <cell r="M1066" t="str">
            <v>OH</v>
          </cell>
          <cell r="N1066" t="str">
            <v>CONUS</v>
          </cell>
          <cell r="O1066">
            <v>0</v>
          </cell>
          <cell r="P1066">
            <v>0</v>
          </cell>
          <cell r="Q1066">
            <v>0</v>
          </cell>
          <cell r="R1066" t="str">
            <v>FFP</v>
          </cell>
          <cell r="S1066">
            <v>0</v>
          </cell>
          <cell r="T1066">
            <v>1</v>
          </cell>
          <cell r="U1066" t="str">
            <v>REVTOT</v>
          </cell>
          <cell r="V1066" t="str">
            <v>Identified - Recompete</v>
          </cell>
          <cell r="W1066">
            <v>0</v>
          </cell>
          <cell r="X1066">
            <v>0</v>
          </cell>
          <cell r="Y1066">
            <v>0</v>
          </cell>
          <cell r="Z1066">
            <v>0</v>
          </cell>
          <cell r="AA1066">
            <v>0</v>
          </cell>
          <cell r="AB1066">
            <v>0</v>
          </cell>
          <cell r="AC1066">
            <v>0</v>
          </cell>
          <cell r="AD1066">
            <v>0</v>
          </cell>
          <cell r="AI1066">
            <v>0</v>
          </cell>
          <cell r="AJ1066">
            <v>0</v>
          </cell>
          <cell r="AK1066">
            <v>0</v>
          </cell>
          <cell r="BB1066">
            <v>0</v>
          </cell>
          <cell r="BC1066">
            <v>0</v>
          </cell>
          <cell r="BD1066">
            <v>0</v>
          </cell>
          <cell r="BE1066">
            <v>0</v>
          </cell>
          <cell r="BI1066">
            <v>0</v>
          </cell>
          <cell r="BJ1066">
            <v>0</v>
          </cell>
          <cell r="BK1066">
            <v>0</v>
          </cell>
          <cell r="BL1066">
            <v>0</v>
          </cell>
          <cell r="BM1066">
            <v>0</v>
          </cell>
          <cell r="BN1066">
            <v>0</v>
          </cell>
          <cell r="BO1066">
            <v>0</v>
          </cell>
          <cell r="BP1066">
            <v>0</v>
          </cell>
          <cell r="BQ1066">
            <v>0</v>
          </cell>
          <cell r="BR1066">
            <v>0</v>
          </cell>
          <cell r="BT1066">
            <v>0</v>
          </cell>
          <cell r="CA1066" t="str">
            <v>B2PESX - REVTOT - Identified - Recompete</v>
          </cell>
          <cell r="CC1066" t="str">
            <v>B2PESX - REVTOT - Identified - Recompete - IS4</v>
          </cell>
          <cell r="CD1066" t="str">
            <v/>
          </cell>
          <cell r="CF1066" t="str">
            <v>B2PESX - Identified - Recompete - IS4</v>
          </cell>
        </row>
        <row r="1067">
          <cell r="D1067">
            <v>1053</v>
          </cell>
          <cell r="E1067">
            <v>2</v>
          </cell>
          <cell r="F1067">
            <v>3</v>
          </cell>
          <cell r="G1067" t="str">
            <v>B2PESX</v>
          </cell>
          <cell r="H1067" t="str">
            <v>B2</v>
          </cell>
          <cell r="I1067" t="str">
            <v>IS4</v>
          </cell>
          <cell r="J1067" t="str">
            <v>IS4 Spectrum &amp; Infrastructure Assurance</v>
          </cell>
          <cell r="K1067" t="str">
            <v>Air Force</v>
          </cell>
          <cell r="L1067" t="str">
            <v>DOD</v>
          </cell>
          <cell r="M1067" t="str">
            <v>OH</v>
          </cell>
          <cell r="N1067" t="str">
            <v>CONUS</v>
          </cell>
          <cell r="O1067">
            <v>42265</v>
          </cell>
          <cell r="P1067">
            <v>44061</v>
          </cell>
          <cell r="Q1067" t="str">
            <v>Sub</v>
          </cell>
          <cell r="R1067" t="str">
            <v>FFP</v>
          </cell>
          <cell r="S1067">
            <v>0</v>
          </cell>
          <cell r="T1067">
            <v>1</v>
          </cell>
          <cell r="U1067" t="str">
            <v>CONTRACT</v>
          </cell>
          <cell r="V1067" t="str">
            <v>Base</v>
          </cell>
          <cell r="W1067" t="str">
            <v>05 Won</v>
          </cell>
          <cell r="X1067" t="str">
            <v>Active</v>
          </cell>
          <cell r="Y1067">
            <v>1</v>
          </cell>
          <cell r="Z1067">
            <v>0</v>
          </cell>
          <cell r="AA1067">
            <v>1037898.5099999993</v>
          </cell>
          <cell r="AB1067">
            <v>1761192</v>
          </cell>
          <cell r="AC1067">
            <v>0</v>
          </cell>
          <cell r="AD1067">
            <v>2799090.5099999993</v>
          </cell>
          <cell r="AL1067">
            <v>0.19870762926958213</v>
          </cell>
          <cell r="AM1067">
            <v>0.17738256532488497</v>
          </cell>
          <cell r="AN1067">
            <v>0.19518376910460225</v>
          </cell>
          <cell r="AO1067">
            <v>0.17458598537108383</v>
          </cell>
          <cell r="AP1067">
            <v>0.18220029603408386</v>
          </cell>
          <cell r="AQ1067">
            <v>0.18220029603408386</v>
          </cell>
          <cell r="AR1067">
            <v>0.18220029603408386</v>
          </cell>
          <cell r="AS1067">
            <v>0.18220029603408386</v>
          </cell>
          <cell r="BF1067">
            <v>389510.83</v>
          </cell>
          <cell r="BG1067">
            <v>467615.13999999996</v>
          </cell>
          <cell r="BH1067">
            <v>500246.85</v>
          </cell>
          <cell r="BI1067">
            <v>83962.389999999985</v>
          </cell>
          <cell r="BJ1067">
            <v>80199.990000000005</v>
          </cell>
          <cell r="BK1067">
            <v>75002.899999999965</v>
          </cell>
          <cell r="BL1067">
            <v>78247.919999999984</v>
          </cell>
          <cell r="BM1067">
            <v>317413.19999999995</v>
          </cell>
          <cell r="BN1067">
            <v>323461.84175000002</v>
          </cell>
          <cell r="BO1067">
            <v>186533.27779819461</v>
          </cell>
          <cell r="BP1067">
            <v>0</v>
          </cell>
          <cell r="BQ1067">
            <v>0</v>
          </cell>
          <cell r="BR1067">
            <v>827408.31954819453</v>
          </cell>
          <cell r="BT1067">
            <v>0</v>
          </cell>
          <cell r="CA1067" t="str">
            <v>B2PESX - CONTRACT - Base</v>
          </cell>
          <cell r="CC1067" t="str">
            <v>B2PESX - CONTRACT - Base - IS4</v>
          </cell>
          <cell r="CD1067" t="str">
            <v/>
          </cell>
          <cell r="CF1067" t="str">
            <v>B2PESX - Base - IS4</v>
          </cell>
        </row>
        <row r="1068">
          <cell r="D1068">
            <v>1054</v>
          </cell>
          <cell r="E1068">
            <v>2</v>
          </cell>
          <cell r="F1068">
            <v>4</v>
          </cell>
          <cell r="G1068" t="str">
            <v>B2PESX</v>
          </cell>
          <cell r="H1068" t="str">
            <v>B2</v>
          </cell>
          <cell r="I1068" t="str">
            <v>IS4</v>
          </cell>
          <cell r="J1068" t="str">
            <v>IS4 Spectrum &amp; Infrastructure Assurance</v>
          </cell>
          <cell r="K1068" t="str">
            <v>Air Force</v>
          </cell>
          <cell r="L1068" t="str">
            <v>DOD</v>
          </cell>
          <cell r="M1068" t="str">
            <v>OH</v>
          </cell>
          <cell r="N1068" t="str">
            <v>CONUS</v>
          </cell>
          <cell r="O1068">
            <v>0</v>
          </cell>
          <cell r="P1068">
            <v>0</v>
          </cell>
          <cell r="Q1068">
            <v>0</v>
          </cell>
          <cell r="R1068" t="str">
            <v>FFP</v>
          </cell>
          <cell r="S1068">
            <v>0</v>
          </cell>
          <cell r="T1068">
            <v>1</v>
          </cell>
          <cell r="U1068" t="str">
            <v>CONTRACT</v>
          </cell>
          <cell r="V1068" t="str">
            <v>Identified - Recompete</v>
          </cell>
          <cell r="W1068">
            <v>0</v>
          </cell>
          <cell r="X1068">
            <v>0</v>
          </cell>
          <cell r="Y1068">
            <v>0</v>
          </cell>
          <cell r="Z1068">
            <v>0</v>
          </cell>
          <cell r="AA1068">
            <v>0</v>
          </cell>
          <cell r="AB1068">
            <v>0</v>
          </cell>
          <cell r="AC1068">
            <v>0</v>
          </cell>
          <cell r="AD1068">
            <v>0</v>
          </cell>
          <cell r="AP1068">
            <v>0</v>
          </cell>
          <cell r="AQ1068">
            <v>0</v>
          </cell>
          <cell r="AR1068">
            <v>0</v>
          </cell>
          <cell r="AS1068">
            <v>0</v>
          </cell>
          <cell r="BI1068">
            <v>0</v>
          </cell>
          <cell r="BJ1068">
            <v>0</v>
          </cell>
          <cell r="BK1068">
            <v>0</v>
          </cell>
          <cell r="BL1068">
            <v>0</v>
          </cell>
          <cell r="BM1068">
            <v>0</v>
          </cell>
          <cell r="BN1068">
            <v>0</v>
          </cell>
          <cell r="BO1068">
            <v>0</v>
          </cell>
          <cell r="BP1068">
            <v>0</v>
          </cell>
          <cell r="BQ1068">
            <v>0</v>
          </cell>
          <cell r="BR1068">
            <v>0</v>
          </cell>
          <cell r="BT1068">
            <v>0</v>
          </cell>
          <cell r="CA1068" t="str">
            <v>B2PESX - CONTRACT - Identified - Recompete</v>
          </cell>
          <cell r="CC1068" t="str">
            <v>B2PESX - CONTRACT - Identified - Recompete - IS4</v>
          </cell>
          <cell r="CD1068" t="str">
            <v/>
          </cell>
          <cell r="CF1068" t="str">
            <v>B2PESX - Identified - Recompete - IS4</v>
          </cell>
        </row>
        <row r="1069">
          <cell r="D1069">
            <v>1055</v>
          </cell>
          <cell r="E1069">
            <v>0</v>
          </cell>
          <cell r="F1069">
            <v>5</v>
          </cell>
          <cell r="G1069" t="str">
            <v>B2PESX</v>
          </cell>
          <cell r="H1069" t="str">
            <v>B2</v>
          </cell>
          <cell r="I1069" t="str">
            <v>IS4</v>
          </cell>
          <cell r="J1069" t="str">
            <v>IS4 Spectrum &amp; Infrastructure Assurance</v>
          </cell>
          <cell r="K1069" t="str">
            <v>Air Force</v>
          </cell>
          <cell r="L1069" t="str">
            <v>DOD</v>
          </cell>
          <cell r="M1069" t="str">
            <v>OH</v>
          </cell>
          <cell r="N1069" t="str">
            <v>CONUS</v>
          </cell>
          <cell r="O1069">
            <v>42265</v>
          </cell>
          <cell r="P1069">
            <v>44061</v>
          </cell>
          <cell r="Q1069" t="str">
            <v>Sub</v>
          </cell>
          <cell r="R1069" t="str">
            <v>FFP</v>
          </cell>
          <cell r="S1069">
            <v>0</v>
          </cell>
          <cell r="T1069">
            <v>1</v>
          </cell>
          <cell r="U1069" t="str">
            <v>EBITA</v>
          </cell>
          <cell r="V1069" t="str">
            <v>Base</v>
          </cell>
          <cell r="W1069" t="str">
            <v>05 Won</v>
          </cell>
          <cell r="X1069" t="str">
            <v>Active</v>
          </cell>
          <cell r="Y1069">
            <v>1</v>
          </cell>
          <cell r="Z1069">
            <v>0</v>
          </cell>
          <cell r="AA1069">
            <v>1037898.5099999993</v>
          </cell>
          <cell r="AB1069">
            <v>1761192</v>
          </cell>
          <cell r="AC1069">
            <v>0</v>
          </cell>
          <cell r="AD1069">
            <v>2799090.5099999993</v>
          </cell>
          <cell r="AT1069">
            <v>-8.8224397536112182E-3</v>
          </cell>
          <cell r="AU1069">
            <v>3.5445324939297633E-2</v>
          </cell>
          <cell r="AV1069">
            <v>6.4626734179203393E-2</v>
          </cell>
          <cell r="AW1069">
            <v>4.2338382466509686E-2</v>
          </cell>
          <cell r="AX1069">
            <v>5.178362615499877E-2</v>
          </cell>
          <cell r="AY1069">
            <v>5.2783626154998771E-2</v>
          </cell>
          <cell r="AZ1069">
            <v>5.3783626154998772E-2</v>
          </cell>
          <cell r="BA1069">
            <v>5.4783626154998773E-2</v>
          </cell>
          <cell r="BF1069">
            <v>-17293.929999999982</v>
          </cell>
          <cell r="BG1069">
            <v>93440.809999999939</v>
          </cell>
          <cell r="BH1069">
            <v>165635.28999999998</v>
          </cell>
          <cell r="BI1069">
            <v>24244.129999999986</v>
          </cell>
          <cell r="BJ1069">
            <v>19557.950000000008</v>
          </cell>
          <cell r="BK1069">
            <v>12881.379999999968</v>
          </cell>
          <cell r="BL1069">
            <v>20291.569999999985</v>
          </cell>
          <cell r="BM1069">
            <v>76975.029999999941</v>
          </cell>
          <cell r="BN1069">
            <v>91931.942226131068</v>
          </cell>
          <cell r="BO1069">
            <v>54038.895737713741</v>
          </cell>
          <cell r="BP1069">
            <v>0</v>
          </cell>
          <cell r="BQ1069">
            <v>0</v>
          </cell>
          <cell r="BR1069">
            <v>222945.86796384474</v>
          </cell>
          <cell r="BT1069">
            <v>0</v>
          </cell>
          <cell r="CA1069" t="str">
            <v>B2PESX - EBITA - Base</v>
          </cell>
          <cell r="CC1069" t="str">
            <v>B2PESX - EBITA - Base - IS4</v>
          </cell>
          <cell r="CD1069" t="str">
            <v/>
          </cell>
          <cell r="CF1069" t="str">
            <v>B2PESX - Base - IS4</v>
          </cell>
        </row>
        <row r="1070">
          <cell r="D1070">
            <v>1056</v>
          </cell>
          <cell r="E1070">
            <v>0</v>
          </cell>
          <cell r="F1070">
            <v>0</v>
          </cell>
          <cell r="G1070" t="str">
            <v>B2PESX</v>
          </cell>
          <cell r="H1070" t="str">
            <v>B2</v>
          </cell>
          <cell r="I1070" t="str">
            <v>IS4</v>
          </cell>
          <cell r="J1070" t="str">
            <v>IS4 Spectrum &amp; Infrastructure Assurance</v>
          </cell>
          <cell r="K1070" t="str">
            <v>Air Force</v>
          </cell>
          <cell r="L1070" t="str">
            <v>DOD</v>
          </cell>
          <cell r="M1070" t="str">
            <v>OH</v>
          </cell>
          <cell r="N1070" t="str">
            <v>CONUS</v>
          </cell>
          <cell r="O1070">
            <v>0</v>
          </cell>
          <cell r="P1070">
            <v>0</v>
          </cell>
          <cell r="Q1070">
            <v>0</v>
          </cell>
          <cell r="R1070" t="str">
            <v>FFP</v>
          </cell>
          <cell r="S1070">
            <v>0</v>
          </cell>
          <cell r="T1070">
            <v>1</v>
          </cell>
          <cell r="U1070" t="str">
            <v>EBITA</v>
          </cell>
          <cell r="V1070" t="str">
            <v>Identified - Recompete</v>
          </cell>
          <cell r="W1070">
            <v>0</v>
          </cell>
          <cell r="X1070">
            <v>0</v>
          </cell>
          <cell r="Y1070">
            <v>0</v>
          </cell>
          <cell r="Z1070">
            <v>0</v>
          </cell>
          <cell r="AA1070">
            <v>0</v>
          </cell>
          <cell r="AB1070">
            <v>0</v>
          </cell>
          <cell r="AC1070">
            <v>0</v>
          </cell>
          <cell r="AD1070">
            <v>0</v>
          </cell>
          <cell r="AX1070">
            <v>0</v>
          </cell>
          <cell r="AY1070">
            <v>0</v>
          </cell>
          <cell r="AZ1070">
            <v>0</v>
          </cell>
          <cell r="BA1070">
            <v>0</v>
          </cell>
          <cell r="BI1070">
            <v>0</v>
          </cell>
          <cell r="BJ1070">
            <v>0</v>
          </cell>
          <cell r="BK1070">
            <v>0</v>
          </cell>
          <cell r="BL1070">
            <v>0</v>
          </cell>
          <cell r="BM1070">
            <v>0</v>
          </cell>
          <cell r="BN1070">
            <v>0</v>
          </cell>
          <cell r="BO1070">
            <v>0</v>
          </cell>
          <cell r="BP1070">
            <v>0</v>
          </cell>
          <cell r="BQ1070">
            <v>0</v>
          </cell>
          <cell r="BR1070">
            <v>0</v>
          </cell>
          <cell r="BT1070">
            <v>0</v>
          </cell>
          <cell r="CA1070" t="str">
            <v>B2PESX - EBITA - Identified - Recompete</v>
          </cell>
          <cell r="CC1070" t="str">
            <v>B2PESX - EBITA - Identified - Recompete - IS4</v>
          </cell>
          <cell r="CD1070" t="str">
            <v/>
          </cell>
          <cell r="CF1070" t="str">
            <v>B2PESX - Identified - Recompete - IS4</v>
          </cell>
        </row>
        <row r="1071">
          <cell r="D1071">
            <v>1057</v>
          </cell>
          <cell r="E1071">
            <v>1</v>
          </cell>
          <cell r="F1071">
            <v>1</v>
          </cell>
          <cell r="G1071" t="str">
            <v>001239</v>
          </cell>
          <cell r="H1071" t="str">
            <v>NTCR</v>
          </cell>
          <cell r="I1071" t="str">
            <v>IS4</v>
          </cell>
          <cell r="J1071" t="str">
            <v>IS4 Sustainment Engineering and Acquisition</v>
          </cell>
          <cell r="K1071" t="str">
            <v>Navy</v>
          </cell>
          <cell r="L1071" t="str">
            <v>DOD</v>
          </cell>
          <cell r="M1071" t="str">
            <v>US_State</v>
          </cell>
          <cell r="N1071" t="str">
            <v>CONUS</v>
          </cell>
          <cell r="O1071">
            <v>39721</v>
          </cell>
          <cell r="P1071">
            <v>43372</v>
          </cell>
          <cell r="Q1071" t="str">
            <v>Prime</v>
          </cell>
          <cell r="R1071" t="str">
            <v>FFP</v>
          </cell>
          <cell r="S1071">
            <v>0</v>
          </cell>
          <cell r="T1071">
            <v>1</v>
          </cell>
          <cell r="U1071" t="str">
            <v>REVTOT</v>
          </cell>
          <cell r="V1071" t="str">
            <v>Base</v>
          </cell>
          <cell r="W1071" t="str">
            <v>05 Won</v>
          </cell>
          <cell r="X1071" t="str">
            <v>Active</v>
          </cell>
          <cell r="Y1071">
            <v>1</v>
          </cell>
          <cell r="Z1071">
            <v>0</v>
          </cell>
          <cell r="AA1071">
            <v>639793.36000000616</v>
          </cell>
          <cell r="AB1071">
            <v>0</v>
          </cell>
          <cell r="AC1071">
            <v>0</v>
          </cell>
          <cell r="AD1071">
            <v>639793.36000000616</v>
          </cell>
          <cell r="AE1071">
            <v>-0.15589826879057922</v>
          </cell>
          <cell r="AF1071">
            <v>0.11698698871940216</v>
          </cell>
          <cell r="AG1071">
            <v>-0.43273253022244706</v>
          </cell>
          <cell r="AH1071">
            <v>-1</v>
          </cell>
          <cell r="AI1071">
            <v>0</v>
          </cell>
          <cell r="AJ1071">
            <v>0</v>
          </cell>
          <cell r="AK1071">
            <v>0</v>
          </cell>
          <cell r="BB1071">
            <v>0</v>
          </cell>
          <cell r="BC1071">
            <v>0</v>
          </cell>
          <cell r="BD1071">
            <v>0</v>
          </cell>
          <cell r="BE1071">
            <v>0</v>
          </cell>
          <cell r="BF1071">
            <v>3075901.6999999997</v>
          </cell>
          <cell r="BG1071">
            <v>2596373.9500000002</v>
          </cell>
          <cell r="BH1071">
            <v>2900115.92</v>
          </cell>
          <cell r="BI1071">
            <v>642023.15</v>
          </cell>
          <cell r="BJ1071">
            <v>763456.76</v>
          </cell>
          <cell r="BK1071">
            <v>239661.51</v>
          </cell>
          <cell r="BL1071">
            <v>0</v>
          </cell>
          <cell r="BM1071">
            <v>1645141.4200000002</v>
          </cell>
          <cell r="BN1071">
            <v>0</v>
          </cell>
          <cell r="BO1071">
            <v>0</v>
          </cell>
          <cell r="BP1071">
            <v>0</v>
          </cell>
          <cell r="BQ1071">
            <v>0</v>
          </cell>
          <cell r="BR1071">
            <v>1645141.4200000002</v>
          </cell>
          <cell r="BT1071">
            <v>0</v>
          </cell>
          <cell r="CA1071" t="str">
            <v>001239 - REVTOT - Base</v>
          </cell>
          <cell r="CC1071" t="str">
            <v>001239 - REVTOT - Base - IS4</v>
          </cell>
          <cell r="CD1071" t="str">
            <v/>
          </cell>
          <cell r="CF1071" t="str">
            <v>001239 - Base - IS4</v>
          </cell>
        </row>
        <row r="1072">
          <cell r="D1072">
            <v>1058</v>
          </cell>
          <cell r="E1072">
            <v>1</v>
          </cell>
          <cell r="F1072">
            <v>2</v>
          </cell>
          <cell r="G1072" t="str">
            <v>001239</v>
          </cell>
          <cell r="H1072" t="str">
            <v>NTCR</v>
          </cell>
          <cell r="I1072" t="str">
            <v>IS4</v>
          </cell>
          <cell r="J1072" t="str">
            <v>IS4 Sustainment Engineering and Acquisition</v>
          </cell>
          <cell r="K1072" t="str">
            <v>Navy</v>
          </cell>
          <cell r="L1072" t="str">
            <v>DOD</v>
          </cell>
          <cell r="M1072" t="str">
            <v>US_State</v>
          </cell>
          <cell r="N1072" t="str">
            <v>CONUS</v>
          </cell>
          <cell r="O1072">
            <v>0</v>
          </cell>
          <cell r="P1072">
            <v>0</v>
          </cell>
          <cell r="Q1072">
            <v>0</v>
          </cell>
          <cell r="R1072" t="str">
            <v>FFP</v>
          </cell>
          <cell r="S1072">
            <v>0</v>
          </cell>
          <cell r="T1072">
            <v>1</v>
          </cell>
          <cell r="U1072" t="str">
            <v>REVTOT</v>
          </cell>
          <cell r="V1072" t="str">
            <v>Identified - Recompete</v>
          </cell>
          <cell r="W1072">
            <v>0</v>
          </cell>
          <cell r="X1072">
            <v>0</v>
          </cell>
          <cell r="Y1072">
            <v>0</v>
          </cell>
          <cell r="Z1072">
            <v>0</v>
          </cell>
          <cell r="AA1072">
            <v>0</v>
          </cell>
          <cell r="AB1072">
            <v>0</v>
          </cell>
          <cell r="AC1072">
            <v>0</v>
          </cell>
          <cell r="AD1072">
            <v>0</v>
          </cell>
          <cell r="AI1072">
            <v>0</v>
          </cell>
          <cell r="AJ1072">
            <v>0</v>
          </cell>
          <cell r="AK1072">
            <v>0</v>
          </cell>
          <cell r="BB1072">
            <v>0</v>
          </cell>
          <cell r="BC1072">
            <v>0</v>
          </cell>
          <cell r="BD1072">
            <v>0</v>
          </cell>
          <cell r="BE1072">
            <v>0</v>
          </cell>
          <cell r="BI1072">
            <v>0</v>
          </cell>
          <cell r="BJ1072">
            <v>0</v>
          </cell>
          <cell r="BK1072">
            <v>0</v>
          </cell>
          <cell r="BL1072">
            <v>0</v>
          </cell>
          <cell r="BM1072">
            <v>0</v>
          </cell>
          <cell r="BN1072">
            <v>0</v>
          </cell>
          <cell r="BO1072">
            <v>0</v>
          </cell>
          <cell r="BP1072">
            <v>0</v>
          </cell>
          <cell r="BQ1072">
            <v>0</v>
          </cell>
          <cell r="BR1072">
            <v>0</v>
          </cell>
          <cell r="BT1072">
            <v>0</v>
          </cell>
          <cell r="CA1072" t="str">
            <v>001239 - REVTOT - Identified - Recompete</v>
          </cell>
          <cell r="CC1072" t="str">
            <v>001239 - REVTOT - Identified - Recompete - IS4</v>
          </cell>
          <cell r="CD1072" t="str">
            <v/>
          </cell>
          <cell r="CF1072" t="str">
            <v>001239 - Identified - Recompete - IS4</v>
          </cell>
        </row>
        <row r="1073">
          <cell r="D1073">
            <v>1059</v>
          </cell>
          <cell r="E1073">
            <v>2</v>
          </cell>
          <cell r="F1073">
            <v>3</v>
          </cell>
          <cell r="G1073" t="str">
            <v>001239</v>
          </cell>
          <cell r="H1073" t="str">
            <v>NTCR</v>
          </cell>
          <cell r="I1073" t="str">
            <v>IS4</v>
          </cell>
          <cell r="J1073" t="str">
            <v>IS4 Sustainment Engineering and Acquisition</v>
          </cell>
          <cell r="K1073" t="str">
            <v>Navy</v>
          </cell>
          <cell r="L1073" t="str">
            <v>DOD</v>
          </cell>
          <cell r="M1073" t="str">
            <v>US_State</v>
          </cell>
          <cell r="N1073" t="str">
            <v>CONUS</v>
          </cell>
          <cell r="O1073">
            <v>39721</v>
          </cell>
          <cell r="P1073">
            <v>43372</v>
          </cell>
          <cell r="Q1073" t="str">
            <v>Prime</v>
          </cell>
          <cell r="R1073" t="str">
            <v>FFP</v>
          </cell>
          <cell r="S1073">
            <v>0</v>
          </cell>
          <cell r="T1073">
            <v>1</v>
          </cell>
          <cell r="U1073" t="str">
            <v>CONTRACT</v>
          </cell>
          <cell r="V1073" t="str">
            <v>Base</v>
          </cell>
          <cell r="W1073" t="str">
            <v>05 Won</v>
          </cell>
          <cell r="X1073" t="str">
            <v>Active</v>
          </cell>
          <cell r="Y1073">
            <v>1</v>
          </cell>
          <cell r="Z1073">
            <v>0</v>
          </cell>
          <cell r="AA1073">
            <v>639793.36000000616</v>
          </cell>
          <cell r="AB1073">
            <v>0</v>
          </cell>
          <cell r="AC1073">
            <v>0</v>
          </cell>
          <cell r="AD1073">
            <v>639793.36000000616</v>
          </cell>
          <cell r="AL1073">
            <v>0.4941667219079206</v>
          </cell>
          <cell r="AM1073">
            <v>0.47971356745433374</v>
          </cell>
          <cell r="AN1073">
            <v>0.51220255706192597</v>
          </cell>
          <cell r="AO1073">
            <v>0.56542973065500945</v>
          </cell>
          <cell r="AP1073">
            <v>0.50708744812185824</v>
          </cell>
          <cell r="AQ1073">
            <v>0.50708744812185824</v>
          </cell>
          <cell r="AR1073">
            <v>0.50708744812185824</v>
          </cell>
          <cell r="AS1073">
            <v>0.50708744812185824</v>
          </cell>
          <cell r="BF1073">
            <v>1520008.26</v>
          </cell>
          <cell r="BG1073">
            <v>1245515.81</v>
          </cell>
          <cell r="BH1073">
            <v>1485446.79</v>
          </cell>
          <cell r="BI1073">
            <v>184786.61000000002</v>
          </cell>
          <cell r="BJ1073">
            <v>621811.24999999988</v>
          </cell>
          <cell r="BK1073">
            <v>123614.01000000001</v>
          </cell>
          <cell r="BL1073">
            <v>0</v>
          </cell>
          <cell r="BM1073">
            <v>930211.86999999988</v>
          </cell>
          <cell r="BN1073">
            <v>0</v>
          </cell>
          <cell r="BO1073">
            <v>0</v>
          </cell>
          <cell r="BP1073">
            <v>0</v>
          </cell>
          <cell r="BQ1073">
            <v>0</v>
          </cell>
          <cell r="BR1073">
            <v>930211.86999999988</v>
          </cell>
          <cell r="BT1073">
            <v>0</v>
          </cell>
          <cell r="CA1073" t="str">
            <v>001239 - CONTRACT - Base</v>
          </cell>
          <cell r="CC1073" t="str">
            <v>001239 - CONTRACT - Base - IS4</v>
          </cell>
          <cell r="CD1073" t="str">
            <v/>
          </cell>
          <cell r="CF1073" t="str">
            <v>001239 - Base - IS4</v>
          </cell>
        </row>
        <row r="1074">
          <cell r="D1074">
            <v>1060</v>
          </cell>
          <cell r="E1074">
            <v>2</v>
          </cell>
          <cell r="F1074">
            <v>4</v>
          </cell>
          <cell r="G1074" t="str">
            <v>001239</v>
          </cell>
          <cell r="H1074" t="str">
            <v>NTCR</v>
          </cell>
          <cell r="I1074" t="str">
            <v>IS4</v>
          </cell>
          <cell r="J1074" t="str">
            <v>IS4 Sustainment Engineering and Acquisition</v>
          </cell>
          <cell r="K1074" t="str">
            <v>Navy</v>
          </cell>
          <cell r="L1074" t="str">
            <v>DOD</v>
          </cell>
          <cell r="M1074" t="str">
            <v>US_State</v>
          </cell>
          <cell r="N1074" t="str">
            <v>CONUS</v>
          </cell>
          <cell r="O1074">
            <v>0</v>
          </cell>
          <cell r="P1074">
            <v>0</v>
          </cell>
          <cell r="Q1074">
            <v>0</v>
          </cell>
          <cell r="R1074" t="str">
            <v>FFP</v>
          </cell>
          <cell r="S1074">
            <v>0</v>
          </cell>
          <cell r="T1074">
            <v>1</v>
          </cell>
          <cell r="U1074" t="str">
            <v>CONTRACT</v>
          </cell>
          <cell r="V1074" t="str">
            <v>Identified - Recompete</v>
          </cell>
          <cell r="W1074">
            <v>0</v>
          </cell>
          <cell r="X1074">
            <v>0</v>
          </cell>
          <cell r="Y1074">
            <v>0</v>
          </cell>
          <cell r="Z1074">
            <v>0</v>
          </cell>
          <cell r="AA1074">
            <v>0</v>
          </cell>
          <cell r="AB1074">
            <v>0</v>
          </cell>
          <cell r="AC1074">
            <v>0</v>
          </cell>
          <cell r="AD1074">
            <v>0</v>
          </cell>
          <cell r="AP1074">
            <v>0</v>
          </cell>
          <cell r="AQ1074">
            <v>0</v>
          </cell>
          <cell r="AR1074">
            <v>0</v>
          </cell>
          <cell r="AS1074">
            <v>0</v>
          </cell>
          <cell r="BI1074">
            <v>0</v>
          </cell>
          <cell r="BJ1074">
            <v>0</v>
          </cell>
          <cell r="BK1074">
            <v>0</v>
          </cell>
          <cell r="BL1074">
            <v>0</v>
          </cell>
          <cell r="BM1074">
            <v>0</v>
          </cell>
          <cell r="BN1074">
            <v>0</v>
          </cell>
          <cell r="BO1074">
            <v>0</v>
          </cell>
          <cell r="BP1074">
            <v>0</v>
          </cell>
          <cell r="BQ1074">
            <v>0</v>
          </cell>
          <cell r="BR1074">
            <v>0</v>
          </cell>
          <cell r="BT1074">
            <v>0</v>
          </cell>
          <cell r="CA1074" t="str">
            <v>001239 - CONTRACT - Identified - Recompete</v>
          </cell>
          <cell r="CC1074" t="str">
            <v>001239 - CONTRACT - Identified - Recompete - IS4</v>
          </cell>
          <cell r="CD1074" t="str">
            <v/>
          </cell>
          <cell r="CF1074" t="str">
            <v>001239 - Identified - Recompete - IS4</v>
          </cell>
        </row>
        <row r="1075">
          <cell r="D1075">
            <v>1061</v>
          </cell>
          <cell r="E1075">
            <v>0</v>
          </cell>
          <cell r="F1075">
            <v>5</v>
          </cell>
          <cell r="G1075" t="str">
            <v>001239</v>
          </cell>
          <cell r="H1075" t="str">
            <v>NTCR</v>
          </cell>
          <cell r="I1075" t="str">
            <v>IS4</v>
          </cell>
          <cell r="J1075" t="str">
            <v>IS4 Sustainment Engineering and Acquisition</v>
          </cell>
          <cell r="K1075" t="str">
            <v>Navy</v>
          </cell>
          <cell r="L1075" t="str">
            <v>DOD</v>
          </cell>
          <cell r="M1075" t="str">
            <v>US_State</v>
          </cell>
          <cell r="N1075" t="str">
            <v>CONUS</v>
          </cell>
          <cell r="O1075">
            <v>39721</v>
          </cell>
          <cell r="P1075">
            <v>43372</v>
          </cell>
          <cell r="Q1075" t="str">
            <v>Prime</v>
          </cell>
          <cell r="R1075" t="str">
            <v>FFP</v>
          </cell>
          <cell r="S1075">
            <v>0</v>
          </cell>
          <cell r="T1075">
            <v>1</v>
          </cell>
          <cell r="U1075" t="str">
            <v>EBITA</v>
          </cell>
          <cell r="V1075" t="str">
            <v>Base</v>
          </cell>
          <cell r="W1075" t="str">
            <v>05 Won</v>
          </cell>
          <cell r="X1075" t="str">
            <v>Active</v>
          </cell>
          <cell r="Y1075">
            <v>1</v>
          </cell>
          <cell r="Z1075">
            <v>0</v>
          </cell>
          <cell r="AA1075">
            <v>639793.36000000616</v>
          </cell>
          <cell r="AB1075">
            <v>0</v>
          </cell>
          <cell r="AC1075">
            <v>0</v>
          </cell>
          <cell r="AD1075">
            <v>639793.36000000616</v>
          </cell>
          <cell r="AT1075">
            <v>0.40800171865050183</v>
          </cell>
          <cell r="AU1075">
            <v>0.40563670730096485</v>
          </cell>
          <cell r="AV1075">
            <v>0.44663425729548079</v>
          </cell>
          <cell r="AW1075">
            <v>0.51377128417324758</v>
          </cell>
          <cell r="AX1075">
            <v>0.43639622571847453</v>
          </cell>
          <cell r="AY1075">
            <v>0.43739622571847453</v>
          </cell>
          <cell r="AZ1075">
            <v>0.43839622571847453</v>
          </cell>
          <cell r="BA1075">
            <v>0.43939622571847453</v>
          </cell>
          <cell r="BF1075">
            <v>1254973.1800000002</v>
          </cell>
          <cell r="BG1075">
            <v>1053184.58</v>
          </cell>
          <cell r="BH1075">
            <v>1295291.1199999999</v>
          </cell>
          <cell r="BI1075">
            <v>131206.16000000003</v>
          </cell>
          <cell r="BJ1075">
            <v>605884.96</v>
          </cell>
          <cell r="BK1075">
            <v>108135.30000000002</v>
          </cell>
          <cell r="BL1075">
            <v>0</v>
          </cell>
          <cell r="BM1075">
            <v>845226.42</v>
          </cell>
          <cell r="BN1075">
            <v>0</v>
          </cell>
          <cell r="BO1075">
            <v>0</v>
          </cell>
          <cell r="BP1075">
            <v>0</v>
          </cell>
          <cell r="BQ1075">
            <v>0</v>
          </cell>
          <cell r="BR1075">
            <v>845226.42</v>
          </cell>
          <cell r="BT1075">
            <v>0</v>
          </cell>
          <cell r="CA1075" t="str">
            <v>001239 - EBITA - Base</v>
          </cell>
          <cell r="CC1075" t="str">
            <v>001239 - EBITA - Base - IS4</v>
          </cell>
          <cell r="CD1075" t="str">
            <v/>
          </cell>
          <cell r="CF1075" t="str">
            <v>001239 - Base - IS4</v>
          </cell>
        </row>
        <row r="1076">
          <cell r="D1076">
            <v>1062</v>
          </cell>
          <cell r="E1076">
            <v>0</v>
          </cell>
          <cell r="F1076">
            <v>0</v>
          </cell>
          <cell r="G1076" t="str">
            <v>001239</v>
          </cell>
          <cell r="H1076" t="str">
            <v>NTCR</v>
          </cell>
          <cell r="I1076" t="str">
            <v>IS4</v>
          </cell>
          <cell r="J1076" t="str">
            <v>IS4 Sustainment Engineering and Acquisition</v>
          </cell>
          <cell r="K1076" t="str">
            <v>Navy</v>
          </cell>
          <cell r="L1076" t="str">
            <v>DOD</v>
          </cell>
          <cell r="M1076" t="str">
            <v>US_State</v>
          </cell>
          <cell r="N1076" t="str">
            <v>CONUS</v>
          </cell>
          <cell r="O1076">
            <v>0</v>
          </cell>
          <cell r="P1076">
            <v>0</v>
          </cell>
          <cell r="Q1076">
            <v>0</v>
          </cell>
          <cell r="R1076" t="str">
            <v>FFP</v>
          </cell>
          <cell r="S1076">
            <v>0</v>
          </cell>
          <cell r="T1076">
            <v>1</v>
          </cell>
          <cell r="U1076" t="str">
            <v>EBITA</v>
          </cell>
          <cell r="V1076" t="str">
            <v>Identified - Recompete</v>
          </cell>
          <cell r="W1076">
            <v>0</v>
          </cell>
          <cell r="X1076">
            <v>0</v>
          </cell>
          <cell r="Y1076">
            <v>0</v>
          </cell>
          <cell r="Z1076">
            <v>0</v>
          </cell>
          <cell r="AA1076">
            <v>0</v>
          </cell>
          <cell r="AB1076">
            <v>0</v>
          </cell>
          <cell r="AC1076">
            <v>0</v>
          </cell>
          <cell r="AD1076">
            <v>0</v>
          </cell>
          <cell r="AX1076">
            <v>0</v>
          </cell>
          <cell r="AY1076">
            <v>0</v>
          </cell>
          <cell r="AZ1076">
            <v>0</v>
          </cell>
          <cell r="BA1076">
            <v>0</v>
          </cell>
          <cell r="BI1076">
            <v>0</v>
          </cell>
          <cell r="BJ1076">
            <v>0</v>
          </cell>
          <cell r="BK1076">
            <v>0</v>
          </cell>
          <cell r="BL1076">
            <v>0</v>
          </cell>
          <cell r="BM1076">
            <v>0</v>
          </cell>
          <cell r="BN1076">
            <v>0</v>
          </cell>
          <cell r="BO1076">
            <v>0</v>
          </cell>
          <cell r="BP1076">
            <v>0</v>
          </cell>
          <cell r="BQ1076">
            <v>0</v>
          </cell>
          <cell r="BR1076">
            <v>0</v>
          </cell>
          <cell r="BT1076">
            <v>0</v>
          </cell>
          <cell r="CA1076" t="str">
            <v>001239 - EBITA - Identified - Recompete</v>
          </cell>
          <cell r="CC1076" t="str">
            <v>001239 - EBITA - Identified - Recompete - IS4</v>
          </cell>
          <cell r="CD1076" t="str">
            <v/>
          </cell>
          <cell r="CF1076" t="str">
            <v>001239 - Identified - Recompete - IS4</v>
          </cell>
        </row>
        <row r="1077">
          <cell r="D1077">
            <v>1063</v>
          </cell>
          <cell r="E1077">
            <v>1</v>
          </cell>
          <cell r="F1077">
            <v>1</v>
          </cell>
          <cell r="G1077" t="str">
            <v>CP4443</v>
          </cell>
          <cell r="H1077" t="str">
            <v>OKINAWA</v>
          </cell>
          <cell r="I1077" t="str">
            <v>IS4</v>
          </cell>
          <cell r="J1077" t="str">
            <v>IS4 Global Mission Solutions</v>
          </cell>
          <cell r="K1077" t="str">
            <v>Classified Agency</v>
          </cell>
          <cell r="L1077" t="str">
            <v>Classified</v>
          </cell>
          <cell r="M1077" t="str">
            <v>Multi_Dom-Intl</v>
          </cell>
          <cell r="N1077" t="str">
            <v>Other</v>
          </cell>
          <cell r="O1077">
            <v>43559</v>
          </cell>
          <cell r="P1077">
            <v>43924</v>
          </cell>
          <cell r="Q1077" t="str">
            <v>Prime</v>
          </cell>
          <cell r="R1077" t="str">
            <v>FFP</v>
          </cell>
          <cell r="S1077">
            <v>0</v>
          </cell>
          <cell r="T1077">
            <v>1</v>
          </cell>
          <cell r="U1077" t="str">
            <v>REVTOT</v>
          </cell>
          <cell r="V1077" t="str">
            <v>Base</v>
          </cell>
          <cell r="W1077" t="str">
            <v>05 Won</v>
          </cell>
          <cell r="X1077" t="str">
            <v>Active</v>
          </cell>
          <cell r="Y1077">
            <v>1</v>
          </cell>
          <cell r="Z1077">
            <v>0</v>
          </cell>
          <cell r="AA1077">
            <v>4298129.43169</v>
          </cell>
          <cell r="AB1077">
            <v>0</v>
          </cell>
          <cell r="AC1077">
            <v>0</v>
          </cell>
          <cell r="AD1077">
            <v>4298129.43169</v>
          </cell>
          <cell r="AE1077">
            <v>0</v>
          </cell>
          <cell r="AF1077">
            <v>0</v>
          </cell>
          <cell r="AG1077">
            <v>0</v>
          </cell>
          <cell r="AH1077">
            <v>5.482502051353638</v>
          </cell>
          <cell r="AI1077">
            <v>0</v>
          </cell>
          <cell r="AJ1077">
            <v>0</v>
          </cell>
          <cell r="AK1077">
            <v>0</v>
          </cell>
          <cell r="BB1077">
            <v>4298129.43169</v>
          </cell>
          <cell r="BC1077">
            <v>0</v>
          </cell>
          <cell r="BD1077">
            <v>0</v>
          </cell>
          <cell r="BE1077">
            <v>0</v>
          </cell>
          <cell r="BF1077">
            <v>0</v>
          </cell>
          <cell r="BG1077">
            <v>0</v>
          </cell>
          <cell r="BH1077">
            <v>0</v>
          </cell>
          <cell r="BI1077">
            <v>0</v>
          </cell>
          <cell r="BJ1077">
            <v>0</v>
          </cell>
          <cell r="BK1077">
            <v>163034.96</v>
          </cell>
          <cell r="BL1077">
            <v>500000.60831000004</v>
          </cell>
          <cell r="BM1077">
            <v>663035.56831</v>
          </cell>
          <cell r="BN1077">
            <v>4298129.43169</v>
          </cell>
          <cell r="BO1077">
            <v>0</v>
          </cell>
          <cell r="BP1077">
            <v>0</v>
          </cell>
          <cell r="BQ1077">
            <v>0</v>
          </cell>
          <cell r="BR1077">
            <v>4961165</v>
          </cell>
          <cell r="BT1077">
            <v>0</v>
          </cell>
          <cell r="CA1077" t="str">
            <v>CP4443 - REVTOT - Base</v>
          </cell>
          <cell r="CC1077" t="str">
            <v>CP4443 - REVTOT - Base - IS4</v>
          </cell>
          <cell r="CD1077" t="str">
            <v/>
          </cell>
          <cell r="CF1077" t="str">
            <v>CP4443 - Base - IS4</v>
          </cell>
        </row>
        <row r="1078">
          <cell r="D1078">
            <v>1064</v>
          </cell>
          <cell r="E1078">
            <v>1</v>
          </cell>
          <cell r="F1078">
            <v>2</v>
          </cell>
          <cell r="G1078" t="str">
            <v>CP4443</v>
          </cell>
          <cell r="H1078" t="str">
            <v>OKINAWA</v>
          </cell>
          <cell r="I1078" t="str">
            <v>IS4</v>
          </cell>
          <cell r="J1078" t="str">
            <v>IS4 Global Mission Solutions</v>
          </cell>
          <cell r="K1078" t="str">
            <v>Classified Agency</v>
          </cell>
          <cell r="L1078" t="str">
            <v>Classified</v>
          </cell>
          <cell r="M1078" t="str">
            <v>Multi_Dom-Intl</v>
          </cell>
          <cell r="N1078" t="str">
            <v>Other</v>
          </cell>
          <cell r="O1078">
            <v>0</v>
          </cell>
          <cell r="P1078">
            <v>0</v>
          </cell>
          <cell r="Q1078">
            <v>0</v>
          </cell>
          <cell r="R1078" t="str">
            <v>FFP</v>
          </cell>
          <cell r="S1078">
            <v>0</v>
          </cell>
          <cell r="T1078">
            <v>1</v>
          </cell>
          <cell r="U1078" t="str">
            <v>REVTOT</v>
          </cell>
          <cell r="V1078" t="str">
            <v>Identified - Recompete</v>
          </cell>
          <cell r="W1078">
            <v>0</v>
          </cell>
          <cell r="X1078">
            <v>0</v>
          </cell>
          <cell r="Y1078">
            <v>0</v>
          </cell>
          <cell r="Z1078">
            <v>0</v>
          </cell>
          <cell r="AA1078">
            <v>0</v>
          </cell>
          <cell r="AB1078">
            <v>0</v>
          </cell>
          <cell r="AC1078">
            <v>0</v>
          </cell>
          <cell r="AD1078">
            <v>0</v>
          </cell>
          <cell r="AI1078">
            <v>0</v>
          </cell>
          <cell r="AJ1078">
            <v>0</v>
          </cell>
          <cell r="AK1078">
            <v>0</v>
          </cell>
          <cell r="BB1078">
            <v>0</v>
          </cell>
          <cell r="BC1078">
            <v>0</v>
          </cell>
          <cell r="BD1078">
            <v>0</v>
          </cell>
          <cell r="BE1078">
            <v>0</v>
          </cell>
          <cell r="BI1078">
            <v>0</v>
          </cell>
          <cell r="BJ1078">
            <v>0</v>
          </cell>
          <cell r="BK1078">
            <v>0</v>
          </cell>
          <cell r="BL1078">
            <v>0</v>
          </cell>
          <cell r="BM1078">
            <v>0</v>
          </cell>
          <cell r="BN1078">
            <v>0</v>
          </cell>
          <cell r="BO1078">
            <v>0</v>
          </cell>
          <cell r="BP1078">
            <v>0</v>
          </cell>
          <cell r="BQ1078">
            <v>0</v>
          </cell>
          <cell r="BR1078">
            <v>0</v>
          </cell>
          <cell r="BT1078">
            <v>0</v>
          </cell>
          <cell r="CA1078" t="str">
            <v>CP4443 - REVTOT - Identified - Recompete</v>
          </cell>
          <cell r="CC1078" t="str">
            <v>CP4443 - REVTOT - Identified - Recompete - IS4</v>
          </cell>
          <cell r="CD1078" t="str">
            <v/>
          </cell>
          <cell r="CF1078" t="str">
            <v>CP4443 - Identified - Recompete - IS4</v>
          </cell>
        </row>
        <row r="1079">
          <cell r="D1079">
            <v>1065</v>
          </cell>
          <cell r="E1079">
            <v>2</v>
          </cell>
          <cell r="F1079">
            <v>3</v>
          </cell>
          <cell r="G1079" t="str">
            <v>CP4443</v>
          </cell>
          <cell r="H1079" t="str">
            <v>OKINAWA</v>
          </cell>
          <cell r="I1079" t="str">
            <v>IS4</v>
          </cell>
          <cell r="J1079" t="str">
            <v>IS4 Global Mission Solutions</v>
          </cell>
          <cell r="K1079" t="str">
            <v>Classified Agency</v>
          </cell>
          <cell r="L1079" t="str">
            <v>Classified</v>
          </cell>
          <cell r="M1079" t="str">
            <v>Multi_Dom-Intl</v>
          </cell>
          <cell r="N1079" t="str">
            <v>Other</v>
          </cell>
          <cell r="O1079">
            <v>43559</v>
          </cell>
          <cell r="P1079">
            <v>43924</v>
          </cell>
          <cell r="Q1079" t="str">
            <v>Prime</v>
          </cell>
          <cell r="R1079" t="str">
            <v>FFP</v>
          </cell>
          <cell r="S1079">
            <v>0</v>
          </cell>
          <cell r="T1079">
            <v>1</v>
          </cell>
          <cell r="U1079" t="str">
            <v>CONTRACT</v>
          </cell>
          <cell r="V1079" t="str">
            <v>Base</v>
          </cell>
          <cell r="W1079" t="str">
            <v>05 Won</v>
          </cell>
          <cell r="X1079" t="str">
            <v>Active</v>
          </cell>
          <cell r="Y1079">
            <v>1</v>
          </cell>
          <cell r="Z1079">
            <v>0</v>
          </cell>
          <cell r="AA1079">
            <v>4298129.43169</v>
          </cell>
          <cell r="AB1079">
            <v>0</v>
          </cell>
          <cell r="AC1079">
            <v>0</v>
          </cell>
          <cell r="AD1079">
            <v>4298129.43169</v>
          </cell>
          <cell r="AL1079">
            <v>0</v>
          </cell>
          <cell r="AM1079">
            <v>0</v>
          </cell>
          <cell r="AN1079">
            <v>0</v>
          </cell>
          <cell r="AO1079">
            <v>0.15229879133842691</v>
          </cell>
          <cell r="AP1079">
            <v>0.17856601792873236</v>
          </cell>
          <cell r="AQ1079">
            <v>0.17856601792873236</v>
          </cell>
          <cell r="AR1079">
            <v>0.17856601792873236</v>
          </cell>
          <cell r="AS1079">
            <v>0.17856601792873236</v>
          </cell>
          <cell r="BF1079">
            <v>0</v>
          </cell>
          <cell r="BG1079">
            <v>0</v>
          </cell>
          <cell r="BH1079">
            <v>0</v>
          </cell>
          <cell r="BI1079">
            <v>0</v>
          </cell>
          <cell r="BJ1079">
            <v>0</v>
          </cell>
          <cell r="BK1079">
            <v>18554.569999999978</v>
          </cell>
          <cell r="BL1079">
            <v>82424.945668000015</v>
          </cell>
          <cell r="BM1079">
            <v>100979.51566799999</v>
          </cell>
          <cell r="BN1079">
            <v>767499.85715916881</v>
          </cell>
          <cell r="BO1079">
            <v>0</v>
          </cell>
          <cell r="BP1079">
            <v>0</v>
          </cell>
          <cell r="BQ1079">
            <v>0</v>
          </cell>
          <cell r="BR1079">
            <v>868479.37282716879</v>
          </cell>
          <cell r="BT1079">
            <v>0</v>
          </cell>
          <cell r="CA1079" t="str">
            <v>CP4443 - CONTRACT - Base</v>
          </cell>
          <cell r="CC1079" t="str">
            <v>CP4443 - CONTRACT - Base - IS4</v>
          </cell>
          <cell r="CD1079" t="str">
            <v/>
          </cell>
          <cell r="CF1079" t="str">
            <v>CP4443 - Base - IS4</v>
          </cell>
        </row>
        <row r="1080">
          <cell r="D1080">
            <v>1066</v>
          </cell>
          <cell r="E1080">
            <v>2</v>
          </cell>
          <cell r="F1080">
            <v>4</v>
          </cell>
          <cell r="G1080" t="str">
            <v>CP4443</v>
          </cell>
          <cell r="H1080" t="str">
            <v>OKINAWA</v>
          </cell>
          <cell r="I1080" t="str">
            <v>IS4</v>
          </cell>
          <cell r="J1080" t="str">
            <v>IS4 Global Mission Solutions</v>
          </cell>
          <cell r="K1080" t="str">
            <v>Classified Agency</v>
          </cell>
          <cell r="L1080" t="str">
            <v>Classified</v>
          </cell>
          <cell r="M1080" t="str">
            <v>Multi_Dom-Intl</v>
          </cell>
          <cell r="N1080" t="str">
            <v>Other</v>
          </cell>
          <cell r="O1080">
            <v>0</v>
          </cell>
          <cell r="P1080">
            <v>0</v>
          </cell>
          <cell r="Q1080">
            <v>0</v>
          </cell>
          <cell r="R1080" t="str">
            <v>FFP</v>
          </cell>
          <cell r="S1080">
            <v>0</v>
          </cell>
          <cell r="T1080">
            <v>1</v>
          </cell>
          <cell r="U1080" t="str">
            <v>CONTRACT</v>
          </cell>
          <cell r="V1080" t="str">
            <v>Identified - Recompete</v>
          </cell>
          <cell r="W1080">
            <v>0</v>
          </cell>
          <cell r="X1080">
            <v>0</v>
          </cell>
          <cell r="Y1080">
            <v>0</v>
          </cell>
          <cell r="Z1080">
            <v>0</v>
          </cell>
          <cell r="AA1080">
            <v>0</v>
          </cell>
          <cell r="AB1080">
            <v>0</v>
          </cell>
          <cell r="AC1080">
            <v>0</v>
          </cell>
          <cell r="AD1080">
            <v>0</v>
          </cell>
          <cell r="AP1080">
            <v>0</v>
          </cell>
          <cell r="AQ1080">
            <v>0</v>
          </cell>
          <cell r="AR1080">
            <v>0</v>
          </cell>
          <cell r="AS1080">
            <v>0</v>
          </cell>
          <cell r="BI1080">
            <v>0</v>
          </cell>
          <cell r="BJ1080">
            <v>0</v>
          </cell>
          <cell r="BK1080">
            <v>0</v>
          </cell>
          <cell r="BL1080">
            <v>0</v>
          </cell>
          <cell r="BM1080">
            <v>0</v>
          </cell>
          <cell r="BN1080">
            <v>0</v>
          </cell>
          <cell r="BO1080">
            <v>0</v>
          </cell>
          <cell r="BP1080">
            <v>0</v>
          </cell>
          <cell r="BQ1080">
            <v>0</v>
          </cell>
          <cell r="BR1080">
            <v>0</v>
          </cell>
          <cell r="BT1080">
            <v>0</v>
          </cell>
          <cell r="CA1080" t="str">
            <v>CP4443 - CONTRACT - Identified - Recompete</v>
          </cell>
          <cell r="CC1080" t="str">
            <v>CP4443 - CONTRACT - Identified - Recompete - IS4</v>
          </cell>
          <cell r="CD1080" t="str">
            <v/>
          </cell>
          <cell r="CF1080" t="str">
            <v>CP4443 - Identified - Recompete - IS4</v>
          </cell>
        </row>
        <row r="1081">
          <cell r="D1081">
            <v>1067</v>
          </cell>
          <cell r="E1081">
            <v>0</v>
          </cell>
          <cell r="F1081">
            <v>5</v>
          </cell>
          <cell r="G1081" t="str">
            <v>CP4443</v>
          </cell>
          <cell r="H1081" t="str">
            <v>OKINAWA</v>
          </cell>
          <cell r="I1081" t="str">
            <v>IS4</v>
          </cell>
          <cell r="J1081" t="str">
            <v>IS4 Global Mission Solutions</v>
          </cell>
          <cell r="K1081" t="str">
            <v>Classified Agency</v>
          </cell>
          <cell r="L1081" t="str">
            <v>Classified</v>
          </cell>
          <cell r="M1081" t="str">
            <v>Multi_Dom-Intl</v>
          </cell>
          <cell r="N1081" t="str">
            <v>Other</v>
          </cell>
          <cell r="O1081">
            <v>43559</v>
          </cell>
          <cell r="P1081">
            <v>43924</v>
          </cell>
          <cell r="Q1081" t="str">
            <v>Prime</v>
          </cell>
          <cell r="R1081" t="str">
            <v>FFP</v>
          </cell>
          <cell r="S1081">
            <v>0</v>
          </cell>
          <cell r="T1081">
            <v>1</v>
          </cell>
          <cell r="U1081" t="str">
            <v>EBITA</v>
          </cell>
          <cell r="V1081" t="str">
            <v>Base</v>
          </cell>
          <cell r="W1081" t="str">
            <v>05 Won</v>
          </cell>
          <cell r="X1081" t="str">
            <v>Active</v>
          </cell>
          <cell r="Y1081">
            <v>1</v>
          </cell>
          <cell r="Z1081">
            <v>0</v>
          </cell>
          <cell r="AA1081">
            <v>4298129.43169</v>
          </cell>
          <cell r="AB1081">
            <v>0</v>
          </cell>
          <cell r="AC1081">
            <v>0</v>
          </cell>
          <cell r="AD1081">
            <v>4298129.43169</v>
          </cell>
          <cell r="AT1081">
            <v>0</v>
          </cell>
          <cell r="AU1081">
            <v>0</v>
          </cell>
          <cell r="AV1081">
            <v>0</v>
          </cell>
          <cell r="AW1081">
            <v>9.5138183991462256E-9</v>
          </cell>
          <cell r="AX1081">
            <v>4.5999995000000064E-2</v>
          </cell>
          <cell r="AY1081">
            <v>4.6999995000000065E-2</v>
          </cell>
          <cell r="AZ1081">
            <v>4.7999995000000066E-2</v>
          </cell>
          <cell r="BA1081">
            <v>4.8999995000000067E-2</v>
          </cell>
          <cell r="BF1081">
            <v>0</v>
          </cell>
          <cell r="BG1081">
            <v>0</v>
          </cell>
          <cell r="BH1081">
            <v>0</v>
          </cell>
          <cell r="BI1081">
            <v>0</v>
          </cell>
          <cell r="BJ1081">
            <v>0</v>
          </cell>
          <cell r="BK1081">
            <v>-2.1827872842550278E-11</v>
          </cell>
          <cell r="BL1081">
            <v>6.3080000109039247E-3</v>
          </cell>
          <cell r="BM1081">
            <v>6.3079999890760519E-3</v>
          </cell>
          <cell r="BN1081">
            <v>197713.9323670931</v>
          </cell>
          <cell r="BO1081">
            <v>0</v>
          </cell>
          <cell r="BP1081">
            <v>0</v>
          </cell>
          <cell r="BQ1081">
            <v>0</v>
          </cell>
          <cell r="BR1081">
            <v>197713.93867509309</v>
          </cell>
          <cell r="BT1081">
            <v>0</v>
          </cell>
          <cell r="CA1081" t="str">
            <v>CP4443 - EBITA - Base</v>
          </cell>
          <cell r="CC1081" t="str">
            <v>CP4443 - EBITA - Base - IS4</v>
          </cell>
          <cell r="CD1081" t="str">
            <v/>
          </cell>
          <cell r="CF1081" t="str">
            <v>CP4443 - Base - IS4</v>
          </cell>
        </row>
        <row r="1082">
          <cell r="D1082">
            <v>1068</v>
          </cell>
          <cell r="E1082">
            <v>0</v>
          </cell>
          <cell r="F1082">
            <v>0</v>
          </cell>
          <cell r="G1082" t="str">
            <v>CP4443</v>
          </cell>
          <cell r="H1082" t="str">
            <v>OKINAWA</v>
          </cell>
          <cell r="I1082" t="str">
            <v>IS4</v>
          </cell>
          <cell r="J1082" t="str">
            <v>IS4 Global Mission Solutions</v>
          </cell>
          <cell r="K1082" t="str">
            <v>Classified Agency</v>
          </cell>
          <cell r="L1082" t="str">
            <v>Classified</v>
          </cell>
          <cell r="M1082" t="str">
            <v>Multi_Dom-Intl</v>
          </cell>
          <cell r="N1082" t="str">
            <v>Other</v>
          </cell>
          <cell r="O1082">
            <v>0</v>
          </cell>
          <cell r="P1082">
            <v>0</v>
          </cell>
          <cell r="Q1082">
            <v>0</v>
          </cell>
          <cell r="R1082" t="str">
            <v>FFP</v>
          </cell>
          <cell r="S1082">
            <v>0</v>
          </cell>
          <cell r="T1082">
            <v>1</v>
          </cell>
          <cell r="U1082" t="str">
            <v>EBITA</v>
          </cell>
          <cell r="V1082" t="str">
            <v>Identified - Recompete</v>
          </cell>
          <cell r="W1082">
            <v>0</v>
          </cell>
          <cell r="X1082">
            <v>0</v>
          </cell>
          <cell r="Y1082">
            <v>0</v>
          </cell>
          <cell r="Z1082">
            <v>0</v>
          </cell>
          <cell r="AA1082">
            <v>0</v>
          </cell>
          <cell r="AB1082">
            <v>0</v>
          </cell>
          <cell r="AC1082">
            <v>0</v>
          </cell>
          <cell r="AD1082">
            <v>0</v>
          </cell>
          <cell r="AX1082">
            <v>0</v>
          </cell>
          <cell r="AY1082">
            <v>0</v>
          </cell>
          <cell r="AZ1082">
            <v>0</v>
          </cell>
          <cell r="BA1082">
            <v>0</v>
          </cell>
          <cell r="BI1082">
            <v>0</v>
          </cell>
          <cell r="BJ1082">
            <v>0</v>
          </cell>
          <cell r="BK1082">
            <v>0</v>
          </cell>
          <cell r="BL1082">
            <v>0</v>
          </cell>
          <cell r="BM1082">
            <v>0</v>
          </cell>
          <cell r="BN1082">
            <v>0</v>
          </cell>
          <cell r="BO1082">
            <v>0</v>
          </cell>
          <cell r="BP1082">
            <v>0</v>
          </cell>
          <cell r="BQ1082">
            <v>0</v>
          </cell>
          <cell r="BR1082">
            <v>0</v>
          </cell>
          <cell r="BT1082">
            <v>0</v>
          </cell>
          <cell r="CA1082" t="str">
            <v>CP4443 - EBITA - Identified - Recompete</v>
          </cell>
          <cell r="CC1082" t="str">
            <v>CP4443 - EBITA - Identified - Recompete - IS4</v>
          </cell>
          <cell r="CD1082" t="str">
            <v/>
          </cell>
          <cell r="CF1082" t="str">
            <v>CP4443 - Identified - Recompete - IS4</v>
          </cell>
        </row>
        <row r="1083">
          <cell r="D1083">
            <v>1069</v>
          </cell>
          <cell r="E1083">
            <v>1</v>
          </cell>
          <cell r="F1083">
            <v>1</v>
          </cell>
          <cell r="G1083" t="str">
            <v>VAMRSS</v>
          </cell>
          <cell r="H1083" t="str">
            <v>VA MRSS</v>
          </cell>
          <cell r="I1083" t="str">
            <v>IS4</v>
          </cell>
          <cell r="J1083" t="str">
            <v>IS4 Engineering and Technology Services</v>
          </cell>
          <cell r="K1083" t="str">
            <v>Marine Corps</v>
          </cell>
          <cell r="L1083" t="str">
            <v>DOD</v>
          </cell>
          <cell r="M1083" t="str">
            <v>VA</v>
          </cell>
          <cell r="N1083" t="str">
            <v>CONUS</v>
          </cell>
          <cell r="O1083">
            <v>42278</v>
          </cell>
          <cell r="P1083">
            <v>43646</v>
          </cell>
          <cell r="Q1083" t="str">
            <v>Sub</v>
          </cell>
          <cell r="R1083" t="str">
            <v>FFP</v>
          </cell>
          <cell r="S1083">
            <v>0</v>
          </cell>
          <cell r="T1083">
            <v>1</v>
          </cell>
          <cell r="U1083" t="str">
            <v>REVTOT</v>
          </cell>
          <cell r="V1083" t="str">
            <v>Base</v>
          </cell>
          <cell r="W1083" t="str">
            <v>05 Won</v>
          </cell>
          <cell r="X1083" t="str">
            <v>Active</v>
          </cell>
          <cell r="Y1083">
            <v>1</v>
          </cell>
          <cell r="Z1083">
            <v>0</v>
          </cell>
          <cell r="AA1083">
            <v>997963.86999999988</v>
          </cell>
          <cell r="AB1083">
            <v>358187.72999999986</v>
          </cell>
          <cell r="AC1083">
            <v>0</v>
          </cell>
          <cell r="AD1083">
            <v>1356151.5999999996</v>
          </cell>
          <cell r="AE1083">
            <v>-0.13605858863832632</v>
          </cell>
          <cell r="AF1083">
            <v>6.8892501643465609E-2</v>
          </cell>
          <cell r="AG1083">
            <v>-0.14487482400489793</v>
          </cell>
          <cell r="AH1083">
            <v>5.3059979885114794E-2</v>
          </cell>
          <cell r="AI1083">
            <v>0</v>
          </cell>
          <cell r="AJ1083">
            <v>0</v>
          </cell>
          <cell r="AK1083">
            <v>0</v>
          </cell>
          <cell r="BB1083">
            <v>950256.60000000009</v>
          </cell>
          <cell r="BC1083">
            <v>950256.60000000009</v>
          </cell>
          <cell r="BD1083">
            <v>950256.60000000009</v>
          </cell>
          <cell r="BE1083">
            <v>950256.60000000009</v>
          </cell>
          <cell r="BF1083">
            <v>1142719.8500000001</v>
          </cell>
          <cell r="BG1083">
            <v>987243.00000000012</v>
          </cell>
          <cell r="BH1083">
            <v>1055256.6400000001</v>
          </cell>
          <cell r="BI1083">
            <v>247980.82</v>
          </cell>
          <cell r="BJ1083">
            <v>237564.15000000002</v>
          </cell>
          <cell r="BK1083">
            <v>237564.15000000002</v>
          </cell>
          <cell r="BL1083">
            <v>179267.40000000002</v>
          </cell>
          <cell r="BM1083">
            <v>902376.52000000014</v>
          </cell>
          <cell r="BN1083">
            <v>950256.60000000009</v>
          </cell>
          <cell r="BO1083">
            <v>405894.99999999953</v>
          </cell>
          <cell r="BP1083">
            <v>0</v>
          </cell>
          <cell r="BQ1083">
            <v>0</v>
          </cell>
          <cell r="BR1083">
            <v>2258528.1199999996</v>
          </cell>
          <cell r="BT1083">
            <v>0</v>
          </cell>
          <cell r="CA1083" t="str">
            <v>VAMRSS - REVTOT - Base</v>
          </cell>
          <cell r="CC1083" t="str">
            <v>VAMRSS - REVTOT - Base - IS4</v>
          </cell>
          <cell r="CD1083" t="str">
            <v/>
          </cell>
          <cell r="CF1083" t="str">
            <v>VAMRSS - Base - IS4</v>
          </cell>
        </row>
        <row r="1084">
          <cell r="D1084">
            <v>1070</v>
          </cell>
          <cell r="E1084">
            <v>1</v>
          </cell>
          <cell r="F1084">
            <v>2</v>
          </cell>
          <cell r="G1084" t="str">
            <v>VAMRSS</v>
          </cell>
          <cell r="H1084" t="str">
            <v>VA MRSS</v>
          </cell>
          <cell r="I1084" t="str">
            <v>IS4</v>
          </cell>
          <cell r="J1084" t="str">
            <v>IS4 Engineering and Technology Services</v>
          </cell>
          <cell r="K1084" t="str">
            <v>Marine Corps</v>
          </cell>
          <cell r="L1084" t="str">
            <v>DOD</v>
          </cell>
          <cell r="M1084" t="str">
            <v>VA</v>
          </cell>
          <cell r="N1084" t="str">
            <v>CONUS</v>
          </cell>
          <cell r="O1084">
            <v>0</v>
          </cell>
          <cell r="P1084">
            <v>0</v>
          </cell>
          <cell r="Q1084">
            <v>0</v>
          </cell>
          <cell r="R1084" t="str">
            <v>FFP</v>
          </cell>
          <cell r="S1084">
            <v>0</v>
          </cell>
          <cell r="T1084">
            <v>1</v>
          </cell>
          <cell r="U1084" t="str">
            <v>REVTOT</v>
          </cell>
          <cell r="V1084" t="str">
            <v>Identified - Recompete</v>
          </cell>
          <cell r="W1084">
            <v>0</v>
          </cell>
          <cell r="X1084">
            <v>0</v>
          </cell>
          <cell r="Y1084">
            <v>0</v>
          </cell>
          <cell r="Z1084">
            <v>0</v>
          </cell>
          <cell r="AA1084">
            <v>0</v>
          </cell>
          <cell r="AB1084">
            <v>0</v>
          </cell>
          <cell r="AC1084">
            <v>0</v>
          </cell>
          <cell r="AD1084">
            <v>0</v>
          </cell>
          <cell r="AI1084">
            <v>0</v>
          </cell>
          <cell r="AJ1084">
            <v>0</v>
          </cell>
          <cell r="AK1084">
            <v>0</v>
          </cell>
          <cell r="BB1084">
            <v>0</v>
          </cell>
          <cell r="BC1084">
            <v>0</v>
          </cell>
          <cell r="BD1084">
            <v>0</v>
          </cell>
          <cell r="BE1084">
            <v>0</v>
          </cell>
          <cell r="BI1084">
            <v>0</v>
          </cell>
          <cell r="BJ1084">
            <v>0</v>
          </cell>
          <cell r="BK1084">
            <v>0</v>
          </cell>
          <cell r="BL1084">
            <v>0</v>
          </cell>
          <cell r="BM1084">
            <v>0</v>
          </cell>
          <cell r="BN1084">
            <v>0</v>
          </cell>
          <cell r="BO1084">
            <v>0</v>
          </cell>
          <cell r="BP1084">
            <v>0</v>
          </cell>
          <cell r="BQ1084">
            <v>0</v>
          </cell>
          <cell r="BR1084">
            <v>0</v>
          </cell>
          <cell r="BT1084">
            <v>0</v>
          </cell>
          <cell r="CA1084" t="str">
            <v>VAMRSS - REVTOT - Identified - Recompete</v>
          </cell>
          <cell r="CC1084" t="str">
            <v>VAMRSS - REVTOT - Identified - Recompete - IS4</v>
          </cell>
          <cell r="CD1084" t="str">
            <v/>
          </cell>
          <cell r="CF1084" t="str">
            <v>VAMRSS - Identified - Recompete - IS4</v>
          </cell>
        </row>
        <row r="1085">
          <cell r="D1085">
            <v>1071</v>
          </cell>
          <cell r="E1085">
            <v>2</v>
          </cell>
          <cell r="F1085">
            <v>3</v>
          </cell>
          <cell r="G1085" t="str">
            <v>VAMRSS</v>
          </cell>
          <cell r="H1085" t="str">
            <v>VA MRSS</v>
          </cell>
          <cell r="I1085" t="str">
            <v>IS4</v>
          </cell>
          <cell r="J1085" t="str">
            <v>IS4 Engineering and Technology Services</v>
          </cell>
          <cell r="K1085" t="str">
            <v>Marine Corps</v>
          </cell>
          <cell r="L1085" t="str">
            <v>DOD</v>
          </cell>
          <cell r="M1085" t="str">
            <v>VA</v>
          </cell>
          <cell r="N1085" t="str">
            <v>CONUS</v>
          </cell>
          <cell r="O1085">
            <v>42278</v>
          </cell>
          <cell r="P1085">
            <v>43646</v>
          </cell>
          <cell r="Q1085" t="str">
            <v>Sub</v>
          </cell>
          <cell r="R1085" t="str">
            <v>FFP</v>
          </cell>
          <cell r="S1085">
            <v>0</v>
          </cell>
          <cell r="T1085">
            <v>1</v>
          </cell>
          <cell r="U1085" t="str">
            <v>CONTRACT</v>
          </cell>
          <cell r="V1085" t="str">
            <v>Base</v>
          </cell>
          <cell r="W1085" t="str">
            <v>05 Won</v>
          </cell>
          <cell r="X1085" t="str">
            <v>Active</v>
          </cell>
          <cell r="Y1085">
            <v>1</v>
          </cell>
          <cell r="Z1085">
            <v>0</v>
          </cell>
          <cell r="AA1085">
            <v>997963.86999999988</v>
          </cell>
          <cell r="AB1085">
            <v>358187.72999999986</v>
          </cell>
          <cell r="AC1085">
            <v>0</v>
          </cell>
          <cell r="AD1085">
            <v>1356151.5999999996</v>
          </cell>
          <cell r="AL1085">
            <v>0.26484685638391603</v>
          </cell>
          <cell r="AM1085">
            <v>0.31630489150087671</v>
          </cell>
          <cell r="AN1085">
            <v>0.38827939523792049</v>
          </cell>
          <cell r="AO1085">
            <v>0.42612552684770655</v>
          </cell>
          <cell r="AP1085">
            <v>0.34042182370109292</v>
          </cell>
          <cell r="AQ1085">
            <v>0.34042182370109292</v>
          </cell>
          <cell r="AR1085">
            <v>0.34042182370109292</v>
          </cell>
          <cell r="AS1085">
            <v>0.34042182370109292</v>
          </cell>
          <cell r="BF1085">
            <v>302645.76000000007</v>
          </cell>
          <cell r="BG1085">
            <v>312269.79000000004</v>
          </cell>
          <cell r="BH1085">
            <v>409734.41000000003</v>
          </cell>
          <cell r="BI1085">
            <v>122368.66</v>
          </cell>
          <cell r="BJ1085">
            <v>92131.109999999986</v>
          </cell>
          <cell r="BK1085">
            <v>99142.200000000026</v>
          </cell>
          <cell r="BL1085">
            <v>70883.700000000012</v>
          </cell>
          <cell r="BM1085">
            <v>384525.67000000004</v>
          </cell>
          <cell r="BN1085">
            <v>323488.08475600003</v>
          </cell>
          <cell r="BO1085">
            <v>138175.51613115496</v>
          </cell>
          <cell r="BP1085">
            <v>0</v>
          </cell>
          <cell r="BQ1085">
            <v>0</v>
          </cell>
          <cell r="BR1085">
            <v>846189.27088715509</v>
          </cell>
          <cell r="BT1085">
            <v>0</v>
          </cell>
          <cell r="CA1085" t="str">
            <v>VAMRSS - CONTRACT - Base</v>
          </cell>
          <cell r="CC1085" t="str">
            <v>VAMRSS - CONTRACT - Base - IS4</v>
          </cell>
          <cell r="CD1085" t="str">
            <v/>
          </cell>
          <cell r="CF1085" t="str">
            <v>VAMRSS - Base - IS4</v>
          </cell>
        </row>
        <row r="1086">
          <cell r="D1086">
            <v>1072</v>
          </cell>
          <cell r="E1086">
            <v>2</v>
          </cell>
          <cell r="F1086">
            <v>4</v>
          </cell>
          <cell r="G1086" t="str">
            <v>VAMRSS</v>
          </cell>
          <cell r="H1086" t="str">
            <v>VA MRSS</v>
          </cell>
          <cell r="I1086" t="str">
            <v>IS4</v>
          </cell>
          <cell r="J1086" t="str">
            <v>IS4 Engineering and Technology Services</v>
          </cell>
          <cell r="K1086" t="str">
            <v>Marine Corps</v>
          </cell>
          <cell r="L1086" t="str">
            <v>DOD</v>
          </cell>
          <cell r="M1086" t="str">
            <v>VA</v>
          </cell>
          <cell r="N1086" t="str">
            <v>CONUS</v>
          </cell>
          <cell r="O1086">
            <v>0</v>
          </cell>
          <cell r="P1086">
            <v>0</v>
          </cell>
          <cell r="Q1086">
            <v>0</v>
          </cell>
          <cell r="R1086" t="str">
            <v>FFP</v>
          </cell>
          <cell r="S1086">
            <v>0</v>
          </cell>
          <cell r="T1086">
            <v>1</v>
          </cell>
          <cell r="U1086" t="str">
            <v>CONTRACT</v>
          </cell>
          <cell r="V1086" t="str">
            <v>Identified - Recompete</v>
          </cell>
          <cell r="W1086">
            <v>0</v>
          </cell>
          <cell r="X1086">
            <v>0</v>
          </cell>
          <cell r="Y1086">
            <v>0</v>
          </cell>
          <cell r="Z1086">
            <v>0</v>
          </cell>
          <cell r="AA1086">
            <v>0</v>
          </cell>
          <cell r="AB1086">
            <v>0</v>
          </cell>
          <cell r="AC1086">
            <v>0</v>
          </cell>
          <cell r="AD1086">
            <v>0</v>
          </cell>
          <cell r="AP1086">
            <v>0</v>
          </cell>
          <cell r="AQ1086">
            <v>0</v>
          </cell>
          <cell r="AR1086">
            <v>0</v>
          </cell>
          <cell r="AS1086">
            <v>0</v>
          </cell>
          <cell r="BI1086">
            <v>0</v>
          </cell>
          <cell r="BJ1086">
            <v>0</v>
          </cell>
          <cell r="BK1086">
            <v>0</v>
          </cell>
          <cell r="BL1086">
            <v>0</v>
          </cell>
          <cell r="BM1086">
            <v>0</v>
          </cell>
          <cell r="BN1086">
            <v>0</v>
          </cell>
          <cell r="BO1086">
            <v>0</v>
          </cell>
          <cell r="BP1086">
            <v>0</v>
          </cell>
          <cell r="BQ1086">
            <v>0</v>
          </cell>
          <cell r="BR1086">
            <v>0</v>
          </cell>
          <cell r="BT1086">
            <v>0</v>
          </cell>
          <cell r="CA1086" t="str">
            <v>VAMRSS - CONTRACT - Identified - Recompete</v>
          </cell>
          <cell r="CC1086" t="str">
            <v>VAMRSS - CONTRACT - Identified - Recompete - IS4</v>
          </cell>
          <cell r="CD1086" t="str">
            <v/>
          </cell>
          <cell r="CF1086" t="str">
            <v>VAMRSS - Identified - Recompete - IS4</v>
          </cell>
        </row>
        <row r="1087">
          <cell r="D1087">
            <v>1073</v>
          </cell>
          <cell r="E1087">
            <v>0</v>
          </cell>
          <cell r="F1087">
            <v>5</v>
          </cell>
          <cell r="G1087" t="str">
            <v>VAMRSS</v>
          </cell>
          <cell r="H1087" t="str">
            <v>VA MRSS</v>
          </cell>
          <cell r="I1087" t="str">
            <v>IS4</v>
          </cell>
          <cell r="J1087" t="str">
            <v>IS4 Engineering and Technology Services</v>
          </cell>
          <cell r="K1087" t="str">
            <v>Marine Corps</v>
          </cell>
          <cell r="L1087" t="str">
            <v>DOD</v>
          </cell>
          <cell r="M1087" t="str">
            <v>VA</v>
          </cell>
          <cell r="N1087" t="str">
            <v>CONUS</v>
          </cell>
          <cell r="O1087">
            <v>42278</v>
          </cell>
          <cell r="P1087">
            <v>43646</v>
          </cell>
          <cell r="Q1087" t="str">
            <v>Sub</v>
          </cell>
          <cell r="R1087" t="str">
            <v>FFP</v>
          </cell>
          <cell r="S1087">
            <v>0</v>
          </cell>
          <cell r="T1087">
            <v>1</v>
          </cell>
          <cell r="U1087" t="str">
            <v>EBITA</v>
          </cell>
          <cell r="V1087" t="str">
            <v>Base</v>
          </cell>
          <cell r="W1087" t="str">
            <v>05 Won</v>
          </cell>
          <cell r="X1087" t="str">
            <v>Active</v>
          </cell>
          <cell r="Y1087">
            <v>1</v>
          </cell>
          <cell r="Z1087">
            <v>0</v>
          </cell>
          <cell r="AA1087">
            <v>997963.86999999988</v>
          </cell>
          <cell r="AB1087">
            <v>358187.72999999986</v>
          </cell>
          <cell r="AC1087">
            <v>0</v>
          </cell>
          <cell r="AD1087">
            <v>1356151.5999999996</v>
          </cell>
          <cell r="AT1087">
            <v>7.9583775498430362E-2</v>
          </cell>
          <cell r="AU1087">
            <v>0.21238842919119202</v>
          </cell>
          <cell r="AV1087">
            <v>0.29541538824148028</v>
          </cell>
          <cell r="AW1087">
            <v>0.33462479719662913</v>
          </cell>
          <cell r="AX1087">
            <v>0.23618606510013482</v>
          </cell>
          <cell r="AY1087">
            <v>0.23718606510013482</v>
          </cell>
          <cell r="AZ1087">
            <v>0.23818606510013482</v>
          </cell>
          <cell r="BA1087">
            <v>0.23918606510013482</v>
          </cell>
          <cell r="BF1087">
            <v>90941.960000000021</v>
          </cell>
          <cell r="BG1087">
            <v>209678.99000000002</v>
          </cell>
          <cell r="BH1087">
            <v>311739.05000000005</v>
          </cell>
          <cell r="BI1087">
            <v>101991.63</v>
          </cell>
          <cell r="BJ1087">
            <v>69202.61</v>
          </cell>
          <cell r="BK1087">
            <v>76984.450000000026</v>
          </cell>
          <cell r="BL1087">
            <v>53778.87000000001</v>
          </cell>
          <cell r="BM1087">
            <v>301957.56</v>
          </cell>
          <cell r="BN1087">
            <v>224437.36718943279</v>
          </cell>
          <cell r="BO1087">
            <v>96272.637893819105</v>
          </cell>
          <cell r="BP1087">
            <v>0</v>
          </cell>
          <cell r="BQ1087">
            <v>0</v>
          </cell>
          <cell r="BR1087">
            <v>622667.56508325192</v>
          </cell>
          <cell r="BT1087">
            <v>0</v>
          </cell>
          <cell r="CA1087" t="str">
            <v>VAMRSS - EBITA - Base</v>
          </cell>
          <cell r="CC1087" t="str">
            <v>VAMRSS - EBITA - Base - IS4</v>
          </cell>
          <cell r="CD1087" t="str">
            <v/>
          </cell>
          <cell r="CF1087" t="str">
            <v>VAMRSS - Base - IS4</v>
          </cell>
        </row>
        <row r="1088">
          <cell r="D1088">
            <v>1074</v>
          </cell>
          <cell r="E1088">
            <v>0</v>
          </cell>
          <cell r="F1088">
            <v>0</v>
          </cell>
          <cell r="G1088" t="str">
            <v>VAMRSS</v>
          </cell>
          <cell r="H1088" t="str">
            <v>VA MRSS</v>
          </cell>
          <cell r="I1088" t="str">
            <v>IS4</v>
          </cell>
          <cell r="J1088" t="str">
            <v>IS4 Engineering and Technology Services</v>
          </cell>
          <cell r="K1088" t="str">
            <v>Marine Corps</v>
          </cell>
          <cell r="L1088" t="str">
            <v>DOD</v>
          </cell>
          <cell r="M1088" t="str">
            <v>VA</v>
          </cell>
          <cell r="N1088" t="str">
            <v>CONUS</v>
          </cell>
          <cell r="O1088">
            <v>0</v>
          </cell>
          <cell r="P1088">
            <v>0</v>
          </cell>
          <cell r="Q1088">
            <v>0</v>
          </cell>
          <cell r="R1088" t="str">
            <v>FFP</v>
          </cell>
          <cell r="S1088">
            <v>0</v>
          </cell>
          <cell r="T1088">
            <v>1</v>
          </cell>
          <cell r="U1088" t="str">
            <v>EBITA</v>
          </cell>
          <cell r="V1088" t="str">
            <v>Identified - Recompete</v>
          </cell>
          <cell r="W1088">
            <v>0</v>
          </cell>
          <cell r="X1088">
            <v>0</v>
          </cell>
          <cell r="Y1088">
            <v>0</v>
          </cell>
          <cell r="Z1088">
            <v>0</v>
          </cell>
          <cell r="AA1088">
            <v>0</v>
          </cell>
          <cell r="AB1088">
            <v>0</v>
          </cell>
          <cell r="AC1088">
            <v>0</v>
          </cell>
          <cell r="AD1088">
            <v>0</v>
          </cell>
          <cell r="AX1088">
            <v>0</v>
          </cell>
          <cell r="AY1088">
            <v>0</v>
          </cell>
          <cell r="AZ1088">
            <v>0</v>
          </cell>
          <cell r="BA1088">
            <v>0</v>
          </cell>
          <cell r="BI1088">
            <v>0</v>
          </cell>
          <cell r="BJ1088">
            <v>0</v>
          </cell>
          <cell r="BK1088">
            <v>0</v>
          </cell>
          <cell r="BL1088">
            <v>0</v>
          </cell>
          <cell r="BM1088">
            <v>0</v>
          </cell>
          <cell r="BN1088">
            <v>0</v>
          </cell>
          <cell r="BO1088">
            <v>0</v>
          </cell>
          <cell r="BP1088">
            <v>0</v>
          </cell>
          <cell r="BQ1088">
            <v>0</v>
          </cell>
          <cell r="BR1088">
            <v>0</v>
          </cell>
          <cell r="BT1088">
            <v>0</v>
          </cell>
          <cell r="CA1088" t="str">
            <v>VAMRSS - EBITA - Identified - Recompete</v>
          </cell>
          <cell r="CC1088" t="str">
            <v>VAMRSS - EBITA - Identified - Recompete - IS4</v>
          </cell>
          <cell r="CD1088" t="str">
            <v/>
          </cell>
          <cell r="CF1088" t="str">
            <v>VAMRSS - Identified - Recompete - IS4</v>
          </cell>
        </row>
        <row r="1089">
          <cell r="D1089">
            <v>1075</v>
          </cell>
          <cell r="E1089">
            <v>1</v>
          </cell>
          <cell r="F1089">
            <v>1</v>
          </cell>
          <cell r="G1089" t="str">
            <v>RABOUT</v>
          </cell>
          <cell r="H1089" t="str">
            <v>ROUNDABOUT</v>
          </cell>
          <cell r="I1089" t="str">
            <v>IS4</v>
          </cell>
          <cell r="J1089" t="str">
            <v>IS4 Global Mission Solutions</v>
          </cell>
          <cell r="K1089" t="str">
            <v>Classified Agency</v>
          </cell>
          <cell r="L1089" t="str">
            <v>Classified</v>
          </cell>
          <cell r="M1089" t="str">
            <v>VA</v>
          </cell>
          <cell r="N1089" t="str">
            <v>CONUS</v>
          </cell>
          <cell r="O1089">
            <v>43206</v>
          </cell>
          <cell r="P1089">
            <v>45031</v>
          </cell>
          <cell r="Q1089" t="str">
            <v>Prime</v>
          </cell>
          <cell r="R1089" t="str">
            <v>FFP</v>
          </cell>
          <cell r="S1089">
            <v>0</v>
          </cell>
          <cell r="T1089">
            <v>1</v>
          </cell>
          <cell r="U1089" t="str">
            <v>REVTOT</v>
          </cell>
          <cell r="V1089" t="str">
            <v>Base</v>
          </cell>
          <cell r="W1089" t="str">
            <v>05 Won</v>
          </cell>
          <cell r="X1089" t="str">
            <v>Active</v>
          </cell>
          <cell r="Y1089">
            <v>1</v>
          </cell>
          <cell r="Z1089">
            <v>0</v>
          </cell>
          <cell r="AA1089">
            <v>877630.5</v>
          </cell>
          <cell r="AB1089">
            <v>4732605</v>
          </cell>
          <cell r="AC1089">
            <v>0</v>
          </cell>
          <cell r="AD1089">
            <v>5610235.5</v>
          </cell>
          <cell r="AE1089">
            <v>0</v>
          </cell>
          <cell r="AF1089">
            <v>0</v>
          </cell>
          <cell r="AG1089">
            <v>1.573947418017339</v>
          </cell>
          <cell r="AH1089">
            <v>2.5094811480838253E-2</v>
          </cell>
          <cell r="AI1089">
            <v>0</v>
          </cell>
          <cell r="AJ1089">
            <v>0</v>
          </cell>
          <cell r="AK1089">
            <v>0</v>
          </cell>
          <cell r="BB1089">
            <v>1400009.4</v>
          </cell>
          <cell r="BC1089">
            <v>1400009.4</v>
          </cell>
          <cell r="BD1089">
            <v>1400009.4</v>
          </cell>
          <cell r="BE1089">
            <v>1400009.4</v>
          </cell>
          <cell r="BF1089">
            <v>0</v>
          </cell>
          <cell r="BG1089">
            <v>0</v>
          </cell>
          <cell r="BH1089">
            <v>530600</v>
          </cell>
          <cell r="BI1089">
            <v>311655.28000000003</v>
          </cell>
          <cell r="BJ1089">
            <v>324721.71999999997</v>
          </cell>
          <cell r="BK1089">
            <v>337750.5</v>
          </cell>
          <cell r="BL1089">
            <v>391609</v>
          </cell>
          <cell r="BM1089">
            <v>1365736.5</v>
          </cell>
          <cell r="BN1089">
            <v>1400009.4</v>
          </cell>
          <cell r="BO1089">
            <v>1400009.4</v>
          </cell>
          <cell r="BP1089">
            <v>1400009.4</v>
          </cell>
          <cell r="BQ1089">
            <v>1400009.4</v>
          </cell>
          <cell r="BR1089">
            <v>6965774.0999999996</v>
          </cell>
          <cell r="BT1089">
            <v>0</v>
          </cell>
          <cell r="CA1089" t="str">
            <v>RABOUT - REVTOT - Base</v>
          </cell>
          <cell r="CC1089" t="str">
            <v>RABOUT - REVTOT - Base - IS4</v>
          </cell>
          <cell r="CD1089" t="str">
            <v/>
          </cell>
          <cell r="CF1089" t="str">
            <v>RABOUT - Base - IS4</v>
          </cell>
        </row>
        <row r="1090">
          <cell r="D1090">
            <v>1076</v>
          </cell>
          <cell r="E1090">
            <v>1</v>
          </cell>
          <cell r="F1090">
            <v>2</v>
          </cell>
          <cell r="G1090" t="str">
            <v>RABOUT</v>
          </cell>
          <cell r="H1090" t="str">
            <v>ROUNDABOUT</v>
          </cell>
          <cell r="I1090" t="str">
            <v>IS4</v>
          </cell>
          <cell r="J1090" t="str">
            <v>IS4 Global Mission Solutions</v>
          </cell>
          <cell r="K1090" t="str">
            <v>Classified Agency</v>
          </cell>
          <cell r="L1090" t="str">
            <v>Classified</v>
          </cell>
          <cell r="M1090" t="str">
            <v>VA</v>
          </cell>
          <cell r="N1090" t="str">
            <v>CONUS</v>
          </cell>
          <cell r="O1090">
            <v>0</v>
          </cell>
          <cell r="P1090">
            <v>0</v>
          </cell>
          <cell r="Q1090">
            <v>0</v>
          </cell>
          <cell r="R1090" t="str">
            <v>FFP</v>
          </cell>
          <cell r="S1090">
            <v>0</v>
          </cell>
          <cell r="T1090">
            <v>1</v>
          </cell>
          <cell r="U1090" t="str">
            <v>REVTOT</v>
          </cell>
          <cell r="V1090" t="str">
            <v>Identified - Recompete</v>
          </cell>
          <cell r="W1090">
            <v>0</v>
          </cell>
          <cell r="X1090">
            <v>0</v>
          </cell>
          <cell r="Y1090">
            <v>0</v>
          </cell>
          <cell r="Z1090">
            <v>0</v>
          </cell>
          <cell r="AA1090">
            <v>0</v>
          </cell>
          <cell r="AB1090">
            <v>0</v>
          </cell>
          <cell r="AC1090">
            <v>0</v>
          </cell>
          <cell r="AD1090">
            <v>0</v>
          </cell>
          <cell r="AI1090">
            <v>0</v>
          </cell>
          <cell r="AJ1090">
            <v>0</v>
          </cell>
          <cell r="AK1090">
            <v>0</v>
          </cell>
          <cell r="BB1090">
            <v>0</v>
          </cell>
          <cell r="BC1090">
            <v>0</v>
          </cell>
          <cell r="BD1090">
            <v>0</v>
          </cell>
          <cell r="BE1090">
            <v>0</v>
          </cell>
          <cell r="BI1090">
            <v>0</v>
          </cell>
          <cell r="BJ1090">
            <v>0</v>
          </cell>
          <cell r="BK1090">
            <v>0</v>
          </cell>
          <cell r="BL1090">
            <v>0</v>
          </cell>
          <cell r="BM1090">
            <v>0</v>
          </cell>
          <cell r="BN1090">
            <v>0</v>
          </cell>
          <cell r="BO1090">
            <v>0</v>
          </cell>
          <cell r="BP1090">
            <v>0</v>
          </cell>
          <cell r="BQ1090">
            <v>0</v>
          </cell>
          <cell r="BR1090">
            <v>0</v>
          </cell>
          <cell r="BT1090">
            <v>0</v>
          </cell>
          <cell r="CA1090" t="str">
            <v>RABOUT - REVTOT - Identified - Recompete</v>
          </cell>
          <cell r="CC1090" t="str">
            <v>RABOUT - REVTOT - Identified - Recompete - IS4</v>
          </cell>
          <cell r="CD1090" t="str">
            <v/>
          </cell>
          <cell r="CF1090" t="str">
            <v>RABOUT - Identified - Recompete - IS4</v>
          </cell>
        </row>
        <row r="1091">
          <cell r="D1091">
            <v>1077</v>
          </cell>
          <cell r="E1091">
            <v>2</v>
          </cell>
          <cell r="F1091">
            <v>3</v>
          </cell>
          <cell r="G1091" t="str">
            <v>RABOUT</v>
          </cell>
          <cell r="H1091" t="str">
            <v>ROUNDABOUT</v>
          </cell>
          <cell r="I1091" t="str">
            <v>IS4</v>
          </cell>
          <cell r="J1091" t="str">
            <v>IS4 Global Mission Solutions</v>
          </cell>
          <cell r="K1091" t="str">
            <v>Classified Agency</v>
          </cell>
          <cell r="L1091" t="str">
            <v>Classified</v>
          </cell>
          <cell r="M1091" t="str">
            <v>VA</v>
          </cell>
          <cell r="N1091" t="str">
            <v>CONUS</v>
          </cell>
          <cell r="O1091">
            <v>43206</v>
          </cell>
          <cell r="P1091">
            <v>45031</v>
          </cell>
          <cell r="Q1091" t="str">
            <v>Prime</v>
          </cell>
          <cell r="R1091" t="str">
            <v>FFP</v>
          </cell>
          <cell r="S1091">
            <v>0</v>
          </cell>
          <cell r="T1091">
            <v>1</v>
          </cell>
          <cell r="U1091" t="str">
            <v>CONTRACT</v>
          </cell>
          <cell r="V1091" t="str">
            <v>Base</v>
          </cell>
          <cell r="W1091" t="str">
            <v>05 Won</v>
          </cell>
          <cell r="X1091" t="str">
            <v>Active</v>
          </cell>
          <cell r="Y1091">
            <v>1</v>
          </cell>
          <cell r="Z1091">
            <v>0</v>
          </cell>
          <cell r="AA1091">
            <v>877630.5</v>
          </cell>
          <cell r="AB1091">
            <v>4732605</v>
          </cell>
          <cell r="AC1091">
            <v>0</v>
          </cell>
          <cell r="AD1091">
            <v>5610235.5</v>
          </cell>
          <cell r="AL1091">
            <v>0</v>
          </cell>
          <cell r="AM1091">
            <v>0</v>
          </cell>
          <cell r="AN1091">
            <v>2.0099378062570682E-2</v>
          </cell>
          <cell r="AO1091">
            <v>5.063486258147163E-2</v>
          </cell>
          <cell r="AP1091">
            <v>9.5999385432697787E-2</v>
          </cell>
          <cell r="AQ1091">
            <v>9.5999385432697787E-2</v>
          </cell>
          <cell r="AR1091">
            <v>9.5999385432697787E-2</v>
          </cell>
          <cell r="AS1091">
            <v>9.5999385432697787E-2</v>
          </cell>
          <cell r="BF1091">
            <v>0</v>
          </cell>
          <cell r="BG1091">
            <v>0</v>
          </cell>
          <cell r="BH1091">
            <v>10664.730000000003</v>
          </cell>
          <cell r="BI1091">
            <v>27618.770000000004</v>
          </cell>
          <cell r="BJ1091">
            <v>27674.37999999999</v>
          </cell>
          <cell r="BK1091">
            <v>1089.7300000000396</v>
          </cell>
          <cell r="BL1091">
            <v>12771</v>
          </cell>
          <cell r="BM1091">
            <v>69153.880000000034</v>
          </cell>
          <cell r="BN1091">
            <v>134400.04199999996</v>
          </cell>
          <cell r="BO1091">
            <v>134400.04199999996</v>
          </cell>
          <cell r="BP1091">
            <v>134400.04199999996</v>
          </cell>
          <cell r="BQ1091">
            <v>134400.04199999996</v>
          </cell>
          <cell r="BR1091">
            <v>606754.04799999984</v>
          </cell>
          <cell r="BT1091">
            <v>0</v>
          </cell>
          <cell r="CA1091" t="str">
            <v>RABOUT - CONTRACT - Base</v>
          </cell>
          <cell r="CC1091" t="str">
            <v>RABOUT - CONTRACT - Base - IS4</v>
          </cell>
          <cell r="CD1091" t="str">
            <v/>
          </cell>
          <cell r="CF1091" t="str">
            <v>RABOUT - Base - IS4</v>
          </cell>
        </row>
        <row r="1092">
          <cell r="D1092">
            <v>1078</v>
          </cell>
          <cell r="E1092">
            <v>2</v>
          </cell>
          <cell r="F1092">
            <v>4</v>
          </cell>
          <cell r="G1092" t="str">
            <v>RABOUT</v>
          </cell>
          <cell r="H1092" t="str">
            <v>ROUNDABOUT</v>
          </cell>
          <cell r="I1092" t="str">
            <v>IS4</v>
          </cell>
          <cell r="J1092" t="str">
            <v>IS4 Global Mission Solutions</v>
          </cell>
          <cell r="K1092" t="str">
            <v>Classified Agency</v>
          </cell>
          <cell r="L1092" t="str">
            <v>Classified</v>
          </cell>
          <cell r="M1092" t="str">
            <v>VA</v>
          </cell>
          <cell r="N1092" t="str">
            <v>CONUS</v>
          </cell>
          <cell r="O1092">
            <v>0</v>
          </cell>
          <cell r="P1092">
            <v>0</v>
          </cell>
          <cell r="Q1092">
            <v>0</v>
          </cell>
          <cell r="R1092" t="str">
            <v>FFP</v>
          </cell>
          <cell r="S1092">
            <v>0</v>
          </cell>
          <cell r="T1092">
            <v>1</v>
          </cell>
          <cell r="U1092" t="str">
            <v>CONTRACT</v>
          </cell>
          <cell r="V1092" t="str">
            <v>Identified - Recompete</v>
          </cell>
          <cell r="W1092">
            <v>0</v>
          </cell>
          <cell r="X1092">
            <v>0</v>
          </cell>
          <cell r="Y1092">
            <v>0</v>
          </cell>
          <cell r="Z1092">
            <v>0</v>
          </cell>
          <cell r="AA1092">
            <v>0</v>
          </cell>
          <cell r="AB1092">
            <v>0</v>
          </cell>
          <cell r="AC1092">
            <v>0</v>
          </cell>
          <cell r="AD1092">
            <v>0</v>
          </cell>
          <cell r="AP1092">
            <v>0</v>
          </cell>
          <cell r="AQ1092">
            <v>0</v>
          </cell>
          <cell r="AR1092">
            <v>0</v>
          </cell>
          <cell r="AS1092">
            <v>0</v>
          </cell>
          <cell r="BI1092">
            <v>0</v>
          </cell>
          <cell r="BJ1092">
            <v>0</v>
          </cell>
          <cell r="BK1092">
            <v>0</v>
          </cell>
          <cell r="BL1092">
            <v>0</v>
          </cell>
          <cell r="BM1092">
            <v>0</v>
          </cell>
          <cell r="BN1092">
            <v>0</v>
          </cell>
          <cell r="BO1092">
            <v>0</v>
          </cell>
          <cell r="BP1092">
            <v>0</v>
          </cell>
          <cell r="BQ1092">
            <v>0</v>
          </cell>
          <cell r="BR1092">
            <v>0</v>
          </cell>
          <cell r="BT1092">
            <v>0</v>
          </cell>
          <cell r="CA1092" t="str">
            <v>RABOUT - CONTRACT - Identified - Recompete</v>
          </cell>
          <cell r="CC1092" t="str">
            <v>RABOUT - CONTRACT - Identified - Recompete - IS4</v>
          </cell>
          <cell r="CD1092" t="str">
            <v/>
          </cell>
          <cell r="CF1092" t="str">
            <v>RABOUT - Identified - Recompete - IS4</v>
          </cell>
        </row>
        <row r="1093">
          <cell r="D1093">
            <v>1079</v>
          </cell>
          <cell r="E1093">
            <v>0</v>
          </cell>
          <cell r="F1093">
            <v>5</v>
          </cell>
          <cell r="G1093" t="str">
            <v>RABOUT</v>
          </cell>
          <cell r="H1093" t="str">
            <v>ROUNDABOUT</v>
          </cell>
          <cell r="I1093" t="str">
            <v>IS4</v>
          </cell>
          <cell r="J1093" t="str">
            <v>IS4 Global Mission Solutions</v>
          </cell>
          <cell r="K1093" t="str">
            <v>Classified Agency</v>
          </cell>
          <cell r="L1093" t="str">
            <v>Classified</v>
          </cell>
          <cell r="M1093" t="str">
            <v>VA</v>
          </cell>
          <cell r="N1093" t="str">
            <v>CONUS</v>
          </cell>
          <cell r="O1093">
            <v>43206</v>
          </cell>
          <cell r="P1093">
            <v>45031</v>
          </cell>
          <cell r="Q1093" t="str">
            <v>Prime</v>
          </cell>
          <cell r="R1093" t="str">
            <v>FFP</v>
          </cell>
          <cell r="S1093">
            <v>0</v>
          </cell>
          <cell r="T1093">
            <v>1</v>
          </cell>
          <cell r="U1093" t="str">
            <v>EBITA</v>
          </cell>
          <cell r="V1093" t="str">
            <v>Base</v>
          </cell>
          <cell r="W1093" t="str">
            <v>05 Won</v>
          </cell>
          <cell r="X1093" t="str">
            <v>Active</v>
          </cell>
          <cell r="Y1093">
            <v>1</v>
          </cell>
          <cell r="Z1093">
            <v>0</v>
          </cell>
          <cell r="AA1093">
            <v>877630.5</v>
          </cell>
          <cell r="AB1093">
            <v>4732605</v>
          </cell>
          <cell r="AC1093">
            <v>0</v>
          </cell>
          <cell r="AD1093">
            <v>5610235.5</v>
          </cell>
          <cell r="AT1093">
            <v>0</v>
          </cell>
          <cell r="AU1093">
            <v>0</v>
          </cell>
          <cell r="AV1093">
            <v>-7.2224802110817929E-2</v>
          </cell>
          <cell r="AW1093">
            <v>-3.9968881259305852E-2</v>
          </cell>
          <cell r="AX1093">
            <v>1.098007892541894E-2</v>
          </cell>
          <cell r="AY1093">
            <v>1.1980078925418939E-2</v>
          </cell>
          <cell r="AZ1093">
            <v>1.2980078925418938E-2</v>
          </cell>
          <cell r="BA1093">
            <v>1.3980078925418939E-2</v>
          </cell>
          <cell r="BF1093">
            <v>0</v>
          </cell>
          <cell r="BG1093">
            <v>0</v>
          </cell>
          <cell r="BH1093">
            <v>-38322.479999999996</v>
          </cell>
          <cell r="BI1093">
            <v>5.4569682106375694E-12</v>
          </cell>
          <cell r="BJ1093">
            <v>0.69999999998981366</v>
          </cell>
          <cell r="BK1093">
            <v>-31079.65999999996</v>
          </cell>
          <cell r="BL1093">
            <v>-23508</v>
          </cell>
          <cell r="BM1093">
            <v>-54586.959999999963</v>
          </cell>
          <cell r="BN1093">
            <v>15372.213708328414</v>
          </cell>
          <cell r="BO1093">
            <v>16772.223108328413</v>
          </cell>
          <cell r="BP1093">
            <v>18172.232508328412</v>
          </cell>
          <cell r="BQ1093">
            <v>19572.241908328411</v>
          </cell>
          <cell r="BR1093">
            <v>15301.951233313692</v>
          </cell>
          <cell r="BT1093">
            <v>0</v>
          </cell>
          <cell r="CA1093" t="str">
            <v>RABOUT - EBITA - Base</v>
          </cell>
          <cell r="CC1093" t="str">
            <v>RABOUT - EBITA - Base - IS4</v>
          </cell>
          <cell r="CD1093" t="str">
            <v/>
          </cell>
          <cell r="CF1093" t="str">
            <v>RABOUT - Base - IS4</v>
          </cell>
        </row>
        <row r="1094">
          <cell r="D1094">
            <v>1080</v>
          </cell>
          <cell r="E1094">
            <v>0</v>
          </cell>
          <cell r="F1094">
            <v>0</v>
          </cell>
          <cell r="G1094" t="str">
            <v>RABOUT</v>
          </cell>
          <cell r="H1094" t="str">
            <v>ROUNDABOUT</v>
          </cell>
          <cell r="I1094" t="str">
            <v>IS4</v>
          </cell>
          <cell r="J1094" t="str">
            <v>IS4 Global Mission Solutions</v>
          </cell>
          <cell r="K1094" t="str">
            <v>Classified Agency</v>
          </cell>
          <cell r="L1094" t="str">
            <v>Classified</v>
          </cell>
          <cell r="M1094" t="str">
            <v>VA</v>
          </cell>
          <cell r="N1094" t="str">
            <v>CONUS</v>
          </cell>
          <cell r="O1094">
            <v>0</v>
          </cell>
          <cell r="P1094">
            <v>0</v>
          </cell>
          <cell r="Q1094">
            <v>0</v>
          </cell>
          <cell r="R1094" t="str">
            <v>FFP</v>
          </cell>
          <cell r="S1094">
            <v>0</v>
          </cell>
          <cell r="T1094">
            <v>1</v>
          </cell>
          <cell r="U1094" t="str">
            <v>EBITA</v>
          </cell>
          <cell r="V1094" t="str">
            <v>Identified - Recompete</v>
          </cell>
          <cell r="W1094">
            <v>0</v>
          </cell>
          <cell r="X1094">
            <v>0</v>
          </cell>
          <cell r="Y1094">
            <v>0</v>
          </cell>
          <cell r="Z1094">
            <v>0</v>
          </cell>
          <cell r="AA1094">
            <v>0</v>
          </cell>
          <cell r="AB1094">
            <v>0</v>
          </cell>
          <cell r="AC1094">
            <v>0</v>
          </cell>
          <cell r="AD1094">
            <v>0</v>
          </cell>
          <cell r="AX1094">
            <v>0</v>
          </cell>
          <cell r="AY1094">
            <v>0</v>
          </cell>
          <cell r="AZ1094">
            <v>0</v>
          </cell>
          <cell r="BA1094">
            <v>0</v>
          </cell>
          <cell r="BI1094">
            <v>0</v>
          </cell>
          <cell r="BJ1094">
            <v>0</v>
          </cell>
          <cell r="BK1094">
            <v>0</v>
          </cell>
          <cell r="BL1094">
            <v>0</v>
          </cell>
          <cell r="BM1094">
            <v>0</v>
          </cell>
          <cell r="BN1094">
            <v>0</v>
          </cell>
          <cell r="BO1094">
            <v>0</v>
          </cell>
          <cell r="BP1094">
            <v>0</v>
          </cell>
          <cell r="BQ1094">
            <v>0</v>
          </cell>
          <cell r="BR1094">
            <v>0</v>
          </cell>
          <cell r="BT1094">
            <v>0</v>
          </cell>
          <cell r="CA1094" t="str">
            <v>RABOUT - EBITA - Identified - Recompete</v>
          </cell>
          <cell r="CC1094" t="str">
            <v>RABOUT - EBITA - Identified - Recompete - IS4</v>
          </cell>
          <cell r="CD1094" t="str">
            <v/>
          </cell>
          <cell r="CF1094" t="str">
            <v>RABOUT - Identified - Recompete - IS4</v>
          </cell>
        </row>
        <row r="1095">
          <cell r="D1095">
            <v>1081</v>
          </cell>
          <cell r="E1095">
            <v>1</v>
          </cell>
          <cell r="F1095">
            <v>1</v>
          </cell>
          <cell r="G1095" t="str">
            <v>73000I</v>
          </cell>
          <cell r="H1095" t="str">
            <v>NAVMISSA Support</v>
          </cell>
          <cell r="I1095" t="str">
            <v>IS4</v>
          </cell>
          <cell r="J1095" t="str">
            <v>IS4 Engineering and Technology Services</v>
          </cell>
          <cell r="K1095" t="str">
            <v>Navy</v>
          </cell>
          <cell r="L1095" t="str">
            <v>DOD</v>
          </cell>
          <cell r="M1095" t="str">
            <v>VA</v>
          </cell>
          <cell r="N1095" t="str">
            <v>CONUS</v>
          </cell>
          <cell r="O1095">
            <v>42275</v>
          </cell>
          <cell r="P1095">
            <v>43738</v>
          </cell>
          <cell r="Q1095" t="str">
            <v>Sub</v>
          </cell>
          <cell r="R1095" t="str">
            <v>FFP</v>
          </cell>
          <cell r="S1095">
            <v>0</v>
          </cell>
          <cell r="T1095">
            <v>1</v>
          </cell>
          <cell r="U1095" t="str">
            <v>REVTOT</v>
          </cell>
          <cell r="V1095" t="str">
            <v>Base</v>
          </cell>
          <cell r="W1095" t="str">
            <v>05 Won</v>
          </cell>
          <cell r="X1095" t="str">
            <v>Active</v>
          </cell>
          <cell r="Y1095">
            <v>1</v>
          </cell>
          <cell r="Z1095">
            <v>0</v>
          </cell>
          <cell r="AA1095">
            <v>15503.390000001236</v>
          </cell>
          <cell r="AB1095">
            <v>0</v>
          </cell>
          <cell r="AC1095">
            <v>0</v>
          </cell>
          <cell r="AD1095">
            <v>15503.390000001236</v>
          </cell>
          <cell r="AE1095">
            <v>1.1851259698066441E-2</v>
          </cell>
          <cell r="AF1095">
            <v>-0.20319151186962925</v>
          </cell>
          <cell r="AG1095">
            <v>6.3642507316616248E-2</v>
          </cell>
          <cell r="AH1095">
            <v>-0.98798428384172654</v>
          </cell>
          <cell r="AI1095">
            <v>0</v>
          </cell>
          <cell r="AJ1095">
            <v>0</v>
          </cell>
          <cell r="AK1095">
            <v>0</v>
          </cell>
          <cell r="BB1095">
            <v>910080</v>
          </cell>
          <cell r="BC1095">
            <v>910080</v>
          </cell>
          <cell r="BD1095">
            <v>910080</v>
          </cell>
          <cell r="BE1095">
            <v>910080</v>
          </cell>
          <cell r="BF1095">
            <v>1504564.1099999999</v>
          </cell>
          <cell r="BG1095">
            <v>1522395.09</v>
          </cell>
          <cell r="BH1095">
            <v>1213057.3299999998</v>
          </cell>
          <cell r="BI1095">
            <v>314644.92</v>
          </cell>
          <cell r="BJ1095">
            <v>313204.05</v>
          </cell>
          <cell r="BK1095">
            <v>329748.37</v>
          </cell>
          <cell r="BL1095">
            <v>332662</v>
          </cell>
          <cell r="BM1095">
            <v>1290259.3399999999</v>
          </cell>
          <cell r="BN1095">
            <v>15503.390000001236</v>
          </cell>
          <cell r="BO1095">
            <v>0</v>
          </cell>
          <cell r="BP1095">
            <v>0</v>
          </cell>
          <cell r="BQ1095">
            <v>0</v>
          </cell>
          <cell r="BR1095">
            <v>1305762.7300000011</v>
          </cell>
          <cell r="BT1095">
            <v>0</v>
          </cell>
          <cell r="CA1095" t="str">
            <v>73000I - REVTOT - Base</v>
          </cell>
          <cell r="CC1095" t="str">
            <v>73000I - REVTOT - Base - IS4</v>
          </cell>
          <cell r="CD1095" t="str">
            <v/>
          </cell>
          <cell r="CF1095" t="str">
            <v>73000I - Base - IS4</v>
          </cell>
        </row>
        <row r="1096">
          <cell r="D1096">
            <v>1082</v>
          </cell>
          <cell r="E1096">
            <v>1</v>
          </cell>
          <cell r="F1096">
            <v>2</v>
          </cell>
          <cell r="G1096" t="str">
            <v>73000I</v>
          </cell>
          <cell r="H1096" t="str">
            <v>NAVMISSA Support</v>
          </cell>
          <cell r="I1096" t="str">
            <v>IS4</v>
          </cell>
          <cell r="J1096" t="str">
            <v>IS4 Engineering and Technology Services</v>
          </cell>
          <cell r="K1096" t="str">
            <v>Navy</v>
          </cell>
          <cell r="L1096" t="str">
            <v>DOD</v>
          </cell>
          <cell r="M1096" t="str">
            <v>VA</v>
          </cell>
          <cell r="N1096" t="str">
            <v>CONUS</v>
          </cell>
          <cell r="O1096">
            <v>0</v>
          </cell>
          <cell r="P1096">
            <v>0</v>
          </cell>
          <cell r="Q1096">
            <v>0</v>
          </cell>
          <cell r="R1096" t="str">
            <v>FFP</v>
          </cell>
          <cell r="S1096">
            <v>0</v>
          </cell>
          <cell r="T1096">
            <v>1</v>
          </cell>
          <cell r="U1096" t="str">
            <v>REVTOT</v>
          </cell>
          <cell r="V1096" t="str">
            <v>Identified - Recompete</v>
          </cell>
          <cell r="W1096">
            <v>0</v>
          </cell>
          <cell r="X1096">
            <v>0</v>
          </cell>
          <cell r="Y1096">
            <v>0</v>
          </cell>
          <cell r="Z1096">
            <v>0</v>
          </cell>
          <cell r="AA1096">
            <v>0</v>
          </cell>
          <cell r="AB1096">
            <v>0</v>
          </cell>
          <cell r="AC1096">
            <v>0</v>
          </cell>
          <cell r="AD1096">
            <v>0</v>
          </cell>
          <cell r="AI1096">
            <v>0</v>
          </cell>
          <cell r="AJ1096">
            <v>0</v>
          </cell>
          <cell r="AK1096">
            <v>0</v>
          </cell>
          <cell r="BB1096">
            <v>0</v>
          </cell>
          <cell r="BC1096">
            <v>0</v>
          </cell>
          <cell r="BD1096">
            <v>0</v>
          </cell>
          <cell r="BE1096">
            <v>0</v>
          </cell>
          <cell r="BI1096">
            <v>0</v>
          </cell>
          <cell r="BJ1096">
            <v>0</v>
          </cell>
          <cell r="BK1096">
            <v>0</v>
          </cell>
          <cell r="BL1096">
            <v>0</v>
          </cell>
          <cell r="BM1096">
            <v>0</v>
          </cell>
          <cell r="BN1096">
            <v>0</v>
          </cell>
          <cell r="BO1096">
            <v>0</v>
          </cell>
          <cell r="BP1096">
            <v>0</v>
          </cell>
          <cell r="BQ1096">
            <v>0</v>
          </cell>
          <cell r="BR1096">
            <v>0</v>
          </cell>
          <cell r="BT1096">
            <v>0</v>
          </cell>
          <cell r="CA1096" t="str">
            <v>73000I - REVTOT - Identified - Recompete</v>
          </cell>
          <cell r="CC1096" t="str">
            <v>73000I - REVTOT - Identified - Recompete - IS4</v>
          </cell>
          <cell r="CD1096" t="str">
            <v/>
          </cell>
          <cell r="CF1096" t="str">
            <v>73000I - Identified - Recompete - IS4</v>
          </cell>
        </row>
        <row r="1097">
          <cell r="D1097">
            <v>1083</v>
          </cell>
          <cell r="E1097">
            <v>2</v>
          </cell>
          <cell r="F1097">
            <v>3</v>
          </cell>
          <cell r="G1097" t="str">
            <v>73000I</v>
          </cell>
          <cell r="H1097" t="str">
            <v>NAVMISSA Support</v>
          </cell>
          <cell r="I1097" t="str">
            <v>IS4</v>
          </cell>
          <cell r="J1097" t="str">
            <v>IS4 Engineering and Technology Services</v>
          </cell>
          <cell r="K1097" t="str">
            <v>Navy</v>
          </cell>
          <cell r="L1097" t="str">
            <v>DOD</v>
          </cell>
          <cell r="M1097" t="str">
            <v>VA</v>
          </cell>
          <cell r="N1097" t="str">
            <v>CONUS</v>
          </cell>
          <cell r="O1097">
            <v>42275</v>
          </cell>
          <cell r="P1097">
            <v>43738</v>
          </cell>
          <cell r="Q1097" t="str">
            <v>Sub</v>
          </cell>
          <cell r="R1097" t="str">
            <v>FFP</v>
          </cell>
          <cell r="S1097">
            <v>0</v>
          </cell>
          <cell r="T1097">
            <v>1</v>
          </cell>
          <cell r="U1097" t="str">
            <v>CONTRACT</v>
          </cell>
          <cell r="V1097" t="str">
            <v>Base</v>
          </cell>
          <cell r="W1097" t="str">
            <v>05 Won</v>
          </cell>
          <cell r="X1097" t="str">
            <v>Active</v>
          </cell>
          <cell r="Y1097">
            <v>1</v>
          </cell>
          <cell r="Z1097">
            <v>0</v>
          </cell>
          <cell r="AA1097">
            <v>15503.390000001236</v>
          </cell>
          <cell r="AB1097">
            <v>0</v>
          </cell>
          <cell r="AC1097">
            <v>0</v>
          </cell>
          <cell r="AD1097">
            <v>15503.390000001236</v>
          </cell>
          <cell r="AL1097">
            <v>0.24852249067671836</v>
          </cell>
          <cell r="AM1097">
            <v>0.22204266962001304</v>
          </cell>
          <cell r="AN1097">
            <v>0.19912987129800375</v>
          </cell>
          <cell r="AO1097">
            <v>0.19987616598070895</v>
          </cell>
          <cell r="AP1097">
            <v>0.18808599592662184</v>
          </cell>
          <cell r="AQ1097">
            <v>0.18808599592662184</v>
          </cell>
          <cell r="AR1097">
            <v>0.18808599592662184</v>
          </cell>
          <cell r="AS1097">
            <v>0.18808599592662184</v>
          </cell>
          <cell r="BF1097">
            <v>373918.02</v>
          </cell>
          <cell r="BG1097">
            <v>338036.67000000004</v>
          </cell>
          <cell r="BH1097">
            <v>241555.95</v>
          </cell>
          <cell r="BI1097">
            <v>65087.249999999985</v>
          </cell>
          <cell r="BJ1097">
            <v>64409.8</v>
          </cell>
          <cell r="BK1097">
            <v>65343.039999999994</v>
          </cell>
          <cell r="BL1097">
            <v>63052</v>
          </cell>
          <cell r="BM1097">
            <v>257892.08999999997</v>
          </cell>
          <cell r="BN1097">
            <v>2915.9705483890625</v>
          </cell>
          <cell r="BO1097">
            <v>0</v>
          </cell>
          <cell r="BP1097">
            <v>0</v>
          </cell>
          <cell r="BQ1097">
            <v>0</v>
          </cell>
          <cell r="BR1097">
            <v>260808.06054838904</v>
          </cell>
          <cell r="BT1097">
            <v>0</v>
          </cell>
          <cell r="CA1097" t="str">
            <v>73000I - CONTRACT - Base</v>
          </cell>
          <cell r="CC1097" t="str">
            <v>73000I - CONTRACT - Base - IS4</v>
          </cell>
          <cell r="CD1097" t="str">
            <v/>
          </cell>
          <cell r="CF1097" t="str">
            <v>73000I - Base - IS4</v>
          </cell>
        </row>
        <row r="1098">
          <cell r="D1098">
            <v>1084</v>
          </cell>
          <cell r="E1098">
            <v>2</v>
          </cell>
          <cell r="F1098">
            <v>4</v>
          </cell>
          <cell r="G1098" t="str">
            <v>73000I</v>
          </cell>
          <cell r="H1098" t="str">
            <v>NAVMISSA Support</v>
          </cell>
          <cell r="I1098" t="str">
            <v>IS4</v>
          </cell>
          <cell r="J1098" t="str">
            <v>IS4 Engineering and Technology Services</v>
          </cell>
          <cell r="K1098" t="str">
            <v>Navy</v>
          </cell>
          <cell r="L1098" t="str">
            <v>DOD</v>
          </cell>
          <cell r="M1098" t="str">
            <v>VA</v>
          </cell>
          <cell r="N1098" t="str">
            <v>CONUS</v>
          </cell>
          <cell r="O1098">
            <v>0</v>
          </cell>
          <cell r="P1098">
            <v>0</v>
          </cell>
          <cell r="Q1098">
            <v>0</v>
          </cell>
          <cell r="R1098" t="str">
            <v>FFP</v>
          </cell>
          <cell r="S1098">
            <v>0</v>
          </cell>
          <cell r="T1098">
            <v>1</v>
          </cell>
          <cell r="U1098" t="str">
            <v>CONTRACT</v>
          </cell>
          <cell r="V1098" t="str">
            <v>Identified - Recompete</v>
          </cell>
          <cell r="W1098">
            <v>0</v>
          </cell>
          <cell r="X1098">
            <v>0</v>
          </cell>
          <cell r="Y1098">
            <v>0</v>
          </cell>
          <cell r="Z1098">
            <v>0</v>
          </cell>
          <cell r="AA1098">
            <v>0</v>
          </cell>
          <cell r="AB1098">
            <v>0</v>
          </cell>
          <cell r="AC1098">
            <v>0</v>
          </cell>
          <cell r="AD1098">
            <v>0</v>
          </cell>
          <cell r="AP1098">
            <v>0</v>
          </cell>
          <cell r="AQ1098">
            <v>0</v>
          </cell>
          <cell r="AR1098">
            <v>0</v>
          </cell>
          <cell r="AS1098">
            <v>0</v>
          </cell>
          <cell r="BI1098">
            <v>0</v>
          </cell>
          <cell r="BJ1098">
            <v>0</v>
          </cell>
          <cell r="BK1098">
            <v>0</v>
          </cell>
          <cell r="BL1098">
            <v>0</v>
          </cell>
          <cell r="BM1098">
            <v>0</v>
          </cell>
          <cell r="BN1098">
            <v>0</v>
          </cell>
          <cell r="BO1098">
            <v>0</v>
          </cell>
          <cell r="BP1098">
            <v>0</v>
          </cell>
          <cell r="BQ1098">
            <v>0</v>
          </cell>
          <cell r="BR1098">
            <v>0</v>
          </cell>
          <cell r="BT1098">
            <v>0</v>
          </cell>
          <cell r="CA1098" t="str">
            <v>73000I - CONTRACT - Identified - Recompete</v>
          </cell>
          <cell r="CC1098" t="str">
            <v>73000I - CONTRACT - Identified - Recompete - IS4</v>
          </cell>
          <cell r="CD1098" t="str">
            <v/>
          </cell>
          <cell r="CF1098" t="str">
            <v>73000I - Identified - Recompete - IS4</v>
          </cell>
        </row>
        <row r="1099">
          <cell r="D1099">
            <v>1085</v>
          </cell>
          <cell r="E1099">
            <v>0</v>
          </cell>
          <cell r="F1099">
            <v>5</v>
          </cell>
          <cell r="G1099" t="str">
            <v>73000I</v>
          </cell>
          <cell r="H1099" t="str">
            <v>NAVMISSA Support</v>
          </cell>
          <cell r="I1099" t="str">
            <v>IS4</v>
          </cell>
          <cell r="J1099" t="str">
            <v>IS4 Engineering and Technology Services</v>
          </cell>
          <cell r="K1099" t="str">
            <v>Navy</v>
          </cell>
          <cell r="L1099" t="str">
            <v>DOD</v>
          </cell>
          <cell r="M1099" t="str">
            <v>VA</v>
          </cell>
          <cell r="N1099" t="str">
            <v>CONUS</v>
          </cell>
          <cell r="O1099">
            <v>42275</v>
          </cell>
          <cell r="P1099">
            <v>43738</v>
          </cell>
          <cell r="Q1099" t="str">
            <v>Sub</v>
          </cell>
          <cell r="R1099" t="str">
            <v>FFP</v>
          </cell>
          <cell r="S1099">
            <v>0</v>
          </cell>
          <cell r="T1099">
            <v>1</v>
          </cell>
          <cell r="U1099" t="str">
            <v>EBITA</v>
          </cell>
          <cell r="V1099" t="str">
            <v>Base</v>
          </cell>
          <cell r="W1099" t="str">
            <v>05 Won</v>
          </cell>
          <cell r="X1099" t="str">
            <v>Active</v>
          </cell>
          <cell r="Y1099">
            <v>1</v>
          </cell>
          <cell r="Z1099">
            <v>0</v>
          </cell>
          <cell r="AA1099">
            <v>15503.390000001236</v>
          </cell>
          <cell r="AB1099">
            <v>0</v>
          </cell>
          <cell r="AC1099">
            <v>0</v>
          </cell>
          <cell r="AD1099">
            <v>15503.390000001236</v>
          </cell>
          <cell r="AT1099">
            <v>6.572703638397967E-2</v>
          </cell>
          <cell r="AU1099">
            <v>0.10419808303506813</v>
          </cell>
          <cell r="AV1099">
            <v>7.7060974521294914E-2</v>
          </cell>
          <cell r="AW1099">
            <v>7.1682325508296646E-2</v>
          </cell>
          <cell r="AX1099">
            <v>5.8933745299621615E-2</v>
          </cell>
          <cell r="AY1099">
            <v>5.9933745299621616E-2</v>
          </cell>
          <cell r="AZ1099">
            <v>6.0933745299621617E-2</v>
          </cell>
          <cell r="BA1099">
            <v>6.1933745299621618E-2</v>
          </cell>
          <cell r="BF1099">
            <v>98890.539999999979</v>
          </cell>
          <cell r="BG1099">
            <v>158630.65000000002</v>
          </cell>
          <cell r="BH1099">
            <v>93479.380000000019</v>
          </cell>
          <cell r="BI1099">
            <v>24619.889999999985</v>
          </cell>
          <cell r="BJ1099">
            <v>25077.840000000004</v>
          </cell>
          <cell r="BK1099">
            <v>22958.059999999998</v>
          </cell>
          <cell r="BL1099">
            <v>19833</v>
          </cell>
          <cell r="BM1099">
            <v>92488.789999999979</v>
          </cell>
          <cell r="BN1099">
            <v>913.67283754077357</v>
          </cell>
          <cell r="BO1099">
            <v>0</v>
          </cell>
          <cell r="BP1099">
            <v>0</v>
          </cell>
          <cell r="BQ1099">
            <v>0</v>
          </cell>
          <cell r="BR1099">
            <v>93402.462837540748</v>
          </cell>
          <cell r="BT1099">
            <v>0</v>
          </cell>
          <cell r="CA1099" t="str">
            <v>73000I - EBITA - Base</v>
          </cell>
          <cell r="CC1099" t="str">
            <v>73000I - EBITA - Base - IS4</v>
          </cell>
          <cell r="CD1099" t="str">
            <v/>
          </cell>
          <cell r="CF1099" t="str">
            <v>73000I - Base - IS4</v>
          </cell>
        </row>
        <row r="1100">
          <cell r="D1100">
            <v>1086</v>
          </cell>
          <cell r="E1100">
            <v>0</v>
          </cell>
          <cell r="F1100">
            <v>0</v>
          </cell>
          <cell r="G1100" t="str">
            <v>73000I</v>
          </cell>
          <cell r="H1100" t="str">
            <v>NAVMISSA Support</v>
          </cell>
          <cell r="I1100" t="str">
            <v>IS4</v>
          </cell>
          <cell r="J1100" t="str">
            <v>IS4 Engineering and Technology Services</v>
          </cell>
          <cell r="K1100" t="str">
            <v>Navy</v>
          </cell>
          <cell r="L1100" t="str">
            <v>DOD</v>
          </cell>
          <cell r="M1100" t="str">
            <v>VA</v>
          </cell>
          <cell r="N1100" t="str">
            <v>CONUS</v>
          </cell>
          <cell r="O1100">
            <v>0</v>
          </cell>
          <cell r="P1100">
            <v>0</v>
          </cell>
          <cell r="Q1100">
            <v>0</v>
          </cell>
          <cell r="R1100" t="str">
            <v>FFP</v>
          </cell>
          <cell r="S1100">
            <v>0</v>
          </cell>
          <cell r="T1100">
            <v>1</v>
          </cell>
          <cell r="U1100" t="str">
            <v>EBITA</v>
          </cell>
          <cell r="V1100" t="str">
            <v>Identified - Recompete</v>
          </cell>
          <cell r="W1100">
            <v>0</v>
          </cell>
          <cell r="X1100">
            <v>0</v>
          </cell>
          <cell r="Y1100">
            <v>0</v>
          </cell>
          <cell r="Z1100">
            <v>0</v>
          </cell>
          <cell r="AA1100">
            <v>0</v>
          </cell>
          <cell r="AB1100">
            <v>0</v>
          </cell>
          <cell r="AC1100">
            <v>0</v>
          </cell>
          <cell r="AD1100">
            <v>0</v>
          </cell>
          <cell r="AX1100">
            <v>0</v>
          </cell>
          <cell r="AY1100">
            <v>0</v>
          </cell>
          <cell r="AZ1100">
            <v>0</v>
          </cell>
          <cell r="BA1100">
            <v>0</v>
          </cell>
          <cell r="BI1100">
            <v>0</v>
          </cell>
          <cell r="BJ1100">
            <v>0</v>
          </cell>
          <cell r="BK1100">
            <v>0</v>
          </cell>
          <cell r="BL1100">
            <v>0</v>
          </cell>
          <cell r="BM1100">
            <v>0</v>
          </cell>
          <cell r="BN1100">
            <v>0</v>
          </cell>
          <cell r="BO1100">
            <v>0</v>
          </cell>
          <cell r="BP1100">
            <v>0</v>
          </cell>
          <cell r="BQ1100">
            <v>0</v>
          </cell>
          <cell r="BR1100">
            <v>0</v>
          </cell>
          <cell r="BT1100">
            <v>0</v>
          </cell>
          <cell r="CA1100" t="str">
            <v>73000I - EBITA - Identified - Recompete</v>
          </cell>
          <cell r="CC1100" t="str">
            <v>73000I - EBITA - Identified - Recompete - IS4</v>
          </cell>
          <cell r="CD1100" t="str">
            <v/>
          </cell>
          <cell r="CF1100" t="str">
            <v>73000I - Identified - Recompete - IS4</v>
          </cell>
        </row>
        <row r="1101">
          <cell r="D1101">
            <v>1087</v>
          </cell>
          <cell r="E1101">
            <v>1</v>
          </cell>
          <cell r="F1101">
            <v>1</v>
          </cell>
          <cell r="G1101" t="str">
            <v>CSMSUK</v>
          </cell>
          <cell r="H1101" t="str">
            <v>CSMC AFCEC UK</v>
          </cell>
          <cell r="I1101" t="str">
            <v>IS4</v>
          </cell>
          <cell r="J1101" t="str">
            <v>IS4 Global Mission Solutions</v>
          </cell>
          <cell r="K1101" t="str">
            <v>Air Force</v>
          </cell>
          <cell r="L1101" t="str">
            <v>DOD</v>
          </cell>
          <cell r="M1101" t="str">
            <v>UK</v>
          </cell>
          <cell r="N1101" t="str">
            <v>OCONUS</v>
          </cell>
          <cell r="O1101">
            <v>43008</v>
          </cell>
          <cell r="P1101">
            <v>45198</v>
          </cell>
          <cell r="Q1101" t="str">
            <v>Prime</v>
          </cell>
          <cell r="R1101" t="str">
            <v>FFP</v>
          </cell>
          <cell r="S1101">
            <v>0</v>
          </cell>
          <cell r="T1101">
            <v>1</v>
          </cell>
          <cell r="U1101" t="str">
            <v>REVTOT</v>
          </cell>
          <cell r="V1101" t="str">
            <v>Base</v>
          </cell>
          <cell r="W1101" t="str">
            <v>05 Won</v>
          </cell>
          <cell r="X1101" t="str">
            <v>Active</v>
          </cell>
          <cell r="Y1101">
            <v>1</v>
          </cell>
          <cell r="Z1101">
            <v>0</v>
          </cell>
          <cell r="AA1101">
            <v>1471273.02</v>
          </cell>
          <cell r="AB1101">
            <v>21337996.420000002</v>
          </cell>
          <cell r="AC1101">
            <v>0</v>
          </cell>
          <cell r="AD1101">
            <v>22809269.440000001</v>
          </cell>
          <cell r="AE1101">
            <v>0</v>
          </cell>
          <cell r="AF1101">
            <v>0</v>
          </cell>
          <cell r="AG1101">
            <v>-0.99340402805130734</v>
          </cell>
          <cell r="AH1101">
            <v>379.24563538658003</v>
          </cell>
          <cell r="AI1101">
            <v>0</v>
          </cell>
          <cell r="AJ1101">
            <v>0</v>
          </cell>
          <cell r="AK1101">
            <v>0</v>
          </cell>
          <cell r="BB1101">
            <v>2218296</v>
          </cell>
          <cell r="BC1101">
            <v>2218296</v>
          </cell>
          <cell r="BD1101">
            <v>2218296</v>
          </cell>
          <cell r="BE1101">
            <v>2218296</v>
          </cell>
          <cell r="BF1101">
            <v>0</v>
          </cell>
          <cell r="BG1101">
            <v>0</v>
          </cell>
          <cell r="BH1101">
            <v>884456.46000000008</v>
          </cell>
          <cell r="BI1101">
            <v>4392.6499999999996</v>
          </cell>
          <cell r="BJ1101">
            <v>-360.13999999999993</v>
          </cell>
          <cell r="BK1101">
            <v>1801.3400000000001</v>
          </cell>
          <cell r="BL1101">
            <v>0</v>
          </cell>
          <cell r="BM1101">
            <v>5833.85</v>
          </cell>
          <cell r="BN1101">
            <v>2218296</v>
          </cell>
          <cell r="BO1101">
            <v>2218296</v>
          </cell>
          <cell r="BP1101">
            <v>2218296</v>
          </cell>
          <cell r="BQ1101">
            <v>2218296</v>
          </cell>
          <cell r="BR1101">
            <v>8879017.8499999996</v>
          </cell>
          <cell r="BT1101">
            <v>0</v>
          </cell>
          <cell r="CA1101" t="str">
            <v>CSMSUK - REVTOT - Base</v>
          </cell>
          <cell r="CC1101" t="str">
            <v>CSMSUK - REVTOT - Base - IS4</v>
          </cell>
          <cell r="CD1101" t="str">
            <v/>
          </cell>
          <cell r="CF1101" t="str">
            <v>CSMSUK - Base - IS4</v>
          </cell>
        </row>
        <row r="1102">
          <cell r="D1102">
            <v>1088</v>
          </cell>
          <cell r="E1102">
            <v>1</v>
          </cell>
          <cell r="F1102">
            <v>2</v>
          </cell>
          <cell r="G1102" t="str">
            <v>CSMSUK</v>
          </cell>
          <cell r="H1102" t="str">
            <v>CSMC AFCEC UK</v>
          </cell>
          <cell r="I1102" t="str">
            <v>IS4</v>
          </cell>
          <cell r="J1102" t="str">
            <v>IS4 Global Mission Solutions</v>
          </cell>
          <cell r="K1102" t="str">
            <v>Air Force</v>
          </cell>
          <cell r="L1102" t="str">
            <v>DOD</v>
          </cell>
          <cell r="M1102" t="str">
            <v>UK</v>
          </cell>
          <cell r="N1102" t="str">
            <v>OCONUS</v>
          </cell>
          <cell r="O1102">
            <v>0</v>
          </cell>
          <cell r="P1102">
            <v>0</v>
          </cell>
          <cell r="Q1102">
            <v>0</v>
          </cell>
          <cell r="R1102" t="str">
            <v>FFP</v>
          </cell>
          <cell r="S1102">
            <v>0</v>
          </cell>
          <cell r="T1102">
            <v>1</v>
          </cell>
          <cell r="U1102" t="str">
            <v>REVTOT</v>
          </cell>
          <cell r="V1102" t="str">
            <v>Identified - Recompete</v>
          </cell>
          <cell r="W1102">
            <v>0</v>
          </cell>
          <cell r="X1102">
            <v>0</v>
          </cell>
          <cell r="Y1102">
            <v>0</v>
          </cell>
          <cell r="Z1102">
            <v>0</v>
          </cell>
          <cell r="AA1102">
            <v>0</v>
          </cell>
          <cell r="AB1102">
            <v>0</v>
          </cell>
          <cell r="AC1102">
            <v>0</v>
          </cell>
          <cell r="AD1102">
            <v>0</v>
          </cell>
          <cell r="AI1102">
            <v>0</v>
          </cell>
          <cell r="AJ1102">
            <v>0</v>
          </cell>
          <cell r="AK1102">
            <v>0</v>
          </cell>
          <cell r="BB1102">
            <v>0</v>
          </cell>
          <cell r="BC1102">
            <v>0</v>
          </cell>
          <cell r="BD1102">
            <v>0</v>
          </cell>
          <cell r="BE1102">
            <v>0</v>
          </cell>
          <cell r="BI1102">
            <v>0</v>
          </cell>
          <cell r="BJ1102">
            <v>0</v>
          </cell>
          <cell r="BK1102">
            <v>0</v>
          </cell>
          <cell r="BL1102">
            <v>0</v>
          </cell>
          <cell r="BM1102">
            <v>0</v>
          </cell>
          <cell r="BN1102">
            <v>0</v>
          </cell>
          <cell r="BO1102">
            <v>0</v>
          </cell>
          <cell r="BP1102">
            <v>0</v>
          </cell>
          <cell r="BQ1102">
            <v>0</v>
          </cell>
          <cell r="BR1102">
            <v>0</v>
          </cell>
          <cell r="BT1102">
            <v>0</v>
          </cell>
          <cell r="CA1102" t="str">
            <v>CSMSUK - REVTOT - Identified - Recompete</v>
          </cell>
          <cell r="CC1102" t="str">
            <v>CSMSUK - REVTOT - Identified - Recompete - IS4</v>
          </cell>
          <cell r="CD1102" t="str">
            <v/>
          </cell>
          <cell r="CF1102" t="str">
            <v>CSMSUK - Identified - Recompete - IS4</v>
          </cell>
        </row>
        <row r="1103">
          <cell r="D1103">
            <v>1089</v>
          </cell>
          <cell r="E1103">
            <v>2</v>
          </cell>
          <cell r="F1103">
            <v>3</v>
          </cell>
          <cell r="G1103" t="str">
            <v>CSMSUK</v>
          </cell>
          <cell r="H1103" t="str">
            <v>CSMC AFCEC UK</v>
          </cell>
          <cell r="I1103" t="str">
            <v>IS4</v>
          </cell>
          <cell r="J1103" t="str">
            <v>IS4 Global Mission Solutions</v>
          </cell>
          <cell r="K1103" t="str">
            <v>Air Force</v>
          </cell>
          <cell r="L1103" t="str">
            <v>DOD</v>
          </cell>
          <cell r="M1103" t="str">
            <v>UK</v>
          </cell>
          <cell r="N1103" t="str">
            <v>OCONUS</v>
          </cell>
          <cell r="O1103">
            <v>43008</v>
          </cell>
          <cell r="P1103">
            <v>45198</v>
          </cell>
          <cell r="Q1103" t="str">
            <v>Prime</v>
          </cell>
          <cell r="R1103" t="str">
            <v>FFP</v>
          </cell>
          <cell r="S1103">
            <v>0</v>
          </cell>
          <cell r="T1103">
            <v>1</v>
          </cell>
          <cell r="U1103" t="str">
            <v>CONTRACT</v>
          </cell>
          <cell r="V1103" t="str">
            <v>Base</v>
          </cell>
          <cell r="W1103" t="str">
            <v>05 Won</v>
          </cell>
          <cell r="X1103" t="str">
            <v>Active</v>
          </cell>
          <cell r="Y1103">
            <v>1</v>
          </cell>
          <cell r="Z1103">
            <v>0</v>
          </cell>
          <cell r="AA1103">
            <v>1471273.02</v>
          </cell>
          <cell r="AB1103">
            <v>21337996.420000002</v>
          </cell>
          <cell r="AC1103">
            <v>0</v>
          </cell>
          <cell r="AD1103">
            <v>22809269.440000001</v>
          </cell>
          <cell r="AL1103">
            <v>0</v>
          </cell>
          <cell r="AM1103">
            <v>0</v>
          </cell>
          <cell r="AN1103">
            <v>0.55226555753801598</v>
          </cell>
          <cell r="AO1103">
            <v>-3.1863606366293271</v>
          </cell>
          <cell r="AP1103">
            <v>0.15541181158871495</v>
          </cell>
          <cell r="AQ1103">
            <v>0.15541181158871495</v>
          </cell>
          <cell r="AR1103">
            <v>0.15541181158871495</v>
          </cell>
          <cell r="AS1103">
            <v>0.15541181158871495</v>
          </cell>
          <cell r="BF1103">
            <v>0</v>
          </cell>
          <cell r="BG1103">
            <v>0</v>
          </cell>
          <cell r="BH1103">
            <v>488454.83999999997</v>
          </cell>
          <cell r="BI1103">
            <v>-15283.16</v>
          </cell>
          <cell r="BJ1103">
            <v>-4106.93</v>
          </cell>
          <cell r="BK1103">
            <v>801.34</v>
          </cell>
          <cell r="BL1103">
            <v>0</v>
          </cell>
          <cell r="BM1103">
            <v>-18588.75</v>
          </cell>
          <cell r="BN1103">
            <v>344749.4</v>
          </cell>
          <cell r="BO1103">
            <v>344749.4</v>
          </cell>
          <cell r="BP1103">
            <v>344749.4</v>
          </cell>
          <cell r="BQ1103">
            <v>344749.4</v>
          </cell>
          <cell r="BR1103">
            <v>1360408.85</v>
          </cell>
          <cell r="BT1103">
            <v>0</v>
          </cell>
          <cell r="CA1103" t="str">
            <v>CSMSUK - CONTRACT - Base</v>
          </cell>
          <cell r="CC1103" t="str">
            <v>CSMSUK - CONTRACT - Base - IS4</v>
          </cell>
          <cell r="CD1103" t="str">
            <v/>
          </cell>
          <cell r="CF1103" t="str">
            <v>CSMSUK - Base - IS4</v>
          </cell>
        </row>
        <row r="1104">
          <cell r="D1104">
            <v>1090</v>
          </cell>
          <cell r="E1104">
            <v>2</v>
          </cell>
          <cell r="F1104">
            <v>4</v>
          </cell>
          <cell r="G1104" t="str">
            <v>CSMSUK</v>
          </cell>
          <cell r="H1104" t="str">
            <v>CSMC AFCEC UK</v>
          </cell>
          <cell r="I1104" t="str">
            <v>IS4</v>
          </cell>
          <cell r="J1104" t="str">
            <v>IS4 Global Mission Solutions</v>
          </cell>
          <cell r="K1104" t="str">
            <v>Air Force</v>
          </cell>
          <cell r="L1104" t="str">
            <v>DOD</v>
          </cell>
          <cell r="M1104" t="str">
            <v>UK</v>
          </cell>
          <cell r="N1104" t="str">
            <v>OCONUS</v>
          </cell>
          <cell r="O1104">
            <v>0</v>
          </cell>
          <cell r="P1104">
            <v>0</v>
          </cell>
          <cell r="Q1104">
            <v>0</v>
          </cell>
          <cell r="R1104" t="str">
            <v>FFP</v>
          </cell>
          <cell r="S1104">
            <v>0</v>
          </cell>
          <cell r="T1104">
            <v>1</v>
          </cell>
          <cell r="U1104" t="str">
            <v>CONTRACT</v>
          </cell>
          <cell r="V1104" t="str">
            <v>Identified - Recompete</v>
          </cell>
          <cell r="W1104">
            <v>0</v>
          </cell>
          <cell r="X1104">
            <v>0</v>
          </cell>
          <cell r="Y1104">
            <v>0</v>
          </cell>
          <cell r="Z1104">
            <v>0</v>
          </cell>
          <cell r="AA1104">
            <v>0</v>
          </cell>
          <cell r="AB1104">
            <v>0</v>
          </cell>
          <cell r="AC1104">
            <v>0</v>
          </cell>
          <cell r="AD1104">
            <v>0</v>
          </cell>
          <cell r="AP1104">
            <v>0</v>
          </cell>
          <cell r="AQ1104">
            <v>0</v>
          </cell>
          <cell r="AR1104">
            <v>0</v>
          </cell>
          <cell r="AS1104">
            <v>0</v>
          </cell>
          <cell r="BI1104">
            <v>0</v>
          </cell>
          <cell r="BJ1104">
            <v>0</v>
          </cell>
          <cell r="BK1104">
            <v>0</v>
          </cell>
          <cell r="BL1104">
            <v>0</v>
          </cell>
          <cell r="BM1104">
            <v>0</v>
          </cell>
          <cell r="BN1104">
            <v>0</v>
          </cell>
          <cell r="BO1104">
            <v>0</v>
          </cell>
          <cell r="BP1104">
            <v>0</v>
          </cell>
          <cell r="BQ1104">
            <v>0</v>
          </cell>
          <cell r="BR1104">
            <v>0</v>
          </cell>
          <cell r="BT1104">
            <v>0</v>
          </cell>
          <cell r="CA1104" t="str">
            <v>CSMSUK - CONTRACT - Identified - Recompete</v>
          </cell>
          <cell r="CC1104" t="str">
            <v>CSMSUK - CONTRACT - Identified - Recompete - IS4</v>
          </cell>
          <cell r="CD1104" t="str">
            <v/>
          </cell>
          <cell r="CF1104" t="str">
            <v>CSMSUK - Identified - Recompete - IS4</v>
          </cell>
        </row>
        <row r="1105">
          <cell r="D1105">
            <v>1091</v>
          </cell>
          <cell r="E1105">
            <v>0</v>
          </cell>
          <cell r="F1105">
            <v>5</v>
          </cell>
          <cell r="G1105" t="str">
            <v>CSMSUK</v>
          </cell>
          <cell r="H1105" t="str">
            <v>CSMC AFCEC UK</v>
          </cell>
          <cell r="I1105" t="str">
            <v>IS4</v>
          </cell>
          <cell r="J1105" t="str">
            <v>IS4 Global Mission Solutions</v>
          </cell>
          <cell r="K1105" t="str">
            <v>Air Force</v>
          </cell>
          <cell r="L1105" t="str">
            <v>DOD</v>
          </cell>
          <cell r="M1105" t="str">
            <v>UK</v>
          </cell>
          <cell r="N1105" t="str">
            <v>OCONUS</v>
          </cell>
          <cell r="O1105">
            <v>43008</v>
          </cell>
          <cell r="P1105">
            <v>45198</v>
          </cell>
          <cell r="Q1105" t="str">
            <v>Prime</v>
          </cell>
          <cell r="R1105" t="str">
            <v>FFP</v>
          </cell>
          <cell r="S1105">
            <v>0</v>
          </cell>
          <cell r="T1105">
            <v>1</v>
          </cell>
          <cell r="U1105" t="str">
            <v>EBITA</v>
          </cell>
          <cell r="V1105" t="str">
            <v>Base</v>
          </cell>
          <cell r="W1105" t="str">
            <v>05 Won</v>
          </cell>
          <cell r="X1105" t="str">
            <v>Active</v>
          </cell>
          <cell r="Y1105">
            <v>1</v>
          </cell>
          <cell r="Z1105">
            <v>0</v>
          </cell>
          <cell r="AA1105">
            <v>1471273.02</v>
          </cell>
          <cell r="AB1105">
            <v>21337996.420000002</v>
          </cell>
          <cell r="AC1105">
            <v>0</v>
          </cell>
          <cell r="AD1105">
            <v>22809269.440000001</v>
          </cell>
          <cell r="AT1105">
            <v>0</v>
          </cell>
          <cell r="AU1105">
            <v>0</v>
          </cell>
          <cell r="AV1105">
            <v>0.50904292111790328</v>
          </cell>
          <cell r="AW1105">
            <v>-3.5488639577637406</v>
          </cell>
          <cell r="AX1105">
            <v>8.6554645771901431E-2</v>
          </cell>
          <cell r="AY1105">
            <v>8.7554645771901432E-2</v>
          </cell>
          <cell r="AZ1105">
            <v>8.8554645771901433E-2</v>
          </cell>
          <cell r="BA1105">
            <v>8.9554645771901434E-2</v>
          </cell>
          <cell r="BF1105">
            <v>0</v>
          </cell>
          <cell r="BG1105">
            <v>0</v>
          </cell>
          <cell r="BH1105">
            <v>450226.3</v>
          </cell>
          <cell r="BI1105">
            <v>-16961.28</v>
          </cell>
          <cell r="BJ1105">
            <v>-4448.45</v>
          </cell>
          <cell r="BK1105">
            <v>706.19</v>
          </cell>
          <cell r="BL1105">
            <v>0</v>
          </cell>
          <cell r="BM1105">
            <v>-20703.54</v>
          </cell>
          <cell r="BN1105">
            <v>192003.82449722587</v>
          </cell>
          <cell r="BO1105">
            <v>194222.12049722587</v>
          </cell>
          <cell r="BP1105">
            <v>196440.41649722587</v>
          </cell>
          <cell r="BQ1105">
            <v>198658.71249722588</v>
          </cell>
          <cell r="BR1105">
            <v>760621.53398890339</v>
          </cell>
          <cell r="BT1105">
            <v>0</v>
          </cell>
          <cell r="CA1105" t="str">
            <v>CSMSUK - EBITA - Base</v>
          </cell>
          <cell r="CC1105" t="str">
            <v>CSMSUK - EBITA - Base - IS4</v>
          </cell>
          <cell r="CD1105" t="str">
            <v/>
          </cell>
          <cell r="CF1105" t="str">
            <v>CSMSUK - Base - IS4</v>
          </cell>
        </row>
        <row r="1106">
          <cell r="D1106">
            <v>1092</v>
          </cell>
          <cell r="E1106">
            <v>0</v>
          </cell>
          <cell r="F1106">
            <v>0</v>
          </cell>
          <cell r="G1106" t="str">
            <v>CSMSUK</v>
          </cell>
          <cell r="H1106" t="str">
            <v>CSMC AFCEC UK</v>
          </cell>
          <cell r="I1106" t="str">
            <v>IS4</v>
          </cell>
          <cell r="J1106" t="str">
            <v>IS4 Global Mission Solutions</v>
          </cell>
          <cell r="K1106" t="str">
            <v>Air Force</v>
          </cell>
          <cell r="L1106" t="str">
            <v>DOD</v>
          </cell>
          <cell r="M1106" t="str">
            <v>UK</v>
          </cell>
          <cell r="N1106" t="str">
            <v>OCONUS</v>
          </cell>
          <cell r="O1106">
            <v>0</v>
          </cell>
          <cell r="P1106">
            <v>0</v>
          </cell>
          <cell r="Q1106">
            <v>0</v>
          </cell>
          <cell r="R1106" t="str">
            <v>FFP</v>
          </cell>
          <cell r="S1106">
            <v>0</v>
          </cell>
          <cell r="T1106">
            <v>1</v>
          </cell>
          <cell r="U1106" t="str">
            <v>EBITA</v>
          </cell>
          <cell r="V1106" t="str">
            <v>Identified - Recompete</v>
          </cell>
          <cell r="W1106">
            <v>0</v>
          </cell>
          <cell r="X1106">
            <v>0</v>
          </cell>
          <cell r="Y1106">
            <v>0</v>
          </cell>
          <cell r="Z1106">
            <v>0</v>
          </cell>
          <cell r="AA1106">
            <v>0</v>
          </cell>
          <cell r="AB1106">
            <v>0</v>
          </cell>
          <cell r="AC1106">
            <v>0</v>
          </cell>
          <cell r="AD1106">
            <v>0</v>
          </cell>
          <cell r="AX1106">
            <v>0</v>
          </cell>
          <cell r="AY1106">
            <v>0</v>
          </cell>
          <cell r="AZ1106">
            <v>0</v>
          </cell>
          <cell r="BA1106">
            <v>0</v>
          </cell>
          <cell r="BI1106">
            <v>0</v>
          </cell>
          <cell r="BJ1106">
            <v>0</v>
          </cell>
          <cell r="BK1106">
            <v>0</v>
          </cell>
          <cell r="BL1106">
            <v>0</v>
          </cell>
          <cell r="BM1106">
            <v>0</v>
          </cell>
          <cell r="BN1106">
            <v>0</v>
          </cell>
          <cell r="BO1106">
            <v>0</v>
          </cell>
          <cell r="BP1106">
            <v>0</v>
          </cell>
          <cell r="BQ1106">
            <v>0</v>
          </cell>
          <cell r="BR1106">
            <v>0</v>
          </cell>
          <cell r="BT1106">
            <v>0</v>
          </cell>
          <cell r="CA1106" t="str">
            <v>CSMSUK - EBITA - Identified - Recompete</v>
          </cell>
          <cell r="CC1106" t="str">
            <v>CSMSUK - EBITA - Identified - Recompete - IS4</v>
          </cell>
          <cell r="CD1106" t="str">
            <v/>
          </cell>
          <cell r="CF1106" t="str">
            <v>CSMSUK - Identified - Recompete - IS4</v>
          </cell>
        </row>
        <row r="1107">
          <cell r="D1107">
            <v>1093</v>
          </cell>
          <cell r="E1107">
            <v>1</v>
          </cell>
          <cell r="F1107">
            <v>1</v>
          </cell>
          <cell r="G1107" t="str">
            <v>NWC2CO</v>
          </cell>
          <cell r="H1107" t="str">
            <v>NIWDC C2/CO</v>
          </cell>
          <cell r="I1107" t="str">
            <v>IS4</v>
          </cell>
          <cell r="J1107" t="str">
            <v>IS4 Spectrum &amp; Infrastructure Assurance</v>
          </cell>
          <cell r="K1107" t="str">
            <v>Navy</v>
          </cell>
          <cell r="L1107" t="str">
            <v>DOD</v>
          </cell>
          <cell r="M1107" t="str">
            <v>VA</v>
          </cell>
          <cell r="N1107" t="str">
            <v>CONUS</v>
          </cell>
          <cell r="O1107">
            <v>43371</v>
          </cell>
          <cell r="P1107">
            <v>43735</v>
          </cell>
          <cell r="Q1107" t="str">
            <v>Sub</v>
          </cell>
          <cell r="R1107" t="str">
            <v>FFP</v>
          </cell>
          <cell r="S1107">
            <v>0</v>
          </cell>
          <cell r="T1107">
            <v>1</v>
          </cell>
          <cell r="U1107" t="str">
            <v>REVTOT</v>
          </cell>
          <cell r="V1107" t="str">
            <v>Base</v>
          </cell>
          <cell r="W1107" t="str">
            <v>05 Won</v>
          </cell>
          <cell r="X1107" t="str">
            <v>Active</v>
          </cell>
          <cell r="Y1107">
            <v>1</v>
          </cell>
          <cell r="Z1107">
            <v>0</v>
          </cell>
          <cell r="AA1107">
            <v>62946.770000000164</v>
          </cell>
          <cell r="AB1107">
            <v>758387.87999999989</v>
          </cell>
          <cell r="AC1107">
            <v>0</v>
          </cell>
          <cell r="AD1107">
            <v>821334.65</v>
          </cell>
          <cell r="AE1107">
            <v>0</v>
          </cell>
          <cell r="AF1107">
            <v>0</v>
          </cell>
          <cell r="AG1107">
            <v>0</v>
          </cell>
          <cell r="AH1107">
            <v>-2.5581852161792429E-2</v>
          </cell>
          <cell r="AI1107">
            <v>0</v>
          </cell>
          <cell r="AJ1107">
            <v>0</v>
          </cell>
          <cell r="AK1107">
            <v>0</v>
          </cell>
          <cell r="BB1107">
            <v>868866.67999999993</v>
          </cell>
          <cell r="BC1107">
            <v>868866.67999999993</v>
          </cell>
          <cell r="BD1107">
            <v>868866.67999999993</v>
          </cell>
          <cell r="BE1107">
            <v>868866.67999999993</v>
          </cell>
          <cell r="BF1107">
            <v>0</v>
          </cell>
          <cell r="BG1107">
            <v>0</v>
          </cell>
          <cell r="BH1107">
            <v>0</v>
          </cell>
          <cell r="BI1107">
            <v>128966.16</v>
          </cell>
          <cell r="BJ1107">
            <v>181002</v>
          </cell>
          <cell r="BK1107">
            <v>207677.39</v>
          </cell>
          <cell r="BL1107">
            <v>325251.98</v>
          </cell>
          <cell r="BM1107">
            <v>842897.53</v>
          </cell>
          <cell r="BN1107">
            <v>821334.65</v>
          </cell>
          <cell r="BO1107">
            <v>0</v>
          </cell>
          <cell r="BP1107">
            <v>0</v>
          </cell>
          <cell r="BQ1107">
            <v>0</v>
          </cell>
          <cell r="BR1107">
            <v>1664232.1800000002</v>
          </cell>
          <cell r="BT1107">
            <v>0</v>
          </cell>
          <cell r="CA1107" t="str">
            <v>NWC2CO - REVTOT - Base</v>
          </cell>
          <cell r="CC1107" t="str">
            <v>NWC2CO - REVTOT - Base - IS4</v>
          </cell>
          <cell r="CD1107" t="str">
            <v/>
          </cell>
          <cell r="CF1107" t="str">
            <v>NWC2CO - Base - IS4</v>
          </cell>
        </row>
        <row r="1108">
          <cell r="D1108">
            <v>1094</v>
          </cell>
          <cell r="E1108">
            <v>1</v>
          </cell>
          <cell r="F1108">
            <v>2</v>
          </cell>
          <cell r="G1108" t="str">
            <v>NWC2CO</v>
          </cell>
          <cell r="H1108" t="str">
            <v>NIWDC C2/CO</v>
          </cell>
          <cell r="I1108" t="str">
            <v>IS4</v>
          </cell>
          <cell r="J1108" t="str">
            <v>IS4 Spectrum &amp; Infrastructure Assurance</v>
          </cell>
          <cell r="K1108" t="str">
            <v>Navy</v>
          </cell>
          <cell r="L1108" t="str">
            <v>DOD</v>
          </cell>
          <cell r="M1108" t="str">
            <v>VA</v>
          </cell>
          <cell r="N1108" t="str">
            <v>CONUS</v>
          </cell>
          <cell r="O1108">
            <v>0</v>
          </cell>
          <cell r="P1108">
            <v>0</v>
          </cell>
          <cell r="Q1108">
            <v>0</v>
          </cell>
          <cell r="R1108" t="str">
            <v>FFP</v>
          </cell>
          <cell r="S1108">
            <v>0</v>
          </cell>
          <cell r="T1108">
            <v>1</v>
          </cell>
          <cell r="U1108" t="str">
            <v>REVTOT</v>
          </cell>
          <cell r="V1108" t="str">
            <v>Identified - Recompete</v>
          </cell>
          <cell r="W1108">
            <v>0</v>
          </cell>
          <cell r="X1108">
            <v>0</v>
          </cell>
          <cell r="Y1108">
            <v>0</v>
          </cell>
          <cell r="Z1108">
            <v>0</v>
          </cell>
          <cell r="AA1108">
            <v>0</v>
          </cell>
          <cell r="AB1108">
            <v>0</v>
          </cell>
          <cell r="AC1108">
            <v>0</v>
          </cell>
          <cell r="AD1108">
            <v>0</v>
          </cell>
          <cell r="AI1108">
            <v>0</v>
          </cell>
          <cell r="AJ1108">
            <v>0</v>
          </cell>
          <cell r="AK1108">
            <v>0</v>
          </cell>
          <cell r="BB1108">
            <v>0</v>
          </cell>
          <cell r="BC1108">
            <v>0</v>
          </cell>
          <cell r="BD1108">
            <v>0</v>
          </cell>
          <cell r="BE1108">
            <v>0</v>
          </cell>
          <cell r="BI1108">
            <v>0</v>
          </cell>
          <cell r="BJ1108">
            <v>0</v>
          </cell>
          <cell r="BK1108">
            <v>0</v>
          </cell>
          <cell r="BL1108">
            <v>0</v>
          </cell>
          <cell r="BM1108">
            <v>0</v>
          </cell>
          <cell r="BN1108">
            <v>0</v>
          </cell>
          <cell r="BO1108">
            <v>0</v>
          </cell>
          <cell r="BP1108">
            <v>0</v>
          </cell>
          <cell r="BQ1108">
            <v>0</v>
          </cell>
          <cell r="BR1108">
            <v>0</v>
          </cell>
          <cell r="BT1108">
            <v>0</v>
          </cell>
          <cell r="CA1108" t="str">
            <v>NWC2CO - REVTOT - Identified - Recompete</v>
          </cell>
          <cell r="CC1108" t="str">
            <v>NWC2CO - REVTOT - Identified - Recompete - IS4</v>
          </cell>
          <cell r="CD1108" t="str">
            <v/>
          </cell>
          <cell r="CF1108" t="str">
            <v>NWC2CO - Identified - Recompete - IS4</v>
          </cell>
        </row>
        <row r="1109">
          <cell r="D1109">
            <v>1095</v>
          </cell>
          <cell r="E1109">
            <v>2</v>
          </cell>
          <cell r="F1109">
            <v>3</v>
          </cell>
          <cell r="G1109" t="str">
            <v>NWC2CO</v>
          </cell>
          <cell r="H1109" t="str">
            <v>NIWDC C2/CO</v>
          </cell>
          <cell r="I1109" t="str">
            <v>IS4</v>
          </cell>
          <cell r="J1109" t="str">
            <v>IS4 Spectrum &amp; Infrastructure Assurance</v>
          </cell>
          <cell r="K1109" t="str">
            <v>Navy</v>
          </cell>
          <cell r="L1109" t="str">
            <v>DOD</v>
          </cell>
          <cell r="M1109" t="str">
            <v>VA</v>
          </cell>
          <cell r="N1109" t="str">
            <v>CONUS</v>
          </cell>
          <cell r="O1109">
            <v>43371</v>
          </cell>
          <cell r="P1109">
            <v>43735</v>
          </cell>
          <cell r="Q1109" t="str">
            <v>Sub</v>
          </cell>
          <cell r="R1109" t="str">
            <v>FFP</v>
          </cell>
          <cell r="S1109">
            <v>0</v>
          </cell>
          <cell r="T1109">
            <v>1</v>
          </cell>
          <cell r="U1109" t="str">
            <v>CONTRACT</v>
          </cell>
          <cell r="V1109" t="str">
            <v>Base</v>
          </cell>
          <cell r="W1109" t="str">
            <v>05 Won</v>
          </cell>
          <cell r="X1109" t="str">
            <v>Active</v>
          </cell>
          <cell r="Y1109">
            <v>1</v>
          </cell>
          <cell r="Z1109">
            <v>0</v>
          </cell>
          <cell r="AA1109">
            <v>62946.770000000164</v>
          </cell>
          <cell r="AB1109">
            <v>758387.87999999989</v>
          </cell>
          <cell r="AC1109">
            <v>0</v>
          </cell>
          <cell r="AD1109">
            <v>821334.65</v>
          </cell>
          <cell r="AL1109">
            <v>0</v>
          </cell>
          <cell r="AM1109">
            <v>0</v>
          </cell>
          <cell r="AN1109">
            <v>0</v>
          </cell>
          <cell r="AO1109">
            <v>0.34557067690066673</v>
          </cell>
          <cell r="AP1109">
            <v>0.24177569217868961</v>
          </cell>
          <cell r="AQ1109">
            <v>0.24177569217868961</v>
          </cell>
          <cell r="AR1109">
            <v>0.24177569217868961</v>
          </cell>
          <cell r="AS1109">
            <v>0.24177569217868961</v>
          </cell>
          <cell r="BF1109">
            <v>0</v>
          </cell>
          <cell r="BG1109">
            <v>0</v>
          </cell>
          <cell r="BH1109">
            <v>0</v>
          </cell>
          <cell r="BI1109">
            <v>48643.5</v>
          </cell>
          <cell r="BJ1109">
            <v>67977.75</v>
          </cell>
          <cell r="BK1109">
            <v>76865.01999999999</v>
          </cell>
          <cell r="BL1109">
            <v>97794.400000000023</v>
          </cell>
          <cell r="BM1109">
            <v>291280.67000000004</v>
          </cell>
          <cell r="BN1109">
            <v>198578.75351409178</v>
          </cell>
          <cell r="BO1109">
            <v>0</v>
          </cell>
          <cell r="BP1109">
            <v>0</v>
          </cell>
          <cell r="BQ1109">
            <v>0</v>
          </cell>
          <cell r="BR1109">
            <v>489859.42351409182</v>
          </cell>
          <cell r="BT1109">
            <v>0</v>
          </cell>
          <cell r="CA1109" t="str">
            <v>NWC2CO - CONTRACT - Base</v>
          </cell>
          <cell r="CC1109" t="str">
            <v>NWC2CO - CONTRACT - Base - IS4</v>
          </cell>
          <cell r="CD1109" t="str">
            <v/>
          </cell>
          <cell r="CF1109" t="str">
            <v>NWC2CO - Base - IS4</v>
          </cell>
        </row>
        <row r="1110">
          <cell r="D1110">
            <v>1096</v>
          </cell>
          <cell r="E1110">
            <v>2</v>
          </cell>
          <cell r="F1110">
            <v>4</v>
          </cell>
          <cell r="G1110" t="str">
            <v>NWC2CO</v>
          </cell>
          <cell r="H1110" t="str">
            <v>NIWDC C2/CO</v>
          </cell>
          <cell r="I1110" t="str">
            <v>IS4</v>
          </cell>
          <cell r="J1110" t="str">
            <v>IS4 Spectrum &amp; Infrastructure Assurance</v>
          </cell>
          <cell r="K1110" t="str">
            <v>Navy</v>
          </cell>
          <cell r="L1110" t="str">
            <v>DOD</v>
          </cell>
          <cell r="M1110" t="str">
            <v>VA</v>
          </cell>
          <cell r="N1110" t="str">
            <v>CONUS</v>
          </cell>
          <cell r="O1110">
            <v>0</v>
          </cell>
          <cell r="P1110">
            <v>0</v>
          </cell>
          <cell r="Q1110">
            <v>0</v>
          </cell>
          <cell r="R1110" t="str">
            <v>FFP</v>
          </cell>
          <cell r="S1110">
            <v>0</v>
          </cell>
          <cell r="T1110">
            <v>1</v>
          </cell>
          <cell r="U1110" t="str">
            <v>CONTRACT</v>
          </cell>
          <cell r="V1110" t="str">
            <v>Identified - Recompete</v>
          </cell>
          <cell r="W1110">
            <v>0</v>
          </cell>
          <cell r="X1110">
            <v>0</v>
          </cell>
          <cell r="Y1110">
            <v>0</v>
          </cell>
          <cell r="Z1110">
            <v>0</v>
          </cell>
          <cell r="AA1110">
            <v>0</v>
          </cell>
          <cell r="AB1110">
            <v>0</v>
          </cell>
          <cell r="AC1110">
            <v>0</v>
          </cell>
          <cell r="AD1110">
            <v>0</v>
          </cell>
          <cell r="AP1110">
            <v>0</v>
          </cell>
          <cell r="AQ1110">
            <v>0</v>
          </cell>
          <cell r="AR1110">
            <v>0</v>
          </cell>
          <cell r="AS1110">
            <v>0</v>
          </cell>
          <cell r="BI1110">
            <v>0</v>
          </cell>
          <cell r="BJ1110">
            <v>0</v>
          </cell>
          <cell r="BK1110">
            <v>0</v>
          </cell>
          <cell r="BL1110">
            <v>0</v>
          </cell>
          <cell r="BM1110">
            <v>0</v>
          </cell>
          <cell r="BN1110">
            <v>0</v>
          </cell>
          <cell r="BO1110">
            <v>0</v>
          </cell>
          <cell r="BP1110">
            <v>0</v>
          </cell>
          <cell r="BQ1110">
            <v>0</v>
          </cell>
          <cell r="BR1110">
            <v>0</v>
          </cell>
          <cell r="BT1110">
            <v>0</v>
          </cell>
          <cell r="CA1110" t="str">
            <v>NWC2CO - CONTRACT - Identified - Recompete</v>
          </cell>
          <cell r="CC1110" t="str">
            <v>NWC2CO - CONTRACT - Identified - Recompete - IS4</v>
          </cell>
          <cell r="CD1110" t="str">
            <v/>
          </cell>
          <cell r="CF1110" t="str">
            <v>NWC2CO - Identified - Recompete - IS4</v>
          </cell>
        </row>
        <row r="1111">
          <cell r="D1111">
            <v>1097</v>
          </cell>
          <cell r="E1111">
            <v>0</v>
          </cell>
          <cell r="F1111">
            <v>5</v>
          </cell>
          <cell r="G1111" t="str">
            <v>NWC2CO</v>
          </cell>
          <cell r="H1111" t="str">
            <v>NIWDC C2/CO</v>
          </cell>
          <cell r="I1111" t="str">
            <v>IS4</v>
          </cell>
          <cell r="J1111" t="str">
            <v>IS4 Spectrum &amp; Infrastructure Assurance</v>
          </cell>
          <cell r="K1111" t="str">
            <v>Navy</v>
          </cell>
          <cell r="L1111" t="str">
            <v>DOD</v>
          </cell>
          <cell r="M1111" t="str">
            <v>VA</v>
          </cell>
          <cell r="N1111" t="str">
            <v>CONUS</v>
          </cell>
          <cell r="O1111">
            <v>43371</v>
          </cell>
          <cell r="P1111">
            <v>43735</v>
          </cell>
          <cell r="Q1111" t="str">
            <v>Sub</v>
          </cell>
          <cell r="R1111" t="str">
            <v>FFP</v>
          </cell>
          <cell r="S1111">
            <v>0</v>
          </cell>
          <cell r="T1111">
            <v>1</v>
          </cell>
          <cell r="U1111" t="str">
            <v>EBITA</v>
          </cell>
          <cell r="V1111" t="str">
            <v>Base</v>
          </cell>
          <cell r="W1111" t="str">
            <v>05 Won</v>
          </cell>
          <cell r="X1111" t="str">
            <v>Active</v>
          </cell>
          <cell r="Y1111">
            <v>1</v>
          </cell>
          <cell r="Z1111">
            <v>0</v>
          </cell>
          <cell r="AA1111">
            <v>62946.770000000164</v>
          </cell>
          <cell r="AB1111">
            <v>758387.87999999989</v>
          </cell>
          <cell r="AC1111">
            <v>0</v>
          </cell>
          <cell r="AD1111">
            <v>821334.65</v>
          </cell>
          <cell r="AT1111">
            <v>0</v>
          </cell>
          <cell r="AU1111">
            <v>0</v>
          </cell>
          <cell r="AV1111">
            <v>0</v>
          </cell>
          <cell r="AW1111">
            <v>0.2466160269801716</v>
          </cell>
          <cell r="AX1111">
            <v>0.11966903309208085</v>
          </cell>
          <cell r="AY1111">
            <v>0.12066903309208085</v>
          </cell>
          <cell r="AZ1111">
            <v>0.12166903309208085</v>
          </cell>
          <cell r="BA1111">
            <v>0.12266903309208085</v>
          </cell>
          <cell r="BF1111">
            <v>0</v>
          </cell>
          <cell r="BG1111">
            <v>0</v>
          </cell>
          <cell r="BH1111">
            <v>0</v>
          </cell>
          <cell r="BI1111">
            <v>35187.129999999997</v>
          </cell>
          <cell r="BJ1111">
            <v>49384.580000000009</v>
          </cell>
          <cell r="BK1111">
            <v>55403.159999999989</v>
          </cell>
          <cell r="BL1111">
            <v>67897.170000000013</v>
          </cell>
          <cell r="BM1111">
            <v>207872.04</v>
          </cell>
          <cell r="BN1111">
            <v>98288.323410522644</v>
          </cell>
          <cell r="BO1111">
            <v>0</v>
          </cell>
          <cell r="BP1111">
            <v>0</v>
          </cell>
          <cell r="BQ1111">
            <v>0</v>
          </cell>
          <cell r="BR1111">
            <v>306160.36341052264</v>
          </cell>
          <cell r="BT1111">
            <v>0</v>
          </cell>
          <cell r="CA1111" t="str">
            <v>NWC2CO - EBITA - Base</v>
          </cell>
          <cell r="CC1111" t="str">
            <v>NWC2CO - EBITA - Base - IS4</v>
          </cell>
          <cell r="CD1111" t="str">
            <v/>
          </cell>
          <cell r="CF1111" t="str">
            <v>NWC2CO - Base - IS4</v>
          </cell>
        </row>
        <row r="1112">
          <cell r="D1112">
            <v>1098</v>
          </cell>
          <cell r="E1112">
            <v>0</v>
          </cell>
          <cell r="F1112">
            <v>0</v>
          </cell>
          <cell r="G1112" t="str">
            <v>NWC2CO</v>
          </cell>
          <cell r="H1112" t="str">
            <v>NIWDC C2/CO</v>
          </cell>
          <cell r="I1112" t="str">
            <v>IS4</v>
          </cell>
          <cell r="J1112" t="str">
            <v>IS4 Spectrum &amp; Infrastructure Assurance</v>
          </cell>
          <cell r="K1112" t="str">
            <v>Navy</v>
          </cell>
          <cell r="L1112" t="str">
            <v>DOD</v>
          </cell>
          <cell r="M1112" t="str">
            <v>VA</v>
          </cell>
          <cell r="N1112" t="str">
            <v>CONUS</v>
          </cell>
          <cell r="O1112">
            <v>0</v>
          </cell>
          <cell r="P1112">
            <v>0</v>
          </cell>
          <cell r="Q1112">
            <v>0</v>
          </cell>
          <cell r="R1112" t="str">
            <v>FFP</v>
          </cell>
          <cell r="S1112">
            <v>0</v>
          </cell>
          <cell r="T1112">
            <v>1</v>
          </cell>
          <cell r="U1112" t="str">
            <v>EBITA</v>
          </cell>
          <cell r="V1112" t="str">
            <v>Identified - Recompete</v>
          </cell>
          <cell r="W1112">
            <v>0</v>
          </cell>
          <cell r="X1112">
            <v>0</v>
          </cell>
          <cell r="Y1112">
            <v>0</v>
          </cell>
          <cell r="Z1112">
            <v>0</v>
          </cell>
          <cell r="AA1112">
            <v>0</v>
          </cell>
          <cell r="AB1112">
            <v>0</v>
          </cell>
          <cell r="AC1112">
            <v>0</v>
          </cell>
          <cell r="AD1112">
            <v>0</v>
          </cell>
          <cell r="AX1112">
            <v>0</v>
          </cell>
          <cell r="AY1112">
            <v>0</v>
          </cell>
          <cell r="AZ1112">
            <v>0</v>
          </cell>
          <cell r="BA1112">
            <v>0</v>
          </cell>
          <cell r="BI1112">
            <v>0</v>
          </cell>
          <cell r="BJ1112">
            <v>0</v>
          </cell>
          <cell r="BK1112">
            <v>0</v>
          </cell>
          <cell r="BL1112">
            <v>0</v>
          </cell>
          <cell r="BM1112">
            <v>0</v>
          </cell>
          <cell r="BN1112">
            <v>0</v>
          </cell>
          <cell r="BO1112">
            <v>0</v>
          </cell>
          <cell r="BP1112">
            <v>0</v>
          </cell>
          <cell r="BQ1112">
            <v>0</v>
          </cell>
          <cell r="BR1112">
            <v>0</v>
          </cell>
          <cell r="BT1112">
            <v>0</v>
          </cell>
          <cell r="CA1112" t="str">
            <v>NWC2CO - EBITA - Identified - Recompete</v>
          </cell>
          <cell r="CC1112" t="str">
            <v>NWC2CO - EBITA - Identified - Recompete - IS4</v>
          </cell>
          <cell r="CD1112" t="str">
            <v/>
          </cell>
          <cell r="CF1112" t="str">
            <v>NWC2CO - Identified - Recompete - IS4</v>
          </cell>
        </row>
        <row r="1113">
          <cell r="D1113">
            <v>1099</v>
          </cell>
          <cell r="E1113">
            <v>1</v>
          </cell>
          <cell r="F1113">
            <v>1</v>
          </cell>
          <cell r="G1113" t="str">
            <v>CP3038</v>
          </cell>
          <cell r="H1113" t="str">
            <v>TRSS</v>
          </cell>
          <cell r="I1113" t="str">
            <v>IS4</v>
          </cell>
          <cell r="J1113" t="str">
            <v>IS4 Global Mission Solutions</v>
          </cell>
          <cell r="K1113" t="str">
            <v>Classified Agency</v>
          </cell>
          <cell r="L1113" t="str">
            <v>Classified</v>
          </cell>
          <cell r="M1113" t="str">
            <v>US_State</v>
          </cell>
          <cell r="N1113" t="str">
            <v>CONUS</v>
          </cell>
          <cell r="O1113">
            <v>43374</v>
          </cell>
          <cell r="P1113">
            <v>43738</v>
          </cell>
          <cell r="Q1113" t="str">
            <v>Sub</v>
          </cell>
          <cell r="R1113" t="str">
            <v>FFP</v>
          </cell>
          <cell r="S1113">
            <v>0</v>
          </cell>
          <cell r="T1113">
            <v>1</v>
          </cell>
          <cell r="U1113" t="str">
            <v>REVTOT</v>
          </cell>
          <cell r="V1113" t="str">
            <v>Base</v>
          </cell>
          <cell r="W1113" t="str">
            <v>05 Won</v>
          </cell>
          <cell r="X1113" t="str">
            <v>Active</v>
          </cell>
          <cell r="Y1113">
            <v>1</v>
          </cell>
          <cell r="Z1113">
            <v>0</v>
          </cell>
          <cell r="AA1113">
            <v>638029.80509999965</v>
          </cell>
          <cell r="AB1113">
            <v>224708</v>
          </cell>
          <cell r="AC1113">
            <v>0</v>
          </cell>
          <cell r="AD1113">
            <v>862737.80509999965</v>
          </cell>
          <cell r="AE1113">
            <v>5.9785409521286672</v>
          </cell>
          <cell r="AF1113">
            <v>-0.51569571051407581</v>
          </cell>
          <cell r="AG1113">
            <v>1.1406075137699876</v>
          </cell>
          <cell r="AH1113">
            <v>-0.67722808538728474</v>
          </cell>
          <cell r="AI1113">
            <v>0</v>
          </cell>
          <cell r="AJ1113">
            <v>0</v>
          </cell>
          <cell r="AK1113">
            <v>0</v>
          </cell>
          <cell r="BB1113">
            <v>500000</v>
          </cell>
          <cell r="BC1113">
            <v>500000</v>
          </cell>
          <cell r="BD1113">
            <v>500000</v>
          </cell>
          <cell r="BE1113">
            <v>500000</v>
          </cell>
          <cell r="BF1113">
            <v>214118.53999999998</v>
          </cell>
          <cell r="BG1113">
            <v>1494235</v>
          </cell>
          <cell r="BH1113">
            <v>723664.41999999993</v>
          </cell>
          <cell r="BI1113">
            <v>100658.55</v>
          </cell>
          <cell r="BJ1113">
            <v>69277.78</v>
          </cell>
          <cell r="BK1113">
            <v>321922.57</v>
          </cell>
          <cell r="BL1113">
            <v>1057222.5948999999</v>
          </cell>
          <cell r="BM1113">
            <v>1549081.4948999998</v>
          </cell>
          <cell r="BN1113">
            <v>500000</v>
          </cell>
          <cell r="BO1113">
            <v>362737.80509999965</v>
          </cell>
          <cell r="BP1113">
            <v>0</v>
          </cell>
          <cell r="BQ1113">
            <v>0</v>
          </cell>
          <cell r="BR1113">
            <v>2411819.2999999993</v>
          </cell>
          <cell r="BT1113">
            <v>0</v>
          </cell>
          <cell r="CA1113" t="str">
            <v>CP3038 - REVTOT - Base</v>
          </cell>
          <cell r="CC1113" t="str">
            <v>CP3038 - REVTOT - Base - IS4</v>
          </cell>
          <cell r="CD1113" t="str">
            <v/>
          </cell>
          <cell r="CF1113" t="str">
            <v>CP3038 - Base - IS4</v>
          </cell>
        </row>
        <row r="1114">
          <cell r="D1114">
            <v>1100</v>
          </cell>
          <cell r="E1114">
            <v>1</v>
          </cell>
          <cell r="F1114">
            <v>2</v>
          </cell>
          <cell r="G1114" t="str">
            <v>CP3038</v>
          </cell>
          <cell r="H1114" t="str">
            <v>TRSS</v>
          </cell>
          <cell r="I1114" t="str">
            <v>IS4</v>
          </cell>
          <cell r="J1114" t="str">
            <v>IS4 Global Mission Solutions</v>
          </cell>
          <cell r="K1114" t="str">
            <v>Classified Agency</v>
          </cell>
          <cell r="L1114" t="str">
            <v>Classified</v>
          </cell>
          <cell r="M1114" t="str">
            <v>US_State</v>
          </cell>
          <cell r="N1114" t="str">
            <v>CONUS</v>
          </cell>
          <cell r="O1114">
            <v>44046</v>
          </cell>
          <cell r="P1114">
            <v>45872</v>
          </cell>
          <cell r="Q1114" t="str">
            <v>Prime</v>
          </cell>
          <cell r="R1114" t="str">
            <v>FFP</v>
          </cell>
          <cell r="S1114">
            <v>0</v>
          </cell>
          <cell r="T1114">
            <v>1</v>
          </cell>
          <cell r="U1114" t="str">
            <v>REVTOT</v>
          </cell>
          <cell r="V1114" t="str">
            <v>Identified - Recompete</v>
          </cell>
          <cell r="W1114" t="str">
            <v>01 Prospect</v>
          </cell>
          <cell r="X1114" t="str">
            <v>Priority 2</v>
          </cell>
          <cell r="Y1114">
            <v>0.5</v>
          </cell>
          <cell r="Z1114">
            <v>0</v>
          </cell>
          <cell r="AA1114">
            <v>0</v>
          </cell>
          <cell r="AB1114">
            <v>0</v>
          </cell>
          <cell r="AC1114">
            <v>0</v>
          </cell>
          <cell r="AD1114">
            <v>0</v>
          </cell>
          <cell r="AI1114">
            <v>0</v>
          </cell>
          <cell r="AJ1114">
            <v>0</v>
          </cell>
          <cell r="AK1114">
            <v>0</v>
          </cell>
          <cell r="BB1114">
            <v>0</v>
          </cell>
          <cell r="BC1114">
            <v>0</v>
          </cell>
          <cell r="BD1114">
            <v>0</v>
          </cell>
          <cell r="BE1114">
            <v>0</v>
          </cell>
          <cell r="BI1114">
            <v>0</v>
          </cell>
          <cell r="BJ1114">
            <v>0</v>
          </cell>
          <cell r="BK1114">
            <v>0</v>
          </cell>
          <cell r="BL1114">
            <v>0</v>
          </cell>
          <cell r="BM1114">
            <v>0</v>
          </cell>
          <cell r="BN1114">
            <v>0</v>
          </cell>
          <cell r="BO1114">
            <v>0</v>
          </cell>
          <cell r="BP1114">
            <v>0</v>
          </cell>
          <cell r="BQ1114">
            <v>0</v>
          </cell>
          <cell r="BR1114">
            <v>0</v>
          </cell>
          <cell r="BT1114">
            <v>0</v>
          </cell>
          <cell r="CA1114" t="str">
            <v>CP3038 - REVTOT - Identified - Recompete</v>
          </cell>
          <cell r="CC1114" t="str">
            <v>CP3038 - REVTOT - Identified - Recompete - IS4</v>
          </cell>
          <cell r="CD1114" t="str">
            <v/>
          </cell>
          <cell r="CF1114" t="str">
            <v>CP3038 - Identified - Recompete - IS4</v>
          </cell>
        </row>
        <row r="1115">
          <cell r="D1115">
            <v>1101</v>
          </cell>
          <cell r="E1115">
            <v>2</v>
          </cell>
          <cell r="F1115">
            <v>3</v>
          </cell>
          <cell r="G1115" t="str">
            <v>CP3038</v>
          </cell>
          <cell r="H1115" t="str">
            <v>TRSS</v>
          </cell>
          <cell r="I1115" t="str">
            <v>IS4</v>
          </cell>
          <cell r="J1115" t="str">
            <v>IS4 Global Mission Solutions</v>
          </cell>
          <cell r="K1115" t="str">
            <v>Classified Agency</v>
          </cell>
          <cell r="L1115" t="str">
            <v>Classified</v>
          </cell>
          <cell r="M1115" t="str">
            <v>US_State</v>
          </cell>
          <cell r="N1115" t="str">
            <v>CONUS</v>
          </cell>
          <cell r="O1115">
            <v>43374</v>
          </cell>
          <cell r="P1115">
            <v>43738</v>
          </cell>
          <cell r="Q1115" t="str">
            <v>Sub</v>
          </cell>
          <cell r="R1115" t="str">
            <v>FFP</v>
          </cell>
          <cell r="S1115">
            <v>0</v>
          </cell>
          <cell r="T1115">
            <v>1</v>
          </cell>
          <cell r="U1115" t="str">
            <v>CONTRACT</v>
          </cell>
          <cell r="V1115" t="str">
            <v>Base</v>
          </cell>
          <cell r="W1115" t="str">
            <v>05 Won</v>
          </cell>
          <cell r="X1115" t="str">
            <v>Active</v>
          </cell>
          <cell r="Y1115">
            <v>1</v>
          </cell>
          <cell r="Z1115">
            <v>0</v>
          </cell>
          <cell r="AA1115">
            <v>638029.80509999965</v>
          </cell>
          <cell r="AB1115">
            <v>224708</v>
          </cell>
          <cell r="AC1115">
            <v>0</v>
          </cell>
          <cell r="AD1115">
            <v>862737.80509999965</v>
          </cell>
          <cell r="AL1115">
            <v>0.16837467694296807</v>
          </cell>
          <cell r="AM1115">
            <v>0.25852789554521211</v>
          </cell>
          <cell r="AN1115">
            <v>0.22042204313430247</v>
          </cell>
          <cell r="AO1115">
            <v>0.18059748648502172</v>
          </cell>
          <cell r="AP1115">
            <v>0.17749321992693215</v>
          </cell>
          <cell r="AQ1115">
            <v>0.17749321992693215</v>
          </cell>
          <cell r="AR1115">
            <v>0.17749321992693215</v>
          </cell>
          <cell r="AS1115">
            <v>0.17749321992693215</v>
          </cell>
          <cell r="BF1115">
            <v>36052.139999999985</v>
          </cell>
          <cell r="BG1115">
            <v>386301.43000000005</v>
          </cell>
          <cell r="BH1115">
            <v>159511.58999999997</v>
          </cell>
          <cell r="BI1115">
            <v>25178.760000000002</v>
          </cell>
          <cell r="BJ1115">
            <v>19766.93</v>
          </cell>
          <cell r="BK1115">
            <v>55797.350000000013</v>
          </cell>
          <cell r="BL1115">
            <v>179017.18433939997</v>
          </cell>
          <cell r="BM1115">
            <v>279760.22433939995</v>
          </cell>
          <cell r="BN1115">
            <v>88746.609963466079</v>
          </cell>
          <cell r="BO1115">
            <v>64383.50101642689</v>
          </cell>
          <cell r="BP1115">
            <v>0</v>
          </cell>
          <cell r="BQ1115">
            <v>0</v>
          </cell>
          <cell r="BR1115">
            <v>432890.33531929291</v>
          </cell>
          <cell r="BT1115">
            <v>0</v>
          </cell>
          <cell r="CA1115" t="str">
            <v>CP3038 - CONTRACT - Base</v>
          </cell>
          <cell r="CC1115" t="str">
            <v>CP3038 - CONTRACT - Base - IS4</v>
          </cell>
          <cell r="CD1115" t="str">
            <v/>
          </cell>
          <cell r="CF1115" t="str">
            <v>CP3038 - Base - IS4</v>
          </cell>
        </row>
        <row r="1116">
          <cell r="D1116">
            <v>1102</v>
          </cell>
          <cell r="E1116">
            <v>2</v>
          </cell>
          <cell r="F1116">
            <v>4</v>
          </cell>
          <cell r="G1116" t="str">
            <v>CP3038</v>
          </cell>
          <cell r="H1116" t="str">
            <v>TRSS</v>
          </cell>
          <cell r="I1116" t="str">
            <v>IS4</v>
          </cell>
          <cell r="J1116" t="str">
            <v>IS4 Global Mission Solutions</v>
          </cell>
          <cell r="K1116" t="str">
            <v>Classified Agency</v>
          </cell>
          <cell r="L1116" t="str">
            <v>Classified</v>
          </cell>
          <cell r="M1116" t="str">
            <v>US_State</v>
          </cell>
          <cell r="N1116" t="str">
            <v>CONUS</v>
          </cell>
          <cell r="O1116">
            <v>44046</v>
          </cell>
          <cell r="P1116">
            <v>45872</v>
          </cell>
          <cell r="Q1116" t="str">
            <v>Prime</v>
          </cell>
          <cell r="R1116" t="str">
            <v>FFP</v>
          </cell>
          <cell r="S1116">
            <v>0</v>
          </cell>
          <cell r="T1116">
            <v>1</v>
          </cell>
          <cell r="U1116" t="str">
            <v>CONTRACT</v>
          </cell>
          <cell r="V1116" t="str">
            <v>Identified - Recompete</v>
          </cell>
          <cell r="W1116" t="str">
            <v>01 Prospect</v>
          </cell>
          <cell r="X1116" t="str">
            <v>Priority 2</v>
          </cell>
          <cell r="Y1116">
            <v>0.5</v>
          </cell>
          <cell r="Z1116">
            <v>0</v>
          </cell>
          <cell r="AA1116">
            <v>0</v>
          </cell>
          <cell r="AB1116">
            <v>0</v>
          </cell>
          <cell r="AC1116">
            <v>0</v>
          </cell>
          <cell r="AD1116">
            <v>0</v>
          </cell>
          <cell r="AP1116">
            <v>0</v>
          </cell>
          <cell r="AQ1116">
            <v>0</v>
          </cell>
          <cell r="AR1116">
            <v>0</v>
          </cell>
          <cell r="AS1116">
            <v>0</v>
          </cell>
          <cell r="BI1116">
            <v>0</v>
          </cell>
          <cell r="BJ1116">
            <v>0</v>
          </cell>
          <cell r="BK1116">
            <v>0</v>
          </cell>
          <cell r="BL1116">
            <v>0</v>
          </cell>
          <cell r="BM1116">
            <v>0</v>
          </cell>
          <cell r="BN1116">
            <v>0</v>
          </cell>
          <cell r="BO1116">
            <v>0</v>
          </cell>
          <cell r="BP1116">
            <v>0</v>
          </cell>
          <cell r="BQ1116">
            <v>0</v>
          </cell>
          <cell r="BR1116">
            <v>0</v>
          </cell>
          <cell r="BT1116">
            <v>0</v>
          </cell>
          <cell r="CA1116" t="str">
            <v>CP3038 - CONTRACT - Identified - Recompete</v>
          </cell>
          <cell r="CC1116" t="str">
            <v>CP3038 - CONTRACT - Identified - Recompete - IS4</v>
          </cell>
          <cell r="CD1116" t="str">
            <v/>
          </cell>
          <cell r="CF1116" t="str">
            <v>CP3038 - Identified - Recompete - IS4</v>
          </cell>
        </row>
        <row r="1117">
          <cell r="D1117">
            <v>1103</v>
          </cell>
          <cell r="E1117">
            <v>0</v>
          </cell>
          <cell r="F1117">
            <v>5</v>
          </cell>
          <cell r="G1117" t="str">
            <v>CP3038</v>
          </cell>
          <cell r="H1117" t="str">
            <v>TRSS</v>
          </cell>
          <cell r="I1117" t="str">
            <v>IS4</v>
          </cell>
          <cell r="J1117" t="str">
            <v>IS4 Global Mission Solutions</v>
          </cell>
          <cell r="K1117" t="str">
            <v>Classified Agency</v>
          </cell>
          <cell r="L1117" t="str">
            <v>Classified</v>
          </cell>
          <cell r="M1117" t="str">
            <v>US_State</v>
          </cell>
          <cell r="N1117" t="str">
            <v>CONUS</v>
          </cell>
          <cell r="O1117">
            <v>43374</v>
          </cell>
          <cell r="P1117">
            <v>43738</v>
          </cell>
          <cell r="Q1117" t="str">
            <v>Sub</v>
          </cell>
          <cell r="R1117" t="str">
            <v>FFP</v>
          </cell>
          <cell r="S1117">
            <v>0</v>
          </cell>
          <cell r="T1117">
            <v>1</v>
          </cell>
          <cell r="U1117" t="str">
            <v>EBITA</v>
          </cell>
          <cell r="V1117" t="str">
            <v>Base</v>
          </cell>
          <cell r="W1117" t="str">
            <v>05 Won</v>
          </cell>
          <cell r="X1117" t="str">
            <v>Active</v>
          </cell>
          <cell r="Y1117">
            <v>1</v>
          </cell>
          <cell r="Z1117">
            <v>0</v>
          </cell>
          <cell r="AA1117">
            <v>638029.80509999965</v>
          </cell>
          <cell r="AB1117">
            <v>224708</v>
          </cell>
          <cell r="AC1117">
            <v>0</v>
          </cell>
          <cell r="AD1117">
            <v>862737.80509999965</v>
          </cell>
          <cell r="AT1117">
            <v>2.0549364851819613E-4</v>
          </cell>
          <cell r="AU1117">
            <v>0.13332780319026127</v>
          </cell>
          <cell r="AV1117">
            <v>7.90830921326766E-2</v>
          </cell>
          <cell r="AW1117">
            <v>2.0560052359579702E-2</v>
          </cell>
          <cell r="AX1117">
            <v>4.6000000000000027E-2</v>
          </cell>
          <cell r="AY1117">
            <v>4.7000000000000028E-2</v>
          </cell>
          <cell r="AZ1117">
            <v>4.8000000000000029E-2</v>
          </cell>
          <cell r="BA1117">
            <v>4.900000000000003E-2</v>
          </cell>
          <cell r="BF1117">
            <v>43.999999999989313</v>
          </cell>
          <cell r="BG1117">
            <v>199223.07000000007</v>
          </cell>
          <cell r="BH1117">
            <v>57229.619999999974</v>
          </cell>
          <cell r="BI1117">
            <v>3439.3900000000003</v>
          </cell>
          <cell r="BJ1117">
            <v>214.76000000000022</v>
          </cell>
          <cell r="BK1117">
            <v>9488.2800000000079</v>
          </cell>
          <cell r="BL1117">
            <v>18706.766644399984</v>
          </cell>
          <cell r="BM1117">
            <v>31849.196644399992</v>
          </cell>
          <cell r="BN1117">
            <v>23000.000000000015</v>
          </cell>
          <cell r="BO1117">
            <v>17048.676839699994</v>
          </cell>
          <cell r="BP1117">
            <v>0</v>
          </cell>
          <cell r="BQ1117">
            <v>0</v>
          </cell>
          <cell r="BR1117">
            <v>71897.873484099997</v>
          </cell>
          <cell r="BT1117">
            <v>0</v>
          </cell>
          <cell r="CA1117" t="str">
            <v>CP3038 - EBITA - Base</v>
          </cell>
          <cell r="CC1117" t="str">
            <v>CP3038 - EBITA - Base - IS4</v>
          </cell>
          <cell r="CD1117" t="str">
            <v/>
          </cell>
          <cell r="CF1117" t="str">
            <v>CP3038 - Base - IS4</v>
          </cell>
        </row>
        <row r="1118">
          <cell r="D1118">
            <v>1104</v>
          </cell>
          <cell r="E1118">
            <v>0</v>
          </cell>
          <cell r="F1118">
            <v>0</v>
          </cell>
          <cell r="G1118" t="str">
            <v>CP3038</v>
          </cell>
          <cell r="H1118" t="str">
            <v>TRSS</v>
          </cell>
          <cell r="I1118" t="str">
            <v>IS4</v>
          </cell>
          <cell r="J1118" t="str">
            <v>IS4 Global Mission Solutions</v>
          </cell>
          <cell r="K1118" t="str">
            <v>Classified Agency</v>
          </cell>
          <cell r="L1118" t="str">
            <v>Classified</v>
          </cell>
          <cell r="M1118" t="str">
            <v>US_State</v>
          </cell>
          <cell r="N1118" t="str">
            <v>CONUS</v>
          </cell>
          <cell r="O1118">
            <v>44046</v>
          </cell>
          <cell r="P1118">
            <v>45872</v>
          </cell>
          <cell r="Q1118" t="str">
            <v>Prime</v>
          </cell>
          <cell r="R1118" t="str">
            <v>FFP</v>
          </cell>
          <cell r="S1118">
            <v>0</v>
          </cell>
          <cell r="T1118">
            <v>1</v>
          </cell>
          <cell r="U1118" t="str">
            <v>EBITA</v>
          </cell>
          <cell r="V1118" t="str">
            <v>Identified - Recompete</v>
          </cell>
          <cell r="W1118" t="str">
            <v>01 Prospect</v>
          </cell>
          <cell r="X1118" t="str">
            <v>Priority 2</v>
          </cell>
          <cell r="Y1118">
            <v>0.5</v>
          </cell>
          <cell r="Z1118">
            <v>0</v>
          </cell>
          <cell r="AA1118">
            <v>0</v>
          </cell>
          <cell r="AB1118">
            <v>0</v>
          </cell>
          <cell r="AC1118">
            <v>0</v>
          </cell>
          <cell r="AD1118">
            <v>0</v>
          </cell>
          <cell r="AX1118">
            <v>0</v>
          </cell>
          <cell r="AY1118">
            <v>0</v>
          </cell>
          <cell r="AZ1118">
            <v>0</v>
          </cell>
          <cell r="BA1118">
            <v>0</v>
          </cell>
          <cell r="BI1118">
            <v>0</v>
          </cell>
          <cell r="BJ1118">
            <v>0</v>
          </cell>
          <cell r="BK1118">
            <v>0</v>
          </cell>
          <cell r="BL1118">
            <v>0</v>
          </cell>
          <cell r="BM1118">
            <v>0</v>
          </cell>
          <cell r="BN1118">
            <v>0</v>
          </cell>
          <cell r="BO1118">
            <v>0</v>
          </cell>
          <cell r="BP1118">
            <v>0</v>
          </cell>
          <cell r="BQ1118">
            <v>0</v>
          </cell>
          <cell r="BR1118">
            <v>0</v>
          </cell>
          <cell r="BT1118">
            <v>0</v>
          </cell>
          <cell r="CA1118" t="str">
            <v>CP3038 - EBITA - Identified - Recompete</v>
          </cell>
          <cell r="CC1118" t="str">
            <v>CP3038 - EBITA - Identified - Recompete - IS4</v>
          </cell>
          <cell r="CD1118" t="str">
            <v/>
          </cell>
          <cell r="CF1118" t="str">
            <v>CP3038 - Identified - Recompete - IS4</v>
          </cell>
        </row>
        <row r="1119">
          <cell r="D1119">
            <v>1105</v>
          </cell>
          <cell r="E1119">
            <v>1</v>
          </cell>
          <cell r="F1119">
            <v>1</v>
          </cell>
          <cell r="G1119" t="str">
            <v>003429</v>
          </cell>
          <cell r="H1119" t="str">
            <v>3429 MSRA</v>
          </cell>
          <cell r="I1119" t="str">
            <v>IS4</v>
          </cell>
          <cell r="J1119" t="str">
            <v>IS4 Sustainment Engineering and Acquisition</v>
          </cell>
          <cell r="K1119" t="str">
            <v>Navy</v>
          </cell>
          <cell r="L1119" t="str">
            <v>DOD</v>
          </cell>
          <cell r="M1119" t="str">
            <v>CT</v>
          </cell>
          <cell r="N1119" t="str">
            <v>CONUS</v>
          </cell>
          <cell r="O1119">
            <v>43191</v>
          </cell>
          <cell r="P1119">
            <v>43677</v>
          </cell>
          <cell r="Q1119" t="str">
            <v>Prime</v>
          </cell>
          <cell r="R1119" t="str">
            <v>FFP</v>
          </cell>
          <cell r="S1119">
            <v>0</v>
          </cell>
          <cell r="T1119">
            <v>1</v>
          </cell>
          <cell r="U1119" t="str">
            <v>REVTOT</v>
          </cell>
          <cell r="V1119" t="str">
            <v>Base</v>
          </cell>
          <cell r="W1119" t="str">
            <v>05 Won</v>
          </cell>
          <cell r="X1119" t="str">
            <v>Active</v>
          </cell>
          <cell r="Y1119">
            <v>1</v>
          </cell>
          <cell r="Z1119">
            <v>0</v>
          </cell>
          <cell r="AA1119">
            <v>102211.53999999991</v>
          </cell>
          <cell r="AB1119">
            <v>0</v>
          </cell>
          <cell r="AC1119">
            <v>0</v>
          </cell>
          <cell r="AD1119">
            <v>102211.53999999991</v>
          </cell>
          <cell r="AE1119">
            <v>0</v>
          </cell>
          <cell r="AF1119">
            <v>0</v>
          </cell>
          <cell r="AG1119">
            <v>0.93269238462481985</v>
          </cell>
          <cell r="AH1119">
            <v>-0.88532887203062105</v>
          </cell>
          <cell r="AI1119">
            <v>0</v>
          </cell>
          <cell r="AJ1119">
            <v>0</v>
          </cell>
          <cell r="AK1119">
            <v>0</v>
          </cell>
          <cell r="BB1119">
            <v>914943</v>
          </cell>
          <cell r="BC1119">
            <v>914943</v>
          </cell>
          <cell r="BD1119">
            <v>914943</v>
          </cell>
          <cell r="BE1119">
            <v>914943</v>
          </cell>
          <cell r="BF1119">
            <v>0</v>
          </cell>
          <cell r="BG1119">
            <v>0</v>
          </cell>
          <cell r="BH1119">
            <v>461193.43000000005</v>
          </cell>
          <cell r="BI1119">
            <v>221750.78</v>
          </cell>
          <cell r="BJ1119">
            <v>214198.53</v>
          </cell>
          <cell r="BK1119">
            <v>225652.66999999998</v>
          </cell>
          <cell r="BL1119">
            <v>229743.05</v>
          </cell>
          <cell r="BM1119">
            <v>891345.03</v>
          </cell>
          <cell r="BN1119">
            <v>102211.53999999991</v>
          </cell>
          <cell r="BO1119">
            <v>0</v>
          </cell>
          <cell r="BP1119">
            <v>0</v>
          </cell>
          <cell r="BQ1119">
            <v>0</v>
          </cell>
          <cell r="BR1119">
            <v>993556.57</v>
          </cell>
          <cell r="BT1119">
            <v>0</v>
          </cell>
          <cell r="CA1119" t="str">
            <v>003429 - REVTOT - Base</v>
          </cell>
          <cell r="CC1119" t="str">
            <v>003429 - REVTOT - Base - IS4</v>
          </cell>
          <cell r="CD1119" t="str">
            <v/>
          </cell>
          <cell r="CF1119" t="str">
            <v>003429 - Base - IS4</v>
          </cell>
        </row>
        <row r="1120">
          <cell r="D1120">
            <v>1106</v>
          </cell>
          <cell r="E1120">
            <v>1</v>
          </cell>
          <cell r="F1120">
            <v>2</v>
          </cell>
          <cell r="G1120" t="str">
            <v>003429</v>
          </cell>
          <cell r="H1120" t="str">
            <v>3429 MSRA</v>
          </cell>
          <cell r="I1120" t="str">
            <v>IS4</v>
          </cell>
          <cell r="J1120" t="str">
            <v>IS4 Sustainment Engineering and Acquisition</v>
          </cell>
          <cell r="K1120" t="str">
            <v>Navy</v>
          </cell>
          <cell r="L1120" t="str">
            <v>DOD</v>
          </cell>
          <cell r="M1120" t="str">
            <v>CT</v>
          </cell>
          <cell r="N1120" t="str">
            <v>CONUS</v>
          </cell>
          <cell r="O1120">
            <v>0</v>
          </cell>
          <cell r="P1120">
            <v>0</v>
          </cell>
          <cell r="Q1120">
            <v>0</v>
          </cell>
          <cell r="R1120" t="str">
            <v>FFP</v>
          </cell>
          <cell r="S1120">
            <v>0</v>
          </cell>
          <cell r="T1120">
            <v>1</v>
          </cell>
          <cell r="U1120" t="str">
            <v>REVTOT</v>
          </cell>
          <cell r="V1120" t="str">
            <v>Identified - Recompete</v>
          </cell>
          <cell r="W1120">
            <v>0</v>
          </cell>
          <cell r="X1120">
            <v>0</v>
          </cell>
          <cell r="Y1120">
            <v>0</v>
          </cell>
          <cell r="Z1120">
            <v>0</v>
          </cell>
          <cell r="AA1120">
            <v>0</v>
          </cell>
          <cell r="AB1120">
            <v>0</v>
          </cell>
          <cell r="AC1120">
            <v>0</v>
          </cell>
          <cell r="AD1120">
            <v>0</v>
          </cell>
          <cell r="AI1120">
            <v>0</v>
          </cell>
          <cell r="AJ1120">
            <v>0</v>
          </cell>
          <cell r="AK1120">
            <v>0</v>
          </cell>
          <cell r="BB1120">
            <v>0</v>
          </cell>
          <cell r="BC1120">
            <v>0</v>
          </cell>
          <cell r="BD1120">
            <v>0</v>
          </cell>
          <cell r="BE1120">
            <v>0</v>
          </cell>
          <cell r="BI1120">
            <v>0</v>
          </cell>
          <cell r="BJ1120">
            <v>0</v>
          </cell>
          <cell r="BK1120">
            <v>0</v>
          </cell>
          <cell r="BL1120">
            <v>0</v>
          </cell>
          <cell r="BM1120">
            <v>0</v>
          </cell>
          <cell r="BN1120">
            <v>0</v>
          </cell>
          <cell r="BO1120">
            <v>0</v>
          </cell>
          <cell r="BP1120">
            <v>0</v>
          </cell>
          <cell r="BQ1120">
            <v>0</v>
          </cell>
          <cell r="BR1120">
            <v>0</v>
          </cell>
          <cell r="BT1120">
            <v>0</v>
          </cell>
          <cell r="CA1120" t="str">
            <v>003429 - REVTOT - Identified - Recompete</v>
          </cell>
          <cell r="CC1120" t="str">
            <v>003429 - REVTOT - Identified - Recompete - IS4</v>
          </cell>
          <cell r="CD1120" t="str">
            <v/>
          </cell>
          <cell r="CF1120" t="str">
            <v>003429 - Identified - Recompete - IS4</v>
          </cell>
        </row>
        <row r="1121">
          <cell r="D1121">
            <v>1107</v>
          </cell>
          <cell r="E1121">
            <v>2</v>
          </cell>
          <cell r="F1121">
            <v>3</v>
          </cell>
          <cell r="G1121" t="str">
            <v>003429</v>
          </cell>
          <cell r="H1121" t="str">
            <v>3429 MSRA</v>
          </cell>
          <cell r="I1121" t="str">
            <v>IS4</v>
          </cell>
          <cell r="J1121" t="str">
            <v>IS4 Sustainment Engineering and Acquisition</v>
          </cell>
          <cell r="K1121" t="str">
            <v>Navy</v>
          </cell>
          <cell r="L1121" t="str">
            <v>DOD</v>
          </cell>
          <cell r="M1121" t="str">
            <v>CT</v>
          </cell>
          <cell r="N1121" t="str">
            <v>CONUS</v>
          </cell>
          <cell r="O1121">
            <v>43191</v>
          </cell>
          <cell r="P1121">
            <v>43677</v>
          </cell>
          <cell r="Q1121" t="str">
            <v>Prime</v>
          </cell>
          <cell r="R1121" t="str">
            <v>FFP</v>
          </cell>
          <cell r="S1121">
            <v>0</v>
          </cell>
          <cell r="T1121">
            <v>1</v>
          </cell>
          <cell r="U1121" t="str">
            <v>CONTRACT</v>
          </cell>
          <cell r="V1121" t="str">
            <v>Base</v>
          </cell>
          <cell r="W1121" t="str">
            <v>05 Won</v>
          </cell>
          <cell r="X1121" t="str">
            <v>Active</v>
          </cell>
          <cell r="Y1121">
            <v>1</v>
          </cell>
          <cell r="Z1121">
            <v>0</v>
          </cell>
          <cell r="AA1121">
            <v>102211.53999999991</v>
          </cell>
          <cell r="AB1121">
            <v>0</v>
          </cell>
          <cell r="AC1121">
            <v>0</v>
          </cell>
          <cell r="AD1121">
            <v>102211.53999999991</v>
          </cell>
          <cell r="AL1121">
            <v>0</v>
          </cell>
          <cell r="AM1121">
            <v>0</v>
          </cell>
          <cell r="AN1121">
            <v>0.21592165786056403</v>
          </cell>
          <cell r="AO1121">
            <v>0.21603611791047958</v>
          </cell>
          <cell r="AP1121">
            <v>0.21269935066993245</v>
          </cell>
          <cell r="AQ1121">
            <v>0.21269935066993245</v>
          </cell>
          <cell r="AR1121">
            <v>0.21269935066993245</v>
          </cell>
          <cell r="AS1121">
            <v>0.21269935066993245</v>
          </cell>
          <cell r="BF1121">
            <v>0</v>
          </cell>
          <cell r="BG1121">
            <v>0</v>
          </cell>
          <cell r="BH1121">
            <v>99581.65</v>
          </cell>
          <cell r="BI1121">
            <v>48338.499999999993</v>
          </cell>
          <cell r="BJ1121">
            <v>45799.43</v>
          </cell>
          <cell r="BK1121">
            <v>48742.779999999984</v>
          </cell>
          <cell r="BL1121">
            <v>49682.01</v>
          </cell>
          <cell r="BM1121">
            <v>192562.71999999997</v>
          </cell>
          <cell r="BN1121">
            <v>21740.328188973806</v>
          </cell>
          <cell r="BO1121">
            <v>0</v>
          </cell>
          <cell r="BP1121">
            <v>0</v>
          </cell>
          <cell r="BQ1121">
            <v>0</v>
          </cell>
          <cell r="BR1121">
            <v>214303.04818897377</v>
          </cell>
          <cell r="BT1121">
            <v>0</v>
          </cell>
          <cell r="CA1121" t="str">
            <v>003429 - CONTRACT - Base</v>
          </cell>
          <cell r="CC1121" t="str">
            <v>003429 - CONTRACT - Base - IS4</v>
          </cell>
          <cell r="CD1121" t="str">
            <v/>
          </cell>
          <cell r="CF1121" t="str">
            <v>003429 - Base - IS4</v>
          </cell>
        </row>
        <row r="1122">
          <cell r="D1122">
            <v>1108</v>
          </cell>
          <cell r="E1122">
            <v>2</v>
          </cell>
          <cell r="F1122">
            <v>4</v>
          </cell>
          <cell r="G1122" t="str">
            <v>003429</v>
          </cell>
          <cell r="H1122" t="str">
            <v>3429 MSRA</v>
          </cell>
          <cell r="I1122" t="str">
            <v>IS4</v>
          </cell>
          <cell r="J1122" t="str">
            <v>IS4 Sustainment Engineering and Acquisition</v>
          </cell>
          <cell r="K1122" t="str">
            <v>Navy</v>
          </cell>
          <cell r="L1122" t="str">
            <v>DOD</v>
          </cell>
          <cell r="M1122" t="str">
            <v>CT</v>
          </cell>
          <cell r="N1122" t="str">
            <v>CONUS</v>
          </cell>
          <cell r="O1122">
            <v>0</v>
          </cell>
          <cell r="P1122">
            <v>0</v>
          </cell>
          <cell r="Q1122">
            <v>0</v>
          </cell>
          <cell r="R1122" t="str">
            <v>FFP</v>
          </cell>
          <cell r="S1122">
            <v>0</v>
          </cell>
          <cell r="T1122">
            <v>1</v>
          </cell>
          <cell r="U1122" t="str">
            <v>CONTRACT</v>
          </cell>
          <cell r="V1122" t="str">
            <v>Identified - Recompete</v>
          </cell>
          <cell r="W1122">
            <v>0</v>
          </cell>
          <cell r="X1122">
            <v>0</v>
          </cell>
          <cell r="Y1122">
            <v>0</v>
          </cell>
          <cell r="Z1122">
            <v>0</v>
          </cell>
          <cell r="AA1122">
            <v>0</v>
          </cell>
          <cell r="AB1122">
            <v>0</v>
          </cell>
          <cell r="AC1122">
            <v>0</v>
          </cell>
          <cell r="AD1122">
            <v>0</v>
          </cell>
          <cell r="AP1122">
            <v>0</v>
          </cell>
          <cell r="AQ1122">
            <v>0</v>
          </cell>
          <cell r="AR1122">
            <v>0</v>
          </cell>
          <cell r="AS1122">
            <v>0</v>
          </cell>
          <cell r="BI1122">
            <v>0</v>
          </cell>
          <cell r="BJ1122">
            <v>0</v>
          </cell>
          <cell r="BK1122">
            <v>0</v>
          </cell>
          <cell r="BL1122">
            <v>0</v>
          </cell>
          <cell r="BM1122">
            <v>0</v>
          </cell>
          <cell r="BN1122">
            <v>0</v>
          </cell>
          <cell r="BO1122">
            <v>0</v>
          </cell>
          <cell r="BP1122">
            <v>0</v>
          </cell>
          <cell r="BQ1122">
            <v>0</v>
          </cell>
          <cell r="BR1122">
            <v>0</v>
          </cell>
          <cell r="BT1122">
            <v>0</v>
          </cell>
          <cell r="CA1122" t="str">
            <v>003429 - CONTRACT - Identified - Recompete</v>
          </cell>
          <cell r="CC1122" t="str">
            <v>003429 - CONTRACT - Identified - Recompete - IS4</v>
          </cell>
          <cell r="CD1122" t="str">
            <v/>
          </cell>
          <cell r="CF1122" t="str">
            <v>003429 - Identified - Recompete - IS4</v>
          </cell>
        </row>
        <row r="1123">
          <cell r="D1123">
            <v>1109</v>
          </cell>
          <cell r="E1123">
            <v>0</v>
          </cell>
          <cell r="F1123">
            <v>5</v>
          </cell>
          <cell r="G1123" t="str">
            <v>003429</v>
          </cell>
          <cell r="H1123" t="str">
            <v>3429 MSRA</v>
          </cell>
          <cell r="I1123" t="str">
            <v>IS4</v>
          </cell>
          <cell r="J1123" t="str">
            <v>IS4 Sustainment Engineering and Acquisition</v>
          </cell>
          <cell r="K1123" t="str">
            <v>Navy</v>
          </cell>
          <cell r="L1123" t="str">
            <v>DOD</v>
          </cell>
          <cell r="M1123" t="str">
            <v>CT</v>
          </cell>
          <cell r="N1123" t="str">
            <v>CONUS</v>
          </cell>
          <cell r="O1123">
            <v>43191</v>
          </cell>
          <cell r="P1123">
            <v>43677</v>
          </cell>
          <cell r="Q1123" t="str">
            <v>Prime</v>
          </cell>
          <cell r="R1123" t="str">
            <v>FFP</v>
          </cell>
          <cell r="S1123">
            <v>0</v>
          </cell>
          <cell r="T1123">
            <v>1</v>
          </cell>
          <cell r="U1123" t="str">
            <v>EBITA</v>
          </cell>
          <cell r="V1123" t="str">
            <v>Base</v>
          </cell>
          <cell r="W1123" t="str">
            <v>05 Won</v>
          </cell>
          <cell r="X1123" t="str">
            <v>Active</v>
          </cell>
          <cell r="Y1123">
            <v>1</v>
          </cell>
          <cell r="Z1123">
            <v>0</v>
          </cell>
          <cell r="AA1123">
            <v>102211.53999999991</v>
          </cell>
          <cell r="AB1123">
            <v>0</v>
          </cell>
          <cell r="AC1123">
            <v>0</v>
          </cell>
          <cell r="AD1123">
            <v>102211.53999999991</v>
          </cell>
          <cell r="AT1123">
            <v>0</v>
          </cell>
          <cell r="AU1123">
            <v>0</v>
          </cell>
          <cell r="AV1123">
            <v>0.11095680612796238</v>
          </cell>
          <cell r="AW1123">
            <v>0.11096613171220575</v>
          </cell>
          <cell r="AX1123">
            <v>0.10814810688454857</v>
          </cell>
          <cell r="AY1123">
            <v>0.10914810688454857</v>
          </cell>
          <cell r="AZ1123">
            <v>0.11014810688454857</v>
          </cell>
          <cell r="BA1123">
            <v>0.11114810688454857</v>
          </cell>
          <cell r="BF1123">
            <v>0</v>
          </cell>
          <cell r="BG1123">
            <v>0</v>
          </cell>
          <cell r="BH1123">
            <v>51172.549999999996</v>
          </cell>
          <cell r="BI1123">
            <v>24620.649999999991</v>
          </cell>
          <cell r="BJ1123">
            <v>23546.11</v>
          </cell>
          <cell r="BK1123">
            <v>24957.729999999981</v>
          </cell>
          <cell r="BL1123">
            <v>25784.620000000003</v>
          </cell>
          <cell r="BM1123">
            <v>98909.109999999986</v>
          </cell>
          <cell r="BN1123">
            <v>11053.9845527543</v>
          </cell>
          <cell r="BO1123">
            <v>0</v>
          </cell>
          <cell r="BP1123">
            <v>0</v>
          </cell>
          <cell r="BQ1123">
            <v>0</v>
          </cell>
          <cell r="BR1123">
            <v>109963.09455275428</v>
          </cell>
          <cell r="BT1123">
            <v>0</v>
          </cell>
          <cell r="CA1123" t="str">
            <v>003429 - EBITA - Base</v>
          </cell>
          <cell r="CC1123" t="str">
            <v>003429 - EBITA - Base - IS4</v>
          </cell>
          <cell r="CD1123" t="str">
            <v/>
          </cell>
          <cell r="CF1123" t="str">
            <v>003429 - Base - IS4</v>
          </cell>
        </row>
        <row r="1124">
          <cell r="D1124">
            <v>1110</v>
          </cell>
          <cell r="E1124">
            <v>0</v>
          </cell>
          <cell r="F1124">
            <v>0</v>
          </cell>
          <cell r="G1124" t="str">
            <v>003429</v>
          </cell>
          <cell r="H1124" t="str">
            <v>3429 MSRA</v>
          </cell>
          <cell r="I1124" t="str">
            <v>IS4</v>
          </cell>
          <cell r="J1124" t="str">
            <v>IS4 Sustainment Engineering and Acquisition</v>
          </cell>
          <cell r="K1124" t="str">
            <v>Navy</v>
          </cell>
          <cell r="L1124" t="str">
            <v>DOD</v>
          </cell>
          <cell r="M1124" t="str">
            <v>CT</v>
          </cell>
          <cell r="N1124" t="str">
            <v>CONUS</v>
          </cell>
          <cell r="O1124">
            <v>0</v>
          </cell>
          <cell r="P1124">
            <v>0</v>
          </cell>
          <cell r="Q1124">
            <v>0</v>
          </cell>
          <cell r="R1124" t="str">
            <v>FFP</v>
          </cell>
          <cell r="S1124">
            <v>0</v>
          </cell>
          <cell r="T1124">
            <v>1</v>
          </cell>
          <cell r="U1124" t="str">
            <v>EBITA</v>
          </cell>
          <cell r="V1124" t="str">
            <v>Identified - Recompete</v>
          </cell>
          <cell r="W1124">
            <v>0</v>
          </cell>
          <cell r="X1124">
            <v>0</v>
          </cell>
          <cell r="Y1124">
            <v>0</v>
          </cell>
          <cell r="Z1124">
            <v>0</v>
          </cell>
          <cell r="AA1124">
            <v>0</v>
          </cell>
          <cell r="AB1124">
            <v>0</v>
          </cell>
          <cell r="AC1124">
            <v>0</v>
          </cell>
          <cell r="AD1124">
            <v>0</v>
          </cell>
          <cell r="AX1124">
            <v>0</v>
          </cell>
          <cell r="AY1124">
            <v>0</v>
          </cell>
          <cell r="AZ1124">
            <v>0</v>
          </cell>
          <cell r="BA1124">
            <v>0</v>
          </cell>
          <cell r="BI1124">
            <v>0</v>
          </cell>
          <cell r="BJ1124">
            <v>0</v>
          </cell>
          <cell r="BK1124">
            <v>0</v>
          </cell>
          <cell r="BL1124">
            <v>0</v>
          </cell>
          <cell r="BM1124">
            <v>0</v>
          </cell>
          <cell r="BN1124">
            <v>0</v>
          </cell>
          <cell r="BO1124">
            <v>0</v>
          </cell>
          <cell r="BP1124">
            <v>0</v>
          </cell>
          <cell r="BQ1124">
            <v>0</v>
          </cell>
          <cell r="BR1124">
            <v>0</v>
          </cell>
          <cell r="BT1124">
            <v>0</v>
          </cell>
          <cell r="CA1124" t="str">
            <v>003429 - EBITA - Identified - Recompete</v>
          </cell>
          <cell r="CC1124" t="str">
            <v>003429 - EBITA - Identified - Recompete - IS4</v>
          </cell>
          <cell r="CD1124" t="str">
            <v/>
          </cell>
          <cell r="CF1124" t="str">
            <v>003429 - Identified - Recompete - IS4</v>
          </cell>
        </row>
        <row r="1125">
          <cell r="D1125">
            <v>1111</v>
          </cell>
          <cell r="E1125">
            <v>1</v>
          </cell>
          <cell r="F1125">
            <v>1</v>
          </cell>
          <cell r="G1125" t="str">
            <v>CP3188</v>
          </cell>
          <cell r="H1125" t="str">
            <v>USMS Bronco</v>
          </cell>
          <cell r="I1125" t="str">
            <v>IS4</v>
          </cell>
          <cell r="J1125" t="str">
            <v>IS4 Infrastructure and Engineering</v>
          </cell>
          <cell r="K1125" t="str">
            <v>DOJ</v>
          </cell>
          <cell r="L1125" t="str">
            <v>DOJ</v>
          </cell>
          <cell r="M1125" t="str">
            <v>VA</v>
          </cell>
          <cell r="N1125" t="str">
            <v>CONUS</v>
          </cell>
          <cell r="O1125">
            <v>43009</v>
          </cell>
          <cell r="P1125">
            <v>43738</v>
          </cell>
          <cell r="Q1125" t="str">
            <v>Prime</v>
          </cell>
          <cell r="R1125" t="str">
            <v>FFP</v>
          </cell>
          <cell r="S1125">
            <v>0</v>
          </cell>
          <cell r="T1125">
            <v>1</v>
          </cell>
          <cell r="U1125" t="str">
            <v>REVTOT</v>
          </cell>
          <cell r="V1125" t="str">
            <v>Base</v>
          </cell>
          <cell r="W1125" t="str">
            <v>05 Won</v>
          </cell>
          <cell r="X1125" t="str">
            <v>Active</v>
          </cell>
          <cell r="Y1125">
            <v>1</v>
          </cell>
          <cell r="Z1125">
            <v>0</v>
          </cell>
          <cell r="AA1125">
            <v>812687.37000000011</v>
          </cell>
          <cell r="AB1125">
            <v>909797</v>
          </cell>
          <cell r="AC1125">
            <v>0</v>
          </cell>
          <cell r="AD1125">
            <v>1722484.37</v>
          </cell>
          <cell r="AE1125">
            <v>0</v>
          </cell>
          <cell r="AF1125">
            <v>1.8706163846516022E-2</v>
          </cell>
          <cell r="AG1125">
            <v>2.8145900966709769E-2</v>
          </cell>
          <cell r="AH1125">
            <v>3.2972217879917221E-2</v>
          </cell>
          <cell r="AI1125">
            <v>0</v>
          </cell>
          <cell r="AJ1125">
            <v>0</v>
          </cell>
          <cell r="AK1125">
            <v>0</v>
          </cell>
          <cell r="BB1125">
            <v>811262.19887219742</v>
          </cell>
          <cell r="BC1125">
            <v>811262.19887219742</v>
          </cell>
          <cell r="BD1125">
            <v>811262.19887219742</v>
          </cell>
          <cell r="BE1125">
            <v>811262.19887219742</v>
          </cell>
          <cell r="BF1125">
            <v>0</v>
          </cell>
          <cell r="BG1125">
            <v>749840.54</v>
          </cell>
          <cell r="BH1125">
            <v>763867.18000000017</v>
          </cell>
          <cell r="BI1125">
            <v>161998.63</v>
          </cell>
          <cell r="BJ1125">
            <v>201816.74</v>
          </cell>
          <cell r="BK1125">
            <v>217963.54</v>
          </cell>
          <cell r="BL1125">
            <v>203588</v>
          </cell>
          <cell r="BM1125">
            <v>785366.91</v>
          </cell>
          <cell r="BN1125">
            <v>811262.19887219742</v>
          </cell>
          <cell r="BO1125">
            <v>811262.19887219742</v>
          </cell>
          <cell r="BP1125">
            <v>99959.972255605273</v>
          </cell>
          <cell r="BQ1125">
            <v>0</v>
          </cell>
          <cell r="BR1125">
            <v>2507851.2800000003</v>
          </cell>
          <cell r="BT1125">
            <v>0</v>
          </cell>
          <cell r="CA1125" t="str">
            <v>CP3188 - REVTOT - Base</v>
          </cell>
          <cell r="CC1125" t="str">
            <v>CP3188 - REVTOT - Base - IS4</v>
          </cell>
          <cell r="CD1125" t="str">
            <v/>
          </cell>
          <cell r="CF1125" t="str">
            <v>CP3188 - Base - IS4</v>
          </cell>
        </row>
        <row r="1126">
          <cell r="D1126">
            <v>1112</v>
          </cell>
          <cell r="E1126">
            <v>1</v>
          </cell>
          <cell r="F1126">
            <v>2</v>
          </cell>
          <cell r="G1126" t="str">
            <v>CP3188</v>
          </cell>
          <cell r="H1126" t="str">
            <v>USMS Bronco</v>
          </cell>
          <cell r="I1126" t="str">
            <v>IS4</v>
          </cell>
          <cell r="J1126" t="str">
            <v>IS4 Infrastructure and Engineering</v>
          </cell>
          <cell r="K1126" t="str">
            <v>DOJ</v>
          </cell>
          <cell r="L1126" t="str">
            <v>DOJ</v>
          </cell>
          <cell r="M1126" t="str">
            <v>VA</v>
          </cell>
          <cell r="N1126" t="str">
            <v>CONUS</v>
          </cell>
          <cell r="O1126">
            <v>0</v>
          </cell>
          <cell r="P1126">
            <v>0</v>
          </cell>
          <cell r="Q1126">
            <v>0</v>
          </cell>
          <cell r="R1126" t="str">
            <v>FFP</v>
          </cell>
          <cell r="S1126">
            <v>0</v>
          </cell>
          <cell r="T1126">
            <v>1</v>
          </cell>
          <cell r="U1126" t="str">
            <v>REVTOT</v>
          </cell>
          <cell r="V1126" t="str">
            <v>Identified - Recompete</v>
          </cell>
          <cell r="W1126">
            <v>0</v>
          </cell>
          <cell r="X1126">
            <v>0</v>
          </cell>
          <cell r="Y1126">
            <v>0</v>
          </cell>
          <cell r="Z1126">
            <v>0</v>
          </cell>
          <cell r="AA1126">
            <v>0</v>
          </cell>
          <cell r="AB1126">
            <v>0</v>
          </cell>
          <cell r="AC1126">
            <v>0</v>
          </cell>
          <cell r="AD1126">
            <v>0</v>
          </cell>
          <cell r="AI1126">
            <v>0</v>
          </cell>
          <cell r="AJ1126">
            <v>0</v>
          </cell>
          <cell r="AK1126">
            <v>0</v>
          </cell>
          <cell r="BB1126">
            <v>0</v>
          </cell>
          <cell r="BC1126">
            <v>0</v>
          </cell>
          <cell r="BD1126">
            <v>0</v>
          </cell>
          <cell r="BE1126">
            <v>0</v>
          </cell>
          <cell r="BI1126">
            <v>0</v>
          </cell>
          <cell r="BJ1126">
            <v>0</v>
          </cell>
          <cell r="BK1126">
            <v>0</v>
          </cell>
          <cell r="BL1126">
            <v>0</v>
          </cell>
          <cell r="BM1126">
            <v>0</v>
          </cell>
          <cell r="BN1126">
            <v>0</v>
          </cell>
          <cell r="BO1126">
            <v>0</v>
          </cell>
          <cell r="BP1126">
            <v>0</v>
          </cell>
          <cell r="BQ1126">
            <v>0</v>
          </cell>
          <cell r="BR1126">
            <v>0</v>
          </cell>
          <cell r="BT1126">
            <v>0</v>
          </cell>
          <cell r="CA1126" t="str">
            <v>CP3188 - REVTOT - Identified - Recompete</v>
          </cell>
          <cell r="CC1126" t="str">
            <v>CP3188 - REVTOT - Identified - Recompete - IS4</v>
          </cell>
          <cell r="CD1126" t="str">
            <v/>
          </cell>
          <cell r="CF1126" t="str">
            <v>CP3188 - Identified - Recompete - IS4</v>
          </cell>
        </row>
        <row r="1127">
          <cell r="D1127">
            <v>1113</v>
          </cell>
          <cell r="E1127">
            <v>2</v>
          </cell>
          <cell r="F1127">
            <v>3</v>
          </cell>
          <cell r="G1127" t="str">
            <v>CP3188</v>
          </cell>
          <cell r="H1127" t="str">
            <v>USMS Bronco</v>
          </cell>
          <cell r="I1127" t="str">
            <v>IS4</v>
          </cell>
          <cell r="J1127" t="str">
            <v>IS4 Infrastructure and Engineering</v>
          </cell>
          <cell r="K1127" t="str">
            <v>DOJ</v>
          </cell>
          <cell r="L1127" t="str">
            <v>DOJ</v>
          </cell>
          <cell r="M1127" t="str">
            <v>VA</v>
          </cell>
          <cell r="N1127" t="str">
            <v>CONUS</v>
          </cell>
          <cell r="O1127">
            <v>43009</v>
          </cell>
          <cell r="P1127">
            <v>43738</v>
          </cell>
          <cell r="Q1127" t="str">
            <v>Prime</v>
          </cell>
          <cell r="R1127" t="str">
            <v>FFP</v>
          </cell>
          <cell r="S1127">
            <v>0</v>
          </cell>
          <cell r="T1127">
            <v>1</v>
          </cell>
          <cell r="U1127" t="str">
            <v>CONTRACT</v>
          </cell>
          <cell r="V1127" t="str">
            <v>Base</v>
          </cell>
          <cell r="W1127" t="str">
            <v>05 Won</v>
          </cell>
          <cell r="X1127" t="str">
            <v>Active</v>
          </cell>
          <cell r="Y1127">
            <v>1</v>
          </cell>
          <cell r="Z1127">
            <v>0</v>
          </cell>
          <cell r="AA1127">
            <v>812687.37000000011</v>
          </cell>
          <cell r="AB1127">
            <v>909797</v>
          </cell>
          <cell r="AC1127">
            <v>0</v>
          </cell>
          <cell r="AD1127">
            <v>1722484.37</v>
          </cell>
          <cell r="AL1127">
            <v>0</v>
          </cell>
          <cell r="AM1127">
            <v>0.38583976801254311</v>
          </cell>
          <cell r="AN1127">
            <v>0.25185652039664796</v>
          </cell>
          <cell r="AO1127">
            <v>0.27551564401917567</v>
          </cell>
          <cell r="AP1127">
            <v>0.24322415955871213</v>
          </cell>
          <cell r="AQ1127">
            <v>0.24322415955871213</v>
          </cell>
          <cell r="AR1127">
            <v>0.24322415955871213</v>
          </cell>
          <cell r="AS1127">
            <v>0.24322415955871213</v>
          </cell>
          <cell r="BF1127">
            <v>0</v>
          </cell>
          <cell r="BG1127">
            <v>289318.30000000005</v>
          </cell>
          <cell r="BH1127">
            <v>192384.93</v>
          </cell>
          <cell r="BI1127">
            <v>39868.06</v>
          </cell>
          <cell r="BJ1127">
            <v>56863.43</v>
          </cell>
          <cell r="BK1127">
            <v>64408.380000000005</v>
          </cell>
          <cell r="BL1127">
            <v>55241</v>
          </cell>
          <cell r="BM1127">
            <v>216380.87</v>
          </cell>
          <cell r="BN1127">
            <v>197318.56650244299</v>
          </cell>
          <cell r="BO1127">
            <v>197318.56650244299</v>
          </cell>
          <cell r="BP1127">
            <v>24312.680241381775</v>
          </cell>
          <cell r="BQ1127">
            <v>0</v>
          </cell>
          <cell r="BR1127">
            <v>635330.68324626773</v>
          </cell>
          <cell r="BT1127">
            <v>0</v>
          </cell>
          <cell r="CA1127" t="str">
            <v>CP3188 - CONTRACT - Base</v>
          </cell>
          <cell r="CC1127" t="str">
            <v>CP3188 - CONTRACT - Base - IS4</v>
          </cell>
          <cell r="CD1127" t="str">
            <v/>
          </cell>
          <cell r="CF1127" t="str">
            <v>CP3188 - Base - IS4</v>
          </cell>
        </row>
        <row r="1128">
          <cell r="D1128">
            <v>1114</v>
          </cell>
          <cell r="E1128">
            <v>2</v>
          </cell>
          <cell r="F1128">
            <v>4</v>
          </cell>
          <cell r="G1128" t="str">
            <v>CP3188</v>
          </cell>
          <cell r="H1128" t="str">
            <v>USMS Bronco</v>
          </cell>
          <cell r="I1128" t="str">
            <v>IS4</v>
          </cell>
          <cell r="J1128" t="str">
            <v>IS4 Infrastructure and Engineering</v>
          </cell>
          <cell r="K1128" t="str">
            <v>DOJ</v>
          </cell>
          <cell r="L1128" t="str">
            <v>DOJ</v>
          </cell>
          <cell r="M1128" t="str">
            <v>VA</v>
          </cell>
          <cell r="N1128" t="str">
            <v>CONUS</v>
          </cell>
          <cell r="O1128">
            <v>0</v>
          </cell>
          <cell r="P1128">
            <v>0</v>
          </cell>
          <cell r="Q1128">
            <v>0</v>
          </cell>
          <cell r="R1128" t="str">
            <v>FFP</v>
          </cell>
          <cell r="S1128">
            <v>0</v>
          </cell>
          <cell r="T1128">
            <v>1</v>
          </cell>
          <cell r="U1128" t="str">
            <v>CONTRACT</v>
          </cell>
          <cell r="V1128" t="str">
            <v>Identified - Recompete</v>
          </cell>
          <cell r="W1128">
            <v>0</v>
          </cell>
          <cell r="X1128">
            <v>0</v>
          </cell>
          <cell r="Y1128">
            <v>0</v>
          </cell>
          <cell r="Z1128">
            <v>0</v>
          </cell>
          <cell r="AA1128">
            <v>0</v>
          </cell>
          <cell r="AB1128">
            <v>0</v>
          </cell>
          <cell r="AC1128">
            <v>0</v>
          </cell>
          <cell r="AD1128">
            <v>0</v>
          </cell>
          <cell r="AP1128">
            <v>0</v>
          </cell>
          <cell r="AQ1128">
            <v>0</v>
          </cell>
          <cell r="AR1128">
            <v>0</v>
          </cell>
          <cell r="AS1128">
            <v>0</v>
          </cell>
          <cell r="BI1128">
            <v>0</v>
          </cell>
          <cell r="BJ1128">
            <v>0</v>
          </cell>
          <cell r="BK1128">
            <v>0</v>
          </cell>
          <cell r="BL1128">
            <v>0</v>
          </cell>
          <cell r="BM1128">
            <v>0</v>
          </cell>
          <cell r="BN1128">
            <v>0</v>
          </cell>
          <cell r="BO1128">
            <v>0</v>
          </cell>
          <cell r="BP1128">
            <v>0</v>
          </cell>
          <cell r="BQ1128">
            <v>0</v>
          </cell>
          <cell r="BR1128">
            <v>0</v>
          </cell>
          <cell r="BT1128">
            <v>0</v>
          </cell>
          <cell r="CA1128" t="str">
            <v>CP3188 - CONTRACT - Identified - Recompete</v>
          </cell>
          <cell r="CC1128" t="str">
            <v>CP3188 - CONTRACT - Identified - Recompete - IS4</v>
          </cell>
          <cell r="CD1128" t="str">
            <v/>
          </cell>
          <cell r="CF1128" t="str">
            <v>CP3188 - Identified - Recompete - IS4</v>
          </cell>
        </row>
        <row r="1129">
          <cell r="D1129">
            <v>1115</v>
          </cell>
          <cell r="E1129">
            <v>0</v>
          </cell>
          <cell r="F1129">
            <v>5</v>
          </cell>
          <cell r="G1129" t="str">
            <v>CP3188</v>
          </cell>
          <cell r="H1129" t="str">
            <v>USMS Bronco</v>
          </cell>
          <cell r="I1129" t="str">
            <v>IS4</v>
          </cell>
          <cell r="J1129" t="str">
            <v>IS4 Infrastructure and Engineering</v>
          </cell>
          <cell r="K1129" t="str">
            <v>DOJ</v>
          </cell>
          <cell r="L1129" t="str">
            <v>DOJ</v>
          </cell>
          <cell r="M1129" t="str">
            <v>VA</v>
          </cell>
          <cell r="N1129" t="str">
            <v>CONUS</v>
          </cell>
          <cell r="O1129">
            <v>43009</v>
          </cell>
          <cell r="P1129">
            <v>43738</v>
          </cell>
          <cell r="Q1129" t="str">
            <v>Prime</v>
          </cell>
          <cell r="R1129" t="str">
            <v>FFP</v>
          </cell>
          <cell r="S1129">
            <v>0</v>
          </cell>
          <cell r="T1129">
            <v>1</v>
          </cell>
          <cell r="U1129" t="str">
            <v>EBITA</v>
          </cell>
          <cell r="V1129" t="str">
            <v>Base</v>
          </cell>
          <cell r="W1129" t="str">
            <v>05 Won</v>
          </cell>
          <cell r="X1129" t="str">
            <v>Active</v>
          </cell>
          <cell r="Y1129">
            <v>1</v>
          </cell>
          <cell r="Z1129">
            <v>0</v>
          </cell>
          <cell r="AA1129">
            <v>812687.37000000011</v>
          </cell>
          <cell r="AB1129">
            <v>909797</v>
          </cell>
          <cell r="AC1129">
            <v>0</v>
          </cell>
          <cell r="AD1129">
            <v>1722484.37</v>
          </cell>
          <cell r="AT1129">
            <v>0</v>
          </cell>
          <cell r="AU1129">
            <v>0.32160236361720324</v>
          </cell>
          <cell r="AV1129">
            <v>0.1828651284638253</v>
          </cell>
          <cell r="AW1129">
            <v>0.20105564417018792</v>
          </cell>
          <cell r="AX1129">
            <v>0.16645950931070377</v>
          </cell>
          <cell r="AY1129">
            <v>0.16745950931070377</v>
          </cell>
          <cell r="AZ1129">
            <v>0.16845950931070378</v>
          </cell>
          <cell r="BA1129">
            <v>0.16945950931070378</v>
          </cell>
          <cell r="BF1129">
            <v>0</v>
          </cell>
          <cell r="BG1129">
            <v>241150.49000000002</v>
          </cell>
          <cell r="BH1129">
            <v>139684.66999999998</v>
          </cell>
          <cell r="BI1129">
            <v>27059.599999999999</v>
          </cell>
          <cell r="BJ1129">
            <v>42221.59</v>
          </cell>
          <cell r="BK1129">
            <v>48626.260000000009</v>
          </cell>
          <cell r="BL1129">
            <v>39995</v>
          </cell>
          <cell r="BM1129">
            <v>157902.45000000001</v>
          </cell>
          <cell r="BN1129">
            <v>135042.30754658856</v>
          </cell>
          <cell r="BO1129">
            <v>135853.56974546076</v>
          </cell>
          <cell r="BP1129">
            <v>16839.207876890829</v>
          </cell>
          <cell r="BQ1129">
            <v>0</v>
          </cell>
          <cell r="BR1129">
            <v>445637.53516894014</v>
          </cell>
          <cell r="BT1129">
            <v>0</v>
          </cell>
          <cell r="CA1129" t="str">
            <v>CP3188 - EBITA - Base</v>
          </cell>
          <cell r="CC1129" t="str">
            <v>CP3188 - EBITA - Base - IS4</v>
          </cell>
          <cell r="CD1129" t="str">
            <v/>
          </cell>
          <cell r="CF1129" t="str">
            <v>CP3188 - Base - IS4</v>
          </cell>
        </row>
        <row r="1130">
          <cell r="D1130">
            <v>1116</v>
          </cell>
          <cell r="E1130">
            <v>0</v>
          </cell>
          <cell r="F1130">
            <v>0</v>
          </cell>
          <cell r="G1130" t="str">
            <v>CP3188</v>
          </cell>
          <cell r="H1130" t="str">
            <v>USMS Bronco</v>
          </cell>
          <cell r="I1130" t="str">
            <v>IS4</v>
          </cell>
          <cell r="J1130" t="str">
            <v>IS4 Infrastructure and Engineering</v>
          </cell>
          <cell r="K1130" t="str">
            <v>DOJ</v>
          </cell>
          <cell r="L1130" t="str">
            <v>DOJ</v>
          </cell>
          <cell r="M1130" t="str">
            <v>VA</v>
          </cell>
          <cell r="N1130" t="str">
            <v>CONUS</v>
          </cell>
          <cell r="O1130">
            <v>0</v>
          </cell>
          <cell r="P1130">
            <v>0</v>
          </cell>
          <cell r="Q1130">
            <v>0</v>
          </cell>
          <cell r="R1130" t="str">
            <v>FFP</v>
          </cell>
          <cell r="S1130">
            <v>0</v>
          </cell>
          <cell r="T1130">
            <v>1</v>
          </cell>
          <cell r="U1130" t="str">
            <v>EBITA</v>
          </cell>
          <cell r="V1130" t="str">
            <v>Identified - Recompete</v>
          </cell>
          <cell r="W1130">
            <v>0</v>
          </cell>
          <cell r="X1130">
            <v>0</v>
          </cell>
          <cell r="Y1130">
            <v>0</v>
          </cell>
          <cell r="Z1130">
            <v>0</v>
          </cell>
          <cell r="AA1130">
            <v>0</v>
          </cell>
          <cell r="AB1130">
            <v>0</v>
          </cell>
          <cell r="AC1130">
            <v>0</v>
          </cell>
          <cell r="AD1130">
            <v>0</v>
          </cell>
          <cell r="AX1130">
            <v>0</v>
          </cell>
          <cell r="AY1130">
            <v>0</v>
          </cell>
          <cell r="AZ1130">
            <v>0</v>
          </cell>
          <cell r="BA1130">
            <v>0</v>
          </cell>
          <cell r="BI1130">
            <v>0</v>
          </cell>
          <cell r="BJ1130">
            <v>0</v>
          </cell>
          <cell r="BK1130">
            <v>0</v>
          </cell>
          <cell r="BL1130">
            <v>0</v>
          </cell>
          <cell r="BM1130">
            <v>0</v>
          </cell>
          <cell r="BN1130">
            <v>0</v>
          </cell>
          <cell r="BO1130">
            <v>0</v>
          </cell>
          <cell r="BP1130">
            <v>0</v>
          </cell>
          <cell r="BQ1130">
            <v>0</v>
          </cell>
          <cell r="BR1130">
            <v>0</v>
          </cell>
          <cell r="BT1130">
            <v>0</v>
          </cell>
          <cell r="CA1130" t="str">
            <v>CP3188 - EBITA - Identified - Recompete</v>
          </cell>
          <cell r="CC1130" t="str">
            <v>CP3188 - EBITA - Identified - Recompete - IS4</v>
          </cell>
          <cell r="CD1130" t="str">
            <v/>
          </cell>
          <cell r="CF1130" t="str">
            <v>CP3188 - Identified - Recompete - IS4</v>
          </cell>
        </row>
        <row r="1131">
          <cell r="D1131">
            <v>1117</v>
          </cell>
          <cell r="E1131">
            <v>1</v>
          </cell>
          <cell r="F1131">
            <v>1</v>
          </cell>
          <cell r="G1131" t="str">
            <v>295504</v>
          </cell>
          <cell r="H1131" t="str">
            <v>2955.004 - CGMAP</v>
          </cell>
          <cell r="I1131" t="str">
            <v>IS4</v>
          </cell>
          <cell r="J1131" t="str">
            <v>IS4 Sustainment Engineering and Acquisition</v>
          </cell>
          <cell r="K1131" t="str">
            <v>Coast Guard</v>
          </cell>
          <cell r="L1131" t="str">
            <v>DOD</v>
          </cell>
          <cell r="M1131" t="str">
            <v>VA</v>
          </cell>
          <cell r="N1131" t="str">
            <v>CONUS</v>
          </cell>
          <cell r="O1131">
            <v>41610</v>
          </cell>
          <cell r="P1131">
            <v>43435</v>
          </cell>
          <cell r="Q1131" t="str">
            <v>Prime</v>
          </cell>
          <cell r="R1131" t="str">
            <v>FFP</v>
          </cell>
          <cell r="S1131">
            <v>0</v>
          </cell>
          <cell r="T1131">
            <v>1</v>
          </cell>
          <cell r="U1131" t="str">
            <v>REVTOT</v>
          </cell>
          <cell r="V1131" t="str">
            <v>Base</v>
          </cell>
          <cell r="W1131" t="str">
            <v>05 Won</v>
          </cell>
          <cell r="X1131" t="str">
            <v>Active</v>
          </cell>
          <cell r="Y1131">
            <v>1</v>
          </cell>
          <cell r="Z1131">
            <v>0</v>
          </cell>
          <cell r="AA1131">
            <v>36555.709999999788</v>
          </cell>
          <cell r="AB1131">
            <v>263671.71999999997</v>
          </cell>
          <cell r="AC1131">
            <v>0</v>
          </cell>
          <cell r="AD1131">
            <v>300227.42999999976</v>
          </cell>
          <cell r="AE1131">
            <v>0.32724507161652383</v>
          </cell>
          <cell r="AF1131">
            <v>0.58548122870230657</v>
          </cell>
          <cell r="AG1131">
            <v>-0.49703478260779166</v>
          </cell>
          <cell r="AH1131">
            <v>-1</v>
          </cell>
          <cell r="AI1131">
            <v>0</v>
          </cell>
          <cell r="AJ1131">
            <v>0</v>
          </cell>
          <cell r="AK1131">
            <v>0</v>
          </cell>
          <cell r="BB1131">
            <v>0</v>
          </cell>
          <cell r="BC1131">
            <v>0</v>
          </cell>
          <cell r="BD1131">
            <v>0</v>
          </cell>
          <cell r="BE1131">
            <v>0</v>
          </cell>
          <cell r="BF1131">
            <v>1462820.9300000002</v>
          </cell>
          <cell r="BG1131">
            <v>1941521.87</v>
          </cell>
          <cell r="BH1131">
            <v>3078246.48</v>
          </cell>
          <cell r="BI1131">
            <v>459542.26</v>
          </cell>
          <cell r="BJ1131">
            <v>510286.46</v>
          </cell>
          <cell r="BK1131">
            <v>437933.83</v>
          </cell>
          <cell r="BL1131">
            <v>140488.35999999999</v>
          </cell>
          <cell r="BM1131">
            <v>1548250.9100000001</v>
          </cell>
          <cell r="BN1131">
            <v>0</v>
          </cell>
          <cell r="BO1131">
            <v>0</v>
          </cell>
          <cell r="BP1131">
            <v>0</v>
          </cell>
          <cell r="BQ1131">
            <v>0</v>
          </cell>
          <cell r="BR1131">
            <v>1548250.9100000001</v>
          </cell>
          <cell r="BT1131">
            <v>0</v>
          </cell>
          <cell r="CA1131" t="str">
            <v>295504 - REVTOT - Base</v>
          </cell>
          <cell r="CC1131" t="str">
            <v>295504 - REVTOT - Base - IS4</v>
          </cell>
          <cell r="CD1131" t="str">
            <v/>
          </cell>
          <cell r="CF1131" t="str">
            <v>295504 - Base - IS4</v>
          </cell>
        </row>
        <row r="1132">
          <cell r="D1132">
            <v>1118</v>
          </cell>
          <cell r="E1132">
            <v>1</v>
          </cell>
          <cell r="F1132">
            <v>2</v>
          </cell>
          <cell r="G1132" t="str">
            <v>295504</v>
          </cell>
          <cell r="H1132" t="str">
            <v>2955.004 - CGMAP</v>
          </cell>
          <cell r="I1132" t="str">
            <v>IS4</v>
          </cell>
          <cell r="J1132" t="str">
            <v>IS4 Sustainment Engineering and Acquisition</v>
          </cell>
          <cell r="K1132" t="str">
            <v>Coast Guard</v>
          </cell>
          <cell r="L1132" t="str">
            <v>DOD</v>
          </cell>
          <cell r="M1132" t="str">
            <v>VA</v>
          </cell>
          <cell r="N1132" t="str">
            <v>CONUS</v>
          </cell>
          <cell r="O1132">
            <v>0</v>
          </cell>
          <cell r="P1132">
            <v>0</v>
          </cell>
          <cell r="Q1132">
            <v>0</v>
          </cell>
          <cell r="R1132" t="str">
            <v>FFP</v>
          </cell>
          <cell r="S1132">
            <v>0</v>
          </cell>
          <cell r="T1132">
            <v>1</v>
          </cell>
          <cell r="U1132" t="str">
            <v>REVTOT</v>
          </cell>
          <cell r="V1132" t="str">
            <v>Identified - Recompete</v>
          </cell>
          <cell r="W1132">
            <v>0</v>
          </cell>
          <cell r="X1132">
            <v>0</v>
          </cell>
          <cell r="Y1132">
            <v>0</v>
          </cell>
          <cell r="Z1132">
            <v>0</v>
          </cell>
          <cell r="AA1132">
            <v>0</v>
          </cell>
          <cell r="AB1132">
            <v>0</v>
          </cell>
          <cell r="AC1132">
            <v>0</v>
          </cell>
          <cell r="AD1132">
            <v>0</v>
          </cell>
          <cell r="AI1132">
            <v>0</v>
          </cell>
          <cell r="AJ1132">
            <v>0</v>
          </cell>
          <cell r="AK1132">
            <v>0</v>
          </cell>
          <cell r="BB1132">
            <v>0</v>
          </cell>
          <cell r="BC1132">
            <v>0</v>
          </cell>
          <cell r="BD1132">
            <v>0</v>
          </cell>
          <cell r="BE1132">
            <v>0</v>
          </cell>
          <cell r="BI1132">
            <v>0</v>
          </cell>
          <cell r="BJ1132">
            <v>0</v>
          </cell>
          <cell r="BK1132">
            <v>0</v>
          </cell>
          <cell r="BL1132">
            <v>0</v>
          </cell>
          <cell r="BM1132">
            <v>0</v>
          </cell>
          <cell r="BN1132">
            <v>0</v>
          </cell>
          <cell r="BO1132">
            <v>0</v>
          </cell>
          <cell r="BP1132">
            <v>0</v>
          </cell>
          <cell r="BQ1132">
            <v>0</v>
          </cell>
          <cell r="BR1132">
            <v>0</v>
          </cell>
          <cell r="BT1132">
            <v>0</v>
          </cell>
          <cell r="CA1132" t="str">
            <v>295504 - REVTOT - Identified - Recompete</v>
          </cell>
          <cell r="CC1132" t="str">
            <v>295504 - REVTOT - Identified - Recompete - IS4</v>
          </cell>
          <cell r="CD1132" t="str">
            <v/>
          </cell>
          <cell r="CF1132" t="str">
            <v>295504 - Identified - Recompete - IS4</v>
          </cell>
        </row>
        <row r="1133">
          <cell r="D1133">
            <v>1119</v>
          </cell>
          <cell r="E1133">
            <v>2</v>
          </cell>
          <cell r="F1133">
            <v>3</v>
          </cell>
          <cell r="G1133" t="str">
            <v>295504</v>
          </cell>
          <cell r="H1133" t="str">
            <v>2955.004 - CGMAP</v>
          </cell>
          <cell r="I1133" t="str">
            <v>IS4</v>
          </cell>
          <cell r="J1133" t="str">
            <v>IS4 Sustainment Engineering and Acquisition</v>
          </cell>
          <cell r="K1133" t="str">
            <v>Coast Guard</v>
          </cell>
          <cell r="L1133" t="str">
            <v>DOD</v>
          </cell>
          <cell r="M1133" t="str">
            <v>VA</v>
          </cell>
          <cell r="N1133" t="str">
            <v>CONUS</v>
          </cell>
          <cell r="O1133">
            <v>41610</v>
          </cell>
          <cell r="P1133">
            <v>43435</v>
          </cell>
          <cell r="Q1133" t="str">
            <v>Prime</v>
          </cell>
          <cell r="R1133" t="str">
            <v>FFP</v>
          </cell>
          <cell r="S1133">
            <v>0</v>
          </cell>
          <cell r="T1133">
            <v>1</v>
          </cell>
          <cell r="U1133" t="str">
            <v>CONTRACT</v>
          </cell>
          <cell r="V1133" t="str">
            <v>Base</v>
          </cell>
          <cell r="W1133" t="str">
            <v>05 Won</v>
          </cell>
          <cell r="X1133" t="str">
            <v>Active</v>
          </cell>
          <cell r="Y1133">
            <v>1</v>
          </cell>
          <cell r="Z1133">
            <v>0</v>
          </cell>
          <cell r="AA1133">
            <v>36555.709999999788</v>
          </cell>
          <cell r="AB1133">
            <v>263671.71999999997</v>
          </cell>
          <cell r="AC1133">
            <v>0</v>
          </cell>
          <cell r="AD1133">
            <v>300227.42999999976</v>
          </cell>
          <cell r="AL1133">
            <v>0.17902795525355247</v>
          </cell>
          <cell r="AM1133">
            <v>0.16165357436844122</v>
          </cell>
          <cell r="AN1133">
            <v>0.23172376371888195</v>
          </cell>
          <cell r="AO1133">
            <v>0.26129441054228092</v>
          </cell>
          <cell r="AP1133">
            <v>0.21088602423054817</v>
          </cell>
          <cell r="AQ1133">
            <v>0.21088602423054817</v>
          </cell>
          <cell r="AR1133">
            <v>0.21088602423054817</v>
          </cell>
          <cell r="AS1133">
            <v>0.21088602423054817</v>
          </cell>
          <cell r="BF1133">
            <v>261885.84000000003</v>
          </cell>
          <cell r="BG1133">
            <v>313853.95000000007</v>
          </cell>
          <cell r="BH1133">
            <v>713302.8600000001</v>
          </cell>
          <cell r="BI1133">
            <v>82151.610000000059</v>
          </cell>
          <cell r="BJ1133">
            <v>188270.85</v>
          </cell>
          <cell r="BK1133">
            <v>102362.78000000001</v>
          </cell>
          <cell r="BL1133">
            <v>31764.068899999984</v>
          </cell>
          <cell r="BM1133">
            <v>404549.30890000006</v>
          </cell>
          <cell r="BN1133">
            <v>0</v>
          </cell>
          <cell r="BO1133">
            <v>0</v>
          </cell>
          <cell r="BP1133">
            <v>0</v>
          </cell>
          <cell r="BQ1133">
            <v>0</v>
          </cell>
          <cell r="BR1133">
            <v>404549.30890000006</v>
          </cell>
          <cell r="BT1133">
            <v>0</v>
          </cell>
          <cell r="CA1133" t="str">
            <v>295504 - CONTRACT - Base</v>
          </cell>
          <cell r="CC1133" t="str">
            <v>295504 - CONTRACT - Base - IS4</v>
          </cell>
          <cell r="CD1133" t="str">
            <v/>
          </cell>
          <cell r="CF1133" t="str">
            <v>295504 - Base - IS4</v>
          </cell>
        </row>
        <row r="1134">
          <cell r="D1134">
            <v>1120</v>
          </cell>
          <cell r="E1134">
            <v>2</v>
          </cell>
          <cell r="F1134">
            <v>4</v>
          </cell>
          <cell r="G1134" t="str">
            <v>295504</v>
          </cell>
          <cell r="H1134" t="str">
            <v>2955.004 - CGMAP</v>
          </cell>
          <cell r="I1134" t="str">
            <v>IS4</v>
          </cell>
          <cell r="J1134" t="str">
            <v>IS4 Sustainment Engineering and Acquisition</v>
          </cell>
          <cell r="K1134" t="str">
            <v>Coast Guard</v>
          </cell>
          <cell r="L1134" t="str">
            <v>DOD</v>
          </cell>
          <cell r="M1134" t="str">
            <v>VA</v>
          </cell>
          <cell r="N1134" t="str">
            <v>CONUS</v>
          </cell>
          <cell r="O1134">
            <v>0</v>
          </cell>
          <cell r="P1134">
            <v>0</v>
          </cell>
          <cell r="Q1134">
            <v>0</v>
          </cell>
          <cell r="R1134" t="str">
            <v>FFP</v>
          </cell>
          <cell r="S1134">
            <v>0</v>
          </cell>
          <cell r="T1134">
            <v>1</v>
          </cell>
          <cell r="U1134" t="str">
            <v>CONTRACT</v>
          </cell>
          <cell r="V1134" t="str">
            <v>Identified - Recompete</v>
          </cell>
          <cell r="W1134">
            <v>0</v>
          </cell>
          <cell r="X1134">
            <v>0</v>
          </cell>
          <cell r="Y1134">
            <v>0</v>
          </cell>
          <cell r="Z1134">
            <v>0</v>
          </cell>
          <cell r="AA1134">
            <v>0</v>
          </cell>
          <cell r="AB1134">
            <v>0</v>
          </cell>
          <cell r="AC1134">
            <v>0</v>
          </cell>
          <cell r="AD1134">
            <v>0</v>
          </cell>
          <cell r="AP1134">
            <v>0</v>
          </cell>
          <cell r="AQ1134">
            <v>0</v>
          </cell>
          <cell r="AR1134">
            <v>0</v>
          </cell>
          <cell r="AS1134">
            <v>0</v>
          </cell>
          <cell r="BI1134">
            <v>0</v>
          </cell>
          <cell r="BJ1134">
            <v>0</v>
          </cell>
          <cell r="BK1134">
            <v>0</v>
          </cell>
          <cell r="BL1134">
            <v>0</v>
          </cell>
          <cell r="BM1134">
            <v>0</v>
          </cell>
          <cell r="BN1134">
            <v>0</v>
          </cell>
          <cell r="BO1134">
            <v>0</v>
          </cell>
          <cell r="BP1134">
            <v>0</v>
          </cell>
          <cell r="BQ1134">
            <v>0</v>
          </cell>
          <cell r="BR1134">
            <v>0</v>
          </cell>
          <cell r="BT1134">
            <v>0</v>
          </cell>
          <cell r="CA1134" t="str">
            <v>295504 - CONTRACT - Identified - Recompete</v>
          </cell>
          <cell r="CC1134" t="str">
            <v>295504 - CONTRACT - Identified - Recompete - IS4</v>
          </cell>
          <cell r="CD1134" t="str">
            <v/>
          </cell>
          <cell r="CF1134" t="str">
            <v>295504 - Identified - Recompete - IS4</v>
          </cell>
        </row>
        <row r="1135">
          <cell r="D1135">
            <v>1121</v>
          </cell>
          <cell r="E1135">
            <v>0</v>
          </cell>
          <cell r="F1135">
            <v>5</v>
          </cell>
          <cell r="G1135" t="str">
            <v>295504</v>
          </cell>
          <cell r="H1135" t="str">
            <v>2955.004 - CGMAP</v>
          </cell>
          <cell r="I1135" t="str">
            <v>IS4</v>
          </cell>
          <cell r="J1135" t="str">
            <v>IS4 Sustainment Engineering and Acquisition</v>
          </cell>
          <cell r="K1135" t="str">
            <v>Coast Guard</v>
          </cell>
          <cell r="L1135" t="str">
            <v>DOD</v>
          </cell>
          <cell r="M1135" t="str">
            <v>VA</v>
          </cell>
          <cell r="N1135" t="str">
            <v>CONUS</v>
          </cell>
          <cell r="O1135">
            <v>41610</v>
          </cell>
          <cell r="P1135">
            <v>43435</v>
          </cell>
          <cell r="Q1135" t="str">
            <v>Prime</v>
          </cell>
          <cell r="R1135" t="str">
            <v>FFP</v>
          </cell>
          <cell r="S1135">
            <v>0</v>
          </cell>
          <cell r="T1135">
            <v>1</v>
          </cell>
          <cell r="U1135" t="str">
            <v>EBITA</v>
          </cell>
          <cell r="V1135" t="str">
            <v>Base</v>
          </cell>
          <cell r="W1135" t="str">
            <v>05 Won</v>
          </cell>
          <cell r="X1135" t="str">
            <v>Active</v>
          </cell>
          <cell r="Y1135">
            <v>1</v>
          </cell>
          <cell r="Z1135">
            <v>0</v>
          </cell>
          <cell r="AA1135">
            <v>36555.709999999788</v>
          </cell>
          <cell r="AB1135">
            <v>263671.71999999997</v>
          </cell>
          <cell r="AC1135">
            <v>0</v>
          </cell>
          <cell r="AD1135">
            <v>300227.42999999976</v>
          </cell>
          <cell r="AT1135">
            <v>5.8009116672947794E-2</v>
          </cell>
          <cell r="AU1135">
            <v>6.6613506650841911E-2</v>
          </cell>
          <cell r="AV1135">
            <v>0.14708342978434918</v>
          </cell>
          <cell r="AW1135">
            <v>0.17942329786843142</v>
          </cell>
          <cell r="AX1135">
            <v>0.11863898195563523</v>
          </cell>
          <cell r="AY1135">
            <v>0.11963898195563523</v>
          </cell>
          <cell r="AZ1135">
            <v>0.12063898195563523</v>
          </cell>
          <cell r="BA1135">
            <v>0.12163898195563523</v>
          </cell>
          <cell r="BF1135">
            <v>84856.950000000012</v>
          </cell>
          <cell r="BG1135">
            <v>129331.58000000003</v>
          </cell>
          <cell r="BH1135">
            <v>452759.05000000005</v>
          </cell>
          <cell r="BI1135">
            <v>38782.070000000058</v>
          </cell>
          <cell r="BJ1135">
            <v>152846.99</v>
          </cell>
          <cell r="BK1135">
            <v>67786.310000000012</v>
          </cell>
          <cell r="BL1135">
            <v>18376.914199999985</v>
          </cell>
          <cell r="BM1135">
            <v>277792.28420000005</v>
          </cell>
          <cell r="BN1135">
            <v>0</v>
          </cell>
          <cell r="BO1135">
            <v>0</v>
          </cell>
          <cell r="BP1135">
            <v>0</v>
          </cell>
          <cell r="BQ1135">
            <v>0</v>
          </cell>
          <cell r="BR1135">
            <v>277792.28420000005</v>
          </cell>
          <cell r="BT1135">
            <v>0</v>
          </cell>
          <cell r="CA1135" t="str">
            <v>295504 - EBITA - Base</v>
          </cell>
          <cell r="CC1135" t="str">
            <v>295504 - EBITA - Base - IS4</v>
          </cell>
          <cell r="CD1135" t="str">
            <v/>
          </cell>
          <cell r="CF1135" t="str">
            <v>295504 - Base - IS4</v>
          </cell>
        </row>
        <row r="1136">
          <cell r="D1136">
            <v>1122</v>
          </cell>
          <cell r="E1136">
            <v>0</v>
          </cell>
          <cell r="F1136">
            <v>0</v>
          </cell>
          <cell r="G1136" t="str">
            <v>295504</v>
          </cell>
          <cell r="H1136" t="str">
            <v>2955.004 - CGMAP</v>
          </cell>
          <cell r="I1136" t="str">
            <v>IS4</v>
          </cell>
          <cell r="J1136" t="str">
            <v>IS4 Sustainment Engineering and Acquisition</v>
          </cell>
          <cell r="K1136" t="str">
            <v>Coast Guard</v>
          </cell>
          <cell r="L1136" t="str">
            <v>DOD</v>
          </cell>
          <cell r="M1136" t="str">
            <v>VA</v>
          </cell>
          <cell r="N1136" t="str">
            <v>CONUS</v>
          </cell>
          <cell r="O1136">
            <v>0</v>
          </cell>
          <cell r="P1136">
            <v>0</v>
          </cell>
          <cell r="Q1136">
            <v>0</v>
          </cell>
          <cell r="R1136" t="str">
            <v>FFP</v>
          </cell>
          <cell r="S1136">
            <v>0</v>
          </cell>
          <cell r="T1136">
            <v>1</v>
          </cell>
          <cell r="U1136" t="str">
            <v>EBITA</v>
          </cell>
          <cell r="V1136" t="str">
            <v>Identified - Recompete</v>
          </cell>
          <cell r="W1136">
            <v>0</v>
          </cell>
          <cell r="X1136">
            <v>0</v>
          </cell>
          <cell r="Y1136">
            <v>0</v>
          </cell>
          <cell r="Z1136">
            <v>0</v>
          </cell>
          <cell r="AA1136">
            <v>0</v>
          </cell>
          <cell r="AB1136">
            <v>0</v>
          </cell>
          <cell r="AC1136">
            <v>0</v>
          </cell>
          <cell r="AD1136">
            <v>0</v>
          </cell>
          <cell r="AX1136">
            <v>0</v>
          </cell>
          <cell r="AY1136">
            <v>0</v>
          </cell>
          <cell r="AZ1136">
            <v>0</v>
          </cell>
          <cell r="BA1136">
            <v>0</v>
          </cell>
          <cell r="BI1136">
            <v>0</v>
          </cell>
          <cell r="BJ1136">
            <v>0</v>
          </cell>
          <cell r="BK1136">
            <v>0</v>
          </cell>
          <cell r="BL1136">
            <v>0</v>
          </cell>
          <cell r="BM1136">
            <v>0</v>
          </cell>
          <cell r="BN1136">
            <v>0</v>
          </cell>
          <cell r="BO1136">
            <v>0</v>
          </cell>
          <cell r="BP1136">
            <v>0</v>
          </cell>
          <cell r="BQ1136">
            <v>0</v>
          </cell>
          <cell r="BR1136">
            <v>0</v>
          </cell>
          <cell r="BT1136">
            <v>0</v>
          </cell>
          <cell r="CA1136" t="str">
            <v>295504 - EBITA - Identified - Recompete</v>
          </cell>
          <cell r="CC1136" t="str">
            <v>295504 - EBITA - Identified - Recompete - IS4</v>
          </cell>
          <cell r="CD1136" t="str">
            <v/>
          </cell>
          <cell r="CF1136" t="str">
            <v>295504 - Identified - Recompete - IS4</v>
          </cell>
        </row>
        <row r="1137">
          <cell r="D1137">
            <v>1123</v>
          </cell>
          <cell r="E1137">
            <v>1</v>
          </cell>
          <cell r="F1137">
            <v>1</v>
          </cell>
          <cell r="G1137" t="str">
            <v>CP3598</v>
          </cell>
          <cell r="H1137" t="str">
            <v>Site J</v>
          </cell>
          <cell r="I1137" t="str">
            <v>IS4</v>
          </cell>
          <cell r="J1137" t="str">
            <v>IS4 Global Mission Solutions</v>
          </cell>
          <cell r="K1137" t="str">
            <v>Classified Agency</v>
          </cell>
          <cell r="L1137" t="str">
            <v>Classified</v>
          </cell>
          <cell r="M1137" t="str">
            <v>Israel</v>
          </cell>
          <cell r="N1137" t="str">
            <v>OCONUS</v>
          </cell>
          <cell r="O1137">
            <v>43390</v>
          </cell>
          <cell r="P1137">
            <v>43697</v>
          </cell>
          <cell r="Q1137" t="str">
            <v>Prime</v>
          </cell>
          <cell r="R1137" t="str">
            <v>FFP</v>
          </cell>
          <cell r="S1137">
            <v>0</v>
          </cell>
          <cell r="T1137">
            <v>1</v>
          </cell>
          <cell r="U1137" t="str">
            <v>REVTOT</v>
          </cell>
          <cell r="V1137" t="str">
            <v>Base</v>
          </cell>
          <cell r="W1137" t="str">
            <v>05 Won</v>
          </cell>
          <cell r="X1137" t="str">
            <v>Active</v>
          </cell>
          <cell r="Y1137">
            <v>1</v>
          </cell>
          <cell r="Z1137">
            <v>0</v>
          </cell>
          <cell r="AA1137">
            <v>101187.74360000034</v>
          </cell>
          <cell r="AB1137">
            <v>0</v>
          </cell>
          <cell r="AC1137">
            <v>0</v>
          </cell>
          <cell r="AD1137">
            <v>101187.74360000034</v>
          </cell>
          <cell r="AE1137">
            <v>0</v>
          </cell>
          <cell r="AF1137">
            <v>0</v>
          </cell>
          <cell r="AG1137">
            <v>0</v>
          </cell>
          <cell r="AH1137">
            <v>-0.94205490176892726</v>
          </cell>
          <cell r="AI1137">
            <v>0</v>
          </cell>
          <cell r="AJ1137">
            <v>0</v>
          </cell>
          <cell r="AK1137">
            <v>0</v>
          </cell>
          <cell r="BB1137">
            <v>125000.00003</v>
          </cell>
          <cell r="BC1137">
            <v>125000.00003</v>
          </cell>
          <cell r="BD1137">
            <v>125000.00003</v>
          </cell>
          <cell r="BE1137">
            <v>125000.00003</v>
          </cell>
          <cell r="BF1137">
            <v>0</v>
          </cell>
          <cell r="BG1137">
            <v>0</v>
          </cell>
          <cell r="BH1137">
            <v>0</v>
          </cell>
          <cell r="BI1137">
            <v>165352.22999999998</v>
          </cell>
          <cell r="BJ1137">
            <v>278759.36</v>
          </cell>
          <cell r="BK1137">
            <v>596287.87000000011</v>
          </cell>
          <cell r="BL1137">
            <v>705869.79639999999</v>
          </cell>
          <cell r="BM1137">
            <v>1746269.2564000001</v>
          </cell>
          <cell r="BN1137">
            <v>101187.74360000034</v>
          </cell>
          <cell r="BO1137">
            <v>0</v>
          </cell>
          <cell r="BP1137">
            <v>0</v>
          </cell>
          <cell r="BQ1137">
            <v>0</v>
          </cell>
          <cell r="BR1137">
            <v>1847457.0000000005</v>
          </cell>
          <cell r="BT1137">
            <v>0</v>
          </cell>
          <cell r="CA1137" t="str">
            <v>CP3598 - REVTOT - Base</v>
          </cell>
          <cell r="CC1137" t="str">
            <v>CP3598 - REVTOT - Base - IS4</v>
          </cell>
          <cell r="CD1137" t="str">
            <v/>
          </cell>
          <cell r="CF1137" t="str">
            <v>CP3598 - Base - IS4</v>
          </cell>
        </row>
        <row r="1138">
          <cell r="D1138">
            <v>1124</v>
          </cell>
          <cell r="E1138">
            <v>1</v>
          </cell>
          <cell r="F1138">
            <v>2</v>
          </cell>
          <cell r="G1138" t="str">
            <v>CP3598</v>
          </cell>
          <cell r="H1138" t="str">
            <v>Site J</v>
          </cell>
          <cell r="I1138" t="str">
            <v>IS4</v>
          </cell>
          <cell r="J1138" t="str">
            <v>IS4 Global Mission Solutions</v>
          </cell>
          <cell r="K1138" t="str">
            <v>Classified Agency</v>
          </cell>
          <cell r="L1138" t="str">
            <v>Classified</v>
          </cell>
          <cell r="M1138" t="str">
            <v>Israel</v>
          </cell>
          <cell r="N1138" t="str">
            <v>OCONUS</v>
          </cell>
          <cell r="O1138">
            <v>0</v>
          </cell>
          <cell r="P1138">
            <v>0</v>
          </cell>
          <cell r="Q1138">
            <v>0</v>
          </cell>
          <cell r="R1138" t="str">
            <v>FFP</v>
          </cell>
          <cell r="S1138">
            <v>0</v>
          </cell>
          <cell r="T1138">
            <v>1</v>
          </cell>
          <cell r="U1138" t="str">
            <v>REVTOT</v>
          </cell>
          <cell r="V1138" t="str">
            <v>Identified - Recompete</v>
          </cell>
          <cell r="W1138">
            <v>0</v>
          </cell>
          <cell r="X1138">
            <v>0</v>
          </cell>
          <cell r="Y1138">
            <v>0</v>
          </cell>
          <cell r="Z1138">
            <v>0</v>
          </cell>
          <cell r="AA1138">
            <v>0</v>
          </cell>
          <cell r="AB1138">
            <v>0</v>
          </cell>
          <cell r="AC1138">
            <v>0</v>
          </cell>
          <cell r="AD1138">
            <v>0</v>
          </cell>
          <cell r="AI1138">
            <v>0</v>
          </cell>
          <cell r="AJ1138">
            <v>0</v>
          </cell>
          <cell r="AK1138">
            <v>0</v>
          </cell>
          <cell r="BB1138">
            <v>0</v>
          </cell>
          <cell r="BC1138">
            <v>0</v>
          </cell>
          <cell r="BD1138">
            <v>0</v>
          </cell>
          <cell r="BE1138">
            <v>0</v>
          </cell>
          <cell r="BI1138">
            <v>0</v>
          </cell>
          <cell r="BJ1138">
            <v>0</v>
          </cell>
          <cell r="BK1138">
            <v>0</v>
          </cell>
          <cell r="BL1138">
            <v>0</v>
          </cell>
          <cell r="BM1138">
            <v>0</v>
          </cell>
          <cell r="BN1138">
            <v>0</v>
          </cell>
          <cell r="BO1138">
            <v>0</v>
          </cell>
          <cell r="BP1138">
            <v>0</v>
          </cell>
          <cell r="BQ1138">
            <v>0</v>
          </cell>
          <cell r="BR1138">
            <v>0</v>
          </cell>
          <cell r="BT1138">
            <v>0</v>
          </cell>
          <cell r="CA1138" t="str">
            <v>CP3598 - REVTOT - Identified - Recompete</v>
          </cell>
          <cell r="CC1138" t="str">
            <v>CP3598 - REVTOT - Identified - Recompete - IS4</v>
          </cell>
          <cell r="CD1138" t="str">
            <v/>
          </cell>
          <cell r="CF1138" t="str">
            <v>CP3598 - Identified - Recompete - IS4</v>
          </cell>
        </row>
        <row r="1139">
          <cell r="D1139">
            <v>1125</v>
          </cell>
          <cell r="E1139">
            <v>2</v>
          </cell>
          <cell r="F1139">
            <v>3</v>
          </cell>
          <cell r="G1139" t="str">
            <v>CP3598</v>
          </cell>
          <cell r="H1139" t="str">
            <v>Site J</v>
          </cell>
          <cell r="I1139" t="str">
            <v>IS4</v>
          </cell>
          <cell r="J1139" t="str">
            <v>IS4 Global Mission Solutions</v>
          </cell>
          <cell r="K1139" t="str">
            <v>Classified Agency</v>
          </cell>
          <cell r="L1139" t="str">
            <v>Classified</v>
          </cell>
          <cell r="M1139" t="str">
            <v>Israel</v>
          </cell>
          <cell r="N1139" t="str">
            <v>OCONUS</v>
          </cell>
          <cell r="O1139">
            <v>43390</v>
          </cell>
          <cell r="P1139">
            <v>43697</v>
          </cell>
          <cell r="Q1139" t="str">
            <v>Prime</v>
          </cell>
          <cell r="R1139" t="str">
            <v>FFP</v>
          </cell>
          <cell r="S1139">
            <v>0</v>
          </cell>
          <cell r="T1139">
            <v>1</v>
          </cell>
          <cell r="U1139" t="str">
            <v>CONTRACT</v>
          </cell>
          <cell r="V1139" t="str">
            <v>Base</v>
          </cell>
          <cell r="W1139" t="str">
            <v>05 Won</v>
          </cell>
          <cell r="X1139" t="str">
            <v>Active</v>
          </cell>
          <cell r="Y1139">
            <v>1</v>
          </cell>
          <cell r="Z1139">
            <v>0</v>
          </cell>
          <cell r="AA1139">
            <v>101187.74360000034</v>
          </cell>
          <cell r="AB1139">
            <v>0</v>
          </cell>
          <cell r="AC1139">
            <v>0</v>
          </cell>
          <cell r="AD1139">
            <v>101187.74360000034</v>
          </cell>
          <cell r="AL1139">
            <v>0</v>
          </cell>
          <cell r="AM1139">
            <v>0</v>
          </cell>
          <cell r="AN1139">
            <v>0</v>
          </cell>
          <cell r="AO1139">
            <v>0.14015027790453172</v>
          </cell>
          <cell r="AP1139">
            <v>0.22945657825793039</v>
          </cell>
          <cell r="AQ1139">
            <v>0.22945657825793039</v>
          </cell>
          <cell r="AR1139">
            <v>0.22945657825793039</v>
          </cell>
          <cell r="AS1139">
            <v>0.22945657825793039</v>
          </cell>
          <cell r="BF1139">
            <v>0</v>
          </cell>
          <cell r="BG1139">
            <v>0</v>
          </cell>
          <cell r="BH1139">
            <v>0</v>
          </cell>
          <cell r="BI1139">
            <v>38828.689999999973</v>
          </cell>
          <cell r="BJ1139">
            <v>47177.590000000004</v>
          </cell>
          <cell r="BK1139">
            <v>60918.870000000039</v>
          </cell>
          <cell r="BL1139">
            <v>97814.971580599959</v>
          </cell>
          <cell r="BM1139">
            <v>244740.12158059998</v>
          </cell>
          <cell r="BN1139">
            <v>23218.193408096871</v>
          </cell>
          <cell r="BO1139">
            <v>0</v>
          </cell>
          <cell r="BP1139">
            <v>0</v>
          </cell>
          <cell r="BQ1139">
            <v>0</v>
          </cell>
          <cell r="BR1139">
            <v>267958.31498869683</v>
          </cell>
          <cell r="BT1139">
            <v>0</v>
          </cell>
          <cell r="CA1139" t="str">
            <v>CP3598 - CONTRACT - Base</v>
          </cell>
          <cell r="CC1139" t="str">
            <v>CP3598 - CONTRACT - Base - IS4</v>
          </cell>
          <cell r="CD1139" t="str">
            <v/>
          </cell>
          <cell r="CF1139" t="str">
            <v>CP3598 - Base - IS4</v>
          </cell>
        </row>
        <row r="1140">
          <cell r="D1140">
            <v>1126</v>
          </cell>
          <cell r="E1140">
            <v>2</v>
          </cell>
          <cell r="F1140">
            <v>4</v>
          </cell>
          <cell r="G1140" t="str">
            <v>CP3598</v>
          </cell>
          <cell r="H1140" t="str">
            <v>Site J</v>
          </cell>
          <cell r="I1140" t="str">
            <v>IS4</v>
          </cell>
          <cell r="J1140" t="str">
            <v>IS4 Global Mission Solutions</v>
          </cell>
          <cell r="K1140" t="str">
            <v>Classified Agency</v>
          </cell>
          <cell r="L1140" t="str">
            <v>Classified</v>
          </cell>
          <cell r="M1140" t="str">
            <v>Israel</v>
          </cell>
          <cell r="N1140" t="str">
            <v>OCONUS</v>
          </cell>
          <cell r="O1140">
            <v>0</v>
          </cell>
          <cell r="P1140">
            <v>0</v>
          </cell>
          <cell r="Q1140">
            <v>0</v>
          </cell>
          <cell r="R1140" t="str">
            <v>FFP</v>
          </cell>
          <cell r="S1140">
            <v>0</v>
          </cell>
          <cell r="T1140">
            <v>1</v>
          </cell>
          <cell r="U1140" t="str">
            <v>CONTRACT</v>
          </cell>
          <cell r="V1140" t="str">
            <v>Identified - Recompete</v>
          </cell>
          <cell r="W1140">
            <v>0</v>
          </cell>
          <cell r="X1140">
            <v>0</v>
          </cell>
          <cell r="Y1140">
            <v>0</v>
          </cell>
          <cell r="Z1140">
            <v>0</v>
          </cell>
          <cell r="AA1140">
            <v>0</v>
          </cell>
          <cell r="AB1140">
            <v>0</v>
          </cell>
          <cell r="AC1140">
            <v>0</v>
          </cell>
          <cell r="AD1140">
            <v>0</v>
          </cell>
          <cell r="AP1140">
            <v>0</v>
          </cell>
          <cell r="AQ1140">
            <v>0</v>
          </cell>
          <cell r="AR1140">
            <v>0</v>
          </cell>
          <cell r="AS1140">
            <v>0</v>
          </cell>
          <cell r="BI1140">
            <v>0</v>
          </cell>
          <cell r="BJ1140">
            <v>0</v>
          </cell>
          <cell r="BK1140">
            <v>0</v>
          </cell>
          <cell r="BL1140">
            <v>0</v>
          </cell>
          <cell r="BM1140">
            <v>0</v>
          </cell>
          <cell r="BN1140">
            <v>0</v>
          </cell>
          <cell r="BO1140">
            <v>0</v>
          </cell>
          <cell r="BP1140">
            <v>0</v>
          </cell>
          <cell r="BQ1140">
            <v>0</v>
          </cell>
          <cell r="BR1140">
            <v>0</v>
          </cell>
          <cell r="BT1140">
            <v>0</v>
          </cell>
          <cell r="CA1140" t="str">
            <v>CP3598 - CONTRACT - Identified - Recompete</v>
          </cell>
          <cell r="CC1140" t="str">
            <v>CP3598 - CONTRACT - Identified - Recompete - IS4</v>
          </cell>
          <cell r="CD1140" t="str">
            <v/>
          </cell>
          <cell r="CF1140" t="str">
            <v>CP3598 - Identified - Recompete - IS4</v>
          </cell>
        </row>
        <row r="1141">
          <cell r="D1141">
            <v>1127</v>
          </cell>
          <cell r="E1141">
            <v>0</v>
          </cell>
          <cell r="F1141">
            <v>5</v>
          </cell>
          <cell r="G1141" t="str">
            <v>CP3598</v>
          </cell>
          <cell r="H1141" t="str">
            <v>Site J</v>
          </cell>
          <cell r="I1141" t="str">
            <v>IS4</v>
          </cell>
          <cell r="J1141" t="str">
            <v>IS4 Global Mission Solutions</v>
          </cell>
          <cell r="K1141" t="str">
            <v>Classified Agency</v>
          </cell>
          <cell r="L1141" t="str">
            <v>Classified</v>
          </cell>
          <cell r="M1141" t="str">
            <v>Israel</v>
          </cell>
          <cell r="N1141" t="str">
            <v>OCONUS</v>
          </cell>
          <cell r="O1141">
            <v>43390</v>
          </cell>
          <cell r="P1141">
            <v>43697</v>
          </cell>
          <cell r="Q1141" t="str">
            <v>Prime</v>
          </cell>
          <cell r="R1141" t="str">
            <v>FFP</v>
          </cell>
          <cell r="S1141">
            <v>0</v>
          </cell>
          <cell r="T1141">
            <v>1</v>
          </cell>
          <cell r="U1141" t="str">
            <v>EBITA</v>
          </cell>
          <cell r="V1141" t="str">
            <v>Base</v>
          </cell>
          <cell r="W1141" t="str">
            <v>05 Won</v>
          </cell>
          <cell r="X1141" t="str">
            <v>Active</v>
          </cell>
          <cell r="Y1141">
            <v>1</v>
          </cell>
          <cell r="Z1141">
            <v>0</v>
          </cell>
          <cell r="AA1141">
            <v>101187.74360000034</v>
          </cell>
          <cell r="AB1141">
            <v>0</v>
          </cell>
          <cell r="AC1141">
            <v>0</v>
          </cell>
          <cell r="AD1141">
            <v>101187.74360000034</v>
          </cell>
          <cell r="AT1141">
            <v>0</v>
          </cell>
          <cell r="AU1141">
            <v>0</v>
          </cell>
          <cell r="AV1141">
            <v>0</v>
          </cell>
          <cell r="AW1141">
            <v>1.5667685619517067E-10</v>
          </cell>
          <cell r="AX1141">
            <v>4.5999999489590798E-2</v>
          </cell>
          <cell r="AY1141">
            <v>4.6999999489590799E-2</v>
          </cell>
          <cell r="AZ1141">
            <v>4.79999994895908E-2</v>
          </cell>
          <cell r="BA1141">
            <v>4.8999999489590801E-2</v>
          </cell>
          <cell r="BF1141">
            <v>0</v>
          </cell>
          <cell r="BG1141">
            <v>0</v>
          </cell>
          <cell r="BH1141">
            <v>0</v>
          </cell>
          <cell r="BI1141">
            <v>-2.1600499167107046E-11</v>
          </cell>
          <cell r="BJ1141">
            <v>5.4569682106375694E-12</v>
          </cell>
          <cell r="BK1141">
            <v>3.4560798667371273E-11</v>
          </cell>
          <cell r="BL1141">
            <v>2.7359995874576271E-4</v>
          </cell>
          <cell r="BM1141">
            <v>2.7359997716303042E-4</v>
          </cell>
          <cell r="BN1141">
            <v>4654.6361539528598</v>
          </cell>
          <cell r="BO1141">
            <v>0</v>
          </cell>
          <cell r="BP1141">
            <v>0</v>
          </cell>
          <cell r="BQ1141">
            <v>0</v>
          </cell>
          <cell r="BR1141">
            <v>4654.6364275528367</v>
          </cell>
          <cell r="BT1141">
            <v>0</v>
          </cell>
          <cell r="CA1141" t="str">
            <v>CP3598 - EBITA - Base</v>
          </cell>
          <cell r="CC1141" t="str">
            <v>CP3598 - EBITA - Base - IS4</v>
          </cell>
          <cell r="CD1141" t="str">
            <v/>
          </cell>
          <cell r="CF1141" t="str">
            <v>CP3598 - Base - IS4</v>
          </cell>
        </row>
        <row r="1142">
          <cell r="D1142">
            <v>1128</v>
          </cell>
          <cell r="E1142">
            <v>0</v>
          </cell>
          <cell r="F1142">
            <v>0</v>
          </cell>
          <cell r="G1142" t="str">
            <v>CP3598</v>
          </cell>
          <cell r="H1142" t="str">
            <v>Site J</v>
          </cell>
          <cell r="I1142" t="str">
            <v>IS4</v>
          </cell>
          <cell r="J1142" t="str">
            <v>IS4 Global Mission Solutions</v>
          </cell>
          <cell r="K1142" t="str">
            <v>Classified Agency</v>
          </cell>
          <cell r="L1142" t="str">
            <v>Classified</v>
          </cell>
          <cell r="M1142" t="str">
            <v>Israel</v>
          </cell>
          <cell r="N1142" t="str">
            <v>OCONUS</v>
          </cell>
          <cell r="O1142">
            <v>0</v>
          </cell>
          <cell r="P1142">
            <v>0</v>
          </cell>
          <cell r="Q1142">
            <v>0</v>
          </cell>
          <cell r="R1142" t="str">
            <v>FFP</v>
          </cell>
          <cell r="S1142">
            <v>0</v>
          </cell>
          <cell r="T1142">
            <v>1</v>
          </cell>
          <cell r="U1142" t="str">
            <v>EBITA</v>
          </cell>
          <cell r="V1142" t="str">
            <v>Identified - Recompete</v>
          </cell>
          <cell r="W1142">
            <v>0</v>
          </cell>
          <cell r="X1142">
            <v>0</v>
          </cell>
          <cell r="Y1142">
            <v>0</v>
          </cell>
          <cell r="Z1142">
            <v>0</v>
          </cell>
          <cell r="AA1142">
            <v>0</v>
          </cell>
          <cell r="AB1142">
            <v>0</v>
          </cell>
          <cell r="AC1142">
            <v>0</v>
          </cell>
          <cell r="AD1142">
            <v>0</v>
          </cell>
          <cell r="AX1142">
            <v>0</v>
          </cell>
          <cell r="AY1142">
            <v>0</v>
          </cell>
          <cell r="AZ1142">
            <v>0</v>
          </cell>
          <cell r="BA1142">
            <v>0</v>
          </cell>
          <cell r="BI1142">
            <v>0</v>
          </cell>
          <cell r="BJ1142">
            <v>0</v>
          </cell>
          <cell r="BK1142">
            <v>0</v>
          </cell>
          <cell r="BL1142">
            <v>0</v>
          </cell>
          <cell r="BM1142">
            <v>0</v>
          </cell>
          <cell r="BN1142">
            <v>0</v>
          </cell>
          <cell r="BO1142">
            <v>0</v>
          </cell>
          <cell r="BP1142">
            <v>0</v>
          </cell>
          <cell r="BQ1142">
            <v>0</v>
          </cell>
          <cell r="BR1142">
            <v>0</v>
          </cell>
          <cell r="BT1142">
            <v>0</v>
          </cell>
          <cell r="CA1142" t="str">
            <v>CP3598 - EBITA - Identified - Recompete</v>
          </cell>
          <cell r="CC1142" t="str">
            <v>CP3598 - EBITA - Identified - Recompete - IS4</v>
          </cell>
          <cell r="CD1142" t="str">
            <v/>
          </cell>
          <cell r="CF1142" t="str">
            <v>CP3598 - Identified - Recompete - IS4</v>
          </cell>
        </row>
        <row r="1143">
          <cell r="D1143">
            <v>1129</v>
          </cell>
          <cell r="E1143">
            <v>1</v>
          </cell>
          <cell r="F1143">
            <v>1</v>
          </cell>
          <cell r="G1143" t="str">
            <v>2329XX</v>
          </cell>
          <cell r="H1143" t="str">
            <v>DISA NSN Support Services</v>
          </cell>
          <cell r="I1143" t="str">
            <v>IS4</v>
          </cell>
          <cell r="J1143" t="str">
            <v>IS4 Engineering and Technology Services</v>
          </cell>
          <cell r="K1143" t="str">
            <v>Army</v>
          </cell>
          <cell r="L1143" t="str">
            <v>DOD</v>
          </cell>
          <cell r="M1143" t="str">
            <v>IL</v>
          </cell>
          <cell r="N1143" t="str">
            <v>CONUS</v>
          </cell>
          <cell r="O1143">
            <v>41737</v>
          </cell>
          <cell r="P1143">
            <v>43677</v>
          </cell>
          <cell r="Q1143" t="str">
            <v>Prime</v>
          </cell>
          <cell r="R1143" t="str">
            <v>FFP</v>
          </cell>
          <cell r="S1143">
            <v>0</v>
          </cell>
          <cell r="T1143">
            <v>1</v>
          </cell>
          <cell r="U1143" t="str">
            <v>REVTOT</v>
          </cell>
          <cell r="V1143" t="str">
            <v>Base</v>
          </cell>
          <cell r="W1143" t="str">
            <v>05 Won</v>
          </cell>
          <cell r="X1143" t="str">
            <v>Active</v>
          </cell>
          <cell r="Y1143">
            <v>1</v>
          </cell>
          <cell r="Z1143">
            <v>0</v>
          </cell>
          <cell r="AA1143">
            <v>0.49000000282656397</v>
          </cell>
          <cell r="AB1143">
            <v>0.26999999955296516</v>
          </cell>
          <cell r="AC1143">
            <v>0</v>
          </cell>
          <cell r="AD1143">
            <v>0.76000000237952914</v>
          </cell>
          <cell r="AE1143">
            <v>-0.101619672742295</v>
          </cell>
          <cell r="AF1143">
            <v>-5.0246168465932772E-2</v>
          </cell>
          <cell r="AG1143">
            <v>-0.89508348478902178</v>
          </cell>
          <cell r="AH1143">
            <v>-1</v>
          </cell>
          <cell r="AI1143">
            <v>0</v>
          </cell>
          <cell r="AJ1143">
            <v>0</v>
          </cell>
          <cell r="AK1143">
            <v>0</v>
          </cell>
          <cell r="BB1143">
            <v>0</v>
          </cell>
          <cell r="BC1143">
            <v>0</v>
          </cell>
          <cell r="BD1143">
            <v>0</v>
          </cell>
          <cell r="BE1143">
            <v>0</v>
          </cell>
          <cell r="BF1143">
            <v>7913199.169999999</v>
          </cell>
          <cell r="BG1143">
            <v>7109062.459999999</v>
          </cell>
          <cell r="BH1143">
            <v>6751859.3100000005</v>
          </cell>
          <cell r="BI1143">
            <v>708382.13</v>
          </cell>
          <cell r="BJ1143">
            <v>-0.57999999999999996</v>
          </cell>
          <cell r="BK1143">
            <v>0</v>
          </cell>
          <cell r="BL1143">
            <v>0</v>
          </cell>
          <cell r="BM1143">
            <v>708381.55</v>
          </cell>
          <cell r="BN1143">
            <v>0</v>
          </cell>
          <cell r="BO1143">
            <v>0</v>
          </cell>
          <cell r="BP1143">
            <v>0</v>
          </cell>
          <cell r="BQ1143">
            <v>0</v>
          </cell>
          <cell r="BR1143">
            <v>708381.55</v>
          </cell>
          <cell r="BT1143">
            <v>0</v>
          </cell>
          <cell r="CA1143" t="str">
            <v>2329XX - REVTOT - Base</v>
          </cell>
          <cell r="CC1143" t="str">
            <v>2329XX - REVTOT - Base - IS4</v>
          </cell>
          <cell r="CD1143" t="str">
            <v/>
          </cell>
          <cell r="CF1143" t="str">
            <v>2329XX - Base - IS4</v>
          </cell>
        </row>
        <row r="1144">
          <cell r="D1144">
            <v>1130</v>
          </cell>
          <cell r="E1144">
            <v>1</v>
          </cell>
          <cell r="F1144">
            <v>2</v>
          </cell>
          <cell r="G1144" t="str">
            <v>2329XX</v>
          </cell>
          <cell r="H1144" t="str">
            <v>DISA NSN Support Services</v>
          </cell>
          <cell r="I1144" t="str">
            <v>IS4</v>
          </cell>
          <cell r="J1144" t="str">
            <v>IS4 Engineering and Technology Services</v>
          </cell>
          <cell r="K1144" t="str">
            <v>Army</v>
          </cell>
          <cell r="L1144" t="str">
            <v>DOD</v>
          </cell>
          <cell r="M1144" t="str">
            <v>IL</v>
          </cell>
          <cell r="N1144" t="str">
            <v>CONUS</v>
          </cell>
          <cell r="O1144">
            <v>0</v>
          </cell>
          <cell r="P1144">
            <v>0</v>
          </cell>
          <cell r="Q1144">
            <v>0</v>
          </cell>
          <cell r="R1144" t="str">
            <v>FFP</v>
          </cell>
          <cell r="S1144">
            <v>0</v>
          </cell>
          <cell r="T1144">
            <v>1</v>
          </cell>
          <cell r="U1144" t="str">
            <v>REVTOT</v>
          </cell>
          <cell r="V1144" t="str">
            <v>Identified - Recompete</v>
          </cell>
          <cell r="W1144">
            <v>0</v>
          </cell>
          <cell r="X1144">
            <v>0</v>
          </cell>
          <cell r="Y1144">
            <v>0</v>
          </cell>
          <cell r="Z1144">
            <v>0</v>
          </cell>
          <cell r="AA1144">
            <v>0</v>
          </cell>
          <cell r="AB1144">
            <v>0</v>
          </cell>
          <cell r="AC1144">
            <v>0</v>
          </cell>
          <cell r="AD1144">
            <v>0</v>
          </cell>
          <cell r="AI1144">
            <v>0</v>
          </cell>
          <cell r="AJ1144">
            <v>0</v>
          </cell>
          <cell r="AK1144">
            <v>0</v>
          </cell>
          <cell r="BB1144">
            <v>0</v>
          </cell>
          <cell r="BC1144">
            <v>0</v>
          </cell>
          <cell r="BD1144">
            <v>0</v>
          </cell>
          <cell r="BE1144">
            <v>0</v>
          </cell>
          <cell r="BI1144">
            <v>0</v>
          </cell>
          <cell r="BJ1144">
            <v>0</v>
          </cell>
          <cell r="BK1144">
            <v>0</v>
          </cell>
          <cell r="BL1144">
            <v>0</v>
          </cell>
          <cell r="BM1144">
            <v>0</v>
          </cell>
          <cell r="BN1144">
            <v>0</v>
          </cell>
          <cell r="BO1144">
            <v>0</v>
          </cell>
          <cell r="BP1144">
            <v>0</v>
          </cell>
          <cell r="BQ1144">
            <v>0</v>
          </cell>
          <cell r="BR1144">
            <v>0</v>
          </cell>
          <cell r="BT1144">
            <v>0</v>
          </cell>
          <cell r="CA1144" t="str">
            <v>2329XX - REVTOT - Identified - Recompete</v>
          </cell>
          <cell r="CC1144" t="str">
            <v>2329XX - REVTOT - Identified - Recompete - IS4</v>
          </cell>
          <cell r="CD1144" t="str">
            <v/>
          </cell>
          <cell r="CF1144" t="str">
            <v>2329XX - Identified - Recompete - IS4</v>
          </cell>
        </row>
        <row r="1145">
          <cell r="D1145">
            <v>1131</v>
          </cell>
          <cell r="E1145">
            <v>2</v>
          </cell>
          <cell r="F1145">
            <v>3</v>
          </cell>
          <cell r="G1145" t="str">
            <v>2329XX</v>
          </cell>
          <cell r="H1145" t="str">
            <v>DISA NSN Support Services</v>
          </cell>
          <cell r="I1145" t="str">
            <v>IS4</v>
          </cell>
          <cell r="J1145" t="str">
            <v>IS4 Engineering and Technology Services</v>
          </cell>
          <cell r="K1145" t="str">
            <v>Army</v>
          </cell>
          <cell r="L1145" t="str">
            <v>DOD</v>
          </cell>
          <cell r="M1145" t="str">
            <v>IL</v>
          </cell>
          <cell r="N1145" t="str">
            <v>CONUS</v>
          </cell>
          <cell r="O1145">
            <v>41737</v>
          </cell>
          <cell r="P1145">
            <v>43677</v>
          </cell>
          <cell r="Q1145" t="str">
            <v>Prime</v>
          </cell>
          <cell r="R1145" t="str">
            <v>FFP</v>
          </cell>
          <cell r="S1145">
            <v>0</v>
          </cell>
          <cell r="T1145">
            <v>1</v>
          </cell>
          <cell r="U1145" t="str">
            <v>CONTRACT</v>
          </cell>
          <cell r="V1145" t="str">
            <v>Base</v>
          </cell>
          <cell r="W1145" t="str">
            <v>05 Won</v>
          </cell>
          <cell r="X1145" t="str">
            <v>Active</v>
          </cell>
          <cell r="Y1145">
            <v>1</v>
          </cell>
          <cell r="Z1145">
            <v>0</v>
          </cell>
          <cell r="AA1145">
            <v>0.49000000282656397</v>
          </cell>
          <cell r="AB1145">
            <v>0.26999999955296516</v>
          </cell>
          <cell r="AC1145">
            <v>0</v>
          </cell>
          <cell r="AD1145">
            <v>0.76000000237952914</v>
          </cell>
          <cell r="AL1145">
            <v>0.33376170159002838</v>
          </cell>
          <cell r="AM1145">
            <v>0.25869855418319121</v>
          </cell>
          <cell r="AN1145">
            <v>0.31497389716788987</v>
          </cell>
          <cell r="AO1145">
            <v>0.99969440197870774</v>
          </cell>
          <cell r="AP1145">
            <v>0.32536642721394848</v>
          </cell>
          <cell r="AQ1145">
            <v>0.32536642721394848</v>
          </cell>
          <cell r="AR1145">
            <v>0.32536642721394848</v>
          </cell>
          <cell r="AS1145">
            <v>0.32536642721394848</v>
          </cell>
          <cell r="BF1145">
            <v>2641122.8199999998</v>
          </cell>
          <cell r="BG1145">
            <v>1839104.1800000002</v>
          </cell>
          <cell r="BH1145">
            <v>2126659.44</v>
          </cell>
          <cell r="BI1145">
            <v>708165.65</v>
          </cell>
          <cell r="BJ1145">
            <v>-0.57999999999999996</v>
          </cell>
          <cell r="BK1145">
            <v>0</v>
          </cell>
          <cell r="BL1145">
            <v>0</v>
          </cell>
          <cell r="BM1145">
            <v>708165.07000000007</v>
          </cell>
          <cell r="BN1145">
            <v>0</v>
          </cell>
          <cell r="BO1145">
            <v>0</v>
          </cell>
          <cell r="BP1145">
            <v>0</v>
          </cell>
          <cell r="BQ1145">
            <v>0</v>
          </cell>
          <cell r="BR1145">
            <v>708165.07000000007</v>
          </cell>
          <cell r="BT1145">
            <v>0</v>
          </cell>
          <cell r="CA1145" t="str">
            <v>2329XX - CONTRACT - Base</v>
          </cell>
          <cell r="CC1145" t="str">
            <v>2329XX - CONTRACT - Base - IS4</v>
          </cell>
          <cell r="CD1145" t="str">
            <v/>
          </cell>
          <cell r="CF1145" t="str">
            <v>2329XX - Base - IS4</v>
          </cell>
        </row>
        <row r="1146">
          <cell r="D1146">
            <v>1132</v>
          </cell>
          <cell r="E1146">
            <v>2</v>
          </cell>
          <cell r="F1146">
            <v>4</v>
          </cell>
          <cell r="G1146" t="str">
            <v>2329XX</v>
          </cell>
          <cell r="H1146" t="str">
            <v>DISA NSN Support Services</v>
          </cell>
          <cell r="I1146" t="str">
            <v>IS4</v>
          </cell>
          <cell r="J1146" t="str">
            <v>IS4 Engineering and Technology Services</v>
          </cell>
          <cell r="K1146" t="str">
            <v>Army</v>
          </cell>
          <cell r="L1146" t="str">
            <v>DOD</v>
          </cell>
          <cell r="M1146" t="str">
            <v>IL</v>
          </cell>
          <cell r="N1146" t="str">
            <v>CONUS</v>
          </cell>
          <cell r="O1146">
            <v>0</v>
          </cell>
          <cell r="P1146">
            <v>0</v>
          </cell>
          <cell r="Q1146">
            <v>0</v>
          </cell>
          <cell r="R1146" t="str">
            <v>FFP</v>
          </cell>
          <cell r="S1146">
            <v>0</v>
          </cell>
          <cell r="T1146">
            <v>1</v>
          </cell>
          <cell r="U1146" t="str">
            <v>CONTRACT</v>
          </cell>
          <cell r="V1146" t="str">
            <v>Identified - Recompete</v>
          </cell>
          <cell r="W1146">
            <v>0</v>
          </cell>
          <cell r="X1146">
            <v>0</v>
          </cell>
          <cell r="Y1146">
            <v>0</v>
          </cell>
          <cell r="Z1146">
            <v>0</v>
          </cell>
          <cell r="AA1146">
            <v>0</v>
          </cell>
          <cell r="AB1146">
            <v>0</v>
          </cell>
          <cell r="AC1146">
            <v>0</v>
          </cell>
          <cell r="AD1146">
            <v>0</v>
          </cell>
          <cell r="AP1146">
            <v>0</v>
          </cell>
          <cell r="AQ1146">
            <v>0</v>
          </cell>
          <cell r="AR1146">
            <v>0</v>
          </cell>
          <cell r="AS1146">
            <v>0</v>
          </cell>
          <cell r="BI1146">
            <v>0</v>
          </cell>
          <cell r="BJ1146">
            <v>0</v>
          </cell>
          <cell r="BK1146">
            <v>0</v>
          </cell>
          <cell r="BL1146">
            <v>0</v>
          </cell>
          <cell r="BM1146">
            <v>0</v>
          </cell>
          <cell r="BN1146">
            <v>0</v>
          </cell>
          <cell r="BO1146">
            <v>0</v>
          </cell>
          <cell r="BP1146">
            <v>0</v>
          </cell>
          <cell r="BQ1146">
            <v>0</v>
          </cell>
          <cell r="BR1146">
            <v>0</v>
          </cell>
          <cell r="BT1146">
            <v>0</v>
          </cell>
          <cell r="CA1146" t="str">
            <v>2329XX - CONTRACT - Identified - Recompete</v>
          </cell>
          <cell r="CC1146" t="str">
            <v>2329XX - CONTRACT - Identified - Recompete - IS4</v>
          </cell>
          <cell r="CD1146" t="str">
            <v/>
          </cell>
          <cell r="CF1146" t="str">
            <v>2329XX - Identified - Recompete - IS4</v>
          </cell>
        </row>
        <row r="1147">
          <cell r="D1147">
            <v>1133</v>
          </cell>
          <cell r="E1147">
            <v>0</v>
          </cell>
          <cell r="F1147">
            <v>5</v>
          </cell>
          <cell r="G1147" t="str">
            <v>2329XX</v>
          </cell>
          <cell r="H1147" t="str">
            <v>DISA NSN Support Services</v>
          </cell>
          <cell r="I1147" t="str">
            <v>IS4</v>
          </cell>
          <cell r="J1147" t="str">
            <v>IS4 Engineering and Technology Services</v>
          </cell>
          <cell r="K1147" t="str">
            <v>Army</v>
          </cell>
          <cell r="L1147" t="str">
            <v>DOD</v>
          </cell>
          <cell r="M1147" t="str">
            <v>IL</v>
          </cell>
          <cell r="N1147" t="str">
            <v>CONUS</v>
          </cell>
          <cell r="O1147">
            <v>41737</v>
          </cell>
          <cell r="P1147">
            <v>43677</v>
          </cell>
          <cell r="Q1147" t="str">
            <v>Prime</v>
          </cell>
          <cell r="R1147" t="str">
            <v>FFP</v>
          </cell>
          <cell r="S1147">
            <v>0</v>
          </cell>
          <cell r="T1147">
            <v>1</v>
          </cell>
          <cell r="U1147" t="str">
            <v>EBITA</v>
          </cell>
          <cell r="V1147" t="str">
            <v>Base</v>
          </cell>
          <cell r="W1147" t="str">
            <v>05 Won</v>
          </cell>
          <cell r="X1147" t="str">
            <v>Active</v>
          </cell>
          <cell r="Y1147">
            <v>1</v>
          </cell>
          <cell r="Z1147">
            <v>0</v>
          </cell>
          <cell r="AA1147">
            <v>0.49000000282656397</v>
          </cell>
          <cell r="AB1147">
            <v>0.26999999955296516</v>
          </cell>
          <cell r="AC1147">
            <v>0</v>
          </cell>
          <cell r="AD1147">
            <v>0.76000000237952914</v>
          </cell>
          <cell r="AT1147">
            <v>0.22878672596332494</v>
          </cell>
          <cell r="AU1147">
            <v>0.15906010481162661</v>
          </cell>
          <cell r="AV1147">
            <v>0.22687796052432851</v>
          </cell>
          <cell r="AW1147">
            <v>0.99964427362626818</v>
          </cell>
          <cell r="AX1147">
            <v>0.23145391776580657</v>
          </cell>
          <cell r="AY1147">
            <v>0.23245391776580657</v>
          </cell>
          <cell r="AZ1147">
            <v>0.23345391776580657</v>
          </cell>
          <cell r="BA1147">
            <v>0.23445391776580657</v>
          </cell>
          <cell r="BF1147">
            <v>1810434.9300000002</v>
          </cell>
          <cell r="BG1147">
            <v>1130768.22</v>
          </cell>
          <cell r="BH1147">
            <v>1531848.07</v>
          </cell>
          <cell r="BI1147">
            <v>708129.67</v>
          </cell>
          <cell r="BJ1147">
            <v>-0.10999999999999999</v>
          </cell>
          <cell r="BK1147">
            <v>0</v>
          </cell>
          <cell r="BL1147">
            <v>0</v>
          </cell>
          <cell r="BM1147">
            <v>708129.56</v>
          </cell>
          <cell r="BN1147">
            <v>0</v>
          </cell>
          <cell r="BO1147">
            <v>0</v>
          </cell>
          <cell r="BP1147">
            <v>0</v>
          </cell>
          <cell r="BQ1147">
            <v>0</v>
          </cell>
          <cell r="BR1147">
            <v>708129.56</v>
          </cell>
          <cell r="BT1147">
            <v>0</v>
          </cell>
          <cell r="CA1147" t="str">
            <v>2329XX - EBITA - Base</v>
          </cell>
          <cell r="CC1147" t="str">
            <v>2329XX - EBITA - Base - IS4</v>
          </cell>
          <cell r="CD1147" t="str">
            <v/>
          </cell>
          <cell r="CF1147" t="str">
            <v>2329XX - Base - IS4</v>
          </cell>
        </row>
        <row r="1148">
          <cell r="D1148">
            <v>1134</v>
          </cell>
          <cell r="E1148">
            <v>0</v>
          </cell>
          <cell r="F1148">
            <v>0</v>
          </cell>
          <cell r="G1148" t="str">
            <v>2329XX</v>
          </cell>
          <cell r="H1148" t="str">
            <v>DISA NSN Support Services</v>
          </cell>
          <cell r="I1148" t="str">
            <v>IS4</v>
          </cell>
          <cell r="J1148" t="str">
            <v>IS4 Engineering and Technology Services</v>
          </cell>
          <cell r="K1148" t="str">
            <v>Army</v>
          </cell>
          <cell r="L1148" t="str">
            <v>DOD</v>
          </cell>
          <cell r="M1148" t="str">
            <v>IL</v>
          </cell>
          <cell r="N1148" t="str">
            <v>CONUS</v>
          </cell>
          <cell r="O1148">
            <v>0</v>
          </cell>
          <cell r="P1148">
            <v>0</v>
          </cell>
          <cell r="Q1148">
            <v>0</v>
          </cell>
          <cell r="R1148" t="str">
            <v>FFP</v>
          </cell>
          <cell r="S1148">
            <v>0</v>
          </cell>
          <cell r="T1148">
            <v>1</v>
          </cell>
          <cell r="U1148" t="str">
            <v>EBITA</v>
          </cell>
          <cell r="V1148" t="str">
            <v>Identified - Recompete</v>
          </cell>
          <cell r="W1148">
            <v>0</v>
          </cell>
          <cell r="X1148">
            <v>0</v>
          </cell>
          <cell r="Y1148">
            <v>0</v>
          </cell>
          <cell r="Z1148">
            <v>0</v>
          </cell>
          <cell r="AA1148">
            <v>0</v>
          </cell>
          <cell r="AB1148">
            <v>0</v>
          </cell>
          <cell r="AC1148">
            <v>0</v>
          </cell>
          <cell r="AD1148">
            <v>0</v>
          </cell>
          <cell r="AX1148">
            <v>0</v>
          </cell>
          <cell r="AY1148">
            <v>0</v>
          </cell>
          <cell r="AZ1148">
            <v>0</v>
          </cell>
          <cell r="BA1148">
            <v>0</v>
          </cell>
          <cell r="BI1148">
            <v>0</v>
          </cell>
          <cell r="BJ1148">
            <v>0</v>
          </cell>
          <cell r="BK1148">
            <v>0</v>
          </cell>
          <cell r="BL1148">
            <v>0</v>
          </cell>
          <cell r="BM1148">
            <v>0</v>
          </cell>
          <cell r="BN1148">
            <v>0</v>
          </cell>
          <cell r="BO1148">
            <v>0</v>
          </cell>
          <cell r="BP1148">
            <v>0</v>
          </cell>
          <cell r="BQ1148">
            <v>0</v>
          </cell>
          <cell r="BR1148">
            <v>0</v>
          </cell>
          <cell r="BT1148">
            <v>0</v>
          </cell>
          <cell r="CA1148" t="str">
            <v>2329XX - EBITA - Identified - Recompete</v>
          </cell>
          <cell r="CC1148" t="str">
            <v>2329XX - EBITA - Identified - Recompete - IS4</v>
          </cell>
          <cell r="CD1148" t="str">
            <v/>
          </cell>
          <cell r="CF1148" t="str">
            <v>2329XX - Identified - Recompete - IS4</v>
          </cell>
        </row>
        <row r="1149">
          <cell r="D1149">
            <v>1135</v>
          </cell>
          <cell r="E1149">
            <v>1</v>
          </cell>
          <cell r="F1149">
            <v>1</v>
          </cell>
          <cell r="G1149" t="str">
            <v>12488I</v>
          </cell>
          <cell r="H1149" t="str">
            <v>BOP Secur Conversion SVS</v>
          </cell>
          <cell r="I1149" t="str">
            <v>IS4</v>
          </cell>
          <cell r="J1149" t="str">
            <v>IS4 Engineering and Technology Services</v>
          </cell>
          <cell r="K1149" t="str">
            <v>Other Civilian</v>
          </cell>
          <cell r="L1149" t="str">
            <v>Other</v>
          </cell>
          <cell r="M1149" t="str">
            <v>VA</v>
          </cell>
          <cell r="N1149" t="str">
            <v>CONUS</v>
          </cell>
          <cell r="O1149">
            <v>43374</v>
          </cell>
          <cell r="P1149">
            <v>43738</v>
          </cell>
          <cell r="Q1149" t="str">
            <v>Prime</v>
          </cell>
          <cell r="R1149" t="str">
            <v>FFP</v>
          </cell>
          <cell r="S1149">
            <v>0</v>
          </cell>
          <cell r="T1149">
            <v>1</v>
          </cell>
          <cell r="U1149" t="str">
            <v>REVTOT</v>
          </cell>
          <cell r="V1149" t="str">
            <v>Base</v>
          </cell>
          <cell r="W1149" t="str">
            <v>05 Won</v>
          </cell>
          <cell r="X1149" t="str">
            <v>Active</v>
          </cell>
          <cell r="Y1149">
            <v>1</v>
          </cell>
          <cell r="Z1149">
            <v>0</v>
          </cell>
          <cell r="AA1149">
            <v>242671.50999999989</v>
          </cell>
          <cell r="AB1149">
            <v>0</v>
          </cell>
          <cell r="AC1149">
            <v>0</v>
          </cell>
          <cell r="AD1149">
            <v>242671.50999999989</v>
          </cell>
          <cell r="AE1149">
            <v>-1.8039138856260628E-3</v>
          </cell>
          <cell r="AF1149">
            <v>3.4073564857865613E-2</v>
          </cell>
          <cell r="AG1149">
            <v>0.92193418726750442</v>
          </cell>
          <cell r="AH1149">
            <v>-0.66435060295698012</v>
          </cell>
          <cell r="AI1149">
            <v>0</v>
          </cell>
          <cell r="AJ1149">
            <v>0</v>
          </cell>
          <cell r="AK1149">
            <v>0</v>
          </cell>
          <cell r="BB1149">
            <v>414074.9584</v>
          </cell>
          <cell r="BC1149">
            <v>414074.9584</v>
          </cell>
          <cell r="BD1149">
            <v>414074.9584</v>
          </cell>
          <cell r="BE1149">
            <v>414074.9584</v>
          </cell>
          <cell r="BF1149">
            <v>364440.9</v>
          </cell>
          <cell r="BG1149">
            <v>363783.48</v>
          </cell>
          <cell r="BH1149">
            <v>376178.88</v>
          </cell>
          <cell r="BI1149">
            <v>181747</v>
          </cell>
          <cell r="BJ1149">
            <v>179912.28999999998</v>
          </cell>
          <cell r="BK1149">
            <v>179915.76</v>
          </cell>
          <cell r="BL1149">
            <v>181416</v>
          </cell>
          <cell r="BM1149">
            <v>722991.05</v>
          </cell>
          <cell r="BN1149">
            <v>242671.50999999989</v>
          </cell>
          <cell r="BO1149">
            <v>0</v>
          </cell>
          <cell r="BP1149">
            <v>0</v>
          </cell>
          <cell r="BQ1149">
            <v>0</v>
          </cell>
          <cell r="BR1149">
            <v>965662.55999999994</v>
          </cell>
          <cell r="BT1149">
            <v>0</v>
          </cell>
          <cell r="CA1149" t="str">
            <v>12488I - REVTOT - Base</v>
          </cell>
          <cell r="CC1149" t="str">
            <v>12488I - REVTOT - Base - IS4</v>
          </cell>
          <cell r="CD1149" t="str">
            <v/>
          </cell>
          <cell r="CF1149" t="str">
            <v>12488I - Base - IS4</v>
          </cell>
        </row>
        <row r="1150">
          <cell r="D1150">
            <v>1136</v>
          </cell>
          <cell r="E1150">
            <v>1</v>
          </cell>
          <cell r="F1150">
            <v>2</v>
          </cell>
          <cell r="G1150" t="str">
            <v>12488I</v>
          </cell>
          <cell r="H1150" t="str">
            <v>BOP Secur Conversion SVS</v>
          </cell>
          <cell r="I1150" t="str">
            <v>IS4</v>
          </cell>
          <cell r="J1150" t="str">
            <v>IS4 Engineering and Technology Services</v>
          </cell>
          <cell r="K1150" t="str">
            <v>Other Civilian</v>
          </cell>
          <cell r="L1150" t="str">
            <v>Other</v>
          </cell>
          <cell r="M1150" t="str">
            <v>VA</v>
          </cell>
          <cell r="N1150" t="str">
            <v>CONUS</v>
          </cell>
          <cell r="O1150">
            <v>0</v>
          </cell>
          <cell r="P1150">
            <v>0</v>
          </cell>
          <cell r="Q1150">
            <v>0</v>
          </cell>
          <cell r="R1150" t="str">
            <v>FFP</v>
          </cell>
          <cell r="S1150">
            <v>0</v>
          </cell>
          <cell r="T1150">
            <v>1</v>
          </cell>
          <cell r="U1150" t="str">
            <v>REVTOT</v>
          </cell>
          <cell r="V1150" t="str">
            <v>Identified - Recompete</v>
          </cell>
          <cell r="W1150">
            <v>0</v>
          </cell>
          <cell r="X1150">
            <v>0</v>
          </cell>
          <cell r="Y1150">
            <v>0</v>
          </cell>
          <cell r="Z1150">
            <v>0</v>
          </cell>
          <cell r="AA1150">
            <v>0</v>
          </cell>
          <cell r="AB1150">
            <v>0</v>
          </cell>
          <cell r="AC1150">
            <v>0</v>
          </cell>
          <cell r="AD1150">
            <v>0</v>
          </cell>
          <cell r="AI1150">
            <v>0</v>
          </cell>
          <cell r="AJ1150">
            <v>0</v>
          </cell>
          <cell r="AK1150">
            <v>0</v>
          </cell>
          <cell r="BB1150">
            <v>0</v>
          </cell>
          <cell r="BC1150">
            <v>0</v>
          </cell>
          <cell r="BD1150">
            <v>0</v>
          </cell>
          <cell r="BE1150">
            <v>0</v>
          </cell>
          <cell r="BI1150">
            <v>0</v>
          </cell>
          <cell r="BJ1150">
            <v>0</v>
          </cell>
          <cell r="BK1150">
            <v>0</v>
          </cell>
          <cell r="BL1150">
            <v>0</v>
          </cell>
          <cell r="BM1150">
            <v>0</v>
          </cell>
          <cell r="BN1150">
            <v>0</v>
          </cell>
          <cell r="BO1150">
            <v>0</v>
          </cell>
          <cell r="BP1150">
            <v>0</v>
          </cell>
          <cell r="BQ1150">
            <v>0</v>
          </cell>
          <cell r="BR1150">
            <v>0</v>
          </cell>
          <cell r="BT1150">
            <v>0</v>
          </cell>
          <cell r="CA1150" t="str">
            <v>12488I - REVTOT - Identified - Recompete</v>
          </cell>
          <cell r="CC1150" t="str">
            <v>12488I - REVTOT - Identified - Recompete - IS4</v>
          </cell>
          <cell r="CD1150" t="str">
            <v/>
          </cell>
          <cell r="CF1150" t="str">
            <v>12488I - Identified - Recompete - IS4</v>
          </cell>
        </row>
        <row r="1151">
          <cell r="D1151">
            <v>1137</v>
          </cell>
          <cell r="E1151">
            <v>2</v>
          </cell>
          <cell r="F1151">
            <v>3</v>
          </cell>
          <cell r="G1151" t="str">
            <v>12488I</v>
          </cell>
          <cell r="H1151" t="str">
            <v>BOP Secur Conversion SVS</v>
          </cell>
          <cell r="I1151" t="str">
            <v>IS4</v>
          </cell>
          <cell r="J1151" t="str">
            <v>IS4 Engineering and Technology Services</v>
          </cell>
          <cell r="K1151" t="str">
            <v>Other Civilian</v>
          </cell>
          <cell r="L1151" t="str">
            <v>Other</v>
          </cell>
          <cell r="M1151" t="str">
            <v>VA</v>
          </cell>
          <cell r="N1151" t="str">
            <v>CONUS</v>
          </cell>
          <cell r="O1151">
            <v>43374</v>
          </cell>
          <cell r="P1151">
            <v>43738</v>
          </cell>
          <cell r="Q1151" t="str">
            <v>Prime</v>
          </cell>
          <cell r="R1151" t="str">
            <v>FFP</v>
          </cell>
          <cell r="S1151">
            <v>0</v>
          </cell>
          <cell r="T1151">
            <v>1</v>
          </cell>
          <cell r="U1151" t="str">
            <v>CONTRACT</v>
          </cell>
          <cell r="V1151" t="str">
            <v>Base</v>
          </cell>
          <cell r="W1151" t="str">
            <v>05 Won</v>
          </cell>
          <cell r="X1151" t="str">
            <v>Active</v>
          </cell>
          <cell r="Y1151">
            <v>1</v>
          </cell>
          <cell r="Z1151">
            <v>0</v>
          </cell>
          <cell r="AA1151">
            <v>242671.50999999989</v>
          </cell>
          <cell r="AB1151">
            <v>0</v>
          </cell>
          <cell r="AC1151">
            <v>0</v>
          </cell>
          <cell r="AD1151">
            <v>242671.50999999989</v>
          </cell>
          <cell r="AL1151">
            <v>0.40803035553912859</v>
          </cell>
          <cell r="AM1151">
            <v>0.36340704641123345</v>
          </cell>
          <cell r="AN1151">
            <v>0.42954110023401637</v>
          </cell>
          <cell r="AO1151">
            <v>0.38903282412693763</v>
          </cell>
          <cell r="AP1151">
            <v>0.44022710747716842</v>
          </cell>
          <cell r="AQ1151">
            <v>0.44022710747716842</v>
          </cell>
          <cell r="AR1151">
            <v>0.44022710747716842</v>
          </cell>
          <cell r="AS1151">
            <v>0.44022710747716842</v>
          </cell>
          <cell r="BF1151">
            <v>148702.95000000001</v>
          </cell>
          <cell r="BG1151">
            <v>132201.48000000001</v>
          </cell>
          <cell r="BH1151">
            <v>161584.29</v>
          </cell>
          <cell r="BI1151">
            <v>80168.850000000006</v>
          </cell>
          <cell r="BJ1151">
            <v>65669.16</v>
          </cell>
          <cell r="BK1151">
            <v>66453.239999999991</v>
          </cell>
          <cell r="BL1151">
            <v>68976</v>
          </cell>
          <cell r="BM1151">
            <v>281267.25</v>
          </cell>
          <cell r="BN1151">
            <v>106830.5769144167</v>
          </cell>
          <cell r="BO1151">
            <v>0</v>
          </cell>
          <cell r="BP1151">
            <v>0</v>
          </cell>
          <cell r="BQ1151">
            <v>0</v>
          </cell>
          <cell r="BR1151">
            <v>388097.82691441668</v>
          </cell>
          <cell r="BT1151">
            <v>0</v>
          </cell>
          <cell r="CA1151" t="str">
            <v>12488I - CONTRACT - Base</v>
          </cell>
          <cell r="CC1151" t="str">
            <v>12488I - CONTRACT - Base - IS4</v>
          </cell>
          <cell r="CD1151" t="str">
            <v/>
          </cell>
          <cell r="CF1151" t="str">
            <v>12488I - Base - IS4</v>
          </cell>
        </row>
        <row r="1152">
          <cell r="D1152">
            <v>1138</v>
          </cell>
          <cell r="E1152">
            <v>2</v>
          </cell>
          <cell r="F1152">
            <v>4</v>
          </cell>
          <cell r="G1152" t="str">
            <v>12488I</v>
          </cell>
          <cell r="H1152" t="str">
            <v>BOP Secur Conversion SVS</v>
          </cell>
          <cell r="I1152" t="str">
            <v>IS4</v>
          </cell>
          <cell r="J1152" t="str">
            <v>IS4 Engineering and Technology Services</v>
          </cell>
          <cell r="K1152" t="str">
            <v>Other Civilian</v>
          </cell>
          <cell r="L1152" t="str">
            <v>Other</v>
          </cell>
          <cell r="M1152" t="str">
            <v>VA</v>
          </cell>
          <cell r="N1152" t="str">
            <v>CONUS</v>
          </cell>
          <cell r="O1152">
            <v>0</v>
          </cell>
          <cell r="P1152">
            <v>0</v>
          </cell>
          <cell r="Q1152">
            <v>0</v>
          </cell>
          <cell r="R1152" t="str">
            <v>FFP</v>
          </cell>
          <cell r="S1152">
            <v>0</v>
          </cell>
          <cell r="T1152">
            <v>1</v>
          </cell>
          <cell r="U1152" t="str">
            <v>CONTRACT</v>
          </cell>
          <cell r="V1152" t="str">
            <v>Identified - Recompete</v>
          </cell>
          <cell r="W1152">
            <v>0</v>
          </cell>
          <cell r="X1152">
            <v>0</v>
          </cell>
          <cell r="Y1152">
            <v>0</v>
          </cell>
          <cell r="Z1152">
            <v>0</v>
          </cell>
          <cell r="AA1152">
            <v>0</v>
          </cell>
          <cell r="AB1152">
            <v>0</v>
          </cell>
          <cell r="AC1152">
            <v>0</v>
          </cell>
          <cell r="AD1152">
            <v>0</v>
          </cell>
          <cell r="AP1152">
            <v>0</v>
          </cell>
          <cell r="AQ1152">
            <v>0</v>
          </cell>
          <cell r="AR1152">
            <v>0</v>
          </cell>
          <cell r="AS1152">
            <v>0</v>
          </cell>
          <cell r="BI1152">
            <v>0</v>
          </cell>
          <cell r="BJ1152">
            <v>0</v>
          </cell>
          <cell r="BK1152">
            <v>0</v>
          </cell>
          <cell r="BL1152">
            <v>0</v>
          </cell>
          <cell r="BM1152">
            <v>0</v>
          </cell>
          <cell r="BN1152">
            <v>0</v>
          </cell>
          <cell r="BO1152">
            <v>0</v>
          </cell>
          <cell r="BP1152">
            <v>0</v>
          </cell>
          <cell r="BQ1152">
            <v>0</v>
          </cell>
          <cell r="BR1152">
            <v>0</v>
          </cell>
          <cell r="BT1152">
            <v>0</v>
          </cell>
          <cell r="CA1152" t="str">
            <v>12488I - CONTRACT - Identified - Recompete</v>
          </cell>
          <cell r="CC1152" t="str">
            <v>12488I - CONTRACT - Identified - Recompete - IS4</v>
          </cell>
          <cell r="CD1152" t="str">
            <v/>
          </cell>
          <cell r="CF1152" t="str">
            <v>12488I - Identified - Recompete - IS4</v>
          </cell>
        </row>
        <row r="1153">
          <cell r="D1153">
            <v>1139</v>
          </cell>
          <cell r="E1153">
            <v>0</v>
          </cell>
          <cell r="F1153">
            <v>5</v>
          </cell>
          <cell r="G1153" t="str">
            <v>12488I</v>
          </cell>
          <cell r="H1153" t="str">
            <v>BOP Secur Conversion SVS</v>
          </cell>
          <cell r="I1153" t="str">
            <v>IS4</v>
          </cell>
          <cell r="J1153" t="str">
            <v>IS4 Engineering and Technology Services</v>
          </cell>
          <cell r="K1153" t="str">
            <v>Other Civilian</v>
          </cell>
          <cell r="L1153" t="str">
            <v>Other</v>
          </cell>
          <cell r="M1153" t="str">
            <v>VA</v>
          </cell>
          <cell r="N1153" t="str">
            <v>CONUS</v>
          </cell>
          <cell r="O1153">
            <v>43374</v>
          </cell>
          <cell r="P1153">
            <v>43738</v>
          </cell>
          <cell r="Q1153" t="str">
            <v>Prime</v>
          </cell>
          <cell r="R1153" t="str">
            <v>FFP</v>
          </cell>
          <cell r="S1153">
            <v>0</v>
          </cell>
          <cell r="T1153">
            <v>1</v>
          </cell>
          <cell r="U1153" t="str">
            <v>EBITA</v>
          </cell>
          <cell r="V1153" t="str">
            <v>Base</v>
          </cell>
          <cell r="W1153" t="str">
            <v>05 Won</v>
          </cell>
          <cell r="X1153" t="str">
            <v>Active</v>
          </cell>
          <cell r="Y1153">
            <v>1</v>
          </cell>
          <cell r="Z1153">
            <v>0</v>
          </cell>
          <cell r="AA1153">
            <v>242671.50999999989</v>
          </cell>
          <cell r="AB1153">
            <v>0</v>
          </cell>
          <cell r="AC1153">
            <v>0</v>
          </cell>
          <cell r="AD1153">
            <v>242671.50999999989</v>
          </cell>
          <cell r="AT1153">
            <v>0.25917447794690446</v>
          </cell>
          <cell r="AU1153">
            <v>0.26926393139127702</v>
          </cell>
          <cell r="AV1153">
            <v>0.34305708496978887</v>
          </cell>
          <cell r="AW1153">
            <v>0.29228100403179264</v>
          </cell>
          <cell r="AX1153">
            <v>0.3510271228635124</v>
          </cell>
          <cell r="AY1153">
            <v>0.3520271228635124</v>
          </cell>
          <cell r="AZ1153">
            <v>0.3530271228635124</v>
          </cell>
          <cell r="BA1153">
            <v>0.3540271228635124</v>
          </cell>
          <cell r="BF1153">
            <v>94453.780000000013</v>
          </cell>
          <cell r="BG1153">
            <v>97953.76999999999</v>
          </cell>
          <cell r="BH1153">
            <v>129050.83000000002</v>
          </cell>
          <cell r="BI1153">
            <v>64185.570000000014</v>
          </cell>
          <cell r="BJ1153">
            <v>47800.13</v>
          </cell>
          <cell r="BK1153">
            <v>48544.849999999991</v>
          </cell>
          <cell r="BL1153">
            <v>50786</v>
          </cell>
          <cell r="BM1153">
            <v>211316.55</v>
          </cell>
          <cell r="BN1153">
            <v>85184.281956244042</v>
          </cell>
          <cell r="BO1153">
            <v>0</v>
          </cell>
          <cell r="BP1153">
            <v>0</v>
          </cell>
          <cell r="BQ1153">
            <v>0</v>
          </cell>
          <cell r="BR1153">
            <v>296500.83195624402</v>
          </cell>
          <cell r="BT1153">
            <v>0</v>
          </cell>
          <cell r="CA1153" t="str">
            <v>12488I - EBITA - Base</v>
          </cell>
          <cell r="CC1153" t="str">
            <v>12488I - EBITA - Base - IS4</v>
          </cell>
          <cell r="CD1153" t="str">
            <v/>
          </cell>
          <cell r="CF1153" t="str">
            <v>12488I - Base - IS4</v>
          </cell>
        </row>
        <row r="1154">
          <cell r="D1154">
            <v>1140</v>
          </cell>
          <cell r="E1154">
            <v>0</v>
          </cell>
          <cell r="F1154">
            <v>0</v>
          </cell>
          <cell r="G1154" t="str">
            <v>12488I</v>
          </cell>
          <cell r="H1154" t="str">
            <v>BOP Secur Conversion SVS</v>
          </cell>
          <cell r="I1154" t="str">
            <v>IS4</v>
          </cell>
          <cell r="J1154" t="str">
            <v>IS4 Engineering and Technology Services</v>
          </cell>
          <cell r="K1154" t="str">
            <v>Other Civilian</v>
          </cell>
          <cell r="L1154" t="str">
            <v>Other</v>
          </cell>
          <cell r="M1154" t="str">
            <v>VA</v>
          </cell>
          <cell r="N1154" t="str">
            <v>CONUS</v>
          </cell>
          <cell r="O1154">
            <v>0</v>
          </cell>
          <cell r="P1154">
            <v>0</v>
          </cell>
          <cell r="Q1154">
            <v>0</v>
          </cell>
          <cell r="R1154" t="str">
            <v>FFP</v>
          </cell>
          <cell r="S1154">
            <v>0</v>
          </cell>
          <cell r="T1154">
            <v>1</v>
          </cell>
          <cell r="U1154" t="str">
            <v>EBITA</v>
          </cell>
          <cell r="V1154" t="str">
            <v>Identified - Recompete</v>
          </cell>
          <cell r="W1154">
            <v>0</v>
          </cell>
          <cell r="X1154">
            <v>0</v>
          </cell>
          <cell r="Y1154">
            <v>0</v>
          </cell>
          <cell r="Z1154">
            <v>0</v>
          </cell>
          <cell r="AA1154">
            <v>0</v>
          </cell>
          <cell r="AB1154">
            <v>0</v>
          </cell>
          <cell r="AC1154">
            <v>0</v>
          </cell>
          <cell r="AD1154">
            <v>0</v>
          </cell>
          <cell r="AX1154">
            <v>0</v>
          </cell>
          <cell r="AY1154">
            <v>0</v>
          </cell>
          <cell r="AZ1154">
            <v>0</v>
          </cell>
          <cell r="BA1154">
            <v>0</v>
          </cell>
          <cell r="BI1154">
            <v>0</v>
          </cell>
          <cell r="BJ1154">
            <v>0</v>
          </cell>
          <cell r="BK1154">
            <v>0</v>
          </cell>
          <cell r="BL1154">
            <v>0</v>
          </cell>
          <cell r="BM1154">
            <v>0</v>
          </cell>
          <cell r="BN1154">
            <v>0</v>
          </cell>
          <cell r="BO1154">
            <v>0</v>
          </cell>
          <cell r="BP1154">
            <v>0</v>
          </cell>
          <cell r="BQ1154">
            <v>0</v>
          </cell>
          <cell r="BR1154">
            <v>0</v>
          </cell>
          <cell r="BT1154">
            <v>0</v>
          </cell>
          <cell r="CA1154" t="str">
            <v>12488I - EBITA - Identified - Recompete</v>
          </cell>
          <cell r="CC1154" t="str">
            <v>12488I - EBITA - Identified - Recompete - IS4</v>
          </cell>
          <cell r="CD1154" t="str">
            <v/>
          </cell>
          <cell r="CF1154" t="str">
            <v>12488I - Identified - Recompete - IS4</v>
          </cell>
        </row>
        <row r="1155">
          <cell r="D1155">
            <v>1141</v>
          </cell>
          <cell r="E1155">
            <v>1</v>
          </cell>
          <cell r="F1155">
            <v>1</v>
          </cell>
          <cell r="G1155" t="str">
            <v>XPACAF</v>
          </cell>
          <cell r="H1155" t="str">
            <v>PACAF Cyber Security</v>
          </cell>
          <cell r="I1155" t="str">
            <v>IS4</v>
          </cell>
          <cell r="J1155" t="str">
            <v>IS4 Spectrum &amp; Infrastructure Assurance</v>
          </cell>
          <cell r="K1155" t="str">
            <v>Air Force</v>
          </cell>
          <cell r="L1155" t="str">
            <v>DOD</v>
          </cell>
          <cell r="M1155" t="str">
            <v>HI</v>
          </cell>
          <cell r="N1155" t="str">
            <v>CONUS</v>
          </cell>
          <cell r="O1155">
            <v>43008</v>
          </cell>
          <cell r="P1155">
            <v>44833</v>
          </cell>
          <cell r="Q1155" t="str">
            <v>Sub</v>
          </cell>
          <cell r="R1155" t="str">
            <v>FFP</v>
          </cell>
          <cell r="S1155">
            <v>0</v>
          </cell>
          <cell r="T1155">
            <v>1</v>
          </cell>
          <cell r="U1155" t="str">
            <v>REVTOT</v>
          </cell>
          <cell r="V1155" t="str">
            <v>Base</v>
          </cell>
          <cell r="W1155" t="str">
            <v>05 Won</v>
          </cell>
          <cell r="X1155" t="str">
            <v>Active</v>
          </cell>
          <cell r="Y1155">
            <v>1</v>
          </cell>
          <cell r="Z1155">
            <v>0</v>
          </cell>
          <cell r="AA1155">
            <v>1026802.8199999996</v>
          </cell>
          <cell r="AB1155">
            <v>2829335.4000000004</v>
          </cell>
          <cell r="AC1155">
            <v>0</v>
          </cell>
          <cell r="AD1155">
            <v>3856138.2199999997</v>
          </cell>
          <cell r="AE1155">
            <v>0</v>
          </cell>
          <cell r="AF1155">
            <v>0</v>
          </cell>
          <cell r="AG1155">
            <v>-0.23713418777043249</v>
          </cell>
          <cell r="AH1155">
            <v>-0.13788568178942673</v>
          </cell>
          <cell r="AI1155">
            <v>0</v>
          </cell>
          <cell r="AJ1155">
            <v>0</v>
          </cell>
          <cell r="AK1155">
            <v>0</v>
          </cell>
          <cell r="BB1155">
            <v>602556</v>
          </cell>
          <cell r="BC1155">
            <v>602556</v>
          </cell>
          <cell r="BD1155">
            <v>602556</v>
          </cell>
          <cell r="BE1155">
            <v>602556</v>
          </cell>
          <cell r="BF1155">
            <v>0</v>
          </cell>
          <cell r="BG1155">
            <v>0</v>
          </cell>
          <cell r="BH1155">
            <v>916187.59</v>
          </cell>
          <cell r="BI1155">
            <v>188955.06</v>
          </cell>
          <cell r="BJ1155">
            <v>156780.37</v>
          </cell>
          <cell r="BK1155">
            <v>143953.76</v>
          </cell>
          <cell r="BL1155">
            <v>209239</v>
          </cell>
          <cell r="BM1155">
            <v>698928.19</v>
          </cell>
          <cell r="BN1155">
            <v>602556</v>
          </cell>
          <cell r="BO1155">
            <v>602556</v>
          </cell>
          <cell r="BP1155">
            <v>602556</v>
          </cell>
          <cell r="BQ1155">
            <v>602556</v>
          </cell>
          <cell r="BR1155">
            <v>3109152.19</v>
          </cell>
          <cell r="BT1155">
            <v>0</v>
          </cell>
          <cell r="CA1155" t="str">
            <v>XPACAF - REVTOT - Base</v>
          </cell>
          <cell r="CC1155" t="str">
            <v>XPACAF - REVTOT - Base - IS4</v>
          </cell>
          <cell r="CD1155" t="str">
            <v/>
          </cell>
          <cell r="CF1155" t="str">
            <v>XPACAF - Base - IS4</v>
          </cell>
        </row>
        <row r="1156">
          <cell r="D1156">
            <v>1142</v>
          </cell>
          <cell r="E1156">
            <v>1</v>
          </cell>
          <cell r="F1156">
            <v>2</v>
          </cell>
          <cell r="G1156" t="str">
            <v>XPACAF</v>
          </cell>
          <cell r="H1156" t="str">
            <v>PACAF Cyber Security</v>
          </cell>
          <cell r="I1156" t="str">
            <v>IS4</v>
          </cell>
          <cell r="J1156" t="str">
            <v>IS4 Spectrum &amp; Infrastructure Assurance</v>
          </cell>
          <cell r="K1156" t="str">
            <v>Air Force</v>
          </cell>
          <cell r="L1156" t="str">
            <v>DOD</v>
          </cell>
          <cell r="M1156" t="str">
            <v>HI</v>
          </cell>
          <cell r="N1156" t="str">
            <v>CONUS</v>
          </cell>
          <cell r="O1156">
            <v>0</v>
          </cell>
          <cell r="P1156">
            <v>0</v>
          </cell>
          <cell r="Q1156">
            <v>0</v>
          </cell>
          <cell r="R1156" t="str">
            <v>FFP</v>
          </cell>
          <cell r="S1156">
            <v>0</v>
          </cell>
          <cell r="T1156">
            <v>1</v>
          </cell>
          <cell r="U1156" t="str">
            <v>REVTOT</v>
          </cell>
          <cell r="V1156" t="str">
            <v>Identified - Recompete</v>
          </cell>
          <cell r="W1156">
            <v>0</v>
          </cell>
          <cell r="X1156">
            <v>0</v>
          </cell>
          <cell r="Y1156">
            <v>0</v>
          </cell>
          <cell r="Z1156">
            <v>0</v>
          </cell>
          <cell r="AA1156">
            <v>0</v>
          </cell>
          <cell r="AB1156">
            <v>0</v>
          </cell>
          <cell r="AC1156">
            <v>0</v>
          </cell>
          <cell r="AD1156">
            <v>0</v>
          </cell>
          <cell r="AI1156">
            <v>0</v>
          </cell>
          <cell r="AJ1156">
            <v>0</v>
          </cell>
          <cell r="AK1156">
            <v>0</v>
          </cell>
          <cell r="BB1156">
            <v>0</v>
          </cell>
          <cell r="BC1156">
            <v>0</v>
          </cell>
          <cell r="BD1156">
            <v>0</v>
          </cell>
          <cell r="BE1156">
            <v>0</v>
          </cell>
          <cell r="BI1156">
            <v>0</v>
          </cell>
          <cell r="BJ1156">
            <v>0</v>
          </cell>
          <cell r="BK1156">
            <v>0</v>
          </cell>
          <cell r="BL1156">
            <v>0</v>
          </cell>
          <cell r="BM1156">
            <v>0</v>
          </cell>
          <cell r="BN1156">
            <v>0</v>
          </cell>
          <cell r="BO1156">
            <v>0</v>
          </cell>
          <cell r="BP1156">
            <v>0</v>
          </cell>
          <cell r="BQ1156">
            <v>0</v>
          </cell>
          <cell r="BR1156">
            <v>0</v>
          </cell>
          <cell r="BT1156">
            <v>0</v>
          </cell>
          <cell r="CA1156" t="str">
            <v>XPACAF - REVTOT - Identified - Recompete</v>
          </cell>
          <cell r="CC1156" t="str">
            <v>XPACAF - REVTOT - Identified - Recompete - IS4</v>
          </cell>
          <cell r="CD1156" t="str">
            <v/>
          </cell>
          <cell r="CF1156" t="str">
            <v>XPACAF - Identified - Recompete - IS4</v>
          </cell>
        </row>
        <row r="1157">
          <cell r="D1157">
            <v>1143</v>
          </cell>
          <cell r="E1157">
            <v>2</v>
          </cell>
          <cell r="F1157">
            <v>3</v>
          </cell>
          <cell r="G1157" t="str">
            <v>XPACAF</v>
          </cell>
          <cell r="H1157" t="str">
            <v>PACAF Cyber Security</v>
          </cell>
          <cell r="I1157" t="str">
            <v>IS4</v>
          </cell>
          <cell r="J1157" t="str">
            <v>IS4 Spectrum &amp; Infrastructure Assurance</v>
          </cell>
          <cell r="K1157" t="str">
            <v>Air Force</v>
          </cell>
          <cell r="L1157" t="str">
            <v>DOD</v>
          </cell>
          <cell r="M1157" t="str">
            <v>HI</v>
          </cell>
          <cell r="N1157" t="str">
            <v>CONUS</v>
          </cell>
          <cell r="O1157">
            <v>43008</v>
          </cell>
          <cell r="P1157">
            <v>44833</v>
          </cell>
          <cell r="Q1157" t="str">
            <v>Sub</v>
          </cell>
          <cell r="R1157" t="str">
            <v>FFP</v>
          </cell>
          <cell r="S1157">
            <v>0</v>
          </cell>
          <cell r="T1157">
            <v>1</v>
          </cell>
          <cell r="U1157" t="str">
            <v>CONTRACT</v>
          </cell>
          <cell r="V1157" t="str">
            <v>Base</v>
          </cell>
          <cell r="W1157" t="str">
            <v>05 Won</v>
          </cell>
          <cell r="X1157" t="str">
            <v>Active</v>
          </cell>
          <cell r="Y1157">
            <v>1</v>
          </cell>
          <cell r="Z1157">
            <v>0</v>
          </cell>
          <cell r="AA1157">
            <v>1026802.8199999996</v>
          </cell>
          <cell r="AB1157">
            <v>2829335.4000000004</v>
          </cell>
          <cell r="AC1157">
            <v>0</v>
          </cell>
          <cell r="AD1157">
            <v>3856138.2199999997</v>
          </cell>
          <cell r="AL1157">
            <v>0</v>
          </cell>
          <cell r="AM1157">
            <v>0</v>
          </cell>
          <cell r="AN1157">
            <v>0.31552563378423409</v>
          </cell>
          <cell r="AO1157">
            <v>0.23421763829557371</v>
          </cell>
          <cell r="AP1157">
            <v>0.21085062633182641</v>
          </cell>
          <cell r="AQ1157">
            <v>0.21085062633182641</v>
          </cell>
          <cell r="AR1157">
            <v>0.21085062633182641</v>
          </cell>
          <cell r="AS1157">
            <v>0.21085062633182641</v>
          </cell>
          <cell r="BF1157">
            <v>0</v>
          </cell>
          <cell r="BG1157">
            <v>0</v>
          </cell>
          <cell r="BH1157">
            <v>289080.67</v>
          </cell>
          <cell r="BI1157">
            <v>41698.130000000005</v>
          </cell>
          <cell r="BJ1157">
            <v>18722.69999999999</v>
          </cell>
          <cell r="BK1157">
            <v>42020.480000000003</v>
          </cell>
          <cell r="BL1157">
            <v>61260</v>
          </cell>
          <cell r="BM1157">
            <v>163701.31</v>
          </cell>
          <cell r="BN1157">
            <v>127049.31</v>
          </cell>
          <cell r="BO1157">
            <v>127049.31</v>
          </cell>
          <cell r="BP1157">
            <v>127049.31</v>
          </cell>
          <cell r="BQ1157">
            <v>127049.31</v>
          </cell>
          <cell r="BR1157">
            <v>671898.55</v>
          </cell>
          <cell r="BT1157">
            <v>0</v>
          </cell>
          <cell r="CA1157" t="str">
            <v>XPACAF - CONTRACT - Base</v>
          </cell>
          <cell r="CC1157" t="str">
            <v>XPACAF - CONTRACT - Base - IS4</v>
          </cell>
          <cell r="CD1157" t="str">
            <v/>
          </cell>
          <cell r="CF1157" t="str">
            <v>XPACAF - Base - IS4</v>
          </cell>
        </row>
        <row r="1158">
          <cell r="D1158">
            <v>1144</v>
          </cell>
          <cell r="E1158">
            <v>2</v>
          </cell>
          <cell r="F1158">
            <v>4</v>
          </cell>
          <cell r="G1158" t="str">
            <v>XPACAF</v>
          </cell>
          <cell r="H1158" t="str">
            <v>PACAF Cyber Security</v>
          </cell>
          <cell r="I1158" t="str">
            <v>IS4</v>
          </cell>
          <cell r="J1158" t="str">
            <v>IS4 Spectrum &amp; Infrastructure Assurance</v>
          </cell>
          <cell r="K1158" t="str">
            <v>Air Force</v>
          </cell>
          <cell r="L1158" t="str">
            <v>DOD</v>
          </cell>
          <cell r="M1158" t="str">
            <v>HI</v>
          </cell>
          <cell r="N1158" t="str">
            <v>CONUS</v>
          </cell>
          <cell r="O1158">
            <v>0</v>
          </cell>
          <cell r="P1158">
            <v>0</v>
          </cell>
          <cell r="Q1158">
            <v>0</v>
          </cell>
          <cell r="R1158" t="str">
            <v>FFP</v>
          </cell>
          <cell r="S1158">
            <v>0</v>
          </cell>
          <cell r="T1158">
            <v>1</v>
          </cell>
          <cell r="U1158" t="str">
            <v>CONTRACT</v>
          </cell>
          <cell r="V1158" t="str">
            <v>Identified - Recompete</v>
          </cell>
          <cell r="W1158">
            <v>0</v>
          </cell>
          <cell r="X1158">
            <v>0</v>
          </cell>
          <cell r="Y1158">
            <v>0</v>
          </cell>
          <cell r="Z1158">
            <v>0</v>
          </cell>
          <cell r="AA1158">
            <v>0</v>
          </cell>
          <cell r="AB1158">
            <v>0</v>
          </cell>
          <cell r="AC1158">
            <v>0</v>
          </cell>
          <cell r="AD1158">
            <v>0</v>
          </cell>
          <cell r="AP1158">
            <v>0</v>
          </cell>
          <cell r="AQ1158">
            <v>0</v>
          </cell>
          <cell r="AR1158">
            <v>0</v>
          </cell>
          <cell r="AS1158">
            <v>0</v>
          </cell>
          <cell r="BI1158">
            <v>0</v>
          </cell>
          <cell r="BJ1158">
            <v>0</v>
          </cell>
          <cell r="BK1158">
            <v>0</v>
          </cell>
          <cell r="BL1158">
            <v>0</v>
          </cell>
          <cell r="BM1158">
            <v>0</v>
          </cell>
          <cell r="BN1158">
            <v>0</v>
          </cell>
          <cell r="BO1158">
            <v>0</v>
          </cell>
          <cell r="BP1158">
            <v>0</v>
          </cell>
          <cell r="BQ1158">
            <v>0</v>
          </cell>
          <cell r="BR1158">
            <v>0</v>
          </cell>
          <cell r="BT1158">
            <v>0</v>
          </cell>
          <cell r="CA1158" t="str">
            <v>XPACAF - CONTRACT - Identified - Recompete</v>
          </cell>
          <cell r="CC1158" t="str">
            <v>XPACAF - CONTRACT - Identified - Recompete - IS4</v>
          </cell>
          <cell r="CD1158" t="str">
            <v/>
          </cell>
          <cell r="CF1158" t="str">
            <v>XPACAF - Identified - Recompete - IS4</v>
          </cell>
        </row>
        <row r="1159">
          <cell r="D1159">
            <v>1145</v>
          </cell>
          <cell r="E1159">
            <v>0</v>
          </cell>
          <cell r="F1159">
            <v>5</v>
          </cell>
          <cell r="G1159" t="str">
            <v>XPACAF</v>
          </cell>
          <cell r="H1159" t="str">
            <v>PACAF Cyber Security</v>
          </cell>
          <cell r="I1159" t="str">
            <v>IS4</v>
          </cell>
          <cell r="J1159" t="str">
            <v>IS4 Spectrum &amp; Infrastructure Assurance</v>
          </cell>
          <cell r="K1159" t="str">
            <v>Air Force</v>
          </cell>
          <cell r="L1159" t="str">
            <v>DOD</v>
          </cell>
          <cell r="M1159" t="str">
            <v>HI</v>
          </cell>
          <cell r="N1159" t="str">
            <v>CONUS</v>
          </cell>
          <cell r="O1159">
            <v>43008</v>
          </cell>
          <cell r="P1159">
            <v>44833</v>
          </cell>
          <cell r="Q1159" t="str">
            <v>Sub</v>
          </cell>
          <cell r="R1159" t="str">
            <v>FFP</v>
          </cell>
          <cell r="S1159">
            <v>0</v>
          </cell>
          <cell r="T1159">
            <v>1</v>
          </cell>
          <cell r="U1159" t="str">
            <v>EBITA</v>
          </cell>
          <cell r="V1159" t="str">
            <v>Base</v>
          </cell>
          <cell r="W1159" t="str">
            <v>05 Won</v>
          </cell>
          <cell r="X1159" t="str">
            <v>Active</v>
          </cell>
          <cell r="Y1159">
            <v>1</v>
          </cell>
          <cell r="Z1159">
            <v>0</v>
          </cell>
          <cell r="AA1159">
            <v>1026802.8199999996</v>
          </cell>
          <cell r="AB1159">
            <v>2829335.4000000004</v>
          </cell>
          <cell r="AC1159">
            <v>0</v>
          </cell>
          <cell r="AD1159">
            <v>3856138.2199999997</v>
          </cell>
          <cell r="AT1159">
            <v>0</v>
          </cell>
          <cell r="AU1159">
            <v>0</v>
          </cell>
          <cell r="AV1159">
            <v>0.14364916250393656</v>
          </cell>
          <cell r="AW1159">
            <v>0.11267941560634435</v>
          </cell>
          <cell r="AX1159">
            <v>8.1445887260155031E-2</v>
          </cell>
          <cell r="AY1159">
            <v>8.2445887260155032E-2</v>
          </cell>
          <cell r="AZ1159">
            <v>8.3445887260155033E-2</v>
          </cell>
          <cell r="BA1159">
            <v>8.4445887260155034E-2</v>
          </cell>
          <cell r="BF1159">
            <v>0</v>
          </cell>
          <cell r="BG1159">
            <v>0</v>
          </cell>
          <cell r="BH1159">
            <v>131609.57999999999</v>
          </cell>
          <cell r="BI1159">
            <v>17483.490000000005</v>
          </cell>
          <cell r="BJ1159">
            <v>-2748.2400000000107</v>
          </cell>
          <cell r="BK1159">
            <v>24962.570000000003</v>
          </cell>
          <cell r="BL1159">
            <v>39057</v>
          </cell>
          <cell r="BM1159">
            <v>78754.820000000007</v>
          </cell>
          <cell r="BN1159">
            <v>49075.708043929975</v>
          </cell>
          <cell r="BO1159">
            <v>49678.264043929972</v>
          </cell>
          <cell r="BP1159">
            <v>50280.820043929976</v>
          </cell>
          <cell r="BQ1159">
            <v>50883.376043929973</v>
          </cell>
          <cell r="BR1159">
            <v>278672.98817571986</v>
          </cell>
          <cell r="BT1159">
            <v>0</v>
          </cell>
          <cell r="CA1159" t="str">
            <v>XPACAF - EBITA - Base</v>
          </cell>
          <cell r="CC1159" t="str">
            <v>XPACAF - EBITA - Base - IS4</v>
          </cell>
          <cell r="CD1159" t="str">
            <v/>
          </cell>
          <cell r="CF1159" t="str">
            <v>XPACAF - Base - IS4</v>
          </cell>
        </row>
        <row r="1160">
          <cell r="D1160">
            <v>1146</v>
          </cell>
          <cell r="E1160">
            <v>0</v>
          </cell>
          <cell r="F1160">
            <v>0</v>
          </cell>
          <cell r="G1160" t="str">
            <v>XPACAF</v>
          </cell>
          <cell r="H1160" t="str">
            <v>PACAF Cyber Security</v>
          </cell>
          <cell r="I1160" t="str">
            <v>IS4</v>
          </cell>
          <cell r="J1160" t="str">
            <v>IS4 Spectrum &amp; Infrastructure Assurance</v>
          </cell>
          <cell r="K1160" t="str">
            <v>Air Force</v>
          </cell>
          <cell r="L1160" t="str">
            <v>DOD</v>
          </cell>
          <cell r="M1160" t="str">
            <v>HI</v>
          </cell>
          <cell r="N1160" t="str">
            <v>CONUS</v>
          </cell>
          <cell r="O1160">
            <v>0</v>
          </cell>
          <cell r="P1160">
            <v>0</v>
          </cell>
          <cell r="Q1160">
            <v>0</v>
          </cell>
          <cell r="R1160" t="str">
            <v>FFP</v>
          </cell>
          <cell r="S1160">
            <v>0</v>
          </cell>
          <cell r="T1160">
            <v>1</v>
          </cell>
          <cell r="U1160" t="str">
            <v>EBITA</v>
          </cell>
          <cell r="V1160" t="str">
            <v>Identified - Recompete</v>
          </cell>
          <cell r="W1160">
            <v>0</v>
          </cell>
          <cell r="X1160">
            <v>0</v>
          </cell>
          <cell r="Y1160">
            <v>0</v>
          </cell>
          <cell r="Z1160">
            <v>0</v>
          </cell>
          <cell r="AA1160">
            <v>0</v>
          </cell>
          <cell r="AB1160">
            <v>0</v>
          </cell>
          <cell r="AC1160">
            <v>0</v>
          </cell>
          <cell r="AD1160">
            <v>0</v>
          </cell>
          <cell r="AX1160">
            <v>0</v>
          </cell>
          <cell r="AY1160">
            <v>0</v>
          </cell>
          <cell r="AZ1160">
            <v>0</v>
          </cell>
          <cell r="BA1160">
            <v>0</v>
          </cell>
          <cell r="BI1160">
            <v>0</v>
          </cell>
          <cell r="BJ1160">
            <v>0</v>
          </cell>
          <cell r="BK1160">
            <v>0</v>
          </cell>
          <cell r="BL1160">
            <v>0</v>
          </cell>
          <cell r="BM1160">
            <v>0</v>
          </cell>
          <cell r="BN1160">
            <v>0</v>
          </cell>
          <cell r="BO1160">
            <v>0</v>
          </cell>
          <cell r="BP1160">
            <v>0</v>
          </cell>
          <cell r="BQ1160">
            <v>0</v>
          </cell>
          <cell r="BR1160">
            <v>0</v>
          </cell>
          <cell r="BT1160">
            <v>0</v>
          </cell>
          <cell r="CA1160" t="str">
            <v>XPACAF - EBITA - Identified - Recompete</v>
          </cell>
          <cell r="CC1160" t="str">
            <v>XPACAF - EBITA - Identified - Recompete - IS4</v>
          </cell>
          <cell r="CD1160" t="str">
            <v/>
          </cell>
          <cell r="CF1160" t="str">
            <v>XPACAF - Identified - Recompete - IS4</v>
          </cell>
        </row>
        <row r="1161">
          <cell r="D1161">
            <v>1147</v>
          </cell>
          <cell r="E1161">
            <v>1</v>
          </cell>
          <cell r="F1161">
            <v>1</v>
          </cell>
          <cell r="G1161" t="str">
            <v>XXAIE2</v>
          </cell>
          <cell r="H1161" t="str">
            <v>TPSS AIE2</v>
          </cell>
          <cell r="I1161" t="str">
            <v>IS4</v>
          </cell>
          <cell r="J1161" t="str">
            <v>IS4 Spectrum &amp; Infrastructure Assurance</v>
          </cell>
          <cell r="K1161" t="str">
            <v>Army</v>
          </cell>
          <cell r="L1161" t="str">
            <v>DOD</v>
          </cell>
          <cell r="M1161" t="str">
            <v>TX</v>
          </cell>
          <cell r="N1161" t="str">
            <v>CONUS</v>
          </cell>
          <cell r="O1161">
            <v>43371</v>
          </cell>
          <cell r="P1161">
            <v>43735</v>
          </cell>
          <cell r="Q1161" t="str">
            <v>Sub</v>
          </cell>
          <cell r="R1161" t="str">
            <v>FFP</v>
          </cell>
          <cell r="S1161">
            <v>0</v>
          </cell>
          <cell r="T1161">
            <v>1</v>
          </cell>
          <cell r="U1161" t="str">
            <v>REVTOT</v>
          </cell>
          <cell r="V1161" t="str">
            <v>Base</v>
          </cell>
          <cell r="W1161" t="str">
            <v>05 Won</v>
          </cell>
          <cell r="X1161" t="str">
            <v>Active</v>
          </cell>
          <cell r="Y1161">
            <v>1</v>
          </cell>
          <cell r="Z1161">
            <v>0</v>
          </cell>
          <cell r="AA1161">
            <v>112801.93999999994</v>
          </cell>
          <cell r="AB1161">
            <v>1.1641532182693481E-10</v>
          </cell>
          <cell r="AC1161">
            <v>0</v>
          </cell>
          <cell r="AD1161">
            <v>112801.94000000006</v>
          </cell>
          <cell r="AE1161">
            <v>0</v>
          </cell>
          <cell r="AF1161">
            <v>0</v>
          </cell>
          <cell r="AG1161">
            <v>0</v>
          </cell>
          <cell r="AH1161">
            <v>-1</v>
          </cell>
          <cell r="AI1161">
            <v>0</v>
          </cell>
          <cell r="AJ1161">
            <v>0</v>
          </cell>
          <cell r="AK1161">
            <v>0</v>
          </cell>
          <cell r="BB1161">
            <v>0</v>
          </cell>
          <cell r="BC1161">
            <v>0</v>
          </cell>
          <cell r="BD1161">
            <v>0</v>
          </cell>
          <cell r="BE1161">
            <v>0</v>
          </cell>
          <cell r="BF1161">
            <v>0</v>
          </cell>
          <cell r="BG1161">
            <v>0</v>
          </cell>
          <cell r="BH1161">
            <v>0</v>
          </cell>
          <cell r="BI1161">
            <v>165764.51</v>
          </cell>
          <cell r="BJ1161">
            <v>198480.77000000002</v>
          </cell>
          <cell r="BK1161">
            <v>204920.7</v>
          </cell>
          <cell r="BL1161">
            <v>530159</v>
          </cell>
          <cell r="BM1161">
            <v>1099324.98</v>
          </cell>
          <cell r="BN1161">
            <v>0</v>
          </cell>
          <cell r="BO1161">
            <v>0</v>
          </cell>
          <cell r="BP1161">
            <v>0</v>
          </cell>
          <cell r="BQ1161">
            <v>0</v>
          </cell>
          <cell r="BR1161">
            <v>1099324.98</v>
          </cell>
          <cell r="BT1161">
            <v>0</v>
          </cell>
          <cell r="CA1161" t="str">
            <v>XXAIE2 - REVTOT - Base</v>
          </cell>
          <cell r="CC1161" t="str">
            <v>XXAIE2 - REVTOT - Base - IS4</v>
          </cell>
          <cell r="CD1161" t="str">
            <v/>
          </cell>
          <cell r="CF1161" t="str">
            <v>XXAIE2 - Base - IS4</v>
          </cell>
        </row>
        <row r="1162">
          <cell r="D1162">
            <v>1148</v>
          </cell>
          <cell r="E1162">
            <v>1</v>
          </cell>
          <cell r="F1162">
            <v>2</v>
          </cell>
          <cell r="G1162" t="str">
            <v>XXAIE2</v>
          </cell>
          <cell r="H1162" t="str">
            <v>TPSS AIE2</v>
          </cell>
          <cell r="I1162" t="str">
            <v>IS4</v>
          </cell>
          <cell r="J1162" t="str">
            <v>IS4 Spectrum &amp; Infrastructure Assurance</v>
          </cell>
          <cell r="K1162" t="str">
            <v>Army</v>
          </cell>
          <cell r="L1162" t="str">
            <v>DOD</v>
          </cell>
          <cell r="M1162" t="str">
            <v>TX</v>
          </cell>
          <cell r="N1162" t="str">
            <v>CONUS</v>
          </cell>
          <cell r="O1162">
            <v>0</v>
          </cell>
          <cell r="P1162">
            <v>0</v>
          </cell>
          <cell r="Q1162">
            <v>0</v>
          </cell>
          <cell r="R1162" t="str">
            <v>FFP</v>
          </cell>
          <cell r="S1162">
            <v>0</v>
          </cell>
          <cell r="T1162">
            <v>1</v>
          </cell>
          <cell r="U1162" t="str">
            <v>REVTOT</v>
          </cell>
          <cell r="V1162" t="str">
            <v>Identified - Recompete</v>
          </cell>
          <cell r="W1162">
            <v>0</v>
          </cell>
          <cell r="X1162">
            <v>0</v>
          </cell>
          <cell r="Y1162">
            <v>0</v>
          </cell>
          <cell r="Z1162">
            <v>0</v>
          </cell>
          <cell r="AA1162">
            <v>0</v>
          </cell>
          <cell r="AB1162">
            <v>0</v>
          </cell>
          <cell r="AC1162">
            <v>0</v>
          </cell>
          <cell r="AD1162">
            <v>0</v>
          </cell>
          <cell r="AI1162">
            <v>0</v>
          </cell>
          <cell r="AJ1162">
            <v>0</v>
          </cell>
          <cell r="AK1162">
            <v>0</v>
          </cell>
          <cell r="BB1162">
            <v>0</v>
          </cell>
          <cell r="BC1162">
            <v>0</v>
          </cell>
          <cell r="BD1162">
            <v>0</v>
          </cell>
          <cell r="BE1162">
            <v>0</v>
          </cell>
          <cell r="BI1162">
            <v>0</v>
          </cell>
          <cell r="BJ1162">
            <v>0</v>
          </cell>
          <cell r="BK1162">
            <v>0</v>
          </cell>
          <cell r="BL1162">
            <v>0</v>
          </cell>
          <cell r="BM1162">
            <v>0</v>
          </cell>
          <cell r="BN1162">
            <v>0</v>
          </cell>
          <cell r="BO1162">
            <v>0</v>
          </cell>
          <cell r="BP1162">
            <v>0</v>
          </cell>
          <cell r="BQ1162">
            <v>0</v>
          </cell>
          <cell r="BR1162">
            <v>0</v>
          </cell>
          <cell r="BT1162">
            <v>0</v>
          </cell>
          <cell r="CA1162" t="str">
            <v>XXAIE2 - REVTOT - Identified - Recompete</v>
          </cell>
          <cell r="CC1162" t="str">
            <v>XXAIE2 - REVTOT - Identified - Recompete - IS4</v>
          </cell>
          <cell r="CD1162" t="str">
            <v/>
          </cell>
          <cell r="CF1162" t="str">
            <v>XXAIE2 - Identified - Recompete - IS4</v>
          </cell>
        </row>
        <row r="1163">
          <cell r="D1163">
            <v>1149</v>
          </cell>
          <cell r="E1163">
            <v>2</v>
          </cell>
          <cell r="F1163">
            <v>3</v>
          </cell>
          <cell r="G1163" t="str">
            <v>XXAIE2</v>
          </cell>
          <cell r="H1163" t="str">
            <v>TPSS AIE2</v>
          </cell>
          <cell r="I1163" t="str">
            <v>IS4</v>
          </cell>
          <cell r="J1163" t="str">
            <v>IS4 Spectrum &amp; Infrastructure Assurance</v>
          </cell>
          <cell r="K1163" t="str">
            <v>Army</v>
          </cell>
          <cell r="L1163" t="str">
            <v>DOD</v>
          </cell>
          <cell r="M1163" t="str">
            <v>TX</v>
          </cell>
          <cell r="N1163" t="str">
            <v>CONUS</v>
          </cell>
          <cell r="O1163">
            <v>43371</v>
          </cell>
          <cell r="P1163">
            <v>43735</v>
          </cell>
          <cell r="Q1163" t="str">
            <v>Sub</v>
          </cell>
          <cell r="R1163" t="str">
            <v>FFP</v>
          </cell>
          <cell r="S1163">
            <v>0</v>
          </cell>
          <cell r="T1163">
            <v>1</v>
          </cell>
          <cell r="U1163" t="str">
            <v>CONTRACT</v>
          </cell>
          <cell r="V1163" t="str">
            <v>Base</v>
          </cell>
          <cell r="W1163" t="str">
            <v>05 Won</v>
          </cell>
          <cell r="X1163" t="str">
            <v>Active</v>
          </cell>
          <cell r="Y1163">
            <v>1</v>
          </cell>
          <cell r="Z1163">
            <v>0</v>
          </cell>
          <cell r="AA1163">
            <v>112801.93999999994</v>
          </cell>
          <cell r="AB1163">
            <v>1.1641532182693481E-10</v>
          </cell>
          <cell r="AC1163">
            <v>0</v>
          </cell>
          <cell r="AD1163">
            <v>112801.94000000006</v>
          </cell>
          <cell r="AL1163">
            <v>0</v>
          </cell>
          <cell r="AM1163">
            <v>0</v>
          </cell>
          <cell r="AN1163">
            <v>0</v>
          </cell>
          <cell r="AO1163">
            <v>0.26210166715214644</v>
          </cell>
          <cell r="AP1163">
            <v>0.26210166715214644</v>
          </cell>
          <cell r="AQ1163">
            <v>0.26210166715214644</v>
          </cell>
          <cell r="AR1163">
            <v>0.26210166715214644</v>
          </cell>
          <cell r="AS1163">
            <v>0.26210166715214644</v>
          </cell>
          <cell r="BF1163">
            <v>0</v>
          </cell>
          <cell r="BG1163">
            <v>0</v>
          </cell>
          <cell r="BH1163">
            <v>0</v>
          </cell>
          <cell r="BI1163">
            <v>31212.570000000007</v>
          </cell>
          <cell r="BJ1163">
            <v>67416.460000000006</v>
          </cell>
          <cell r="BK1163">
            <v>66239.87999999999</v>
          </cell>
          <cell r="BL1163">
            <v>123266</v>
          </cell>
          <cell r="BM1163">
            <v>288134.91000000003</v>
          </cell>
          <cell r="BN1163">
            <v>0</v>
          </cell>
          <cell r="BO1163">
            <v>0</v>
          </cell>
          <cell r="BP1163">
            <v>0</v>
          </cell>
          <cell r="BQ1163">
            <v>0</v>
          </cell>
          <cell r="BR1163">
            <v>288134.91000000003</v>
          </cell>
          <cell r="BT1163">
            <v>0</v>
          </cell>
          <cell r="CA1163" t="str">
            <v>XXAIE2 - CONTRACT - Base</v>
          </cell>
          <cell r="CC1163" t="str">
            <v>XXAIE2 - CONTRACT - Base - IS4</v>
          </cell>
          <cell r="CD1163" t="str">
            <v/>
          </cell>
          <cell r="CF1163" t="str">
            <v>XXAIE2 - Base - IS4</v>
          </cell>
        </row>
        <row r="1164">
          <cell r="D1164">
            <v>1150</v>
          </cell>
          <cell r="E1164">
            <v>2</v>
          </cell>
          <cell r="F1164">
            <v>4</v>
          </cell>
          <cell r="G1164" t="str">
            <v>XXAIE2</v>
          </cell>
          <cell r="H1164" t="str">
            <v>TPSS AIE2</v>
          </cell>
          <cell r="I1164" t="str">
            <v>IS4</v>
          </cell>
          <cell r="J1164" t="str">
            <v>IS4 Spectrum &amp; Infrastructure Assurance</v>
          </cell>
          <cell r="K1164" t="str">
            <v>Army</v>
          </cell>
          <cell r="L1164" t="str">
            <v>DOD</v>
          </cell>
          <cell r="M1164" t="str">
            <v>TX</v>
          </cell>
          <cell r="N1164" t="str">
            <v>CONUS</v>
          </cell>
          <cell r="O1164">
            <v>0</v>
          </cell>
          <cell r="P1164">
            <v>0</v>
          </cell>
          <cell r="Q1164">
            <v>0</v>
          </cell>
          <cell r="R1164" t="str">
            <v>FFP</v>
          </cell>
          <cell r="S1164">
            <v>0</v>
          </cell>
          <cell r="T1164">
            <v>1</v>
          </cell>
          <cell r="U1164" t="str">
            <v>CONTRACT</v>
          </cell>
          <cell r="V1164" t="str">
            <v>Identified - Recompete</v>
          </cell>
          <cell r="W1164">
            <v>0</v>
          </cell>
          <cell r="X1164">
            <v>0</v>
          </cell>
          <cell r="Y1164">
            <v>0</v>
          </cell>
          <cell r="Z1164">
            <v>0</v>
          </cell>
          <cell r="AA1164">
            <v>0</v>
          </cell>
          <cell r="AB1164">
            <v>0</v>
          </cell>
          <cell r="AC1164">
            <v>0</v>
          </cell>
          <cell r="AD1164">
            <v>0</v>
          </cell>
          <cell r="AP1164">
            <v>0</v>
          </cell>
          <cell r="AQ1164">
            <v>0</v>
          </cell>
          <cell r="AR1164">
            <v>0</v>
          </cell>
          <cell r="AS1164">
            <v>0</v>
          </cell>
          <cell r="BI1164">
            <v>0</v>
          </cell>
          <cell r="BJ1164">
            <v>0</v>
          </cell>
          <cell r="BK1164">
            <v>0</v>
          </cell>
          <cell r="BL1164">
            <v>0</v>
          </cell>
          <cell r="BM1164">
            <v>0</v>
          </cell>
          <cell r="BN1164">
            <v>0</v>
          </cell>
          <cell r="BO1164">
            <v>0</v>
          </cell>
          <cell r="BP1164">
            <v>0</v>
          </cell>
          <cell r="BQ1164">
            <v>0</v>
          </cell>
          <cell r="BR1164">
            <v>0</v>
          </cell>
          <cell r="BT1164">
            <v>0</v>
          </cell>
          <cell r="CA1164" t="str">
            <v>XXAIE2 - CONTRACT - Identified - Recompete</v>
          </cell>
          <cell r="CC1164" t="str">
            <v>XXAIE2 - CONTRACT - Identified - Recompete - IS4</v>
          </cell>
          <cell r="CD1164" t="str">
            <v/>
          </cell>
          <cell r="CF1164" t="str">
            <v>XXAIE2 - Identified - Recompete - IS4</v>
          </cell>
        </row>
        <row r="1165">
          <cell r="D1165">
            <v>1151</v>
          </cell>
          <cell r="E1165">
            <v>0</v>
          </cell>
          <cell r="F1165">
            <v>5</v>
          </cell>
          <cell r="G1165" t="str">
            <v>XXAIE2</v>
          </cell>
          <cell r="H1165" t="str">
            <v>TPSS AIE2</v>
          </cell>
          <cell r="I1165" t="str">
            <v>IS4</v>
          </cell>
          <cell r="J1165" t="str">
            <v>IS4 Spectrum &amp; Infrastructure Assurance</v>
          </cell>
          <cell r="K1165" t="str">
            <v>Army</v>
          </cell>
          <cell r="L1165" t="str">
            <v>DOD</v>
          </cell>
          <cell r="M1165" t="str">
            <v>TX</v>
          </cell>
          <cell r="N1165" t="str">
            <v>CONUS</v>
          </cell>
          <cell r="O1165">
            <v>43371</v>
          </cell>
          <cell r="P1165">
            <v>43735</v>
          </cell>
          <cell r="Q1165" t="str">
            <v>Sub</v>
          </cell>
          <cell r="R1165" t="str">
            <v>FFP</v>
          </cell>
          <cell r="S1165">
            <v>0</v>
          </cell>
          <cell r="T1165">
            <v>1</v>
          </cell>
          <cell r="U1165" t="str">
            <v>EBITA</v>
          </cell>
          <cell r="V1165" t="str">
            <v>Base</v>
          </cell>
          <cell r="W1165" t="str">
            <v>05 Won</v>
          </cell>
          <cell r="X1165" t="str">
            <v>Active</v>
          </cell>
          <cell r="Y1165">
            <v>1</v>
          </cell>
          <cell r="Z1165">
            <v>0</v>
          </cell>
          <cell r="AA1165">
            <v>112801.93999999994</v>
          </cell>
          <cell r="AB1165">
            <v>1.1641532182693481E-10</v>
          </cell>
          <cell r="AC1165">
            <v>0</v>
          </cell>
          <cell r="AD1165">
            <v>112801.94000000006</v>
          </cell>
          <cell r="AT1165">
            <v>0</v>
          </cell>
          <cell r="AU1165">
            <v>0</v>
          </cell>
          <cell r="AV1165">
            <v>0</v>
          </cell>
          <cell r="AW1165">
            <v>0.19089403390069423</v>
          </cell>
          <cell r="AX1165">
            <v>0.19189403390069423</v>
          </cell>
          <cell r="AY1165">
            <v>0.19289403390069423</v>
          </cell>
          <cell r="AZ1165">
            <v>0.19389403390069423</v>
          </cell>
          <cell r="BA1165">
            <v>0.19489403390069424</v>
          </cell>
          <cell r="BF1165">
            <v>0</v>
          </cell>
          <cell r="BG1165">
            <v>0</v>
          </cell>
          <cell r="BH1165">
            <v>0</v>
          </cell>
          <cell r="BI1165">
            <v>13430.610000000008</v>
          </cell>
          <cell r="BJ1165">
            <v>49453.990000000005</v>
          </cell>
          <cell r="BK1165">
            <v>46443.979999999989</v>
          </cell>
          <cell r="BL1165">
            <v>100526</v>
          </cell>
          <cell r="BM1165">
            <v>209854.58000000002</v>
          </cell>
          <cell r="BN1165">
            <v>0</v>
          </cell>
          <cell r="BO1165">
            <v>0</v>
          </cell>
          <cell r="BP1165">
            <v>0</v>
          </cell>
          <cell r="BQ1165">
            <v>0</v>
          </cell>
          <cell r="BR1165">
            <v>209854.58000000002</v>
          </cell>
          <cell r="BT1165">
            <v>0</v>
          </cell>
          <cell r="CA1165" t="str">
            <v>XXAIE2 - EBITA - Base</v>
          </cell>
          <cell r="CC1165" t="str">
            <v>XXAIE2 - EBITA - Base - IS4</v>
          </cell>
          <cell r="CD1165" t="str">
            <v/>
          </cell>
          <cell r="CF1165" t="str">
            <v>XXAIE2 - Base - IS4</v>
          </cell>
        </row>
        <row r="1166">
          <cell r="D1166">
            <v>1152</v>
          </cell>
          <cell r="E1166">
            <v>0</v>
          </cell>
          <cell r="F1166">
            <v>0</v>
          </cell>
          <cell r="G1166" t="str">
            <v>XXAIE2</v>
          </cell>
          <cell r="H1166" t="str">
            <v>TPSS AIE2</v>
          </cell>
          <cell r="I1166" t="str">
            <v>IS4</v>
          </cell>
          <cell r="J1166" t="str">
            <v>IS4 Spectrum &amp; Infrastructure Assurance</v>
          </cell>
          <cell r="K1166" t="str">
            <v>Army</v>
          </cell>
          <cell r="L1166" t="str">
            <v>DOD</v>
          </cell>
          <cell r="M1166" t="str">
            <v>TX</v>
          </cell>
          <cell r="N1166" t="str">
            <v>CONUS</v>
          </cell>
          <cell r="O1166">
            <v>0</v>
          </cell>
          <cell r="P1166">
            <v>0</v>
          </cell>
          <cell r="Q1166">
            <v>0</v>
          </cell>
          <cell r="R1166" t="str">
            <v>FFP</v>
          </cell>
          <cell r="S1166">
            <v>0</v>
          </cell>
          <cell r="T1166">
            <v>1</v>
          </cell>
          <cell r="U1166" t="str">
            <v>EBITA</v>
          </cell>
          <cell r="V1166" t="str">
            <v>Identified - Recompete</v>
          </cell>
          <cell r="W1166">
            <v>0</v>
          </cell>
          <cell r="X1166">
            <v>0</v>
          </cell>
          <cell r="Y1166">
            <v>0</v>
          </cell>
          <cell r="Z1166">
            <v>0</v>
          </cell>
          <cell r="AA1166">
            <v>0</v>
          </cell>
          <cell r="AB1166">
            <v>0</v>
          </cell>
          <cell r="AC1166">
            <v>0</v>
          </cell>
          <cell r="AD1166">
            <v>0</v>
          </cell>
          <cell r="AX1166">
            <v>0</v>
          </cell>
          <cell r="AY1166">
            <v>0</v>
          </cell>
          <cell r="AZ1166">
            <v>0</v>
          </cell>
          <cell r="BA1166">
            <v>0</v>
          </cell>
          <cell r="BI1166">
            <v>0</v>
          </cell>
          <cell r="BJ1166">
            <v>0</v>
          </cell>
          <cell r="BK1166">
            <v>0</v>
          </cell>
          <cell r="BL1166">
            <v>0</v>
          </cell>
          <cell r="BM1166">
            <v>0</v>
          </cell>
          <cell r="BN1166">
            <v>0</v>
          </cell>
          <cell r="BO1166">
            <v>0</v>
          </cell>
          <cell r="BP1166">
            <v>0</v>
          </cell>
          <cell r="BQ1166">
            <v>0</v>
          </cell>
          <cell r="BR1166">
            <v>0</v>
          </cell>
          <cell r="BT1166">
            <v>0</v>
          </cell>
          <cell r="CA1166" t="str">
            <v>XXAIE2 - EBITA - Identified - Recompete</v>
          </cell>
          <cell r="CC1166" t="str">
            <v>XXAIE2 - EBITA - Identified - Recompete - IS4</v>
          </cell>
          <cell r="CD1166" t="str">
            <v/>
          </cell>
          <cell r="CF1166" t="str">
            <v>XXAIE2 - Identified - Recompete - IS4</v>
          </cell>
        </row>
        <row r="1167">
          <cell r="D1167">
            <v>1153</v>
          </cell>
          <cell r="E1167">
            <v>1</v>
          </cell>
          <cell r="F1167">
            <v>1</v>
          </cell>
          <cell r="G1167" t="str">
            <v>CP3439</v>
          </cell>
          <cell r="H1167" t="str">
            <v>GSA 02 53</v>
          </cell>
          <cell r="I1167" t="str">
            <v>IS4</v>
          </cell>
          <cell r="J1167" t="str">
            <v>IS4 Global Mission Solutions</v>
          </cell>
          <cell r="K1167" t="str">
            <v>DOJ</v>
          </cell>
          <cell r="L1167" t="str">
            <v>DOJ</v>
          </cell>
          <cell r="M1167" t="str">
            <v>NY</v>
          </cell>
          <cell r="N1167" t="str">
            <v>CONUS</v>
          </cell>
          <cell r="O1167">
            <v>43238</v>
          </cell>
          <cell r="P1167">
            <v>43627</v>
          </cell>
          <cell r="Q1167" t="str">
            <v>Prime</v>
          </cell>
          <cell r="R1167" t="str">
            <v>FFP</v>
          </cell>
          <cell r="S1167">
            <v>0</v>
          </cell>
          <cell r="T1167">
            <v>1</v>
          </cell>
          <cell r="U1167" t="str">
            <v>REVTOT</v>
          </cell>
          <cell r="V1167" t="str">
            <v>Base</v>
          </cell>
          <cell r="W1167" t="str">
            <v>05 Won</v>
          </cell>
          <cell r="X1167" t="str">
            <v>Active</v>
          </cell>
          <cell r="Y1167">
            <v>1</v>
          </cell>
          <cell r="Z1167">
            <v>0</v>
          </cell>
          <cell r="AA1167">
            <v>14862.240099999792</v>
          </cell>
          <cell r="AB1167">
            <v>0</v>
          </cell>
          <cell r="AC1167">
            <v>0</v>
          </cell>
          <cell r="AD1167">
            <v>14862.240099999792</v>
          </cell>
          <cell r="AE1167">
            <v>0</v>
          </cell>
          <cell r="AF1167">
            <v>0</v>
          </cell>
          <cell r="AG1167">
            <v>0.44856551444233328</v>
          </cell>
          <cell r="AH1167">
            <v>-0.9870114503986912</v>
          </cell>
          <cell r="AI1167">
            <v>0</v>
          </cell>
          <cell r="AJ1167">
            <v>0</v>
          </cell>
          <cell r="AK1167">
            <v>0</v>
          </cell>
          <cell r="BB1167">
            <v>200000.00004000001</v>
          </cell>
          <cell r="BC1167">
            <v>200000.00004000001</v>
          </cell>
          <cell r="BD1167">
            <v>200000.00004000001</v>
          </cell>
          <cell r="BE1167">
            <v>200000.00004000001</v>
          </cell>
          <cell r="BF1167">
            <v>0</v>
          </cell>
          <cell r="BG1167">
            <v>0</v>
          </cell>
          <cell r="BH1167">
            <v>789924.3</v>
          </cell>
          <cell r="BI1167">
            <v>445287.88</v>
          </cell>
          <cell r="BJ1167">
            <v>87541.29</v>
          </cell>
          <cell r="BK1167">
            <v>242625.18</v>
          </cell>
          <cell r="BL1167">
            <v>368802.75</v>
          </cell>
          <cell r="BM1167">
            <v>1144257.1000000001</v>
          </cell>
          <cell r="BN1167">
            <v>14862.240099999792</v>
          </cell>
          <cell r="BO1167">
            <v>0</v>
          </cell>
          <cell r="BP1167">
            <v>0</v>
          </cell>
          <cell r="BQ1167">
            <v>0</v>
          </cell>
          <cell r="BR1167">
            <v>1159119.3400999999</v>
          </cell>
          <cell r="BT1167">
            <v>0</v>
          </cell>
          <cell r="CA1167" t="str">
            <v>CP3439 - REVTOT - Base</v>
          </cell>
          <cell r="CC1167" t="str">
            <v>CP3439 - REVTOT - Base - IS4</v>
          </cell>
          <cell r="CD1167" t="str">
            <v/>
          </cell>
          <cell r="CF1167" t="str">
            <v>CP3439 - Base - IS4</v>
          </cell>
        </row>
        <row r="1168">
          <cell r="D1168">
            <v>1154</v>
          </cell>
          <cell r="E1168">
            <v>1</v>
          </cell>
          <cell r="F1168">
            <v>2</v>
          </cell>
          <cell r="G1168" t="str">
            <v>CP3439</v>
          </cell>
          <cell r="H1168" t="str">
            <v>GSA 02 53</v>
          </cell>
          <cell r="I1168" t="str">
            <v>IS4</v>
          </cell>
          <cell r="J1168" t="str">
            <v>IS4 Global Mission Solutions</v>
          </cell>
          <cell r="K1168" t="str">
            <v>DOJ</v>
          </cell>
          <cell r="L1168" t="str">
            <v>DOJ</v>
          </cell>
          <cell r="M1168" t="str">
            <v>NY</v>
          </cell>
          <cell r="N1168" t="str">
            <v>CONUS</v>
          </cell>
          <cell r="O1168">
            <v>44216</v>
          </cell>
          <cell r="P1168">
            <v>47868</v>
          </cell>
          <cell r="Q1168" t="str">
            <v>Prime</v>
          </cell>
          <cell r="R1168" t="str">
            <v>FFP</v>
          </cell>
          <cell r="S1168">
            <v>0</v>
          </cell>
          <cell r="T1168">
            <v>1</v>
          </cell>
          <cell r="U1168" t="str">
            <v>REVTOT</v>
          </cell>
          <cell r="V1168" t="str">
            <v>Identified - Recompete</v>
          </cell>
          <cell r="W1168" t="str">
            <v>02 Capture</v>
          </cell>
          <cell r="X1168" t="str">
            <v>Priority 2</v>
          </cell>
          <cell r="Y1168">
            <v>0.6</v>
          </cell>
          <cell r="Z1168">
            <v>0</v>
          </cell>
          <cell r="AA1168">
            <v>0</v>
          </cell>
          <cell r="AB1168">
            <v>0</v>
          </cell>
          <cell r="AC1168">
            <v>0</v>
          </cell>
          <cell r="AD1168">
            <v>0</v>
          </cell>
          <cell r="AI1168">
            <v>0</v>
          </cell>
          <cell r="AJ1168">
            <v>0</v>
          </cell>
          <cell r="AK1168">
            <v>0</v>
          </cell>
          <cell r="BB1168">
            <v>0</v>
          </cell>
          <cell r="BC1168">
            <v>0</v>
          </cell>
          <cell r="BD1168">
            <v>0</v>
          </cell>
          <cell r="BE1168">
            <v>0</v>
          </cell>
          <cell r="BI1168">
            <v>0</v>
          </cell>
          <cell r="BJ1168">
            <v>0</v>
          </cell>
          <cell r="BK1168">
            <v>0</v>
          </cell>
          <cell r="BL1168">
            <v>0</v>
          </cell>
          <cell r="BM1168">
            <v>0</v>
          </cell>
          <cell r="BN1168">
            <v>0</v>
          </cell>
          <cell r="BO1168">
            <v>0</v>
          </cell>
          <cell r="BP1168">
            <v>0</v>
          </cell>
          <cell r="BQ1168">
            <v>0</v>
          </cell>
          <cell r="BR1168">
            <v>0</v>
          </cell>
          <cell r="BT1168">
            <v>0</v>
          </cell>
          <cell r="CA1168" t="str">
            <v>CP3439 - REVTOT - Identified - Recompete</v>
          </cell>
          <cell r="CC1168" t="str">
            <v>CP3439 - REVTOT - Identified - Recompete - IS4</v>
          </cell>
          <cell r="CD1168" t="str">
            <v/>
          </cell>
          <cell r="CF1168" t="str">
            <v>CP3439 - Identified - Recompete - IS4</v>
          </cell>
        </row>
        <row r="1169">
          <cell r="D1169">
            <v>1155</v>
          </cell>
          <cell r="E1169">
            <v>2</v>
          </cell>
          <cell r="F1169">
            <v>3</v>
          </cell>
          <cell r="G1169" t="str">
            <v>CP3439</v>
          </cell>
          <cell r="H1169" t="str">
            <v>GSA 02 53</v>
          </cell>
          <cell r="I1169" t="str">
            <v>IS4</v>
          </cell>
          <cell r="J1169" t="str">
            <v>IS4 Global Mission Solutions</v>
          </cell>
          <cell r="K1169" t="str">
            <v>DOJ</v>
          </cell>
          <cell r="L1169" t="str">
            <v>DOJ</v>
          </cell>
          <cell r="M1169" t="str">
            <v>NY</v>
          </cell>
          <cell r="N1169" t="str">
            <v>CONUS</v>
          </cell>
          <cell r="O1169">
            <v>43238</v>
          </cell>
          <cell r="P1169">
            <v>43627</v>
          </cell>
          <cell r="Q1169" t="str">
            <v>Prime</v>
          </cell>
          <cell r="R1169" t="str">
            <v>FFP</v>
          </cell>
          <cell r="S1169">
            <v>0</v>
          </cell>
          <cell r="T1169">
            <v>1</v>
          </cell>
          <cell r="U1169" t="str">
            <v>CONTRACT</v>
          </cell>
          <cell r="V1169" t="str">
            <v>Base</v>
          </cell>
          <cell r="W1169" t="str">
            <v>05 Won</v>
          </cell>
          <cell r="X1169" t="str">
            <v>Active</v>
          </cell>
          <cell r="Y1169">
            <v>1</v>
          </cell>
          <cell r="Z1169">
            <v>0</v>
          </cell>
          <cell r="AA1169">
            <v>14862.240099999792</v>
          </cell>
          <cell r="AB1169">
            <v>0</v>
          </cell>
          <cell r="AC1169">
            <v>0</v>
          </cell>
          <cell r="AD1169">
            <v>14862.240099999792</v>
          </cell>
          <cell r="AL1169">
            <v>0</v>
          </cell>
          <cell r="AM1169">
            <v>0</v>
          </cell>
          <cell r="AN1169">
            <v>6.7752125108697173E-2</v>
          </cell>
          <cell r="AO1169">
            <v>0.14068128570056498</v>
          </cell>
          <cell r="AP1169">
            <v>0.22945657983910867</v>
          </cell>
          <cell r="AQ1169">
            <v>0.22945657983910867</v>
          </cell>
          <cell r="AR1169">
            <v>0.22945657983910867</v>
          </cell>
          <cell r="AS1169">
            <v>0.22945657983910867</v>
          </cell>
          <cell r="BF1169">
            <v>0</v>
          </cell>
          <cell r="BG1169">
            <v>0</v>
          </cell>
          <cell r="BH1169">
            <v>53519.050000000039</v>
          </cell>
          <cell r="BI1169">
            <v>50981.799999999996</v>
          </cell>
          <cell r="BJ1169">
            <v>14386.429999999993</v>
          </cell>
          <cell r="BK1169">
            <v>34324.469999999987</v>
          </cell>
          <cell r="BL1169">
            <v>61282.859999999986</v>
          </cell>
          <cell r="BM1169">
            <v>160975.55999999997</v>
          </cell>
          <cell r="BN1169">
            <v>3410.2387820936046</v>
          </cell>
          <cell r="BO1169">
            <v>0</v>
          </cell>
          <cell r="BP1169">
            <v>0</v>
          </cell>
          <cell r="BQ1169">
            <v>0</v>
          </cell>
          <cell r="BR1169">
            <v>164385.79878209357</v>
          </cell>
          <cell r="BT1169">
            <v>0</v>
          </cell>
          <cell r="CA1169" t="str">
            <v>CP3439 - CONTRACT - Base</v>
          </cell>
          <cell r="CC1169" t="str">
            <v>CP3439 - CONTRACT - Base - IS4</v>
          </cell>
          <cell r="CD1169" t="str">
            <v/>
          </cell>
          <cell r="CF1169" t="str">
            <v>CP3439 - Base - IS4</v>
          </cell>
        </row>
        <row r="1170">
          <cell r="D1170">
            <v>1156</v>
          </cell>
          <cell r="E1170">
            <v>2</v>
          </cell>
          <cell r="F1170">
            <v>4</v>
          </cell>
          <cell r="G1170" t="str">
            <v>CP3439</v>
          </cell>
          <cell r="H1170" t="str">
            <v>GSA 02 53</v>
          </cell>
          <cell r="I1170" t="str">
            <v>IS4</v>
          </cell>
          <cell r="J1170" t="str">
            <v>IS4 Global Mission Solutions</v>
          </cell>
          <cell r="K1170" t="str">
            <v>DOJ</v>
          </cell>
          <cell r="L1170" t="str">
            <v>DOJ</v>
          </cell>
          <cell r="M1170" t="str">
            <v>NY</v>
          </cell>
          <cell r="N1170" t="str">
            <v>CONUS</v>
          </cell>
          <cell r="O1170">
            <v>44216</v>
          </cell>
          <cell r="P1170">
            <v>47868</v>
          </cell>
          <cell r="Q1170" t="str">
            <v>Prime</v>
          </cell>
          <cell r="R1170" t="str">
            <v>FFP</v>
          </cell>
          <cell r="S1170">
            <v>0</v>
          </cell>
          <cell r="T1170">
            <v>1</v>
          </cell>
          <cell r="U1170" t="str">
            <v>CONTRACT</v>
          </cell>
          <cell r="V1170" t="str">
            <v>Identified - Recompete</v>
          </cell>
          <cell r="W1170" t="str">
            <v>02 Capture</v>
          </cell>
          <cell r="X1170" t="str">
            <v>Priority 2</v>
          </cell>
          <cell r="Y1170">
            <v>0.6</v>
          </cell>
          <cell r="Z1170">
            <v>0</v>
          </cell>
          <cell r="AA1170">
            <v>0</v>
          </cell>
          <cell r="AB1170">
            <v>0</v>
          </cell>
          <cell r="AC1170">
            <v>0</v>
          </cell>
          <cell r="AD1170">
            <v>0</v>
          </cell>
          <cell r="AP1170">
            <v>0</v>
          </cell>
          <cell r="AQ1170">
            <v>0</v>
          </cell>
          <cell r="AR1170">
            <v>0</v>
          </cell>
          <cell r="AS1170">
            <v>0</v>
          </cell>
          <cell r="BI1170">
            <v>0</v>
          </cell>
          <cell r="BJ1170">
            <v>0</v>
          </cell>
          <cell r="BK1170">
            <v>0</v>
          </cell>
          <cell r="BL1170">
            <v>0</v>
          </cell>
          <cell r="BM1170">
            <v>0</v>
          </cell>
          <cell r="BN1170">
            <v>0</v>
          </cell>
          <cell r="BO1170">
            <v>0</v>
          </cell>
          <cell r="BP1170">
            <v>0</v>
          </cell>
          <cell r="BQ1170">
            <v>0</v>
          </cell>
          <cell r="BR1170">
            <v>0</v>
          </cell>
          <cell r="BT1170">
            <v>0</v>
          </cell>
          <cell r="CA1170" t="str">
            <v>CP3439 - CONTRACT - Identified - Recompete</v>
          </cell>
          <cell r="CC1170" t="str">
            <v>CP3439 - CONTRACT - Identified - Recompete - IS4</v>
          </cell>
          <cell r="CD1170" t="str">
            <v/>
          </cell>
          <cell r="CF1170" t="str">
            <v>CP3439 - Identified - Recompete - IS4</v>
          </cell>
        </row>
        <row r="1171">
          <cell r="D1171">
            <v>1157</v>
          </cell>
          <cell r="E1171">
            <v>0</v>
          </cell>
          <cell r="F1171">
            <v>5</v>
          </cell>
          <cell r="G1171" t="str">
            <v>CP3439</v>
          </cell>
          <cell r="H1171" t="str">
            <v>GSA 02 53</v>
          </cell>
          <cell r="I1171" t="str">
            <v>IS4</v>
          </cell>
          <cell r="J1171" t="str">
            <v>IS4 Global Mission Solutions</v>
          </cell>
          <cell r="K1171" t="str">
            <v>DOJ</v>
          </cell>
          <cell r="L1171" t="str">
            <v>DOJ</v>
          </cell>
          <cell r="M1171" t="str">
            <v>NY</v>
          </cell>
          <cell r="N1171" t="str">
            <v>CONUS</v>
          </cell>
          <cell r="O1171">
            <v>43238</v>
          </cell>
          <cell r="P1171">
            <v>43627</v>
          </cell>
          <cell r="Q1171" t="str">
            <v>Prime</v>
          </cell>
          <cell r="R1171" t="str">
            <v>FFP</v>
          </cell>
          <cell r="S1171">
            <v>0</v>
          </cell>
          <cell r="T1171">
            <v>1</v>
          </cell>
          <cell r="U1171" t="str">
            <v>EBITA</v>
          </cell>
          <cell r="V1171" t="str">
            <v>Base</v>
          </cell>
          <cell r="W1171" t="str">
            <v>05 Won</v>
          </cell>
          <cell r="X1171" t="str">
            <v>Active</v>
          </cell>
          <cell r="Y1171">
            <v>1</v>
          </cell>
          <cell r="Z1171">
            <v>0</v>
          </cell>
          <cell r="AA1171">
            <v>14862.240099999792</v>
          </cell>
          <cell r="AB1171">
            <v>0</v>
          </cell>
          <cell r="AC1171">
            <v>0</v>
          </cell>
          <cell r="AD1171">
            <v>14862.240099999792</v>
          </cell>
          <cell r="AT1171">
            <v>0</v>
          </cell>
          <cell r="AU1171">
            <v>0</v>
          </cell>
          <cell r="AV1171">
            <v>1.6277483804460802E-2</v>
          </cell>
          <cell r="AW1171">
            <v>8.67434425357725E-3</v>
          </cell>
          <cell r="AX1171">
            <v>4.6000001063390805E-2</v>
          </cell>
          <cell r="AY1171">
            <v>4.7000001063390806E-2</v>
          </cell>
          <cell r="AZ1171">
            <v>4.8000001063390807E-2</v>
          </cell>
          <cell r="BA1171">
            <v>4.9000001063390808E-2</v>
          </cell>
          <cell r="BF1171">
            <v>0</v>
          </cell>
          <cell r="BG1171">
            <v>0</v>
          </cell>
          <cell r="BH1171">
            <v>12857.980000000036</v>
          </cell>
          <cell r="BI1171">
            <v>2102.0599999999977</v>
          </cell>
          <cell r="BJ1171">
            <v>315.94999999999254</v>
          </cell>
          <cell r="BK1171">
            <v>131.6099999999924</v>
          </cell>
          <cell r="BL1171">
            <v>7376.0599999999868</v>
          </cell>
          <cell r="BM1171">
            <v>9925.6799999999694</v>
          </cell>
          <cell r="BN1171">
            <v>683.66306040435984</v>
          </cell>
          <cell r="BO1171">
            <v>0</v>
          </cell>
          <cell r="BP1171">
            <v>0</v>
          </cell>
          <cell r="BQ1171">
            <v>0</v>
          </cell>
          <cell r="BR1171">
            <v>10609.34306040433</v>
          </cell>
          <cell r="BT1171">
            <v>0</v>
          </cell>
          <cell r="CA1171" t="str">
            <v>CP3439 - EBITA - Base</v>
          </cell>
          <cell r="CC1171" t="str">
            <v>CP3439 - EBITA - Base - IS4</v>
          </cell>
          <cell r="CD1171" t="str">
            <v/>
          </cell>
          <cell r="CF1171" t="str">
            <v>CP3439 - Base - IS4</v>
          </cell>
        </row>
        <row r="1172">
          <cell r="D1172">
            <v>1158</v>
          </cell>
          <cell r="E1172">
            <v>0</v>
          </cell>
          <cell r="F1172">
            <v>0</v>
          </cell>
          <cell r="G1172" t="str">
            <v>CP3439</v>
          </cell>
          <cell r="H1172" t="str">
            <v>GSA 02 53</v>
          </cell>
          <cell r="I1172" t="str">
            <v>IS4</v>
          </cell>
          <cell r="J1172" t="str">
            <v>IS4 Global Mission Solutions</v>
          </cell>
          <cell r="K1172" t="str">
            <v>DOJ</v>
          </cell>
          <cell r="L1172" t="str">
            <v>DOJ</v>
          </cell>
          <cell r="M1172" t="str">
            <v>NY</v>
          </cell>
          <cell r="N1172" t="str">
            <v>CONUS</v>
          </cell>
          <cell r="O1172">
            <v>44216</v>
          </cell>
          <cell r="P1172">
            <v>47868</v>
          </cell>
          <cell r="Q1172" t="str">
            <v>Prime</v>
          </cell>
          <cell r="R1172" t="str">
            <v>FFP</v>
          </cell>
          <cell r="S1172">
            <v>0</v>
          </cell>
          <cell r="T1172">
            <v>1</v>
          </cell>
          <cell r="U1172" t="str">
            <v>EBITA</v>
          </cell>
          <cell r="V1172" t="str">
            <v>Identified - Recompete</v>
          </cell>
          <cell r="W1172" t="str">
            <v>02 Capture</v>
          </cell>
          <cell r="X1172" t="str">
            <v>Priority 2</v>
          </cell>
          <cell r="Y1172">
            <v>0.6</v>
          </cell>
          <cell r="Z1172">
            <v>0</v>
          </cell>
          <cell r="AA1172">
            <v>0</v>
          </cell>
          <cell r="AB1172">
            <v>0</v>
          </cell>
          <cell r="AC1172">
            <v>0</v>
          </cell>
          <cell r="AD1172">
            <v>0</v>
          </cell>
          <cell r="AX1172">
            <v>0</v>
          </cell>
          <cell r="AY1172">
            <v>0</v>
          </cell>
          <cell r="AZ1172">
            <v>0</v>
          </cell>
          <cell r="BA1172">
            <v>0</v>
          </cell>
          <cell r="BI1172">
            <v>0</v>
          </cell>
          <cell r="BJ1172">
            <v>0</v>
          </cell>
          <cell r="BK1172">
            <v>0</v>
          </cell>
          <cell r="BL1172">
            <v>0</v>
          </cell>
          <cell r="BM1172">
            <v>0</v>
          </cell>
          <cell r="BN1172">
            <v>0</v>
          </cell>
          <cell r="BO1172">
            <v>0</v>
          </cell>
          <cell r="BP1172">
            <v>0</v>
          </cell>
          <cell r="BQ1172">
            <v>0</v>
          </cell>
          <cell r="BR1172">
            <v>0</v>
          </cell>
          <cell r="BT1172">
            <v>0</v>
          </cell>
          <cell r="CA1172" t="str">
            <v>CP3439 - EBITA - Identified - Recompete</v>
          </cell>
          <cell r="CC1172" t="str">
            <v>CP3439 - EBITA - Identified - Recompete - IS4</v>
          </cell>
          <cell r="CD1172" t="str">
            <v/>
          </cell>
          <cell r="CF1172" t="str">
            <v>CP3439 - Identified - Recompete - IS4</v>
          </cell>
        </row>
        <row r="1173">
          <cell r="D1173">
            <v>1159</v>
          </cell>
          <cell r="E1173">
            <v>1</v>
          </cell>
          <cell r="F1173">
            <v>1</v>
          </cell>
          <cell r="G1173" t="str">
            <v>CP3343</v>
          </cell>
          <cell r="H1173" t="str">
            <v>MCAS Iwakuni Japan</v>
          </cell>
          <cell r="I1173" t="str">
            <v>IS4</v>
          </cell>
          <cell r="J1173" t="str">
            <v>IS4 Global Mission Solutions</v>
          </cell>
          <cell r="K1173" t="str">
            <v>Classified Agency</v>
          </cell>
          <cell r="L1173" t="str">
            <v>Classified</v>
          </cell>
          <cell r="M1173" t="str">
            <v>Japan</v>
          </cell>
          <cell r="N1173" t="str">
            <v>OCONUS</v>
          </cell>
          <cell r="O1173">
            <v>43005</v>
          </cell>
          <cell r="P1173">
            <v>43344</v>
          </cell>
          <cell r="Q1173" t="str">
            <v>Prime</v>
          </cell>
          <cell r="R1173" t="str">
            <v>FFP</v>
          </cell>
          <cell r="S1173">
            <v>0</v>
          </cell>
          <cell r="T1173">
            <v>1</v>
          </cell>
          <cell r="U1173" t="str">
            <v>REVTOT</v>
          </cell>
          <cell r="V1173" t="str">
            <v>Base</v>
          </cell>
          <cell r="W1173" t="str">
            <v>05 Won</v>
          </cell>
          <cell r="X1173" t="str">
            <v>Active</v>
          </cell>
          <cell r="Y1173">
            <v>1</v>
          </cell>
          <cell r="Z1173">
            <v>0</v>
          </cell>
          <cell r="AA1173">
            <v>156672.34533999901</v>
          </cell>
          <cell r="AB1173">
            <v>0</v>
          </cell>
          <cell r="AC1173">
            <v>0</v>
          </cell>
          <cell r="AD1173">
            <v>156672.34533999901</v>
          </cell>
          <cell r="AE1173">
            <v>0</v>
          </cell>
          <cell r="AF1173">
            <v>135.92480802274463</v>
          </cell>
          <cell r="AG1173">
            <v>-0.91897917224392567</v>
          </cell>
          <cell r="AH1173">
            <v>-0.80759272374222346</v>
          </cell>
          <cell r="AI1173">
            <v>0</v>
          </cell>
          <cell r="AJ1173">
            <v>0</v>
          </cell>
          <cell r="AK1173">
            <v>0</v>
          </cell>
          <cell r="BB1173">
            <v>199999.9988</v>
          </cell>
          <cell r="BC1173">
            <v>199999.9988</v>
          </cell>
          <cell r="BD1173">
            <v>199999.9988</v>
          </cell>
          <cell r="BE1173">
            <v>199999.9988</v>
          </cell>
          <cell r="BF1173">
            <v>0</v>
          </cell>
          <cell r="BG1173">
            <v>73399.320000000007</v>
          </cell>
          <cell r="BH1173">
            <v>10050187.800000001</v>
          </cell>
          <cell r="BI1173">
            <v>601625.22999999986</v>
          </cell>
          <cell r="BJ1173">
            <v>-46804.22</v>
          </cell>
          <cell r="BK1173">
            <v>100159.71</v>
          </cell>
          <cell r="BL1173">
            <v>159293.81465999997</v>
          </cell>
          <cell r="BM1173">
            <v>814274.53465999989</v>
          </cell>
          <cell r="BN1173">
            <v>156672.34533999901</v>
          </cell>
          <cell r="BO1173">
            <v>0</v>
          </cell>
          <cell r="BP1173">
            <v>0</v>
          </cell>
          <cell r="BQ1173">
            <v>0</v>
          </cell>
          <cell r="BR1173">
            <v>970946.87999999896</v>
          </cell>
          <cell r="BT1173">
            <v>0</v>
          </cell>
          <cell r="CA1173" t="str">
            <v>CP3343 - REVTOT - Base</v>
          </cell>
          <cell r="CC1173" t="str">
            <v>CP3343 - REVTOT - Base - IS4</v>
          </cell>
          <cell r="CD1173" t="str">
            <v/>
          </cell>
          <cell r="CF1173" t="str">
            <v>CP3343 - Base - IS4</v>
          </cell>
        </row>
        <row r="1174">
          <cell r="D1174">
            <v>1160</v>
          </cell>
          <cell r="E1174">
            <v>1</v>
          </cell>
          <cell r="F1174">
            <v>2</v>
          </cell>
          <cell r="G1174" t="str">
            <v>CP3343</v>
          </cell>
          <cell r="H1174" t="str">
            <v>MCAS Iwakuni Japan</v>
          </cell>
          <cell r="I1174" t="str">
            <v>IS4</v>
          </cell>
          <cell r="J1174" t="str">
            <v>IS4 Global Mission Solutions</v>
          </cell>
          <cell r="K1174" t="str">
            <v>Classified Agency</v>
          </cell>
          <cell r="L1174" t="str">
            <v>Classified</v>
          </cell>
          <cell r="M1174" t="str">
            <v>Japan</v>
          </cell>
          <cell r="N1174" t="str">
            <v>OCONUS</v>
          </cell>
          <cell r="O1174">
            <v>0</v>
          </cell>
          <cell r="P1174">
            <v>0</v>
          </cell>
          <cell r="Q1174">
            <v>0</v>
          </cell>
          <cell r="R1174" t="str">
            <v>FFP</v>
          </cell>
          <cell r="S1174">
            <v>0</v>
          </cell>
          <cell r="T1174">
            <v>1</v>
          </cell>
          <cell r="U1174" t="str">
            <v>REVTOT</v>
          </cell>
          <cell r="V1174" t="str">
            <v>Identified - Recompete</v>
          </cell>
          <cell r="W1174">
            <v>0</v>
          </cell>
          <cell r="X1174">
            <v>0</v>
          </cell>
          <cell r="Y1174">
            <v>0</v>
          </cell>
          <cell r="Z1174">
            <v>0</v>
          </cell>
          <cell r="AA1174">
            <v>0</v>
          </cell>
          <cell r="AB1174">
            <v>0</v>
          </cell>
          <cell r="AC1174">
            <v>0</v>
          </cell>
          <cell r="AD1174">
            <v>0</v>
          </cell>
          <cell r="AI1174">
            <v>0</v>
          </cell>
          <cell r="AJ1174">
            <v>0</v>
          </cell>
          <cell r="AK1174">
            <v>0</v>
          </cell>
          <cell r="BB1174">
            <v>0</v>
          </cell>
          <cell r="BC1174">
            <v>0</v>
          </cell>
          <cell r="BD1174">
            <v>0</v>
          </cell>
          <cell r="BE1174">
            <v>0</v>
          </cell>
          <cell r="BI1174">
            <v>0</v>
          </cell>
          <cell r="BJ1174">
            <v>0</v>
          </cell>
          <cell r="BK1174">
            <v>0</v>
          </cell>
          <cell r="BL1174">
            <v>0</v>
          </cell>
          <cell r="BM1174">
            <v>0</v>
          </cell>
          <cell r="BN1174">
            <v>0</v>
          </cell>
          <cell r="BO1174">
            <v>0</v>
          </cell>
          <cell r="BP1174">
            <v>0</v>
          </cell>
          <cell r="BQ1174">
            <v>0</v>
          </cell>
          <cell r="BR1174">
            <v>0</v>
          </cell>
          <cell r="BT1174">
            <v>0</v>
          </cell>
          <cell r="CA1174" t="str">
            <v>CP3343 - REVTOT - Identified - Recompete</v>
          </cell>
          <cell r="CC1174" t="str">
            <v>CP3343 - REVTOT - Identified - Recompete - IS4</v>
          </cell>
          <cell r="CD1174" t="str">
            <v/>
          </cell>
          <cell r="CF1174" t="str">
            <v>CP3343 - Identified - Recompete - IS4</v>
          </cell>
        </row>
        <row r="1175">
          <cell r="D1175">
            <v>1161</v>
          </cell>
          <cell r="E1175">
            <v>2</v>
          </cell>
          <cell r="F1175">
            <v>3</v>
          </cell>
          <cell r="G1175" t="str">
            <v>CP3343</v>
          </cell>
          <cell r="H1175" t="str">
            <v>MCAS Iwakuni Japan</v>
          </cell>
          <cell r="I1175" t="str">
            <v>IS4</v>
          </cell>
          <cell r="J1175" t="str">
            <v>IS4 Global Mission Solutions</v>
          </cell>
          <cell r="K1175" t="str">
            <v>Classified Agency</v>
          </cell>
          <cell r="L1175" t="str">
            <v>Classified</v>
          </cell>
          <cell r="M1175" t="str">
            <v>Japan</v>
          </cell>
          <cell r="N1175" t="str">
            <v>OCONUS</v>
          </cell>
          <cell r="O1175">
            <v>43005</v>
          </cell>
          <cell r="P1175">
            <v>43344</v>
          </cell>
          <cell r="Q1175" t="str">
            <v>Prime</v>
          </cell>
          <cell r="R1175" t="str">
            <v>FFP</v>
          </cell>
          <cell r="S1175">
            <v>0</v>
          </cell>
          <cell r="T1175">
            <v>1</v>
          </cell>
          <cell r="U1175" t="str">
            <v>CONTRACT</v>
          </cell>
          <cell r="V1175" t="str">
            <v>Base</v>
          </cell>
          <cell r="W1175" t="str">
            <v>05 Won</v>
          </cell>
          <cell r="X1175" t="str">
            <v>Active</v>
          </cell>
          <cell r="Y1175">
            <v>1</v>
          </cell>
          <cell r="Z1175">
            <v>0</v>
          </cell>
          <cell r="AA1175">
            <v>156672.34533999901</v>
          </cell>
          <cell r="AB1175">
            <v>0</v>
          </cell>
          <cell r="AC1175">
            <v>0</v>
          </cell>
          <cell r="AD1175">
            <v>156672.34533999901</v>
          </cell>
          <cell r="AL1175">
            <v>0</v>
          </cell>
          <cell r="AM1175">
            <v>0.11731920677194285</v>
          </cell>
          <cell r="AN1175">
            <v>0.13104995610131781</v>
          </cell>
          <cell r="AO1175">
            <v>0.38974316361939604</v>
          </cell>
          <cell r="AP1175">
            <v>9.7020294557121717E-2</v>
          </cell>
          <cell r="AQ1175">
            <v>9.7020294557121717E-2</v>
          </cell>
          <cell r="AR1175">
            <v>9.7020294557121717E-2</v>
          </cell>
          <cell r="AS1175">
            <v>9.7020294557121717E-2</v>
          </cell>
          <cell r="BF1175">
            <v>0</v>
          </cell>
          <cell r="BG1175">
            <v>8611.1500000000015</v>
          </cell>
          <cell r="BH1175">
            <v>1317076.67</v>
          </cell>
          <cell r="BI1175">
            <v>88019.489999999889</v>
          </cell>
          <cell r="BJ1175">
            <v>2734.8900000000067</v>
          </cell>
          <cell r="BK1175">
            <v>105067.47000000002</v>
          </cell>
          <cell r="BL1175">
            <v>121536.0831931</v>
          </cell>
          <cell r="BM1175">
            <v>317357.93319309992</v>
          </cell>
          <cell r="BN1175">
            <v>15200.397093841801</v>
          </cell>
          <cell r="BO1175">
            <v>0</v>
          </cell>
          <cell r="BP1175">
            <v>0</v>
          </cell>
          <cell r="BQ1175">
            <v>0</v>
          </cell>
          <cell r="BR1175">
            <v>332558.33028694172</v>
          </cell>
          <cell r="BT1175">
            <v>0</v>
          </cell>
          <cell r="CA1175" t="str">
            <v>CP3343 - CONTRACT - Base</v>
          </cell>
          <cell r="CC1175" t="str">
            <v>CP3343 - CONTRACT - Base - IS4</v>
          </cell>
          <cell r="CD1175" t="str">
            <v/>
          </cell>
          <cell r="CF1175" t="str">
            <v>CP3343 - Base - IS4</v>
          </cell>
        </row>
        <row r="1176">
          <cell r="D1176">
            <v>1162</v>
          </cell>
          <cell r="E1176">
            <v>2</v>
          </cell>
          <cell r="F1176">
            <v>4</v>
          </cell>
          <cell r="G1176" t="str">
            <v>CP3343</v>
          </cell>
          <cell r="H1176" t="str">
            <v>MCAS Iwakuni Japan</v>
          </cell>
          <cell r="I1176" t="str">
            <v>IS4</v>
          </cell>
          <cell r="J1176" t="str">
            <v>IS4 Global Mission Solutions</v>
          </cell>
          <cell r="K1176" t="str">
            <v>Classified Agency</v>
          </cell>
          <cell r="L1176" t="str">
            <v>Classified</v>
          </cell>
          <cell r="M1176" t="str">
            <v>Japan</v>
          </cell>
          <cell r="N1176" t="str">
            <v>OCONUS</v>
          </cell>
          <cell r="O1176">
            <v>0</v>
          </cell>
          <cell r="P1176">
            <v>0</v>
          </cell>
          <cell r="Q1176">
            <v>0</v>
          </cell>
          <cell r="R1176" t="str">
            <v>FFP</v>
          </cell>
          <cell r="S1176">
            <v>0</v>
          </cell>
          <cell r="T1176">
            <v>1</v>
          </cell>
          <cell r="U1176" t="str">
            <v>CONTRACT</v>
          </cell>
          <cell r="V1176" t="str">
            <v>Identified - Recompete</v>
          </cell>
          <cell r="W1176">
            <v>0</v>
          </cell>
          <cell r="X1176">
            <v>0</v>
          </cell>
          <cell r="Y1176">
            <v>0</v>
          </cell>
          <cell r="Z1176">
            <v>0</v>
          </cell>
          <cell r="AA1176">
            <v>0</v>
          </cell>
          <cell r="AB1176">
            <v>0</v>
          </cell>
          <cell r="AC1176">
            <v>0</v>
          </cell>
          <cell r="AD1176">
            <v>0</v>
          </cell>
          <cell r="AP1176">
            <v>0</v>
          </cell>
          <cell r="AQ1176">
            <v>0</v>
          </cell>
          <cell r="AR1176">
            <v>0</v>
          </cell>
          <cell r="AS1176">
            <v>0</v>
          </cell>
          <cell r="BI1176">
            <v>0</v>
          </cell>
          <cell r="BJ1176">
            <v>0</v>
          </cell>
          <cell r="BK1176">
            <v>0</v>
          </cell>
          <cell r="BL1176">
            <v>0</v>
          </cell>
          <cell r="BM1176">
            <v>0</v>
          </cell>
          <cell r="BN1176">
            <v>0</v>
          </cell>
          <cell r="BO1176">
            <v>0</v>
          </cell>
          <cell r="BP1176">
            <v>0</v>
          </cell>
          <cell r="BQ1176">
            <v>0</v>
          </cell>
          <cell r="BR1176">
            <v>0</v>
          </cell>
          <cell r="BT1176">
            <v>0</v>
          </cell>
          <cell r="CA1176" t="str">
            <v>CP3343 - CONTRACT - Identified - Recompete</v>
          </cell>
          <cell r="CC1176" t="str">
            <v>CP3343 - CONTRACT - Identified - Recompete - IS4</v>
          </cell>
          <cell r="CD1176" t="str">
            <v/>
          </cell>
          <cell r="CF1176" t="str">
            <v>CP3343 - Identified - Recompete - IS4</v>
          </cell>
        </row>
        <row r="1177">
          <cell r="D1177">
            <v>1163</v>
          </cell>
          <cell r="E1177">
            <v>0</v>
          </cell>
          <cell r="F1177">
            <v>5</v>
          </cell>
          <cell r="G1177" t="str">
            <v>CP3343</v>
          </cell>
          <cell r="H1177" t="str">
            <v>MCAS Iwakuni Japan</v>
          </cell>
          <cell r="I1177" t="str">
            <v>IS4</v>
          </cell>
          <cell r="J1177" t="str">
            <v>IS4 Global Mission Solutions</v>
          </cell>
          <cell r="K1177" t="str">
            <v>Classified Agency</v>
          </cell>
          <cell r="L1177" t="str">
            <v>Classified</v>
          </cell>
          <cell r="M1177" t="str">
            <v>Japan</v>
          </cell>
          <cell r="N1177" t="str">
            <v>OCONUS</v>
          </cell>
          <cell r="O1177">
            <v>43005</v>
          </cell>
          <cell r="P1177">
            <v>43344</v>
          </cell>
          <cell r="Q1177" t="str">
            <v>Prime</v>
          </cell>
          <cell r="R1177" t="str">
            <v>FFP</v>
          </cell>
          <cell r="S1177">
            <v>0</v>
          </cell>
          <cell r="T1177">
            <v>1</v>
          </cell>
          <cell r="U1177" t="str">
            <v>EBITA</v>
          </cell>
          <cell r="V1177" t="str">
            <v>Base</v>
          </cell>
          <cell r="W1177" t="str">
            <v>05 Won</v>
          </cell>
          <cell r="X1177" t="str">
            <v>Active</v>
          </cell>
          <cell r="Y1177">
            <v>1</v>
          </cell>
          <cell r="Z1177">
            <v>0</v>
          </cell>
          <cell r="AA1177">
            <v>156672.34533999901</v>
          </cell>
          <cell r="AB1177">
            <v>0</v>
          </cell>
          <cell r="AC1177">
            <v>0</v>
          </cell>
          <cell r="AD1177">
            <v>156672.34533999901</v>
          </cell>
          <cell r="AT1177">
            <v>0</v>
          </cell>
          <cell r="AU1177">
            <v>1.3624104422271578E-7</v>
          </cell>
          <cell r="AV1177">
            <v>2.8281098389027121E-2</v>
          </cell>
          <cell r="AW1177">
            <v>0.2506550120526152</v>
          </cell>
          <cell r="AX1177">
            <v>4.6000000109237375E-2</v>
          </cell>
          <cell r="AY1177">
            <v>4.7000000109237376E-2</v>
          </cell>
          <cell r="AZ1177">
            <v>4.8000000109237377E-2</v>
          </cell>
          <cell r="BA1177">
            <v>4.9000000109237378E-2</v>
          </cell>
          <cell r="BF1177">
            <v>0</v>
          </cell>
          <cell r="BG1177">
            <v>1.0000000002037268E-2</v>
          </cell>
          <cell r="BH1177">
            <v>284230.35000000003</v>
          </cell>
          <cell r="BI1177">
            <v>-58.250000000111868</v>
          </cell>
          <cell r="BJ1177">
            <v>310.03000000000634</v>
          </cell>
          <cell r="BK1177">
            <v>101964.56000000001</v>
          </cell>
          <cell r="BL1177">
            <v>101885.65329933999</v>
          </cell>
          <cell r="BM1177">
            <v>204101.9932993399</v>
          </cell>
          <cell r="BN1177">
            <v>7206.9279027544299</v>
          </cell>
          <cell r="BO1177">
            <v>0</v>
          </cell>
          <cell r="BP1177">
            <v>0</v>
          </cell>
          <cell r="BQ1177">
            <v>0</v>
          </cell>
          <cell r="BR1177">
            <v>211308.92120209432</v>
          </cell>
          <cell r="BT1177">
            <v>0</v>
          </cell>
          <cell r="CA1177" t="str">
            <v>CP3343 - EBITA - Base</v>
          </cell>
          <cell r="CC1177" t="str">
            <v>CP3343 - EBITA - Base - IS4</v>
          </cell>
          <cell r="CD1177" t="str">
            <v/>
          </cell>
          <cell r="CF1177" t="str">
            <v>CP3343 - Base - IS4</v>
          </cell>
        </row>
        <row r="1178">
          <cell r="D1178">
            <v>1164</v>
          </cell>
          <cell r="E1178">
            <v>0</v>
          </cell>
          <cell r="F1178">
            <v>0</v>
          </cell>
          <cell r="G1178" t="str">
            <v>CP3343</v>
          </cell>
          <cell r="H1178" t="str">
            <v>MCAS Iwakuni Japan</v>
          </cell>
          <cell r="I1178" t="str">
            <v>IS4</v>
          </cell>
          <cell r="J1178" t="str">
            <v>IS4 Global Mission Solutions</v>
          </cell>
          <cell r="K1178" t="str">
            <v>Classified Agency</v>
          </cell>
          <cell r="L1178" t="str">
            <v>Classified</v>
          </cell>
          <cell r="M1178" t="str">
            <v>Japan</v>
          </cell>
          <cell r="N1178" t="str">
            <v>OCONUS</v>
          </cell>
          <cell r="O1178">
            <v>0</v>
          </cell>
          <cell r="P1178">
            <v>0</v>
          </cell>
          <cell r="Q1178">
            <v>0</v>
          </cell>
          <cell r="R1178" t="str">
            <v>FFP</v>
          </cell>
          <cell r="S1178">
            <v>0</v>
          </cell>
          <cell r="T1178">
            <v>1</v>
          </cell>
          <cell r="U1178" t="str">
            <v>EBITA</v>
          </cell>
          <cell r="V1178" t="str">
            <v>Identified - Recompete</v>
          </cell>
          <cell r="W1178">
            <v>0</v>
          </cell>
          <cell r="X1178">
            <v>0</v>
          </cell>
          <cell r="Y1178">
            <v>0</v>
          </cell>
          <cell r="Z1178">
            <v>0</v>
          </cell>
          <cell r="AA1178">
            <v>0</v>
          </cell>
          <cell r="AB1178">
            <v>0</v>
          </cell>
          <cell r="AC1178">
            <v>0</v>
          </cell>
          <cell r="AD1178">
            <v>0</v>
          </cell>
          <cell r="AX1178">
            <v>0</v>
          </cell>
          <cell r="AY1178">
            <v>0</v>
          </cell>
          <cell r="AZ1178">
            <v>0</v>
          </cell>
          <cell r="BA1178">
            <v>0</v>
          </cell>
          <cell r="BI1178">
            <v>0</v>
          </cell>
          <cell r="BJ1178">
            <v>0</v>
          </cell>
          <cell r="BK1178">
            <v>0</v>
          </cell>
          <cell r="BL1178">
            <v>0</v>
          </cell>
          <cell r="BM1178">
            <v>0</v>
          </cell>
          <cell r="BN1178">
            <v>0</v>
          </cell>
          <cell r="BO1178">
            <v>0</v>
          </cell>
          <cell r="BP1178">
            <v>0</v>
          </cell>
          <cell r="BQ1178">
            <v>0</v>
          </cell>
          <cell r="BR1178">
            <v>0</v>
          </cell>
          <cell r="BT1178">
            <v>0</v>
          </cell>
          <cell r="CA1178" t="str">
            <v>CP3343 - EBITA - Identified - Recompete</v>
          </cell>
          <cell r="CC1178" t="str">
            <v>CP3343 - EBITA - Identified - Recompete - IS4</v>
          </cell>
          <cell r="CD1178" t="str">
            <v/>
          </cell>
          <cell r="CF1178" t="str">
            <v>CP3343 - Identified - Recompete - IS4</v>
          </cell>
        </row>
        <row r="1179">
          <cell r="D1179">
            <v>1165</v>
          </cell>
          <cell r="E1179">
            <v>1</v>
          </cell>
          <cell r="F1179">
            <v>1</v>
          </cell>
          <cell r="G1179" t="str">
            <v>FPINST</v>
          </cell>
          <cell r="H1179" t="str">
            <v>Flat Panel Display Installs</v>
          </cell>
          <cell r="I1179" t="str">
            <v>IS4</v>
          </cell>
          <cell r="J1179" t="str">
            <v>IS4 Sustainment Engineering and Acquisition</v>
          </cell>
          <cell r="K1179" t="str">
            <v>Navy</v>
          </cell>
          <cell r="L1179" t="str">
            <v>DOD</v>
          </cell>
          <cell r="M1179" t="str">
            <v>IN</v>
          </cell>
          <cell r="N1179" t="str">
            <v>CONUS</v>
          </cell>
          <cell r="O1179">
            <v>43706</v>
          </cell>
          <cell r="P1179">
            <v>43738</v>
          </cell>
          <cell r="Q1179" t="str">
            <v>Sub</v>
          </cell>
          <cell r="R1179" t="str">
            <v>FFP</v>
          </cell>
          <cell r="S1179">
            <v>0</v>
          </cell>
          <cell r="T1179">
            <v>1</v>
          </cell>
          <cell r="U1179" t="str">
            <v>REVTOT</v>
          </cell>
          <cell r="V1179" t="str">
            <v>Base</v>
          </cell>
          <cell r="W1179" t="str">
            <v>05 Won</v>
          </cell>
          <cell r="X1179" t="str">
            <v>Active</v>
          </cell>
          <cell r="Y1179">
            <v>1</v>
          </cell>
          <cell r="Z1179">
            <v>0</v>
          </cell>
          <cell r="AA1179">
            <v>602409.10999999987</v>
          </cell>
          <cell r="AB1179">
            <v>0</v>
          </cell>
          <cell r="AC1179">
            <v>0</v>
          </cell>
          <cell r="AD1179">
            <v>602409.10999999987</v>
          </cell>
          <cell r="AE1179">
            <v>0</v>
          </cell>
          <cell r="AF1179">
            <v>0</v>
          </cell>
          <cell r="AG1179">
            <v>9.3383322821156849</v>
          </cell>
          <cell r="AH1179">
            <v>1.7974338283252171</v>
          </cell>
          <cell r="AI1179">
            <v>0</v>
          </cell>
          <cell r="AJ1179">
            <v>0</v>
          </cell>
          <cell r="AK1179">
            <v>0</v>
          </cell>
          <cell r="BB1179">
            <v>489250</v>
          </cell>
          <cell r="BC1179">
            <v>489250</v>
          </cell>
          <cell r="BD1179">
            <v>489250</v>
          </cell>
          <cell r="BE1179">
            <v>489250</v>
          </cell>
          <cell r="BF1179">
            <v>0</v>
          </cell>
          <cell r="BG1179">
            <v>0</v>
          </cell>
          <cell r="BH1179">
            <v>16916.89</v>
          </cell>
          <cell r="BI1179">
            <v>69501.16</v>
          </cell>
          <cell r="BJ1179">
            <v>8439.0300000000007</v>
          </cell>
          <cell r="BK1179">
            <v>24022.239999999998</v>
          </cell>
          <cell r="BL1179">
            <v>72930</v>
          </cell>
          <cell r="BM1179">
            <v>174892.43</v>
          </cell>
          <cell r="BN1179">
            <v>489250</v>
          </cell>
          <cell r="BO1179">
            <v>113159.10999999987</v>
          </cell>
          <cell r="BP1179">
            <v>0</v>
          </cell>
          <cell r="BQ1179">
            <v>0</v>
          </cell>
          <cell r="BR1179">
            <v>777301.5399999998</v>
          </cell>
          <cell r="BT1179">
            <v>0</v>
          </cell>
          <cell r="CA1179" t="str">
            <v>FPINST - REVTOT - Base</v>
          </cell>
          <cell r="CC1179" t="str">
            <v>FPINST - REVTOT - Base - IS4</v>
          </cell>
          <cell r="CD1179" t="str">
            <v/>
          </cell>
          <cell r="CF1179" t="str">
            <v>FPINST - Base - IS4</v>
          </cell>
        </row>
        <row r="1180">
          <cell r="D1180">
            <v>1166</v>
          </cell>
          <cell r="E1180">
            <v>1</v>
          </cell>
          <cell r="F1180">
            <v>2</v>
          </cell>
          <cell r="G1180" t="str">
            <v>FPINST</v>
          </cell>
          <cell r="H1180" t="str">
            <v>Flat Panel Display Installs</v>
          </cell>
          <cell r="I1180" t="str">
            <v>IS4</v>
          </cell>
          <cell r="J1180" t="str">
            <v>IS4 Sustainment Engineering and Acquisition</v>
          </cell>
          <cell r="K1180" t="str">
            <v>Navy</v>
          </cell>
          <cell r="L1180" t="str">
            <v>DOD</v>
          </cell>
          <cell r="M1180" t="str">
            <v>IN</v>
          </cell>
          <cell r="N1180" t="str">
            <v>CONUS</v>
          </cell>
          <cell r="O1180">
            <v>0</v>
          </cell>
          <cell r="P1180">
            <v>0</v>
          </cell>
          <cell r="Q1180">
            <v>0</v>
          </cell>
          <cell r="R1180" t="str">
            <v>FFP</v>
          </cell>
          <cell r="S1180">
            <v>0</v>
          </cell>
          <cell r="T1180">
            <v>1</v>
          </cell>
          <cell r="U1180" t="str">
            <v>REVTOT</v>
          </cell>
          <cell r="V1180" t="str">
            <v>Identified - Recompete</v>
          </cell>
          <cell r="W1180">
            <v>0</v>
          </cell>
          <cell r="X1180">
            <v>0</v>
          </cell>
          <cell r="Y1180">
            <v>0</v>
          </cell>
          <cell r="Z1180">
            <v>0</v>
          </cell>
          <cell r="AA1180">
            <v>0</v>
          </cell>
          <cell r="AB1180">
            <v>0</v>
          </cell>
          <cell r="AC1180">
            <v>0</v>
          </cell>
          <cell r="AD1180">
            <v>0</v>
          </cell>
          <cell r="AI1180">
            <v>0</v>
          </cell>
          <cell r="AJ1180">
            <v>0</v>
          </cell>
          <cell r="AK1180">
            <v>0</v>
          </cell>
          <cell r="BB1180">
            <v>0</v>
          </cell>
          <cell r="BC1180">
            <v>0</v>
          </cell>
          <cell r="BD1180">
            <v>0</v>
          </cell>
          <cell r="BE1180">
            <v>0</v>
          </cell>
          <cell r="BI1180">
            <v>0</v>
          </cell>
          <cell r="BJ1180">
            <v>0</v>
          </cell>
          <cell r="BK1180">
            <v>0</v>
          </cell>
          <cell r="BL1180">
            <v>0</v>
          </cell>
          <cell r="BM1180">
            <v>0</v>
          </cell>
          <cell r="BN1180">
            <v>0</v>
          </cell>
          <cell r="BO1180">
            <v>0</v>
          </cell>
          <cell r="BP1180">
            <v>0</v>
          </cell>
          <cell r="BQ1180">
            <v>0</v>
          </cell>
          <cell r="BR1180">
            <v>0</v>
          </cell>
          <cell r="BT1180">
            <v>0</v>
          </cell>
          <cell r="CA1180" t="str">
            <v>FPINST - REVTOT - Identified - Recompete</v>
          </cell>
          <cell r="CC1180" t="str">
            <v>FPINST - REVTOT - Identified - Recompete - IS4</v>
          </cell>
          <cell r="CD1180" t="str">
            <v/>
          </cell>
          <cell r="CF1180" t="str">
            <v>FPINST - Identified - Recompete - IS4</v>
          </cell>
        </row>
        <row r="1181">
          <cell r="D1181">
            <v>1167</v>
          </cell>
          <cell r="E1181">
            <v>2</v>
          </cell>
          <cell r="F1181">
            <v>3</v>
          </cell>
          <cell r="G1181" t="str">
            <v>FPINST</v>
          </cell>
          <cell r="H1181" t="str">
            <v>Flat Panel Display Installs</v>
          </cell>
          <cell r="I1181" t="str">
            <v>IS4</v>
          </cell>
          <cell r="J1181" t="str">
            <v>IS4 Sustainment Engineering and Acquisition</v>
          </cell>
          <cell r="K1181" t="str">
            <v>Navy</v>
          </cell>
          <cell r="L1181" t="str">
            <v>DOD</v>
          </cell>
          <cell r="M1181" t="str">
            <v>IN</v>
          </cell>
          <cell r="N1181" t="str">
            <v>CONUS</v>
          </cell>
          <cell r="O1181">
            <v>43706</v>
          </cell>
          <cell r="P1181">
            <v>43738</v>
          </cell>
          <cell r="Q1181" t="str">
            <v>Sub</v>
          </cell>
          <cell r="R1181" t="str">
            <v>FFP</v>
          </cell>
          <cell r="S1181">
            <v>0</v>
          </cell>
          <cell r="T1181">
            <v>1</v>
          </cell>
          <cell r="U1181" t="str">
            <v>CONTRACT</v>
          </cell>
          <cell r="V1181" t="str">
            <v>Base</v>
          </cell>
          <cell r="W1181" t="str">
            <v>05 Won</v>
          </cell>
          <cell r="X1181" t="str">
            <v>Active</v>
          </cell>
          <cell r="Y1181">
            <v>1</v>
          </cell>
          <cell r="Z1181">
            <v>0</v>
          </cell>
          <cell r="AA1181">
            <v>602409.10999999987</v>
          </cell>
          <cell r="AB1181">
            <v>0</v>
          </cell>
          <cell r="AC1181">
            <v>0</v>
          </cell>
          <cell r="AD1181">
            <v>602409.10999999987</v>
          </cell>
          <cell r="AL1181">
            <v>0</v>
          </cell>
          <cell r="AM1181">
            <v>0</v>
          </cell>
          <cell r="AN1181">
            <v>0.12162341896175941</v>
          </cell>
          <cell r="AO1181">
            <v>0.11807709458894253</v>
          </cell>
          <cell r="AP1181">
            <v>0.8395783649190699</v>
          </cell>
          <cell r="AQ1181">
            <v>0.8395783649190699</v>
          </cell>
          <cell r="AR1181">
            <v>0.8395783649190699</v>
          </cell>
          <cell r="AS1181">
            <v>0.8395783649190699</v>
          </cell>
          <cell r="BF1181">
            <v>0</v>
          </cell>
          <cell r="BG1181">
            <v>0</v>
          </cell>
          <cell r="BH1181">
            <v>2057.489999999998</v>
          </cell>
          <cell r="BI1181">
            <v>8325.3000000000047</v>
          </cell>
          <cell r="BJ1181">
            <v>729.71000000000072</v>
          </cell>
          <cell r="BK1181">
            <v>2843.9999999999973</v>
          </cell>
          <cell r="BL1181">
            <v>8751.7800000000061</v>
          </cell>
          <cell r="BM1181">
            <v>20650.790000000008</v>
          </cell>
          <cell r="BN1181">
            <v>410763.71503665496</v>
          </cell>
          <cell r="BO1181">
            <v>95005.940549497056</v>
          </cell>
          <cell r="BP1181">
            <v>0</v>
          </cell>
          <cell r="BQ1181">
            <v>0</v>
          </cell>
          <cell r="BR1181">
            <v>526420.44558615203</v>
          </cell>
          <cell r="BT1181">
            <v>0</v>
          </cell>
          <cell r="CA1181" t="str">
            <v>FPINST - CONTRACT - Base</v>
          </cell>
          <cell r="CC1181" t="str">
            <v>FPINST - CONTRACT - Base - IS4</v>
          </cell>
          <cell r="CD1181" t="str">
            <v/>
          </cell>
          <cell r="CF1181" t="str">
            <v>FPINST - Base - IS4</v>
          </cell>
        </row>
        <row r="1182">
          <cell r="D1182">
            <v>1168</v>
          </cell>
          <cell r="E1182">
            <v>2</v>
          </cell>
          <cell r="F1182">
            <v>4</v>
          </cell>
          <cell r="G1182" t="str">
            <v>FPINST</v>
          </cell>
          <cell r="H1182" t="str">
            <v>Flat Panel Display Installs</v>
          </cell>
          <cell r="I1182" t="str">
            <v>IS4</v>
          </cell>
          <cell r="J1182" t="str">
            <v>IS4 Sustainment Engineering and Acquisition</v>
          </cell>
          <cell r="K1182" t="str">
            <v>Navy</v>
          </cell>
          <cell r="L1182" t="str">
            <v>DOD</v>
          </cell>
          <cell r="M1182" t="str">
            <v>IN</v>
          </cell>
          <cell r="N1182" t="str">
            <v>CONUS</v>
          </cell>
          <cell r="O1182">
            <v>0</v>
          </cell>
          <cell r="P1182">
            <v>0</v>
          </cell>
          <cell r="Q1182">
            <v>0</v>
          </cell>
          <cell r="R1182" t="str">
            <v>FFP</v>
          </cell>
          <cell r="S1182">
            <v>0</v>
          </cell>
          <cell r="T1182">
            <v>1</v>
          </cell>
          <cell r="U1182" t="str">
            <v>CONTRACT</v>
          </cell>
          <cell r="V1182" t="str">
            <v>Identified - Recompete</v>
          </cell>
          <cell r="W1182">
            <v>0</v>
          </cell>
          <cell r="X1182">
            <v>0</v>
          </cell>
          <cell r="Y1182">
            <v>0</v>
          </cell>
          <cell r="Z1182">
            <v>0</v>
          </cell>
          <cell r="AA1182">
            <v>0</v>
          </cell>
          <cell r="AB1182">
            <v>0</v>
          </cell>
          <cell r="AC1182">
            <v>0</v>
          </cell>
          <cell r="AD1182">
            <v>0</v>
          </cell>
          <cell r="AP1182">
            <v>0</v>
          </cell>
          <cell r="AQ1182">
            <v>0</v>
          </cell>
          <cell r="AR1182">
            <v>0</v>
          </cell>
          <cell r="AS1182">
            <v>0</v>
          </cell>
          <cell r="BI1182">
            <v>0</v>
          </cell>
          <cell r="BJ1182">
            <v>0</v>
          </cell>
          <cell r="BK1182">
            <v>0</v>
          </cell>
          <cell r="BL1182">
            <v>0</v>
          </cell>
          <cell r="BM1182">
            <v>0</v>
          </cell>
          <cell r="BN1182">
            <v>0</v>
          </cell>
          <cell r="BO1182">
            <v>0</v>
          </cell>
          <cell r="BP1182">
            <v>0</v>
          </cell>
          <cell r="BQ1182">
            <v>0</v>
          </cell>
          <cell r="BR1182">
            <v>0</v>
          </cell>
          <cell r="BT1182">
            <v>0</v>
          </cell>
          <cell r="CA1182" t="str">
            <v>FPINST - CONTRACT - Identified - Recompete</v>
          </cell>
          <cell r="CC1182" t="str">
            <v>FPINST - CONTRACT - Identified - Recompete - IS4</v>
          </cell>
          <cell r="CD1182" t="str">
            <v/>
          </cell>
          <cell r="CF1182" t="str">
            <v>FPINST - Identified - Recompete - IS4</v>
          </cell>
        </row>
        <row r="1183">
          <cell r="D1183">
            <v>1169</v>
          </cell>
          <cell r="E1183">
            <v>0</v>
          </cell>
          <cell r="F1183">
            <v>5</v>
          </cell>
          <cell r="G1183" t="str">
            <v>FPINST</v>
          </cell>
          <cell r="H1183" t="str">
            <v>Flat Panel Display Installs</v>
          </cell>
          <cell r="I1183" t="str">
            <v>IS4</v>
          </cell>
          <cell r="J1183" t="str">
            <v>IS4 Sustainment Engineering and Acquisition</v>
          </cell>
          <cell r="K1183" t="str">
            <v>Navy</v>
          </cell>
          <cell r="L1183" t="str">
            <v>DOD</v>
          </cell>
          <cell r="M1183" t="str">
            <v>IN</v>
          </cell>
          <cell r="N1183" t="str">
            <v>CONUS</v>
          </cell>
          <cell r="O1183">
            <v>43706</v>
          </cell>
          <cell r="P1183">
            <v>43738</v>
          </cell>
          <cell r="Q1183" t="str">
            <v>Sub</v>
          </cell>
          <cell r="R1183" t="str">
            <v>FFP</v>
          </cell>
          <cell r="S1183">
            <v>0</v>
          </cell>
          <cell r="T1183">
            <v>1</v>
          </cell>
          <cell r="U1183" t="str">
            <v>EBITA</v>
          </cell>
          <cell r="V1183" t="str">
            <v>Base</v>
          </cell>
          <cell r="W1183" t="str">
            <v>05 Won</v>
          </cell>
          <cell r="X1183" t="str">
            <v>Active</v>
          </cell>
          <cell r="Y1183">
            <v>1</v>
          </cell>
          <cell r="Z1183">
            <v>0</v>
          </cell>
          <cell r="AA1183">
            <v>602409.10999999987</v>
          </cell>
          <cell r="AB1183">
            <v>0</v>
          </cell>
          <cell r="AC1183">
            <v>0</v>
          </cell>
          <cell r="AD1183">
            <v>602409.10999999987</v>
          </cell>
          <cell r="AT1183">
            <v>0</v>
          </cell>
          <cell r="AU1183">
            <v>0</v>
          </cell>
          <cell r="AV1183">
            <v>-9.756521440997843E-3</v>
          </cell>
          <cell r="AW1183">
            <v>1.8495826263034996E-2</v>
          </cell>
          <cell r="AX1183">
            <v>0.82207650535404608</v>
          </cell>
          <cell r="AY1183">
            <v>0.82307650535404608</v>
          </cell>
          <cell r="AZ1183">
            <v>0.82407650535404608</v>
          </cell>
          <cell r="BA1183">
            <v>0.82507650535404609</v>
          </cell>
          <cell r="BF1183">
            <v>0</v>
          </cell>
          <cell r="BG1183">
            <v>0</v>
          </cell>
          <cell r="BH1183">
            <v>-165.050000000002</v>
          </cell>
          <cell r="BI1183">
            <v>1126.4300000000048</v>
          </cell>
          <cell r="BJ1183">
            <v>169.3100000000008</v>
          </cell>
          <cell r="BK1183">
            <v>480.43999999999721</v>
          </cell>
          <cell r="BL1183">
            <v>1458.6000000000063</v>
          </cell>
          <cell r="BM1183">
            <v>3234.7800000000093</v>
          </cell>
          <cell r="BN1183">
            <v>402200.93024446705</v>
          </cell>
          <cell r="BO1183">
            <v>93138.604807773983</v>
          </cell>
          <cell r="BP1183">
            <v>0</v>
          </cell>
          <cell r="BQ1183">
            <v>0</v>
          </cell>
          <cell r="BR1183">
            <v>498574.31505224109</v>
          </cell>
          <cell r="BT1183">
            <v>0</v>
          </cell>
          <cell r="CA1183" t="str">
            <v>FPINST - EBITA - Base</v>
          </cell>
          <cell r="CC1183" t="str">
            <v>FPINST - EBITA - Base - IS4</v>
          </cell>
          <cell r="CD1183" t="str">
            <v/>
          </cell>
          <cell r="CF1183" t="str">
            <v>FPINST - Base - IS4</v>
          </cell>
        </row>
        <row r="1184">
          <cell r="D1184">
            <v>1170</v>
          </cell>
          <cell r="E1184">
            <v>0</v>
          </cell>
          <cell r="F1184">
            <v>0</v>
          </cell>
          <cell r="G1184" t="str">
            <v>FPINST</v>
          </cell>
          <cell r="H1184" t="str">
            <v>Flat Panel Display Installs</v>
          </cell>
          <cell r="I1184" t="str">
            <v>IS4</v>
          </cell>
          <cell r="J1184" t="str">
            <v>IS4 Sustainment Engineering and Acquisition</v>
          </cell>
          <cell r="K1184" t="str">
            <v>Navy</v>
          </cell>
          <cell r="L1184" t="str">
            <v>DOD</v>
          </cell>
          <cell r="M1184" t="str">
            <v>IN</v>
          </cell>
          <cell r="N1184" t="str">
            <v>CONUS</v>
          </cell>
          <cell r="O1184">
            <v>0</v>
          </cell>
          <cell r="P1184">
            <v>0</v>
          </cell>
          <cell r="Q1184">
            <v>0</v>
          </cell>
          <cell r="R1184" t="str">
            <v>FFP</v>
          </cell>
          <cell r="S1184">
            <v>0</v>
          </cell>
          <cell r="T1184">
            <v>1</v>
          </cell>
          <cell r="U1184" t="str">
            <v>EBITA</v>
          </cell>
          <cell r="V1184" t="str">
            <v>Identified - Recompete</v>
          </cell>
          <cell r="W1184">
            <v>0</v>
          </cell>
          <cell r="X1184">
            <v>0</v>
          </cell>
          <cell r="Y1184">
            <v>0</v>
          </cell>
          <cell r="Z1184">
            <v>0</v>
          </cell>
          <cell r="AA1184">
            <v>0</v>
          </cell>
          <cell r="AB1184">
            <v>0</v>
          </cell>
          <cell r="AC1184">
            <v>0</v>
          </cell>
          <cell r="AD1184">
            <v>0</v>
          </cell>
          <cell r="AX1184">
            <v>0</v>
          </cell>
          <cell r="AY1184">
            <v>0</v>
          </cell>
          <cell r="AZ1184">
            <v>0</v>
          </cell>
          <cell r="BA1184">
            <v>0</v>
          </cell>
          <cell r="BI1184">
            <v>0</v>
          </cell>
          <cell r="BJ1184">
            <v>0</v>
          </cell>
          <cell r="BK1184">
            <v>0</v>
          </cell>
          <cell r="BL1184">
            <v>0</v>
          </cell>
          <cell r="BM1184">
            <v>0</v>
          </cell>
          <cell r="BN1184">
            <v>0</v>
          </cell>
          <cell r="BO1184">
            <v>0</v>
          </cell>
          <cell r="BP1184">
            <v>0</v>
          </cell>
          <cell r="BQ1184">
            <v>0</v>
          </cell>
          <cell r="BR1184">
            <v>0</v>
          </cell>
          <cell r="BT1184">
            <v>0</v>
          </cell>
          <cell r="CA1184" t="str">
            <v>FPINST - EBITA - Identified - Recompete</v>
          </cell>
          <cell r="CC1184" t="str">
            <v>FPINST - EBITA - Identified - Recompete - IS4</v>
          </cell>
          <cell r="CD1184" t="str">
            <v/>
          </cell>
          <cell r="CF1184" t="str">
            <v>FPINST - Identified - Recompete - IS4</v>
          </cell>
        </row>
        <row r="1185">
          <cell r="D1185">
            <v>1171</v>
          </cell>
          <cell r="E1185">
            <v>1</v>
          </cell>
          <cell r="F1185">
            <v>1</v>
          </cell>
          <cell r="G1185" t="str">
            <v>CLHDWX</v>
          </cell>
          <cell r="H1185" t="str">
            <v>Camp Lejeune Historic Drinking Water</v>
          </cell>
          <cell r="I1185" t="str">
            <v>IS4</v>
          </cell>
          <cell r="J1185" t="str">
            <v>IS4 Spectrum &amp; Infrastructure Assurance</v>
          </cell>
          <cell r="K1185" t="str">
            <v>Marine Corps</v>
          </cell>
          <cell r="L1185" t="str">
            <v>DOD</v>
          </cell>
          <cell r="M1185" t="str">
            <v>VA</v>
          </cell>
          <cell r="N1185" t="str">
            <v>CONUS</v>
          </cell>
          <cell r="O1185">
            <v>43517</v>
          </cell>
          <cell r="P1185">
            <v>45342</v>
          </cell>
          <cell r="Q1185" t="str">
            <v>Prime</v>
          </cell>
          <cell r="R1185" t="str">
            <v>FFP</v>
          </cell>
          <cell r="S1185">
            <v>0</v>
          </cell>
          <cell r="T1185">
            <v>1</v>
          </cell>
          <cell r="U1185" t="str">
            <v>REVTOT</v>
          </cell>
          <cell r="V1185" t="str">
            <v>Base</v>
          </cell>
          <cell r="W1185" t="str">
            <v>05 Won</v>
          </cell>
          <cell r="X1185" t="str">
            <v>Active</v>
          </cell>
          <cell r="Y1185">
            <v>1</v>
          </cell>
          <cell r="Z1185">
            <v>0</v>
          </cell>
          <cell r="AA1185">
            <v>529635.34</v>
          </cell>
          <cell r="AB1185">
            <v>6480830.1500000004</v>
          </cell>
          <cell r="AC1185">
            <v>0</v>
          </cell>
          <cell r="AD1185">
            <v>7010465.4900000002</v>
          </cell>
          <cell r="AE1185">
            <v>0</v>
          </cell>
          <cell r="AF1185">
            <v>0</v>
          </cell>
          <cell r="AG1185">
            <v>0</v>
          </cell>
          <cell r="AH1185">
            <v>1.1278760665844558</v>
          </cell>
          <cell r="AI1185">
            <v>0</v>
          </cell>
          <cell r="AJ1185">
            <v>0</v>
          </cell>
          <cell r="AK1185">
            <v>0</v>
          </cell>
          <cell r="BB1185">
            <v>1005474</v>
          </cell>
          <cell r="BC1185">
            <v>1005474</v>
          </cell>
          <cell r="BD1185">
            <v>1005474</v>
          </cell>
          <cell r="BE1185">
            <v>1005474</v>
          </cell>
          <cell r="BF1185">
            <v>0</v>
          </cell>
          <cell r="BG1185">
            <v>0</v>
          </cell>
          <cell r="BH1185">
            <v>0</v>
          </cell>
          <cell r="BI1185">
            <v>0</v>
          </cell>
          <cell r="BJ1185">
            <v>43601.599999999999</v>
          </cell>
          <cell r="BK1185">
            <v>134658.09999999998</v>
          </cell>
          <cell r="BL1185">
            <v>294265</v>
          </cell>
          <cell r="BM1185">
            <v>472524.69999999995</v>
          </cell>
          <cell r="BN1185">
            <v>1005474</v>
          </cell>
          <cell r="BO1185">
            <v>1005474</v>
          </cell>
          <cell r="BP1185">
            <v>1005474</v>
          </cell>
          <cell r="BQ1185">
            <v>1005474</v>
          </cell>
          <cell r="BR1185">
            <v>4494420.7</v>
          </cell>
          <cell r="BT1185">
            <v>0</v>
          </cell>
          <cell r="CA1185" t="str">
            <v>CLHDWX - REVTOT - Base</v>
          </cell>
          <cell r="CC1185" t="str">
            <v>CLHDWX - REVTOT - Base - IS4</v>
          </cell>
          <cell r="CD1185" t="str">
            <v/>
          </cell>
          <cell r="CF1185" t="str">
            <v>CLHDWX - Base - IS4</v>
          </cell>
        </row>
        <row r="1186">
          <cell r="D1186">
            <v>1172</v>
          </cell>
          <cell r="E1186">
            <v>1</v>
          </cell>
          <cell r="F1186">
            <v>2</v>
          </cell>
          <cell r="G1186" t="str">
            <v>CLHDWX</v>
          </cell>
          <cell r="H1186" t="str">
            <v>Camp Lejeune Historic Drinking Water</v>
          </cell>
          <cell r="I1186" t="str">
            <v>IS4</v>
          </cell>
          <cell r="J1186" t="str">
            <v>IS4 Spectrum &amp; Infrastructure Assurance</v>
          </cell>
          <cell r="K1186" t="str">
            <v>Marine Corps</v>
          </cell>
          <cell r="L1186" t="str">
            <v>DOD</v>
          </cell>
          <cell r="M1186" t="str">
            <v>VA</v>
          </cell>
          <cell r="N1186" t="str">
            <v>CONUS</v>
          </cell>
          <cell r="O1186">
            <v>0</v>
          </cell>
          <cell r="P1186">
            <v>0</v>
          </cell>
          <cell r="Q1186">
            <v>0</v>
          </cell>
          <cell r="R1186" t="str">
            <v>FFP</v>
          </cell>
          <cell r="S1186">
            <v>0</v>
          </cell>
          <cell r="T1186">
            <v>1</v>
          </cell>
          <cell r="U1186" t="str">
            <v>REVTOT</v>
          </cell>
          <cell r="V1186" t="str">
            <v>Identified - Recompete</v>
          </cell>
          <cell r="W1186">
            <v>0</v>
          </cell>
          <cell r="X1186">
            <v>0</v>
          </cell>
          <cell r="Y1186">
            <v>0</v>
          </cell>
          <cell r="Z1186">
            <v>0</v>
          </cell>
          <cell r="AA1186">
            <v>0</v>
          </cell>
          <cell r="AB1186">
            <v>0</v>
          </cell>
          <cell r="AC1186">
            <v>0</v>
          </cell>
          <cell r="AD1186">
            <v>0</v>
          </cell>
          <cell r="AI1186">
            <v>0</v>
          </cell>
          <cell r="AJ1186">
            <v>0</v>
          </cell>
          <cell r="AK1186">
            <v>0</v>
          </cell>
          <cell r="BB1186">
            <v>0</v>
          </cell>
          <cell r="BC1186">
            <v>0</v>
          </cell>
          <cell r="BD1186">
            <v>0</v>
          </cell>
          <cell r="BE1186">
            <v>0</v>
          </cell>
          <cell r="BI1186">
            <v>0</v>
          </cell>
          <cell r="BJ1186">
            <v>0</v>
          </cell>
          <cell r="BK1186">
            <v>0</v>
          </cell>
          <cell r="BL1186">
            <v>0</v>
          </cell>
          <cell r="BM1186">
            <v>0</v>
          </cell>
          <cell r="BN1186">
            <v>0</v>
          </cell>
          <cell r="BO1186">
            <v>0</v>
          </cell>
          <cell r="BP1186">
            <v>0</v>
          </cell>
          <cell r="BQ1186">
            <v>0</v>
          </cell>
          <cell r="BR1186">
            <v>0</v>
          </cell>
          <cell r="BT1186">
            <v>0</v>
          </cell>
          <cell r="CA1186" t="str">
            <v>CLHDWX - REVTOT - Identified - Recompete</v>
          </cell>
          <cell r="CC1186" t="str">
            <v>CLHDWX - REVTOT - Identified - Recompete - IS4</v>
          </cell>
          <cell r="CD1186" t="str">
            <v/>
          </cell>
          <cell r="CF1186" t="str">
            <v>CLHDWX - Identified - Recompete - IS4</v>
          </cell>
        </row>
        <row r="1187">
          <cell r="D1187">
            <v>1173</v>
          </cell>
          <cell r="E1187">
            <v>2</v>
          </cell>
          <cell r="F1187">
            <v>3</v>
          </cell>
          <cell r="G1187" t="str">
            <v>CLHDWX</v>
          </cell>
          <cell r="H1187" t="str">
            <v>Camp Lejeune Historic Drinking Water</v>
          </cell>
          <cell r="I1187" t="str">
            <v>IS4</v>
          </cell>
          <cell r="J1187" t="str">
            <v>IS4 Spectrum &amp; Infrastructure Assurance</v>
          </cell>
          <cell r="K1187" t="str">
            <v>Marine Corps</v>
          </cell>
          <cell r="L1187" t="str">
            <v>DOD</v>
          </cell>
          <cell r="M1187" t="str">
            <v>VA</v>
          </cell>
          <cell r="N1187" t="str">
            <v>CONUS</v>
          </cell>
          <cell r="O1187">
            <v>43517</v>
          </cell>
          <cell r="P1187">
            <v>45342</v>
          </cell>
          <cell r="Q1187" t="str">
            <v>Prime</v>
          </cell>
          <cell r="R1187" t="str">
            <v>FFP</v>
          </cell>
          <cell r="S1187">
            <v>0</v>
          </cell>
          <cell r="T1187">
            <v>1</v>
          </cell>
          <cell r="U1187" t="str">
            <v>CONTRACT</v>
          </cell>
          <cell r="V1187" t="str">
            <v>Base</v>
          </cell>
          <cell r="W1187" t="str">
            <v>05 Won</v>
          </cell>
          <cell r="X1187" t="str">
            <v>Active</v>
          </cell>
          <cell r="Y1187">
            <v>1</v>
          </cell>
          <cell r="Z1187">
            <v>0</v>
          </cell>
          <cell r="AA1187">
            <v>529635.34</v>
          </cell>
          <cell r="AB1187">
            <v>6480830.1500000004</v>
          </cell>
          <cell r="AC1187">
            <v>0</v>
          </cell>
          <cell r="AD1187">
            <v>7010465.4900000002</v>
          </cell>
          <cell r="AL1187">
            <v>0</v>
          </cell>
          <cell r="AM1187">
            <v>0</v>
          </cell>
          <cell r="AN1187">
            <v>0</v>
          </cell>
          <cell r="AO1187">
            <v>1.2548550372075728E-3</v>
          </cell>
          <cell r="AP1187">
            <v>1.4088442387235731E-3</v>
          </cell>
          <cell r="AQ1187">
            <v>1.4088442387235731E-3</v>
          </cell>
          <cell r="AR1187">
            <v>1.4088442387235731E-3</v>
          </cell>
          <cell r="AS1187">
            <v>1.4088442387235731E-3</v>
          </cell>
          <cell r="BF1187">
            <v>0</v>
          </cell>
          <cell r="BG1187">
            <v>0</v>
          </cell>
          <cell r="BH1187">
            <v>0</v>
          </cell>
          <cell r="BI1187">
            <v>0</v>
          </cell>
          <cell r="BJ1187">
            <v>49.810000000004948</v>
          </cell>
          <cell r="BK1187">
            <v>133.13999999999214</v>
          </cell>
          <cell r="BL1187">
            <v>410</v>
          </cell>
          <cell r="BM1187">
            <v>592.94999999999709</v>
          </cell>
          <cell r="BN1187">
            <v>1416.5562520863459</v>
          </cell>
          <cell r="BO1187">
            <v>1416.5562520863459</v>
          </cell>
          <cell r="BP1187">
            <v>1416.5562520863459</v>
          </cell>
          <cell r="BQ1187">
            <v>1416.5562520863459</v>
          </cell>
          <cell r="BR1187">
            <v>6259.1750083453808</v>
          </cell>
          <cell r="BT1187">
            <v>0</v>
          </cell>
          <cell r="CA1187" t="str">
            <v>CLHDWX - CONTRACT - Base</v>
          </cell>
          <cell r="CC1187" t="str">
            <v>CLHDWX - CONTRACT - Base - IS4</v>
          </cell>
          <cell r="CD1187" t="str">
            <v/>
          </cell>
          <cell r="CF1187" t="str">
            <v>CLHDWX - Base - IS4</v>
          </cell>
        </row>
        <row r="1188">
          <cell r="D1188">
            <v>1174</v>
          </cell>
          <cell r="E1188">
            <v>2</v>
          </cell>
          <cell r="F1188">
            <v>4</v>
          </cell>
          <cell r="G1188" t="str">
            <v>CLHDWX</v>
          </cell>
          <cell r="H1188" t="str">
            <v>Camp Lejeune Historic Drinking Water</v>
          </cell>
          <cell r="I1188" t="str">
            <v>IS4</v>
          </cell>
          <cell r="J1188" t="str">
            <v>IS4 Spectrum &amp; Infrastructure Assurance</v>
          </cell>
          <cell r="K1188" t="str">
            <v>Marine Corps</v>
          </cell>
          <cell r="L1188" t="str">
            <v>DOD</v>
          </cell>
          <cell r="M1188" t="str">
            <v>VA</v>
          </cell>
          <cell r="N1188" t="str">
            <v>CONUS</v>
          </cell>
          <cell r="O1188">
            <v>0</v>
          </cell>
          <cell r="P1188">
            <v>0</v>
          </cell>
          <cell r="Q1188">
            <v>0</v>
          </cell>
          <cell r="R1188" t="str">
            <v>FFP</v>
          </cell>
          <cell r="S1188">
            <v>0</v>
          </cell>
          <cell r="T1188">
            <v>1</v>
          </cell>
          <cell r="U1188" t="str">
            <v>CONTRACT</v>
          </cell>
          <cell r="V1188" t="str">
            <v>Identified - Recompete</v>
          </cell>
          <cell r="W1188">
            <v>0</v>
          </cell>
          <cell r="X1188">
            <v>0</v>
          </cell>
          <cell r="Y1188">
            <v>0</v>
          </cell>
          <cell r="Z1188">
            <v>0</v>
          </cell>
          <cell r="AA1188">
            <v>0</v>
          </cell>
          <cell r="AB1188">
            <v>0</v>
          </cell>
          <cell r="AC1188">
            <v>0</v>
          </cell>
          <cell r="AD1188">
            <v>0</v>
          </cell>
          <cell r="AP1188">
            <v>0</v>
          </cell>
          <cell r="AQ1188">
            <v>0</v>
          </cell>
          <cell r="AR1188">
            <v>0</v>
          </cell>
          <cell r="AS1188">
            <v>0</v>
          </cell>
          <cell r="BI1188">
            <v>0</v>
          </cell>
          <cell r="BJ1188">
            <v>0</v>
          </cell>
          <cell r="BK1188">
            <v>0</v>
          </cell>
          <cell r="BL1188">
            <v>0</v>
          </cell>
          <cell r="BM1188">
            <v>0</v>
          </cell>
          <cell r="BN1188">
            <v>0</v>
          </cell>
          <cell r="BO1188">
            <v>0</v>
          </cell>
          <cell r="BP1188">
            <v>0</v>
          </cell>
          <cell r="BQ1188">
            <v>0</v>
          </cell>
          <cell r="BR1188">
            <v>0</v>
          </cell>
          <cell r="BT1188">
            <v>0</v>
          </cell>
          <cell r="CA1188" t="str">
            <v>CLHDWX - CONTRACT - Identified - Recompete</v>
          </cell>
          <cell r="CC1188" t="str">
            <v>CLHDWX - CONTRACT - Identified - Recompete - IS4</v>
          </cell>
          <cell r="CD1188" t="str">
            <v/>
          </cell>
          <cell r="CF1188" t="str">
            <v>CLHDWX - Identified - Recompete - IS4</v>
          </cell>
        </row>
        <row r="1189">
          <cell r="D1189">
            <v>1175</v>
          </cell>
          <cell r="E1189">
            <v>0</v>
          </cell>
          <cell r="F1189">
            <v>5</v>
          </cell>
          <cell r="G1189" t="str">
            <v>CLHDWX</v>
          </cell>
          <cell r="H1189" t="str">
            <v>Camp Lejeune Historic Drinking Water</v>
          </cell>
          <cell r="I1189" t="str">
            <v>IS4</v>
          </cell>
          <cell r="J1189" t="str">
            <v>IS4 Spectrum &amp; Infrastructure Assurance</v>
          </cell>
          <cell r="K1189" t="str">
            <v>Marine Corps</v>
          </cell>
          <cell r="L1189" t="str">
            <v>DOD</v>
          </cell>
          <cell r="M1189" t="str">
            <v>VA</v>
          </cell>
          <cell r="N1189" t="str">
            <v>CONUS</v>
          </cell>
          <cell r="O1189">
            <v>43517</v>
          </cell>
          <cell r="P1189">
            <v>45342</v>
          </cell>
          <cell r="Q1189" t="str">
            <v>Prime</v>
          </cell>
          <cell r="R1189" t="str">
            <v>FFP</v>
          </cell>
          <cell r="S1189">
            <v>0</v>
          </cell>
          <cell r="T1189">
            <v>1</v>
          </cell>
          <cell r="U1189" t="str">
            <v>EBITA</v>
          </cell>
          <cell r="V1189" t="str">
            <v>Base</v>
          </cell>
          <cell r="W1189" t="str">
            <v>05 Won</v>
          </cell>
          <cell r="X1189" t="str">
            <v>Active</v>
          </cell>
          <cell r="Y1189">
            <v>1</v>
          </cell>
          <cell r="Z1189">
            <v>0</v>
          </cell>
          <cell r="AA1189">
            <v>529635.34</v>
          </cell>
          <cell r="AB1189">
            <v>6480830.1500000004</v>
          </cell>
          <cell r="AC1189">
            <v>0</v>
          </cell>
          <cell r="AD1189">
            <v>7010465.4900000002</v>
          </cell>
          <cell r="AT1189">
            <v>0</v>
          </cell>
          <cell r="AU1189">
            <v>0</v>
          </cell>
          <cell r="AV1189">
            <v>0</v>
          </cell>
          <cell r="AW1189">
            <v>-6.1727523033086136E-18</v>
          </cell>
          <cell r="AX1189">
            <v>9.9999999999898044E-4</v>
          </cell>
          <cell r="AY1189">
            <v>1.9999999999989805E-3</v>
          </cell>
          <cell r="AZ1189">
            <v>2.9999999999989805E-3</v>
          </cell>
          <cell r="BA1189">
            <v>3.9999999999989801E-3</v>
          </cell>
          <cell r="BF1189">
            <v>0</v>
          </cell>
          <cell r="BG1189">
            <v>0</v>
          </cell>
          <cell r="BH1189">
            <v>0</v>
          </cell>
          <cell r="BI1189">
            <v>0</v>
          </cell>
          <cell r="BJ1189">
            <v>4.9453774408902973E-12</v>
          </cell>
          <cell r="BK1189">
            <v>-7.8621553711855086E-12</v>
          </cell>
          <cell r="BL1189">
            <v>0</v>
          </cell>
          <cell r="BM1189">
            <v>-2.9167779302952113E-12</v>
          </cell>
          <cell r="BN1189">
            <v>1005.4739999989748</v>
          </cell>
          <cell r="BO1189">
            <v>2010.9479999989749</v>
          </cell>
          <cell r="BP1189">
            <v>3016.421999998975</v>
          </cell>
          <cell r="BQ1189">
            <v>4021.8959999989743</v>
          </cell>
          <cell r="BR1189">
            <v>10054.739999995896</v>
          </cell>
          <cell r="BT1189">
            <v>0</v>
          </cell>
          <cell r="CA1189" t="str">
            <v>CLHDWX - EBITA - Base</v>
          </cell>
          <cell r="CC1189" t="str">
            <v>CLHDWX - EBITA - Base - IS4</v>
          </cell>
          <cell r="CD1189" t="str">
            <v/>
          </cell>
          <cell r="CF1189" t="str">
            <v>CLHDWX - Base - IS4</v>
          </cell>
        </row>
        <row r="1190">
          <cell r="D1190">
            <v>1176</v>
          </cell>
          <cell r="E1190">
            <v>0</v>
          </cell>
          <cell r="F1190">
            <v>0</v>
          </cell>
          <cell r="G1190" t="str">
            <v>CLHDWX</v>
          </cell>
          <cell r="H1190" t="str">
            <v>Camp Lejeune Historic Drinking Water</v>
          </cell>
          <cell r="I1190" t="str">
            <v>IS4</v>
          </cell>
          <cell r="J1190" t="str">
            <v>IS4 Spectrum &amp; Infrastructure Assurance</v>
          </cell>
          <cell r="K1190" t="str">
            <v>Marine Corps</v>
          </cell>
          <cell r="L1190" t="str">
            <v>DOD</v>
          </cell>
          <cell r="M1190" t="str">
            <v>VA</v>
          </cell>
          <cell r="N1190" t="str">
            <v>CONUS</v>
          </cell>
          <cell r="O1190">
            <v>0</v>
          </cell>
          <cell r="P1190">
            <v>0</v>
          </cell>
          <cell r="Q1190">
            <v>0</v>
          </cell>
          <cell r="R1190" t="str">
            <v>FFP</v>
          </cell>
          <cell r="S1190">
            <v>0</v>
          </cell>
          <cell r="T1190">
            <v>1</v>
          </cell>
          <cell r="U1190" t="str">
            <v>EBITA</v>
          </cell>
          <cell r="V1190" t="str">
            <v>Identified - Recompete</v>
          </cell>
          <cell r="W1190">
            <v>0</v>
          </cell>
          <cell r="X1190">
            <v>0</v>
          </cell>
          <cell r="Y1190">
            <v>0</v>
          </cell>
          <cell r="Z1190">
            <v>0</v>
          </cell>
          <cell r="AA1190">
            <v>0</v>
          </cell>
          <cell r="AB1190">
            <v>0</v>
          </cell>
          <cell r="AC1190">
            <v>0</v>
          </cell>
          <cell r="AD1190">
            <v>0</v>
          </cell>
          <cell r="AX1190">
            <v>0</v>
          </cell>
          <cell r="AY1190">
            <v>0</v>
          </cell>
          <cell r="AZ1190">
            <v>0</v>
          </cell>
          <cell r="BA1190">
            <v>0</v>
          </cell>
          <cell r="BI1190">
            <v>0</v>
          </cell>
          <cell r="BJ1190">
            <v>0</v>
          </cell>
          <cell r="BK1190">
            <v>0</v>
          </cell>
          <cell r="BL1190">
            <v>0</v>
          </cell>
          <cell r="BM1190">
            <v>0</v>
          </cell>
          <cell r="BN1190">
            <v>0</v>
          </cell>
          <cell r="BO1190">
            <v>0</v>
          </cell>
          <cell r="BP1190">
            <v>0</v>
          </cell>
          <cell r="BQ1190">
            <v>0</v>
          </cell>
          <cell r="BR1190">
            <v>0</v>
          </cell>
          <cell r="BT1190">
            <v>0</v>
          </cell>
          <cell r="CA1190" t="str">
            <v>CLHDWX - EBITA - Identified - Recompete</v>
          </cell>
          <cell r="CC1190" t="str">
            <v>CLHDWX - EBITA - Identified - Recompete - IS4</v>
          </cell>
          <cell r="CD1190" t="str">
            <v/>
          </cell>
          <cell r="CF1190" t="str">
            <v>CLHDWX - Identified - Recompete - IS4</v>
          </cell>
        </row>
        <row r="1191">
          <cell r="D1191">
            <v>1177</v>
          </cell>
          <cell r="E1191">
            <v>1</v>
          </cell>
          <cell r="F1191">
            <v>1</v>
          </cell>
          <cell r="G1191" t="str">
            <v>XXSWD2</v>
          </cell>
          <cell r="H1191" t="str">
            <v>MAWTS1 Spectrum SWD 2</v>
          </cell>
          <cell r="I1191" t="str">
            <v>IS4</v>
          </cell>
          <cell r="J1191" t="str">
            <v>IS4 Spectrum &amp; Infrastructure Assurance</v>
          </cell>
          <cell r="K1191" t="str">
            <v>Marine Corps</v>
          </cell>
          <cell r="L1191" t="str">
            <v>DOD</v>
          </cell>
          <cell r="M1191" t="str">
            <v>AZ</v>
          </cell>
          <cell r="N1191" t="str">
            <v>CONUS</v>
          </cell>
          <cell r="O1191">
            <v>43308</v>
          </cell>
          <cell r="P1191">
            <v>45133</v>
          </cell>
          <cell r="Q1191" t="str">
            <v>Prime</v>
          </cell>
          <cell r="R1191" t="str">
            <v>FFP</v>
          </cell>
          <cell r="S1191">
            <v>0</v>
          </cell>
          <cell r="T1191">
            <v>1</v>
          </cell>
          <cell r="U1191" t="str">
            <v>REVTOT</v>
          </cell>
          <cell r="V1191" t="str">
            <v>Base</v>
          </cell>
          <cell r="W1191" t="str">
            <v>05 Won</v>
          </cell>
          <cell r="X1191" t="str">
            <v>Active</v>
          </cell>
          <cell r="Y1191">
            <v>1</v>
          </cell>
          <cell r="Z1191">
            <v>0</v>
          </cell>
          <cell r="AA1191">
            <v>420509.1663199999</v>
          </cell>
          <cell r="AB1191">
            <v>1590769.3600000003</v>
          </cell>
          <cell r="AC1191">
            <v>0</v>
          </cell>
          <cell r="AD1191">
            <v>2011278.5263200002</v>
          </cell>
          <cell r="AE1191">
            <v>0</v>
          </cell>
          <cell r="AF1191">
            <v>0</v>
          </cell>
          <cell r="AG1191">
            <v>15.06051921922413</v>
          </cell>
          <cell r="AH1191">
            <v>-7.4070627030981884E-2</v>
          </cell>
          <cell r="AI1191">
            <v>0</v>
          </cell>
          <cell r="AJ1191">
            <v>0</v>
          </cell>
          <cell r="AK1191">
            <v>0</v>
          </cell>
          <cell r="BB1191">
            <v>545943.69325000001</v>
          </cell>
          <cell r="BC1191">
            <v>545943.69325000001</v>
          </cell>
          <cell r="BD1191">
            <v>545943.69325000001</v>
          </cell>
          <cell r="BE1191">
            <v>545943.69325000001</v>
          </cell>
          <cell r="BF1191">
            <v>0</v>
          </cell>
          <cell r="BG1191">
            <v>0</v>
          </cell>
          <cell r="BH1191">
            <v>36712.199999999997</v>
          </cell>
          <cell r="BI1191">
            <v>55447.960000000006</v>
          </cell>
          <cell r="BJ1191">
            <v>117301.88</v>
          </cell>
          <cell r="BK1191">
            <v>156744.04999999999</v>
          </cell>
          <cell r="BL1191">
            <v>260123.10368</v>
          </cell>
          <cell r="BM1191">
            <v>589616.99368000007</v>
          </cell>
          <cell r="BN1191">
            <v>545943.69325000001</v>
          </cell>
          <cell r="BO1191">
            <v>545943.69325000001</v>
          </cell>
          <cell r="BP1191">
            <v>545943.69325000001</v>
          </cell>
          <cell r="BQ1191">
            <v>373447.44657000015</v>
          </cell>
          <cell r="BR1191">
            <v>2600895.52</v>
          </cell>
          <cell r="BT1191">
            <v>0</v>
          </cell>
          <cell r="CA1191" t="str">
            <v>XXSWD2 - REVTOT - Base</v>
          </cell>
          <cell r="CC1191" t="str">
            <v>XXSWD2 - REVTOT - Base - IS4</v>
          </cell>
          <cell r="CD1191" t="str">
            <v/>
          </cell>
          <cell r="CF1191" t="str">
            <v>XXSWD2 - Base - IS4</v>
          </cell>
        </row>
        <row r="1192">
          <cell r="D1192">
            <v>1178</v>
          </cell>
          <cell r="E1192">
            <v>1</v>
          </cell>
          <cell r="F1192">
            <v>2</v>
          </cell>
          <cell r="G1192" t="str">
            <v>XXSWD2</v>
          </cell>
          <cell r="H1192" t="str">
            <v>MAWTS1 Spectrum SWD 2</v>
          </cell>
          <cell r="I1192" t="str">
            <v>IS4</v>
          </cell>
          <cell r="J1192" t="str">
            <v>IS4 Spectrum &amp; Infrastructure Assurance</v>
          </cell>
          <cell r="K1192" t="str">
            <v>Marine Corps</v>
          </cell>
          <cell r="L1192" t="str">
            <v>DOD</v>
          </cell>
          <cell r="M1192" t="str">
            <v>AZ</v>
          </cell>
          <cell r="N1192" t="str">
            <v>CONUS</v>
          </cell>
          <cell r="O1192">
            <v>0</v>
          </cell>
          <cell r="P1192">
            <v>0</v>
          </cell>
          <cell r="Q1192">
            <v>0</v>
          </cell>
          <cell r="R1192" t="str">
            <v>FFP</v>
          </cell>
          <cell r="S1192">
            <v>0</v>
          </cell>
          <cell r="T1192">
            <v>1</v>
          </cell>
          <cell r="U1192" t="str">
            <v>REVTOT</v>
          </cell>
          <cell r="V1192" t="str">
            <v>Identified - Recompete</v>
          </cell>
          <cell r="W1192">
            <v>0</v>
          </cell>
          <cell r="X1192">
            <v>0</v>
          </cell>
          <cell r="Y1192">
            <v>0</v>
          </cell>
          <cell r="Z1192">
            <v>0</v>
          </cell>
          <cell r="AA1192">
            <v>0</v>
          </cell>
          <cell r="AB1192">
            <v>0</v>
          </cell>
          <cell r="AC1192">
            <v>0</v>
          </cell>
          <cell r="AD1192">
            <v>0</v>
          </cell>
          <cell r="AI1192">
            <v>0</v>
          </cell>
          <cell r="AJ1192">
            <v>0</v>
          </cell>
          <cell r="AK1192">
            <v>0</v>
          </cell>
          <cell r="BB1192">
            <v>0</v>
          </cell>
          <cell r="BC1192">
            <v>0</v>
          </cell>
          <cell r="BD1192">
            <v>0</v>
          </cell>
          <cell r="BE1192">
            <v>0</v>
          </cell>
          <cell r="BI1192">
            <v>0</v>
          </cell>
          <cell r="BJ1192">
            <v>0</v>
          </cell>
          <cell r="BK1192">
            <v>0</v>
          </cell>
          <cell r="BL1192">
            <v>0</v>
          </cell>
          <cell r="BM1192">
            <v>0</v>
          </cell>
          <cell r="BN1192">
            <v>0</v>
          </cell>
          <cell r="BO1192">
            <v>0</v>
          </cell>
          <cell r="BP1192">
            <v>0</v>
          </cell>
          <cell r="BQ1192">
            <v>0</v>
          </cell>
          <cell r="BR1192">
            <v>0</v>
          </cell>
          <cell r="BT1192">
            <v>0</v>
          </cell>
          <cell r="CA1192" t="str">
            <v>XXSWD2 - REVTOT - Identified - Recompete</v>
          </cell>
          <cell r="CC1192" t="str">
            <v>XXSWD2 - REVTOT - Identified - Recompete - IS4</v>
          </cell>
          <cell r="CD1192" t="str">
            <v/>
          </cell>
          <cell r="CF1192" t="str">
            <v>XXSWD2 - Identified - Recompete - IS4</v>
          </cell>
        </row>
        <row r="1193">
          <cell r="D1193">
            <v>1179</v>
          </cell>
          <cell r="E1193">
            <v>2</v>
          </cell>
          <cell r="F1193">
            <v>3</v>
          </cell>
          <cell r="G1193" t="str">
            <v>XXSWD2</v>
          </cell>
          <cell r="H1193" t="str">
            <v>MAWTS1 Spectrum SWD 2</v>
          </cell>
          <cell r="I1193" t="str">
            <v>IS4</v>
          </cell>
          <cell r="J1193" t="str">
            <v>IS4 Spectrum &amp; Infrastructure Assurance</v>
          </cell>
          <cell r="K1193" t="str">
            <v>Marine Corps</v>
          </cell>
          <cell r="L1193" t="str">
            <v>DOD</v>
          </cell>
          <cell r="M1193" t="str">
            <v>AZ</v>
          </cell>
          <cell r="N1193" t="str">
            <v>CONUS</v>
          </cell>
          <cell r="O1193">
            <v>43308</v>
          </cell>
          <cell r="P1193">
            <v>45133</v>
          </cell>
          <cell r="Q1193" t="str">
            <v>Prime</v>
          </cell>
          <cell r="R1193" t="str">
            <v>FFP</v>
          </cell>
          <cell r="S1193">
            <v>0</v>
          </cell>
          <cell r="T1193">
            <v>1</v>
          </cell>
          <cell r="U1193" t="str">
            <v>CONTRACT</v>
          </cell>
          <cell r="V1193" t="str">
            <v>Base</v>
          </cell>
          <cell r="W1193" t="str">
            <v>05 Won</v>
          </cell>
          <cell r="X1193" t="str">
            <v>Active</v>
          </cell>
          <cell r="Y1193">
            <v>1</v>
          </cell>
          <cell r="Z1193">
            <v>0</v>
          </cell>
          <cell r="AA1193">
            <v>420509.1663199999</v>
          </cell>
          <cell r="AB1193">
            <v>1590769.3600000003</v>
          </cell>
          <cell r="AC1193">
            <v>0</v>
          </cell>
          <cell r="AD1193">
            <v>2011278.5263200002</v>
          </cell>
          <cell r="AL1193">
            <v>0</v>
          </cell>
          <cell r="AM1193">
            <v>0</v>
          </cell>
          <cell r="AN1193">
            <v>0.18446184102287505</v>
          </cell>
          <cell r="AO1193">
            <v>0.21099072809906044</v>
          </cell>
          <cell r="AP1193">
            <v>0.17853159391034995</v>
          </cell>
          <cell r="AQ1193">
            <v>0.17853159391034995</v>
          </cell>
          <cell r="AR1193">
            <v>0.17853159391034995</v>
          </cell>
          <cell r="AS1193">
            <v>0.17853159391034995</v>
          </cell>
          <cell r="BF1193">
            <v>0</v>
          </cell>
          <cell r="BG1193">
            <v>0</v>
          </cell>
          <cell r="BH1193">
            <v>6771.9999999999927</v>
          </cell>
          <cell r="BI1193">
            <v>9662.8100000000031</v>
          </cell>
          <cell r="BJ1193">
            <v>38016.520000000004</v>
          </cell>
          <cell r="BK1193">
            <v>40996.670000000006</v>
          </cell>
          <cell r="BL1193">
            <v>35727.718796122324</v>
          </cell>
          <cell r="BM1193">
            <v>124403.71879612234</v>
          </cell>
          <cell r="BN1193">
            <v>97468.197741225667</v>
          </cell>
          <cell r="BO1193">
            <v>97468.197741225667</v>
          </cell>
          <cell r="BP1193">
            <v>97468.197741225667</v>
          </cell>
          <cell r="BQ1193">
            <v>66672.167877892382</v>
          </cell>
          <cell r="BR1193">
            <v>483480.47989769169</v>
          </cell>
          <cell r="BT1193">
            <v>0</v>
          </cell>
          <cell r="CA1193" t="str">
            <v>XXSWD2 - CONTRACT - Base</v>
          </cell>
          <cell r="CC1193" t="str">
            <v>XXSWD2 - CONTRACT - Base - IS4</v>
          </cell>
          <cell r="CD1193" t="str">
            <v/>
          </cell>
          <cell r="CF1193" t="str">
            <v>XXSWD2 - Base - IS4</v>
          </cell>
        </row>
        <row r="1194">
          <cell r="D1194">
            <v>1180</v>
          </cell>
          <cell r="E1194">
            <v>2</v>
          </cell>
          <cell r="F1194">
            <v>4</v>
          </cell>
          <cell r="G1194" t="str">
            <v>XXSWD2</v>
          </cell>
          <cell r="H1194" t="str">
            <v>MAWTS1 Spectrum SWD 2</v>
          </cell>
          <cell r="I1194" t="str">
            <v>IS4</v>
          </cell>
          <cell r="J1194" t="str">
            <v>IS4 Spectrum &amp; Infrastructure Assurance</v>
          </cell>
          <cell r="K1194" t="str">
            <v>Marine Corps</v>
          </cell>
          <cell r="L1194" t="str">
            <v>DOD</v>
          </cell>
          <cell r="M1194" t="str">
            <v>AZ</v>
          </cell>
          <cell r="N1194" t="str">
            <v>CONUS</v>
          </cell>
          <cell r="O1194">
            <v>0</v>
          </cell>
          <cell r="P1194">
            <v>0</v>
          </cell>
          <cell r="Q1194">
            <v>0</v>
          </cell>
          <cell r="R1194" t="str">
            <v>FFP</v>
          </cell>
          <cell r="S1194">
            <v>0</v>
          </cell>
          <cell r="T1194">
            <v>1</v>
          </cell>
          <cell r="U1194" t="str">
            <v>CONTRACT</v>
          </cell>
          <cell r="V1194" t="str">
            <v>Identified - Recompete</v>
          </cell>
          <cell r="W1194">
            <v>0</v>
          </cell>
          <cell r="X1194">
            <v>0</v>
          </cell>
          <cell r="Y1194">
            <v>0</v>
          </cell>
          <cell r="Z1194">
            <v>0</v>
          </cell>
          <cell r="AA1194">
            <v>0</v>
          </cell>
          <cell r="AB1194">
            <v>0</v>
          </cell>
          <cell r="AC1194">
            <v>0</v>
          </cell>
          <cell r="AD1194">
            <v>0</v>
          </cell>
          <cell r="AP1194">
            <v>0</v>
          </cell>
          <cell r="AQ1194">
            <v>0</v>
          </cell>
          <cell r="AR1194">
            <v>0</v>
          </cell>
          <cell r="AS1194">
            <v>0</v>
          </cell>
          <cell r="BI1194">
            <v>0</v>
          </cell>
          <cell r="BJ1194">
            <v>0</v>
          </cell>
          <cell r="BK1194">
            <v>0</v>
          </cell>
          <cell r="BL1194">
            <v>0</v>
          </cell>
          <cell r="BM1194">
            <v>0</v>
          </cell>
          <cell r="BN1194">
            <v>0</v>
          </cell>
          <cell r="BO1194">
            <v>0</v>
          </cell>
          <cell r="BP1194">
            <v>0</v>
          </cell>
          <cell r="BQ1194">
            <v>0</v>
          </cell>
          <cell r="BR1194">
            <v>0</v>
          </cell>
          <cell r="BT1194">
            <v>0</v>
          </cell>
          <cell r="CA1194" t="str">
            <v>XXSWD2 - CONTRACT - Identified - Recompete</v>
          </cell>
          <cell r="CC1194" t="str">
            <v>XXSWD2 - CONTRACT - Identified - Recompete - IS4</v>
          </cell>
          <cell r="CD1194" t="str">
            <v/>
          </cell>
          <cell r="CF1194" t="str">
            <v>XXSWD2 - Identified - Recompete - IS4</v>
          </cell>
        </row>
        <row r="1195">
          <cell r="D1195">
            <v>1181</v>
          </cell>
          <cell r="E1195">
            <v>0</v>
          </cell>
          <cell r="F1195">
            <v>5</v>
          </cell>
          <cell r="G1195" t="str">
            <v>XXSWD2</v>
          </cell>
          <cell r="H1195" t="str">
            <v>MAWTS1 Spectrum SWD 2</v>
          </cell>
          <cell r="I1195" t="str">
            <v>IS4</v>
          </cell>
          <cell r="J1195" t="str">
            <v>IS4 Spectrum &amp; Infrastructure Assurance</v>
          </cell>
          <cell r="K1195" t="str">
            <v>Marine Corps</v>
          </cell>
          <cell r="L1195" t="str">
            <v>DOD</v>
          </cell>
          <cell r="M1195" t="str">
            <v>AZ</v>
          </cell>
          <cell r="N1195" t="str">
            <v>CONUS</v>
          </cell>
          <cell r="O1195">
            <v>43308</v>
          </cell>
          <cell r="P1195">
            <v>45133</v>
          </cell>
          <cell r="Q1195" t="str">
            <v>Prime</v>
          </cell>
          <cell r="R1195" t="str">
            <v>FFP</v>
          </cell>
          <cell r="S1195">
            <v>0</v>
          </cell>
          <cell r="T1195">
            <v>1</v>
          </cell>
          <cell r="U1195" t="str">
            <v>EBITA</v>
          </cell>
          <cell r="V1195" t="str">
            <v>Base</v>
          </cell>
          <cell r="W1195" t="str">
            <v>05 Won</v>
          </cell>
          <cell r="X1195" t="str">
            <v>Active</v>
          </cell>
          <cell r="Y1195">
            <v>1</v>
          </cell>
          <cell r="Z1195">
            <v>0</v>
          </cell>
          <cell r="AA1195">
            <v>420509.1663199999</v>
          </cell>
          <cell r="AB1195">
            <v>1590769.3600000003</v>
          </cell>
          <cell r="AC1195">
            <v>0</v>
          </cell>
          <cell r="AD1195">
            <v>2011278.5263200002</v>
          </cell>
          <cell r="AT1195">
            <v>0</v>
          </cell>
          <cell r="AU1195">
            <v>0</v>
          </cell>
          <cell r="AV1195">
            <v>5.3737994454159464E-2</v>
          </cell>
          <cell r="AW1195">
            <v>0.10845567008428804</v>
          </cell>
          <cell r="AX1195">
            <v>5.1383163018590028E-2</v>
          </cell>
          <cell r="AY1195">
            <v>5.2383163018590029E-2</v>
          </cell>
          <cell r="AZ1195">
            <v>5.338316301859003E-2</v>
          </cell>
          <cell r="BA1195">
            <v>5.4383163018590031E-2</v>
          </cell>
          <cell r="BF1195">
            <v>0</v>
          </cell>
          <cell r="BG1195">
            <v>0</v>
          </cell>
          <cell r="BH1195">
            <v>1972.8399999999929</v>
          </cell>
          <cell r="BI1195">
            <v>2639.2900000000031</v>
          </cell>
          <cell r="BJ1195">
            <v>25890.1</v>
          </cell>
          <cell r="BK1195">
            <v>23130.540000000008</v>
          </cell>
          <cell r="BL1195">
            <v>12287.376142647823</v>
          </cell>
          <cell r="BM1195">
            <v>63947.306142647831</v>
          </cell>
          <cell r="BN1195">
            <v>28052.313789235857</v>
          </cell>
          <cell r="BO1195">
            <v>28598.25748248586</v>
          </cell>
          <cell r="BP1195">
            <v>29144.20117573586</v>
          </cell>
          <cell r="BQ1195">
            <v>20309.253365692508</v>
          </cell>
          <cell r="BR1195">
            <v>170051.33195579791</v>
          </cell>
          <cell r="BT1195">
            <v>0</v>
          </cell>
          <cell r="CA1195" t="str">
            <v>XXSWD2 - EBITA - Base</v>
          </cell>
          <cell r="CC1195" t="str">
            <v>XXSWD2 - EBITA - Base - IS4</v>
          </cell>
          <cell r="CD1195" t="str">
            <v/>
          </cell>
          <cell r="CF1195" t="str">
            <v>XXSWD2 - Base - IS4</v>
          </cell>
        </row>
        <row r="1196">
          <cell r="D1196">
            <v>1182</v>
          </cell>
          <cell r="E1196">
            <v>0</v>
          </cell>
          <cell r="F1196">
            <v>0</v>
          </cell>
          <cell r="G1196" t="str">
            <v>XXSWD2</v>
          </cell>
          <cell r="H1196" t="str">
            <v>MAWTS1 Spectrum SWD 2</v>
          </cell>
          <cell r="I1196" t="str">
            <v>IS4</v>
          </cell>
          <cell r="J1196" t="str">
            <v>IS4 Spectrum &amp; Infrastructure Assurance</v>
          </cell>
          <cell r="K1196" t="str">
            <v>Marine Corps</v>
          </cell>
          <cell r="L1196" t="str">
            <v>DOD</v>
          </cell>
          <cell r="M1196" t="str">
            <v>AZ</v>
          </cell>
          <cell r="N1196" t="str">
            <v>CONUS</v>
          </cell>
          <cell r="O1196">
            <v>0</v>
          </cell>
          <cell r="P1196">
            <v>0</v>
          </cell>
          <cell r="Q1196">
            <v>0</v>
          </cell>
          <cell r="R1196" t="str">
            <v>FFP</v>
          </cell>
          <cell r="S1196">
            <v>0</v>
          </cell>
          <cell r="T1196">
            <v>1</v>
          </cell>
          <cell r="U1196" t="str">
            <v>EBITA</v>
          </cell>
          <cell r="V1196" t="str">
            <v>Identified - Recompete</v>
          </cell>
          <cell r="W1196">
            <v>0</v>
          </cell>
          <cell r="X1196">
            <v>0</v>
          </cell>
          <cell r="Y1196">
            <v>0</v>
          </cell>
          <cell r="Z1196">
            <v>0</v>
          </cell>
          <cell r="AA1196">
            <v>0</v>
          </cell>
          <cell r="AB1196">
            <v>0</v>
          </cell>
          <cell r="AC1196">
            <v>0</v>
          </cell>
          <cell r="AD1196">
            <v>0</v>
          </cell>
          <cell r="AX1196">
            <v>0</v>
          </cell>
          <cell r="AY1196">
            <v>0</v>
          </cell>
          <cell r="AZ1196">
            <v>0</v>
          </cell>
          <cell r="BA1196">
            <v>0</v>
          </cell>
          <cell r="BI1196">
            <v>0</v>
          </cell>
          <cell r="BJ1196">
            <v>0</v>
          </cell>
          <cell r="BK1196">
            <v>0</v>
          </cell>
          <cell r="BL1196">
            <v>0</v>
          </cell>
          <cell r="BM1196">
            <v>0</v>
          </cell>
          <cell r="BN1196">
            <v>0</v>
          </cell>
          <cell r="BO1196">
            <v>0</v>
          </cell>
          <cell r="BP1196">
            <v>0</v>
          </cell>
          <cell r="BQ1196">
            <v>0</v>
          </cell>
          <cell r="BR1196">
            <v>0</v>
          </cell>
          <cell r="BT1196">
            <v>0</v>
          </cell>
          <cell r="CA1196" t="str">
            <v>XXSWD2 - EBITA - Identified - Recompete</v>
          </cell>
          <cell r="CC1196" t="str">
            <v>XXSWD2 - EBITA - Identified - Recompete - IS4</v>
          </cell>
          <cell r="CD1196" t="str">
            <v/>
          </cell>
          <cell r="CF1196" t="str">
            <v>XXSWD2 - Identified - Recompete - IS4</v>
          </cell>
        </row>
        <row r="1197">
          <cell r="D1197">
            <v>1183</v>
          </cell>
          <cell r="E1197">
            <v>1</v>
          </cell>
          <cell r="F1197">
            <v>1</v>
          </cell>
          <cell r="G1197" t="str">
            <v>NWDCHQ</v>
          </cell>
          <cell r="H1197" t="str">
            <v>NIWDC HQ</v>
          </cell>
          <cell r="I1197" t="str">
            <v>IS4</v>
          </cell>
          <cell r="J1197" t="str">
            <v>IS4 Spectrum &amp; Infrastructure Assurance</v>
          </cell>
          <cell r="K1197" t="str">
            <v>Navy</v>
          </cell>
          <cell r="L1197" t="str">
            <v>DOD</v>
          </cell>
          <cell r="M1197" t="str">
            <v>VA</v>
          </cell>
          <cell r="N1197" t="str">
            <v>CONUS</v>
          </cell>
          <cell r="O1197">
            <v>43371</v>
          </cell>
          <cell r="P1197">
            <v>44466</v>
          </cell>
          <cell r="Q1197" t="str">
            <v>Sub</v>
          </cell>
          <cell r="R1197" t="str">
            <v>FFP</v>
          </cell>
          <cell r="S1197">
            <v>0</v>
          </cell>
          <cell r="T1197">
            <v>1</v>
          </cell>
          <cell r="U1197" t="str">
            <v>REVTOT</v>
          </cell>
          <cell r="V1197" t="str">
            <v>Base</v>
          </cell>
          <cell r="W1197" t="str">
            <v>05 Won</v>
          </cell>
          <cell r="X1197" t="str">
            <v>Active</v>
          </cell>
          <cell r="Y1197">
            <v>1</v>
          </cell>
          <cell r="Z1197">
            <v>0</v>
          </cell>
          <cell r="AA1197">
            <v>6262.9299999999857</v>
          </cell>
          <cell r="AB1197">
            <v>985200.04</v>
          </cell>
          <cell r="AC1197">
            <v>0</v>
          </cell>
          <cell r="AD1197">
            <v>991462.97</v>
          </cell>
          <cell r="AE1197">
            <v>0</v>
          </cell>
          <cell r="AF1197">
            <v>0</v>
          </cell>
          <cell r="AG1197">
            <v>0</v>
          </cell>
          <cell r="AH1197">
            <v>1.3363943247113985E-2</v>
          </cell>
          <cell r="AI1197">
            <v>0</v>
          </cell>
          <cell r="AJ1197">
            <v>0</v>
          </cell>
          <cell r="AK1197">
            <v>0</v>
          </cell>
          <cell r="BB1197">
            <v>475063</v>
          </cell>
          <cell r="BC1197">
            <v>475063</v>
          </cell>
          <cell r="BD1197">
            <v>475063</v>
          </cell>
          <cell r="BE1197">
            <v>475063</v>
          </cell>
          <cell r="BF1197">
            <v>0</v>
          </cell>
          <cell r="BG1197">
            <v>0</v>
          </cell>
          <cell r="BH1197">
            <v>0</v>
          </cell>
          <cell r="BI1197">
            <v>53419.53</v>
          </cell>
          <cell r="BJ1197">
            <v>80720.320000000007</v>
          </cell>
          <cell r="BK1197">
            <v>227493.71000000002</v>
          </cell>
          <cell r="BL1197">
            <v>107164.45000000001</v>
          </cell>
          <cell r="BM1197">
            <v>468798.01000000007</v>
          </cell>
          <cell r="BN1197">
            <v>475063</v>
          </cell>
          <cell r="BO1197">
            <v>475063</v>
          </cell>
          <cell r="BP1197">
            <v>41336.969999999972</v>
          </cell>
          <cell r="BQ1197">
            <v>0</v>
          </cell>
          <cell r="BR1197">
            <v>1460260.98</v>
          </cell>
          <cell r="BT1197">
            <v>0</v>
          </cell>
          <cell r="CA1197" t="str">
            <v>NWDCHQ - REVTOT - Base</v>
          </cell>
          <cell r="CC1197" t="str">
            <v>NWDCHQ - REVTOT - Base - IS4</v>
          </cell>
          <cell r="CD1197" t="str">
            <v/>
          </cell>
          <cell r="CF1197" t="str">
            <v>NWDCHQ - Base - IS4</v>
          </cell>
        </row>
        <row r="1198">
          <cell r="D1198">
            <v>1184</v>
          </cell>
          <cell r="E1198">
            <v>1</v>
          </cell>
          <cell r="F1198">
            <v>2</v>
          </cell>
          <cell r="G1198" t="str">
            <v>NWDCHQ</v>
          </cell>
          <cell r="H1198" t="str">
            <v>NIWDC HQ</v>
          </cell>
          <cell r="I1198" t="str">
            <v>IS4</v>
          </cell>
          <cell r="J1198" t="str">
            <v>IS4 Spectrum &amp; Infrastructure Assurance</v>
          </cell>
          <cell r="K1198" t="str">
            <v>Navy</v>
          </cell>
          <cell r="L1198" t="str">
            <v>DOD</v>
          </cell>
          <cell r="M1198" t="str">
            <v>VA</v>
          </cell>
          <cell r="N1198" t="str">
            <v>CONUS</v>
          </cell>
          <cell r="O1198">
            <v>0</v>
          </cell>
          <cell r="P1198">
            <v>0</v>
          </cell>
          <cell r="Q1198">
            <v>0</v>
          </cell>
          <cell r="R1198" t="str">
            <v>FFP</v>
          </cell>
          <cell r="S1198">
            <v>0</v>
          </cell>
          <cell r="T1198">
            <v>1</v>
          </cell>
          <cell r="U1198" t="str">
            <v>REVTOT</v>
          </cell>
          <cell r="V1198" t="str">
            <v>Identified - Recompete</v>
          </cell>
          <cell r="W1198">
            <v>0</v>
          </cell>
          <cell r="X1198">
            <v>0</v>
          </cell>
          <cell r="Y1198">
            <v>0</v>
          </cell>
          <cell r="Z1198">
            <v>0</v>
          </cell>
          <cell r="AA1198">
            <v>0</v>
          </cell>
          <cell r="AB1198">
            <v>0</v>
          </cell>
          <cell r="AC1198">
            <v>0</v>
          </cell>
          <cell r="AD1198">
            <v>0</v>
          </cell>
          <cell r="AI1198">
            <v>0</v>
          </cell>
          <cell r="AJ1198">
            <v>0</v>
          </cell>
          <cell r="AK1198">
            <v>0</v>
          </cell>
          <cell r="BB1198">
            <v>0</v>
          </cell>
          <cell r="BC1198">
            <v>0</v>
          </cell>
          <cell r="BD1198">
            <v>0</v>
          </cell>
          <cell r="BE1198">
            <v>0</v>
          </cell>
          <cell r="BI1198">
            <v>0</v>
          </cell>
          <cell r="BJ1198">
            <v>0</v>
          </cell>
          <cell r="BK1198">
            <v>0</v>
          </cell>
          <cell r="BL1198">
            <v>0</v>
          </cell>
          <cell r="BM1198">
            <v>0</v>
          </cell>
          <cell r="BN1198">
            <v>0</v>
          </cell>
          <cell r="BO1198">
            <v>0</v>
          </cell>
          <cell r="BP1198">
            <v>0</v>
          </cell>
          <cell r="BQ1198">
            <v>0</v>
          </cell>
          <cell r="BR1198">
            <v>0</v>
          </cell>
          <cell r="BT1198">
            <v>0</v>
          </cell>
          <cell r="CA1198" t="str">
            <v>NWDCHQ - REVTOT - Identified - Recompete</v>
          </cell>
          <cell r="CC1198" t="str">
            <v>NWDCHQ - REVTOT - Identified - Recompete - IS4</v>
          </cell>
          <cell r="CD1198" t="str">
            <v/>
          </cell>
          <cell r="CF1198" t="str">
            <v>NWDCHQ - Identified - Recompete - IS4</v>
          </cell>
        </row>
        <row r="1199">
          <cell r="D1199">
            <v>1185</v>
          </cell>
          <cell r="E1199">
            <v>2</v>
          </cell>
          <cell r="F1199">
            <v>3</v>
          </cell>
          <cell r="G1199" t="str">
            <v>NWDCHQ</v>
          </cell>
          <cell r="H1199" t="str">
            <v>NIWDC HQ</v>
          </cell>
          <cell r="I1199" t="str">
            <v>IS4</v>
          </cell>
          <cell r="J1199" t="str">
            <v>IS4 Spectrum &amp; Infrastructure Assurance</v>
          </cell>
          <cell r="K1199" t="str">
            <v>Navy</v>
          </cell>
          <cell r="L1199" t="str">
            <v>DOD</v>
          </cell>
          <cell r="M1199" t="str">
            <v>VA</v>
          </cell>
          <cell r="N1199" t="str">
            <v>CONUS</v>
          </cell>
          <cell r="O1199">
            <v>43371</v>
          </cell>
          <cell r="P1199">
            <v>44466</v>
          </cell>
          <cell r="Q1199" t="str">
            <v>Sub</v>
          </cell>
          <cell r="R1199" t="str">
            <v>FFP</v>
          </cell>
          <cell r="S1199">
            <v>0</v>
          </cell>
          <cell r="T1199">
            <v>1</v>
          </cell>
          <cell r="U1199" t="str">
            <v>CONTRACT</v>
          </cell>
          <cell r="V1199" t="str">
            <v>Base</v>
          </cell>
          <cell r="W1199" t="str">
            <v>05 Won</v>
          </cell>
          <cell r="X1199" t="str">
            <v>Active</v>
          </cell>
          <cell r="Y1199">
            <v>1</v>
          </cell>
          <cell r="Z1199">
            <v>0</v>
          </cell>
          <cell r="AA1199">
            <v>6262.9299999999857</v>
          </cell>
          <cell r="AB1199">
            <v>985200.04</v>
          </cell>
          <cell r="AC1199">
            <v>0</v>
          </cell>
          <cell r="AD1199">
            <v>991462.97</v>
          </cell>
          <cell r="AL1199">
            <v>0</v>
          </cell>
          <cell r="AM1199">
            <v>0</v>
          </cell>
          <cell r="AN1199">
            <v>0</v>
          </cell>
          <cell r="AO1199">
            <v>0.42217337910628067</v>
          </cell>
          <cell r="AP1199">
            <v>0.1911833386308763</v>
          </cell>
          <cell r="AQ1199">
            <v>0.1911833386308763</v>
          </cell>
          <cell r="AR1199">
            <v>0.1911833386308763</v>
          </cell>
          <cell r="AS1199">
            <v>0.1911833386308763</v>
          </cell>
          <cell r="BF1199">
            <v>0</v>
          </cell>
          <cell r="BG1199">
            <v>0</v>
          </cell>
          <cell r="BH1199">
            <v>0</v>
          </cell>
          <cell r="BI1199">
            <v>11787.510000000002</v>
          </cell>
          <cell r="BJ1199">
            <v>17947.049999999996</v>
          </cell>
          <cell r="BK1199">
            <v>152917.57999999999</v>
          </cell>
          <cell r="BL1199">
            <v>15261.899999999994</v>
          </cell>
          <cell r="BM1199">
            <v>197914.03999999998</v>
          </cell>
          <cell r="BN1199">
            <v>90824.130399999995</v>
          </cell>
          <cell r="BO1199">
            <v>90824.130399999995</v>
          </cell>
          <cell r="BP1199">
            <v>7902.9399334843692</v>
          </cell>
          <cell r="BQ1199">
            <v>0</v>
          </cell>
          <cell r="BR1199">
            <v>387465.24073348433</v>
          </cell>
          <cell r="BT1199">
            <v>0</v>
          </cell>
          <cell r="CA1199" t="str">
            <v>NWDCHQ - CONTRACT - Base</v>
          </cell>
          <cell r="CC1199" t="str">
            <v>NWDCHQ - CONTRACT - Base - IS4</v>
          </cell>
          <cell r="CD1199" t="str">
            <v/>
          </cell>
          <cell r="CF1199" t="str">
            <v>NWDCHQ - Base - IS4</v>
          </cell>
        </row>
        <row r="1200">
          <cell r="D1200">
            <v>1186</v>
          </cell>
          <cell r="E1200">
            <v>2</v>
          </cell>
          <cell r="F1200">
            <v>4</v>
          </cell>
          <cell r="G1200" t="str">
            <v>NWDCHQ</v>
          </cell>
          <cell r="H1200" t="str">
            <v>NIWDC HQ</v>
          </cell>
          <cell r="I1200" t="str">
            <v>IS4</v>
          </cell>
          <cell r="J1200" t="str">
            <v>IS4 Spectrum &amp; Infrastructure Assurance</v>
          </cell>
          <cell r="K1200" t="str">
            <v>Navy</v>
          </cell>
          <cell r="L1200" t="str">
            <v>DOD</v>
          </cell>
          <cell r="M1200" t="str">
            <v>VA</v>
          </cell>
          <cell r="N1200" t="str">
            <v>CONUS</v>
          </cell>
          <cell r="O1200">
            <v>0</v>
          </cell>
          <cell r="P1200">
            <v>0</v>
          </cell>
          <cell r="Q1200">
            <v>0</v>
          </cell>
          <cell r="R1200" t="str">
            <v>FFP</v>
          </cell>
          <cell r="S1200">
            <v>0</v>
          </cell>
          <cell r="T1200">
            <v>1</v>
          </cell>
          <cell r="U1200" t="str">
            <v>CONTRACT</v>
          </cell>
          <cell r="V1200" t="str">
            <v>Identified - Recompete</v>
          </cell>
          <cell r="W1200">
            <v>0</v>
          </cell>
          <cell r="X1200">
            <v>0</v>
          </cell>
          <cell r="Y1200">
            <v>0</v>
          </cell>
          <cell r="Z1200">
            <v>0</v>
          </cell>
          <cell r="AA1200">
            <v>0</v>
          </cell>
          <cell r="AB1200">
            <v>0</v>
          </cell>
          <cell r="AC1200">
            <v>0</v>
          </cell>
          <cell r="AD1200">
            <v>0</v>
          </cell>
          <cell r="AP1200">
            <v>0</v>
          </cell>
          <cell r="AQ1200">
            <v>0</v>
          </cell>
          <cell r="AR1200">
            <v>0</v>
          </cell>
          <cell r="AS1200">
            <v>0</v>
          </cell>
          <cell r="BI1200">
            <v>0</v>
          </cell>
          <cell r="BJ1200">
            <v>0</v>
          </cell>
          <cell r="BK1200">
            <v>0</v>
          </cell>
          <cell r="BL1200">
            <v>0</v>
          </cell>
          <cell r="BM1200">
            <v>0</v>
          </cell>
          <cell r="BN1200">
            <v>0</v>
          </cell>
          <cell r="BO1200">
            <v>0</v>
          </cell>
          <cell r="BP1200">
            <v>0</v>
          </cell>
          <cell r="BQ1200">
            <v>0</v>
          </cell>
          <cell r="BR1200">
            <v>0</v>
          </cell>
          <cell r="BT1200">
            <v>0</v>
          </cell>
          <cell r="CA1200" t="str">
            <v>NWDCHQ - CONTRACT - Identified - Recompete</v>
          </cell>
          <cell r="CC1200" t="str">
            <v>NWDCHQ - CONTRACT - Identified - Recompete - IS4</v>
          </cell>
          <cell r="CD1200" t="str">
            <v/>
          </cell>
          <cell r="CF1200" t="str">
            <v>NWDCHQ - Identified - Recompete - IS4</v>
          </cell>
        </row>
        <row r="1201">
          <cell r="D1201">
            <v>1187</v>
          </cell>
          <cell r="E1201">
            <v>0</v>
          </cell>
          <cell r="F1201">
            <v>5</v>
          </cell>
          <cell r="G1201" t="str">
            <v>NWDCHQ</v>
          </cell>
          <cell r="H1201" t="str">
            <v>NIWDC HQ</v>
          </cell>
          <cell r="I1201" t="str">
            <v>IS4</v>
          </cell>
          <cell r="J1201" t="str">
            <v>IS4 Spectrum &amp; Infrastructure Assurance</v>
          </cell>
          <cell r="K1201" t="str">
            <v>Navy</v>
          </cell>
          <cell r="L1201" t="str">
            <v>DOD</v>
          </cell>
          <cell r="M1201" t="str">
            <v>VA</v>
          </cell>
          <cell r="N1201" t="str">
            <v>CONUS</v>
          </cell>
          <cell r="O1201">
            <v>43371</v>
          </cell>
          <cell r="P1201">
            <v>44466</v>
          </cell>
          <cell r="Q1201" t="str">
            <v>Sub</v>
          </cell>
          <cell r="R1201" t="str">
            <v>FFP</v>
          </cell>
          <cell r="S1201">
            <v>0</v>
          </cell>
          <cell r="T1201">
            <v>1</v>
          </cell>
          <cell r="U1201" t="str">
            <v>EBITA</v>
          </cell>
          <cell r="V1201" t="str">
            <v>Base</v>
          </cell>
          <cell r="W1201" t="str">
            <v>05 Won</v>
          </cell>
          <cell r="X1201" t="str">
            <v>Active</v>
          </cell>
          <cell r="Y1201">
            <v>1</v>
          </cell>
          <cell r="Z1201">
            <v>0</v>
          </cell>
          <cell r="AA1201">
            <v>6262.9299999999857</v>
          </cell>
          <cell r="AB1201">
            <v>985200.04</v>
          </cell>
          <cell r="AC1201">
            <v>0</v>
          </cell>
          <cell r="AD1201">
            <v>991462.97</v>
          </cell>
          <cell r="AT1201">
            <v>0</v>
          </cell>
          <cell r="AU1201">
            <v>0</v>
          </cell>
          <cell r="AV1201">
            <v>0</v>
          </cell>
          <cell r="AW1201">
            <v>0.32176911331172237</v>
          </cell>
          <cell r="AX1201">
            <v>5.9909028163388361E-2</v>
          </cell>
          <cell r="AY1201">
            <v>6.0909028163388362E-2</v>
          </cell>
          <cell r="AZ1201">
            <v>6.1909028163388363E-2</v>
          </cell>
          <cell r="BA1201">
            <v>6.2909028163388364E-2</v>
          </cell>
          <cell r="BF1201">
            <v>0</v>
          </cell>
          <cell r="BG1201">
            <v>0</v>
          </cell>
          <cell r="BH1201">
            <v>0</v>
          </cell>
          <cell r="BI1201">
            <v>4807.760000000002</v>
          </cell>
          <cell r="BJ1201">
            <v>7264.8299999999972</v>
          </cell>
          <cell r="BK1201">
            <v>138772.10999999999</v>
          </cell>
          <cell r="BL1201">
            <v>1.9999999994070095E-2</v>
          </cell>
          <cell r="BM1201">
            <v>150844.71999999997</v>
          </cell>
          <cell r="BN1201">
            <v>28460.562646383765</v>
          </cell>
          <cell r="BO1201">
            <v>28935.625646383767</v>
          </cell>
          <cell r="BP1201">
            <v>2559.1316399191383</v>
          </cell>
          <cell r="BQ1201">
            <v>0</v>
          </cell>
          <cell r="BR1201">
            <v>210800.03993268663</v>
          </cell>
          <cell r="BT1201">
            <v>0</v>
          </cell>
          <cell r="CA1201" t="str">
            <v>NWDCHQ - EBITA - Base</v>
          </cell>
          <cell r="CC1201" t="str">
            <v>NWDCHQ - EBITA - Base - IS4</v>
          </cell>
          <cell r="CD1201" t="str">
            <v/>
          </cell>
          <cell r="CF1201" t="str">
            <v>NWDCHQ - Base - IS4</v>
          </cell>
        </row>
        <row r="1202">
          <cell r="D1202">
            <v>1188</v>
          </cell>
          <cell r="E1202">
            <v>0</v>
          </cell>
          <cell r="F1202">
            <v>0</v>
          </cell>
          <cell r="G1202" t="str">
            <v>NWDCHQ</v>
          </cell>
          <cell r="H1202" t="str">
            <v>NIWDC HQ</v>
          </cell>
          <cell r="I1202" t="str">
            <v>IS4</v>
          </cell>
          <cell r="J1202" t="str">
            <v>IS4 Spectrum &amp; Infrastructure Assurance</v>
          </cell>
          <cell r="K1202" t="str">
            <v>Navy</v>
          </cell>
          <cell r="L1202" t="str">
            <v>DOD</v>
          </cell>
          <cell r="M1202" t="str">
            <v>VA</v>
          </cell>
          <cell r="N1202" t="str">
            <v>CONUS</v>
          </cell>
          <cell r="O1202">
            <v>0</v>
          </cell>
          <cell r="P1202">
            <v>0</v>
          </cell>
          <cell r="Q1202">
            <v>0</v>
          </cell>
          <cell r="R1202" t="str">
            <v>FFP</v>
          </cell>
          <cell r="S1202">
            <v>0</v>
          </cell>
          <cell r="T1202">
            <v>1</v>
          </cell>
          <cell r="U1202" t="str">
            <v>EBITA</v>
          </cell>
          <cell r="V1202" t="str">
            <v>Identified - Recompete</v>
          </cell>
          <cell r="W1202">
            <v>0</v>
          </cell>
          <cell r="X1202">
            <v>0</v>
          </cell>
          <cell r="Y1202">
            <v>0</v>
          </cell>
          <cell r="Z1202">
            <v>0</v>
          </cell>
          <cell r="AA1202">
            <v>0</v>
          </cell>
          <cell r="AB1202">
            <v>0</v>
          </cell>
          <cell r="AC1202">
            <v>0</v>
          </cell>
          <cell r="AD1202">
            <v>0</v>
          </cell>
          <cell r="AX1202">
            <v>0</v>
          </cell>
          <cell r="AY1202">
            <v>0</v>
          </cell>
          <cell r="AZ1202">
            <v>0</v>
          </cell>
          <cell r="BA1202">
            <v>0</v>
          </cell>
          <cell r="BI1202">
            <v>0</v>
          </cell>
          <cell r="BJ1202">
            <v>0</v>
          </cell>
          <cell r="BK1202">
            <v>0</v>
          </cell>
          <cell r="BL1202">
            <v>0</v>
          </cell>
          <cell r="BM1202">
            <v>0</v>
          </cell>
          <cell r="BN1202">
            <v>0</v>
          </cell>
          <cell r="BO1202">
            <v>0</v>
          </cell>
          <cell r="BP1202">
            <v>0</v>
          </cell>
          <cell r="BQ1202">
            <v>0</v>
          </cell>
          <cell r="BR1202">
            <v>0</v>
          </cell>
          <cell r="BT1202">
            <v>0</v>
          </cell>
          <cell r="CA1202" t="str">
            <v>NWDCHQ - EBITA - Identified - Recompete</v>
          </cell>
          <cell r="CC1202" t="str">
            <v>NWDCHQ - EBITA - Identified - Recompete - IS4</v>
          </cell>
          <cell r="CD1202" t="str">
            <v/>
          </cell>
          <cell r="CF1202" t="str">
            <v>NWDCHQ - Identified - Recompete - IS4</v>
          </cell>
        </row>
        <row r="1203">
          <cell r="D1203">
            <v>1189</v>
          </cell>
          <cell r="E1203">
            <v>1</v>
          </cell>
          <cell r="F1203">
            <v>1</v>
          </cell>
          <cell r="G1203" t="str">
            <v>003128</v>
          </cell>
          <cell r="H1203" t="str">
            <v>MC2S Programs</v>
          </cell>
          <cell r="I1203" t="str">
            <v>IS4</v>
          </cell>
          <cell r="J1203" t="str">
            <v>IS4 Spectrum &amp; Infrastructure Assurance</v>
          </cell>
          <cell r="K1203" t="str">
            <v>Marine Corps</v>
          </cell>
          <cell r="L1203" t="str">
            <v>DOD</v>
          </cell>
          <cell r="M1203" t="str">
            <v>VA</v>
          </cell>
          <cell r="N1203" t="str">
            <v>CONUS</v>
          </cell>
          <cell r="O1203">
            <v>42522</v>
          </cell>
          <cell r="P1203">
            <v>44286</v>
          </cell>
          <cell r="Q1203" t="str">
            <v>Sub</v>
          </cell>
          <cell r="R1203" t="str">
            <v>FFP</v>
          </cell>
          <cell r="S1203">
            <v>0</v>
          </cell>
          <cell r="T1203">
            <v>1</v>
          </cell>
          <cell r="U1203" t="str">
            <v>REVTOT</v>
          </cell>
          <cell r="V1203" t="str">
            <v>Base</v>
          </cell>
          <cell r="W1203" t="str">
            <v>05 Won</v>
          </cell>
          <cell r="X1203" t="str">
            <v>Active</v>
          </cell>
          <cell r="Y1203">
            <v>1</v>
          </cell>
          <cell r="Z1203">
            <v>0</v>
          </cell>
          <cell r="AA1203">
            <v>460355.38124999969</v>
          </cell>
          <cell r="AB1203">
            <v>181122</v>
          </cell>
          <cell r="AC1203">
            <v>0</v>
          </cell>
          <cell r="AD1203">
            <v>641477.38124999963</v>
          </cell>
          <cell r="AE1203">
            <v>1.9498298223961865</v>
          </cell>
          <cell r="AF1203">
            <v>3.9895379678483556E-2</v>
          </cell>
          <cell r="AG1203">
            <v>-0.10622738356703765</v>
          </cell>
          <cell r="AH1203">
            <v>4.0244946739997234E-2</v>
          </cell>
          <cell r="AI1203">
            <v>0</v>
          </cell>
          <cell r="AJ1203">
            <v>0</v>
          </cell>
          <cell r="AK1203">
            <v>0</v>
          </cell>
          <cell r="BB1203">
            <v>522762</v>
          </cell>
          <cell r="BC1203">
            <v>522762</v>
          </cell>
          <cell r="BD1203">
            <v>522762</v>
          </cell>
          <cell r="BE1203">
            <v>522762</v>
          </cell>
          <cell r="BF1203">
            <v>183296.74</v>
          </cell>
          <cell r="BG1203">
            <v>540694.18999999994</v>
          </cell>
          <cell r="BH1203">
            <v>562265.39</v>
          </cell>
          <cell r="BI1203">
            <v>122034.39000000001</v>
          </cell>
          <cell r="BJ1203">
            <v>126557.32</v>
          </cell>
          <cell r="BK1203">
            <v>122552.18999999999</v>
          </cell>
          <cell r="BL1203">
            <v>131393.50874999998</v>
          </cell>
          <cell r="BM1203">
            <v>502537.40875</v>
          </cell>
          <cell r="BN1203">
            <v>522762</v>
          </cell>
          <cell r="BO1203">
            <v>118715.38124999963</v>
          </cell>
          <cell r="BP1203">
            <v>0</v>
          </cell>
          <cell r="BQ1203">
            <v>0</v>
          </cell>
          <cell r="BR1203">
            <v>1144014.7899999996</v>
          </cell>
          <cell r="BT1203">
            <v>0</v>
          </cell>
          <cell r="CA1203" t="str">
            <v>003128 - REVTOT - Base</v>
          </cell>
          <cell r="CC1203" t="str">
            <v>003128 - REVTOT - Base - IS4</v>
          </cell>
          <cell r="CD1203" t="str">
            <v/>
          </cell>
          <cell r="CF1203" t="str">
            <v>003128 - Base - IS4</v>
          </cell>
        </row>
        <row r="1204">
          <cell r="D1204">
            <v>1190</v>
          </cell>
          <cell r="E1204">
            <v>1</v>
          </cell>
          <cell r="F1204">
            <v>2</v>
          </cell>
          <cell r="G1204" t="str">
            <v>003128</v>
          </cell>
          <cell r="H1204" t="str">
            <v>MC2S Programs</v>
          </cell>
          <cell r="I1204" t="str">
            <v>IS4</v>
          </cell>
          <cell r="J1204" t="str">
            <v>IS4 Spectrum &amp; Infrastructure Assurance</v>
          </cell>
          <cell r="K1204" t="str">
            <v>Marine Corps</v>
          </cell>
          <cell r="L1204" t="str">
            <v>DOD</v>
          </cell>
          <cell r="M1204" t="str">
            <v>VA</v>
          </cell>
          <cell r="N1204" t="str">
            <v>CONUS</v>
          </cell>
          <cell r="O1204">
            <v>0</v>
          </cell>
          <cell r="P1204">
            <v>0</v>
          </cell>
          <cell r="Q1204">
            <v>0</v>
          </cell>
          <cell r="R1204" t="str">
            <v>FFP</v>
          </cell>
          <cell r="S1204">
            <v>0</v>
          </cell>
          <cell r="T1204">
            <v>1</v>
          </cell>
          <cell r="U1204" t="str">
            <v>REVTOT</v>
          </cell>
          <cell r="V1204" t="str">
            <v>Identified - Recompete</v>
          </cell>
          <cell r="W1204">
            <v>0</v>
          </cell>
          <cell r="X1204">
            <v>0</v>
          </cell>
          <cell r="Y1204">
            <v>0</v>
          </cell>
          <cell r="Z1204">
            <v>0</v>
          </cell>
          <cell r="AA1204">
            <v>0</v>
          </cell>
          <cell r="AB1204">
            <v>0</v>
          </cell>
          <cell r="AC1204">
            <v>0</v>
          </cell>
          <cell r="AD1204">
            <v>0</v>
          </cell>
          <cell r="AI1204">
            <v>0</v>
          </cell>
          <cell r="AJ1204">
            <v>0</v>
          </cell>
          <cell r="AK1204">
            <v>0</v>
          </cell>
          <cell r="BB1204">
            <v>0</v>
          </cell>
          <cell r="BC1204">
            <v>0</v>
          </cell>
          <cell r="BD1204">
            <v>0</v>
          </cell>
          <cell r="BE1204">
            <v>0</v>
          </cell>
          <cell r="BI1204">
            <v>0</v>
          </cell>
          <cell r="BJ1204">
            <v>0</v>
          </cell>
          <cell r="BK1204">
            <v>0</v>
          </cell>
          <cell r="BL1204">
            <v>0</v>
          </cell>
          <cell r="BM1204">
            <v>0</v>
          </cell>
          <cell r="BN1204">
            <v>0</v>
          </cell>
          <cell r="BO1204">
            <v>0</v>
          </cell>
          <cell r="BP1204">
            <v>0</v>
          </cell>
          <cell r="BQ1204">
            <v>0</v>
          </cell>
          <cell r="BR1204">
            <v>0</v>
          </cell>
          <cell r="BT1204">
            <v>0</v>
          </cell>
          <cell r="CA1204" t="str">
            <v>003128 - REVTOT - Identified - Recompete</v>
          </cell>
          <cell r="CC1204" t="str">
            <v>003128 - REVTOT - Identified - Recompete - IS4</v>
          </cell>
          <cell r="CD1204" t="str">
            <v/>
          </cell>
          <cell r="CF1204" t="str">
            <v>003128 - Identified - Recompete - IS4</v>
          </cell>
        </row>
        <row r="1205">
          <cell r="D1205">
            <v>1191</v>
          </cell>
          <cell r="E1205">
            <v>2</v>
          </cell>
          <cell r="F1205">
            <v>3</v>
          </cell>
          <cell r="G1205" t="str">
            <v>003128</v>
          </cell>
          <cell r="H1205" t="str">
            <v>MC2S Programs</v>
          </cell>
          <cell r="I1205" t="str">
            <v>IS4</v>
          </cell>
          <cell r="J1205" t="str">
            <v>IS4 Spectrum &amp; Infrastructure Assurance</v>
          </cell>
          <cell r="K1205" t="str">
            <v>Marine Corps</v>
          </cell>
          <cell r="L1205" t="str">
            <v>DOD</v>
          </cell>
          <cell r="M1205" t="str">
            <v>VA</v>
          </cell>
          <cell r="N1205" t="str">
            <v>CONUS</v>
          </cell>
          <cell r="O1205">
            <v>42522</v>
          </cell>
          <cell r="P1205">
            <v>44286</v>
          </cell>
          <cell r="Q1205" t="str">
            <v>Sub</v>
          </cell>
          <cell r="R1205" t="str">
            <v>FFP</v>
          </cell>
          <cell r="S1205">
            <v>0</v>
          </cell>
          <cell r="T1205">
            <v>1</v>
          </cell>
          <cell r="U1205" t="str">
            <v>CONTRACT</v>
          </cell>
          <cell r="V1205" t="str">
            <v>Base</v>
          </cell>
          <cell r="W1205" t="str">
            <v>05 Won</v>
          </cell>
          <cell r="X1205" t="str">
            <v>Active</v>
          </cell>
          <cell r="Y1205">
            <v>1</v>
          </cell>
          <cell r="Z1205">
            <v>0</v>
          </cell>
          <cell r="AA1205">
            <v>460355.38124999969</v>
          </cell>
          <cell r="AB1205">
            <v>181122</v>
          </cell>
          <cell r="AC1205">
            <v>0</v>
          </cell>
          <cell r="AD1205">
            <v>641477.38124999963</v>
          </cell>
          <cell r="AL1205">
            <v>0.22498550710721865</v>
          </cell>
          <cell r="AM1205">
            <v>0.17841356867548364</v>
          </cell>
          <cell r="AN1205">
            <v>0.21735869248505585</v>
          </cell>
          <cell r="AO1205">
            <v>0.22190137470835591</v>
          </cell>
          <cell r="AP1205">
            <v>0.21613894965586633</v>
          </cell>
          <cell r="AQ1205">
            <v>0.21613894965586633</v>
          </cell>
          <cell r="AR1205">
            <v>0.21613894965586633</v>
          </cell>
          <cell r="AS1205">
            <v>0.21613894965586633</v>
          </cell>
          <cell r="BF1205">
            <v>41239.110000000008</v>
          </cell>
          <cell r="BG1205">
            <v>96467.18</v>
          </cell>
          <cell r="BH1205">
            <v>122213.27</v>
          </cell>
          <cell r="BI1205">
            <v>28396.51</v>
          </cell>
          <cell r="BJ1205">
            <v>26830.589999999997</v>
          </cell>
          <cell r="BK1205">
            <v>26176.519999999986</v>
          </cell>
          <cell r="BL1205">
            <v>30110.121843999994</v>
          </cell>
          <cell r="BM1205">
            <v>111513.74184399997</v>
          </cell>
          <cell r="BN1205">
            <v>112989.22959999999</v>
          </cell>
          <cell r="BO1205">
            <v>25659.017811370646</v>
          </cell>
          <cell r="BP1205">
            <v>0</v>
          </cell>
          <cell r="BQ1205">
            <v>0</v>
          </cell>
          <cell r="BR1205">
            <v>250161.9892553706</v>
          </cell>
          <cell r="BT1205">
            <v>0</v>
          </cell>
          <cell r="CA1205" t="str">
            <v>003128 - CONTRACT - Base</v>
          </cell>
          <cell r="CC1205" t="str">
            <v>003128 - CONTRACT - Base - IS4</v>
          </cell>
          <cell r="CD1205" t="str">
            <v/>
          </cell>
          <cell r="CF1205" t="str">
            <v>003128 - Base - IS4</v>
          </cell>
        </row>
        <row r="1206">
          <cell r="D1206">
            <v>1192</v>
          </cell>
          <cell r="E1206">
            <v>2</v>
          </cell>
          <cell r="F1206">
            <v>4</v>
          </cell>
          <cell r="G1206" t="str">
            <v>003128</v>
          </cell>
          <cell r="H1206" t="str">
            <v>MC2S Programs</v>
          </cell>
          <cell r="I1206" t="str">
            <v>IS4</v>
          </cell>
          <cell r="J1206" t="str">
            <v>IS4 Spectrum &amp; Infrastructure Assurance</v>
          </cell>
          <cell r="K1206" t="str">
            <v>Marine Corps</v>
          </cell>
          <cell r="L1206" t="str">
            <v>DOD</v>
          </cell>
          <cell r="M1206" t="str">
            <v>VA</v>
          </cell>
          <cell r="N1206" t="str">
            <v>CONUS</v>
          </cell>
          <cell r="O1206">
            <v>0</v>
          </cell>
          <cell r="P1206">
            <v>0</v>
          </cell>
          <cell r="Q1206">
            <v>0</v>
          </cell>
          <cell r="R1206" t="str">
            <v>FFP</v>
          </cell>
          <cell r="S1206">
            <v>0</v>
          </cell>
          <cell r="T1206">
            <v>1</v>
          </cell>
          <cell r="U1206" t="str">
            <v>CONTRACT</v>
          </cell>
          <cell r="V1206" t="str">
            <v>Identified - Recompete</v>
          </cell>
          <cell r="W1206">
            <v>0</v>
          </cell>
          <cell r="X1206">
            <v>0</v>
          </cell>
          <cell r="Y1206">
            <v>0</v>
          </cell>
          <cell r="Z1206">
            <v>0</v>
          </cell>
          <cell r="AA1206">
            <v>0</v>
          </cell>
          <cell r="AB1206">
            <v>0</v>
          </cell>
          <cell r="AC1206">
            <v>0</v>
          </cell>
          <cell r="AD1206">
            <v>0</v>
          </cell>
          <cell r="AP1206">
            <v>0</v>
          </cell>
          <cell r="AQ1206">
            <v>0</v>
          </cell>
          <cell r="AR1206">
            <v>0</v>
          </cell>
          <cell r="AS1206">
            <v>0</v>
          </cell>
          <cell r="BI1206">
            <v>0</v>
          </cell>
          <cell r="BJ1206">
            <v>0</v>
          </cell>
          <cell r="BK1206">
            <v>0</v>
          </cell>
          <cell r="BL1206">
            <v>0</v>
          </cell>
          <cell r="BM1206">
            <v>0</v>
          </cell>
          <cell r="BN1206">
            <v>0</v>
          </cell>
          <cell r="BO1206">
            <v>0</v>
          </cell>
          <cell r="BP1206">
            <v>0</v>
          </cell>
          <cell r="BQ1206">
            <v>0</v>
          </cell>
          <cell r="BR1206">
            <v>0</v>
          </cell>
          <cell r="BT1206">
            <v>0</v>
          </cell>
          <cell r="CA1206" t="str">
            <v>003128 - CONTRACT - Identified - Recompete</v>
          </cell>
          <cell r="CC1206" t="str">
            <v>003128 - CONTRACT - Identified - Recompete - IS4</v>
          </cell>
          <cell r="CD1206" t="str">
            <v/>
          </cell>
          <cell r="CF1206" t="str">
            <v>003128 - Identified - Recompete - IS4</v>
          </cell>
        </row>
        <row r="1207">
          <cell r="D1207">
            <v>1193</v>
          </cell>
          <cell r="E1207">
            <v>0</v>
          </cell>
          <cell r="F1207">
            <v>5</v>
          </cell>
          <cell r="G1207" t="str">
            <v>003128</v>
          </cell>
          <cell r="H1207" t="str">
            <v>MC2S Programs</v>
          </cell>
          <cell r="I1207" t="str">
            <v>IS4</v>
          </cell>
          <cell r="J1207" t="str">
            <v>IS4 Spectrum &amp; Infrastructure Assurance</v>
          </cell>
          <cell r="K1207" t="str">
            <v>Marine Corps</v>
          </cell>
          <cell r="L1207" t="str">
            <v>DOD</v>
          </cell>
          <cell r="M1207" t="str">
            <v>VA</v>
          </cell>
          <cell r="N1207" t="str">
            <v>CONUS</v>
          </cell>
          <cell r="O1207">
            <v>42522</v>
          </cell>
          <cell r="P1207">
            <v>44286</v>
          </cell>
          <cell r="Q1207" t="str">
            <v>Sub</v>
          </cell>
          <cell r="R1207" t="str">
            <v>FFP</v>
          </cell>
          <cell r="S1207">
            <v>0</v>
          </cell>
          <cell r="T1207">
            <v>1</v>
          </cell>
          <cell r="U1207" t="str">
            <v>EBITA</v>
          </cell>
          <cell r="V1207" t="str">
            <v>Base</v>
          </cell>
          <cell r="W1207" t="str">
            <v>05 Won</v>
          </cell>
          <cell r="X1207" t="str">
            <v>Active</v>
          </cell>
          <cell r="Y1207">
            <v>1</v>
          </cell>
          <cell r="Z1207">
            <v>0</v>
          </cell>
          <cell r="AA1207">
            <v>460355.38124999969</v>
          </cell>
          <cell r="AB1207">
            <v>181122</v>
          </cell>
          <cell r="AC1207">
            <v>0</v>
          </cell>
          <cell r="AD1207">
            <v>641477.38124999963</v>
          </cell>
          <cell r="AT1207">
            <v>5.9336025288829503E-2</v>
          </cell>
          <cell r="AU1207">
            <v>5.5227983862745023E-2</v>
          </cell>
          <cell r="AV1207">
            <v>0.104850113573592</v>
          </cell>
          <cell r="AW1207">
            <v>0.10529974369256341</v>
          </cell>
          <cell r="AX1207">
            <v>9.9942258607330706E-2</v>
          </cell>
          <cell r="AY1207">
            <v>0.10094225860733071</v>
          </cell>
          <cell r="AZ1207">
            <v>0.10194225860733071</v>
          </cell>
          <cell r="BA1207">
            <v>0.10294225860733071</v>
          </cell>
          <cell r="BF1207">
            <v>10876.100000000006</v>
          </cell>
          <cell r="BG1207">
            <v>29861.44999999999</v>
          </cell>
          <cell r="BH1207">
            <v>58953.590000000004</v>
          </cell>
          <cell r="BI1207">
            <v>14186.400000000001</v>
          </cell>
          <cell r="BJ1207">
            <v>12118.619999999997</v>
          </cell>
          <cell r="BK1207">
            <v>11815.699999999986</v>
          </cell>
          <cell r="BL1207">
            <v>14796.340337299993</v>
          </cell>
          <cell r="BM1207">
            <v>52917.060337299976</v>
          </cell>
          <cell r="BN1207">
            <v>52246.014994085417</v>
          </cell>
          <cell r="BO1207">
            <v>11983.398714805322</v>
          </cell>
          <cell r="BP1207">
            <v>0</v>
          </cell>
          <cell r="BQ1207">
            <v>0</v>
          </cell>
          <cell r="BR1207">
            <v>117146.47404619072</v>
          </cell>
          <cell r="BT1207">
            <v>0</v>
          </cell>
          <cell r="CA1207" t="str">
            <v>003128 - EBITA - Base</v>
          </cell>
          <cell r="CC1207" t="str">
            <v>003128 - EBITA - Base - IS4</v>
          </cell>
          <cell r="CD1207" t="str">
            <v/>
          </cell>
          <cell r="CF1207" t="str">
            <v>003128 - Base - IS4</v>
          </cell>
        </row>
        <row r="1208">
          <cell r="D1208">
            <v>1194</v>
          </cell>
          <cell r="E1208">
            <v>0</v>
          </cell>
          <cell r="F1208">
            <v>0</v>
          </cell>
          <cell r="G1208" t="str">
            <v>003128</v>
          </cell>
          <cell r="H1208" t="str">
            <v>MC2S Programs</v>
          </cell>
          <cell r="I1208" t="str">
            <v>IS4</v>
          </cell>
          <cell r="J1208" t="str">
            <v>IS4 Spectrum &amp; Infrastructure Assurance</v>
          </cell>
          <cell r="K1208" t="str">
            <v>Marine Corps</v>
          </cell>
          <cell r="L1208" t="str">
            <v>DOD</v>
          </cell>
          <cell r="M1208" t="str">
            <v>VA</v>
          </cell>
          <cell r="N1208" t="str">
            <v>CONUS</v>
          </cell>
          <cell r="O1208">
            <v>0</v>
          </cell>
          <cell r="P1208">
            <v>0</v>
          </cell>
          <cell r="Q1208">
            <v>0</v>
          </cell>
          <cell r="R1208" t="str">
            <v>FFP</v>
          </cell>
          <cell r="S1208">
            <v>0</v>
          </cell>
          <cell r="T1208">
            <v>1</v>
          </cell>
          <cell r="U1208" t="str">
            <v>EBITA</v>
          </cell>
          <cell r="V1208" t="str">
            <v>Identified - Recompete</v>
          </cell>
          <cell r="W1208">
            <v>0</v>
          </cell>
          <cell r="X1208">
            <v>0</v>
          </cell>
          <cell r="Y1208">
            <v>0</v>
          </cell>
          <cell r="Z1208">
            <v>0</v>
          </cell>
          <cell r="AA1208">
            <v>0</v>
          </cell>
          <cell r="AB1208">
            <v>0</v>
          </cell>
          <cell r="AC1208">
            <v>0</v>
          </cell>
          <cell r="AD1208">
            <v>0</v>
          </cell>
          <cell r="AX1208">
            <v>0</v>
          </cell>
          <cell r="AY1208">
            <v>0</v>
          </cell>
          <cell r="AZ1208">
            <v>0</v>
          </cell>
          <cell r="BA1208">
            <v>0</v>
          </cell>
          <cell r="BI1208">
            <v>0</v>
          </cell>
          <cell r="BJ1208">
            <v>0</v>
          </cell>
          <cell r="BK1208">
            <v>0</v>
          </cell>
          <cell r="BL1208">
            <v>0</v>
          </cell>
          <cell r="BM1208">
            <v>0</v>
          </cell>
          <cell r="BN1208">
            <v>0</v>
          </cell>
          <cell r="BO1208">
            <v>0</v>
          </cell>
          <cell r="BP1208">
            <v>0</v>
          </cell>
          <cell r="BQ1208">
            <v>0</v>
          </cell>
          <cell r="BR1208">
            <v>0</v>
          </cell>
          <cell r="BT1208">
            <v>0</v>
          </cell>
          <cell r="CA1208" t="str">
            <v>003128 - EBITA - Identified - Recompete</v>
          </cell>
          <cell r="CC1208" t="str">
            <v>003128 - EBITA - Identified - Recompete - IS4</v>
          </cell>
          <cell r="CD1208" t="str">
            <v/>
          </cell>
          <cell r="CF1208" t="str">
            <v>003128 - Identified - Recompete - IS4</v>
          </cell>
        </row>
        <row r="1209">
          <cell r="D1209">
            <v>1195</v>
          </cell>
          <cell r="E1209">
            <v>1</v>
          </cell>
          <cell r="F1209">
            <v>1</v>
          </cell>
          <cell r="G1209" t="str">
            <v>CP2279</v>
          </cell>
          <cell r="H1209" t="str">
            <v>DOS PSE</v>
          </cell>
          <cell r="I1209" t="str">
            <v>IS4</v>
          </cell>
          <cell r="J1209" t="str">
            <v>IS4 Global Mission Solutions</v>
          </cell>
          <cell r="K1209" t="str">
            <v>Dept. of State</v>
          </cell>
          <cell r="L1209" t="str">
            <v>DOS</v>
          </cell>
          <cell r="M1209" t="str">
            <v>Mali</v>
          </cell>
          <cell r="N1209" t="str">
            <v>OCONUS</v>
          </cell>
          <cell r="O1209">
            <v>41268</v>
          </cell>
          <cell r="P1209">
            <v>43003</v>
          </cell>
          <cell r="Q1209" t="str">
            <v>Prime</v>
          </cell>
          <cell r="R1209" t="str">
            <v>FFP</v>
          </cell>
          <cell r="S1209">
            <v>0</v>
          </cell>
          <cell r="T1209">
            <v>1</v>
          </cell>
          <cell r="U1209" t="str">
            <v>REVTOT</v>
          </cell>
          <cell r="V1209" t="str">
            <v>Base</v>
          </cell>
          <cell r="W1209" t="str">
            <v>05 Won</v>
          </cell>
          <cell r="X1209" t="str">
            <v>Active</v>
          </cell>
          <cell r="Y1209">
            <v>1</v>
          </cell>
          <cell r="Z1209">
            <v>0</v>
          </cell>
          <cell r="AA1209">
            <v>21840.750000000153</v>
          </cell>
          <cell r="AB1209">
            <v>626221</v>
          </cell>
          <cell r="AC1209">
            <v>0</v>
          </cell>
          <cell r="AD1209">
            <v>648061.75000000012</v>
          </cell>
          <cell r="AE1209">
            <v>-2.1058411361354668E-2</v>
          </cell>
          <cell r="AF1209">
            <v>-0.88833115298919707</v>
          </cell>
          <cell r="AG1209">
            <v>0.99669657942270162</v>
          </cell>
          <cell r="AH1209">
            <v>-1</v>
          </cell>
          <cell r="AI1209">
            <v>0</v>
          </cell>
          <cell r="AJ1209">
            <v>0</v>
          </cell>
          <cell r="AK1209">
            <v>0</v>
          </cell>
          <cell r="BB1209">
            <v>0</v>
          </cell>
          <cell r="BC1209">
            <v>0</v>
          </cell>
          <cell r="BD1209">
            <v>0</v>
          </cell>
          <cell r="BE1209">
            <v>0</v>
          </cell>
          <cell r="BF1209">
            <v>1921489.2000000002</v>
          </cell>
          <cell r="BG1209">
            <v>1881025.69</v>
          </cell>
          <cell r="BH1209">
            <v>210051.97000000003</v>
          </cell>
          <cell r="BI1209">
            <v>3505.67</v>
          </cell>
          <cell r="BJ1209">
            <v>311801.57</v>
          </cell>
          <cell r="BK1209">
            <v>104102.81000000001</v>
          </cell>
          <cell r="BL1209">
            <v>0</v>
          </cell>
          <cell r="BM1209">
            <v>419410.05</v>
          </cell>
          <cell r="BN1209">
            <v>0</v>
          </cell>
          <cell r="BO1209">
            <v>0</v>
          </cell>
          <cell r="BP1209">
            <v>0</v>
          </cell>
          <cell r="BQ1209">
            <v>0</v>
          </cell>
          <cell r="BR1209">
            <v>419410.05</v>
          </cell>
          <cell r="BT1209">
            <v>0</v>
          </cell>
          <cell r="CA1209" t="str">
            <v>CP2279 - REVTOT - Base</v>
          </cell>
          <cell r="CC1209" t="str">
            <v>CP2279 - REVTOT - Base - IS4</v>
          </cell>
          <cell r="CD1209" t="str">
            <v/>
          </cell>
          <cell r="CF1209" t="str">
            <v>CP2279 - Base - IS4</v>
          </cell>
        </row>
        <row r="1210">
          <cell r="D1210">
            <v>1196</v>
          </cell>
          <cell r="E1210">
            <v>1</v>
          </cell>
          <cell r="F1210">
            <v>2</v>
          </cell>
          <cell r="G1210" t="str">
            <v>CP2279</v>
          </cell>
          <cell r="H1210" t="str">
            <v>DOS PSE</v>
          </cell>
          <cell r="I1210" t="str">
            <v>IS4</v>
          </cell>
          <cell r="J1210" t="str">
            <v>IS4 Global Mission Solutions</v>
          </cell>
          <cell r="K1210" t="str">
            <v>Dept. of State</v>
          </cell>
          <cell r="L1210" t="str">
            <v>DOS</v>
          </cell>
          <cell r="M1210" t="str">
            <v>Mali</v>
          </cell>
          <cell r="N1210" t="str">
            <v>OCONUS</v>
          </cell>
          <cell r="O1210">
            <v>0</v>
          </cell>
          <cell r="P1210">
            <v>0</v>
          </cell>
          <cell r="Q1210">
            <v>0</v>
          </cell>
          <cell r="R1210" t="str">
            <v>FFP</v>
          </cell>
          <cell r="S1210">
            <v>0</v>
          </cell>
          <cell r="T1210">
            <v>1</v>
          </cell>
          <cell r="U1210" t="str">
            <v>REVTOT</v>
          </cell>
          <cell r="V1210" t="str">
            <v>Identified - Recompete</v>
          </cell>
          <cell r="W1210">
            <v>0</v>
          </cell>
          <cell r="X1210">
            <v>0</v>
          </cell>
          <cell r="Y1210">
            <v>0</v>
          </cell>
          <cell r="Z1210">
            <v>0</v>
          </cell>
          <cell r="AA1210">
            <v>0</v>
          </cell>
          <cell r="AB1210">
            <v>0</v>
          </cell>
          <cell r="AC1210">
            <v>0</v>
          </cell>
          <cell r="AD1210">
            <v>0</v>
          </cell>
          <cell r="AI1210">
            <v>0</v>
          </cell>
          <cell r="AJ1210">
            <v>0</v>
          </cell>
          <cell r="AK1210">
            <v>0</v>
          </cell>
          <cell r="BB1210">
            <v>0</v>
          </cell>
          <cell r="BC1210">
            <v>0</v>
          </cell>
          <cell r="BD1210">
            <v>0</v>
          </cell>
          <cell r="BE1210">
            <v>0</v>
          </cell>
          <cell r="BI1210">
            <v>0</v>
          </cell>
          <cell r="BJ1210">
            <v>0</v>
          </cell>
          <cell r="BK1210">
            <v>0</v>
          </cell>
          <cell r="BL1210">
            <v>0</v>
          </cell>
          <cell r="BM1210">
            <v>0</v>
          </cell>
          <cell r="BN1210">
            <v>0</v>
          </cell>
          <cell r="BO1210">
            <v>0</v>
          </cell>
          <cell r="BP1210">
            <v>0</v>
          </cell>
          <cell r="BQ1210">
            <v>0</v>
          </cell>
          <cell r="BR1210">
            <v>0</v>
          </cell>
          <cell r="BT1210">
            <v>0</v>
          </cell>
          <cell r="CA1210" t="str">
            <v>CP2279 - REVTOT - Identified - Recompete</v>
          </cell>
          <cell r="CC1210" t="str">
            <v>CP2279 - REVTOT - Identified - Recompete - IS4</v>
          </cell>
          <cell r="CD1210" t="str">
            <v/>
          </cell>
          <cell r="CF1210" t="str">
            <v>CP2279 - Identified - Recompete - IS4</v>
          </cell>
        </row>
        <row r="1211">
          <cell r="D1211">
            <v>1197</v>
          </cell>
          <cell r="E1211">
            <v>2</v>
          </cell>
          <cell r="F1211">
            <v>3</v>
          </cell>
          <cell r="G1211" t="str">
            <v>CP2279</v>
          </cell>
          <cell r="H1211" t="str">
            <v>DOS PSE</v>
          </cell>
          <cell r="I1211" t="str">
            <v>IS4</v>
          </cell>
          <cell r="J1211" t="str">
            <v>IS4 Global Mission Solutions</v>
          </cell>
          <cell r="K1211" t="str">
            <v>Dept. of State</v>
          </cell>
          <cell r="L1211" t="str">
            <v>DOS</v>
          </cell>
          <cell r="M1211" t="str">
            <v>Mali</v>
          </cell>
          <cell r="N1211" t="str">
            <v>OCONUS</v>
          </cell>
          <cell r="O1211">
            <v>41268</v>
          </cell>
          <cell r="P1211">
            <v>43003</v>
          </cell>
          <cell r="Q1211" t="str">
            <v>Prime</v>
          </cell>
          <cell r="R1211" t="str">
            <v>FFP</v>
          </cell>
          <cell r="S1211">
            <v>0</v>
          </cell>
          <cell r="T1211">
            <v>1</v>
          </cell>
          <cell r="U1211" t="str">
            <v>CONTRACT</v>
          </cell>
          <cell r="V1211" t="str">
            <v>Base</v>
          </cell>
          <cell r="W1211" t="str">
            <v>05 Won</v>
          </cell>
          <cell r="X1211" t="str">
            <v>Active</v>
          </cell>
          <cell r="Y1211">
            <v>1</v>
          </cell>
          <cell r="Z1211">
            <v>0</v>
          </cell>
          <cell r="AA1211">
            <v>21840.750000000153</v>
          </cell>
          <cell r="AB1211">
            <v>626221</v>
          </cell>
          <cell r="AC1211">
            <v>0</v>
          </cell>
          <cell r="AD1211">
            <v>648061.75000000012</v>
          </cell>
          <cell r="AL1211">
            <v>0.35986172079447537</v>
          </cell>
          <cell r="AM1211">
            <v>0.43437971865232738</v>
          </cell>
          <cell r="AN1211">
            <v>0.73797108401316103</v>
          </cell>
          <cell r="AO1211">
            <v>0.99360556572261449</v>
          </cell>
          <cell r="AP1211">
            <v>0.46938201670369256</v>
          </cell>
          <cell r="AQ1211">
            <v>0.46938201670369256</v>
          </cell>
          <cell r="AR1211">
            <v>0.46938201670369256</v>
          </cell>
          <cell r="AS1211">
            <v>0.46938201670369256</v>
          </cell>
          <cell r="BF1211">
            <v>691470.40999999992</v>
          </cell>
          <cell r="BG1211">
            <v>817079.40999999992</v>
          </cell>
          <cell r="BH1211">
            <v>155012.28</v>
          </cell>
          <cell r="BI1211">
            <v>1665.5300000000002</v>
          </cell>
          <cell r="BJ1211">
            <v>310544.75</v>
          </cell>
          <cell r="BK1211">
            <v>104517.88</v>
          </cell>
          <cell r="BL1211">
            <v>0</v>
          </cell>
          <cell r="BM1211">
            <v>416728.16000000003</v>
          </cell>
          <cell r="BN1211">
            <v>0</v>
          </cell>
          <cell r="BO1211">
            <v>0</v>
          </cell>
          <cell r="BP1211">
            <v>0</v>
          </cell>
          <cell r="BQ1211">
            <v>0</v>
          </cell>
          <cell r="BR1211">
            <v>416728.16000000003</v>
          </cell>
          <cell r="BT1211">
            <v>0</v>
          </cell>
          <cell r="CA1211" t="str">
            <v>CP2279 - CONTRACT - Base</v>
          </cell>
          <cell r="CC1211" t="str">
            <v>CP2279 - CONTRACT - Base - IS4</v>
          </cell>
          <cell r="CD1211" t="str">
            <v/>
          </cell>
          <cell r="CF1211" t="str">
            <v>CP2279 - Base - IS4</v>
          </cell>
        </row>
        <row r="1212">
          <cell r="D1212">
            <v>1198</v>
          </cell>
          <cell r="E1212">
            <v>2</v>
          </cell>
          <cell r="F1212">
            <v>4</v>
          </cell>
          <cell r="G1212" t="str">
            <v>CP2279</v>
          </cell>
          <cell r="H1212" t="str">
            <v>DOS PSE</v>
          </cell>
          <cell r="I1212" t="str">
            <v>IS4</v>
          </cell>
          <cell r="J1212" t="str">
            <v>IS4 Global Mission Solutions</v>
          </cell>
          <cell r="K1212" t="str">
            <v>Dept. of State</v>
          </cell>
          <cell r="L1212" t="str">
            <v>DOS</v>
          </cell>
          <cell r="M1212" t="str">
            <v>Mali</v>
          </cell>
          <cell r="N1212" t="str">
            <v>OCONUS</v>
          </cell>
          <cell r="O1212">
            <v>0</v>
          </cell>
          <cell r="P1212">
            <v>0</v>
          </cell>
          <cell r="Q1212">
            <v>0</v>
          </cell>
          <cell r="R1212" t="str">
            <v>FFP</v>
          </cell>
          <cell r="S1212">
            <v>0</v>
          </cell>
          <cell r="T1212">
            <v>1</v>
          </cell>
          <cell r="U1212" t="str">
            <v>CONTRACT</v>
          </cell>
          <cell r="V1212" t="str">
            <v>Identified - Recompete</v>
          </cell>
          <cell r="W1212">
            <v>0</v>
          </cell>
          <cell r="X1212">
            <v>0</v>
          </cell>
          <cell r="Y1212">
            <v>0</v>
          </cell>
          <cell r="Z1212">
            <v>0</v>
          </cell>
          <cell r="AA1212">
            <v>0</v>
          </cell>
          <cell r="AB1212">
            <v>0</v>
          </cell>
          <cell r="AC1212">
            <v>0</v>
          </cell>
          <cell r="AD1212">
            <v>0</v>
          </cell>
          <cell r="AP1212">
            <v>0</v>
          </cell>
          <cell r="AQ1212">
            <v>0</v>
          </cell>
          <cell r="AR1212">
            <v>0</v>
          </cell>
          <cell r="AS1212">
            <v>0</v>
          </cell>
          <cell r="BI1212">
            <v>0</v>
          </cell>
          <cell r="BJ1212">
            <v>0</v>
          </cell>
          <cell r="BK1212">
            <v>0</v>
          </cell>
          <cell r="BL1212">
            <v>0</v>
          </cell>
          <cell r="BM1212">
            <v>0</v>
          </cell>
          <cell r="BN1212">
            <v>0</v>
          </cell>
          <cell r="BO1212">
            <v>0</v>
          </cell>
          <cell r="BP1212">
            <v>0</v>
          </cell>
          <cell r="BQ1212">
            <v>0</v>
          </cell>
          <cell r="BR1212">
            <v>0</v>
          </cell>
          <cell r="BT1212">
            <v>0</v>
          </cell>
          <cell r="CA1212" t="str">
            <v>CP2279 - CONTRACT - Identified - Recompete</v>
          </cell>
          <cell r="CC1212" t="str">
            <v>CP2279 - CONTRACT - Identified - Recompete - IS4</v>
          </cell>
          <cell r="CD1212" t="str">
            <v/>
          </cell>
          <cell r="CF1212" t="str">
            <v>CP2279 - Identified - Recompete - IS4</v>
          </cell>
        </row>
        <row r="1213">
          <cell r="D1213">
            <v>1199</v>
          </cell>
          <cell r="E1213">
            <v>0</v>
          </cell>
          <cell r="F1213">
            <v>5</v>
          </cell>
          <cell r="G1213" t="str">
            <v>CP2279</v>
          </cell>
          <cell r="H1213" t="str">
            <v>DOS PSE</v>
          </cell>
          <cell r="I1213" t="str">
            <v>IS4</v>
          </cell>
          <cell r="J1213" t="str">
            <v>IS4 Global Mission Solutions</v>
          </cell>
          <cell r="K1213" t="str">
            <v>Dept. of State</v>
          </cell>
          <cell r="L1213" t="str">
            <v>DOS</v>
          </cell>
          <cell r="M1213" t="str">
            <v>Mali</v>
          </cell>
          <cell r="N1213" t="str">
            <v>OCONUS</v>
          </cell>
          <cell r="O1213">
            <v>41268</v>
          </cell>
          <cell r="P1213">
            <v>43003</v>
          </cell>
          <cell r="Q1213" t="str">
            <v>Prime</v>
          </cell>
          <cell r="R1213" t="str">
            <v>FFP</v>
          </cell>
          <cell r="S1213">
            <v>0</v>
          </cell>
          <cell r="T1213">
            <v>1</v>
          </cell>
          <cell r="U1213" t="str">
            <v>EBITA</v>
          </cell>
          <cell r="V1213" t="str">
            <v>Base</v>
          </cell>
          <cell r="W1213" t="str">
            <v>05 Won</v>
          </cell>
          <cell r="X1213" t="str">
            <v>Active</v>
          </cell>
          <cell r="Y1213">
            <v>1</v>
          </cell>
          <cell r="Z1213">
            <v>0</v>
          </cell>
          <cell r="AA1213">
            <v>21840.750000000153</v>
          </cell>
          <cell r="AB1213">
            <v>626221</v>
          </cell>
          <cell r="AC1213">
            <v>0</v>
          </cell>
          <cell r="AD1213">
            <v>648061.75000000012</v>
          </cell>
          <cell r="AT1213">
            <v>0.24374627242245228</v>
          </cell>
          <cell r="AU1213">
            <v>0.32393370980488839</v>
          </cell>
          <cell r="AV1213">
            <v>0.66602893560103238</v>
          </cell>
          <cell r="AW1213">
            <v>0.9892072447953979</v>
          </cell>
          <cell r="AX1213">
            <v>0.36933847358649707</v>
          </cell>
          <cell r="AY1213">
            <v>0.37033847358649707</v>
          </cell>
          <cell r="AZ1213">
            <v>0.37133847358649708</v>
          </cell>
          <cell r="BA1213">
            <v>0.37233847358649708</v>
          </cell>
          <cell r="BF1213">
            <v>468355.82999999996</v>
          </cell>
          <cell r="BG1213">
            <v>609327.62999999989</v>
          </cell>
          <cell r="BH1213">
            <v>139900.69</v>
          </cell>
          <cell r="BI1213">
            <v>629.01</v>
          </cell>
          <cell r="BJ1213">
            <v>309846.03000000003</v>
          </cell>
          <cell r="BK1213">
            <v>104408.42000000001</v>
          </cell>
          <cell r="BL1213">
            <v>0</v>
          </cell>
          <cell r="BM1213">
            <v>414883.46000000008</v>
          </cell>
          <cell r="BN1213">
            <v>0</v>
          </cell>
          <cell r="BO1213">
            <v>0</v>
          </cell>
          <cell r="BP1213">
            <v>0</v>
          </cell>
          <cell r="BQ1213">
            <v>0</v>
          </cell>
          <cell r="BR1213">
            <v>414883.46000000008</v>
          </cell>
          <cell r="BT1213">
            <v>0</v>
          </cell>
          <cell r="CA1213" t="str">
            <v>CP2279 - EBITA - Base</v>
          </cell>
          <cell r="CC1213" t="str">
            <v>CP2279 - EBITA - Base - IS4</v>
          </cell>
          <cell r="CD1213" t="str">
            <v/>
          </cell>
          <cell r="CF1213" t="str">
            <v>CP2279 - Base - IS4</v>
          </cell>
        </row>
        <row r="1214">
          <cell r="D1214">
            <v>1200</v>
          </cell>
          <cell r="E1214">
            <v>0</v>
          </cell>
          <cell r="F1214">
            <v>0</v>
          </cell>
          <cell r="G1214" t="str">
            <v>CP2279</v>
          </cell>
          <cell r="H1214" t="str">
            <v>DOS PSE</v>
          </cell>
          <cell r="I1214" t="str">
            <v>IS4</v>
          </cell>
          <cell r="J1214" t="str">
            <v>IS4 Global Mission Solutions</v>
          </cell>
          <cell r="K1214" t="str">
            <v>Dept. of State</v>
          </cell>
          <cell r="L1214" t="str">
            <v>DOS</v>
          </cell>
          <cell r="M1214" t="str">
            <v>Mali</v>
          </cell>
          <cell r="N1214" t="str">
            <v>OCONUS</v>
          </cell>
          <cell r="O1214">
            <v>0</v>
          </cell>
          <cell r="P1214">
            <v>0</v>
          </cell>
          <cell r="Q1214">
            <v>0</v>
          </cell>
          <cell r="R1214" t="str">
            <v>FFP</v>
          </cell>
          <cell r="S1214">
            <v>0</v>
          </cell>
          <cell r="T1214">
            <v>1</v>
          </cell>
          <cell r="U1214" t="str">
            <v>EBITA</v>
          </cell>
          <cell r="V1214" t="str">
            <v>Identified - Recompete</v>
          </cell>
          <cell r="W1214">
            <v>0</v>
          </cell>
          <cell r="X1214">
            <v>0</v>
          </cell>
          <cell r="Y1214">
            <v>0</v>
          </cell>
          <cell r="Z1214">
            <v>0</v>
          </cell>
          <cell r="AA1214">
            <v>0</v>
          </cell>
          <cell r="AB1214">
            <v>0</v>
          </cell>
          <cell r="AC1214">
            <v>0</v>
          </cell>
          <cell r="AD1214">
            <v>0</v>
          </cell>
          <cell r="AX1214">
            <v>0</v>
          </cell>
          <cell r="AY1214">
            <v>0</v>
          </cell>
          <cell r="AZ1214">
            <v>0</v>
          </cell>
          <cell r="BA1214">
            <v>0</v>
          </cell>
          <cell r="BI1214">
            <v>0</v>
          </cell>
          <cell r="BJ1214">
            <v>0</v>
          </cell>
          <cell r="BK1214">
            <v>0</v>
          </cell>
          <cell r="BL1214">
            <v>0</v>
          </cell>
          <cell r="BM1214">
            <v>0</v>
          </cell>
          <cell r="BN1214">
            <v>0</v>
          </cell>
          <cell r="BO1214">
            <v>0</v>
          </cell>
          <cell r="BP1214">
            <v>0</v>
          </cell>
          <cell r="BQ1214">
            <v>0</v>
          </cell>
          <cell r="BR1214">
            <v>0</v>
          </cell>
          <cell r="BT1214">
            <v>0</v>
          </cell>
          <cell r="CA1214" t="str">
            <v>CP2279 - EBITA - Identified - Recompete</v>
          </cell>
          <cell r="CC1214" t="str">
            <v>CP2279 - EBITA - Identified - Recompete - IS4</v>
          </cell>
          <cell r="CD1214" t="str">
            <v/>
          </cell>
          <cell r="CF1214" t="str">
            <v>CP2279 - Identified - Recompete - IS4</v>
          </cell>
        </row>
        <row r="1215">
          <cell r="D1215">
            <v>1201</v>
          </cell>
          <cell r="E1215">
            <v>1</v>
          </cell>
          <cell r="F1215">
            <v>1</v>
          </cell>
          <cell r="G1215" t="str">
            <v>1509SY</v>
          </cell>
          <cell r="H1215" t="str">
            <v>Misc Systems</v>
          </cell>
          <cell r="I1215" t="str">
            <v>IS4</v>
          </cell>
          <cell r="J1215" t="str">
            <v>IS4 Sustainment Engineering and Acquisition</v>
          </cell>
          <cell r="K1215" t="str">
            <v>Army</v>
          </cell>
          <cell r="L1215" t="str">
            <v>DOD</v>
          </cell>
          <cell r="M1215" t="str">
            <v>US_State</v>
          </cell>
          <cell r="N1215" t="str">
            <v>CONUS</v>
          </cell>
          <cell r="O1215">
            <v>43385</v>
          </cell>
          <cell r="P1215">
            <v>43651</v>
          </cell>
          <cell r="Q1215" t="str">
            <v>Prime</v>
          </cell>
          <cell r="R1215" t="str">
            <v>FFP</v>
          </cell>
          <cell r="S1215">
            <v>0</v>
          </cell>
          <cell r="T1215">
            <v>1</v>
          </cell>
          <cell r="U1215" t="str">
            <v>REVTOT</v>
          </cell>
          <cell r="V1215" t="str">
            <v>Base</v>
          </cell>
          <cell r="W1215" t="str">
            <v>05 Won</v>
          </cell>
          <cell r="X1215" t="str">
            <v>Active</v>
          </cell>
          <cell r="Y1215">
            <v>1</v>
          </cell>
          <cell r="Z1215">
            <v>0</v>
          </cell>
          <cell r="AA1215">
            <v>35534.190000001268</v>
          </cell>
          <cell r="AB1215">
            <v>0</v>
          </cell>
          <cell r="AC1215">
            <v>0</v>
          </cell>
          <cell r="AD1215">
            <v>35534.190000001268</v>
          </cell>
          <cell r="AE1215">
            <v>-0.8424540268130698</v>
          </cell>
          <cell r="AF1215">
            <v>-0.47071623861353418</v>
          </cell>
          <cell r="AG1215">
            <v>8.2557576979414407</v>
          </cell>
          <cell r="AH1215">
            <v>-0.95162597074942712</v>
          </cell>
          <cell r="AI1215">
            <v>0</v>
          </cell>
          <cell r="AJ1215">
            <v>0</v>
          </cell>
          <cell r="AK1215">
            <v>0</v>
          </cell>
          <cell r="BB1215">
            <v>207692.27999999997</v>
          </cell>
          <cell r="BC1215">
            <v>207692.27999999997</v>
          </cell>
          <cell r="BD1215">
            <v>207692.27999999997</v>
          </cell>
          <cell r="BE1215">
            <v>207692.27999999997</v>
          </cell>
          <cell r="BF1215">
            <v>951757.49</v>
          </cell>
          <cell r="BG1215">
            <v>149945.56</v>
          </cell>
          <cell r="BH1215">
            <v>79363.75</v>
          </cell>
          <cell r="BI1215">
            <v>105648.04999999999</v>
          </cell>
          <cell r="BJ1215">
            <v>159029.13999999998</v>
          </cell>
          <cell r="BK1215">
            <v>363827.32</v>
          </cell>
          <cell r="BL1215">
            <v>106067.13</v>
          </cell>
          <cell r="BM1215">
            <v>734571.64</v>
          </cell>
          <cell r="BN1215">
            <v>35534.190000001268</v>
          </cell>
          <cell r="BO1215">
            <v>0</v>
          </cell>
          <cell r="BP1215">
            <v>0</v>
          </cell>
          <cell r="BQ1215">
            <v>0</v>
          </cell>
          <cell r="BR1215">
            <v>770105.83000000124</v>
          </cell>
          <cell r="BT1215">
            <v>0</v>
          </cell>
          <cell r="CA1215" t="str">
            <v>1509SY - REVTOT - Base</v>
          </cell>
          <cell r="CC1215" t="str">
            <v>1509SY - REVTOT - Base - IS4</v>
          </cell>
          <cell r="CD1215" t="str">
            <v/>
          </cell>
          <cell r="CF1215" t="str">
            <v>1509SY - Base - IS4</v>
          </cell>
        </row>
        <row r="1216">
          <cell r="D1216">
            <v>1202</v>
          </cell>
          <cell r="E1216">
            <v>1</v>
          </cell>
          <cell r="F1216">
            <v>2</v>
          </cell>
          <cell r="G1216" t="str">
            <v>1509SY</v>
          </cell>
          <cell r="H1216" t="str">
            <v>Misc Systems</v>
          </cell>
          <cell r="I1216" t="str">
            <v>IS4</v>
          </cell>
          <cell r="J1216" t="str">
            <v>IS4 Sustainment Engineering and Acquisition</v>
          </cell>
          <cell r="K1216" t="str">
            <v>Army</v>
          </cell>
          <cell r="L1216" t="str">
            <v>DOD</v>
          </cell>
          <cell r="M1216" t="str">
            <v>US_State</v>
          </cell>
          <cell r="N1216" t="str">
            <v>CONUS</v>
          </cell>
          <cell r="O1216">
            <v>0</v>
          </cell>
          <cell r="P1216">
            <v>0</v>
          </cell>
          <cell r="Q1216">
            <v>0</v>
          </cell>
          <cell r="R1216" t="str">
            <v>FFP</v>
          </cell>
          <cell r="S1216">
            <v>0</v>
          </cell>
          <cell r="T1216">
            <v>1</v>
          </cell>
          <cell r="U1216" t="str">
            <v>REVTOT</v>
          </cell>
          <cell r="V1216" t="str">
            <v>Identified - Recompete</v>
          </cell>
          <cell r="W1216">
            <v>0</v>
          </cell>
          <cell r="X1216">
            <v>0</v>
          </cell>
          <cell r="Y1216">
            <v>0</v>
          </cell>
          <cell r="Z1216">
            <v>0</v>
          </cell>
          <cell r="AA1216">
            <v>0</v>
          </cell>
          <cell r="AB1216">
            <v>0</v>
          </cell>
          <cell r="AC1216">
            <v>0</v>
          </cell>
          <cell r="AD1216">
            <v>0</v>
          </cell>
          <cell r="AI1216">
            <v>0</v>
          </cell>
          <cell r="AJ1216">
            <v>0</v>
          </cell>
          <cell r="AK1216">
            <v>0</v>
          </cell>
          <cell r="BB1216">
            <v>0</v>
          </cell>
          <cell r="BC1216">
            <v>0</v>
          </cell>
          <cell r="BD1216">
            <v>0</v>
          </cell>
          <cell r="BE1216">
            <v>0</v>
          </cell>
          <cell r="BI1216">
            <v>0</v>
          </cell>
          <cell r="BJ1216">
            <v>0</v>
          </cell>
          <cell r="BK1216">
            <v>0</v>
          </cell>
          <cell r="BL1216">
            <v>0</v>
          </cell>
          <cell r="BM1216">
            <v>0</v>
          </cell>
          <cell r="BN1216">
            <v>0</v>
          </cell>
          <cell r="BO1216">
            <v>0</v>
          </cell>
          <cell r="BP1216">
            <v>0</v>
          </cell>
          <cell r="BQ1216">
            <v>0</v>
          </cell>
          <cell r="BR1216">
            <v>0</v>
          </cell>
          <cell r="BT1216">
            <v>0</v>
          </cell>
          <cell r="CA1216" t="str">
            <v>1509SY - REVTOT - Identified - Recompete</v>
          </cell>
          <cell r="CC1216" t="str">
            <v>1509SY - REVTOT - Identified - Recompete - IS4</v>
          </cell>
          <cell r="CD1216" t="str">
            <v/>
          </cell>
          <cell r="CF1216" t="str">
            <v>1509SY - Identified - Recompete - IS4</v>
          </cell>
        </row>
        <row r="1217">
          <cell r="D1217">
            <v>1203</v>
          </cell>
          <cell r="E1217">
            <v>2</v>
          </cell>
          <cell r="F1217">
            <v>3</v>
          </cell>
          <cell r="G1217" t="str">
            <v>1509SY</v>
          </cell>
          <cell r="H1217" t="str">
            <v>Misc Systems</v>
          </cell>
          <cell r="I1217" t="str">
            <v>IS4</v>
          </cell>
          <cell r="J1217" t="str">
            <v>IS4 Sustainment Engineering and Acquisition</v>
          </cell>
          <cell r="K1217" t="str">
            <v>Army</v>
          </cell>
          <cell r="L1217" t="str">
            <v>DOD</v>
          </cell>
          <cell r="M1217" t="str">
            <v>US_State</v>
          </cell>
          <cell r="N1217" t="str">
            <v>CONUS</v>
          </cell>
          <cell r="O1217">
            <v>43385</v>
          </cell>
          <cell r="P1217">
            <v>43651</v>
          </cell>
          <cell r="Q1217" t="str">
            <v>Prime</v>
          </cell>
          <cell r="R1217" t="str">
            <v>FFP</v>
          </cell>
          <cell r="S1217">
            <v>0</v>
          </cell>
          <cell r="T1217">
            <v>1</v>
          </cell>
          <cell r="U1217" t="str">
            <v>CONTRACT</v>
          </cell>
          <cell r="V1217" t="str">
            <v>Base</v>
          </cell>
          <cell r="W1217" t="str">
            <v>05 Won</v>
          </cell>
          <cell r="X1217" t="str">
            <v>Active</v>
          </cell>
          <cell r="Y1217">
            <v>1</v>
          </cell>
          <cell r="Z1217">
            <v>0</v>
          </cell>
          <cell r="AA1217">
            <v>35534.190000001268</v>
          </cell>
          <cell r="AB1217">
            <v>0</v>
          </cell>
          <cell r="AC1217">
            <v>0</v>
          </cell>
          <cell r="AD1217">
            <v>35534.190000001268</v>
          </cell>
          <cell r="AL1217">
            <v>0.61232743227479092</v>
          </cell>
          <cell r="AM1217">
            <v>0.20222506088209616</v>
          </cell>
          <cell r="AN1217">
            <v>-0.25524625537477758</v>
          </cell>
          <cell r="AO1217">
            <v>0.18507220071823077</v>
          </cell>
          <cell r="AP1217">
            <v>0.17452782933756031</v>
          </cell>
          <cell r="AQ1217">
            <v>0.17452782933756031</v>
          </cell>
          <cell r="AR1217">
            <v>0.17452782933756031</v>
          </cell>
          <cell r="AS1217">
            <v>0.17452782933756031</v>
          </cell>
          <cell r="BF1217">
            <v>582787.22</v>
          </cell>
          <cell r="BG1217">
            <v>30322.75</v>
          </cell>
          <cell r="BH1217">
            <v>-20257.300000000003</v>
          </cell>
          <cell r="BI1217">
            <v>50687.12999999999</v>
          </cell>
          <cell r="BJ1217">
            <v>18593.13999999997</v>
          </cell>
          <cell r="BK1217">
            <v>50098.67</v>
          </cell>
          <cell r="BL1217">
            <v>16569.849999999999</v>
          </cell>
          <cell r="BM1217">
            <v>135948.78999999995</v>
          </cell>
          <cell r="BN1217">
            <v>6201.7050479686632</v>
          </cell>
          <cell r="BO1217">
            <v>0</v>
          </cell>
          <cell r="BP1217">
            <v>0</v>
          </cell>
          <cell r="BQ1217">
            <v>0</v>
          </cell>
          <cell r="BR1217">
            <v>142150.49504796861</v>
          </cell>
          <cell r="BT1217">
            <v>0</v>
          </cell>
          <cell r="CA1217" t="str">
            <v>1509SY - CONTRACT - Base</v>
          </cell>
          <cell r="CC1217" t="str">
            <v>1509SY - CONTRACT - Base - IS4</v>
          </cell>
          <cell r="CD1217" t="str">
            <v/>
          </cell>
          <cell r="CF1217" t="str">
            <v>1509SY - Base - IS4</v>
          </cell>
        </row>
        <row r="1218">
          <cell r="D1218">
            <v>1204</v>
          </cell>
          <cell r="E1218">
            <v>2</v>
          </cell>
          <cell r="F1218">
            <v>4</v>
          </cell>
          <cell r="G1218" t="str">
            <v>1509SY</v>
          </cell>
          <cell r="H1218" t="str">
            <v>Misc Systems</v>
          </cell>
          <cell r="I1218" t="str">
            <v>IS4</v>
          </cell>
          <cell r="J1218" t="str">
            <v>IS4 Sustainment Engineering and Acquisition</v>
          </cell>
          <cell r="K1218" t="str">
            <v>Army</v>
          </cell>
          <cell r="L1218" t="str">
            <v>DOD</v>
          </cell>
          <cell r="M1218" t="str">
            <v>US_State</v>
          </cell>
          <cell r="N1218" t="str">
            <v>CONUS</v>
          </cell>
          <cell r="O1218">
            <v>0</v>
          </cell>
          <cell r="P1218">
            <v>0</v>
          </cell>
          <cell r="Q1218">
            <v>0</v>
          </cell>
          <cell r="R1218" t="str">
            <v>FFP</v>
          </cell>
          <cell r="S1218">
            <v>0</v>
          </cell>
          <cell r="T1218">
            <v>1</v>
          </cell>
          <cell r="U1218" t="str">
            <v>CONTRACT</v>
          </cell>
          <cell r="V1218" t="str">
            <v>Identified - Recompete</v>
          </cell>
          <cell r="W1218">
            <v>0</v>
          </cell>
          <cell r="X1218">
            <v>0</v>
          </cell>
          <cell r="Y1218">
            <v>0</v>
          </cell>
          <cell r="Z1218">
            <v>0</v>
          </cell>
          <cell r="AA1218">
            <v>0</v>
          </cell>
          <cell r="AB1218">
            <v>0</v>
          </cell>
          <cell r="AC1218">
            <v>0</v>
          </cell>
          <cell r="AD1218">
            <v>0</v>
          </cell>
          <cell r="AP1218">
            <v>0</v>
          </cell>
          <cell r="AQ1218">
            <v>0</v>
          </cell>
          <cell r="AR1218">
            <v>0</v>
          </cell>
          <cell r="AS1218">
            <v>0</v>
          </cell>
          <cell r="BI1218">
            <v>0</v>
          </cell>
          <cell r="BJ1218">
            <v>0</v>
          </cell>
          <cell r="BK1218">
            <v>0</v>
          </cell>
          <cell r="BL1218">
            <v>0</v>
          </cell>
          <cell r="BM1218">
            <v>0</v>
          </cell>
          <cell r="BN1218">
            <v>0</v>
          </cell>
          <cell r="BO1218">
            <v>0</v>
          </cell>
          <cell r="BP1218">
            <v>0</v>
          </cell>
          <cell r="BQ1218">
            <v>0</v>
          </cell>
          <cell r="BR1218">
            <v>0</v>
          </cell>
          <cell r="BT1218">
            <v>0</v>
          </cell>
          <cell r="CA1218" t="str">
            <v>1509SY - CONTRACT - Identified - Recompete</v>
          </cell>
          <cell r="CC1218" t="str">
            <v>1509SY - CONTRACT - Identified - Recompete - IS4</v>
          </cell>
          <cell r="CD1218" t="str">
            <v/>
          </cell>
          <cell r="CF1218" t="str">
            <v>1509SY - Identified - Recompete - IS4</v>
          </cell>
        </row>
        <row r="1219">
          <cell r="D1219">
            <v>1205</v>
          </cell>
          <cell r="E1219">
            <v>0</v>
          </cell>
          <cell r="F1219">
            <v>5</v>
          </cell>
          <cell r="G1219" t="str">
            <v>1509SY</v>
          </cell>
          <cell r="H1219" t="str">
            <v>Misc Systems</v>
          </cell>
          <cell r="I1219" t="str">
            <v>IS4</v>
          </cell>
          <cell r="J1219" t="str">
            <v>IS4 Sustainment Engineering and Acquisition</v>
          </cell>
          <cell r="K1219" t="str">
            <v>Army</v>
          </cell>
          <cell r="L1219" t="str">
            <v>DOD</v>
          </cell>
          <cell r="M1219" t="str">
            <v>US_State</v>
          </cell>
          <cell r="N1219" t="str">
            <v>CONUS</v>
          </cell>
          <cell r="O1219">
            <v>43385</v>
          </cell>
          <cell r="P1219">
            <v>43651</v>
          </cell>
          <cell r="Q1219" t="str">
            <v>Prime</v>
          </cell>
          <cell r="R1219" t="str">
            <v>FFP</v>
          </cell>
          <cell r="S1219">
            <v>0</v>
          </cell>
          <cell r="T1219">
            <v>1</v>
          </cell>
          <cell r="U1219" t="str">
            <v>EBITA</v>
          </cell>
          <cell r="V1219" t="str">
            <v>Base</v>
          </cell>
          <cell r="W1219" t="str">
            <v>05 Won</v>
          </cell>
          <cell r="X1219" t="str">
            <v>Active</v>
          </cell>
          <cell r="Y1219">
            <v>1</v>
          </cell>
          <cell r="Z1219">
            <v>0</v>
          </cell>
          <cell r="AA1219">
            <v>35534.190000001268</v>
          </cell>
          <cell r="AB1219">
            <v>0</v>
          </cell>
          <cell r="AC1219">
            <v>0</v>
          </cell>
          <cell r="AD1219">
            <v>35534.190000001268</v>
          </cell>
          <cell r="AT1219">
            <v>0.57169499133650103</v>
          </cell>
          <cell r="AU1219">
            <v>9.5609166420132743E-2</v>
          </cell>
          <cell r="AV1219">
            <v>-0.37980942180781535</v>
          </cell>
          <cell r="AW1219">
            <v>0.10896761546634166</v>
          </cell>
          <cell r="AX1219">
            <v>7.5986911004869748E-2</v>
          </cell>
          <cell r="AY1219">
            <v>7.6986911004869749E-2</v>
          </cell>
          <cell r="AZ1219">
            <v>7.7986911004869749E-2</v>
          </cell>
          <cell r="BA1219">
            <v>7.898691100486975E-2</v>
          </cell>
          <cell r="BF1219">
            <v>544114.99</v>
          </cell>
          <cell r="BG1219">
            <v>14336.169999999998</v>
          </cell>
          <cell r="BH1219">
            <v>-30143.100000000006</v>
          </cell>
          <cell r="BI1219">
            <v>44475.55999999999</v>
          </cell>
          <cell r="BJ1219">
            <v>4063.6299999999719</v>
          </cell>
          <cell r="BK1219">
            <v>18287.739999999998</v>
          </cell>
          <cell r="BL1219">
            <v>13217.589999999998</v>
          </cell>
          <cell r="BM1219">
            <v>80044.51999999996</v>
          </cell>
          <cell r="BN1219">
            <v>2700.1333331602291</v>
          </cell>
          <cell r="BO1219">
            <v>0</v>
          </cell>
          <cell r="BP1219">
            <v>0</v>
          </cell>
          <cell r="BQ1219">
            <v>0</v>
          </cell>
          <cell r="BR1219">
            <v>82744.653333160182</v>
          </cell>
          <cell r="BT1219">
            <v>0</v>
          </cell>
          <cell r="CA1219" t="str">
            <v>1509SY - EBITA - Base</v>
          </cell>
          <cell r="CC1219" t="str">
            <v>1509SY - EBITA - Base - IS4</v>
          </cell>
          <cell r="CD1219" t="str">
            <v/>
          </cell>
          <cell r="CF1219" t="str">
            <v>1509SY - Base - IS4</v>
          </cell>
        </row>
        <row r="1220">
          <cell r="D1220">
            <v>1206</v>
          </cell>
          <cell r="E1220">
            <v>0</v>
          </cell>
          <cell r="F1220">
            <v>0</v>
          </cell>
          <cell r="G1220" t="str">
            <v>1509SY</v>
          </cell>
          <cell r="H1220" t="str">
            <v>Misc Systems</v>
          </cell>
          <cell r="I1220" t="str">
            <v>IS4</v>
          </cell>
          <cell r="J1220" t="str">
            <v>IS4 Sustainment Engineering and Acquisition</v>
          </cell>
          <cell r="K1220" t="str">
            <v>Army</v>
          </cell>
          <cell r="L1220" t="str">
            <v>DOD</v>
          </cell>
          <cell r="M1220" t="str">
            <v>US_State</v>
          </cell>
          <cell r="N1220" t="str">
            <v>CONUS</v>
          </cell>
          <cell r="O1220">
            <v>0</v>
          </cell>
          <cell r="P1220">
            <v>0</v>
          </cell>
          <cell r="Q1220">
            <v>0</v>
          </cell>
          <cell r="R1220" t="str">
            <v>FFP</v>
          </cell>
          <cell r="S1220">
            <v>0</v>
          </cell>
          <cell r="T1220">
            <v>1</v>
          </cell>
          <cell r="U1220" t="str">
            <v>EBITA</v>
          </cell>
          <cell r="V1220" t="str">
            <v>Identified - Recompete</v>
          </cell>
          <cell r="W1220">
            <v>0</v>
          </cell>
          <cell r="X1220">
            <v>0</v>
          </cell>
          <cell r="Y1220">
            <v>0</v>
          </cell>
          <cell r="Z1220">
            <v>0</v>
          </cell>
          <cell r="AA1220">
            <v>0</v>
          </cell>
          <cell r="AB1220">
            <v>0</v>
          </cell>
          <cell r="AC1220">
            <v>0</v>
          </cell>
          <cell r="AD1220">
            <v>0</v>
          </cell>
          <cell r="AX1220">
            <v>0</v>
          </cell>
          <cell r="AY1220">
            <v>0</v>
          </cell>
          <cell r="AZ1220">
            <v>0</v>
          </cell>
          <cell r="BA1220">
            <v>0</v>
          </cell>
          <cell r="BI1220">
            <v>0</v>
          </cell>
          <cell r="BJ1220">
            <v>0</v>
          </cell>
          <cell r="BK1220">
            <v>0</v>
          </cell>
          <cell r="BL1220">
            <v>0</v>
          </cell>
          <cell r="BM1220">
            <v>0</v>
          </cell>
          <cell r="BN1220">
            <v>0</v>
          </cell>
          <cell r="BO1220">
            <v>0</v>
          </cell>
          <cell r="BP1220">
            <v>0</v>
          </cell>
          <cell r="BQ1220">
            <v>0</v>
          </cell>
          <cell r="BR1220">
            <v>0</v>
          </cell>
          <cell r="BT1220">
            <v>0</v>
          </cell>
          <cell r="CA1220" t="str">
            <v>1509SY - EBITA - Identified - Recompete</v>
          </cell>
          <cell r="CC1220" t="str">
            <v>1509SY - EBITA - Identified - Recompete - IS4</v>
          </cell>
          <cell r="CD1220" t="str">
            <v/>
          </cell>
          <cell r="CF1220" t="str">
            <v>1509SY - Identified - Recompete - IS4</v>
          </cell>
        </row>
        <row r="1221">
          <cell r="D1221">
            <v>1207</v>
          </cell>
          <cell r="E1221">
            <v>1</v>
          </cell>
          <cell r="F1221">
            <v>1</v>
          </cell>
          <cell r="G1221" t="str">
            <v>XIMCOM</v>
          </cell>
          <cell r="H1221" t="str">
            <v>TPSS IMCOM</v>
          </cell>
          <cell r="I1221" t="str">
            <v>IS4</v>
          </cell>
          <cell r="J1221" t="str">
            <v>IS4 Spectrum &amp; Infrastructure Assurance</v>
          </cell>
          <cell r="K1221" t="str">
            <v>Army</v>
          </cell>
          <cell r="L1221" t="str">
            <v>DOD</v>
          </cell>
          <cell r="M1221" t="str">
            <v>TX</v>
          </cell>
          <cell r="N1221" t="str">
            <v>CONUS</v>
          </cell>
          <cell r="O1221">
            <v>43373</v>
          </cell>
          <cell r="P1221">
            <v>43830</v>
          </cell>
          <cell r="Q1221" t="str">
            <v>Sub</v>
          </cell>
          <cell r="R1221" t="str">
            <v>FFP</v>
          </cell>
          <cell r="S1221">
            <v>0</v>
          </cell>
          <cell r="T1221">
            <v>1</v>
          </cell>
          <cell r="U1221" t="str">
            <v>REVTOT</v>
          </cell>
          <cell r="V1221" t="str">
            <v>Base</v>
          </cell>
          <cell r="W1221" t="str">
            <v>05 Won</v>
          </cell>
          <cell r="X1221" t="str">
            <v>Active</v>
          </cell>
          <cell r="Y1221">
            <v>1</v>
          </cell>
          <cell r="Z1221">
            <v>0</v>
          </cell>
          <cell r="AA1221">
            <v>37067.0900000002</v>
          </cell>
          <cell r="AB1221">
            <v>4687594.5299999993</v>
          </cell>
          <cell r="AC1221">
            <v>0</v>
          </cell>
          <cell r="AD1221">
            <v>4724661.6199999992</v>
          </cell>
          <cell r="AE1221">
            <v>0</v>
          </cell>
          <cell r="AF1221">
            <v>0</v>
          </cell>
          <cell r="AG1221">
            <v>0</v>
          </cell>
          <cell r="AH1221">
            <v>-0.85129022810344357</v>
          </cell>
          <cell r="AI1221">
            <v>0</v>
          </cell>
          <cell r="AJ1221">
            <v>0</v>
          </cell>
          <cell r="AK1221">
            <v>0</v>
          </cell>
          <cell r="BB1221">
            <v>97148</v>
          </cell>
          <cell r="BC1221">
            <v>97148</v>
          </cell>
          <cell r="BD1221">
            <v>97148</v>
          </cell>
          <cell r="BE1221">
            <v>97148</v>
          </cell>
          <cell r="BF1221">
            <v>0</v>
          </cell>
          <cell r="BG1221">
            <v>0</v>
          </cell>
          <cell r="BH1221">
            <v>0</v>
          </cell>
          <cell r="BI1221">
            <v>20765.910000000003</v>
          </cell>
          <cell r="BJ1221">
            <v>107342.90999999999</v>
          </cell>
          <cell r="BK1221">
            <v>154858.65</v>
          </cell>
          <cell r="BL1221">
            <v>370305</v>
          </cell>
          <cell r="BM1221">
            <v>653272.47</v>
          </cell>
          <cell r="BN1221">
            <v>97148</v>
          </cell>
          <cell r="BO1221">
            <v>97148</v>
          </cell>
          <cell r="BP1221">
            <v>97148</v>
          </cell>
          <cell r="BQ1221">
            <v>97148</v>
          </cell>
          <cell r="BR1221">
            <v>1041864.47</v>
          </cell>
          <cell r="BT1221">
            <v>0</v>
          </cell>
          <cell r="CA1221" t="str">
            <v>XIMCOM - REVTOT - Base</v>
          </cell>
          <cell r="CC1221" t="str">
            <v>XIMCOM - REVTOT - Base - IS4</v>
          </cell>
          <cell r="CD1221" t="str">
            <v/>
          </cell>
          <cell r="CF1221" t="str">
            <v>XIMCOM - Base - IS4</v>
          </cell>
        </row>
        <row r="1222">
          <cell r="D1222">
            <v>1208</v>
          </cell>
          <cell r="E1222">
            <v>1</v>
          </cell>
          <cell r="F1222">
            <v>2</v>
          </cell>
          <cell r="G1222" t="str">
            <v>XIMCOM</v>
          </cell>
          <cell r="H1222" t="str">
            <v>TPSS IMCOM</v>
          </cell>
          <cell r="I1222" t="str">
            <v>IS4</v>
          </cell>
          <cell r="J1222" t="str">
            <v>IS4 Spectrum &amp; Infrastructure Assurance</v>
          </cell>
          <cell r="K1222" t="str">
            <v>Army</v>
          </cell>
          <cell r="L1222" t="str">
            <v>DOD</v>
          </cell>
          <cell r="M1222" t="str">
            <v>TX</v>
          </cell>
          <cell r="N1222" t="str">
            <v>CONUS</v>
          </cell>
          <cell r="O1222">
            <v>0</v>
          </cell>
          <cell r="P1222">
            <v>0</v>
          </cell>
          <cell r="Q1222">
            <v>0</v>
          </cell>
          <cell r="R1222" t="str">
            <v>FFP</v>
          </cell>
          <cell r="S1222">
            <v>0</v>
          </cell>
          <cell r="T1222">
            <v>1</v>
          </cell>
          <cell r="U1222" t="str">
            <v>REVTOT</v>
          </cell>
          <cell r="V1222" t="str">
            <v>Identified - Recompete</v>
          </cell>
          <cell r="W1222">
            <v>0</v>
          </cell>
          <cell r="X1222">
            <v>0</v>
          </cell>
          <cell r="Y1222">
            <v>0</v>
          </cell>
          <cell r="Z1222">
            <v>0</v>
          </cell>
          <cell r="AA1222">
            <v>0</v>
          </cell>
          <cell r="AB1222">
            <v>0</v>
          </cell>
          <cell r="AC1222">
            <v>0</v>
          </cell>
          <cell r="AD1222">
            <v>0</v>
          </cell>
          <cell r="AI1222">
            <v>0</v>
          </cell>
          <cell r="AJ1222">
            <v>0</v>
          </cell>
          <cell r="AK1222">
            <v>0</v>
          </cell>
          <cell r="BB1222">
            <v>0</v>
          </cell>
          <cell r="BC1222">
            <v>0</v>
          </cell>
          <cell r="BD1222">
            <v>0</v>
          </cell>
          <cell r="BE1222">
            <v>0</v>
          </cell>
          <cell r="BI1222">
            <v>0</v>
          </cell>
          <cell r="BJ1222">
            <v>0</v>
          </cell>
          <cell r="BK1222">
            <v>0</v>
          </cell>
          <cell r="BL1222">
            <v>0</v>
          </cell>
          <cell r="BM1222">
            <v>0</v>
          </cell>
          <cell r="BN1222">
            <v>0</v>
          </cell>
          <cell r="BO1222">
            <v>0</v>
          </cell>
          <cell r="BP1222">
            <v>0</v>
          </cell>
          <cell r="BQ1222">
            <v>0</v>
          </cell>
          <cell r="BR1222">
            <v>0</v>
          </cell>
          <cell r="BT1222">
            <v>0</v>
          </cell>
          <cell r="CA1222" t="str">
            <v>XIMCOM - REVTOT - Identified - Recompete</v>
          </cell>
          <cell r="CC1222" t="str">
            <v>XIMCOM - REVTOT - Identified - Recompete - IS4</v>
          </cell>
          <cell r="CD1222" t="str">
            <v/>
          </cell>
          <cell r="CF1222" t="str">
            <v>XIMCOM - Identified - Recompete - IS4</v>
          </cell>
        </row>
        <row r="1223">
          <cell r="D1223">
            <v>1209</v>
          </cell>
          <cell r="E1223">
            <v>2</v>
          </cell>
          <cell r="F1223">
            <v>3</v>
          </cell>
          <cell r="G1223" t="str">
            <v>XIMCOM</v>
          </cell>
          <cell r="H1223" t="str">
            <v>TPSS IMCOM</v>
          </cell>
          <cell r="I1223" t="str">
            <v>IS4</v>
          </cell>
          <cell r="J1223" t="str">
            <v>IS4 Spectrum &amp; Infrastructure Assurance</v>
          </cell>
          <cell r="K1223" t="str">
            <v>Army</v>
          </cell>
          <cell r="L1223" t="str">
            <v>DOD</v>
          </cell>
          <cell r="M1223" t="str">
            <v>TX</v>
          </cell>
          <cell r="N1223" t="str">
            <v>CONUS</v>
          </cell>
          <cell r="O1223">
            <v>43373</v>
          </cell>
          <cell r="P1223">
            <v>43830</v>
          </cell>
          <cell r="Q1223" t="str">
            <v>Sub</v>
          </cell>
          <cell r="R1223" t="str">
            <v>FFP</v>
          </cell>
          <cell r="S1223">
            <v>0</v>
          </cell>
          <cell r="T1223">
            <v>1</v>
          </cell>
          <cell r="U1223" t="str">
            <v>CONTRACT</v>
          </cell>
          <cell r="V1223" t="str">
            <v>Base</v>
          </cell>
          <cell r="W1223" t="str">
            <v>05 Won</v>
          </cell>
          <cell r="X1223" t="str">
            <v>Active</v>
          </cell>
          <cell r="Y1223">
            <v>1</v>
          </cell>
          <cell r="Z1223">
            <v>0</v>
          </cell>
          <cell r="AA1223">
            <v>37067.0900000002</v>
          </cell>
          <cell r="AB1223">
            <v>4687594.5299999993</v>
          </cell>
          <cell r="AC1223">
            <v>0</v>
          </cell>
          <cell r="AD1223">
            <v>4724661.6199999992</v>
          </cell>
          <cell r="AL1223">
            <v>0</v>
          </cell>
          <cell r="AM1223">
            <v>0</v>
          </cell>
          <cell r="AN1223">
            <v>0</v>
          </cell>
          <cell r="AO1223">
            <v>0.22610981907748229</v>
          </cell>
          <cell r="AP1223">
            <v>0.2496499526495656</v>
          </cell>
          <cell r="AQ1223">
            <v>0.2496499526495656</v>
          </cell>
          <cell r="AR1223">
            <v>0.2496499526495656</v>
          </cell>
          <cell r="AS1223">
            <v>0.2496499526495656</v>
          </cell>
          <cell r="BF1223">
            <v>0</v>
          </cell>
          <cell r="BG1223">
            <v>0</v>
          </cell>
          <cell r="BH1223">
            <v>0</v>
          </cell>
          <cell r="BI1223">
            <v>4238.6100000000024</v>
          </cell>
          <cell r="BJ1223">
            <v>25080.229999999996</v>
          </cell>
          <cell r="BK1223">
            <v>34545.479999999989</v>
          </cell>
          <cell r="BL1223">
            <v>83847</v>
          </cell>
          <cell r="BM1223">
            <v>147711.31999999998</v>
          </cell>
          <cell r="BN1223">
            <v>24252.993599999998</v>
          </cell>
          <cell r="BO1223">
            <v>24252.993599999998</v>
          </cell>
          <cell r="BP1223">
            <v>24252.993599999998</v>
          </cell>
          <cell r="BQ1223">
            <v>24252.993599999998</v>
          </cell>
          <cell r="BR1223">
            <v>244723.29439999993</v>
          </cell>
          <cell r="BT1223">
            <v>0</v>
          </cell>
          <cell r="CA1223" t="str">
            <v>XIMCOM - CONTRACT - Base</v>
          </cell>
          <cell r="CC1223" t="str">
            <v>XIMCOM - CONTRACT - Base - IS4</v>
          </cell>
          <cell r="CD1223" t="str">
            <v/>
          </cell>
          <cell r="CF1223" t="str">
            <v>XIMCOM - Base - IS4</v>
          </cell>
        </row>
        <row r="1224">
          <cell r="D1224">
            <v>1210</v>
          </cell>
          <cell r="E1224">
            <v>2</v>
          </cell>
          <cell r="F1224">
            <v>4</v>
          </cell>
          <cell r="G1224" t="str">
            <v>XIMCOM</v>
          </cell>
          <cell r="H1224" t="str">
            <v>TPSS IMCOM</v>
          </cell>
          <cell r="I1224" t="str">
            <v>IS4</v>
          </cell>
          <cell r="J1224" t="str">
            <v>IS4 Spectrum &amp; Infrastructure Assurance</v>
          </cell>
          <cell r="K1224" t="str">
            <v>Army</v>
          </cell>
          <cell r="L1224" t="str">
            <v>DOD</v>
          </cell>
          <cell r="M1224" t="str">
            <v>TX</v>
          </cell>
          <cell r="N1224" t="str">
            <v>CONUS</v>
          </cell>
          <cell r="O1224">
            <v>0</v>
          </cell>
          <cell r="P1224">
            <v>0</v>
          </cell>
          <cell r="Q1224">
            <v>0</v>
          </cell>
          <cell r="R1224" t="str">
            <v>FFP</v>
          </cell>
          <cell r="S1224">
            <v>0</v>
          </cell>
          <cell r="T1224">
            <v>1</v>
          </cell>
          <cell r="U1224" t="str">
            <v>CONTRACT</v>
          </cell>
          <cell r="V1224" t="str">
            <v>Identified - Recompete</v>
          </cell>
          <cell r="W1224">
            <v>0</v>
          </cell>
          <cell r="X1224">
            <v>0</v>
          </cell>
          <cell r="Y1224">
            <v>0</v>
          </cell>
          <cell r="Z1224">
            <v>0</v>
          </cell>
          <cell r="AA1224">
            <v>0</v>
          </cell>
          <cell r="AB1224">
            <v>0</v>
          </cell>
          <cell r="AC1224">
            <v>0</v>
          </cell>
          <cell r="AD1224">
            <v>0</v>
          </cell>
          <cell r="AP1224">
            <v>0</v>
          </cell>
          <cell r="AQ1224">
            <v>0</v>
          </cell>
          <cell r="AR1224">
            <v>0</v>
          </cell>
          <cell r="AS1224">
            <v>0</v>
          </cell>
          <cell r="BI1224">
            <v>0</v>
          </cell>
          <cell r="BJ1224">
            <v>0</v>
          </cell>
          <cell r="BK1224">
            <v>0</v>
          </cell>
          <cell r="BL1224">
            <v>0</v>
          </cell>
          <cell r="BM1224">
            <v>0</v>
          </cell>
          <cell r="BN1224">
            <v>0</v>
          </cell>
          <cell r="BO1224">
            <v>0</v>
          </cell>
          <cell r="BP1224">
            <v>0</v>
          </cell>
          <cell r="BQ1224">
            <v>0</v>
          </cell>
          <cell r="BR1224">
            <v>0</v>
          </cell>
          <cell r="BT1224">
            <v>0</v>
          </cell>
          <cell r="CA1224" t="str">
            <v>XIMCOM - CONTRACT - Identified - Recompete</v>
          </cell>
          <cell r="CC1224" t="str">
            <v>XIMCOM - CONTRACT - Identified - Recompete - IS4</v>
          </cell>
          <cell r="CD1224" t="str">
            <v/>
          </cell>
          <cell r="CF1224" t="str">
            <v>XIMCOM - Identified - Recompete - IS4</v>
          </cell>
        </row>
        <row r="1225">
          <cell r="D1225">
            <v>1211</v>
          </cell>
          <cell r="E1225">
            <v>0</v>
          </cell>
          <cell r="F1225">
            <v>5</v>
          </cell>
          <cell r="G1225" t="str">
            <v>XIMCOM</v>
          </cell>
          <cell r="H1225" t="str">
            <v>TPSS IMCOM</v>
          </cell>
          <cell r="I1225" t="str">
            <v>IS4</v>
          </cell>
          <cell r="J1225" t="str">
            <v>IS4 Spectrum &amp; Infrastructure Assurance</v>
          </cell>
          <cell r="K1225" t="str">
            <v>Army</v>
          </cell>
          <cell r="L1225" t="str">
            <v>DOD</v>
          </cell>
          <cell r="M1225" t="str">
            <v>TX</v>
          </cell>
          <cell r="N1225" t="str">
            <v>CONUS</v>
          </cell>
          <cell r="O1225">
            <v>43373</v>
          </cell>
          <cell r="P1225">
            <v>43830</v>
          </cell>
          <cell r="Q1225" t="str">
            <v>Sub</v>
          </cell>
          <cell r="R1225" t="str">
            <v>FFP</v>
          </cell>
          <cell r="S1225">
            <v>0</v>
          </cell>
          <cell r="T1225">
            <v>1</v>
          </cell>
          <cell r="U1225" t="str">
            <v>EBITA</v>
          </cell>
          <cell r="V1225" t="str">
            <v>Base</v>
          </cell>
          <cell r="W1225" t="str">
            <v>05 Won</v>
          </cell>
          <cell r="X1225" t="str">
            <v>Active</v>
          </cell>
          <cell r="Y1225">
            <v>1</v>
          </cell>
          <cell r="Z1225">
            <v>0</v>
          </cell>
          <cell r="AA1225">
            <v>37067.0900000002</v>
          </cell>
          <cell r="AB1225">
            <v>4687594.5299999993</v>
          </cell>
          <cell r="AC1225">
            <v>0</v>
          </cell>
          <cell r="AD1225">
            <v>4724661.6199999992</v>
          </cell>
          <cell r="AT1225">
            <v>0</v>
          </cell>
          <cell r="AU1225">
            <v>0</v>
          </cell>
          <cell r="AV1225">
            <v>0</v>
          </cell>
          <cell r="AW1225">
            <v>0.16125856336790068</v>
          </cell>
          <cell r="AX1225">
            <v>0.15472682708828617</v>
          </cell>
          <cell r="AY1225">
            <v>0.15572682708828617</v>
          </cell>
          <cell r="AZ1225">
            <v>0.15672682708828617</v>
          </cell>
          <cell r="BA1225">
            <v>0.15772682708828617</v>
          </cell>
          <cell r="BF1225">
            <v>0</v>
          </cell>
          <cell r="BG1225">
            <v>0</v>
          </cell>
          <cell r="BH1225">
            <v>0</v>
          </cell>
          <cell r="BI1225">
            <v>2076.5900000000024</v>
          </cell>
          <cell r="BJ1225">
            <v>16970.189999999995</v>
          </cell>
          <cell r="BK1225">
            <v>21815.999999999989</v>
          </cell>
          <cell r="BL1225">
            <v>64483</v>
          </cell>
          <cell r="BM1225">
            <v>105345.77999999998</v>
          </cell>
          <cell r="BN1225">
            <v>15031.401797972825</v>
          </cell>
          <cell r="BO1225">
            <v>15128.549797972824</v>
          </cell>
          <cell r="BP1225">
            <v>15225.697797972825</v>
          </cell>
          <cell r="BQ1225">
            <v>15322.845797972825</v>
          </cell>
          <cell r="BR1225">
            <v>166054.27519189127</v>
          </cell>
          <cell r="BT1225">
            <v>0</v>
          </cell>
          <cell r="CA1225" t="str">
            <v>XIMCOM - EBITA - Base</v>
          </cell>
          <cell r="CC1225" t="str">
            <v>XIMCOM - EBITA - Base - IS4</v>
          </cell>
          <cell r="CD1225" t="str">
            <v/>
          </cell>
          <cell r="CF1225" t="str">
            <v>XIMCOM - Base - IS4</v>
          </cell>
        </row>
        <row r="1226">
          <cell r="D1226">
            <v>1212</v>
          </cell>
          <cell r="E1226">
            <v>0</v>
          </cell>
          <cell r="F1226">
            <v>0</v>
          </cell>
          <cell r="G1226" t="str">
            <v>XIMCOM</v>
          </cell>
          <cell r="H1226" t="str">
            <v>TPSS IMCOM</v>
          </cell>
          <cell r="I1226" t="str">
            <v>IS4</v>
          </cell>
          <cell r="J1226" t="str">
            <v>IS4 Spectrum &amp; Infrastructure Assurance</v>
          </cell>
          <cell r="K1226" t="str">
            <v>Army</v>
          </cell>
          <cell r="L1226" t="str">
            <v>DOD</v>
          </cell>
          <cell r="M1226" t="str">
            <v>TX</v>
          </cell>
          <cell r="N1226" t="str">
            <v>CONUS</v>
          </cell>
          <cell r="O1226">
            <v>0</v>
          </cell>
          <cell r="P1226">
            <v>0</v>
          </cell>
          <cell r="Q1226">
            <v>0</v>
          </cell>
          <cell r="R1226" t="str">
            <v>FFP</v>
          </cell>
          <cell r="S1226">
            <v>0</v>
          </cell>
          <cell r="T1226">
            <v>1</v>
          </cell>
          <cell r="U1226" t="str">
            <v>EBITA</v>
          </cell>
          <cell r="V1226" t="str">
            <v>Identified - Recompete</v>
          </cell>
          <cell r="W1226">
            <v>0</v>
          </cell>
          <cell r="X1226">
            <v>0</v>
          </cell>
          <cell r="Y1226">
            <v>0</v>
          </cell>
          <cell r="Z1226">
            <v>0</v>
          </cell>
          <cell r="AA1226">
            <v>0</v>
          </cell>
          <cell r="AB1226">
            <v>0</v>
          </cell>
          <cell r="AC1226">
            <v>0</v>
          </cell>
          <cell r="AD1226">
            <v>0</v>
          </cell>
          <cell r="AX1226">
            <v>0</v>
          </cell>
          <cell r="AY1226">
            <v>0</v>
          </cell>
          <cell r="AZ1226">
            <v>0</v>
          </cell>
          <cell r="BA1226">
            <v>0</v>
          </cell>
          <cell r="BI1226">
            <v>0</v>
          </cell>
          <cell r="BJ1226">
            <v>0</v>
          </cell>
          <cell r="BK1226">
            <v>0</v>
          </cell>
          <cell r="BL1226">
            <v>0</v>
          </cell>
          <cell r="BM1226">
            <v>0</v>
          </cell>
          <cell r="BN1226">
            <v>0</v>
          </cell>
          <cell r="BO1226">
            <v>0</v>
          </cell>
          <cell r="BP1226">
            <v>0</v>
          </cell>
          <cell r="BQ1226">
            <v>0</v>
          </cell>
          <cell r="BR1226">
            <v>0</v>
          </cell>
          <cell r="BT1226">
            <v>0</v>
          </cell>
          <cell r="CA1226" t="str">
            <v>XIMCOM - EBITA - Identified - Recompete</v>
          </cell>
          <cell r="CC1226" t="str">
            <v>XIMCOM - EBITA - Identified - Recompete - IS4</v>
          </cell>
          <cell r="CD1226" t="str">
            <v/>
          </cell>
          <cell r="CF1226" t="str">
            <v>XIMCOM - Identified - Recompete - IS4</v>
          </cell>
        </row>
        <row r="1227">
          <cell r="D1227">
            <v>1213</v>
          </cell>
          <cell r="E1227">
            <v>1</v>
          </cell>
          <cell r="F1227">
            <v>1</v>
          </cell>
          <cell r="G1227" t="str">
            <v>002351</v>
          </cell>
          <cell r="H1227" t="str">
            <v>SOBT</v>
          </cell>
          <cell r="I1227" t="str">
            <v>IS4</v>
          </cell>
          <cell r="J1227" t="str">
            <v>IS4 Sustainment Engineering and Acquisition</v>
          </cell>
          <cell r="K1227" t="str">
            <v>Navy</v>
          </cell>
          <cell r="L1227" t="str">
            <v>DOD</v>
          </cell>
          <cell r="M1227" t="str">
            <v>CT</v>
          </cell>
          <cell r="N1227" t="str">
            <v>CONUS</v>
          </cell>
          <cell r="O1227">
            <v>41548</v>
          </cell>
          <cell r="P1227">
            <v>43670</v>
          </cell>
          <cell r="Q1227" t="str">
            <v>Prime</v>
          </cell>
          <cell r="R1227" t="str">
            <v>FFP</v>
          </cell>
          <cell r="S1227">
            <v>0</v>
          </cell>
          <cell r="T1227">
            <v>1</v>
          </cell>
          <cell r="U1227" t="str">
            <v>REVTOT</v>
          </cell>
          <cell r="V1227" t="str">
            <v>Base</v>
          </cell>
          <cell r="W1227" t="str">
            <v>05 Won</v>
          </cell>
          <cell r="X1227" t="str">
            <v>Active</v>
          </cell>
          <cell r="Y1227">
            <v>1</v>
          </cell>
          <cell r="Z1227">
            <v>0</v>
          </cell>
          <cell r="AA1227">
            <v>586086.76000000013</v>
          </cell>
          <cell r="AB1227">
            <v>0</v>
          </cell>
          <cell r="AC1227">
            <v>0</v>
          </cell>
          <cell r="AD1227">
            <v>586086.76000000013</v>
          </cell>
          <cell r="AE1227">
            <v>0.54018537189518923</v>
          </cell>
          <cell r="AF1227">
            <v>-0.28554102860012864</v>
          </cell>
          <cell r="AG1227">
            <v>-0.46827504932442587</v>
          </cell>
          <cell r="AH1227">
            <v>0.56525093245925517</v>
          </cell>
          <cell r="AI1227">
            <v>0</v>
          </cell>
          <cell r="AJ1227">
            <v>0</v>
          </cell>
          <cell r="AK1227">
            <v>0</v>
          </cell>
          <cell r="BB1227">
            <v>499999.92299999995</v>
          </cell>
          <cell r="BC1227">
            <v>499999.92299999995</v>
          </cell>
          <cell r="BD1227">
            <v>499999.92299999995</v>
          </cell>
          <cell r="BE1227">
            <v>499999.92299999995</v>
          </cell>
          <cell r="BF1227">
            <v>545944.67999999993</v>
          </cell>
          <cell r="BG1227">
            <v>840856.01</v>
          </cell>
          <cell r="BH1227">
            <v>600757.12</v>
          </cell>
          <cell r="BI1227">
            <v>94281.600000000006</v>
          </cell>
          <cell r="BJ1227">
            <v>117819.91999999998</v>
          </cell>
          <cell r="BK1227">
            <v>83574.03</v>
          </cell>
          <cell r="BL1227">
            <v>23762</v>
          </cell>
          <cell r="BM1227">
            <v>319437.55</v>
          </cell>
          <cell r="BN1227">
            <v>499999.92299999995</v>
          </cell>
          <cell r="BO1227">
            <v>86086.837000000174</v>
          </cell>
          <cell r="BP1227">
            <v>0</v>
          </cell>
          <cell r="BQ1227">
            <v>0</v>
          </cell>
          <cell r="BR1227">
            <v>905524.31000000017</v>
          </cell>
          <cell r="BT1227">
            <v>0</v>
          </cell>
          <cell r="CA1227" t="str">
            <v>002351 - REVTOT - Base</v>
          </cell>
          <cell r="CC1227" t="str">
            <v>002351 - REVTOT - Base - IS4</v>
          </cell>
          <cell r="CD1227" t="str">
            <v/>
          </cell>
          <cell r="CF1227" t="str">
            <v>002351 - Base - IS4</v>
          </cell>
        </row>
        <row r="1228">
          <cell r="D1228">
            <v>1214</v>
          </cell>
          <cell r="E1228">
            <v>1</v>
          </cell>
          <cell r="F1228">
            <v>2</v>
          </cell>
          <cell r="G1228" t="str">
            <v>002351</v>
          </cell>
          <cell r="H1228" t="str">
            <v>SOBT</v>
          </cell>
          <cell r="I1228" t="str">
            <v>IS4</v>
          </cell>
          <cell r="J1228" t="str">
            <v>IS4 Sustainment Engineering and Acquisition</v>
          </cell>
          <cell r="K1228" t="str">
            <v>Navy</v>
          </cell>
          <cell r="L1228" t="str">
            <v>DOD</v>
          </cell>
          <cell r="M1228" t="str">
            <v>CT</v>
          </cell>
          <cell r="N1228" t="str">
            <v>CONUS</v>
          </cell>
          <cell r="O1228">
            <v>44074</v>
          </cell>
          <cell r="P1228">
            <v>45900</v>
          </cell>
          <cell r="Q1228" t="str">
            <v>Prime</v>
          </cell>
          <cell r="R1228" t="str">
            <v>FFP</v>
          </cell>
          <cell r="S1228">
            <v>0</v>
          </cell>
          <cell r="T1228">
            <v>1</v>
          </cell>
          <cell r="U1228" t="str">
            <v>REVTOT</v>
          </cell>
          <cell r="V1228" t="str">
            <v>Identified - Recompete</v>
          </cell>
          <cell r="W1228" t="str">
            <v>02 Capture</v>
          </cell>
          <cell r="X1228" t="str">
            <v>Priority 2</v>
          </cell>
          <cell r="Y1228">
            <v>0.8</v>
          </cell>
          <cell r="Z1228">
            <v>0</v>
          </cell>
          <cell r="AA1228">
            <v>0</v>
          </cell>
          <cell r="AB1228">
            <v>0</v>
          </cell>
          <cell r="AC1228">
            <v>0</v>
          </cell>
          <cell r="AD1228">
            <v>0</v>
          </cell>
          <cell r="AI1228">
            <v>0</v>
          </cell>
          <cell r="AJ1228">
            <v>0</v>
          </cell>
          <cell r="AK1228">
            <v>0</v>
          </cell>
          <cell r="BB1228">
            <v>0</v>
          </cell>
          <cell r="BC1228">
            <v>0</v>
          </cell>
          <cell r="BD1228">
            <v>0</v>
          </cell>
          <cell r="BE1228">
            <v>0</v>
          </cell>
          <cell r="BI1228">
            <v>0</v>
          </cell>
          <cell r="BJ1228">
            <v>0</v>
          </cell>
          <cell r="BK1228">
            <v>0</v>
          </cell>
          <cell r="BL1228">
            <v>0</v>
          </cell>
          <cell r="BM1228">
            <v>0</v>
          </cell>
          <cell r="BN1228">
            <v>0</v>
          </cell>
          <cell r="BO1228">
            <v>0</v>
          </cell>
          <cell r="BP1228">
            <v>0</v>
          </cell>
          <cell r="BQ1228">
            <v>0</v>
          </cell>
          <cell r="BR1228">
            <v>0</v>
          </cell>
          <cell r="BT1228">
            <v>0</v>
          </cell>
          <cell r="CA1228" t="str">
            <v>002351 - REVTOT - Identified - Recompete</v>
          </cell>
          <cell r="CC1228" t="str">
            <v>002351 - REVTOT - Identified - Recompete - IS4</v>
          </cell>
          <cell r="CD1228" t="str">
            <v/>
          </cell>
          <cell r="CF1228" t="str">
            <v>002351 - Identified - Recompete - IS4</v>
          </cell>
        </row>
        <row r="1229">
          <cell r="D1229">
            <v>1215</v>
          </cell>
          <cell r="E1229">
            <v>2</v>
          </cell>
          <cell r="F1229">
            <v>3</v>
          </cell>
          <cell r="G1229" t="str">
            <v>002351</v>
          </cell>
          <cell r="H1229" t="str">
            <v>SOBT</v>
          </cell>
          <cell r="I1229" t="str">
            <v>IS4</v>
          </cell>
          <cell r="J1229" t="str">
            <v>IS4 Sustainment Engineering and Acquisition</v>
          </cell>
          <cell r="K1229" t="str">
            <v>Navy</v>
          </cell>
          <cell r="L1229" t="str">
            <v>DOD</v>
          </cell>
          <cell r="M1229" t="str">
            <v>CT</v>
          </cell>
          <cell r="N1229" t="str">
            <v>CONUS</v>
          </cell>
          <cell r="O1229">
            <v>41548</v>
          </cell>
          <cell r="P1229">
            <v>43670</v>
          </cell>
          <cell r="Q1229" t="str">
            <v>Prime</v>
          </cell>
          <cell r="R1229" t="str">
            <v>FFP</v>
          </cell>
          <cell r="S1229">
            <v>0</v>
          </cell>
          <cell r="T1229">
            <v>1</v>
          </cell>
          <cell r="U1229" t="str">
            <v>CONTRACT</v>
          </cell>
          <cell r="V1229" t="str">
            <v>Base</v>
          </cell>
          <cell r="W1229" t="str">
            <v>05 Won</v>
          </cell>
          <cell r="X1229" t="str">
            <v>Active</v>
          </cell>
          <cell r="Y1229">
            <v>1</v>
          </cell>
          <cell r="Z1229">
            <v>0</v>
          </cell>
          <cell r="AA1229">
            <v>586086.76000000013</v>
          </cell>
          <cell r="AB1229">
            <v>0</v>
          </cell>
          <cell r="AC1229">
            <v>0</v>
          </cell>
          <cell r="AD1229">
            <v>586086.76000000013</v>
          </cell>
          <cell r="AL1229">
            <v>0.23449101106727524</v>
          </cell>
          <cell r="AM1229">
            <v>0.1946804661597174</v>
          </cell>
          <cell r="AN1229">
            <v>0.19864465359977751</v>
          </cell>
          <cell r="AO1229">
            <v>0.18561571737574367</v>
          </cell>
          <cell r="AP1229">
            <v>0.18708344963685125</v>
          </cell>
          <cell r="AQ1229">
            <v>0.18708344963685125</v>
          </cell>
          <cell r="AR1229">
            <v>0.18708344963685125</v>
          </cell>
          <cell r="AS1229">
            <v>0.18708344963685125</v>
          </cell>
          <cell r="BF1229">
            <v>128019.12000000002</v>
          </cell>
          <cell r="BG1229">
            <v>163698.23999999999</v>
          </cell>
          <cell r="BH1229">
            <v>119337.18999999997</v>
          </cell>
          <cell r="BI1229">
            <v>17817.18</v>
          </cell>
          <cell r="BJ1229">
            <v>21498.519999999993</v>
          </cell>
          <cell r="BK1229">
            <v>15488.929999999993</v>
          </cell>
          <cell r="BL1229">
            <v>4488</v>
          </cell>
          <cell r="BM1229">
            <v>59292.62999999999</v>
          </cell>
          <cell r="BN1229">
            <v>93541.710412999993</v>
          </cell>
          <cell r="BO1229">
            <v>16105.422434285356</v>
          </cell>
          <cell r="BP1229">
            <v>0</v>
          </cell>
          <cell r="BQ1229">
            <v>0</v>
          </cell>
          <cell r="BR1229">
            <v>168939.76284728531</v>
          </cell>
          <cell r="BT1229">
            <v>0</v>
          </cell>
          <cell r="CA1229" t="str">
            <v>002351 - CONTRACT - Base</v>
          </cell>
          <cell r="CC1229" t="str">
            <v>002351 - CONTRACT - Base - IS4</v>
          </cell>
          <cell r="CD1229" t="str">
            <v/>
          </cell>
          <cell r="CF1229" t="str">
            <v>002351 - Base - IS4</v>
          </cell>
        </row>
        <row r="1230">
          <cell r="D1230">
            <v>1216</v>
          </cell>
          <cell r="E1230">
            <v>2</v>
          </cell>
          <cell r="F1230">
            <v>4</v>
          </cell>
          <cell r="G1230" t="str">
            <v>002351</v>
          </cell>
          <cell r="H1230" t="str">
            <v>SOBT</v>
          </cell>
          <cell r="I1230" t="str">
            <v>IS4</v>
          </cell>
          <cell r="J1230" t="str">
            <v>IS4 Sustainment Engineering and Acquisition</v>
          </cell>
          <cell r="K1230" t="str">
            <v>Navy</v>
          </cell>
          <cell r="L1230" t="str">
            <v>DOD</v>
          </cell>
          <cell r="M1230" t="str">
            <v>CT</v>
          </cell>
          <cell r="N1230" t="str">
            <v>CONUS</v>
          </cell>
          <cell r="O1230">
            <v>44074</v>
          </cell>
          <cell r="P1230">
            <v>45900</v>
          </cell>
          <cell r="Q1230" t="str">
            <v>Prime</v>
          </cell>
          <cell r="R1230" t="str">
            <v>FFP</v>
          </cell>
          <cell r="S1230">
            <v>0</v>
          </cell>
          <cell r="T1230">
            <v>1</v>
          </cell>
          <cell r="U1230" t="str">
            <v>CONTRACT</v>
          </cell>
          <cell r="V1230" t="str">
            <v>Identified - Recompete</v>
          </cell>
          <cell r="W1230" t="str">
            <v>02 Capture</v>
          </cell>
          <cell r="X1230" t="str">
            <v>Priority 2</v>
          </cell>
          <cell r="Y1230">
            <v>0.8</v>
          </cell>
          <cell r="Z1230">
            <v>0</v>
          </cell>
          <cell r="AA1230">
            <v>0</v>
          </cell>
          <cell r="AB1230">
            <v>0</v>
          </cell>
          <cell r="AC1230">
            <v>0</v>
          </cell>
          <cell r="AD1230">
            <v>0</v>
          </cell>
          <cell r="AP1230">
            <v>0</v>
          </cell>
          <cell r="AQ1230">
            <v>0</v>
          </cell>
          <cell r="AR1230">
            <v>0</v>
          </cell>
          <cell r="AS1230">
            <v>0</v>
          </cell>
          <cell r="BI1230">
            <v>0</v>
          </cell>
          <cell r="BJ1230">
            <v>0</v>
          </cell>
          <cell r="BK1230">
            <v>0</v>
          </cell>
          <cell r="BL1230">
            <v>0</v>
          </cell>
          <cell r="BM1230">
            <v>0</v>
          </cell>
          <cell r="BN1230">
            <v>0</v>
          </cell>
          <cell r="BO1230">
            <v>0</v>
          </cell>
          <cell r="BP1230">
            <v>0</v>
          </cell>
          <cell r="BQ1230">
            <v>0</v>
          </cell>
          <cell r="BR1230">
            <v>0</v>
          </cell>
          <cell r="BT1230">
            <v>0</v>
          </cell>
          <cell r="CA1230" t="str">
            <v>002351 - CONTRACT - Identified - Recompete</v>
          </cell>
          <cell r="CC1230" t="str">
            <v>002351 - CONTRACT - Identified - Recompete - IS4</v>
          </cell>
          <cell r="CD1230" t="str">
            <v/>
          </cell>
          <cell r="CF1230" t="str">
            <v>002351 - Identified - Recompete - IS4</v>
          </cell>
        </row>
        <row r="1231">
          <cell r="D1231">
            <v>1217</v>
          </cell>
          <cell r="E1231">
            <v>0</v>
          </cell>
          <cell r="F1231">
            <v>5</v>
          </cell>
          <cell r="G1231" t="str">
            <v>002351</v>
          </cell>
          <cell r="H1231" t="str">
            <v>SOBT</v>
          </cell>
          <cell r="I1231" t="str">
            <v>IS4</v>
          </cell>
          <cell r="J1231" t="str">
            <v>IS4 Sustainment Engineering and Acquisition</v>
          </cell>
          <cell r="K1231" t="str">
            <v>Navy</v>
          </cell>
          <cell r="L1231" t="str">
            <v>DOD</v>
          </cell>
          <cell r="M1231" t="str">
            <v>CT</v>
          </cell>
          <cell r="N1231" t="str">
            <v>CONUS</v>
          </cell>
          <cell r="O1231">
            <v>41548</v>
          </cell>
          <cell r="P1231">
            <v>43670</v>
          </cell>
          <cell r="Q1231" t="str">
            <v>Prime</v>
          </cell>
          <cell r="R1231" t="str">
            <v>FFP</v>
          </cell>
          <cell r="S1231">
            <v>0</v>
          </cell>
          <cell r="T1231">
            <v>1</v>
          </cell>
          <cell r="U1231" t="str">
            <v>EBITA</v>
          </cell>
          <cell r="V1231" t="str">
            <v>Base</v>
          </cell>
          <cell r="W1231" t="str">
            <v>05 Won</v>
          </cell>
          <cell r="X1231" t="str">
            <v>Active</v>
          </cell>
          <cell r="Y1231">
            <v>1</v>
          </cell>
          <cell r="Z1231">
            <v>0</v>
          </cell>
          <cell r="AA1231">
            <v>586086.76000000013</v>
          </cell>
          <cell r="AB1231">
            <v>0</v>
          </cell>
          <cell r="AC1231">
            <v>0</v>
          </cell>
          <cell r="AD1231">
            <v>586086.76000000013</v>
          </cell>
          <cell r="AT1231">
            <v>6.8325567345028496E-2</v>
          </cell>
          <cell r="AU1231">
            <v>7.2761554026354647E-2</v>
          </cell>
          <cell r="AV1231">
            <v>8.753585808521086E-2</v>
          </cell>
          <cell r="AW1231">
            <v>7.225759776832745E-2</v>
          </cell>
          <cell r="AX1231">
            <v>7.5074089477744993E-2</v>
          </cell>
          <cell r="AY1231">
            <v>7.6074089477744994E-2</v>
          </cell>
          <cell r="AZ1231">
            <v>7.7074089477744995E-2</v>
          </cell>
          <cell r="BA1231">
            <v>7.8074089477744996E-2</v>
          </cell>
          <cell r="BF1231">
            <v>37301.980000000025</v>
          </cell>
          <cell r="BG1231">
            <v>61181.99</v>
          </cell>
          <cell r="BH1231">
            <v>52587.789999999994</v>
          </cell>
          <cell r="BI1231">
            <v>6983.8099999999995</v>
          </cell>
          <cell r="BJ1231">
            <v>8280.7799999999934</v>
          </cell>
          <cell r="BK1231">
            <v>6055.1999999999935</v>
          </cell>
          <cell r="BL1231">
            <v>1762</v>
          </cell>
          <cell r="BM1231">
            <v>23081.789999999986</v>
          </cell>
          <cell r="BN1231">
            <v>37537.038958167606</v>
          </cell>
          <cell r="BO1231">
            <v>6548.9777407940619</v>
          </cell>
          <cell r="BP1231">
            <v>0</v>
          </cell>
          <cell r="BQ1231">
            <v>0</v>
          </cell>
          <cell r="BR1231">
            <v>67167.806698961649</v>
          </cell>
          <cell r="BT1231">
            <v>0</v>
          </cell>
          <cell r="CA1231" t="str">
            <v>002351 - EBITA - Base</v>
          </cell>
          <cell r="CC1231" t="str">
            <v>002351 - EBITA - Base - IS4</v>
          </cell>
          <cell r="CD1231" t="str">
            <v/>
          </cell>
          <cell r="CF1231" t="str">
            <v>002351 - Base - IS4</v>
          </cell>
        </row>
        <row r="1232">
          <cell r="D1232">
            <v>1218</v>
          </cell>
          <cell r="E1232">
            <v>0</v>
          </cell>
          <cell r="F1232">
            <v>0</v>
          </cell>
          <cell r="G1232" t="str">
            <v>002351</v>
          </cell>
          <cell r="H1232" t="str">
            <v>SOBT</v>
          </cell>
          <cell r="I1232" t="str">
            <v>IS4</v>
          </cell>
          <cell r="J1232" t="str">
            <v>IS4 Sustainment Engineering and Acquisition</v>
          </cell>
          <cell r="K1232" t="str">
            <v>Navy</v>
          </cell>
          <cell r="L1232" t="str">
            <v>DOD</v>
          </cell>
          <cell r="M1232" t="str">
            <v>CT</v>
          </cell>
          <cell r="N1232" t="str">
            <v>CONUS</v>
          </cell>
          <cell r="O1232">
            <v>44074</v>
          </cell>
          <cell r="P1232">
            <v>45900</v>
          </cell>
          <cell r="Q1232" t="str">
            <v>Prime</v>
          </cell>
          <cell r="R1232" t="str">
            <v>FFP</v>
          </cell>
          <cell r="S1232">
            <v>0</v>
          </cell>
          <cell r="T1232">
            <v>1</v>
          </cell>
          <cell r="U1232" t="str">
            <v>EBITA</v>
          </cell>
          <cell r="V1232" t="str">
            <v>Identified - Recompete</v>
          </cell>
          <cell r="W1232" t="str">
            <v>02 Capture</v>
          </cell>
          <cell r="X1232" t="str">
            <v>Priority 2</v>
          </cell>
          <cell r="Y1232">
            <v>0.8</v>
          </cell>
          <cell r="Z1232">
            <v>0</v>
          </cell>
          <cell r="AA1232">
            <v>0</v>
          </cell>
          <cell r="AB1232">
            <v>0</v>
          </cell>
          <cell r="AC1232">
            <v>0</v>
          </cell>
          <cell r="AD1232">
            <v>0</v>
          </cell>
          <cell r="AX1232">
            <v>0</v>
          </cell>
          <cell r="AY1232">
            <v>0</v>
          </cell>
          <cell r="AZ1232">
            <v>0</v>
          </cell>
          <cell r="BA1232">
            <v>0</v>
          </cell>
          <cell r="BI1232">
            <v>0</v>
          </cell>
          <cell r="BJ1232">
            <v>0</v>
          </cell>
          <cell r="BK1232">
            <v>0</v>
          </cell>
          <cell r="BL1232">
            <v>0</v>
          </cell>
          <cell r="BM1232">
            <v>0</v>
          </cell>
          <cell r="BN1232">
            <v>0</v>
          </cell>
          <cell r="BO1232">
            <v>0</v>
          </cell>
          <cell r="BP1232">
            <v>0</v>
          </cell>
          <cell r="BQ1232">
            <v>0</v>
          </cell>
          <cell r="BR1232">
            <v>0</v>
          </cell>
          <cell r="BT1232">
            <v>0</v>
          </cell>
          <cell r="CA1232" t="str">
            <v>002351 - EBITA - Identified - Recompete</v>
          </cell>
          <cell r="CC1232" t="str">
            <v>002351 - EBITA - Identified - Recompete - IS4</v>
          </cell>
          <cell r="CD1232" t="str">
            <v/>
          </cell>
          <cell r="CF1232" t="str">
            <v>002351 - Identified - Recompete - IS4</v>
          </cell>
        </row>
        <row r="1233">
          <cell r="D1233">
            <v>1219</v>
          </cell>
          <cell r="E1233">
            <v>1</v>
          </cell>
          <cell r="F1233">
            <v>1</v>
          </cell>
          <cell r="G1233" t="str">
            <v>12493I</v>
          </cell>
          <cell r="H1233" t="str">
            <v>DP Follow On</v>
          </cell>
          <cell r="I1233" t="str">
            <v>IS4</v>
          </cell>
          <cell r="J1233" t="str">
            <v>IS4 Engineering and Technology Services</v>
          </cell>
          <cell r="K1233" t="str">
            <v>Other Civilian</v>
          </cell>
          <cell r="L1233" t="str">
            <v>Other</v>
          </cell>
          <cell r="M1233" t="str">
            <v>VA</v>
          </cell>
          <cell r="N1233" t="str">
            <v>CONUS</v>
          </cell>
          <cell r="O1233">
            <v>41548</v>
          </cell>
          <cell r="P1233">
            <v>43585</v>
          </cell>
          <cell r="Q1233" t="str">
            <v>Sub</v>
          </cell>
          <cell r="R1233" t="str">
            <v>FFP</v>
          </cell>
          <cell r="S1233">
            <v>0</v>
          </cell>
          <cell r="T1233">
            <v>1</v>
          </cell>
          <cell r="U1233" t="str">
            <v>REVTOT</v>
          </cell>
          <cell r="V1233" t="str">
            <v>Base</v>
          </cell>
          <cell r="W1233" t="str">
            <v>05 Won</v>
          </cell>
          <cell r="X1233" t="str">
            <v>Active</v>
          </cell>
          <cell r="Y1233">
            <v>1</v>
          </cell>
          <cell r="Z1233">
            <v>0</v>
          </cell>
          <cell r="AA1233">
            <v>816.20999999983542</v>
          </cell>
          <cell r="AB1233">
            <v>0</v>
          </cell>
          <cell r="AC1233">
            <v>0</v>
          </cell>
          <cell r="AD1233">
            <v>816.20999999983542</v>
          </cell>
          <cell r="AE1233">
            <v>1.8649110418599957E-2</v>
          </cell>
          <cell r="AF1233">
            <v>1.4296517537681908E-2</v>
          </cell>
          <cell r="AG1233">
            <v>-0.41406272899492502</v>
          </cell>
          <cell r="AH1233">
            <v>-1</v>
          </cell>
          <cell r="AI1233">
            <v>0</v>
          </cell>
          <cell r="AJ1233">
            <v>0</v>
          </cell>
          <cell r="AK1233">
            <v>0</v>
          </cell>
          <cell r="BB1233">
            <v>0</v>
          </cell>
          <cell r="BC1233">
            <v>0</v>
          </cell>
          <cell r="BD1233">
            <v>0</v>
          </cell>
          <cell r="BE1233">
            <v>0</v>
          </cell>
          <cell r="BF1233">
            <v>980358.29</v>
          </cell>
          <cell r="BG1233">
            <v>998641.1</v>
          </cell>
          <cell r="BH1233">
            <v>1012918.19</v>
          </cell>
          <cell r="BI1233">
            <v>256890.88</v>
          </cell>
          <cell r="BJ1233">
            <v>252775.66999999998</v>
          </cell>
          <cell r="BK1233">
            <v>83839.97</v>
          </cell>
          <cell r="BL1233">
            <v>0</v>
          </cell>
          <cell r="BM1233">
            <v>593506.52</v>
          </cell>
          <cell r="BN1233">
            <v>0</v>
          </cell>
          <cell r="BO1233">
            <v>0</v>
          </cell>
          <cell r="BP1233">
            <v>0</v>
          </cell>
          <cell r="BQ1233">
            <v>0</v>
          </cell>
          <cell r="BR1233">
            <v>593506.52</v>
          </cell>
          <cell r="BT1233">
            <v>0</v>
          </cell>
          <cell r="CA1233" t="str">
            <v>12493I - REVTOT - Base</v>
          </cell>
          <cell r="CC1233" t="str">
            <v>12493I - REVTOT - Base - IS4</v>
          </cell>
          <cell r="CD1233" t="str">
            <v/>
          </cell>
          <cell r="CF1233" t="str">
            <v>12493I - Base - IS4</v>
          </cell>
        </row>
        <row r="1234">
          <cell r="D1234">
            <v>1220</v>
          </cell>
          <cell r="E1234">
            <v>1</v>
          </cell>
          <cell r="F1234">
            <v>2</v>
          </cell>
          <cell r="G1234" t="str">
            <v>12493I</v>
          </cell>
          <cell r="H1234" t="str">
            <v>DP Follow On</v>
          </cell>
          <cell r="I1234" t="str">
            <v>IS4</v>
          </cell>
          <cell r="J1234" t="str">
            <v>IS4 Engineering and Technology Services</v>
          </cell>
          <cell r="K1234" t="str">
            <v>Other Civilian</v>
          </cell>
          <cell r="L1234" t="str">
            <v>Other</v>
          </cell>
          <cell r="M1234" t="str">
            <v>VA</v>
          </cell>
          <cell r="N1234" t="str">
            <v>CONUS</v>
          </cell>
          <cell r="O1234">
            <v>0</v>
          </cell>
          <cell r="P1234">
            <v>0</v>
          </cell>
          <cell r="Q1234">
            <v>0</v>
          </cell>
          <cell r="R1234" t="str">
            <v>FFP</v>
          </cell>
          <cell r="S1234">
            <v>0</v>
          </cell>
          <cell r="T1234">
            <v>1</v>
          </cell>
          <cell r="U1234" t="str">
            <v>REVTOT</v>
          </cell>
          <cell r="V1234" t="str">
            <v>Identified - Recompete</v>
          </cell>
          <cell r="W1234">
            <v>0</v>
          </cell>
          <cell r="X1234">
            <v>0</v>
          </cell>
          <cell r="Y1234">
            <v>0</v>
          </cell>
          <cell r="Z1234">
            <v>0</v>
          </cell>
          <cell r="AA1234">
            <v>0</v>
          </cell>
          <cell r="AB1234">
            <v>0</v>
          </cell>
          <cell r="AC1234">
            <v>0</v>
          </cell>
          <cell r="AD1234">
            <v>0</v>
          </cell>
          <cell r="AI1234">
            <v>0</v>
          </cell>
          <cell r="AJ1234">
            <v>0</v>
          </cell>
          <cell r="AK1234">
            <v>0</v>
          </cell>
          <cell r="BB1234">
            <v>0</v>
          </cell>
          <cell r="BC1234">
            <v>0</v>
          </cell>
          <cell r="BD1234">
            <v>0</v>
          </cell>
          <cell r="BE1234">
            <v>0</v>
          </cell>
          <cell r="BI1234">
            <v>0</v>
          </cell>
          <cell r="BJ1234">
            <v>0</v>
          </cell>
          <cell r="BK1234">
            <v>0</v>
          </cell>
          <cell r="BL1234">
            <v>0</v>
          </cell>
          <cell r="BM1234">
            <v>0</v>
          </cell>
          <cell r="BN1234">
            <v>0</v>
          </cell>
          <cell r="BO1234">
            <v>0</v>
          </cell>
          <cell r="BP1234">
            <v>0</v>
          </cell>
          <cell r="BQ1234">
            <v>0</v>
          </cell>
          <cell r="BR1234">
            <v>0</v>
          </cell>
          <cell r="BT1234">
            <v>0</v>
          </cell>
          <cell r="CA1234" t="str">
            <v>12493I - REVTOT - Identified - Recompete</v>
          </cell>
          <cell r="CC1234" t="str">
            <v>12493I - REVTOT - Identified - Recompete - IS4</v>
          </cell>
          <cell r="CD1234" t="str">
            <v/>
          </cell>
          <cell r="CF1234" t="str">
            <v>12493I - Identified - Recompete - IS4</v>
          </cell>
        </row>
        <row r="1235">
          <cell r="D1235">
            <v>1221</v>
          </cell>
          <cell r="E1235">
            <v>2</v>
          </cell>
          <cell r="F1235">
            <v>3</v>
          </cell>
          <cell r="G1235" t="str">
            <v>12493I</v>
          </cell>
          <cell r="H1235" t="str">
            <v>DP Follow On</v>
          </cell>
          <cell r="I1235" t="str">
            <v>IS4</v>
          </cell>
          <cell r="J1235" t="str">
            <v>IS4 Engineering and Technology Services</v>
          </cell>
          <cell r="K1235" t="str">
            <v>Other Civilian</v>
          </cell>
          <cell r="L1235" t="str">
            <v>Other</v>
          </cell>
          <cell r="M1235" t="str">
            <v>VA</v>
          </cell>
          <cell r="N1235" t="str">
            <v>CONUS</v>
          </cell>
          <cell r="O1235">
            <v>41548</v>
          </cell>
          <cell r="P1235">
            <v>43585</v>
          </cell>
          <cell r="Q1235" t="str">
            <v>Sub</v>
          </cell>
          <cell r="R1235" t="str">
            <v>FFP</v>
          </cell>
          <cell r="S1235">
            <v>0</v>
          </cell>
          <cell r="T1235">
            <v>1</v>
          </cell>
          <cell r="U1235" t="str">
            <v>CONTRACT</v>
          </cell>
          <cell r="V1235" t="str">
            <v>Base</v>
          </cell>
          <cell r="W1235" t="str">
            <v>05 Won</v>
          </cell>
          <cell r="X1235" t="str">
            <v>Active</v>
          </cell>
          <cell r="Y1235">
            <v>1</v>
          </cell>
          <cell r="Z1235">
            <v>0</v>
          </cell>
          <cell r="AA1235">
            <v>816.20999999983542</v>
          </cell>
          <cell r="AB1235">
            <v>0</v>
          </cell>
          <cell r="AC1235">
            <v>0</v>
          </cell>
          <cell r="AD1235">
            <v>816.20999999983542</v>
          </cell>
          <cell r="AL1235">
            <v>0.30132409039964353</v>
          </cell>
          <cell r="AM1235">
            <v>0.35831644621876668</v>
          </cell>
          <cell r="AN1235">
            <v>0.35193696146378811</v>
          </cell>
          <cell r="AO1235">
            <v>0.33160095697011044</v>
          </cell>
          <cell r="AP1235">
            <v>0.33650852628563516</v>
          </cell>
          <cell r="AQ1235">
            <v>0.33650852628563516</v>
          </cell>
          <cell r="AR1235">
            <v>0.33650852628563516</v>
          </cell>
          <cell r="AS1235">
            <v>0.33650852628563516</v>
          </cell>
          <cell r="BF1235">
            <v>295405.56999999995</v>
          </cell>
          <cell r="BG1235">
            <v>357829.52999999997</v>
          </cell>
          <cell r="BH1235">
            <v>356483.35</v>
          </cell>
          <cell r="BI1235">
            <v>92548.89999999998</v>
          </cell>
          <cell r="BJ1235">
            <v>83016.900000000023</v>
          </cell>
          <cell r="BK1235">
            <v>21241.529999999988</v>
          </cell>
          <cell r="BL1235">
            <v>0</v>
          </cell>
          <cell r="BM1235">
            <v>196807.33</v>
          </cell>
          <cell r="BN1235">
            <v>0</v>
          </cell>
          <cell r="BO1235">
            <v>0</v>
          </cell>
          <cell r="BP1235">
            <v>0</v>
          </cell>
          <cell r="BQ1235">
            <v>0</v>
          </cell>
          <cell r="BR1235">
            <v>196807.33</v>
          </cell>
          <cell r="BT1235">
            <v>0</v>
          </cell>
          <cell r="CA1235" t="str">
            <v>12493I - CONTRACT - Base</v>
          </cell>
          <cell r="CC1235" t="str">
            <v>12493I - CONTRACT - Base - IS4</v>
          </cell>
          <cell r="CD1235" t="str">
            <v/>
          </cell>
          <cell r="CF1235" t="str">
            <v>12493I - Base - IS4</v>
          </cell>
        </row>
        <row r="1236">
          <cell r="D1236">
            <v>1222</v>
          </cell>
          <cell r="E1236">
            <v>2</v>
          </cell>
          <cell r="F1236">
            <v>4</v>
          </cell>
          <cell r="G1236" t="str">
            <v>12493I</v>
          </cell>
          <cell r="H1236" t="str">
            <v>DP Follow On</v>
          </cell>
          <cell r="I1236" t="str">
            <v>IS4</v>
          </cell>
          <cell r="J1236" t="str">
            <v>IS4 Engineering and Technology Services</v>
          </cell>
          <cell r="K1236" t="str">
            <v>Other Civilian</v>
          </cell>
          <cell r="L1236" t="str">
            <v>Other</v>
          </cell>
          <cell r="M1236" t="str">
            <v>VA</v>
          </cell>
          <cell r="N1236" t="str">
            <v>CONUS</v>
          </cell>
          <cell r="O1236">
            <v>0</v>
          </cell>
          <cell r="P1236">
            <v>0</v>
          </cell>
          <cell r="Q1236">
            <v>0</v>
          </cell>
          <cell r="R1236" t="str">
            <v>FFP</v>
          </cell>
          <cell r="S1236">
            <v>0</v>
          </cell>
          <cell r="T1236">
            <v>1</v>
          </cell>
          <cell r="U1236" t="str">
            <v>CONTRACT</v>
          </cell>
          <cell r="V1236" t="str">
            <v>Identified - Recompete</v>
          </cell>
          <cell r="W1236">
            <v>0</v>
          </cell>
          <cell r="X1236">
            <v>0</v>
          </cell>
          <cell r="Y1236">
            <v>0</v>
          </cell>
          <cell r="Z1236">
            <v>0</v>
          </cell>
          <cell r="AA1236">
            <v>0</v>
          </cell>
          <cell r="AB1236">
            <v>0</v>
          </cell>
          <cell r="AC1236">
            <v>0</v>
          </cell>
          <cell r="AD1236">
            <v>0</v>
          </cell>
          <cell r="AP1236">
            <v>0</v>
          </cell>
          <cell r="AQ1236">
            <v>0</v>
          </cell>
          <cell r="AR1236">
            <v>0</v>
          </cell>
          <cell r="AS1236">
            <v>0</v>
          </cell>
          <cell r="BI1236">
            <v>0</v>
          </cell>
          <cell r="BJ1236">
            <v>0</v>
          </cell>
          <cell r="BK1236">
            <v>0</v>
          </cell>
          <cell r="BL1236">
            <v>0</v>
          </cell>
          <cell r="BM1236">
            <v>0</v>
          </cell>
          <cell r="BN1236">
            <v>0</v>
          </cell>
          <cell r="BO1236">
            <v>0</v>
          </cell>
          <cell r="BP1236">
            <v>0</v>
          </cell>
          <cell r="BQ1236">
            <v>0</v>
          </cell>
          <cell r="BR1236">
            <v>0</v>
          </cell>
          <cell r="BT1236">
            <v>0</v>
          </cell>
          <cell r="CA1236" t="str">
            <v>12493I - CONTRACT - Identified - Recompete</v>
          </cell>
          <cell r="CC1236" t="str">
            <v>12493I - CONTRACT - Identified - Recompete - IS4</v>
          </cell>
          <cell r="CD1236" t="str">
            <v/>
          </cell>
          <cell r="CF1236" t="str">
            <v>12493I - Identified - Recompete - IS4</v>
          </cell>
        </row>
        <row r="1237">
          <cell r="D1237">
            <v>1223</v>
          </cell>
          <cell r="E1237">
            <v>0</v>
          </cell>
          <cell r="F1237">
            <v>5</v>
          </cell>
          <cell r="G1237" t="str">
            <v>12493I</v>
          </cell>
          <cell r="H1237" t="str">
            <v>DP Follow On</v>
          </cell>
          <cell r="I1237" t="str">
            <v>IS4</v>
          </cell>
          <cell r="J1237" t="str">
            <v>IS4 Engineering and Technology Services</v>
          </cell>
          <cell r="K1237" t="str">
            <v>Other Civilian</v>
          </cell>
          <cell r="L1237" t="str">
            <v>Other</v>
          </cell>
          <cell r="M1237" t="str">
            <v>VA</v>
          </cell>
          <cell r="N1237" t="str">
            <v>CONUS</v>
          </cell>
          <cell r="O1237">
            <v>41548</v>
          </cell>
          <cell r="P1237">
            <v>43585</v>
          </cell>
          <cell r="Q1237" t="str">
            <v>Sub</v>
          </cell>
          <cell r="R1237" t="str">
            <v>FFP</v>
          </cell>
          <cell r="S1237">
            <v>0</v>
          </cell>
          <cell r="T1237">
            <v>1</v>
          </cell>
          <cell r="U1237" t="str">
            <v>EBITA</v>
          </cell>
          <cell r="V1237" t="str">
            <v>Base</v>
          </cell>
          <cell r="W1237" t="str">
            <v>05 Won</v>
          </cell>
          <cell r="X1237" t="str">
            <v>Active</v>
          </cell>
          <cell r="Y1237">
            <v>1</v>
          </cell>
          <cell r="Z1237">
            <v>0</v>
          </cell>
          <cell r="AA1237">
            <v>816.20999999983542</v>
          </cell>
          <cell r="AB1237">
            <v>0</v>
          </cell>
          <cell r="AC1237">
            <v>0</v>
          </cell>
          <cell r="AD1237">
            <v>816.20999999983542</v>
          </cell>
          <cell r="AT1237">
            <v>0.15747479424078717</v>
          </cell>
          <cell r="AU1237">
            <v>0.27566537167356719</v>
          </cell>
          <cell r="AV1237">
            <v>0.27354075850883869</v>
          </cell>
          <cell r="AW1237">
            <v>0.24431856283567027</v>
          </cell>
          <cell r="AX1237">
            <v>0.23855950098065104</v>
          </cell>
          <cell r="AY1237">
            <v>0.23955950098065104</v>
          </cell>
          <cell r="AZ1237">
            <v>0.24055950098065104</v>
          </cell>
          <cell r="BA1237">
            <v>0.24155950098065104</v>
          </cell>
          <cell r="BF1237">
            <v>154381.71999999997</v>
          </cell>
          <cell r="BG1237">
            <v>275290.76999999996</v>
          </cell>
          <cell r="BH1237">
            <v>277074.40999999997</v>
          </cell>
          <cell r="BI1237">
            <v>71019.809999999983</v>
          </cell>
          <cell r="BJ1237">
            <v>61110.520000000019</v>
          </cell>
          <cell r="BK1237">
            <v>12874.329999999987</v>
          </cell>
          <cell r="BL1237">
            <v>0</v>
          </cell>
          <cell r="BM1237">
            <v>145004.66</v>
          </cell>
          <cell r="BN1237">
            <v>0</v>
          </cell>
          <cell r="BO1237">
            <v>0</v>
          </cell>
          <cell r="BP1237">
            <v>0</v>
          </cell>
          <cell r="BQ1237">
            <v>0</v>
          </cell>
          <cell r="BR1237">
            <v>145004.66</v>
          </cell>
          <cell r="BT1237">
            <v>0</v>
          </cell>
          <cell r="CA1237" t="str">
            <v>12493I - EBITA - Base</v>
          </cell>
          <cell r="CC1237" t="str">
            <v>12493I - EBITA - Base - IS4</v>
          </cell>
          <cell r="CD1237" t="str">
            <v/>
          </cell>
          <cell r="CF1237" t="str">
            <v>12493I - Base - IS4</v>
          </cell>
        </row>
        <row r="1238">
          <cell r="D1238">
            <v>1224</v>
          </cell>
          <cell r="E1238">
            <v>0</v>
          </cell>
          <cell r="F1238">
            <v>0</v>
          </cell>
          <cell r="G1238" t="str">
            <v>12493I</v>
          </cell>
          <cell r="H1238" t="str">
            <v>DP Follow On</v>
          </cell>
          <cell r="I1238" t="str">
            <v>IS4</v>
          </cell>
          <cell r="J1238" t="str">
            <v>IS4 Engineering and Technology Services</v>
          </cell>
          <cell r="K1238" t="str">
            <v>Other Civilian</v>
          </cell>
          <cell r="L1238" t="str">
            <v>Other</v>
          </cell>
          <cell r="M1238" t="str">
            <v>VA</v>
          </cell>
          <cell r="N1238" t="str">
            <v>CONUS</v>
          </cell>
          <cell r="O1238">
            <v>0</v>
          </cell>
          <cell r="P1238">
            <v>0</v>
          </cell>
          <cell r="Q1238">
            <v>0</v>
          </cell>
          <cell r="R1238" t="str">
            <v>FFP</v>
          </cell>
          <cell r="S1238">
            <v>0</v>
          </cell>
          <cell r="T1238">
            <v>1</v>
          </cell>
          <cell r="U1238" t="str">
            <v>EBITA</v>
          </cell>
          <cell r="V1238" t="str">
            <v>Identified - Recompete</v>
          </cell>
          <cell r="W1238">
            <v>0</v>
          </cell>
          <cell r="X1238">
            <v>0</v>
          </cell>
          <cell r="Y1238">
            <v>0</v>
          </cell>
          <cell r="Z1238">
            <v>0</v>
          </cell>
          <cell r="AA1238">
            <v>0</v>
          </cell>
          <cell r="AB1238">
            <v>0</v>
          </cell>
          <cell r="AC1238">
            <v>0</v>
          </cell>
          <cell r="AD1238">
            <v>0</v>
          </cell>
          <cell r="AX1238">
            <v>0</v>
          </cell>
          <cell r="AY1238">
            <v>0</v>
          </cell>
          <cell r="AZ1238">
            <v>0</v>
          </cell>
          <cell r="BA1238">
            <v>0</v>
          </cell>
          <cell r="BI1238">
            <v>0</v>
          </cell>
          <cell r="BJ1238">
            <v>0</v>
          </cell>
          <cell r="BK1238">
            <v>0</v>
          </cell>
          <cell r="BL1238">
            <v>0</v>
          </cell>
          <cell r="BM1238">
            <v>0</v>
          </cell>
          <cell r="BN1238">
            <v>0</v>
          </cell>
          <cell r="BO1238">
            <v>0</v>
          </cell>
          <cell r="BP1238">
            <v>0</v>
          </cell>
          <cell r="BQ1238">
            <v>0</v>
          </cell>
          <cell r="BR1238">
            <v>0</v>
          </cell>
          <cell r="BT1238">
            <v>0</v>
          </cell>
          <cell r="CA1238" t="str">
            <v>12493I - EBITA - Identified - Recompete</v>
          </cell>
          <cell r="CC1238" t="str">
            <v>12493I - EBITA - Identified - Recompete - IS4</v>
          </cell>
          <cell r="CD1238" t="str">
            <v/>
          </cell>
          <cell r="CF1238" t="str">
            <v>12493I - Identified - Recompete - IS4</v>
          </cell>
        </row>
        <row r="1239">
          <cell r="D1239">
            <v>1225</v>
          </cell>
          <cell r="E1239">
            <v>1</v>
          </cell>
          <cell r="F1239">
            <v>1</v>
          </cell>
          <cell r="G1239" t="str">
            <v>004438</v>
          </cell>
          <cell r="H1239" t="str">
            <v>SMO/SMC</v>
          </cell>
          <cell r="I1239" t="str">
            <v>IS4</v>
          </cell>
          <cell r="J1239" t="str">
            <v>IS4 Sustainment Engineering and Acquisition</v>
          </cell>
          <cell r="K1239" t="str">
            <v>Navy</v>
          </cell>
          <cell r="L1239" t="str">
            <v>DOD</v>
          </cell>
          <cell r="M1239" t="str">
            <v>VA</v>
          </cell>
          <cell r="N1239" t="str">
            <v>CONUS</v>
          </cell>
          <cell r="O1239">
            <v>43567</v>
          </cell>
          <cell r="P1239">
            <v>45588</v>
          </cell>
          <cell r="Q1239" t="str">
            <v>Sub</v>
          </cell>
          <cell r="R1239" t="str">
            <v>FFP</v>
          </cell>
          <cell r="S1239">
            <v>0</v>
          </cell>
          <cell r="T1239">
            <v>1</v>
          </cell>
          <cell r="U1239" t="str">
            <v>REVTOT</v>
          </cell>
          <cell r="V1239" t="str">
            <v>Base</v>
          </cell>
          <cell r="W1239" t="str">
            <v>05 Won</v>
          </cell>
          <cell r="X1239" t="str">
            <v>Active</v>
          </cell>
          <cell r="Y1239">
            <v>1</v>
          </cell>
          <cell r="Z1239">
            <v>0</v>
          </cell>
          <cell r="AA1239">
            <v>265715.69</v>
          </cell>
          <cell r="AB1239">
            <v>2375736.0099999998</v>
          </cell>
          <cell r="AC1239">
            <v>0</v>
          </cell>
          <cell r="AD1239">
            <v>2641451.6999999997</v>
          </cell>
          <cell r="AE1239">
            <v>0</v>
          </cell>
          <cell r="AF1239">
            <v>0</v>
          </cell>
          <cell r="AG1239">
            <v>0</v>
          </cell>
          <cell r="AH1239">
            <v>1.0995124873468121</v>
          </cell>
          <cell r="AI1239">
            <v>0</v>
          </cell>
          <cell r="AJ1239">
            <v>0</v>
          </cell>
          <cell r="AK1239">
            <v>0</v>
          </cell>
          <cell r="BB1239">
            <v>491705.55160000001</v>
          </cell>
          <cell r="BC1239">
            <v>491705.55160000001</v>
          </cell>
          <cell r="BD1239">
            <v>491705.55160000001</v>
          </cell>
          <cell r="BE1239">
            <v>491705.55160000001</v>
          </cell>
          <cell r="BF1239">
            <v>0</v>
          </cell>
          <cell r="BG1239">
            <v>0</v>
          </cell>
          <cell r="BH1239">
            <v>0</v>
          </cell>
          <cell r="BI1239">
            <v>0</v>
          </cell>
          <cell r="BJ1239">
            <v>0</v>
          </cell>
          <cell r="BK1239">
            <v>106505.37</v>
          </cell>
          <cell r="BL1239">
            <v>127694.5</v>
          </cell>
          <cell r="BM1239">
            <v>234199.87</v>
          </cell>
          <cell r="BN1239">
            <v>491705.55160000001</v>
          </cell>
          <cell r="BO1239">
            <v>491705.55160000001</v>
          </cell>
          <cell r="BP1239">
            <v>491705.55160000001</v>
          </cell>
          <cell r="BQ1239">
            <v>491705.55160000001</v>
          </cell>
          <cell r="BR1239">
            <v>2201022.0763999997</v>
          </cell>
          <cell r="BT1239">
            <v>0</v>
          </cell>
          <cell r="CA1239" t="str">
            <v>004438 - REVTOT - Base</v>
          </cell>
          <cell r="CC1239" t="str">
            <v>004438 - REVTOT - Base - IS4</v>
          </cell>
          <cell r="CD1239" t="str">
            <v/>
          </cell>
          <cell r="CF1239" t="str">
            <v>004438 - Base - IS4</v>
          </cell>
        </row>
        <row r="1240">
          <cell r="D1240">
            <v>1226</v>
          </cell>
          <cell r="E1240">
            <v>1</v>
          </cell>
          <cell r="F1240">
            <v>2</v>
          </cell>
          <cell r="G1240" t="str">
            <v>004438</v>
          </cell>
          <cell r="H1240" t="str">
            <v>SMO/SMC</v>
          </cell>
          <cell r="I1240" t="str">
            <v>IS4</v>
          </cell>
          <cell r="J1240" t="str">
            <v>IS4 Sustainment Engineering and Acquisition</v>
          </cell>
          <cell r="K1240" t="str">
            <v>Navy</v>
          </cell>
          <cell r="L1240" t="str">
            <v>DOD</v>
          </cell>
          <cell r="M1240" t="str">
            <v>VA</v>
          </cell>
          <cell r="N1240" t="str">
            <v>CONUS</v>
          </cell>
          <cell r="O1240">
            <v>0</v>
          </cell>
          <cell r="P1240">
            <v>0</v>
          </cell>
          <cell r="Q1240">
            <v>0</v>
          </cell>
          <cell r="R1240" t="str">
            <v>FFP</v>
          </cell>
          <cell r="S1240">
            <v>0</v>
          </cell>
          <cell r="T1240">
            <v>1</v>
          </cell>
          <cell r="U1240" t="str">
            <v>REVTOT</v>
          </cell>
          <cell r="V1240" t="str">
            <v>Identified - Recompete</v>
          </cell>
          <cell r="W1240">
            <v>0</v>
          </cell>
          <cell r="X1240">
            <v>0</v>
          </cell>
          <cell r="Y1240">
            <v>0</v>
          </cell>
          <cell r="Z1240">
            <v>0</v>
          </cell>
          <cell r="AA1240">
            <v>0</v>
          </cell>
          <cell r="AB1240">
            <v>0</v>
          </cell>
          <cell r="AC1240">
            <v>0</v>
          </cell>
          <cell r="AD1240">
            <v>0</v>
          </cell>
          <cell r="AI1240">
            <v>0</v>
          </cell>
          <cell r="AJ1240">
            <v>0</v>
          </cell>
          <cell r="AK1240">
            <v>0</v>
          </cell>
          <cell r="BB1240">
            <v>0</v>
          </cell>
          <cell r="BC1240">
            <v>0</v>
          </cell>
          <cell r="BD1240">
            <v>0</v>
          </cell>
          <cell r="BE1240">
            <v>0</v>
          </cell>
          <cell r="BI1240">
            <v>0</v>
          </cell>
          <cell r="BJ1240">
            <v>0</v>
          </cell>
          <cell r="BK1240">
            <v>0</v>
          </cell>
          <cell r="BL1240">
            <v>0</v>
          </cell>
          <cell r="BM1240">
            <v>0</v>
          </cell>
          <cell r="BN1240">
            <v>0</v>
          </cell>
          <cell r="BO1240">
            <v>0</v>
          </cell>
          <cell r="BP1240">
            <v>0</v>
          </cell>
          <cell r="BQ1240">
            <v>0</v>
          </cell>
          <cell r="BR1240">
            <v>0</v>
          </cell>
          <cell r="BT1240">
            <v>0</v>
          </cell>
          <cell r="CA1240" t="str">
            <v>004438 - REVTOT - Identified - Recompete</v>
          </cell>
          <cell r="CC1240" t="str">
            <v>004438 - REVTOT - Identified - Recompete - IS4</v>
          </cell>
          <cell r="CD1240" t="str">
            <v/>
          </cell>
          <cell r="CF1240" t="str">
            <v>004438 - Identified - Recompete - IS4</v>
          </cell>
        </row>
        <row r="1241">
          <cell r="D1241">
            <v>1227</v>
          </cell>
          <cell r="E1241">
            <v>2</v>
          </cell>
          <cell r="F1241">
            <v>3</v>
          </cell>
          <cell r="G1241" t="str">
            <v>004438</v>
          </cell>
          <cell r="H1241" t="str">
            <v>SMO/SMC</v>
          </cell>
          <cell r="I1241" t="str">
            <v>IS4</v>
          </cell>
          <cell r="J1241" t="str">
            <v>IS4 Sustainment Engineering and Acquisition</v>
          </cell>
          <cell r="K1241" t="str">
            <v>Navy</v>
          </cell>
          <cell r="L1241" t="str">
            <v>DOD</v>
          </cell>
          <cell r="M1241" t="str">
            <v>VA</v>
          </cell>
          <cell r="N1241" t="str">
            <v>CONUS</v>
          </cell>
          <cell r="O1241">
            <v>43567</v>
          </cell>
          <cell r="P1241">
            <v>45588</v>
          </cell>
          <cell r="Q1241" t="str">
            <v>Sub</v>
          </cell>
          <cell r="R1241" t="str">
            <v>FFP</v>
          </cell>
          <cell r="S1241">
            <v>0</v>
          </cell>
          <cell r="T1241">
            <v>1</v>
          </cell>
          <cell r="U1241" t="str">
            <v>CONTRACT</v>
          </cell>
          <cell r="V1241" t="str">
            <v>Base</v>
          </cell>
          <cell r="W1241" t="str">
            <v>05 Won</v>
          </cell>
          <cell r="X1241" t="str">
            <v>Active</v>
          </cell>
          <cell r="Y1241">
            <v>1</v>
          </cell>
          <cell r="Z1241">
            <v>0</v>
          </cell>
          <cell r="AA1241">
            <v>265715.69</v>
          </cell>
          <cell r="AB1241">
            <v>2375736.0099999998</v>
          </cell>
          <cell r="AC1241">
            <v>0</v>
          </cell>
          <cell r="AD1241">
            <v>2641451.6999999997</v>
          </cell>
          <cell r="AL1241">
            <v>0</v>
          </cell>
          <cell r="AM1241">
            <v>0</v>
          </cell>
          <cell r="AN1241">
            <v>0</v>
          </cell>
          <cell r="AO1241">
            <v>0.16846661785081263</v>
          </cell>
          <cell r="AP1241">
            <v>0.15044125267508973</v>
          </cell>
          <cell r="AQ1241">
            <v>0.15044125267508973</v>
          </cell>
          <cell r="AR1241">
            <v>0.15044125267508973</v>
          </cell>
          <cell r="AS1241">
            <v>0.15044125267508973</v>
          </cell>
          <cell r="BF1241">
            <v>0</v>
          </cell>
          <cell r="BG1241">
            <v>0</v>
          </cell>
          <cell r="BH1241">
            <v>0</v>
          </cell>
          <cell r="BI1241">
            <v>0</v>
          </cell>
          <cell r="BJ1241">
            <v>0</v>
          </cell>
          <cell r="BK1241">
            <v>19721.689999999995</v>
          </cell>
          <cell r="BL1241">
            <v>19733.169999999998</v>
          </cell>
          <cell r="BM1241">
            <v>39454.859999999993</v>
          </cell>
          <cell r="BN1241">
            <v>73972.79912999997</v>
          </cell>
          <cell r="BO1241">
            <v>73972.79912999997</v>
          </cell>
          <cell r="BP1241">
            <v>73972.79912999997</v>
          </cell>
          <cell r="BQ1241">
            <v>73972.79912999997</v>
          </cell>
          <cell r="BR1241">
            <v>335346.05651999987</v>
          </cell>
          <cell r="BT1241">
            <v>0</v>
          </cell>
          <cell r="CA1241" t="str">
            <v>004438 - CONTRACT - Base</v>
          </cell>
          <cell r="CC1241" t="str">
            <v>004438 - CONTRACT - Base - IS4</v>
          </cell>
          <cell r="CD1241" t="str">
            <v/>
          </cell>
          <cell r="CF1241" t="str">
            <v>004438 - Base - IS4</v>
          </cell>
        </row>
        <row r="1242">
          <cell r="D1242">
            <v>1228</v>
          </cell>
          <cell r="E1242">
            <v>2</v>
          </cell>
          <cell r="F1242">
            <v>4</v>
          </cell>
          <cell r="G1242" t="str">
            <v>004438</v>
          </cell>
          <cell r="H1242" t="str">
            <v>SMO/SMC</v>
          </cell>
          <cell r="I1242" t="str">
            <v>IS4</v>
          </cell>
          <cell r="J1242" t="str">
            <v>IS4 Sustainment Engineering and Acquisition</v>
          </cell>
          <cell r="K1242" t="str">
            <v>Navy</v>
          </cell>
          <cell r="L1242" t="str">
            <v>DOD</v>
          </cell>
          <cell r="M1242" t="str">
            <v>VA</v>
          </cell>
          <cell r="N1242" t="str">
            <v>CONUS</v>
          </cell>
          <cell r="O1242">
            <v>0</v>
          </cell>
          <cell r="P1242">
            <v>0</v>
          </cell>
          <cell r="Q1242">
            <v>0</v>
          </cell>
          <cell r="R1242" t="str">
            <v>FFP</v>
          </cell>
          <cell r="S1242">
            <v>0</v>
          </cell>
          <cell r="T1242">
            <v>1</v>
          </cell>
          <cell r="U1242" t="str">
            <v>CONTRACT</v>
          </cell>
          <cell r="V1242" t="str">
            <v>Identified - Recompete</v>
          </cell>
          <cell r="W1242">
            <v>0</v>
          </cell>
          <cell r="X1242">
            <v>0</v>
          </cell>
          <cell r="Y1242">
            <v>0</v>
          </cell>
          <cell r="Z1242">
            <v>0</v>
          </cell>
          <cell r="AA1242">
            <v>0</v>
          </cell>
          <cell r="AB1242">
            <v>0</v>
          </cell>
          <cell r="AC1242">
            <v>0</v>
          </cell>
          <cell r="AD1242">
            <v>0</v>
          </cell>
          <cell r="AP1242">
            <v>0</v>
          </cell>
          <cell r="AQ1242">
            <v>0</v>
          </cell>
          <cell r="AR1242">
            <v>0</v>
          </cell>
          <cell r="AS1242">
            <v>0</v>
          </cell>
          <cell r="BI1242">
            <v>0</v>
          </cell>
          <cell r="BJ1242">
            <v>0</v>
          </cell>
          <cell r="BK1242">
            <v>0</v>
          </cell>
          <cell r="BL1242">
            <v>0</v>
          </cell>
          <cell r="BM1242">
            <v>0</v>
          </cell>
          <cell r="BN1242">
            <v>0</v>
          </cell>
          <cell r="BO1242">
            <v>0</v>
          </cell>
          <cell r="BP1242">
            <v>0</v>
          </cell>
          <cell r="BQ1242">
            <v>0</v>
          </cell>
          <cell r="BR1242">
            <v>0</v>
          </cell>
          <cell r="BT1242">
            <v>0</v>
          </cell>
          <cell r="CA1242" t="str">
            <v>004438 - CONTRACT - Identified - Recompete</v>
          </cell>
          <cell r="CC1242" t="str">
            <v>004438 - CONTRACT - Identified - Recompete - IS4</v>
          </cell>
          <cell r="CD1242" t="str">
            <v/>
          </cell>
          <cell r="CF1242" t="str">
            <v>004438 - Identified - Recompete - IS4</v>
          </cell>
        </row>
        <row r="1243">
          <cell r="D1243">
            <v>1229</v>
          </cell>
          <cell r="E1243">
            <v>0</v>
          </cell>
          <cell r="F1243">
            <v>5</v>
          </cell>
          <cell r="G1243" t="str">
            <v>004438</v>
          </cell>
          <cell r="H1243" t="str">
            <v>SMO/SMC</v>
          </cell>
          <cell r="I1243" t="str">
            <v>IS4</v>
          </cell>
          <cell r="J1243" t="str">
            <v>IS4 Sustainment Engineering and Acquisition</v>
          </cell>
          <cell r="K1243" t="str">
            <v>Navy</v>
          </cell>
          <cell r="L1243" t="str">
            <v>DOD</v>
          </cell>
          <cell r="M1243" t="str">
            <v>VA</v>
          </cell>
          <cell r="N1243" t="str">
            <v>CONUS</v>
          </cell>
          <cell r="O1243">
            <v>43567</v>
          </cell>
          <cell r="P1243">
            <v>45588</v>
          </cell>
          <cell r="Q1243" t="str">
            <v>Sub</v>
          </cell>
          <cell r="R1243" t="str">
            <v>FFP</v>
          </cell>
          <cell r="S1243">
            <v>0</v>
          </cell>
          <cell r="T1243">
            <v>1</v>
          </cell>
          <cell r="U1243" t="str">
            <v>EBITA</v>
          </cell>
          <cell r="V1243" t="str">
            <v>Base</v>
          </cell>
          <cell r="W1243" t="str">
            <v>05 Won</v>
          </cell>
          <cell r="X1243" t="str">
            <v>Active</v>
          </cell>
          <cell r="Y1243">
            <v>1</v>
          </cell>
          <cell r="Z1243">
            <v>0</v>
          </cell>
          <cell r="AA1243">
            <v>265715.69</v>
          </cell>
          <cell r="AB1243">
            <v>2375736.0099999998</v>
          </cell>
          <cell r="AC1243">
            <v>0</v>
          </cell>
          <cell r="AD1243">
            <v>2641451.6999999997</v>
          </cell>
          <cell r="AT1243">
            <v>0</v>
          </cell>
          <cell r="AU1243">
            <v>0</v>
          </cell>
          <cell r="AV1243">
            <v>0</v>
          </cell>
          <cell r="AW1243">
            <v>3.4791436903871868E-2</v>
          </cell>
          <cell r="AX1243">
            <v>3.0125167802283769E-2</v>
          </cell>
          <cell r="AY1243">
            <v>3.1125167802283769E-2</v>
          </cell>
          <cell r="AZ1243">
            <v>3.212516780228377E-2</v>
          </cell>
          <cell r="BA1243">
            <v>3.3125167802283771E-2</v>
          </cell>
          <cell r="BF1243">
            <v>0</v>
          </cell>
          <cell r="BG1243">
            <v>0</v>
          </cell>
          <cell r="BH1243">
            <v>0</v>
          </cell>
          <cell r="BI1243">
            <v>0</v>
          </cell>
          <cell r="BJ1243">
            <v>0</v>
          </cell>
          <cell r="BK1243">
            <v>3462.2499999999955</v>
          </cell>
          <cell r="BL1243">
            <v>4685.8999999999987</v>
          </cell>
          <cell r="BM1243">
            <v>8148.1499999999942</v>
          </cell>
          <cell r="BN1243">
            <v>14812.7122512645</v>
          </cell>
          <cell r="BO1243">
            <v>15304.4178028645</v>
          </cell>
          <cell r="BP1243">
            <v>15796.123354464502</v>
          </cell>
          <cell r="BQ1243">
            <v>16287.828906064502</v>
          </cell>
          <cell r="BR1243">
            <v>70349.232314657987</v>
          </cell>
          <cell r="BT1243">
            <v>0</v>
          </cell>
          <cell r="CA1243" t="str">
            <v>004438 - EBITA - Base</v>
          </cell>
          <cell r="CC1243" t="str">
            <v>004438 - EBITA - Base - IS4</v>
          </cell>
          <cell r="CD1243" t="str">
            <v/>
          </cell>
          <cell r="CF1243" t="str">
            <v>004438 - Base - IS4</v>
          </cell>
        </row>
        <row r="1244">
          <cell r="D1244">
            <v>1230</v>
          </cell>
          <cell r="E1244">
            <v>0</v>
          </cell>
          <cell r="F1244">
            <v>0</v>
          </cell>
          <cell r="G1244" t="str">
            <v>004438</v>
          </cell>
          <cell r="H1244" t="str">
            <v>SMO/SMC</v>
          </cell>
          <cell r="I1244" t="str">
            <v>IS4</v>
          </cell>
          <cell r="J1244" t="str">
            <v>IS4 Sustainment Engineering and Acquisition</v>
          </cell>
          <cell r="K1244" t="str">
            <v>Navy</v>
          </cell>
          <cell r="L1244" t="str">
            <v>DOD</v>
          </cell>
          <cell r="M1244" t="str">
            <v>VA</v>
          </cell>
          <cell r="N1244" t="str">
            <v>CONUS</v>
          </cell>
          <cell r="O1244">
            <v>0</v>
          </cell>
          <cell r="P1244">
            <v>0</v>
          </cell>
          <cell r="Q1244">
            <v>0</v>
          </cell>
          <cell r="R1244" t="str">
            <v>FFP</v>
          </cell>
          <cell r="S1244">
            <v>0</v>
          </cell>
          <cell r="T1244">
            <v>1</v>
          </cell>
          <cell r="U1244" t="str">
            <v>EBITA</v>
          </cell>
          <cell r="V1244" t="str">
            <v>Identified - Recompete</v>
          </cell>
          <cell r="W1244">
            <v>0</v>
          </cell>
          <cell r="X1244">
            <v>0</v>
          </cell>
          <cell r="Y1244">
            <v>0</v>
          </cell>
          <cell r="Z1244">
            <v>0</v>
          </cell>
          <cell r="AA1244">
            <v>0</v>
          </cell>
          <cell r="AB1244">
            <v>0</v>
          </cell>
          <cell r="AC1244">
            <v>0</v>
          </cell>
          <cell r="AD1244">
            <v>0</v>
          </cell>
          <cell r="AX1244">
            <v>0</v>
          </cell>
          <cell r="AY1244">
            <v>0</v>
          </cell>
          <cell r="AZ1244">
            <v>0</v>
          </cell>
          <cell r="BA1244">
            <v>0</v>
          </cell>
          <cell r="BI1244">
            <v>0</v>
          </cell>
          <cell r="BJ1244">
            <v>0</v>
          </cell>
          <cell r="BK1244">
            <v>0</v>
          </cell>
          <cell r="BL1244">
            <v>0</v>
          </cell>
          <cell r="BM1244">
            <v>0</v>
          </cell>
          <cell r="BN1244">
            <v>0</v>
          </cell>
          <cell r="BO1244">
            <v>0</v>
          </cell>
          <cell r="BP1244">
            <v>0</v>
          </cell>
          <cell r="BQ1244">
            <v>0</v>
          </cell>
          <cell r="BR1244">
            <v>0</v>
          </cell>
          <cell r="BT1244">
            <v>0</v>
          </cell>
          <cell r="CA1244" t="str">
            <v>004438 - EBITA - Identified - Recompete</v>
          </cell>
          <cell r="CC1244" t="str">
            <v>004438 - EBITA - Identified - Recompete - IS4</v>
          </cell>
          <cell r="CD1244" t="str">
            <v/>
          </cell>
          <cell r="CF1244" t="str">
            <v>004438 - Identified - Recompete - IS4</v>
          </cell>
        </row>
        <row r="1245">
          <cell r="D1245">
            <v>1231</v>
          </cell>
          <cell r="E1245">
            <v>1</v>
          </cell>
          <cell r="F1245">
            <v>1</v>
          </cell>
          <cell r="G1245" t="str">
            <v>GUIN02</v>
          </cell>
          <cell r="H1245" t="str">
            <v>GUINNESS Recompete</v>
          </cell>
          <cell r="I1245" t="str">
            <v>IS4</v>
          </cell>
          <cell r="J1245" t="str">
            <v>IS4 Infrastructure and Engineering</v>
          </cell>
          <cell r="K1245" t="str">
            <v>Classified Agency</v>
          </cell>
          <cell r="L1245" t="str">
            <v>Classified</v>
          </cell>
          <cell r="M1245" t="str">
            <v>Classified Location</v>
          </cell>
          <cell r="N1245" t="str">
            <v>Other</v>
          </cell>
          <cell r="O1245">
            <v>42491</v>
          </cell>
          <cell r="P1245">
            <v>44316</v>
          </cell>
          <cell r="Q1245" t="str">
            <v>Prime</v>
          </cell>
          <cell r="R1245" t="str">
            <v>FFP</v>
          </cell>
          <cell r="S1245">
            <v>0</v>
          </cell>
          <cell r="T1245">
            <v>1</v>
          </cell>
          <cell r="U1245" t="str">
            <v>REVTOT</v>
          </cell>
          <cell r="V1245" t="str">
            <v>Base</v>
          </cell>
          <cell r="W1245" t="str">
            <v>05 Won</v>
          </cell>
          <cell r="X1245" t="str">
            <v>Active</v>
          </cell>
          <cell r="Y1245">
            <v>1</v>
          </cell>
          <cell r="Z1245">
            <v>0</v>
          </cell>
          <cell r="AA1245">
            <v>245158.15999999974</v>
          </cell>
          <cell r="AB1245">
            <v>2321644</v>
          </cell>
          <cell r="AC1245">
            <v>0</v>
          </cell>
          <cell r="AD1245">
            <v>2566802.1599999997</v>
          </cell>
          <cell r="AE1245">
            <v>1.7383848571823011</v>
          </cell>
          <cell r="AF1245">
            <v>7.2596559160410523E-2</v>
          </cell>
          <cell r="AG1245">
            <v>-0.38012017455750369</v>
          </cell>
          <cell r="AH1245">
            <v>-1</v>
          </cell>
          <cell r="AI1245">
            <v>0</v>
          </cell>
          <cell r="AJ1245">
            <v>0</v>
          </cell>
          <cell r="AK1245">
            <v>0</v>
          </cell>
          <cell r="BB1245">
            <v>0</v>
          </cell>
          <cell r="BC1245">
            <v>0</v>
          </cell>
          <cell r="BD1245">
            <v>0</v>
          </cell>
          <cell r="BE1245">
            <v>0</v>
          </cell>
          <cell r="BF1245">
            <v>414332.4</v>
          </cell>
          <cell r="BG1245">
            <v>1134601.57</v>
          </cell>
          <cell r="BH1245">
            <v>1216969.7399999998</v>
          </cell>
          <cell r="BI1245">
            <v>376541.24</v>
          </cell>
          <cell r="BJ1245">
            <v>308011</v>
          </cell>
          <cell r="BK1245">
            <v>69822.75</v>
          </cell>
          <cell r="BL1245">
            <v>0</v>
          </cell>
          <cell r="BM1245">
            <v>754374.99</v>
          </cell>
          <cell r="BN1245">
            <v>0</v>
          </cell>
          <cell r="BO1245">
            <v>0</v>
          </cell>
          <cell r="BP1245">
            <v>0</v>
          </cell>
          <cell r="BQ1245">
            <v>0</v>
          </cell>
          <cell r="BR1245">
            <v>754374.99</v>
          </cell>
          <cell r="BT1245">
            <v>0</v>
          </cell>
          <cell r="CA1245" t="str">
            <v>GUIN02 - REVTOT - Base</v>
          </cell>
          <cell r="CC1245" t="str">
            <v>GUIN02 - REVTOT - Base - IS4</v>
          </cell>
          <cell r="CD1245" t="str">
            <v/>
          </cell>
          <cell r="CF1245" t="str">
            <v>GUIN02 - Base - IS4</v>
          </cell>
        </row>
        <row r="1246">
          <cell r="D1246">
            <v>1232</v>
          </cell>
          <cell r="E1246">
            <v>1</v>
          </cell>
          <cell r="F1246">
            <v>2</v>
          </cell>
          <cell r="G1246" t="str">
            <v>GUIN02</v>
          </cell>
          <cell r="H1246" t="str">
            <v>GUINNESS Recompete</v>
          </cell>
          <cell r="I1246" t="str">
            <v>IS4</v>
          </cell>
          <cell r="J1246" t="str">
            <v>IS4 Infrastructure and Engineering</v>
          </cell>
          <cell r="K1246" t="str">
            <v>Classified Agency</v>
          </cell>
          <cell r="L1246" t="str">
            <v>Classified</v>
          </cell>
          <cell r="M1246" t="str">
            <v>Classified Location</v>
          </cell>
          <cell r="N1246" t="str">
            <v>Other</v>
          </cell>
          <cell r="O1246">
            <v>44291</v>
          </cell>
          <cell r="P1246">
            <v>46117</v>
          </cell>
          <cell r="Q1246" t="str">
            <v>Prime</v>
          </cell>
          <cell r="R1246" t="str">
            <v>FFP</v>
          </cell>
          <cell r="S1246">
            <v>0</v>
          </cell>
          <cell r="T1246">
            <v>1</v>
          </cell>
          <cell r="U1246" t="str">
            <v>REVTOT</v>
          </cell>
          <cell r="V1246" t="str">
            <v>Identified - Recompete</v>
          </cell>
          <cell r="W1246" t="str">
            <v>02 Capture</v>
          </cell>
          <cell r="X1246" t="str">
            <v>Priority 3</v>
          </cell>
          <cell r="Y1246">
            <v>0.3</v>
          </cell>
          <cell r="Z1246">
            <v>8500000</v>
          </cell>
          <cell r="AA1246">
            <v>0</v>
          </cell>
          <cell r="AB1246">
            <v>0</v>
          </cell>
          <cell r="AC1246">
            <v>0</v>
          </cell>
          <cell r="AD1246">
            <v>0</v>
          </cell>
          <cell r="AI1246">
            <v>0</v>
          </cell>
          <cell r="AJ1246">
            <v>0</v>
          </cell>
          <cell r="AK1246">
            <v>0</v>
          </cell>
          <cell r="BB1246">
            <v>1700000</v>
          </cell>
          <cell r="BC1246">
            <v>1700000</v>
          </cell>
          <cell r="BD1246">
            <v>1700000</v>
          </cell>
          <cell r="BE1246">
            <v>1700000</v>
          </cell>
          <cell r="BI1246">
            <v>0</v>
          </cell>
          <cell r="BJ1246">
            <v>0</v>
          </cell>
          <cell r="BK1246">
            <v>0</v>
          </cell>
          <cell r="BL1246">
            <v>0</v>
          </cell>
          <cell r="BM1246">
            <v>0</v>
          </cell>
          <cell r="BN1246">
            <v>0</v>
          </cell>
          <cell r="BO1246">
            <v>247916.66666666666</v>
          </cell>
          <cell r="BP1246">
            <v>510000</v>
          </cell>
          <cell r="BQ1246">
            <v>510000</v>
          </cell>
          <cell r="BR1246">
            <v>1267916.6666666665</v>
          </cell>
          <cell r="BT1246">
            <v>0</v>
          </cell>
          <cell r="CA1246" t="str">
            <v>GUIN02 - REVTOT - Identified - Recompete</v>
          </cell>
          <cell r="CC1246" t="str">
            <v>GUIN02 - REVTOT - Identified - Recompete - IS4</v>
          </cell>
          <cell r="CD1246" t="str">
            <v/>
          </cell>
          <cell r="CF1246" t="str">
            <v>GUIN02 - Identified - Recompete - IS4</v>
          </cell>
        </row>
        <row r="1247">
          <cell r="D1247">
            <v>1233</v>
          </cell>
          <cell r="E1247">
            <v>2</v>
          </cell>
          <cell r="F1247">
            <v>3</v>
          </cell>
          <cell r="G1247" t="str">
            <v>GUIN02</v>
          </cell>
          <cell r="H1247" t="str">
            <v>GUINNESS Recompete</v>
          </cell>
          <cell r="I1247" t="str">
            <v>IS4</v>
          </cell>
          <cell r="J1247" t="str">
            <v>IS4 Infrastructure and Engineering</v>
          </cell>
          <cell r="K1247" t="str">
            <v>Classified Agency</v>
          </cell>
          <cell r="L1247" t="str">
            <v>Classified</v>
          </cell>
          <cell r="M1247" t="str">
            <v>Classified Location</v>
          </cell>
          <cell r="N1247" t="str">
            <v>Other</v>
          </cell>
          <cell r="O1247">
            <v>42491</v>
          </cell>
          <cell r="P1247">
            <v>44316</v>
          </cell>
          <cell r="Q1247" t="str">
            <v>Prime</v>
          </cell>
          <cell r="R1247" t="str">
            <v>FFP</v>
          </cell>
          <cell r="S1247">
            <v>0</v>
          </cell>
          <cell r="T1247">
            <v>1</v>
          </cell>
          <cell r="U1247" t="str">
            <v>CONTRACT</v>
          </cell>
          <cell r="V1247" t="str">
            <v>Base</v>
          </cell>
          <cell r="W1247" t="str">
            <v>05 Won</v>
          </cell>
          <cell r="X1247" t="str">
            <v>Active</v>
          </cell>
          <cell r="Y1247">
            <v>1</v>
          </cell>
          <cell r="Z1247">
            <v>0</v>
          </cell>
          <cell r="AA1247">
            <v>245158.15999999974</v>
          </cell>
          <cell r="AB1247">
            <v>2321644</v>
          </cell>
          <cell r="AC1247">
            <v>0</v>
          </cell>
          <cell r="AD1247">
            <v>2566802.1599999997</v>
          </cell>
          <cell r="AL1247">
            <v>0.14687697607042077</v>
          </cell>
          <cell r="AM1247">
            <v>-4.258516934715708E-3</v>
          </cell>
          <cell r="AN1247">
            <v>-4.3855642622634174E-2</v>
          </cell>
          <cell r="AO1247">
            <v>9.3337996266286624E-2</v>
          </cell>
          <cell r="AP1247">
            <v>2.075546745773281E-2</v>
          </cell>
          <cell r="AQ1247">
            <v>2.075546745773281E-2</v>
          </cell>
          <cell r="AR1247">
            <v>2.075546745773281E-2</v>
          </cell>
          <cell r="AS1247">
            <v>2.075546745773281E-2</v>
          </cell>
          <cell r="BF1247">
            <v>60855.890000000014</v>
          </cell>
          <cell r="BG1247">
            <v>-4831.7200000000303</v>
          </cell>
          <cell r="BH1247">
            <v>-53370.99000000002</v>
          </cell>
          <cell r="BI1247">
            <v>30004.549999999988</v>
          </cell>
          <cell r="BJ1247">
            <v>29967.030000000013</v>
          </cell>
          <cell r="BK1247">
            <v>10440.27</v>
          </cell>
          <cell r="BL1247">
            <v>0</v>
          </cell>
          <cell r="BM1247">
            <v>70411.850000000006</v>
          </cell>
          <cell r="BN1247">
            <v>0</v>
          </cell>
          <cell r="BO1247">
            <v>0</v>
          </cell>
          <cell r="BP1247">
            <v>0</v>
          </cell>
          <cell r="BQ1247">
            <v>0</v>
          </cell>
          <cell r="BR1247">
            <v>70411.850000000006</v>
          </cell>
          <cell r="BT1247">
            <v>0</v>
          </cell>
          <cell r="CA1247" t="str">
            <v>GUIN02 - CONTRACT - Base</v>
          </cell>
          <cell r="CC1247" t="str">
            <v>GUIN02 - CONTRACT - Base - IS4</v>
          </cell>
          <cell r="CD1247" t="str">
            <v/>
          </cell>
          <cell r="CF1247" t="str">
            <v>GUIN02 - Base - IS4</v>
          </cell>
        </row>
        <row r="1248">
          <cell r="D1248">
            <v>1234</v>
          </cell>
          <cell r="E1248">
            <v>2</v>
          </cell>
          <cell r="F1248">
            <v>4</v>
          </cell>
          <cell r="G1248" t="str">
            <v>GUIN02</v>
          </cell>
          <cell r="H1248" t="str">
            <v>GUINNESS Recompete</v>
          </cell>
          <cell r="I1248" t="str">
            <v>IS4</v>
          </cell>
          <cell r="J1248" t="str">
            <v>IS4 Infrastructure and Engineering</v>
          </cell>
          <cell r="K1248" t="str">
            <v>Classified Agency</v>
          </cell>
          <cell r="L1248" t="str">
            <v>Classified</v>
          </cell>
          <cell r="M1248" t="str">
            <v>Classified Location</v>
          </cell>
          <cell r="N1248" t="str">
            <v>Other</v>
          </cell>
          <cell r="O1248">
            <v>44291</v>
          </cell>
          <cell r="P1248">
            <v>46117</v>
          </cell>
          <cell r="Q1248" t="str">
            <v>Prime</v>
          </cell>
          <cell r="R1248" t="str">
            <v>FFP</v>
          </cell>
          <cell r="S1248">
            <v>0</v>
          </cell>
          <cell r="T1248">
            <v>1</v>
          </cell>
          <cell r="U1248" t="str">
            <v>CONTRACT</v>
          </cell>
          <cell r="V1248" t="str">
            <v>Identified - Recompete</v>
          </cell>
          <cell r="W1248" t="str">
            <v>02 Capture</v>
          </cell>
          <cell r="X1248" t="str">
            <v>Priority 3</v>
          </cell>
          <cell r="Y1248">
            <v>0.3</v>
          </cell>
          <cell r="Z1248">
            <v>8500000</v>
          </cell>
          <cell r="AA1248">
            <v>0</v>
          </cell>
          <cell r="AB1248">
            <v>0</v>
          </cell>
          <cell r="AC1248">
            <v>0</v>
          </cell>
          <cell r="AD1248">
            <v>0</v>
          </cell>
          <cell r="AP1248">
            <v>2.075546745773281E-2</v>
          </cell>
          <cell r="AQ1248">
            <v>2.075546745773281E-2</v>
          </cell>
          <cell r="AR1248">
            <v>2.075546745773281E-2</v>
          </cell>
          <cell r="AS1248">
            <v>2.075546745773281E-2</v>
          </cell>
          <cell r="BI1248">
            <v>0</v>
          </cell>
          <cell r="BJ1248">
            <v>0</v>
          </cell>
          <cell r="BK1248">
            <v>0</v>
          </cell>
          <cell r="BL1248">
            <v>0</v>
          </cell>
          <cell r="BM1248">
            <v>0</v>
          </cell>
          <cell r="BN1248">
            <v>0</v>
          </cell>
          <cell r="BO1248">
            <v>5145.6263072295924</v>
          </cell>
          <cell r="BP1248">
            <v>10585.288403443732</v>
          </cell>
          <cell r="BQ1248">
            <v>10585.288403443732</v>
          </cell>
          <cell r="BR1248">
            <v>26316.203114117059</v>
          </cell>
          <cell r="BT1248">
            <v>0</v>
          </cell>
          <cell r="CA1248" t="str">
            <v>GUIN02 - CONTRACT - Identified - Recompete</v>
          </cell>
          <cell r="CC1248" t="str">
            <v>GUIN02 - CONTRACT - Identified - Recompete - IS4</v>
          </cell>
          <cell r="CD1248" t="str">
            <v/>
          </cell>
          <cell r="CF1248" t="str">
            <v>GUIN02 - Identified - Recompete - IS4</v>
          </cell>
        </row>
        <row r="1249">
          <cell r="D1249">
            <v>1235</v>
          </cell>
          <cell r="E1249">
            <v>0</v>
          </cell>
          <cell r="F1249">
            <v>5</v>
          </cell>
          <cell r="G1249" t="str">
            <v>GUIN02</v>
          </cell>
          <cell r="H1249" t="str">
            <v>GUINNESS Recompete</v>
          </cell>
          <cell r="I1249" t="str">
            <v>IS4</v>
          </cell>
          <cell r="J1249" t="str">
            <v>IS4 Infrastructure and Engineering</v>
          </cell>
          <cell r="K1249" t="str">
            <v>Classified Agency</v>
          </cell>
          <cell r="L1249" t="str">
            <v>Classified</v>
          </cell>
          <cell r="M1249" t="str">
            <v>Classified Location</v>
          </cell>
          <cell r="N1249" t="str">
            <v>Other</v>
          </cell>
          <cell r="O1249">
            <v>42491</v>
          </cell>
          <cell r="P1249">
            <v>44316</v>
          </cell>
          <cell r="Q1249" t="str">
            <v>Prime</v>
          </cell>
          <cell r="R1249" t="str">
            <v>FFP</v>
          </cell>
          <cell r="S1249">
            <v>0</v>
          </cell>
          <cell r="T1249">
            <v>1</v>
          </cell>
          <cell r="U1249" t="str">
            <v>EBITA</v>
          </cell>
          <cell r="V1249" t="str">
            <v>Base</v>
          </cell>
          <cell r="W1249" t="str">
            <v>05 Won</v>
          </cell>
          <cell r="X1249" t="str">
            <v>Active</v>
          </cell>
          <cell r="Y1249">
            <v>1</v>
          </cell>
          <cell r="Z1249">
            <v>0</v>
          </cell>
          <cell r="AA1249">
            <v>245158.15999999974</v>
          </cell>
          <cell r="AB1249">
            <v>2321644</v>
          </cell>
          <cell r="AC1249">
            <v>0</v>
          </cell>
          <cell r="AD1249">
            <v>2566802.1599999997</v>
          </cell>
          <cell r="AT1249">
            <v>3.4118403484738373E-2</v>
          </cell>
          <cell r="AU1249">
            <v>-0.1151063628441833</v>
          </cell>
          <cell r="AV1249">
            <v>-0.1401166556532458</v>
          </cell>
          <cell r="AW1249">
            <v>1.5317315861704896E-4</v>
          </cell>
          <cell r="AX1249">
            <v>-8.048947979601731E-2</v>
          </cell>
          <cell r="AY1249">
            <v>-7.9489479796017309E-2</v>
          </cell>
          <cell r="AZ1249">
            <v>-7.8489479796017309E-2</v>
          </cell>
          <cell r="BA1249">
            <v>-7.7489479796017308E-2</v>
          </cell>
          <cell r="BF1249">
            <v>14136.360000000015</v>
          </cell>
          <cell r="BG1249">
            <v>-130599.86000000004</v>
          </cell>
          <cell r="BH1249">
            <v>-170517.73000000004</v>
          </cell>
          <cell r="BI1249">
            <v>-6338.5000000000109</v>
          </cell>
          <cell r="BJ1249">
            <v>2116.9900000000143</v>
          </cell>
          <cell r="BK1249">
            <v>4337.0600000000013</v>
          </cell>
          <cell r="BL1249">
            <v>0</v>
          </cell>
          <cell r="BM1249">
            <v>115.55000000000473</v>
          </cell>
          <cell r="BN1249">
            <v>0</v>
          </cell>
          <cell r="BO1249">
            <v>0</v>
          </cell>
          <cell r="BP1249">
            <v>0</v>
          </cell>
          <cell r="BQ1249">
            <v>0</v>
          </cell>
          <cell r="BR1249">
            <v>115.55000000000473</v>
          </cell>
          <cell r="BT1249">
            <v>0</v>
          </cell>
          <cell r="CA1249" t="str">
            <v>GUIN02 - EBITA - Base</v>
          </cell>
          <cell r="CC1249" t="str">
            <v>GUIN02 - EBITA - Base - IS4</v>
          </cell>
          <cell r="CD1249" t="str">
            <v/>
          </cell>
          <cell r="CF1249" t="str">
            <v>GUIN02 - Base - IS4</v>
          </cell>
        </row>
        <row r="1250">
          <cell r="D1250">
            <v>1236</v>
          </cell>
          <cell r="E1250">
            <v>0</v>
          </cell>
          <cell r="F1250">
            <v>0</v>
          </cell>
          <cell r="G1250" t="str">
            <v>GUIN02</v>
          </cell>
          <cell r="H1250" t="str">
            <v>GUINNESS Recompete</v>
          </cell>
          <cell r="I1250" t="str">
            <v>IS4</v>
          </cell>
          <cell r="J1250" t="str">
            <v>IS4 Infrastructure and Engineering</v>
          </cell>
          <cell r="K1250" t="str">
            <v>Classified Agency</v>
          </cell>
          <cell r="L1250" t="str">
            <v>Classified</v>
          </cell>
          <cell r="M1250" t="str">
            <v>Classified Location</v>
          </cell>
          <cell r="N1250" t="str">
            <v>Other</v>
          </cell>
          <cell r="O1250">
            <v>44291</v>
          </cell>
          <cell r="P1250">
            <v>46117</v>
          </cell>
          <cell r="Q1250" t="str">
            <v>Prime</v>
          </cell>
          <cell r="R1250" t="str">
            <v>FFP</v>
          </cell>
          <cell r="S1250">
            <v>0</v>
          </cell>
          <cell r="T1250">
            <v>1</v>
          </cell>
          <cell r="U1250" t="str">
            <v>EBITA</v>
          </cell>
          <cell r="V1250" t="str">
            <v>Identified - Recompete</v>
          </cell>
          <cell r="W1250" t="str">
            <v>02 Capture</v>
          </cell>
          <cell r="X1250" t="str">
            <v>Priority 3</v>
          </cell>
          <cell r="Y1250">
            <v>0.3</v>
          </cell>
          <cell r="Z1250">
            <v>8500000</v>
          </cell>
          <cell r="AA1250">
            <v>0</v>
          </cell>
          <cell r="AB1250">
            <v>0</v>
          </cell>
          <cell r="AC1250">
            <v>0</v>
          </cell>
          <cell r="AD1250">
            <v>0</v>
          </cell>
          <cell r="AX1250">
            <v>-8.048947979601731E-2</v>
          </cell>
          <cell r="AY1250">
            <v>-7.9489479796017309E-2</v>
          </cell>
          <cell r="AZ1250">
            <v>-7.8489479796017309E-2</v>
          </cell>
          <cell r="BA1250">
            <v>-7.7489479796017308E-2</v>
          </cell>
          <cell r="BI1250">
            <v>0</v>
          </cell>
          <cell r="BJ1250">
            <v>0</v>
          </cell>
          <cell r="BK1250">
            <v>0</v>
          </cell>
          <cell r="BL1250">
            <v>0</v>
          </cell>
          <cell r="BM1250">
            <v>0</v>
          </cell>
          <cell r="BN1250">
            <v>0</v>
          </cell>
          <cell r="BO1250">
            <v>-19706.766866095957</v>
          </cell>
          <cell r="BP1250">
            <v>-40029.634695968831</v>
          </cell>
          <cell r="BQ1250">
            <v>-39519.634695968824</v>
          </cell>
          <cell r="BR1250">
            <v>-99256.036258033608</v>
          </cell>
          <cell r="BT1250">
            <v>0</v>
          </cell>
          <cell r="CA1250" t="str">
            <v>GUIN02 - EBITA - Identified - Recompete</v>
          </cell>
          <cell r="CC1250" t="str">
            <v>GUIN02 - EBITA - Identified - Recompete - IS4</v>
          </cell>
          <cell r="CD1250" t="str">
            <v/>
          </cell>
          <cell r="CF1250" t="str">
            <v>GUIN02 - Identified - Recompete - IS4</v>
          </cell>
        </row>
        <row r="1251">
          <cell r="D1251">
            <v>1237</v>
          </cell>
          <cell r="E1251">
            <v>1</v>
          </cell>
          <cell r="F1251">
            <v>1</v>
          </cell>
          <cell r="G1251" t="str">
            <v>CP3459</v>
          </cell>
          <cell r="H1251" t="str">
            <v>DOS PSE IDIQ</v>
          </cell>
          <cell r="I1251" t="str">
            <v>IS4</v>
          </cell>
          <cell r="J1251" t="str">
            <v>IS4 Global Mission Solutions</v>
          </cell>
          <cell r="K1251" t="str">
            <v>Dept. of State</v>
          </cell>
          <cell r="L1251" t="str">
            <v>DOS</v>
          </cell>
          <cell r="M1251" t="str">
            <v>Multi_Dom-Intl</v>
          </cell>
          <cell r="N1251" t="str">
            <v>Other</v>
          </cell>
          <cell r="O1251">
            <v>43327</v>
          </cell>
          <cell r="P1251">
            <v>43830</v>
          </cell>
          <cell r="Q1251" t="str">
            <v>Prime</v>
          </cell>
          <cell r="R1251" t="str">
            <v>FFP</v>
          </cell>
          <cell r="S1251">
            <v>0</v>
          </cell>
          <cell r="T1251">
            <v>1</v>
          </cell>
          <cell r="U1251" t="str">
            <v>REVTOT</v>
          </cell>
          <cell r="V1251" t="str">
            <v>Base</v>
          </cell>
          <cell r="W1251" t="str">
            <v>05 Won</v>
          </cell>
          <cell r="X1251" t="str">
            <v>Active</v>
          </cell>
          <cell r="Y1251">
            <v>1</v>
          </cell>
          <cell r="Z1251">
            <v>0</v>
          </cell>
          <cell r="AA1251">
            <v>-145741.21733000001</v>
          </cell>
          <cell r="AB1251">
            <v>289956.83</v>
          </cell>
          <cell r="AC1251">
            <v>0</v>
          </cell>
          <cell r="AD1251">
            <v>144215.61267</v>
          </cell>
          <cell r="AE1251">
            <v>0</v>
          </cell>
          <cell r="AF1251">
            <v>0</v>
          </cell>
          <cell r="AG1251">
            <v>46.370097782373534</v>
          </cell>
          <cell r="AH1251">
            <v>-3.1357283825807492E-2</v>
          </cell>
          <cell r="AI1251">
            <v>0</v>
          </cell>
          <cell r="AJ1251">
            <v>0</v>
          </cell>
          <cell r="AK1251">
            <v>0</v>
          </cell>
          <cell r="BB1251">
            <v>500000</v>
          </cell>
          <cell r="BC1251">
            <v>500000</v>
          </cell>
          <cell r="BD1251">
            <v>500000</v>
          </cell>
          <cell r="BE1251">
            <v>500000</v>
          </cell>
          <cell r="BF1251">
            <v>0</v>
          </cell>
          <cell r="BG1251">
            <v>0</v>
          </cell>
          <cell r="BH1251">
            <v>3143</v>
          </cell>
          <cell r="BI1251">
            <v>0</v>
          </cell>
          <cell r="BJ1251">
            <v>0</v>
          </cell>
          <cell r="BK1251">
            <v>23571.030000000002</v>
          </cell>
          <cell r="BL1251">
            <v>125313.18733000002</v>
          </cell>
          <cell r="BM1251">
            <v>148884.21733000001</v>
          </cell>
          <cell r="BN1251">
            <v>144215.61267</v>
          </cell>
          <cell r="BO1251">
            <v>0</v>
          </cell>
          <cell r="BP1251">
            <v>0</v>
          </cell>
          <cell r="BQ1251">
            <v>0</v>
          </cell>
          <cell r="BR1251">
            <v>293099.83</v>
          </cell>
          <cell r="BT1251">
            <v>0</v>
          </cell>
          <cell r="CA1251" t="str">
            <v>CP3459 - REVTOT - Base</v>
          </cell>
          <cell r="CC1251" t="str">
            <v>CP3459 - REVTOT - Base - IS4</v>
          </cell>
          <cell r="CD1251" t="str">
            <v/>
          </cell>
          <cell r="CF1251" t="str">
            <v>CP3459 - Base - IS4</v>
          </cell>
        </row>
        <row r="1252">
          <cell r="D1252">
            <v>1238</v>
          </cell>
          <cell r="E1252">
            <v>1</v>
          </cell>
          <cell r="F1252">
            <v>2</v>
          </cell>
          <cell r="G1252" t="str">
            <v>CP3459</v>
          </cell>
          <cell r="H1252" t="str">
            <v>DOS PSE IDIQ</v>
          </cell>
          <cell r="I1252" t="str">
            <v>IS4</v>
          </cell>
          <cell r="J1252" t="str">
            <v>IS4 Global Mission Solutions</v>
          </cell>
          <cell r="K1252" t="str">
            <v>Dept. of State</v>
          </cell>
          <cell r="L1252" t="str">
            <v>DOS</v>
          </cell>
          <cell r="M1252" t="str">
            <v>Multi_Dom-Intl</v>
          </cell>
          <cell r="N1252" t="str">
            <v>Other</v>
          </cell>
          <cell r="O1252">
            <v>0</v>
          </cell>
          <cell r="P1252">
            <v>0</v>
          </cell>
          <cell r="Q1252">
            <v>0</v>
          </cell>
          <cell r="R1252" t="str">
            <v>FFP</v>
          </cell>
          <cell r="S1252">
            <v>0</v>
          </cell>
          <cell r="T1252">
            <v>1</v>
          </cell>
          <cell r="U1252" t="str">
            <v>REVTOT</v>
          </cell>
          <cell r="V1252" t="str">
            <v>Identified - Recompete</v>
          </cell>
          <cell r="W1252">
            <v>0</v>
          </cell>
          <cell r="X1252">
            <v>0</v>
          </cell>
          <cell r="Y1252">
            <v>0</v>
          </cell>
          <cell r="Z1252">
            <v>0</v>
          </cell>
          <cell r="AA1252">
            <v>0</v>
          </cell>
          <cell r="AB1252">
            <v>0</v>
          </cell>
          <cell r="AC1252">
            <v>0</v>
          </cell>
          <cell r="AD1252">
            <v>0</v>
          </cell>
          <cell r="AI1252">
            <v>0</v>
          </cell>
          <cell r="AJ1252">
            <v>0</v>
          </cell>
          <cell r="AK1252">
            <v>0</v>
          </cell>
          <cell r="BB1252">
            <v>0</v>
          </cell>
          <cell r="BC1252">
            <v>0</v>
          </cell>
          <cell r="BD1252">
            <v>0</v>
          </cell>
          <cell r="BE1252">
            <v>0</v>
          </cell>
          <cell r="BI1252">
            <v>0</v>
          </cell>
          <cell r="BJ1252">
            <v>0</v>
          </cell>
          <cell r="BK1252">
            <v>0</v>
          </cell>
          <cell r="BL1252">
            <v>0</v>
          </cell>
          <cell r="BM1252">
            <v>0</v>
          </cell>
          <cell r="BN1252">
            <v>0</v>
          </cell>
          <cell r="BO1252">
            <v>0</v>
          </cell>
          <cell r="BP1252">
            <v>0</v>
          </cell>
          <cell r="BQ1252">
            <v>0</v>
          </cell>
          <cell r="BR1252">
            <v>0</v>
          </cell>
          <cell r="BT1252">
            <v>0</v>
          </cell>
          <cell r="CA1252" t="str">
            <v>CP3459 - REVTOT - Identified - Recompete</v>
          </cell>
          <cell r="CC1252" t="str">
            <v>CP3459 - REVTOT - Identified - Recompete - IS4</v>
          </cell>
          <cell r="CD1252" t="str">
            <v/>
          </cell>
          <cell r="CF1252" t="str">
            <v>CP3459 - Identified - Recompete - IS4</v>
          </cell>
        </row>
        <row r="1253">
          <cell r="D1253">
            <v>1239</v>
          </cell>
          <cell r="E1253">
            <v>2</v>
          </cell>
          <cell r="F1253">
            <v>3</v>
          </cell>
          <cell r="G1253" t="str">
            <v>CP3459</v>
          </cell>
          <cell r="H1253" t="str">
            <v>DOS PSE IDIQ</v>
          </cell>
          <cell r="I1253" t="str">
            <v>IS4</v>
          </cell>
          <cell r="J1253" t="str">
            <v>IS4 Global Mission Solutions</v>
          </cell>
          <cell r="K1253" t="str">
            <v>Dept. of State</v>
          </cell>
          <cell r="L1253" t="str">
            <v>DOS</v>
          </cell>
          <cell r="M1253" t="str">
            <v>Multi_Dom-Intl</v>
          </cell>
          <cell r="N1253" t="str">
            <v>Other</v>
          </cell>
          <cell r="O1253">
            <v>43327</v>
          </cell>
          <cell r="P1253">
            <v>43830</v>
          </cell>
          <cell r="Q1253" t="str">
            <v>Prime</v>
          </cell>
          <cell r="R1253" t="str">
            <v>FFP</v>
          </cell>
          <cell r="S1253">
            <v>0</v>
          </cell>
          <cell r="T1253">
            <v>1</v>
          </cell>
          <cell r="U1253" t="str">
            <v>CONTRACT</v>
          </cell>
          <cell r="V1253" t="str">
            <v>Base</v>
          </cell>
          <cell r="W1253" t="str">
            <v>05 Won</v>
          </cell>
          <cell r="X1253" t="str">
            <v>Active</v>
          </cell>
          <cell r="Y1253">
            <v>1</v>
          </cell>
          <cell r="Z1253">
            <v>0</v>
          </cell>
          <cell r="AA1253">
            <v>-145741.21733000001</v>
          </cell>
          <cell r="AB1253">
            <v>289956.83</v>
          </cell>
          <cell r="AC1253">
            <v>0</v>
          </cell>
          <cell r="AD1253">
            <v>144215.61267</v>
          </cell>
          <cell r="AL1253">
            <v>0</v>
          </cell>
          <cell r="AM1253">
            <v>0</v>
          </cell>
          <cell r="AN1253">
            <v>1</v>
          </cell>
          <cell r="AO1253">
            <v>0.17940457569586771</v>
          </cell>
          <cell r="AP1253">
            <v>0.18017751132575294</v>
          </cell>
          <cell r="AQ1253">
            <v>0.18017751132575294</v>
          </cell>
          <cell r="AR1253">
            <v>0.18017751132575294</v>
          </cell>
          <cell r="AS1253">
            <v>0.18017751132575294</v>
          </cell>
          <cell r="BF1253">
            <v>0</v>
          </cell>
          <cell r="BG1253">
            <v>0</v>
          </cell>
          <cell r="BH1253">
            <v>3143</v>
          </cell>
          <cell r="BI1253">
            <v>0</v>
          </cell>
          <cell r="BJ1253">
            <v>0</v>
          </cell>
          <cell r="BK1253">
            <v>6949.5800000000027</v>
          </cell>
          <cell r="BL1253">
            <v>19760.929837900007</v>
          </cell>
          <cell r="BM1253">
            <v>26710.509837900008</v>
          </cell>
          <cell r="BN1253">
            <v>25984.410185199325</v>
          </cell>
          <cell r="BO1253">
            <v>0</v>
          </cell>
          <cell r="BP1253">
            <v>0</v>
          </cell>
          <cell r="BQ1253">
            <v>0</v>
          </cell>
          <cell r="BR1253">
            <v>52694.92002309933</v>
          </cell>
          <cell r="BT1253">
            <v>0</v>
          </cell>
          <cell r="CA1253" t="str">
            <v>CP3459 - CONTRACT - Base</v>
          </cell>
          <cell r="CC1253" t="str">
            <v>CP3459 - CONTRACT - Base - IS4</v>
          </cell>
          <cell r="CD1253" t="str">
            <v/>
          </cell>
          <cell r="CF1253" t="str">
            <v>CP3459 - Base - IS4</v>
          </cell>
        </row>
        <row r="1254">
          <cell r="D1254">
            <v>1240</v>
          </cell>
          <cell r="E1254">
            <v>2</v>
          </cell>
          <cell r="F1254">
            <v>4</v>
          </cell>
          <cell r="G1254" t="str">
            <v>CP3459</v>
          </cell>
          <cell r="H1254" t="str">
            <v>DOS PSE IDIQ</v>
          </cell>
          <cell r="I1254" t="str">
            <v>IS4</v>
          </cell>
          <cell r="J1254" t="str">
            <v>IS4 Global Mission Solutions</v>
          </cell>
          <cell r="K1254" t="str">
            <v>Dept. of State</v>
          </cell>
          <cell r="L1254" t="str">
            <v>DOS</v>
          </cell>
          <cell r="M1254" t="str">
            <v>Multi_Dom-Intl</v>
          </cell>
          <cell r="N1254" t="str">
            <v>Other</v>
          </cell>
          <cell r="O1254">
            <v>0</v>
          </cell>
          <cell r="P1254">
            <v>0</v>
          </cell>
          <cell r="Q1254">
            <v>0</v>
          </cell>
          <cell r="R1254" t="str">
            <v>FFP</v>
          </cell>
          <cell r="S1254">
            <v>0</v>
          </cell>
          <cell r="T1254">
            <v>1</v>
          </cell>
          <cell r="U1254" t="str">
            <v>CONTRACT</v>
          </cell>
          <cell r="V1254" t="str">
            <v>Identified - Recompete</v>
          </cell>
          <cell r="W1254">
            <v>0</v>
          </cell>
          <cell r="X1254">
            <v>0</v>
          </cell>
          <cell r="Y1254">
            <v>0</v>
          </cell>
          <cell r="Z1254">
            <v>0</v>
          </cell>
          <cell r="AA1254">
            <v>0</v>
          </cell>
          <cell r="AB1254">
            <v>0</v>
          </cell>
          <cell r="AC1254">
            <v>0</v>
          </cell>
          <cell r="AD1254">
            <v>0</v>
          </cell>
          <cell r="AP1254">
            <v>0</v>
          </cell>
          <cell r="AQ1254">
            <v>0</v>
          </cell>
          <cell r="AR1254">
            <v>0</v>
          </cell>
          <cell r="AS1254">
            <v>0</v>
          </cell>
          <cell r="BI1254">
            <v>0</v>
          </cell>
          <cell r="BJ1254">
            <v>0</v>
          </cell>
          <cell r="BK1254">
            <v>0</v>
          </cell>
          <cell r="BL1254">
            <v>0</v>
          </cell>
          <cell r="BM1254">
            <v>0</v>
          </cell>
          <cell r="BN1254">
            <v>0</v>
          </cell>
          <cell r="BO1254">
            <v>0</v>
          </cell>
          <cell r="BP1254">
            <v>0</v>
          </cell>
          <cell r="BQ1254">
            <v>0</v>
          </cell>
          <cell r="BR1254">
            <v>0</v>
          </cell>
          <cell r="BT1254">
            <v>0</v>
          </cell>
          <cell r="CA1254" t="str">
            <v>CP3459 - CONTRACT - Identified - Recompete</v>
          </cell>
          <cell r="CC1254" t="str">
            <v>CP3459 - CONTRACT - Identified - Recompete - IS4</v>
          </cell>
          <cell r="CD1254" t="str">
            <v/>
          </cell>
          <cell r="CF1254" t="str">
            <v>CP3459 - Identified - Recompete - IS4</v>
          </cell>
        </row>
        <row r="1255">
          <cell r="D1255">
            <v>1241</v>
          </cell>
          <cell r="E1255">
            <v>0</v>
          </cell>
          <cell r="F1255">
            <v>5</v>
          </cell>
          <cell r="G1255" t="str">
            <v>CP3459</v>
          </cell>
          <cell r="H1255" t="str">
            <v>DOS PSE IDIQ</v>
          </cell>
          <cell r="I1255" t="str">
            <v>IS4</v>
          </cell>
          <cell r="J1255" t="str">
            <v>IS4 Global Mission Solutions</v>
          </cell>
          <cell r="K1255" t="str">
            <v>Dept. of State</v>
          </cell>
          <cell r="L1255" t="str">
            <v>DOS</v>
          </cell>
          <cell r="M1255" t="str">
            <v>Multi_Dom-Intl</v>
          </cell>
          <cell r="N1255" t="str">
            <v>Other</v>
          </cell>
          <cell r="O1255">
            <v>43327</v>
          </cell>
          <cell r="P1255">
            <v>43830</v>
          </cell>
          <cell r="Q1255" t="str">
            <v>Prime</v>
          </cell>
          <cell r="R1255" t="str">
            <v>FFP</v>
          </cell>
          <cell r="S1255">
            <v>0</v>
          </cell>
          <cell r="T1255">
            <v>1</v>
          </cell>
          <cell r="U1255" t="str">
            <v>EBITA</v>
          </cell>
          <cell r="V1255" t="str">
            <v>Base</v>
          </cell>
          <cell r="W1255" t="str">
            <v>05 Won</v>
          </cell>
          <cell r="X1255" t="str">
            <v>Active</v>
          </cell>
          <cell r="Y1255">
            <v>1</v>
          </cell>
          <cell r="Z1255">
            <v>0</v>
          </cell>
          <cell r="AA1255">
            <v>-145741.21733000001</v>
          </cell>
          <cell r="AB1255">
            <v>289956.83</v>
          </cell>
          <cell r="AC1255">
            <v>0</v>
          </cell>
          <cell r="AD1255">
            <v>144215.61267</v>
          </cell>
          <cell r="AT1255">
            <v>0</v>
          </cell>
          <cell r="AU1255">
            <v>0</v>
          </cell>
          <cell r="AV1255">
            <v>1</v>
          </cell>
          <cell r="AW1255">
            <v>1.5220890757528142E-2</v>
          </cell>
          <cell r="AX1255">
            <v>4.5999999999999999E-2</v>
          </cell>
          <cell r="AY1255">
            <v>4.7E-2</v>
          </cell>
          <cell r="AZ1255">
            <v>4.8000000000000001E-2</v>
          </cell>
          <cell r="BA1255">
            <v>4.9000000000000002E-2</v>
          </cell>
          <cell r="BF1255">
            <v>0</v>
          </cell>
          <cell r="BG1255">
            <v>0</v>
          </cell>
          <cell r="BH1255">
            <v>3143</v>
          </cell>
          <cell r="BI1255">
            <v>0</v>
          </cell>
          <cell r="BJ1255">
            <v>0</v>
          </cell>
          <cell r="BK1255">
            <v>-9.9999999977171683E-3</v>
          </cell>
          <cell r="BL1255">
            <v>2266.1604075000064</v>
          </cell>
          <cell r="BM1255">
            <v>2266.1504075000084</v>
          </cell>
          <cell r="BN1255">
            <v>6633.9181828199999</v>
          </cell>
          <cell r="BO1255">
            <v>0</v>
          </cell>
          <cell r="BP1255">
            <v>0</v>
          </cell>
          <cell r="BQ1255">
            <v>0</v>
          </cell>
          <cell r="BR1255">
            <v>8900.0685903200083</v>
          </cell>
          <cell r="BT1255">
            <v>0</v>
          </cell>
          <cell r="CA1255" t="str">
            <v>CP3459 - EBITA - Base</v>
          </cell>
          <cell r="CC1255" t="str">
            <v>CP3459 - EBITA - Base - IS4</v>
          </cell>
          <cell r="CD1255" t="str">
            <v/>
          </cell>
          <cell r="CF1255" t="str">
            <v>CP3459 - Base - IS4</v>
          </cell>
        </row>
        <row r="1256">
          <cell r="D1256">
            <v>1242</v>
          </cell>
          <cell r="E1256">
            <v>0</v>
          </cell>
          <cell r="F1256">
            <v>0</v>
          </cell>
          <cell r="G1256" t="str">
            <v>CP3459</v>
          </cell>
          <cell r="H1256" t="str">
            <v>DOS PSE IDIQ</v>
          </cell>
          <cell r="I1256" t="str">
            <v>IS4</v>
          </cell>
          <cell r="J1256" t="str">
            <v>IS4 Global Mission Solutions</v>
          </cell>
          <cell r="K1256" t="str">
            <v>Dept. of State</v>
          </cell>
          <cell r="L1256" t="str">
            <v>DOS</v>
          </cell>
          <cell r="M1256" t="str">
            <v>Multi_Dom-Intl</v>
          </cell>
          <cell r="N1256" t="str">
            <v>Other</v>
          </cell>
          <cell r="O1256">
            <v>0</v>
          </cell>
          <cell r="P1256">
            <v>0</v>
          </cell>
          <cell r="Q1256">
            <v>0</v>
          </cell>
          <cell r="R1256" t="str">
            <v>FFP</v>
          </cell>
          <cell r="S1256">
            <v>0</v>
          </cell>
          <cell r="T1256">
            <v>1</v>
          </cell>
          <cell r="U1256" t="str">
            <v>EBITA</v>
          </cell>
          <cell r="V1256" t="str">
            <v>Identified - Recompete</v>
          </cell>
          <cell r="W1256">
            <v>0</v>
          </cell>
          <cell r="X1256">
            <v>0</v>
          </cell>
          <cell r="Y1256">
            <v>0</v>
          </cell>
          <cell r="Z1256">
            <v>0</v>
          </cell>
          <cell r="AA1256">
            <v>0</v>
          </cell>
          <cell r="AB1256">
            <v>0</v>
          </cell>
          <cell r="AC1256">
            <v>0</v>
          </cell>
          <cell r="AD1256">
            <v>0</v>
          </cell>
          <cell r="AX1256">
            <v>0</v>
          </cell>
          <cell r="AY1256">
            <v>0</v>
          </cell>
          <cell r="AZ1256">
            <v>0</v>
          </cell>
          <cell r="BA1256">
            <v>0</v>
          </cell>
          <cell r="BI1256">
            <v>0</v>
          </cell>
          <cell r="BJ1256">
            <v>0</v>
          </cell>
          <cell r="BK1256">
            <v>0</v>
          </cell>
          <cell r="BL1256">
            <v>0</v>
          </cell>
          <cell r="BM1256">
            <v>0</v>
          </cell>
          <cell r="BN1256">
            <v>0</v>
          </cell>
          <cell r="BO1256">
            <v>0</v>
          </cell>
          <cell r="BP1256">
            <v>0</v>
          </cell>
          <cell r="BQ1256">
            <v>0</v>
          </cell>
          <cell r="BR1256">
            <v>0</v>
          </cell>
          <cell r="BT1256">
            <v>0</v>
          </cell>
          <cell r="CA1256" t="str">
            <v>CP3459 - EBITA - Identified - Recompete</v>
          </cell>
          <cell r="CC1256" t="str">
            <v>CP3459 - EBITA - Identified - Recompete - IS4</v>
          </cell>
          <cell r="CD1256" t="str">
            <v/>
          </cell>
          <cell r="CF1256" t="str">
            <v>CP3459 - Identified - Recompete - IS4</v>
          </cell>
        </row>
        <row r="1257">
          <cell r="D1257">
            <v>1243</v>
          </cell>
          <cell r="E1257">
            <v>1</v>
          </cell>
          <cell r="F1257">
            <v>1</v>
          </cell>
          <cell r="G1257" t="str">
            <v>MEDCOM</v>
          </cell>
          <cell r="H1257" t="str">
            <v>TPSS MEDCOM</v>
          </cell>
          <cell r="I1257" t="str">
            <v>IS4</v>
          </cell>
          <cell r="J1257" t="str">
            <v>IS4 Spectrum &amp; Infrastructure Assurance</v>
          </cell>
          <cell r="K1257" t="str">
            <v>Army</v>
          </cell>
          <cell r="L1257" t="str">
            <v>DOD</v>
          </cell>
          <cell r="M1257" t="str">
            <v>TX</v>
          </cell>
          <cell r="N1257" t="str">
            <v>CONUS</v>
          </cell>
          <cell r="O1257">
            <v>43433</v>
          </cell>
          <cell r="P1257">
            <v>43738</v>
          </cell>
          <cell r="Q1257" t="str">
            <v>Sub</v>
          </cell>
          <cell r="R1257" t="str">
            <v>FFP</v>
          </cell>
          <cell r="S1257">
            <v>0</v>
          </cell>
          <cell r="T1257">
            <v>1</v>
          </cell>
          <cell r="U1257" t="str">
            <v>REVTOT</v>
          </cell>
          <cell r="V1257" t="str">
            <v>Base</v>
          </cell>
          <cell r="W1257" t="str">
            <v>05 Won</v>
          </cell>
          <cell r="X1257" t="str">
            <v>Active</v>
          </cell>
          <cell r="Y1257">
            <v>1</v>
          </cell>
          <cell r="Z1257">
            <v>0</v>
          </cell>
          <cell r="AA1257">
            <v>29354.589999999967</v>
          </cell>
          <cell r="AB1257">
            <v>0</v>
          </cell>
          <cell r="AC1257">
            <v>0</v>
          </cell>
          <cell r="AD1257">
            <v>29354.589999999967</v>
          </cell>
          <cell r="AE1257">
            <v>0</v>
          </cell>
          <cell r="AF1257">
            <v>0</v>
          </cell>
          <cell r="AG1257">
            <v>0</v>
          </cell>
          <cell r="AH1257">
            <v>-1</v>
          </cell>
          <cell r="AI1257">
            <v>0</v>
          </cell>
          <cell r="AJ1257">
            <v>0</v>
          </cell>
          <cell r="AK1257">
            <v>0</v>
          </cell>
          <cell r="BB1257">
            <v>0</v>
          </cell>
          <cell r="BC1257">
            <v>0</v>
          </cell>
          <cell r="BD1257">
            <v>0</v>
          </cell>
          <cell r="BE1257">
            <v>0</v>
          </cell>
          <cell r="BF1257">
            <v>0</v>
          </cell>
          <cell r="BG1257">
            <v>0</v>
          </cell>
          <cell r="BH1257">
            <v>0</v>
          </cell>
          <cell r="BI1257">
            <v>95851.37</v>
          </cell>
          <cell r="BJ1257">
            <v>104418.63</v>
          </cell>
          <cell r="BK1257">
            <v>90617.63</v>
          </cell>
          <cell r="BL1257">
            <v>202951</v>
          </cell>
          <cell r="BM1257">
            <v>493838.63</v>
          </cell>
          <cell r="BN1257">
            <v>0</v>
          </cell>
          <cell r="BO1257">
            <v>0</v>
          </cell>
          <cell r="BP1257">
            <v>0</v>
          </cell>
          <cell r="BQ1257">
            <v>0</v>
          </cell>
          <cell r="BR1257">
            <v>493838.63</v>
          </cell>
          <cell r="BT1257">
            <v>0</v>
          </cell>
          <cell r="CA1257" t="str">
            <v>MEDCOM - REVTOT - Base</v>
          </cell>
          <cell r="CC1257" t="str">
            <v>MEDCOM - REVTOT - Base - IS4</v>
          </cell>
          <cell r="CD1257" t="str">
            <v/>
          </cell>
          <cell r="CF1257" t="str">
            <v>MEDCOM - Base - IS4</v>
          </cell>
        </row>
        <row r="1258">
          <cell r="D1258">
            <v>1244</v>
          </cell>
          <cell r="E1258">
            <v>1</v>
          </cell>
          <cell r="F1258">
            <v>2</v>
          </cell>
          <cell r="G1258" t="str">
            <v>MEDCOM</v>
          </cell>
          <cell r="H1258" t="str">
            <v>TPSS MEDCOM</v>
          </cell>
          <cell r="I1258" t="str">
            <v>IS4</v>
          </cell>
          <cell r="J1258" t="str">
            <v>IS4 Spectrum &amp; Infrastructure Assurance</v>
          </cell>
          <cell r="K1258" t="str">
            <v>Army</v>
          </cell>
          <cell r="L1258" t="str">
            <v>DOD</v>
          </cell>
          <cell r="M1258" t="str">
            <v>TX</v>
          </cell>
          <cell r="N1258" t="str">
            <v>CONUS</v>
          </cell>
          <cell r="O1258">
            <v>0</v>
          </cell>
          <cell r="P1258">
            <v>0</v>
          </cell>
          <cell r="Q1258">
            <v>0</v>
          </cell>
          <cell r="R1258" t="str">
            <v>FFP</v>
          </cell>
          <cell r="S1258">
            <v>0</v>
          </cell>
          <cell r="T1258">
            <v>1</v>
          </cell>
          <cell r="U1258" t="str">
            <v>REVTOT</v>
          </cell>
          <cell r="V1258" t="str">
            <v>Identified - Recompete</v>
          </cell>
          <cell r="W1258">
            <v>0</v>
          </cell>
          <cell r="X1258">
            <v>0</v>
          </cell>
          <cell r="Y1258">
            <v>0</v>
          </cell>
          <cell r="Z1258">
            <v>0</v>
          </cell>
          <cell r="AA1258">
            <v>0</v>
          </cell>
          <cell r="AB1258">
            <v>0</v>
          </cell>
          <cell r="AC1258">
            <v>0</v>
          </cell>
          <cell r="AD1258">
            <v>0</v>
          </cell>
          <cell r="AI1258">
            <v>0</v>
          </cell>
          <cell r="AJ1258">
            <v>0</v>
          </cell>
          <cell r="AK1258">
            <v>0</v>
          </cell>
          <cell r="BB1258">
            <v>0</v>
          </cell>
          <cell r="BC1258">
            <v>0</v>
          </cell>
          <cell r="BD1258">
            <v>0</v>
          </cell>
          <cell r="BE1258">
            <v>0</v>
          </cell>
          <cell r="BI1258">
            <v>0</v>
          </cell>
          <cell r="BJ1258">
            <v>0</v>
          </cell>
          <cell r="BK1258">
            <v>0</v>
          </cell>
          <cell r="BL1258">
            <v>0</v>
          </cell>
          <cell r="BM1258">
            <v>0</v>
          </cell>
          <cell r="BN1258">
            <v>0</v>
          </cell>
          <cell r="BO1258">
            <v>0</v>
          </cell>
          <cell r="BP1258">
            <v>0</v>
          </cell>
          <cell r="BQ1258">
            <v>0</v>
          </cell>
          <cell r="BR1258">
            <v>0</v>
          </cell>
          <cell r="BT1258">
            <v>0</v>
          </cell>
          <cell r="CA1258" t="str">
            <v>MEDCOM - REVTOT - Identified - Recompete</v>
          </cell>
          <cell r="CC1258" t="str">
            <v>MEDCOM - REVTOT - Identified - Recompete - IS4</v>
          </cell>
          <cell r="CD1258" t="str">
            <v/>
          </cell>
          <cell r="CF1258" t="str">
            <v>MEDCOM - Identified - Recompete - IS4</v>
          </cell>
        </row>
        <row r="1259">
          <cell r="D1259">
            <v>1245</v>
          </cell>
          <cell r="E1259">
            <v>2</v>
          </cell>
          <cell r="F1259">
            <v>3</v>
          </cell>
          <cell r="G1259" t="str">
            <v>MEDCOM</v>
          </cell>
          <cell r="H1259" t="str">
            <v>TPSS MEDCOM</v>
          </cell>
          <cell r="I1259" t="str">
            <v>IS4</v>
          </cell>
          <cell r="J1259" t="str">
            <v>IS4 Spectrum &amp; Infrastructure Assurance</v>
          </cell>
          <cell r="K1259" t="str">
            <v>Army</v>
          </cell>
          <cell r="L1259" t="str">
            <v>DOD</v>
          </cell>
          <cell r="M1259" t="str">
            <v>TX</v>
          </cell>
          <cell r="N1259" t="str">
            <v>CONUS</v>
          </cell>
          <cell r="O1259">
            <v>43433</v>
          </cell>
          <cell r="P1259">
            <v>43738</v>
          </cell>
          <cell r="Q1259" t="str">
            <v>Sub</v>
          </cell>
          <cell r="R1259" t="str">
            <v>FFP</v>
          </cell>
          <cell r="S1259">
            <v>0</v>
          </cell>
          <cell r="T1259">
            <v>1</v>
          </cell>
          <cell r="U1259" t="str">
            <v>CONTRACT</v>
          </cell>
          <cell r="V1259" t="str">
            <v>Base</v>
          </cell>
          <cell r="W1259" t="str">
            <v>05 Won</v>
          </cell>
          <cell r="X1259" t="str">
            <v>Active</v>
          </cell>
          <cell r="Y1259">
            <v>1</v>
          </cell>
          <cell r="Z1259">
            <v>0</v>
          </cell>
          <cell r="AA1259">
            <v>29354.589999999967</v>
          </cell>
          <cell r="AB1259">
            <v>0</v>
          </cell>
          <cell r="AC1259">
            <v>0</v>
          </cell>
          <cell r="AD1259">
            <v>29354.589999999967</v>
          </cell>
          <cell r="AL1259">
            <v>0</v>
          </cell>
          <cell r="AM1259">
            <v>0</v>
          </cell>
          <cell r="AN1259">
            <v>0</v>
          </cell>
          <cell r="AO1259">
            <v>0.30337148796966334</v>
          </cell>
          <cell r="AP1259">
            <v>0.30337148796966334</v>
          </cell>
          <cell r="AQ1259">
            <v>0.30337148796966334</v>
          </cell>
          <cell r="AR1259">
            <v>0.30337148796966334</v>
          </cell>
          <cell r="AS1259">
            <v>0.30337148796966334</v>
          </cell>
          <cell r="BF1259">
            <v>0</v>
          </cell>
          <cell r="BG1259">
            <v>0</v>
          </cell>
          <cell r="BH1259">
            <v>0</v>
          </cell>
          <cell r="BI1259">
            <v>26575.820000000007</v>
          </cell>
          <cell r="BJ1259">
            <v>34119.930000000008</v>
          </cell>
          <cell r="BK1259">
            <v>34097.810000000005</v>
          </cell>
          <cell r="BL1259">
            <v>55023</v>
          </cell>
          <cell r="BM1259">
            <v>149816.56000000003</v>
          </cell>
          <cell r="BN1259">
            <v>0</v>
          </cell>
          <cell r="BO1259">
            <v>0</v>
          </cell>
          <cell r="BP1259">
            <v>0</v>
          </cell>
          <cell r="BQ1259">
            <v>0</v>
          </cell>
          <cell r="BR1259">
            <v>149816.56000000003</v>
          </cell>
          <cell r="BT1259">
            <v>0</v>
          </cell>
          <cell r="CA1259" t="str">
            <v>MEDCOM - CONTRACT - Base</v>
          </cell>
          <cell r="CC1259" t="str">
            <v>MEDCOM - CONTRACT - Base - IS4</v>
          </cell>
          <cell r="CD1259" t="str">
            <v/>
          </cell>
          <cell r="CF1259" t="str">
            <v>MEDCOM - Base - IS4</v>
          </cell>
        </row>
        <row r="1260">
          <cell r="D1260">
            <v>1246</v>
          </cell>
          <cell r="E1260">
            <v>2</v>
          </cell>
          <cell r="F1260">
            <v>4</v>
          </cell>
          <cell r="G1260" t="str">
            <v>MEDCOM</v>
          </cell>
          <cell r="H1260" t="str">
            <v>TPSS MEDCOM</v>
          </cell>
          <cell r="I1260" t="str">
            <v>IS4</v>
          </cell>
          <cell r="J1260" t="str">
            <v>IS4 Spectrum &amp; Infrastructure Assurance</v>
          </cell>
          <cell r="K1260" t="str">
            <v>Army</v>
          </cell>
          <cell r="L1260" t="str">
            <v>DOD</v>
          </cell>
          <cell r="M1260" t="str">
            <v>TX</v>
          </cell>
          <cell r="N1260" t="str">
            <v>CONUS</v>
          </cell>
          <cell r="O1260">
            <v>0</v>
          </cell>
          <cell r="P1260">
            <v>0</v>
          </cell>
          <cell r="Q1260">
            <v>0</v>
          </cell>
          <cell r="R1260" t="str">
            <v>FFP</v>
          </cell>
          <cell r="S1260">
            <v>0</v>
          </cell>
          <cell r="T1260">
            <v>1</v>
          </cell>
          <cell r="U1260" t="str">
            <v>CONTRACT</v>
          </cell>
          <cell r="V1260" t="str">
            <v>Identified - Recompete</v>
          </cell>
          <cell r="W1260">
            <v>0</v>
          </cell>
          <cell r="X1260">
            <v>0</v>
          </cell>
          <cell r="Y1260">
            <v>0</v>
          </cell>
          <cell r="Z1260">
            <v>0</v>
          </cell>
          <cell r="AA1260">
            <v>0</v>
          </cell>
          <cell r="AB1260">
            <v>0</v>
          </cell>
          <cell r="AC1260">
            <v>0</v>
          </cell>
          <cell r="AD1260">
            <v>0</v>
          </cell>
          <cell r="AP1260">
            <v>0</v>
          </cell>
          <cell r="AQ1260">
            <v>0</v>
          </cell>
          <cell r="AR1260">
            <v>0</v>
          </cell>
          <cell r="AS1260">
            <v>0</v>
          </cell>
          <cell r="BI1260">
            <v>0</v>
          </cell>
          <cell r="BJ1260">
            <v>0</v>
          </cell>
          <cell r="BK1260">
            <v>0</v>
          </cell>
          <cell r="BL1260">
            <v>0</v>
          </cell>
          <cell r="BM1260">
            <v>0</v>
          </cell>
          <cell r="BN1260">
            <v>0</v>
          </cell>
          <cell r="BO1260">
            <v>0</v>
          </cell>
          <cell r="BP1260">
            <v>0</v>
          </cell>
          <cell r="BQ1260">
            <v>0</v>
          </cell>
          <cell r="BR1260">
            <v>0</v>
          </cell>
          <cell r="BT1260">
            <v>0</v>
          </cell>
          <cell r="CA1260" t="str">
            <v>MEDCOM - CONTRACT - Identified - Recompete</v>
          </cell>
          <cell r="CC1260" t="str">
            <v>MEDCOM - CONTRACT - Identified - Recompete - IS4</v>
          </cell>
          <cell r="CD1260" t="str">
            <v/>
          </cell>
          <cell r="CF1260" t="str">
            <v>MEDCOM - Identified - Recompete - IS4</v>
          </cell>
        </row>
        <row r="1261">
          <cell r="D1261">
            <v>1247</v>
          </cell>
          <cell r="E1261">
            <v>0</v>
          </cell>
          <cell r="F1261">
            <v>5</v>
          </cell>
          <cell r="G1261" t="str">
            <v>MEDCOM</v>
          </cell>
          <cell r="H1261" t="str">
            <v>TPSS MEDCOM</v>
          </cell>
          <cell r="I1261" t="str">
            <v>IS4</v>
          </cell>
          <cell r="J1261" t="str">
            <v>IS4 Spectrum &amp; Infrastructure Assurance</v>
          </cell>
          <cell r="K1261" t="str">
            <v>Army</v>
          </cell>
          <cell r="L1261" t="str">
            <v>DOD</v>
          </cell>
          <cell r="M1261" t="str">
            <v>TX</v>
          </cell>
          <cell r="N1261" t="str">
            <v>CONUS</v>
          </cell>
          <cell r="O1261">
            <v>43433</v>
          </cell>
          <cell r="P1261">
            <v>43738</v>
          </cell>
          <cell r="Q1261" t="str">
            <v>Sub</v>
          </cell>
          <cell r="R1261" t="str">
            <v>FFP</v>
          </cell>
          <cell r="S1261">
            <v>0</v>
          </cell>
          <cell r="T1261">
            <v>1</v>
          </cell>
          <cell r="U1261" t="str">
            <v>EBITA</v>
          </cell>
          <cell r="V1261" t="str">
            <v>Base</v>
          </cell>
          <cell r="W1261" t="str">
            <v>05 Won</v>
          </cell>
          <cell r="X1261" t="str">
            <v>Active</v>
          </cell>
          <cell r="Y1261">
            <v>1</v>
          </cell>
          <cell r="Z1261">
            <v>0</v>
          </cell>
          <cell r="AA1261">
            <v>29354.589999999967</v>
          </cell>
          <cell r="AB1261">
            <v>0</v>
          </cell>
          <cell r="AC1261">
            <v>0</v>
          </cell>
          <cell r="AD1261">
            <v>29354.589999999967</v>
          </cell>
          <cell r="AT1261">
            <v>0</v>
          </cell>
          <cell r="AU1261">
            <v>0</v>
          </cell>
          <cell r="AV1261">
            <v>0</v>
          </cell>
          <cell r="AW1261">
            <v>0.23034797824544428</v>
          </cell>
          <cell r="AX1261">
            <v>0.23134797824544429</v>
          </cell>
          <cell r="AY1261">
            <v>0.23234797824544429</v>
          </cell>
          <cell r="AZ1261">
            <v>0.23334797824544429</v>
          </cell>
          <cell r="BA1261">
            <v>0.23434797824544429</v>
          </cell>
          <cell r="BF1261">
            <v>0</v>
          </cell>
          <cell r="BG1261">
            <v>0</v>
          </cell>
          <cell r="BH1261">
            <v>0</v>
          </cell>
          <cell r="BI1261">
            <v>15715.490000000007</v>
          </cell>
          <cell r="BJ1261">
            <v>23415.400000000009</v>
          </cell>
          <cell r="BK1261">
            <v>26093.840000000004</v>
          </cell>
          <cell r="BL1261">
            <v>48530</v>
          </cell>
          <cell r="BM1261">
            <v>113754.73000000001</v>
          </cell>
          <cell r="BN1261">
            <v>0</v>
          </cell>
          <cell r="BO1261">
            <v>0</v>
          </cell>
          <cell r="BP1261">
            <v>0</v>
          </cell>
          <cell r="BQ1261">
            <v>0</v>
          </cell>
          <cell r="BR1261">
            <v>113754.73000000001</v>
          </cell>
          <cell r="BT1261">
            <v>0</v>
          </cell>
          <cell r="CA1261" t="str">
            <v>MEDCOM - EBITA - Base</v>
          </cell>
          <cell r="CC1261" t="str">
            <v>MEDCOM - EBITA - Base - IS4</v>
          </cell>
          <cell r="CD1261" t="str">
            <v/>
          </cell>
          <cell r="CF1261" t="str">
            <v>MEDCOM - Base - IS4</v>
          </cell>
        </row>
        <row r="1262">
          <cell r="D1262">
            <v>1248</v>
          </cell>
          <cell r="E1262">
            <v>0</v>
          </cell>
          <cell r="F1262">
            <v>0</v>
          </cell>
          <cell r="G1262" t="str">
            <v>MEDCOM</v>
          </cell>
          <cell r="H1262" t="str">
            <v>TPSS MEDCOM</v>
          </cell>
          <cell r="I1262" t="str">
            <v>IS4</v>
          </cell>
          <cell r="J1262" t="str">
            <v>IS4 Spectrum &amp; Infrastructure Assurance</v>
          </cell>
          <cell r="K1262" t="str">
            <v>Army</v>
          </cell>
          <cell r="L1262" t="str">
            <v>DOD</v>
          </cell>
          <cell r="M1262" t="str">
            <v>TX</v>
          </cell>
          <cell r="N1262" t="str">
            <v>CONUS</v>
          </cell>
          <cell r="O1262">
            <v>0</v>
          </cell>
          <cell r="P1262">
            <v>0</v>
          </cell>
          <cell r="Q1262">
            <v>0</v>
          </cell>
          <cell r="R1262" t="str">
            <v>FFP</v>
          </cell>
          <cell r="S1262">
            <v>0</v>
          </cell>
          <cell r="T1262">
            <v>1</v>
          </cell>
          <cell r="U1262" t="str">
            <v>EBITA</v>
          </cell>
          <cell r="V1262" t="str">
            <v>Identified - Recompete</v>
          </cell>
          <cell r="W1262">
            <v>0</v>
          </cell>
          <cell r="X1262">
            <v>0</v>
          </cell>
          <cell r="Y1262">
            <v>0</v>
          </cell>
          <cell r="Z1262">
            <v>0</v>
          </cell>
          <cell r="AA1262">
            <v>0</v>
          </cell>
          <cell r="AB1262">
            <v>0</v>
          </cell>
          <cell r="AC1262">
            <v>0</v>
          </cell>
          <cell r="AD1262">
            <v>0</v>
          </cell>
          <cell r="AX1262">
            <v>0</v>
          </cell>
          <cell r="AY1262">
            <v>0</v>
          </cell>
          <cell r="AZ1262">
            <v>0</v>
          </cell>
          <cell r="BA1262">
            <v>0</v>
          </cell>
          <cell r="BI1262">
            <v>0</v>
          </cell>
          <cell r="BJ1262">
            <v>0</v>
          </cell>
          <cell r="BK1262">
            <v>0</v>
          </cell>
          <cell r="BL1262">
            <v>0</v>
          </cell>
          <cell r="BM1262">
            <v>0</v>
          </cell>
          <cell r="BN1262">
            <v>0</v>
          </cell>
          <cell r="BO1262">
            <v>0</v>
          </cell>
          <cell r="BP1262">
            <v>0</v>
          </cell>
          <cell r="BQ1262">
            <v>0</v>
          </cell>
          <cell r="BR1262">
            <v>0</v>
          </cell>
          <cell r="BT1262">
            <v>0</v>
          </cell>
          <cell r="CA1262" t="str">
            <v>MEDCOM - EBITA - Identified - Recompete</v>
          </cell>
          <cell r="CC1262" t="str">
            <v>MEDCOM - EBITA - Identified - Recompete - IS4</v>
          </cell>
          <cell r="CD1262" t="str">
            <v/>
          </cell>
          <cell r="CF1262" t="str">
            <v>MEDCOM - Identified - Recompete - IS4</v>
          </cell>
        </row>
        <row r="1263">
          <cell r="D1263">
            <v>1249</v>
          </cell>
          <cell r="E1263">
            <v>1</v>
          </cell>
          <cell r="F1263">
            <v>1</v>
          </cell>
          <cell r="G1263" t="str">
            <v>OTHNTS</v>
          </cell>
          <cell r="H1263" t="str">
            <v>FEMA CMS (Intermedix)</v>
          </cell>
          <cell r="I1263" t="str">
            <v>IS4</v>
          </cell>
          <cell r="J1263" t="str">
            <v>IS4 Engineering and Technology Services</v>
          </cell>
          <cell r="K1263" t="str">
            <v>Other Civilian</v>
          </cell>
          <cell r="L1263" t="str">
            <v>Other</v>
          </cell>
          <cell r="M1263" t="str">
            <v>VA</v>
          </cell>
          <cell r="N1263" t="str">
            <v>CONUS</v>
          </cell>
          <cell r="O1263">
            <v>42186</v>
          </cell>
          <cell r="P1263">
            <v>43646</v>
          </cell>
          <cell r="Q1263" t="str">
            <v>Sub</v>
          </cell>
          <cell r="R1263" t="str">
            <v>FFP</v>
          </cell>
          <cell r="S1263">
            <v>0</v>
          </cell>
          <cell r="T1263">
            <v>1</v>
          </cell>
          <cell r="U1263" t="str">
            <v>REVTOT</v>
          </cell>
          <cell r="V1263" t="str">
            <v>Base</v>
          </cell>
          <cell r="W1263" t="str">
            <v>05 Won</v>
          </cell>
          <cell r="X1263" t="str">
            <v>Active</v>
          </cell>
          <cell r="Y1263">
            <v>1</v>
          </cell>
          <cell r="Z1263">
            <v>0</v>
          </cell>
          <cell r="AA1263">
            <v>83784.150000000373</v>
          </cell>
          <cell r="AB1263">
            <v>-1.1641532182693481E-10</v>
          </cell>
          <cell r="AC1263">
            <v>0</v>
          </cell>
          <cell r="AD1263">
            <v>83784.150000000256</v>
          </cell>
          <cell r="AE1263">
            <v>0.11491244193381456</v>
          </cell>
          <cell r="AF1263">
            <v>-0.28570536359153442</v>
          </cell>
          <cell r="AG1263">
            <v>0.53631603206393708</v>
          </cell>
          <cell r="AH1263">
            <v>-0.75242096398269798</v>
          </cell>
          <cell r="AI1263">
            <v>0</v>
          </cell>
          <cell r="AJ1263">
            <v>0</v>
          </cell>
          <cell r="AK1263">
            <v>0</v>
          </cell>
          <cell r="BB1263">
            <v>202028.94</v>
          </cell>
          <cell r="BC1263">
            <v>202028.94</v>
          </cell>
          <cell r="BD1263">
            <v>202028.94</v>
          </cell>
          <cell r="BE1263">
            <v>202028.94</v>
          </cell>
          <cell r="BF1263">
            <v>276598.16000000003</v>
          </cell>
          <cell r="BG1263">
            <v>308382.73</v>
          </cell>
          <cell r="BH1263">
            <v>220276.13</v>
          </cell>
          <cell r="BI1263">
            <v>97230.43</v>
          </cell>
          <cell r="BJ1263">
            <v>73426.41</v>
          </cell>
          <cell r="BK1263">
            <v>104609.28</v>
          </cell>
          <cell r="BL1263">
            <v>63147.63</v>
          </cell>
          <cell r="BM1263">
            <v>338413.75</v>
          </cell>
          <cell r="BN1263">
            <v>83784.150000000256</v>
          </cell>
          <cell r="BO1263">
            <v>0</v>
          </cell>
          <cell r="BP1263">
            <v>0</v>
          </cell>
          <cell r="BQ1263">
            <v>0</v>
          </cell>
          <cell r="BR1263">
            <v>422197.90000000026</v>
          </cell>
          <cell r="BT1263">
            <v>0</v>
          </cell>
          <cell r="CA1263" t="str">
            <v>OTHNTS - REVTOT - Base</v>
          </cell>
          <cell r="CC1263" t="str">
            <v>OTHNTS - REVTOT - Base - IS4</v>
          </cell>
          <cell r="CD1263" t="str">
            <v/>
          </cell>
          <cell r="CF1263" t="str">
            <v>OTHNTS - Base - IS4</v>
          </cell>
        </row>
        <row r="1264">
          <cell r="D1264">
            <v>1250</v>
          </cell>
          <cell r="E1264">
            <v>1</v>
          </cell>
          <cell r="F1264">
            <v>2</v>
          </cell>
          <cell r="G1264" t="str">
            <v>OTHNTS</v>
          </cell>
          <cell r="H1264" t="str">
            <v>FEMA CMS (Intermedix)</v>
          </cell>
          <cell r="I1264" t="str">
            <v>IS4</v>
          </cell>
          <cell r="J1264" t="str">
            <v>IS4 Engineering and Technology Services</v>
          </cell>
          <cell r="K1264" t="str">
            <v>Other Civilian</v>
          </cell>
          <cell r="L1264" t="str">
            <v>Other</v>
          </cell>
          <cell r="M1264" t="str">
            <v>VA</v>
          </cell>
          <cell r="N1264" t="str">
            <v>CONUS</v>
          </cell>
          <cell r="O1264">
            <v>0</v>
          </cell>
          <cell r="P1264">
            <v>0</v>
          </cell>
          <cell r="Q1264">
            <v>0</v>
          </cell>
          <cell r="R1264" t="str">
            <v>FFP</v>
          </cell>
          <cell r="S1264">
            <v>0</v>
          </cell>
          <cell r="T1264">
            <v>1</v>
          </cell>
          <cell r="U1264" t="str">
            <v>REVTOT</v>
          </cell>
          <cell r="V1264" t="str">
            <v>Identified - Recompete</v>
          </cell>
          <cell r="W1264">
            <v>0</v>
          </cell>
          <cell r="X1264">
            <v>0</v>
          </cell>
          <cell r="Y1264">
            <v>0</v>
          </cell>
          <cell r="Z1264">
            <v>0</v>
          </cell>
          <cell r="AA1264">
            <v>0</v>
          </cell>
          <cell r="AB1264">
            <v>0</v>
          </cell>
          <cell r="AC1264">
            <v>0</v>
          </cell>
          <cell r="AD1264">
            <v>0</v>
          </cell>
          <cell r="AI1264">
            <v>0</v>
          </cell>
          <cell r="AJ1264">
            <v>0</v>
          </cell>
          <cell r="AK1264">
            <v>0</v>
          </cell>
          <cell r="BB1264">
            <v>0</v>
          </cell>
          <cell r="BC1264">
            <v>0</v>
          </cell>
          <cell r="BD1264">
            <v>0</v>
          </cell>
          <cell r="BE1264">
            <v>0</v>
          </cell>
          <cell r="BI1264">
            <v>0</v>
          </cell>
          <cell r="BJ1264">
            <v>0</v>
          </cell>
          <cell r="BK1264">
            <v>0</v>
          </cell>
          <cell r="BL1264">
            <v>0</v>
          </cell>
          <cell r="BM1264">
            <v>0</v>
          </cell>
          <cell r="BN1264">
            <v>0</v>
          </cell>
          <cell r="BO1264">
            <v>0</v>
          </cell>
          <cell r="BP1264">
            <v>0</v>
          </cell>
          <cell r="BQ1264">
            <v>0</v>
          </cell>
          <cell r="BR1264">
            <v>0</v>
          </cell>
          <cell r="BT1264">
            <v>0</v>
          </cell>
          <cell r="CA1264" t="str">
            <v>OTHNTS - REVTOT - Identified - Recompete</v>
          </cell>
          <cell r="CC1264" t="str">
            <v>OTHNTS - REVTOT - Identified - Recompete - IS4</v>
          </cell>
          <cell r="CD1264" t="str">
            <v/>
          </cell>
          <cell r="CF1264" t="str">
            <v>OTHNTS - Identified - Recompete - IS4</v>
          </cell>
        </row>
        <row r="1265">
          <cell r="D1265">
            <v>1251</v>
          </cell>
          <cell r="E1265">
            <v>2</v>
          </cell>
          <cell r="F1265">
            <v>3</v>
          </cell>
          <cell r="G1265" t="str">
            <v>OTHNTS</v>
          </cell>
          <cell r="H1265" t="str">
            <v>FEMA CMS (Intermedix)</v>
          </cell>
          <cell r="I1265" t="str">
            <v>IS4</v>
          </cell>
          <cell r="J1265" t="str">
            <v>IS4 Engineering and Technology Services</v>
          </cell>
          <cell r="K1265" t="str">
            <v>Other Civilian</v>
          </cell>
          <cell r="L1265" t="str">
            <v>Other</v>
          </cell>
          <cell r="M1265" t="str">
            <v>VA</v>
          </cell>
          <cell r="N1265" t="str">
            <v>CONUS</v>
          </cell>
          <cell r="O1265">
            <v>42186</v>
          </cell>
          <cell r="P1265">
            <v>43646</v>
          </cell>
          <cell r="Q1265" t="str">
            <v>Sub</v>
          </cell>
          <cell r="R1265" t="str">
            <v>FFP</v>
          </cell>
          <cell r="S1265">
            <v>0</v>
          </cell>
          <cell r="T1265">
            <v>1</v>
          </cell>
          <cell r="U1265" t="str">
            <v>CONTRACT</v>
          </cell>
          <cell r="V1265" t="str">
            <v>Base</v>
          </cell>
          <cell r="W1265" t="str">
            <v>05 Won</v>
          </cell>
          <cell r="X1265" t="str">
            <v>Active</v>
          </cell>
          <cell r="Y1265">
            <v>1</v>
          </cell>
          <cell r="Z1265">
            <v>0</v>
          </cell>
          <cell r="AA1265">
            <v>83784.150000000373</v>
          </cell>
          <cell r="AB1265">
            <v>-1.1641532182693481E-10</v>
          </cell>
          <cell r="AC1265">
            <v>0</v>
          </cell>
          <cell r="AD1265">
            <v>83784.150000000256</v>
          </cell>
          <cell r="AL1265">
            <v>0.20535281218067394</v>
          </cell>
          <cell r="AM1265">
            <v>0.27244988719050517</v>
          </cell>
          <cell r="AN1265">
            <v>0.30230374938945948</v>
          </cell>
          <cell r="AO1265">
            <v>0.27103928253506243</v>
          </cell>
          <cell r="AP1265">
            <v>0.20469054101852935</v>
          </cell>
          <cell r="AQ1265">
            <v>0.20469054101852935</v>
          </cell>
          <cell r="AR1265">
            <v>0.20469054101852935</v>
          </cell>
          <cell r="AS1265">
            <v>0.20469054101852935</v>
          </cell>
          <cell r="BF1265">
            <v>56800.210000000006</v>
          </cell>
          <cell r="BG1265">
            <v>84018.840000000011</v>
          </cell>
          <cell r="BH1265">
            <v>66590.3</v>
          </cell>
          <cell r="BI1265">
            <v>23482.819999999989</v>
          </cell>
          <cell r="BJ1265">
            <v>19712.890000000007</v>
          </cell>
          <cell r="BK1265">
            <v>23303.259999999991</v>
          </cell>
          <cell r="BL1265">
            <v>25224.449999999997</v>
          </cell>
          <cell r="BM1265">
            <v>91723.419999999984</v>
          </cell>
          <cell r="BN1265">
            <v>17149.822992277666</v>
          </cell>
          <cell r="BO1265">
            <v>0</v>
          </cell>
          <cell r="BP1265">
            <v>0</v>
          </cell>
          <cell r="BQ1265">
            <v>0</v>
          </cell>
          <cell r="BR1265">
            <v>108873.24299227765</v>
          </cell>
          <cell r="BT1265">
            <v>0</v>
          </cell>
          <cell r="CA1265" t="str">
            <v>OTHNTS - CONTRACT - Base</v>
          </cell>
          <cell r="CC1265" t="str">
            <v>OTHNTS - CONTRACT - Base - IS4</v>
          </cell>
          <cell r="CD1265" t="str">
            <v/>
          </cell>
          <cell r="CF1265" t="str">
            <v>OTHNTS - Base - IS4</v>
          </cell>
        </row>
        <row r="1266">
          <cell r="D1266">
            <v>1252</v>
          </cell>
          <cell r="E1266">
            <v>2</v>
          </cell>
          <cell r="F1266">
            <v>4</v>
          </cell>
          <cell r="G1266" t="str">
            <v>OTHNTS</v>
          </cell>
          <cell r="H1266" t="str">
            <v>FEMA CMS (Intermedix)</v>
          </cell>
          <cell r="I1266" t="str">
            <v>IS4</v>
          </cell>
          <cell r="J1266" t="str">
            <v>IS4 Engineering and Technology Services</v>
          </cell>
          <cell r="K1266" t="str">
            <v>Other Civilian</v>
          </cell>
          <cell r="L1266" t="str">
            <v>Other</v>
          </cell>
          <cell r="M1266" t="str">
            <v>VA</v>
          </cell>
          <cell r="N1266" t="str">
            <v>CONUS</v>
          </cell>
          <cell r="O1266">
            <v>0</v>
          </cell>
          <cell r="P1266">
            <v>0</v>
          </cell>
          <cell r="Q1266">
            <v>0</v>
          </cell>
          <cell r="R1266" t="str">
            <v>FFP</v>
          </cell>
          <cell r="S1266">
            <v>0</v>
          </cell>
          <cell r="T1266">
            <v>1</v>
          </cell>
          <cell r="U1266" t="str">
            <v>CONTRACT</v>
          </cell>
          <cell r="V1266" t="str">
            <v>Identified - Recompete</v>
          </cell>
          <cell r="W1266">
            <v>0</v>
          </cell>
          <cell r="X1266">
            <v>0</v>
          </cell>
          <cell r="Y1266">
            <v>0</v>
          </cell>
          <cell r="Z1266">
            <v>0</v>
          </cell>
          <cell r="AA1266">
            <v>0</v>
          </cell>
          <cell r="AB1266">
            <v>0</v>
          </cell>
          <cell r="AC1266">
            <v>0</v>
          </cell>
          <cell r="AD1266">
            <v>0</v>
          </cell>
          <cell r="AP1266">
            <v>0</v>
          </cell>
          <cell r="AQ1266">
            <v>0</v>
          </cell>
          <cell r="AR1266">
            <v>0</v>
          </cell>
          <cell r="AS1266">
            <v>0</v>
          </cell>
          <cell r="BI1266">
            <v>0</v>
          </cell>
          <cell r="BJ1266">
            <v>0</v>
          </cell>
          <cell r="BK1266">
            <v>0</v>
          </cell>
          <cell r="BL1266">
            <v>0</v>
          </cell>
          <cell r="BM1266">
            <v>0</v>
          </cell>
          <cell r="BN1266">
            <v>0</v>
          </cell>
          <cell r="BO1266">
            <v>0</v>
          </cell>
          <cell r="BP1266">
            <v>0</v>
          </cell>
          <cell r="BQ1266">
            <v>0</v>
          </cell>
          <cell r="BR1266">
            <v>0</v>
          </cell>
          <cell r="BT1266">
            <v>0</v>
          </cell>
          <cell r="CA1266" t="str">
            <v>OTHNTS - CONTRACT - Identified - Recompete</v>
          </cell>
          <cell r="CC1266" t="str">
            <v>OTHNTS - CONTRACT - Identified - Recompete - IS4</v>
          </cell>
          <cell r="CD1266" t="str">
            <v/>
          </cell>
          <cell r="CF1266" t="str">
            <v>OTHNTS - Identified - Recompete - IS4</v>
          </cell>
        </row>
        <row r="1267">
          <cell r="D1267">
            <v>1253</v>
          </cell>
          <cell r="E1267">
            <v>0</v>
          </cell>
          <cell r="F1267">
            <v>5</v>
          </cell>
          <cell r="G1267" t="str">
            <v>OTHNTS</v>
          </cell>
          <cell r="H1267" t="str">
            <v>FEMA CMS (Intermedix)</v>
          </cell>
          <cell r="I1267" t="str">
            <v>IS4</v>
          </cell>
          <cell r="J1267" t="str">
            <v>IS4 Engineering and Technology Services</v>
          </cell>
          <cell r="K1267" t="str">
            <v>Other Civilian</v>
          </cell>
          <cell r="L1267" t="str">
            <v>Other</v>
          </cell>
          <cell r="M1267" t="str">
            <v>VA</v>
          </cell>
          <cell r="N1267" t="str">
            <v>CONUS</v>
          </cell>
          <cell r="O1267">
            <v>42186</v>
          </cell>
          <cell r="P1267">
            <v>43646</v>
          </cell>
          <cell r="Q1267" t="str">
            <v>Sub</v>
          </cell>
          <cell r="R1267" t="str">
            <v>FFP</v>
          </cell>
          <cell r="S1267">
            <v>0</v>
          </cell>
          <cell r="T1267">
            <v>1</v>
          </cell>
          <cell r="U1267" t="str">
            <v>EBITA</v>
          </cell>
          <cell r="V1267" t="str">
            <v>Base</v>
          </cell>
          <cell r="W1267" t="str">
            <v>05 Won</v>
          </cell>
          <cell r="X1267" t="str">
            <v>Active</v>
          </cell>
          <cell r="Y1267">
            <v>1</v>
          </cell>
          <cell r="Z1267">
            <v>0</v>
          </cell>
          <cell r="AA1267">
            <v>83784.150000000373</v>
          </cell>
          <cell r="AB1267">
            <v>-1.1641532182693481E-10</v>
          </cell>
          <cell r="AC1267">
            <v>0</v>
          </cell>
          <cell r="AD1267">
            <v>83784.150000000256</v>
          </cell>
          <cell r="AT1267">
            <v>0.12917143049686233</v>
          </cell>
          <cell r="AU1267">
            <v>0.18650707191028504</v>
          </cell>
          <cell r="AV1267">
            <v>0.22010560109259225</v>
          </cell>
          <cell r="AW1267">
            <v>0.18348128585200804</v>
          </cell>
          <cell r="AX1267">
            <v>0.10657865259232165</v>
          </cell>
          <cell r="AY1267">
            <v>0.10757865259232165</v>
          </cell>
          <cell r="AZ1267">
            <v>0.10857865259232165</v>
          </cell>
          <cell r="BA1267">
            <v>0.10957865259232165</v>
          </cell>
          <cell r="BF1267">
            <v>35728.580000000009</v>
          </cell>
          <cell r="BG1267">
            <v>57515.560000000012</v>
          </cell>
          <cell r="BH1267">
            <v>48484.009999999995</v>
          </cell>
          <cell r="BI1267">
            <v>15033.129999999988</v>
          </cell>
          <cell r="BJ1267">
            <v>13482.280000000008</v>
          </cell>
          <cell r="BK1267">
            <v>13152.339999999991</v>
          </cell>
          <cell r="BL1267">
            <v>20424.839999999997</v>
          </cell>
          <cell r="BM1267">
            <v>62092.589999999982</v>
          </cell>
          <cell r="BN1267">
            <v>8929.6018155929924</v>
          </cell>
          <cell r="BO1267">
            <v>0</v>
          </cell>
          <cell r="BP1267">
            <v>0</v>
          </cell>
          <cell r="BQ1267">
            <v>0</v>
          </cell>
          <cell r="BR1267">
            <v>71022.191815592974</v>
          </cell>
          <cell r="BT1267">
            <v>0</v>
          </cell>
          <cell r="CA1267" t="str">
            <v>OTHNTS - EBITA - Base</v>
          </cell>
          <cell r="CC1267" t="str">
            <v>OTHNTS - EBITA - Base - IS4</v>
          </cell>
          <cell r="CD1267" t="str">
            <v/>
          </cell>
          <cell r="CF1267" t="str">
            <v>OTHNTS - Base - IS4</v>
          </cell>
        </row>
        <row r="1268">
          <cell r="D1268">
            <v>1254</v>
          </cell>
          <cell r="E1268">
            <v>0</v>
          </cell>
          <cell r="F1268">
            <v>0</v>
          </cell>
          <cell r="G1268" t="str">
            <v>OTHNTS</v>
          </cell>
          <cell r="H1268" t="str">
            <v>FEMA CMS (Intermedix)</v>
          </cell>
          <cell r="I1268" t="str">
            <v>IS4</v>
          </cell>
          <cell r="J1268" t="str">
            <v>IS4 Engineering and Technology Services</v>
          </cell>
          <cell r="K1268" t="str">
            <v>Other Civilian</v>
          </cell>
          <cell r="L1268" t="str">
            <v>Other</v>
          </cell>
          <cell r="M1268" t="str">
            <v>VA</v>
          </cell>
          <cell r="N1268" t="str">
            <v>CONUS</v>
          </cell>
          <cell r="O1268">
            <v>0</v>
          </cell>
          <cell r="P1268">
            <v>0</v>
          </cell>
          <cell r="Q1268">
            <v>0</v>
          </cell>
          <cell r="R1268" t="str">
            <v>FFP</v>
          </cell>
          <cell r="S1268">
            <v>0</v>
          </cell>
          <cell r="T1268">
            <v>1</v>
          </cell>
          <cell r="U1268" t="str">
            <v>EBITA</v>
          </cell>
          <cell r="V1268" t="str">
            <v>Identified - Recompete</v>
          </cell>
          <cell r="W1268">
            <v>0</v>
          </cell>
          <cell r="X1268">
            <v>0</v>
          </cell>
          <cell r="Y1268">
            <v>0</v>
          </cell>
          <cell r="Z1268">
            <v>0</v>
          </cell>
          <cell r="AA1268">
            <v>0</v>
          </cell>
          <cell r="AB1268">
            <v>0</v>
          </cell>
          <cell r="AC1268">
            <v>0</v>
          </cell>
          <cell r="AD1268">
            <v>0</v>
          </cell>
          <cell r="AX1268">
            <v>0</v>
          </cell>
          <cell r="AY1268">
            <v>0</v>
          </cell>
          <cell r="AZ1268">
            <v>0</v>
          </cell>
          <cell r="BA1268">
            <v>0</v>
          </cell>
          <cell r="BI1268">
            <v>0</v>
          </cell>
          <cell r="BJ1268">
            <v>0</v>
          </cell>
          <cell r="BK1268">
            <v>0</v>
          </cell>
          <cell r="BL1268">
            <v>0</v>
          </cell>
          <cell r="BM1268">
            <v>0</v>
          </cell>
          <cell r="BN1268">
            <v>0</v>
          </cell>
          <cell r="BO1268">
            <v>0</v>
          </cell>
          <cell r="BP1268">
            <v>0</v>
          </cell>
          <cell r="BQ1268">
            <v>0</v>
          </cell>
          <cell r="BR1268">
            <v>0</v>
          </cell>
          <cell r="BT1268">
            <v>0</v>
          </cell>
          <cell r="CA1268" t="str">
            <v>OTHNTS - EBITA - Identified - Recompete</v>
          </cell>
          <cell r="CC1268" t="str">
            <v>OTHNTS - EBITA - Identified - Recompete - IS4</v>
          </cell>
          <cell r="CD1268" t="str">
            <v/>
          </cell>
          <cell r="CF1268" t="str">
            <v>OTHNTS - Identified - Recompete - IS4</v>
          </cell>
        </row>
        <row r="1269">
          <cell r="D1269">
            <v>1255</v>
          </cell>
          <cell r="E1269">
            <v>1</v>
          </cell>
          <cell r="F1269">
            <v>1</v>
          </cell>
          <cell r="G1269" t="str">
            <v>0TYCOM</v>
          </cell>
          <cell r="H1269" t="str">
            <v>Tycom</v>
          </cell>
          <cell r="I1269" t="str">
            <v>IS4</v>
          </cell>
          <cell r="J1269" t="str">
            <v>IS4 Sustainment Engineering and Acquisition</v>
          </cell>
          <cell r="K1269" t="str">
            <v>Navy</v>
          </cell>
          <cell r="L1269" t="str">
            <v>DOD</v>
          </cell>
          <cell r="M1269" t="str">
            <v>VA</v>
          </cell>
          <cell r="N1269" t="str">
            <v>CONUS</v>
          </cell>
          <cell r="O1269">
            <v>43579</v>
          </cell>
          <cell r="P1269">
            <v>43944</v>
          </cell>
          <cell r="Q1269" t="str">
            <v>Sub</v>
          </cell>
          <cell r="R1269" t="str">
            <v>FFP</v>
          </cell>
          <cell r="S1269">
            <v>0</v>
          </cell>
          <cell r="T1269">
            <v>1</v>
          </cell>
          <cell r="U1269" t="str">
            <v>REVTOT</v>
          </cell>
          <cell r="V1269" t="str">
            <v>Base</v>
          </cell>
          <cell r="W1269" t="str">
            <v>05 Won</v>
          </cell>
          <cell r="X1269" t="str">
            <v>Active</v>
          </cell>
          <cell r="Y1269">
            <v>1</v>
          </cell>
          <cell r="Z1269">
            <v>0</v>
          </cell>
          <cell r="AA1269">
            <v>232501.63</v>
          </cell>
          <cell r="AB1269">
            <v>1706913.16</v>
          </cell>
          <cell r="AC1269">
            <v>0</v>
          </cell>
          <cell r="AD1269">
            <v>1939414.79</v>
          </cell>
          <cell r="AE1269">
            <v>0</v>
          </cell>
          <cell r="AF1269">
            <v>0</v>
          </cell>
          <cell r="AG1269">
            <v>0</v>
          </cell>
          <cell r="AH1269">
            <v>1.1973212656776195</v>
          </cell>
          <cell r="AI1269">
            <v>0</v>
          </cell>
          <cell r="AJ1269">
            <v>0</v>
          </cell>
          <cell r="AK1269">
            <v>0</v>
          </cell>
          <cell r="BB1269">
            <v>388080.90610543499</v>
          </cell>
          <cell r="BC1269">
            <v>388080.90610543499</v>
          </cell>
          <cell r="BD1269">
            <v>388080.90610543499</v>
          </cell>
          <cell r="BE1269">
            <v>388080.90610543499</v>
          </cell>
          <cell r="BF1269">
            <v>0</v>
          </cell>
          <cell r="BG1269">
            <v>0</v>
          </cell>
          <cell r="BH1269">
            <v>0</v>
          </cell>
          <cell r="BI1269">
            <v>0</v>
          </cell>
          <cell r="BJ1269">
            <v>0</v>
          </cell>
          <cell r="BK1269">
            <v>74096.509999999995</v>
          </cell>
          <cell r="BL1269">
            <v>102518.95</v>
          </cell>
          <cell r="BM1269">
            <v>176615.46</v>
          </cell>
          <cell r="BN1269">
            <v>388080.90610543499</v>
          </cell>
          <cell r="BO1269">
            <v>388080.90610543499</v>
          </cell>
          <cell r="BP1269">
            <v>388080.90610543499</v>
          </cell>
          <cell r="BQ1269">
            <v>388080.90610543499</v>
          </cell>
          <cell r="BR1269">
            <v>1728939.0844217399</v>
          </cell>
          <cell r="BT1269">
            <v>0</v>
          </cell>
          <cell r="CA1269" t="str">
            <v>0TYCOM - REVTOT - Base</v>
          </cell>
          <cell r="CC1269" t="str">
            <v>0TYCOM - REVTOT - Base - IS4</v>
          </cell>
          <cell r="CD1269" t="str">
            <v/>
          </cell>
          <cell r="CF1269" t="str">
            <v>0TYCOM - Base - IS4</v>
          </cell>
        </row>
        <row r="1270">
          <cell r="D1270">
            <v>1256</v>
          </cell>
          <cell r="E1270">
            <v>1</v>
          </cell>
          <cell r="F1270">
            <v>2</v>
          </cell>
          <cell r="G1270" t="str">
            <v>0TYCOM</v>
          </cell>
          <cell r="H1270" t="str">
            <v>Tycom</v>
          </cell>
          <cell r="I1270" t="str">
            <v>IS4</v>
          </cell>
          <cell r="J1270" t="str">
            <v>IS4 Sustainment Engineering and Acquisition</v>
          </cell>
          <cell r="K1270" t="str">
            <v>Navy</v>
          </cell>
          <cell r="L1270" t="str">
            <v>DOD</v>
          </cell>
          <cell r="M1270" t="str">
            <v>VA</v>
          </cell>
          <cell r="N1270" t="str">
            <v>CONUS</v>
          </cell>
          <cell r="O1270">
            <v>0</v>
          </cell>
          <cell r="P1270">
            <v>0</v>
          </cell>
          <cell r="Q1270">
            <v>0</v>
          </cell>
          <cell r="R1270" t="str">
            <v>FFP</v>
          </cell>
          <cell r="S1270">
            <v>0</v>
          </cell>
          <cell r="T1270">
            <v>1</v>
          </cell>
          <cell r="U1270" t="str">
            <v>REVTOT</v>
          </cell>
          <cell r="V1270" t="str">
            <v>Identified - Recompete</v>
          </cell>
          <cell r="W1270">
            <v>0</v>
          </cell>
          <cell r="X1270">
            <v>0</v>
          </cell>
          <cell r="Y1270">
            <v>0</v>
          </cell>
          <cell r="Z1270">
            <v>0</v>
          </cell>
          <cell r="AA1270">
            <v>0</v>
          </cell>
          <cell r="AB1270">
            <v>0</v>
          </cell>
          <cell r="AC1270">
            <v>0</v>
          </cell>
          <cell r="AD1270">
            <v>0</v>
          </cell>
          <cell r="AI1270">
            <v>0</v>
          </cell>
          <cell r="AJ1270">
            <v>0</v>
          </cell>
          <cell r="AK1270">
            <v>0</v>
          </cell>
          <cell r="BB1270">
            <v>0</v>
          </cell>
          <cell r="BC1270">
            <v>0</v>
          </cell>
          <cell r="BD1270">
            <v>0</v>
          </cell>
          <cell r="BE1270">
            <v>0</v>
          </cell>
          <cell r="BI1270">
            <v>0</v>
          </cell>
          <cell r="BJ1270">
            <v>0</v>
          </cell>
          <cell r="BK1270">
            <v>0</v>
          </cell>
          <cell r="BL1270">
            <v>0</v>
          </cell>
          <cell r="BM1270">
            <v>0</v>
          </cell>
          <cell r="BN1270">
            <v>0</v>
          </cell>
          <cell r="BO1270">
            <v>0</v>
          </cell>
          <cell r="BP1270">
            <v>0</v>
          </cell>
          <cell r="BQ1270">
            <v>0</v>
          </cell>
          <cell r="BR1270">
            <v>0</v>
          </cell>
          <cell r="BT1270">
            <v>0</v>
          </cell>
          <cell r="CA1270" t="str">
            <v>0TYCOM - REVTOT - Identified - Recompete</v>
          </cell>
          <cell r="CC1270" t="str">
            <v>0TYCOM - REVTOT - Identified - Recompete - IS4</v>
          </cell>
          <cell r="CD1270" t="str">
            <v/>
          </cell>
          <cell r="CF1270" t="str">
            <v>0TYCOM - Identified - Recompete - IS4</v>
          </cell>
        </row>
        <row r="1271">
          <cell r="D1271">
            <v>1257</v>
          </cell>
          <cell r="E1271">
            <v>2</v>
          </cell>
          <cell r="F1271">
            <v>3</v>
          </cell>
          <cell r="G1271" t="str">
            <v>0TYCOM</v>
          </cell>
          <cell r="H1271" t="str">
            <v>Tycom</v>
          </cell>
          <cell r="I1271" t="str">
            <v>IS4</v>
          </cell>
          <cell r="J1271" t="str">
            <v>IS4 Sustainment Engineering and Acquisition</v>
          </cell>
          <cell r="K1271" t="str">
            <v>Navy</v>
          </cell>
          <cell r="L1271" t="str">
            <v>DOD</v>
          </cell>
          <cell r="M1271" t="str">
            <v>VA</v>
          </cell>
          <cell r="N1271" t="str">
            <v>CONUS</v>
          </cell>
          <cell r="O1271">
            <v>43579</v>
          </cell>
          <cell r="P1271">
            <v>43944</v>
          </cell>
          <cell r="Q1271" t="str">
            <v>Sub</v>
          </cell>
          <cell r="R1271" t="str">
            <v>FFP</v>
          </cell>
          <cell r="S1271">
            <v>0</v>
          </cell>
          <cell r="T1271">
            <v>1</v>
          </cell>
          <cell r="U1271" t="str">
            <v>CONTRACT</v>
          </cell>
          <cell r="V1271" t="str">
            <v>Base</v>
          </cell>
          <cell r="W1271" t="str">
            <v>05 Won</v>
          </cell>
          <cell r="X1271" t="str">
            <v>Active</v>
          </cell>
          <cell r="Y1271">
            <v>1</v>
          </cell>
          <cell r="Z1271">
            <v>0</v>
          </cell>
          <cell r="AA1271">
            <v>232501.63</v>
          </cell>
          <cell r="AB1271">
            <v>1706913.16</v>
          </cell>
          <cell r="AC1271">
            <v>0</v>
          </cell>
          <cell r="AD1271">
            <v>1939414.79</v>
          </cell>
          <cell r="AL1271">
            <v>0</v>
          </cell>
          <cell r="AM1271">
            <v>0</v>
          </cell>
          <cell r="AN1271">
            <v>0</v>
          </cell>
          <cell r="AO1271">
            <v>0.15977616002585499</v>
          </cell>
          <cell r="AP1271">
            <v>0.15043883627867408</v>
          </cell>
          <cell r="AQ1271">
            <v>0.15043883627867408</v>
          </cell>
          <cell r="AR1271">
            <v>0.15043883627867408</v>
          </cell>
          <cell r="AS1271">
            <v>0.15043883627867408</v>
          </cell>
          <cell r="BF1271">
            <v>0</v>
          </cell>
          <cell r="BG1271">
            <v>0</v>
          </cell>
          <cell r="BH1271">
            <v>0</v>
          </cell>
          <cell r="BI1271">
            <v>0</v>
          </cell>
          <cell r="BJ1271">
            <v>0</v>
          </cell>
          <cell r="BK1271">
            <v>11805.749999999989</v>
          </cell>
          <cell r="BL1271">
            <v>16413.189999999999</v>
          </cell>
          <cell r="BM1271">
            <v>28218.939999999988</v>
          </cell>
          <cell r="BN1271">
            <v>58382.439896475022</v>
          </cell>
          <cell r="BO1271">
            <v>58382.439896475022</v>
          </cell>
          <cell r="BP1271">
            <v>58382.439896475022</v>
          </cell>
          <cell r="BQ1271">
            <v>58382.439896475022</v>
          </cell>
          <cell r="BR1271">
            <v>261748.69958590009</v>
          </cell>
          <cell r="BT1271">
            <v>0</v>
          </cell>
          <cell r="CA1271" t="str">
            <v>0TYCOM - CONTRACT - Base</v>
          </cell>
          <cell r="CC1271" t="str">
            <v>0TYCOM - CONTRACT - Base - IS4</v>
          </cell>
          <cell r="CD1271" t="str">
            <v/>
          </cell>
          <cell r="CF1271" t="str">
            <v>0TYCOM - Base - IS4</v>
          </cell>
        </row>
        <row r="1272">
          <cell r="D1272">
            <v>1258</v>
          </cell>
          <cell r="E1272">
            <v>2</v>
          </cell>
          <cell r="F1272">
            <v>4</v>
          </cell>
          <cell r="G1272" t="str">
            <v>0TYCOM</v>
          </cell>
          <cell r="H1272" t="str">
            <v>Tycom</v>
          </cell>
          <cell r="I1272" t="str">
            <v>IS4</v>
          </cell>
          <cell r="J1272" t="str">
            <v>IS4 Sustainment Engineering and Acquisition</v>
          </cell>
          <cell r="K1272" t="str">
            <v>Navy</v>
          </cell>
          <cell r="L1272" t="str">
            <v>DOD</v>
          </cell>
          <cell r="M1272" t="str">
            <v>VA</v>
          </cell>
          <cell r="N1272" t="str">
            <v>CONUS</v>
          </cell>
          <cell r="O1272">
            <v>0</v>
          </cell>
          <cell r="P1272">
            <v>0</v>
          </cell>
          <cell r="Q1272">
            <v>0</v>
          </cell>
          <cell r="R1272" t="str">
            <v>FFP</v>
          </cell>
          <cell r="S1272">
            <v>0</v>
          </cell>
          <cell r="T1272">
            <v>1</v>
          </cell>
          <cell r="U1272" t="str">
            <v>CONTRACT</v>
          </cell>
          <cell r="V1272" t="str">
            <v>Identified - Recompete</v>
          </cell>
          <cell r="W1272">
            <v>0</v>
          </cell>
          <cell r="X1272">
            <v>0</v>
          </cell>
          <cell r="Y1272">
            <v>0</v>
          </cell>
          <cell r="Z1272">
            <v>0</v>
          </cell>
          <cell r="AA1272">
            <v>0</v>
          </cell>
          <cell r="AB1272">
            <v>0</v>
          </cell>
          <cell r="AC1272">
            <v>0</v>
          </cell>
          <cell r="AD1272">
            <v>0</v>
          </cell>
          <cell r="AP1272">
            <v>0</v>
          </cell>
          <cell r="AQ1272">
            <v>0</v>
          </cell>
          <cell r="AR1272">
            <v>0</v>
          </cell>
          <cell r="AS1272">
            <v>0</v>
          </cell>
          <cell r="BI1272">
            <v>0</v>
          </cell>
          <cell r="BJ1272">
            <v>0</v>
          </cell>
          <cell r="BK1272">
            <v>0</v>
          </cell>
          <cell r="BL1272">
            <v>0</v>
          </cell>
          <cell r="BM1272">
            <v>0</v>
          </cell>
          <cell r="BN1272">
            <v>0</v>
          </cell>
          <cell r="BO1272">
            <v>0</v>
          </cell>
          <cell r="BP1272">
            <v>0</v>
          </cell>
          <cell r="BQ1272">
            <v>0</v>
          </cell>
          <cell r="BR1272">
            <v>0</v>
          </cell>
          <cell r="BT1272">
            <v>0</v>
          </cell>
          <cell r="CA1272" t="str">
            <v>0TYCOM - CONTRACT - Identified - Recompete</v>
          </cell>
          <cell r="CC1272" t="str">
            <v>0TYCOM - CONTRACT - Identified - Recompete - IS4</v>
          </cell>
          <cell r="CD1272" t="str">
            <v/>
          </cell>
          <cell r="CF1272" t="str">
            <v>0TYCOM - Identified - Recompete - IS4</v>
          </cell>
        </row>
        <row r="1273">
          <cell r="D1273">
            <v>1259</v>
          </cell>
          <cell r="E1273">
            <v>0</v>
          </cell>
          <cell r="F1273">
            <v>5</v>
          </cell>
          <cell r="G1273" t="str">
            <v>0TYCOM</v>
          </cell>
          <cell r="H1273" t="str">
            <v>Tycom</v>
          </cell>
          <cell r="I1273" t="str">
            <v>IS4</v>
          </cell>
          <cell r="J1273" t="str">
            <v>IS4 Sustainment Engineering and Acquisition</v>
          </cell>
          <cell r="K1273" t="str">
            <v>Navy</v>
          </cell>
          <cell r="L1273" t="str">
            <v>DOD</v>
          </cell>
          <cell r="M1273" t="str">
            <v>VA</v>
          </cell>
          <cell r="N1273" t="str">
            <v>CONUS</v>
          </cell>
          <cell r="O1273">
            <v>43579</v>
          </cell>
          <cell r="P1273">
            <v>43944</v>
          </cell>
          <cell r="Q1273" t="str">
            <v>Sub</v>
          </cell>
          <cell r="R1273" t="str">
            <v>FFP</v>
          </cell>
          <cell r="S1273">
            <v>0</v>
          </cell>
          <cell r="T1273">
            <v>1</v>
          </cell>
          <cell r="U1273" t="str">
            <v>EBITA</v>
          </cell>
          <cell r="V1273" t="str">
            <v>Base</v>
          </cell>
          <cell r="W1273" t="str">
            <v>05 Won</v>
          </cell>
          <cell r="X1273" t="str">
            <v>Active</v>
          </cell>
          <cell r="Y1273">
            <v>1</v>
          </cell>
          <cell r="Z1273">
            <v>0</v>
          </cell>
          <cell r="AA1273">
            <v>232501.63</v>
          </cell>
          <cell r="AB1273">
            <v>1706913.16</v>
          </cell>
          <cell r="AC1273">
            <v>0</v>
          </cell>
          <cell r="AD1273">
            <v>1939414.79</v>
          </cell>
          <cell r="AT1273">
            <v>0</v>
          </cell>
          <cell r="AU1273">
            <v>0</v>
          </cell>
          <cell r="AV1273">
            <v>0</v>
          </cell>
          <cell r="AW1273">
            <v>4.0275975840393531E-2</v>
          </cell>
          <cell r="AX1273">
            <v>3.0126408484388044E-2</v>
          </cell>
          <cell r="AY1273">
            <v>3.1126408484388045E-2</v>
          </cell>
          <cell r="AZ1273">
            <v>3.2126408484388046E-2</v>
          </cell>
          <cell r="BA1273">
            <v>3.3126408484388047E-2</v>
          </cell>
          <cell r="BF1273">
            <v>0</v>
          </cell>
          <cell r="BG1273">
            <v>0</v>
          </cell>
          <cell r="BH1273">
            <v>0</v>
          </cell>
          <cell r="BI1273">
            <v>0</v>
          </cell>
          <cell r="BJ1273">
            <v>0</v>
          </cell>
          <cell r="BK1273">
            <v>2968.3399999999892</v>
          </cell>
          <cell r="BL1273">
            <v>4145.0200000000004</v>
          </cell>
          <cell r="BM1273">
            <v>7113.3599999999897</v>
          </cell>
          <cell r="BN1273">
            <v>11691.483902323776</v>
          </cell>
          <cell r="BO1273">
            <v>12079.564808429212</v>
          </cell>
          <cell r="BP1273">
            <v>12467.645714534647</v>
          </cell>
          <cell r="BQ1273">
            <v>12855.726620640082</v>
          </cell>
          <cell r="BR1273">
            <v>56207.78104592771</v>
          </cell>
          <cell r="BT1273">
            <v>0</v>
          </cell>
          <cell r="CA1273" t="str">
            <v>0TYCOM - EBITA - Base</v>
          </cell>
          <cell r="CC1273" t="str">
            <v>0TYCOM - EBITA - Base - IS4</v>
          </cell>
          <cell r="CD1273" t="str">
            <v/>
          </cell>
          <cell r="CF1273" t="str">
            <v>0TYCOM - Base - IS4</v>
          </cell>
        </row>
        <row r="1274">
          <cell r="D1274">
            <v>1260</v>
          </cell>
          <cell r="E1274">
            <v>0</v>
          </cell>
          <cell r="F1274">
            <v>0</v>
          </cell>
          <cell r="G1274" t="str">
            <v>0TYCOM</v>
          </cell>
          <cell r="H1274" t="str">
            <v>Tycom</v>
          </cell>
          <cell r="I1274" t="str">
            <v>IS4</v>
          </cell>
          <cell r="J1274" t="str">
            <v>IS4 Sustainment Engineering and Acquisition</v>
          </cell>
          <cell r="K1274" t="str">
            <v>Navy</v>
          </cell>
          <cell r="L1274" t="str">
            <v>DOD</v>
          </cell>
          <cell r="M1274" t="str">
            <v>VA</v>
          </cell>
          <cell r="N1274" t="str">
            <v>CONUS</v>
          </cell>
          <cell r="O1274">
            <v>0</v>
          </cell>
          <cell r="P1274">
            <v>0</v>
          </cell>
          <cell r="Q1274">
            <v>0</v>
          </cell>
          <cell r="R1274" t="str">
            <v>FFP</v>
          </cell>
          <cell r="S1274">
            <v>0</v>
          </cell>
          <cell r="T1274">
            <v>1</v>
          </cell>
          <cell r="U1274" t="str">
            <v>EBITA</v>
          </cell>
          <cell r="V1274" t="str">
            <v>Identified - Recompete</v>
          </cell>
          <cell r="W1274">
            <v>0</v>
          </cell>
          <cell r="X1274">
            <v>0</v>
          </cell>
          <cell r="Y1274">
            <v>0</v>
          </cell>
          <cell r="Z1274">
            <v>0</v>
          </cell>
          <cell r="AA1274">
            <v>0</v>
          </cell>
          <cell r="AB1274">
            <v>0</v>
          </cell>
          <cell r="AC1274">
            <v>0</v>
          </cell>
          <cell r="AD1274">
            <v>0</v>
          </cell>
          <cell r="AX1274">
            <v>0</v>
          </cell>
          <cell r="AY1274">
            <v>0</v>
          </cell>
          <cell r="AZ1274">
            <v>0</v>
          </cell>
          <cell r="BA1274">
            <v>0</v>
          </cell>
          <cell r="BI1274">
            <v>0</v>
          </cell>
          <cell r="BJ1274">
            <v>0</v>
          </cell>
          <cell r="BK1274">
            <v>0</v>
          </cell>
          <cell r="BL1274">
            <v>0</v>
          </cell>
          <cell r="BM1274">
            <v>0</v>
          </cell>
          <cell r="BN1274">
            <v>0</v>
          </cell>
          <cell r="BO1274">
            <v>0</v>
          </cell>
          <cell r="BP1274">
            <v>0</v>
          </cell>
          <cell r="BQ1274">
            <v>0</v>
          </cell>
          <cell r="BR1274">
            <v>0</v>
          </cell>
          <cell r="BT1274">
            <v>0</v>
          </cell>
          <cell r="CA1274" t="str">
            <v>0TYCOM - EBITA - Identified - Recompete</v>
          </cell>
          <cell r="CC1274" t="str">
            <v>0TYCOM - EBITA - Identified - Recompete - IS4</v>
          </cell>
          <cell r="CD1274" t="str">
            <v/>
          </cell>
          <cell r="CF1274" t="str">
            <v>0TYCOM - Identified - Recompete - IS4</v>
          </cell>
        </row>
        <row r="1275">
          <cell r="D1275">
            <v>1261</v>
          </cell>
          <cell r="E1275">
            <v>1</v>
          </cell>
          <cell r="F1275">
            <v>1</v>
          </cell>
          <cell r="G1275" t="str">
            <v>003556</v>
          </cell>
          <cell r="H1275" t="str">
            <v>3556 EB HTML</v>
          </cell>
          <cell r="I1275" t="str">
            <v>IS4</v>
          </cell>
          <cell r="J1275" t="str">
            <v>IS4 Sustainment Engineering and Acquisition</v>
          </cell>
          <cell r="K1275" t="str">
            <v>Navy</v>
          </cell>
          <cell r="L1275" t="str">
            <v>DOD</v>
          </cell>
          <cell r="M1275" t="str">
            <v>CT</v>
          </cell>
          <cell r="N1275" t="str">
            <v>CONUS</v>
          </cell>
          <cell r="O1275">
            <v>43293</v>
          </cell>
          <cell r="P1275">
            <v>43784</v>
          </cell>
          <cell r="Q1275" t="str">
            <v>Sub</v>
          </cell>
          <cell r="R1275" t="str">
            <v>FFP</v>
          </cell>
          <cell r="S1275">
            <v>0</v>
          </cell>
          <cell r="T1275">
            <v>1</v>
          </cell>
          <cell r="U1275" t="str">
            <v>REVTOT</v>
          </cell>
          <cell r="V1275" t="str">
            <v>Base</v>
          </cell>
          <cell r="W1275" t="str">
            <v>05 Won</v>
          </cell>
          <cell r="X1275" t="str">
            <v>Active</v>
          </cell>
          <cell r="Y1275">
            <v>1</v>
          </cell>
          <cell r="Z1275">
            <v>0</v>
          </cell>
          <cell r="AA1275">
            <v>271620.35000000003</v>
          </cell>
          <cell r="AB1275">
            <v>0</v>
          </cell>
          <cell r="AC1275">
            <v>0</v>
          </cell>
          <cell r="AD1275">
            <v>271620.35000000003</v>
          </cell>
          <cell r="AE1275">
            <v>0</v>
          </cell>
          <cell r="AF1275">
            <v>0</v>
          </cell>
          <cell r="AG1275">
            <v>5.8604941991343704</v>
          </cell>
          <cell r="AH1275">
            <v>-0.68866893655140493</v>
          </cell>
          <cell r="AI1275">
            <v>0</v>
          </cell>
          <cell r="AJ1275">
            <v>0</v>
          </cell>
          <cell r="AK1275">
            <v>0</v>
          </cell>
          <cell r="BB1275">
            <v>129940</v>
          </cell>
          <cell r="BC1275">
            <v>129940</v>
          </cell>
          <cell r="BD1275">
            <v>129940</v>
          </cell>
          <cell r="BE1275">
            <v>129940</v>
          </cell>
          <cell r="BF1275">
            <v>0</v>
          </cell>
          <cell r="BG1275">
            <v>0</v>
          </cell>
          <cell r="BH1275">
            <v>60836.61</v>
          </cell>
          <cell r="BI1275">
            <v>6960.2000000000007</v>
          </cell>
          <cell r="BJ1275">
            <v>95178.4</v>
          </cell>
          <cell r="BK1275">
            <v>166877.17000000001</v>
          </cell>
          <cell r="BL1275">
            <v>148353.44</v>
          </cell>
          <cell r="BM1275">
            <v>417369.21</v>
          </cell>
          <cell r="BN1275">
            <v>129940</v>
          </cell>
          <cell r="BO1275">
            <v>129940</v>
          </cell>
          <cell r="BP1275">
            <v>11740.350000000035</v>
          </cell>
          <cell r="BQ1275">
            <v>0</v>
          </cell>
          <cell r="BR1275">
            <v>688989.56</v>
          </cell>
          <cell r="BT1275">
            <v>0</v>
          </cell>
          <cell r="CA1275" t="str">
            <v>003556 - REVTOT - Base</v>
          </cell>
          <cell r="CC1275" t="str">
            <v>003556 - REVTOT - Base - IS4</v>
          </cell>
          <cell r="CD1275" t="str">
            <v/>
          </cell>
          <cell r="CF1275" t="str">
            <v>003556 - Base - IS4</v>
          </cell>
        </row>
        <row r="1276">
          <cell r="D1276">
            <v>1262</v>
          </cell>
          <cell r="E1276">
            <v>1</v>
          </cell>
          <cell r="F1276">
            <v>2</v>
          </cell>
          <cell r="G1276" t="str">
            <v>003556</v>
          </cell>
          <cell r="H1276" t="str">
            <v>3556 EB HTML</v>
          </cell>
          <cell r="I1276" t="str">
            <v>IS4</v>
          </cell>
          <cell r="J1276" t="str">
            <v>IS4 Sustainment Engineering and Acquisition</v>
          </cell>
          <cell r="K1276" t="str">
            <v>Navy</v>
          </cell>
          <cell r="L1276" t="str">
            <v>DOD</v>
          </cell>
          <cell r="M1276" t="str">
            <v>CT</v>
          </cell>
          <cell r="N1276" t="str">
            <v>CONUS</v>
          </cell>
          <cell r="O1276">
            <v>0</v>
          </cell>
          <cell r="P1276">
            <v>0</v>
          </cell>
          <cell r="Q1276">
            <v>0</v>
          </cell>
          <cell r="R1276" t="str">
            <v>FFP</v>
          </cell>
          <cell r="S1276">
            <v>0</v>
          </cell>
          <cell r="T1276">
            <v>1</v>
          </cell>
          <cell r="U1276" t="str">
            <v>REVTOT</v>
          </cell>
          <cell r="V1276" t="str">
            <v>Identified - Recompete</v>
          </cell>
          <cell r="W1276">
            <v>0</v>
          </cell>
          <cell r="X1276">
            <v>0</v>
          </cell>
          <cell r="Y1276">
            <v>0</v>
          </cell>
          <cell r="Z1276">
            <v>0</v>
          </cell>
          <cell r="AA1276">
            <v>0</v>
          </cell>
          <cell r="AB1276">
            <v>0</v>
          </cell>
          <cell r="AC1276">
            <v>0</v>
          </cell>
          <cell r="AD1276">
            <v>0</v>
          </cell>
          <cell r="AI1276">
            <v>0</v>
          </cell>
          <cell r="AJ1276">
            <v>0</v>
          </cell>
          <cell r="AK1276">
            <v>0</v>
          </cell>
          <cell r="BB1276">
            <v>0</v>
          </cell>
          <cell r="BC1276">
            <v>0</v>
          </cell>
          <cell r="BD1276">
            <v>0</v>
          </cell>
          <cell r="BE1276">
            <v>0</v>
          </cell>
          <cell r="BI1276">
            <v>0</v>
          </cell>
          <cell r="BJ1276">
            <v>0</v>
          </cell>
          <cell r="BK1276">
            <v>0</v>
          </cell>
          <cell r="BL1276">
            <v>0</v>
          </cell>
          <cell r="BM1276">
            <v>0</v>
          </cell>
          <cell r="BN1276">
            <v>0</v>
          </cell>
          <cell r="BO1276">
            <v>0</v>
          </cell>
          <cell r="BP1276">
            <v>0</v>
          </cell>
          <cell r="BQ1276">
            <v>0</v>
          </cell>
          <cell r="BR1276">
            <v>0</v>
          </cell>
          <cell r="BT1276">
            <v>0</v>
          </cell>
          <cell r="CA1276" t="str">
            <v>003556 - REVTOT - Identified - Recompete</v>
          </cell>
          <cell r="CC1276" t="str">
            <v>003556 - REVTOT - Identified - Recompete - IS4</v>
          </cell>
          <cell r="CD1276" t="str">
            <v/>
          </cell>
          <cell r="CF1276" t="str">
            <v>003556 - Identified - Recompete - IS4</v>
          </cell>
        </row>
        <row r="1277">
          <cell r="D1277">
            <v>1263</v>
          </cell>
          <cell r="E1277">
            <v>2</v>
          </cell>
          <cell r="F1277">
            <v>3</v>
          </cell>
          <cell r="G1277" t="str">
            <v>003556</v>
          </cell>
          <cell r="H1277" t="str">
            <v>3556 EB HTML</v>
          </cell>
          <cell r="I1277" t="str">
            <v>IS4</v>
          </cell>
          <cell r="J1277" t="str">
            <v>IS4 Sustainment Engineering and Acquisition</v>
          </cell>
          <cell r="K1277" t="str">
            <v>Navy</v>
          </cell>
          <cell r="L1277" t="str">
            <v>DOD</v>
          </cell>
          <cell r="M1277" t="str">
            <v>CT</v>
          </cell>
          <cell r="N1277" t="str">
            <v>CONUS</v>
          </cell>
          <cell r="O1277">
            <v>43293</v>
          </cell>
          <cell r="P1277">
            <v>43784</v>
          </cell>
          <cell r="Q1277" t="str">
            <v>Sub</v>
          </cell>
          <cell r="R1277" t="str">
            <v>FFP</v>
          </cell>
          <cell r="S1277">
            <v>0</v>
          </cell>
          <cell r="T1277">
            <v>1</v>
          </cell>
          <cell r="U1277" t="str">
            <v>CONTRACT</v>
          </cell>
          <cell r="V1277" t="str">
            <v>Base</v>
          </cell>
          <cell r="W1277" t="str">
            <v>05 Won</v>
          </cell>
          <cell r="X1277" t="str">
            <v>Active</v>
          </cell>
          <cell r="Y1277">
            <v>1</v>
          </cell>
          <cell r="Z1277">
            <v>0</v>
          </cell>
          <cell r="AA1277">
            <v>271620.35000000003</v>
          </cell>
          <cell r="AB1277">
            <v>0</v>
          </cell>
          <cell r="AC1277">
            <v>0</v>
          </cell>
          <cell r="AD1277">
            <v>271620.35000000003</v>
          </cell>
          <cell r="AL1277">
            <v>0</v>
          </cell>
          <cell r="AM1277">
            <v>0</v>
          </cell>
          <cell r="AN1277">
            <v>0.15589428799533697</v>
          </cell>
          <cell r="AO1277">
            <v>0.15697020391130431</v>
          </cell>
          <cell r="AP1277">
            <v>0.16410527166384484</v>
          </cell>
          <cell r="AQ1277">
            <v>0.16410527166384484</v>
          </cell>
          <cell r="AR1277">
            <v>0.16410527166384484</v>
          </cell>
          <cell r="AS1277">
            <v>0.16410527166384484</v>
          </cell>
          <cell r="BF1277">
            <v>0</v>
          </cell>
          <cell r="BG1277">
            <v>0</v>
          </cell>
          <cell r="BH1277">
            <v>9484.0799999999981</v>
          </cell>
          <cell r="BI1277">
            <v>1114.7000000000003</v>
          </cell>
          <cell r="BJ1277">
            <v>14897.69999999999</v>
          </cell>
          <cell r="BK1277">
            <v>26111.61</v>
          </cell>
          <cell r="BL1277">
            <v>23390.519999999997</v>
          </cell>
          <cell r="BM1277">
            <v>65514.529999999992</v>
          </cell>
          <cell r="BN1277">
            <v>21323.839</v>
          </cell>
          <cell r="BO1277">
            <v>21323.839</v>
          </cell>
          <cell r="BP1277">
            <v>1926.6533261786265</v>
          </cell>
          <cell r="BQ1277">
            <v>0</v>
          </cell>
          <cell r="BR1277">
            <v>110088.86132617861</v>
          </cell>
          <cell r="BT1277">
            <v>0</v>
          </cell>
          <cell r="CA1277" t="str">
            <v>003556 - CONTRACT - Base</v>
          </cell>
          <cell r="CC1277" t="str">
            <v>003556 - CONTRACT - Base - IS4</v>
          </cell>
          <cell r="CD1277" t="str">
            <v/>
          </cell>
          <cell r="CF1277" t="str">
            <v>003556 - Base - IS4</v>
          </cell>
        </row>
        <row r="1278">
          <cell r="D1278">
            <v>1264</v>
          </cell>
          <cell r="E1278">
            <v>2</v>
          </cell>
          <cell r="F1278">
            <v>4</v>
          </cell>
          <cell r="G1278" t="str">
            <v>003556</v>
          </cell>
          <cell r="H1278" t="str">
            <v>3556 EB HTML</v>
          </cell>
          <cell r="I1278" t="str">
            <v>IS4</v>
          </cell>
          <cell r="J1278" t="str">
            <v>IS4 Sustainment Engineering and Acquisition</v>
          </cell>
          <cell r="K1278" t="str">
            <v>Navy</v>
          </cell>
          <cell r="L1278" t="str">
            <v>DOD</v>
          </cell>
          <cell r="M1278" t="str">
            <v>CT</v>
          </cell>
          <cell r="N1278" t="str">
            <v>CONUS</v>
          </cell>
          <cell r="O1278">
            <v>0</v>
          </cell>
          <cell r="P1278">
            <v>0</v>
          </cell>
          <cell r="Q1278">
            <v>0</v>
          </cell>
          <cell r="R1278" t="str">
            <v>FFP</v>
          </cell>
          <cell r="S1278">
            <v>0</v>
          </cell>
          <cell r="T1278">
            <v>1</v>
          </cell>
          <cell r="U1278" t="str">
            <v>CONTRACT</v>
          </cell>
          <cell r="V1278" t="str">
            <v>Identified - Recompete</v>
          </cell>
          <cell r="W1278">
            <v>0</v>
          </cell>
          <cell r="X1278">
            <v>0</v>
          </cell>
          <cell r="Y1278">
            <v>0</v>
          </cell>
          <cell r="Z1278">
            <v>0</v>
          </cell>
          <cell r="AA1278">
            <v>0</v>
          </cell>
          <cell r="AB1278">
            <v>0</v>
          </cell>
          <cell r="AC1278">
            <v>0</v>
          </cell>
          <cell r="AD1278">
            <v>0</v>
          </cell>
          <cell r="AP1278">
            <v>0</v>
          </cell>
          <cell r="AQ1278">
            <v>0</v>
          </cell>
          <cell r="AR1278">
            <v>0</v>
          </cell>
          <cell r="AS1278">
            <v>0</v>
          </cell>
          <cell r="BI1278">
            <v>0</v>
          </cell>
          <cell r="BJ1278">
            <v>0</v>
          </cell>
          <cell r="BK1278">
            <v>0</v>
          </cell>
          <cell r="BL1278">
            <v>0</v>
          </cell>
          <cell r="BM1278">
            <v>0</v>
          </cell>
          <cell r="BN1278">
            <v>0</v>
          </cell>
          <cell r="BO1278">
            <v>0</v>
          </cell>
          <cell r="BP1278">
            <v>0</v>
          </cell>
          <cell r="BQ1278">
            <v>0</v>
          </cell>
          <cell r="BR1278">
            <v>0</v>
          </cell>
          <cell r="BT1278">
            <v>0</v>
          </cell>
          <cell r="CA1278" t="str">
            <v>003556 - CONTRACT - Identified - Recompete</v>
          </cell>
          <cell r="CC1278" t="str">
            <v>003556 - CONTRACT - Identified - Recompete - IS4</v>
          </cell>
          <cell r="CD1278" t="str">
            <v/>
          </cell>
          <cell r="CF1278" t="str">
            <v>003556 - Identified - Recompete - IS4</v>
          </cell>
        </row>
        <row r="1279">
          <cell r="D1279">
            <v>1265</v>
          </cell>
          <cell r="E1279">
            <v>0</v>
          </cell>
          <cell r="F1279">
            <v>5</v>
          </cell>
          <cell r="G1279" t="str">
            <v>003556</v>
          </cell>
          <cell r="H1279" t="str">
            <v>3556 EB HTML</v>
          </cell>
          <cell r="I1279" t="str">
            <v>IS4</v>
          </cell>
          <cell r="J1279" t="str">
            <v>IS4 Sustainment Engineering and Acquisition</v>
          </cell>
          <cell r="K1279" t="str">
            <v>Navy</v>
          </cell>
          <cell r="L1279" t="str">
            <v>DOD</v>
          </cell>
          <cell r="M1279" t="str">
            <v>CT</v>
          </cell>
          <cell r="N1279" t="str">
            <v>CONUS</v>
          </cell>
          <cell r="O1279">
            <v>43293</v>
          </cell>
          <cell r="P1279">
            <v>43784</v>
          </cell>
          <cell r="Q1279" t="str">
            <v>Sub</v>
          </cell>
          <cell r="R1279" t="str">
            <v>FFP</v>
          </cell>
          <cell r="S1279">
            <v>0</v>
          </cell>
          <cell r="T1279">
            <v>1</v>
          </cell>
          <cell r="U1279" t="str">
            <v>EBITA</v>
          </cell>
          <cell r="V1279" t="str">
            <v>Base</v>
          </cell>
          <cell r="W1279" t="str">
            <v>05 Won</v>
          </cell>
          <cell r="X1279" t="str">
            <v>Active</v>
          </cell>
          <cell r="Y1279">
            <v>1</v>
          </cell>
          <cell r="Z1279">
            <v>0</v>
          </cell>
          <cell r="AA1279">
            <v>271620.35000000003</v>
          </cell>
          <cell r="AB1279">
            <v>0</v>
          </cell>
          <cell r="AC1279">
            <v>0</v>
          </cell>
          <cell r="AD1279">
            <v>271620.35000000003</v>
          </cell>
          <cell r="AT1279">
            <v>0</v>
          </cell>
          <cell r="AU1279">
            <v>0</v>
          </cell>
          <cell r="AV1279">
            <v>3.8461380408934653E-2</v>
          </cell>
          <cell r="AW1279">
            <v>3.8461533853922737E-2</v>
          </cell>
          <cell r="AX1279">
            <v>4.8621473258855318E-2</v>
          </cell>
          <cell r="AY1279">
            <v>4.9621473258855318E-2</v>
          </cell>
          <cell r="AZ1279">
            <v>5.0621473258855319E-2</v>
          </cell>
          <cell r="BA1279">
            <v>5.162147325885532E-2</v>
          </cell>
          <cell r="BF1279">
            <v>0</v>
          </cell>
          <cell r="BG1279">
            <v>0</v>
          </cell>
          <cell r="BH1279">
            <v>2339.8599999999979</v>
          </cell>
          <cell r="BI1279">
            <v>267.70000000000022</v>
          </cell>
          <cell r="BJ1279">
            <v>3660.70999999999</v>
          </cell>
          <cell r="BK1279">
            <v>6418.35</v>
          </cell>
          <cell r="BL1279">
            <v>5705.8999999999969</v>
          </cell>
          <cell r="BM1279">
            <v>16052.659999999989</v>
          </cell>
          <cell r="BN1279">
            <v>6317.8742352556601</v>
          </cell>
          <cell r="BO1279">
            <v>6447.8142352556597</v>
          </cell>
          <cell r="BP1279">
            <v>594.31381357460384</v>
          </cell>
          <cell r="BQ1279">
            <v>0</v>
          </cell>
          <cell r="BR1279">
            <v>29412.662284085913</v>
          </cell>
          <cell r="BT1279">
            <v>0</v>
          </cell>
          <cell r="CA1279" t="str">
            <v>003556 - EBITA - Base</v>
          </cell>
          <cell r="CC1279" t="str">
            <v>003556 - EBITA - Base - IS4</v>
          </cell>
          <cell r="CD1279" t="str">
            <v/>
          </cell>
          <cell r="CF1279" t="str">
            <v>003556 - Base - IS4</v>
          </cell>
        </row>
        <row r="1280">
          <cell r="D1280">
            <v>1266</v>
          </cell>
          <cell r="E1280">
            <v>0</v>
          </cell>
          <cell r="F1280">
            <v>0</v>
          </cell>
          <cell r="G1280" t="str">
            <v>003556</v>
          </cell>
          <cell r="H1280" t="str">
            <v>3556 EB HTML</v>
          </cell>
          <cell r="I1280" t="str">
            <v>IS4</v>
          </cell>
          <cell r="J1280" t="str">
            <v>IS4 Sustainment Engineering and Acquisition</v>
          </cell>
          <cell r="K1280" t="str">
            <v>Navy</v>
          </cell>
          <cell r="L1280" t="str">
            <v>DOD</v>
          </cell>
          <cell r="M1280" t="str">
            <v>CT</v>
          </cell>
          <cell r="N1280" t="str">
            <v>CONUS</v>
          </cell>
          <cell r="O1280">
            <v>0</v>
          </cell>
          <cell r="P1280">
            <v>0</v>
          </cell>
          <cell r="Q1280">
            <v>0</v>
          </cell>
          <cell r="R1280" t="str">
            <v>FFP</v>
          </cell>
          <cell r="S1280">
            <v>0</v>
          </cell>
          <cell r="T1280">
            <v>1</v>
          </cell>
          <cell r="U1280" t="str">
            <v>EBITA</v>
          </cell>
          <cell r="V1280" t="str">
            <v>Identified - Recompete</v>
          </cell>
          <cell r="W1280">
            <v>0</v>
          </cell>
          <cell r="X1280">
            <v>0</v>
          </cell>
          <cell r="Y1280">
            <v>0</v>
          </cell>
          <cell r="Z1280">
            <v>0</v>
          </cell>
          <cell r="AA1280">
            <v>0</v>
          </cell>
          <cell r="AB1280">
            <v>0</v>
          </cell>
          <cell r="AC1280">
            <v>0</v>
          </cell>
          <cell r="AD1280">
            <v>0</v>
          </cell>
          <cell r="AX1280">
            <v>0</v>
          </cell>
          <cell r="AY1280">
            <v>0</v>
          </cell>
          <cell r="AZ1280">
            <v>0</v>
          </cell>
          <cell r="BA1280">
            <v>0</v>
          </cell>
          <cell r="BI1280">
            <v>0</v>
          </cell>
          <cell r="BJ1280">
            <v>0</v>
          </cell>
          <cell r="BK1280">
            <v>0</v>
          </cell>
          <cell r="BL1280">
            <v>0</v>
          </cell>
          <cell r="BM1280">
            <v>0</v>
          </cell>
          <cell r="BN1280">
            <v>0</v>
          </cell>
          <cell r="BO1280">
            <v>0</v>
          </cell>
          <cell r="BP1280">
            <v>0</v>
          </cell>
          <cell r="BQ1280">
            <v>0</v>
          </cell>
          <cell r="BR1280">
            <v>0</v>
          </cell>
          <cell r="BT1280">
            <v>0</v>
          </cell>
          <cell r="CA1280" t="str">
            <v>003556 - EBITA - Identified - Recompete</v>
          </cell>
          <cell r="CC1280" t="str">
            <v>003556 - EBITA - Identified - Recompete - IS4</v>
          </cell>
          <cell r="CD1280" t="str">
            <v/>
          </cell>
          <cell r="CF1280" t="str">
            <v>003556 - Identified - Recompete - IS4</v>
          </cell>
        </row>
        <row r="1281">
          <cell r="D1281">
            <v>1267</v>
          </cell>
          <cell r="E1281">
            <v>1</v>
          </cell>
          <cell r="F1281">
            <v>1</v>
          </cell>
          <cell r="G1281" t="str">
            <v>C2OMAD</v>
          </cell>
          <cell r="H1281" t="str">
            <v>NIWDC C2/CO MAD HBSS</v>
          </cell>
          <cell r="I1281" t="str">
            <v>IS4</v>
          </cell>
          <cell r="J1281" t="str">
            <v>IS4 Spectrum &amp; Infrastructure Assurance</v>
          </cell>
          <cell r="K1281" t="str">
            <v>Navy</v>
          </cell>
          <cell r="L1281" t="str">
            <v>DOD</v>
          </cell>
          <cell r="M1281" t="str">
            <v>VA</v>
          </cell>
          <cell r="N1281" t="str">
            <v>CONUS</v>
          </cell>
          <cell r="O1281">
            <v>43371</v>
          </cell>
          <cell r="P1281">
            <v>44101</v>
          </cell>
          <cell r="Q1281" t="str">
            <v>Sub</v>
          </cell>
          <cell r="R1281" t="str">
            <v>FFP</v>
          </cell>
          <cell r="S1281">
            <v>0</v>
          </cell>
          <cell r="T1281">
            <v>1</v>
          </cell>
          <cell r="U1281" t="str">
            <v>REVTOT</v>
          </cell>
          <cell r="V1281" t="str">
            <v>Base</v>
          </cell>
          <cell r="W1281" t="str">
            <v>05 Won</v>
          </cell>
          <cell r="X1281" t="str">
            <v>Active</v>
          </cell>
          <cell r="Y1281">
            <v>1</v>
          </cell>
          <cell r="Z1281">
            <v>0</v>
          </cell>
          <cell r="AA1281">
            <v>22109.859999999986</v>
          </cell>
          <cell r="AB1281">
            <v>193224</v>
          </cell>
          <cell r="AC1281">
            <v>0</v>
          </cell>
          <cell r="AD1281">
            <v>215333.86</v>
          </cell>
          <cell r="AE1281">
            <v>0</v>
          </cell>
          <cell r="AF1281">
            <v>0</v>
          </cell>
          <cell r="AG1281">
            <v>0</v>
          </cell>
          <cell r="AH1281">
            <v>0.21048471247427969</v>
          </cell>
          <cell r="AI1281">
            <v>0</v>
          </cell>
          <cell r="AJ1281">
            <v>0</v>
          </cell>
          <cell r="AK1281">
            <v>0</v>
          </cell>
          <cell r="BB1281">
            <v>204008</v>
          </cell>
          <cell r="BC1281">
            <v>204008</v>
          </cell>
          <cell r="BD1281">
            <v>204008</v>
          </cell>
          <cell r="BE1281">
            <v>204008</v>
          </cell>
          <cell r="BF1281">
            <v>0</v>
          </cell>
          <cell r="BG1281">
            <v>0</v>
          </cell>
          <cell r="BH1281">
            <v>0</v>
          </cell>
          <cell r="BI1281">
            <v>26.98</v>
          </cell>
          <cell r="BJ1281">
            <v>114.28</v>
          </cell>
          <cell r="BK1281">
            <v>18391.5</v>
          </cell>
          <cell r="BL1281">
            <v>150001.38</v>
          </cell>
          <cell r="BM1281">
            <v>168534.14</v>
          </cell>
          <cell r="BN1281">
            <v>204008</v>
          </cell>
          <cell r="BO1281">
            <v>11325.859999999986</v>
          </cell>
          <cell r="BP1281">
            <v>0</v>
          </cell>
          <cell r="BQ1281">
            <v>0</v>
          </cell>
          <cell r="BR1281">
            <v>383868</v>
          </cell>
          <cell r="BT1281">
            <v>0</v>
          </cell>
          <cell r="CA1281" t="str">
            <v>C2OMAD - REVTOT - Base</v>
          </cell>
          <cell r="CC1281" t="str">
            <v>C2OMAD - REVTOT - Base - IS4</v>
          </cell>
          <cell r="CD1281" t="str">
            <v/>
          </cell>
          <cell r="CF1281" t="str">
            <v>C2OMAD - Base - IS4</v>
          </cell>
        </row>
        <row r="1282">
          <cell r="D1282">
            <v>1268</v>
          </cell>
          <cell r="E1282">
            <v>1</v>
          </cell>
          <cell r="F1282">
            <v>2</v>
          </cell>
          <cell r="G1282" t="str">
            <v>C2OMAD</v>
          </cell>
          <cell r="H1282" t="str">
            <v>NIWDC C2/CO MAD HBSS</v>
          </cell>
          <cell r="I1282" t="str">
            <v>IS4</v>
          </cell>
          <cell r="J1282" t="str">
            <v>IS4 Spectrum &amp; Infrastructure Assurance</v>
          </cell>
          <cell r="K1282" t="str">
            <v>Navy</v>
          </cell>
          <cell r="L1282" t="str">
            <v>DOD</v>
          </cell>
          <cell r="M1282" t="str">
            <v>VA</v>
          </cell>
          <cell r="N1282" t="str">
            <v>CONUS</v>
          </cell>
          <cell r="O1282">
            <v>0</v>
          </cell>
          <cell r="P1282">
            <v>0</v>
          </cell>
          <cell r="Q1282">
            <v>0</v>
          </cell>
          <cell r="R1282" t="str">
            <v>FFP</v>
          </cell>
          <cell r="S1282">
            <v>0</v>
          </cell>
          <cell r="T1282">
            <v>1</v>
          </cell>
          <cell r="U1282" t="str">
            <v>REVTOT</v>
          </cell>
          <cell r="V1282" t="str">
            <v>Identified - Recompete</v>
          </cell>
          <cell r="W1282">
            <v>0</v>
          </cell>
          <cell r="X1282">
            <v>0</v>
          </cell>
          <cell r="Y1282">
            <v>0</v>
          </cell>
          <cell r="Z1282">
            <v>0</v>
          </cell>
          <cell r="AA1282">
            <v>0</v>
          </cell>
          <cell r="AB1282">
            <v>0</v>
          </cell>
          <cell r="AC1282">
            <v>0</v>
          </cell>
          <cell r="AD1282">
            <v>0</v>
          </cell>
          <cell r="AI1282">
            <v>0</v>
          </cell>
          <cell r="AJ1282">
            <v>0</v>
          </cell>
          <cell r="AK1282">
            <v>0</v>
          </cell>
          <cell r="BB1282">
            <v>0</v>
          </cell>
          <cell r="BC1282">
            <v>0</v>
          </cell>
          <cell r="BD1282">
            <v>0</v>
          </cell>
          <cell r="BE1282">
            <v>0</v>
          </cell>
          <cell r="BI1282">
            <v>0</v>
          </cell>
          <cell r="BJ1282">
            <v>0</v>
          </cell>
          <cell r="BK1282">
            <v>0</v>
          </cell>
          <cell r="BL1282">
            <v>0</v>
          </cell>
          <cell r="BM1282">
            <v>0</v>
          </cell>
          <cell r="BN1282">
            <v>0</v>
          </cell>
          <cell r="BO1282">
            <v>0</v>
          </cell>
          <cell r="BP1282">
            <v>0</v>
          </cell>
          <cell r="BQ1282">
            <v>0</v>
          </cell>
          <cell r="BR1282">
            <v>0</v>
          </cell>
          <cell r="BT1282">
            <v>0</v>
          </cell>
          <cell r="CA1282" t="str">
            <v>C2OMAD - REVTOT - Identified - Recompete</v>
          </cell>
          <cell r="CC1282" t="str">
            <v>C2OMAD - REVTOT - Identified - Recompete - IS4</v>
          </cell>
          <cell r="CD1282" t="str">
            <v/>
          </cell>
          <cell r="CF1282" t="str">
            <v>C2OMAD - Identified - Recompete - IS4</v>
          </cell>
        </row>
        <row r="1283">
          <cell r="D1283">
            <v>1269</v>
          </cell>
          <cell r="E1283">
            <v>2</v>
          </cell>
          <cell r="F1283">
            <v>3</v>
          </cell>
          <cell r="G1283" t="str">
            <v>C2OMAD</v>
          </cell>
          <cell r="H1283" t="str">
            <v>NIWDC C2/CO MAD HBSS</v>
          </cell>
          <cell r="I1283" t="str">
            <v>IS4</v>
          </cell>
          <cell r="J1283" t="str">
            <v>IS4 Spectrum &amp; Infrastructure Assurance</v>
          </cell>
          <cell r="K1283" t="str">
            <v>Navy</v>
          </cell>
          <cell r="L1283" t="str">
            <v>DOD</v>
          </cell>
          <cell r="M1283" t="str">
            <v>VA</v>
          </cell>
          <cell r="N1283" t="str">
            <v>CONUS</v>
          </cell>
          <cell r="O1283">
            <v>43371</v>
          </cell>
          <cell r="P1283">
            <v>44101</v>
          </cell>
          <cell r="Q1283" t="str">
            <v>Sub</v>
          </cell>
          <cell r="R1283" t="str">
            <v>FFP</v>
          </cell>
          <cell r="S1283">
            <v>0</v>
          </cell>
          <cell r="T1283">
            <v>1</v>
          </cell>
          <cell r="U1283" t="str">
            <v>CONTRACT</v>
          </cell>
          <cell r="V1283" t="str">
            <v>Base</v>
          </cell>
          <cell r="W1283" t="str">
            <v>05 Won</v>
          </cell>
          <cell r="X1283" t="str">
            <v>Active</v>
          </cell>
          <cell r="Y1283">
            <v>1</v>
          </cell>
          <cell r="Z1283">
            <v>0</v>
          </cell>
          <cell r="AA1283">
            <v>22109.859999999986</v>
          </cell>
          <cell r="AB1283">
            <v>193224</v>
          </cell>
          <cell r="AC1283">
            <v>0</v>
          </cell>
          <cell r="AD1283">
            <v>215333.86</v>
          </cell>
          <cell r="AL1283">
            <v>0</v>
          </cell>
          <cell r="AM1283">
            <v>0</v>
          </cell>
          <cell r="AN1283">
            <v>0</v>
          </cell>
          <cell r="AO1283">
            <v>0.37580765535101668</v>
          </cell>
          <cell r="AP1283">
            <v>0.27023173012823026</v>
          </cell>
          <cell r="AQ1283">
            <v>0.27023173012823026</v>
          </cell>
          <cell r="AR1283">
            <v>0.27023173012823026</v>
          </cell>
          <cell r="AS1283">
            <v>0.27023173012823026</v>
          </cell>
          <cell r="BF1283">
            <v>0</v>
          </cell>
          <cell r="BG1283">
            <v>0</v>
          </cell>
          <cell r="BH1283">
            <v>0</v>
          </cell>
          <cell r="BI1283">
            <v>6.7200000000000024</v>
          </cell>
          <cell r="BJ1283">
            <v>31.890000000000011</v>
          </cell>
          <cell r="BK1283">
            <v>4585.7199999999984</v>
          </cell>
          <cell r="BL1283">
            <v>58712.09</v>
          </cell>
          <cell r="BM1283">
            <v>63336.42</v>
          </cell>
          <cell r="BN1283">
            <v>55129.434800000003</v>
          </cell>
          <cell r="BO1283">
            <v>3060.6067429901141</v>
          </cell>
          <cell r="BP1283">
            <v>0</v>
          </cell>
          <cell r="BQ1283">
            <v>0</v>
          </cell>
          <cell r="BR1283">
            <v>121526.46154299012</v>
          </cell>
          <cell r="BT1283">
            <v>0</v>
          </cell>
          <cell r="CA1283" t="str">
            <v>C2OMAD - CONTRACT - Base</v>
          </cell>
          <cell r="CC1283" t="str">
            <v>C2OMAD - CONTRACT - Base - IS4</v>
          </cell>
          <cell r="CD1283" t="str">
            <v/>
          </cell>
          <cell r="CF1283" t="str">
            <v>C2OMAD - Base - IS4</v>
          </cell>
        </row>
        <row r="1284">
          <cell r="D1284">
            <v>1270</v>
          </cell>
          <cell r="E1284">
            <v>2</v>
          </cell>
          <cell r="F1284">
            <v>4</v>
          </cell>
          <cell r="G1284" t="str">
            <v>C2OMAD</v>
          </cell>
          <cell r="H1284" t="str">
            <v>NIWDC C2/CO MAD HBSS</v>
          </cell>
          <cell r="I1284" t="str">
            <v>IS4</v>
          </cell>
          <cell r="J1284" t="str">
            <v>IS4 Spectrum &amp; Infrastructure Assurance</v>
          </cell>
          <cell r="K1284" t="str">
            <v>Navy</v>
          </cell>
          <cell r="L1284" t="str">
            <v>DOD</v>
          </cell>
          <cell r="M1284" t="str">
            <v>VA</v>
          </cell>
          <cell r="N1284" t="str">
            <v>CONUS</v>
          </cell>
          <cell r="O1284">
            <v>0</v>
          </cell>
          <cell r="P1284">
            <v>0</v>
          </cell>
          <cell r="Q1284">
            <v>0</v>
          </cell>
          <cell r="R1284" t="str">
            <v>FFP</v>
          </cell>
          <cell r="S1284">
            <v>0</v>
          </cell>
          <cell r="T1284">
            <v>1</v>
          </cell>
          <cell r="U1284" t="str">
            <v>CONTRACT</v>
          </cell>
          <cell r="V1284" t="str">
            <v>Identified - Recompete</v>
          </cell>
          <cell r="W1284">
            <v>0</v>
          </cell>
          <cell r="X1284">
            <v>0</v>
          </cell>
          <cell r="Y1284">
            <v>0</v>
          </cell>
          <cell r="Z1284">
            <v>0</v>
          </cell>
          <cell r="AA1284">
            <v>0</v>
          </cell>
          <cell r="AB1284">
            <v>0</v>
          </cell>
          <cell r="AC1284">
            <v>0</v>
          </cell>
          <cell r="AD1284">
            <v>0</v>
          </cell>
          <cell r="AP1284">
            <v>0</v>
          </cell>
          <cell r="AQ1284">
            <v>0</v>
          </cell>
          <cell r="AR1284">
            <v>0</v>
          </cell>
          <cell r="AS1284">
            <v>0</v>
          </cell>
          <cell r="BI1284">
            <v>0</v>
          </cell>
          <cell r="BJ1284">
            <v>0</v>
          </cell>
          <cell r="BK1284">
            <v>0</v>
          </cell>
          <cell r="BL1284">
            <v>0</v>
          </cell>
          <cell r="BM1284">
            <v>0</v>
          </cell>
          <cell r="BN1284">
            <v>0</v>
          </cell>
          <cell r="BO1284">
            <v>0</v>
          </cell>
          <cell r="BP1284">
            <v>0</v>
          </cell>
          <cell r="BQ1284">
            <v>0</v>
          </cell>
          <cell r="BR1284">
            <v>0</v>
          </cell>
          <cell r="BT1284">
            <v>0</v>
          </cell>
          <cell r="CA1284" t="str">
            <v>C2OMAD - CONTRACT - Identified - Recompete</v>
          </cell>
          <cell r="CC1284" t="str">
            <v>C2OMAD - CONTRACT - Identified - Recompete - IS4</v>
          </cell>
          <cell r="CD1284" t="str">
            <v/>
          </cell>
          <cell r="CF1284" t="str">
            <v>C2OMAD - Identified - Recompete - IS4</v>
          </cell>
        </row>
        <row r="1285">
          <cell r="D1285">
            <v>1271</v>
          </cell>
          <cell r="E1285">
            <v>0</v>
          </cell>
          <cell r="F1285">
            <v>5</v>
          </cell>
          <cell r="G1285" t="str">
            <v>C2OMAD</v>
          </cell>
          <cell r="H1285" t="str">
            <v>NIWDC C2/CO MAD HBSS</v>
          </cell>
          <cell r="I1285" t="str">
            <v>IS4</v>
          </cell>
          <cell r="J1285" t="str">
            <v>IS4 Spectrum &amp; Infrastructure Assurance</v>
          </cell>
          <cell r="K1285" t="str">
            <v>Navy</v>
          </cell>
          <cell r="L1285" t="str">
            <v>DOD</v>
          </cell>
          <cell r="M1285" t="str">
            <v>VA</v>
          </cell>
          <cell r="N1285" t="str">
            <v>CONUS</v>
          </cell>
          <cell r="O1285">
            <v>43371</v>
          </cell>
          <cell r="P1285">
            <v>44101</v>
          </cell>
          <cell r="Q1285" t="str">
            <v>Sub</v>
          </cell>
          <cell r="R1285" t="str">
            <v>FFP</v>
          </cell>
          <cell r="S1285">
            <v>0</v>
          </cell>
          <cell r="T1285">
            <v>1</v>
          </cell>
          <cell r="U1285" t="str">
            <v>EBITA</v>
          </cell>
          <cell r="V1285" t="str">
            <v>Base</v>
          </cell>
          <cell r="W1285" t="str">
            <v>05 Won</v>
          </cell>
          <cell r="X1285" t="str">
            <v>Active</v>
          </cell>
          <cell r="Y1285">
            <v>1</v>
          </cell>
          <cell r="Z1285">
            <v>0</v>
          </cell>
          <cell r="AA1285">
            <v>22109.859999999986</v>
          </cell>
          <cell r="AB1285">
            <v>193224</v>
          </cell>
          <cell r="AC1285">
            <v>0</v>
          </cell>
          <cell r="AD1285">
            <v>215333.86</v>
          </cell>
          <cell r="AT1285">
            <v>0</v>
          </cell>
          <cell r="AU1285">
            <v>0</v>
          </cell>
          <cell r="AV1285">
            <v>0</v>
          </cell>
          <cell r="AW1285">
            <v>0.29990036440094564</v>
          </cell>
          <cell r="AX1285">
            <v>0.15599732945391315</v>
          </cell>
          <cell r="AY1285">
            <v>0.15699732945391315</v>
          </cell>
          <cell r="AZ1285">
            <v>0.15799732945391315</v>
          </cell>
          <cell r="BA1285">
            <v>0.15899732945391315</v>
          </cell>
          <cell r="BF1285">
            <v>0</v>
          </cell>
          <cell r="BG1285">
            <v>0</v>
          </cell>
          <cell r="BH1285">
            <v>0</v>
          </cell>
          <cell r="BI1285">
            <v>3.3100000000000023</v>
          </cell>
          <cell r="BJ1285">
            <v>14.040000000000008</v>
          </cell>
          <cell r="BK1285">
            <v>2258.5999999999985</v>
          </cell>
          <cell r="BL1285">
            <v>48267.499999999993</v>
          </cell>
          <cell r="BM1285">
            <v>50543.44999999999</v>
          </cell>
          <cell r="BN1285">
            <v>31824.703187233914</v>
          </cell>
          <cell r="BO1285">
            <v>1778.1297737688947</v>
          </cell>
          <cell r="BP1285">
            <v>0</v>
          </cell>
          <cell r="BQ1285">
            <v>0</v>
          </cell>
          <cell r="BR1285">
            <v>84146.282961002784</v>
          </cell>
          <cell r="BT1285">
            <v>0</v>
          </cell>
          <cell r="CA1285" t="str">
            <v>C2OMAD - EBITA - Base</v>
          </cell>
          <cell r="CC1285" t="str">
            <v>C2OMAD - EBITA - Base - IS4</v>
          </cell>
          <cell r="CD1285" t="str">
            <v/>
          </cell>
          <cell r="CF1285" t="str">
            <v>C2OMAD - Base - IS4</v>
          </cell>
        </row>
        <row r="1286">
          <cell r="D1286">
            <v>1272</v>
          </cell>
          <cell r="E1286">
            <v>0</v>
          </cell>
          <cell r="F1286">
            <v>0</v>
          </cell>
          <cell r="G1286" t="str">
            <v>C2OMAD</v>
          </cell>
          <cell r="H1286" t="str">
            <v>NIWDC C2/CO MAD HBSS</v>
          </cell>
          <cell r="I1286" t="str">
            <v>IS4</v>
          </cell>
          <cell r="J1286" t="str">
            <v>IS4 Spectrum &amp; Infrastructure Assurance</v>
          </cell>
          <cell r="K1286" t="str">
            <v>Navy</v>
          </cell>
          <cell r="L1286" t="str">
            <v>DOD</v>
          </cell>
          <cell r="M1286" t="str">
            <v>VA</v>
          </cell>
          <cell r="N1286" t="str">
            <v>CONUS</v>
          </cell>
          <cell r="O1286">
            <v>0</v>
          </cell>
          <cell r="P1286">
            <v>0</v>
          </cell>
          <cell r="Q1286">
            <v>0</v>
          </cell>
          <cell r="R1286" t="str">
            <v>FFP</v>
          </cell>
          <cell r="S1286">
            <v>0</v>
          </cell>
          <cell r="T1286">
            <v>1</v>
          </cell>
          <cell r="U1286" t="str">
            <v>EBITA</v>
          </cell>
          <cell r="V1286" t="str">
            <v>Identified - Recompete</v>
          </cell>
          <cell r="W1286">
            <v>0</v>
          </cell>
          <cell r="X1286">
            <v>0</v>
          </cell>
          <cell r="Y1286">
            <v>0</v>
          </cell>
          <cell r="Z1286">
            <v>0</v>
          </cell>
          <cell r="AA1286">
            <v>0</v>
          </cell>
          <cell r="AB1286">
            <v>0</v>
          </cell>
          <cell r="AC1286">
            <v>0</v>
          </cell>
          <cell r="AD1286">
            <v>0</v>
          </cell>
          <cell r="AX1286">
            <v>0</v>
          </cell>
          <cell r="AY1286">
            <v>0</v>
          </cell>
          <cell r="AZ1286">
            <v>0</v>
          </cell>
          <cell r="BA1286">
            <v>0</v>
          </cell>
          <cell r="BI1286">
            <v>0</v>
          </cell>
          <cell r="BJ1286">
            <v>0</v>
          </cell>
          <cell r="BK1286">
            <v>0</v>
          </cell>
          <cell r="BL1286">
            <v>0</v>
          </cell>
          <cell r="BM1286">
            <v>0</v>
          </cell>
          <cell r="BN1286">
            <v>0</v>
          </cell>
          <cell r="BO1286">
            <v>0</v>
          </cell>
          <cell r="BP1286">
            <v>0</v>
          </cell>
          <cell r="BQ1286">
            <v>0</v>
          </cell>
          <cell r="BR1286">
            <v>0</v>
          </cell>
          <cell r="BT1286">
            <v>0</v>
          </cell>
          <cell r="CA1286" t="str">
            <v>C2OMAD - EBITA - Identified - Recompete</v>
          </cell>
          <cell r="CC1286" t="str">
            <v>C2OMAD - EBITA - Identified - Recompete - IS4</v>
          </cell>
          <cell r="CD1286" t="str">
            <v/>
          </cell>
          <cell r="CF1286" t="str">
            <v>C2OMAD - Identified - Recompete - IS4</v>
          </cell>
        </row>
        <row r="1287">
          <cell r="D1287">
            <v>1273</v>
          </cell>
          <cell r="E1287">
            <v>1</v>
          </cell>
          <cell r="F1287">
            <v>1</v>
          </cell>
          <cell r="G1287" t="str">
            <v>USCENT</v>
          </cell>
          <cell r="H1287" t="str">
            <v>USSOCCENT-USCENTCOM</v>
          </cell>
          <cell r="I1287" t="str">
            <v>IS4</v>
          </cell>
          <cell r="J1287" t="str">
            <v>IS4 Engineering and Technology Services</v>
          </cell>
          <cell r="K1287" t="str">
            <v>Other DOD</v>
          </cell>
          <cell r="L1287" t="str">
            <v>DOD</v>
          </cell>
          <cell r="M1287" t="str">
            <v>FL</v>
          </cell>
          <cell r="N1287" t="str">
            <v>CONUS</v>
          </cell>
          <cell r="O1287">
            <v>42570</v>
          </cell>
          <cell r="P1287">
            <v>44395</v>
          </cell>
          <cell r="Q1287" t="str">
            <v>Sub</v>
          </cell>
          <cell r="R1287" t="str">
            <v>FFP</v>
          </cell>
          <cell r="S1287">
            <v>0</v>
          </cell>
          <cell r="T1287">
            <v>1</v>
          </cell>
          <cell r="U1287" t="str">
            <v>REVTOT</v>
          </cell>
          <cell r="V1287" t="str">
            <v>Base</v>
          </cell>
          <cell r="W1287" t="str">
            <v>05 Won</v>
          </cell>
          <cell r="X1287" t="str">
            <v>Active</v>
          </cell>
          <cell r="Y1287">
            <v>1</v>
          </cell>
          <cell r="Z1287">
            <v>0</v>
          </cell>
          <cell r="AA1287">
            <v>265592.41000000003</v>
          </cell>
          <cell r="AB1287">
            <v>97110</v>
          </cell>
          <cell r="AC1287">
            <v>0</v>
          </cell>
          <cell r="AD1287">
            <v>362702.41000000003</v>
          </cell>
          <cell r="AE1287">
            <v>3.7312483399480625</v>
          </cell>
          <cell r="AF1287">
            <v>-8.7963703407525906E-2</v>
          </cell>
          <cell r="AG1287">
            <v>1.1230716465633859</v>
          </cell>
          <cell r="AH1287">
            <v>0.12185707834607928</v>
          </cell>
          <cell r="AI1287">
            <v>0</v>
          </cell>
          <cell r="AJ1287">
            <v>0</v>
          </cell>
          <cell r="AK1287">
            <v>0</v>
          </cell>
          <cell r="BB1287">
            <v>215141</v>
          </cell>
          <cell r="BC1287">
            <v>215141</v>
          </cell>
          <cell r="BD1287">
            <v>215141</v>
          </cell>
          <cell r="BE1287">
            <v>215141</v>
          </cell>
          <cell r="BF1287">
            <v>20933.080000000002</v>
          </cell>
          <cell r="BG1287">
            <v>99039.599999999991</v>
          </cell>
          <cell r="BH1287">
            <v>90327.709999999992</v>
          </cell>
          <cell r="BI1287">
            <v>52187.680000000008</v>
          </cell>
          <cell r="BJ1287">
            <v>35188.199999999997</v>
          </cell>
          <cell r="BK1287">
            <v>50510.32</v>
          </cell>
          <cell r="BL1287">
            <v>53886</v>
          </cell>
          <cell r="BM1287">
            <v>191772.2</v>
          </cell>
          <cell r="BN1287">
            <v>215141</v>
          </cell>
          <cell r="BO1287">
            <v>147561.41000000003</v>
          </cell>
          <cell r="BP1287">
            <v>0</v>
          </cell>
          <cell r="BQ1287">
            <v>0</v>
          </cell>
          <cell r="BR1287">
            <v>554474.6100000001</v>
          </cell>
          <cell r="BT1287">
            <v>0</v>
          </cell>
          <cell r="CA1287" t="str">
            <v>USCENT - REVTOT - Base</v>
          </cell>
          <cell r="CC1287" t="str">
            <v>USCENT - REVTOT - Base - IS4</v>
          </cell>
          <cell r="CD1287" t="str">
            <v/>
          </cell>
          <cell r="CF1287" t="str">
            <v>USCENT - Base - IS4</v>
          </cell>
        </row>
        <row r="1288">
          <cell r="D1288">
            <v>1274</v>
          </cell>
          <cell r="E1288">
            <v>1</v>
          </cell>
          <cell r="F1288">
            <v>2</v>
          </cell>
          <cell r="G1288" t="str">
            <v>USCENT</v>
          </cell>
          <cell r="H1288" t="str">
            <v>USSOCCENT-USCENTCOM</v>
          </cell>
          <cell r="I1288" t="str">
            <v>IS4</v>
          </cell>
          <cell r="J1288" t="str">
            <v>IS4 Engineering and Technology Services</v>
          </cell>
          <cell r="K1288" t="str">
            <v>Other DOD</v>
          </cell>
          <cell r="L1288" t="str">
            <v>DOD</v>
          </cell>
          <cell r="M1288" t="str">
            <v>FL</v>
          </cell>
          <cell r="N1288" t="str">
            <v>CONUS</v>
          </cell>
          <cell r="O1288">
            <v>0</v>
          </cell>
          <cell r="P1288">
            <v>0</v>
          </cell>
          <cell r="Q1288">
            <v>0</v>
          </cell>
          <cell r="R1288" t="str">
            <v>FFP</v>
          </cell>
          <cell r="S1288">
            <v>0</v>
          </cell>
          <cell r="T1288">
            <v>1</v>
          </cell>
          <cell r="U1288" t="str">
            <v>REVTOT</v>
          </cell>
          <cell r="V1288" t="str">
            <v>Identified - Recompete</v>
          </cell>
          <cell r="W1288">
            <v>0</v>
          </cell>
          <cell r="X1288">
            <v>0</v>
          </cell>
          <cell r="Y1288">
            <v>0</v>
          </cell>
          <cell r="Z1288">
            <v>0</v>
          </cell>
          <cell r="AA1288">
            <v>0</v>
          </cell>
          <cell r="AB1288">
            <v>0</v>
          </cell>
          <cell r="AC1288">
            <v>0</v>
          </cell>
          <cell r="AD1288">
            <v>0</v>
          </cell>
          <cell r="AI1288">
            <v>0</v>
          </cell>
          <cell r="AJ1288">
            <v>0</v>
          </cell>
          <cell r="AK1288">
            <v>0</v>
          </cell>
          <cell r="BB1288">
            <v>0</v>
          </cell>
          <cell r="BC1288">
            <v>0</v>
          </cell>
          <cell r="BD1288">
            <v>0</v>
          </cell>
          <cell r="BE1288">
            <v>0</v>
          </cell>
          <cell r="BI1288">
            <v>0</v>
          </cell>
          <cell r="BJ1288">
            <v>0</v>
          </cell>
          <cell r="BK1288">
            <v>0</v>
          </cell>
          <cell r="BL1288">
            <v>0</v>
          </cell>
          <cell r="BM1288">
            <v>0</v>
          </cell>
          <cell r="BN1288">
            <v>0</v>
          </cell>
          <cell r="BO1288">
            <v>0</v>
          </cell>
          <cell r="BP1288">
            <v>0</v>
          </cell>
          <cell r="BQ1288">
            <v>0</v>
          </cell>
          <cell r="BR1288">
            <v>0</v>
          </cell>
          <cell r="BT1288">
            <v>0</v>
          </cell>
          <cell r="CA1288" t="str">
            <v>USCENT - REVTOT - Identified - Recompete</v>
          </cell>
          <cell r="CC1288" t="str">
            <v>USCENT - REVTOT - Identified - Recompete - IS4</v>
          </cell>
          <cell r="CD1288" t="str">
            <v/>
          </cell>
          <cell r="CF1288" t="str">
            <v>USCENT - Identified - Recompete - IS4</v>
          </cell>
        </row>
        <row r="1289">
          <cell r="D1289">
            <v>1275</v>
          </cell>
          <cell r="E1289">
            <v>2</v>
          </cell>
          <cell r="F1289">
            <v>3</v>
          </cell>
          <cell r="G1289" t="str">
            <v>USCENT</v>
          </cell>
          <cell r="H1289" t="str">
            <v>USSOCCENT-USCENTCOM</v>
          </cell>
          <cell r="I1289" t="str">
            <v>IS4</v>
          </cell>
          <cell r="J1289" t="str">
            <v>IS4 Engineering and Technology Services</v>
          </cell>
          <cell r="K1289" t="str">
            <v>Other DOD</v>
          </cell>
          <cell r="L1289" t="str">
            <v>DOD</v>
          </cell>
          <cell r="M1289" t="str">
            <v>FL</v>
          </cell>
          <cell r="N1289" t="str">
            <v>CONUS</v>
          </cell>
          <cell r="O1289">
            <v>42570</v>
          </cell>
          <cell r="P1289">
            <v>44395</v>
          </cell>
          <cell r="Q1289" t="str">
            <v>Sub</v>
          </cell>
          <cell r="R1289" t="str">
            <v>FFP</v>
          </cell>
          <cell r="S1289">
            <v>0</v>
          </cell>
          <cell r="T1289">
            <v>1</v>
          </cell>
          <cell r="U1289" t="str">
            <v>CONTRACT</v>
          </cell>
          <cell r="V1289" t="str">
            <v>Base</v>
          </cell>
          <cell r="W1289" t="str">
            <v>05 Won</v>
          </cell>
          <cell r="X1289" t="str">
            <v>Active</v>
          </cell>
          <cell r="Y1289">
            <v>1</v>
          </cell>
          <cell r="Z1289">
            <v>0</v>
          </cell>
          <cell r="AA1289">
            <v>265592.41000000003</v>
          </cell>
          <cell r="AB1289">
            <v>97110</v>
          </cell>
          <cell r="AC1289">
            <v>0</v>
          </cell>
          <cell r="AD1289">
            <v>362702.41000000003</v>
          </cell>
          <cell r="AL1289">
            <v>0.15931817009250432</v>
          </cell>
          <cell r="AM1289">
            <v>0.31234920173344799</v>
          </cell>
          <cell r="AN1289">
            <v>0.2487535663197927</v>
          </cell>
          <cell r="AO1289">
            <v>0.18512083607530183</v>
          </cell>
          <cell r="AP1289">
            <v>0.18267671898894214</v>
          </cell>
          <cell r="AQ1289">
            <v>0.18267671898894214</v>
          </cell>
          <cell r="AR1289">
            <v>0.18267671898894214</v>
          </cell>
          <cell r="AS1289">
            <v>0.18267671898894214</v>
          </cell>
          <cell r="BF1289">
            <v>3335.0200000000004</v>
          </cell>
          <cell r="BG1289">
            <v>30934.939999999995</v>
          </cell>
          <cell r="BH1289">
            <v>22469.34</v>
          </cell>
          <cell r="BI1289">
            <v>9060.0799999999981</v>
          </cell>
          <cell r="BJ1289">
            <v>6600.2400000000007</v>
          </cell>
          <cell r="BK1289">
            <v>9334.7099999999991</v>
          </cell>
          <cell r="BL1289">
            <v>10506</v>
          </cell>
          <cell r="BM1289">
            <v>35501.03</v>
          </cell>
          <cell r="BN1289">
            <v>39301.252</v>
          </cell>
          <cell r="BO1289">
            <v>26956.034228182081</v>
          </cell>
          <cell r="BP1289">
            <v>0</v>
          </cell>
          <cell r="BQ1289">
            <v>0</v>
          </cell>
          <cell r="BR1289">
            <v>101758.31622818208</v>
          </cell>
          <cell r="BT1289">
            <v>0</v>
          </cell>
          <cell r="CA1289" t="str">
            <v>USCENT - CONTRACT - Base</v>
          </cell>
          <cell r="CC1289" t="str">
            <v>USCENT - CONTRACT - Base - IS4</v>
          </cell>
          <cell r="CD1289" t="str">
            <v/>
          </cell>
          <cell r="CF1289" t="str">
            <v>USCENT - Base - IS4</v>
          </cell>
        </row>
        <row r="1290">
          <cell r="D1290">
            <v>1276</v>
          </cell>
          <cell r="E1290">
            <v>2</v>
          </cell>
          <cell r="F1290">
            <v>4</v>
          </cell>
          <cell r="G1290" t="str">
            <v>USCENT</v>
          </cell>
          <cell r="H1290" t="str">
            <v>USSOCCENT-USCENTCOM</v>
          </cell>
          <cell r="I1290" t="str">
            <v>IS4</v>
          </cell>
          <cell r="J1290" t="str">
            <v>IS4 Engineering and Technology Services</v>
          </cell>
          <cell r="K1290" t="str">
            <v>Other DOD</v>
          </cell>
          <cell r="L1290" t="str">
            <v>DOD</v>
          </cell>
          <cell r="M1290" t="str">
            <v>FL</v>
          </cell>
          <cell r="N1290" t="str">
            <v>CONUS</v>
          </cell>
          <cell r="O1290">
            <v>0</v>
          </cell>
          <cell r="P1290">
            <v>0</v>
          </cell>
          <cell r="Q1290">
            <v>0</v>
          </cell>
          <cell r="R1290" t="str">
            <v>FFP</v>
          </cell>
          <cell r="S1290">
            <v>0</v>
          </cell>
          <cell r="T1290">
            <v>1</v>
          </cell>
          <cell r="U1290" t="str">
            <v>CONTRACT</v>
          </cell>
          <cell r="V1290" t="str">
            <v>Identified - Recompete</v>
          </cell>
          <cell r="W1290">
            <v>0</v>
          </cell>
          <cell r="X1290">
            <v>0</v>
          </cell>
          <cell r="Y1290">
            <v>0</v>
          </cell>
          <cell r="Z1290">
            <v>0</v>
          </cell>
          <cell r="AA1290">
            <v>0</v>
          </cell>
          <cell r="AB1290">
            <v>0</v>
          </cell>
          <cell r="AC1290">
            <v>0</v>
          </cell>
          <cell r="AD1290">
            <v>0</v>
          </cell>
          <cell r="AP1290">
            <v>0</v>
          </cell>
          <cell r="AQ1290">
            <v>0</v>
          </cell>
          <cell r="AR1290">
            <v>0</v>
          </cell>
          <cell r="AS1290">
            <v>0</v>
          </cell>
          <cell r="BI1290">
            <v>0</v>
          </cell>
          <cell r="BJ1290">
            <v>0</v>
          </cell>
          <cell r="BK1290">
            <v>0</v>
          </cell>
          <cell r="BL1290">
            <v>0</v>
          </cell>
          <cell r="BM1290">
            <v>0</v>
          </cell>
          <cell r="BN1290">
            <v>0</v>
          </cell>
          <cell r="BO1290">
            <v>0</v>
          </cell>
          <cell r="BP1290">
            <v>0</v>
          </cell>
          <cell r="BQ1290">
            <v>0</v>
          </cell>
          <cell r="BR1290">
            <v>0</v>
          </cell>
          <cell r="BT1290">
            <v>0</v>
          </cell>
          <cell r="CA1290" t="str">
            <v>USCENT - CONTRACT - Identified - Recompete</v>
          </cell>
          <cell r="CC1290" t="str">
            <v>USCENT - CONTRACT - Identified - Recompete - IS4</v>
          </cell>
          <cell r="CD1290" t="str">
            <v/>
          </cell>
          <cell r="CF1290" t="str">
            <v>USCENT - Identified - Recompete - IS4</v>
          </cell>
        </row>
        <row r="1291">
          <cell r="D1291">
            <v>1277</v>
          </cell>
          <cell r="E1291">
            <v>0</v>
          </cell>
          <cell r="F1291">
            <v>5</v>
          </cell>
          <cell r="G1291" t="str">
            <v>USCENT</v>
          </cell>
          <cell r="H1291" t="str">
            <v>USSOCCENT-USCENTCOM</v>
          </cell>
          <cell r="I1291" t="str">
            <v>IS4</v>
          </cell>
          <cell r="J1291" t="str">
            <v>IS4 Engineering and Technology Services</v>
          </cell>
          <cell r="K1291" t="str">
            <v>Other DOD</v>
          </cell>
          <cell r="L1291" t="str">
            <v>DOD</v>
          </cell>
          <cell r="M1291" t="str">
            <v>FL</v>
          </cell>
          <cell r="N1291" t="str">
            <v>CONUS</v>
          </cell>
          <cell r="O1291">
            <v>42570</v>
          </cell>
          <cell r="P1291">
            <v>44395</v>
          </cell>
          <cell r="Q1291" t="str">
            <v>Sub</v>
          </cell>
          <cell r="R1291" t="str">
            <v>FFP</v>
          </cell>
          <cell r="S1291">
            <v>0</v>
          </cell>
          <cell r="T1291">
            <v>1</v>
          </cell>
          <cell r="U1291" t="str">
            <v>EBITA</v>
          </cell>
          <cell r="V1291" t="str">
            <v>Base</v>
          </cell>
          <cell r="W1291" t="str">
            <v>05 Won</v>
          </cell>
          <cell r="X1291" t="str">
            <v>Active</v>
          </cell>
          <cell r="Y1291">
            <v>1</v>
          </cell>
          <cell r="Z1291">
            <v>0</v>
          </cell>
          <cell r="AA1291">
            <v>265592.41000000003</v>
          </cell>
          <cell r="AB1291">
            <v>97110</v>
          </cell>
          <cell r="AC1291">
            <v>0</v>
          </cell>
          <cell r="AD1291">
            <v>362702.41000000003</v>
          </cell>
          <cell r="AT1291">
            <v>-4.3503870429005151E-2</v>
          </cell>
          <cell r="AU1291">
            <v>0.20693742704938226</v>
          </cell>
          <cell r="AV1291">
            <v>0.13423178778693717</v>
          </cell>
          <cell r="AW1291">
            <v>5.45584292196679E-2</v>
          </cell>
          <cell r="AX1291">
            <v>5.2929588942301327E-2</v>
          </cell>
          <cell r="AY1291">
            <v>5.3929588942301328E-2</v>
          </cell>
          <cell r="AZ1291">
            <v>5.4929588942301329E-2</v>
          </cell>
          <cell r="BA1291">
            <v>5.592958894230133E-2</v>
          </cell>
          <cell r="BF1291">
            <v>-910.66999999999916</v>
          </cell>
          <cell r="BG1291">
            <v>20494.999999999996</v>
          </cell>
          <cell r="BH1291">
            <v>12124.850000000002</v>
          </cell>
          <cell r="BI1291">
            <v>2057.5299999999979</v>
          </cell>
          <cell r="BJ1291">
            <v>2112.8000000000006</v>
          </cell>
          <cell r="BK1291">
            <v>2737.4599999999991</v>
          </cell>
          <cell r="BL1291">
            <v>3555</v>
          </cell>
          <cell r="BM1291">
            <v>10462.789999999997</v>
          </cell>
          <cell r="BN1291">
            <v>11387.32469463565</v>
          </cell>
          <cell r="BO1291">
            <v>7957.9261850463945</v>
          </cell>
          <cell r="BP1291">
            <v>0</v>
          </cell>
          <cell r="BQ1291">
            <v>0</v>
          </cell>
          <cell r="BR1291">
            <v>29808.040879682041</v>
          </cell>
          <cell r="BT1291">
            <v>0</v>
          </cell>
          <cell r="CA1291" t="str">
            <v>USCENT - EBITA - Base</v>
          </cell>
          <cell r="CC1291" t="str">
            <v>USCENT - EBITA - Base - IS4</v>
          </cell>
          <cell r="CD1291" t="str">
            <v/>
          </cell>
          <cell r="CF1291" t="str">
            <v>USCENT - Base - IS4</v>
          </cell>
        </row>
        <row r="1292">
          <cell r="D1292">
            <v>1278</v>
          </cell>
          <cell r="E1292">
            <v>0</v>
          </cell>
          <cell r="F1292">
            <v>0</v>
          </cell>
          <cell r="G1292" t="str">
            <v>USCENT</v>
          </cell>
          <cell r="H1292" t="str">
            <v>USSOCCENT-USCENTCOM</v>
          </cell>
          <cell r="I1292" t="str">
            <v>IS4</v>
          </cell>
          <cell r="J1292" t="str">
            <v>IS4 Engineering and Technology Services</v>
          </cell>
          <cell r="K1292" t="str">
            <v>Other DOD</v>
          </cell>
          <cell r="L1292" t="str">
            <v>DOD</v>
          </cell>
          <cell r="M1292" t="str">
            <v>FL</v>
          </cell>
          <cell r="N1292" t="str">
            <v>CONUS</v>
          </cell>
          <cell r="O1292">
            <v>0</v>
          </cell>
          <cell r="P1292">
            <v>0</v>
          </cell>
          <cell r="Q1292">
            <v>0</v>
          </cell>
          <cell r="R1292" t="str">
            <v>FFP</v>
          </cell>
          <cell r="S1292">
            <v>0</v>
          </cell>
          <cell r="T1292">
            <v>1</v>
          </cell>
          <cell r="U1292" t="str">
            <v>EBITA</v>
          </cell>
          <cell r="V1292" t="str">
            <v>Identified - Recompete</v>
          </cell>
          <cell r="W1292">
            <v>0</v>
          </cell>
          <cell r="X1292">
            <v>0</v>
          </cell>
          <cell r="Y1292">
            <v>0</v>
          </cell>
          <cell r="Z1292">
            <v>0</v>
          </cell>
          <cell r="AA1292">
            <v>0</v>
          </cell>
          <cell r="AB1292">
            <v>0</v>
          </cell>
          <cell r="AC1292">
            <v>0</v>
          </cell>
          <cell r="AD1292">
            <v>0</v>
          </cell>
          <cell r="AX1292">
            <v>0</v>
          </cell>
          <cell r="AY1292">
            <v>0</v>
          </cell>
          <cell r="AZ1292">
            <v>0</v>
          </cell>
          <cell r="BA1292">
            <v>0</v>
          </cell>
          <cell r="BI1292">
            <v>0</v>
          </cell>
          <cell r="BJ1292">
            <v>0</v>
          </cell>
          <cell r="BK1292">
            <v>0</v>
          </cell>
          <cell r="BL1292">
            <v>0</v>
          </cell>
          <cell r="BM1292">
            <v>0</v>
          </cell>
          <cell r="BN1292">
            <v>0</v>
          </cell>
          <cell r="BO1292">
            <v>0</v>
          </cell>
          <cell r="BP1292">
            <v>0</v>
          </cell>
          <cell r="BQ1292">
            <v>0</v>
          </cell>
          <cell r="BR1292">
            <v>0</v>
          </cell>
          <cell r="BT1292">
            <v>0</v>
          </cell>
          <cell r="CA1292" t="str">
            <v>USCENT - EBITA - Identified - Recompete</v>
          </cell>
          <cell r="CC1292" t="str">
            <v>USCENT - EBITA - Identified - Recompete - IS4</v>
          </cell>
          <cell r="CD1292" t="str">
            <v/>
          </cell>
          <cell r="CF1292" t="str">
            <v>USCENT - Identified - Recompete - IS4</v>
          </cell>
        </row>
        <row r="1293">
          <cell r="D1293">
            <v>1279</v>
          </cell>
          <cell r="E1293">
            <v>1</v>
          </cell>
          <cell r="F1293">
            <v>1</v>
          </cell>
          <cell r="G1293" t="str">
            <v>002265</v>
          </cell>
          <cell r="H1293" t="str">
            <v>002265 Manufacture Cables for Radar Antenna Pedestals</v>
          </cell>
          <cell r="I1293" t="str">
            <v>IS4</v>
          </cell>
          <cell r="J1293" t="str">
            <v>IS4 Sustainment Engineering and Acquisition</v>
          </cell>
          <cell r="K1293" t="str">
            <v>Navy</v>
          </cell>
          <cell r="L1293" t="str">
            <v>DOD</v>
          </cell>
          <cell r="M1293" t="str">
            <v>IN</v>
          </cell>
          <cell r="N1293" t="str">
            <v>CONUS</v>
          </cell>
          <cell r="O1293">
            <v>42570</v>
          </cell>
          <cell r="P1293">
            <v>44395</v>
          </cell>
          <cell r="Q1293" t="str">
            <v>Prime</v>
          </cell>
          <cell r="R1293" t="str">
            <v>FFP</v>
          </cell>
          <cell r="S1293">
            <v>0</v>
          </cell>
          <cell r="T1293">
            <v>1</v>
          </cell>
          <cell r="U1293" t="str">
            <v>REVTOT</v>
          </cell>
          <cell r="V1293" t="str">
            <v>Base</v>
          </cell>
          <cell r="W1293" t="str">
            <v>05 Won</v>
          </cell>
          <cell r="X1293" t="str">
            <v>Active</v>
          </cell>
          <cell r="Y1293">
            <v>1</v>
          </cell>
          <cell r="Z1293">
            <v>0</v>
          </cell>
          <cell r="AA1293">
            <v>80415.010000000024</v>
          </cell>
          <cell r="AB1293">
            <v>0</v>
          </cell>
          <cell r="AC1293">
            <v>0</v>
          </cell>
          <cell r="AD1293">
            <v>80415.010000000024</v>
          </cell>
          <cell r="AE1293">
            <v>0.46715883597095309</v>
          </cell>
          <cell r="AF1293">
            <v>-0.54122576995303773</v>
          </cell>
          <cell r="AG1293">
            <v>1.1823174063903026</v>
          </cell>
          <cell r="AH1293">
            <v>-1</v>
          </cell>
          <cell r="AI1293">
            <v>0</v>
          </cell>
          <cell r="AJ1293">
            <v>0</v>
          </cell>
          <cell r="AK1293">
            <v>0</v>
          </cell>
          <cell r="BB1293">
            <v>0</v>
          </cell>
          <cell r="BC1293">
            <v>0</v>
          </cell>
          <cell r="BD1293">
            <v>0</v>
          </cell>
          <cell r="BE1293">
            <v>0</v>
          </cell>
          <cell r="BF1293">
            <v>215587.06</v>
          </cell>
          <cell r="BG1293">
            <v>316300.46000000002</v>
          </cell>
          <cell r="BH1293">
            <v>145110.5</v>
          </cell>
          <cell r="BI1293">
            <v>72966.05</v>
          </cell>
          <cell r="BJ1293">
            <v>324126.13</v>
          </cell>
          <cell r="BK1293">
            <v>-80415.009999999995</v>
          </cell>
          <cell r="BL1293">
            <v>0</v>
          </cell>
          <cell r="BM1293">
            <v>316677.17</v>
          </cell>
          <cell r="BN1293">
            <v>0</v>
          </cell>
          <cell r="BO1293">
            <v>0</v>
          </cell>
          <cell r="BP1293">
            <v>0</v>
          </cell>
          <cell r="BQ1293">
            <v>0</v>
          </cell>
          <cell r="BR1293">
            <v>316677.17</v>
          </cell>
          <cell r="BT1293">
            <v>0</v>
          </cell>
          <cell r="CA1293" t="str">
            <v>002265 - REVTOT - Base</v>
          </cell>
          <cell r="CC1293" t="str">
            <v>002265 - REVTOT - Base - IS4</v>
          </cell>
          <cell r="CD1293" t="str">
            <v/>
          </cell>
          <cell r="CF1293" t="str">
            <v>002265 - Base - IS4</v>
          </cell>
        </row>
        <row r="1294">
          <cell r="D1294">
            <v>1280</v>
          </cell>
          <cell r="E1294">
            <v>1</v>
          </cell>
          <cell r="F1294">
            <v>2</v>
          </cell>
          <cell r="G1294" t="str">
            <v>002265</v>
          </cell>
          <cell r="H1294" t="str">
            <v>002265 Manufacture Cables for Radar Antenna Pedestals</v>
          </cell>
          <cell r="I1294" t="str">
            <v>IS4</v>
          </cell>
          <cell r="J1294" t="str">
            <v>IS4 Sustainment Engineering and Acquisition</v>
          </cell>
          <cell r="K1294" t="str">
            <v>Navy</v>
          </cell>
          <cell r="L1294" t="str">
            <v>DOD</v>
          </cell>
          <cell r="M1294" t="str">
            <v>IN</v>
          </cell>
          <cell r="N1294" t="str">
            <v>CONUS</v>
          </cell>
          <cell r="O1294">
            <v>43689</v>
          </cell>
          <cell r="P1294">
            <v>45516</v>
          </cell>
          <cell r="Q1294" t="str">
            <v>Sub</v>
          </cell>
          <cell r="R1294" t="str">
            <v>FFP</v>
          </cell>
          <cell r="S1294">
            <v>0</v>
          </cell>
          <cell r="T1294">
            <v>1</v>
          </cell>
          <cell r="U1294" t="str">
            <v>REVTOT</v>
          </cell>
          <cell r="V1294" t="str">
            <v>Identified - Recompete</v>
          </cell>
          <cell r="W1294" t="str">
            <v>04 Submitted</v>
          </cell>
          <cell r="X1294" t="str">
            <v>Priority 3</v>
          </cell>
          <cell r="Y1294">
            <v>1</v>
          </cell>
          <cell r="Z1294">
            <v>650000</v>
          </cell>
          <cell r="AA1294">
            <v>0</v>
          </cell>
          <cell r="AB1294">
            <v>0</v>
          </cell>
          <cell r="AC1294">
            <v>0</v>
          </cell>
          <cell r="AD1294">
            <v>0</v>
          </cell>
          <cell r="AI1294">
            <v>0</v>
          </cell>
          <cell r="AJ1294">
            <v>0</v>
          </cell>
          <cell r="AK1294">
            <v>0</v>
          </cell>
          <cell r="BB1294">
            <v>130000</v>
          </cell>
          <cell r="BC1294">
            <v>130000</v>
          </cell>
          <cell r="BD1294">
            <v>130000</v>
          </cell>
          <cell r="BE1294">
            <v>130000</v>
          </cell>
          <cell r="BI1294">
            <v>0</v>
          </cell>
          <cell r="BJ1294">
            <v>0</v>
          </cell>
          <cell r="BK1294">
            <v>0</v>
          </cell>
          <cell r="BL1294">
            <v>0</v>
          </cell>
          <cell r="BM1294">
            <v>0</v>
          </cell>
          <cell r="BN1294">
            <v>130000</v>
          </cell>
          <cell r="BO1294">
            <v>130000</v>
          </cell>
          <cell r="BP1294">
            <v>130000</v>
          </cell>
          <cell r="BQ1294">
            <v>130000</v>
          </cell>
          <cell r="BR1294">
            <v>520000</v>
          </cell>
          <cell r="BT1294">
            <v>0</v>
          </cell>
          <cell r="CA1294" t="str">
            <v>002265 - REVTOT - Identified - Recompete</v>
          </cell>
          <cell r="CC1294" t="str">
            <v>002265 - REVTOT - Identified - Recompete - IS4</v>
          </cell>
          <cell r="CD1294" t="str">
            <v/>
          </cell>
          <cell r="CF1294" t="str">
            <v>002265 - Identified - Recompete - IS4</v>
          </cell>
        </row>
        <row r="1295">
          <cell r="D1295">
            <v>1281</v>
          </cell>
          <cell r="E1295">
            <v>2</v>
          </cell>
          <cell r="F1295">
            <v>3</v>
          </cell>
          <cell r="G1295" t="str">
            <v>002265</v>
          </cell>
          <cell r="H1295" t="str">
            <v>002265 Manufacture Cables for Radar Antenna Pedestals</v>
          </cell>
          <cell r="I1295" t="str">
            <v>IS4</v>
          </cell>
          <cell r="J1295" t="str">
            <v>IS4 Sustainment Engineering and Acquisition</v>
          </cell>
          <cell r="K1295" t="str">
            <v>Navy</v>
          </cell>
          <cell r="L1295" t="str">
            <v>DOD</v>
          </cell>
          <cell r="M1295" t="str">
            <v>IN</v>
          </cell>
          <cell r="N1295" t="str">
            <v>CONUS</v>
          </cell>
          <cell r="O1295">
            <v>42570</v>
          </cell>
          <cell r="P1295">
            <v>44395</v>
          </cell>
          <cell r="Q1295" t="str">
            <v>Prime</v>
          </cell>
          <cell r="R1295" t="str">
            <v>FFP</v>
          </cell>
          <cell r="S1295">
            <v>0</v>
          </cell>
          <cell r="T1295">
            <v>1</v>
          </cell>
          <cell r="U1295" t="str">
            <v>CONTRACT</v>
          </cell>
          <cell r="V1295" t="str">
            <v>Base</v>
          </cell>
          <cell r="W1295" t="str">
            <v>05 Won</v>
          </cell>
          <cell r="X1295" t="str">
            <v>Active</v>
          </cell>
          <cell r="Y1295">
            <v>1</v>
          </cell>
          <cell r="Z1295">
            <v>0</v>
          </cell>
          <cell r="AA1295">
            <v>80415.010000000024</v>
          </cell>
          <cell r="AB1295">
            <v>0</v>
          </cell>
          <cell r="AC1295">
            <v>0</v>
          </cell>
          <cell r="AD1295">
            <v>80415.010000000024</v>
          </cell>
          <cell r="AL1295">
            <v>5.9949609220516231E-2</v>
          </cell>
          <cell r="AM1295">
            <v>0.10057513036813166</v>
          </cell>
          <cell r="AN1295">
            <v>0.1622364336143835</v>
          </cell>
          <cell r="AO1295">
            <v>0.22534990444685365</v>
          </cell>
          <cell r="AP1295">
            <v>0.14053052889445697</v>
          </cell>
          <cell r="AQ1295">
            <v>0.14053052889445697</v>
          </cell>
          <cell r="AR1295">
            <v>0.14053052889445697</v>
          </cell>
          <cell r="AS1295">
            <v>0.14053052889445697</v>
          </cell>
          <cell r="BF1295">
            <v>12924.359999999986</v>
          </cell>
          <cell r="BG1295">
            <v>31811.960000000017</v>
          </cell>
          <cell r="BH1295">
            <v>23542.209999999995</v>
          </cell>
          <cell r="BI1295">
            <v>10447.919999999996</v>
          </cell>
          <cell r="BJ1295">
            <v>54143.370000000017</v>
          </cell>
          <cell r="BK1295">
            <v>6771.8800000000083</v>
          </cell>
          <cell r="BL1295">
            <v>0</v>
          </cell>
          <cell r="BM1295">
            <v>71363.170000000027</v>
          </cell>
          <cell r="BN1295">
            <v>0</v>
          </cell>
          <cell r="BO1295">
            <v>0</v>
          </cell>
          <cell r="BP1295">
            <v>0</v>
          </cell>
          <cell r="BQ1295">
            <v>0</v>
          </cell>
          <cell r="BR1295">
            <v>71363.170000000027</v>
          </cell>
          <cell r="BT1295">
            <v>0</v>
          </cell>
          <cell r="CA1295" t="str">
            <v>002265 - CONTRACT - Base</v>
          </cell>
          <cell r="CC1295" t="str">
            <v>002265 - CONTRACT - Base - IS4</v>
          </cell>
          <cell r="CD1295" t="str">
            <v/>
          </cell>
          <cell r="CF1295" t="str">
            <v>002265 - Base - IS4</v>
          </cell>
        </row>
        <row r="1296">
          <cell r="D1296">
            <v>1282</v>
          </cell>
          <cell r="E1296">
            <v>2</v>
          </cell>
          <cell r="F1296">
            <v>4</v>
          </cell>
          <cell r="G1296" t="str">
            <v>002265</v>
          </cell>
          <cell r="H1296" t="str">
            <v>002265 Manufacture Cables for Radar Antenna Pedestals</v>
          </cell>
          <cell r="I1296" t="str">
            <v>IS4</v>
          </cell>
          <cell r="J1296" t="str">
            <v>IS4 Sustainment Engineering and Acquisition</v>
          </cell>
          <cell r="K1296" t="str">
            <v>Navy</v>
          </cell>
          <cell r="L1296" t="str">
            <v>DOD</v>
          </cell>
          <cell r="M1296" t="str">
            <v>IN</v>
          </cell>
          <cell r="N1296" t="str">
            <v>CONUS</v>
          </cell>
          <cell r="O1296">
            <v>43689</v>
          </cell>
          <cell r="P1296">
            <v>45516</v>
          </cell>
          <cell r="Q1296" t="str">
            <v>Sub</v>
          </cell>
          <cell r="R1296" t="str">
            <v>FFP</v>
          </cell>
          <cell r="S1296">
            <v>0</v>
          </cell>
          <cell r="T1296">
            <v>1</v>
          </cell>
          <cell r="U1296" t="str">
            <v>CONTRACT</v>
          </cell>
          <cell r="V1296" t="str">
            <v>Identified - Recompete</v>
          </cell>
          <cell r="W1296" t="str">
            <v>04 Submitted</v>
          </cell>
          <cell r="X1296" t="str">
            <v>Priority 3</v>
          </cell>
          <cell r="Y1296">
            <v>1</v>
          </cell>
          <cell r="Z1296">
            <v>650000</v>
          </cell>
          <cell r="AA1296">
            <v>0</v>
          </cell>
          <cell r="AB1296">
            <v>0</v>
          </cell>
          <cell r="AC1296">
            <v>0</v>
          </cell>
          <cell r="AD1296">
            <v>0</v>
          </cell>
          <cell r="AP1296">
            <v>0.14053052889445697</v>
          </cell>
          <cell r="AQ1296">
            <v>0.14053052889445697</v>
          </cell>
          <cell r="AR1296">
            <v>0.14053052889445697</v>
          </cell>
          <cell r="AS1296">
            <v>0.14053052889445697</v>
          </cell>
          <cell r="BI1296">
            <v>0</v>
          </cell>
          <cell r="BJ1296">
            <v>0</v>
          </cell>
          <cell r="BK1296">
            <v>0</v>
          </cell>
          <cell r="BL1296">
            <v>0</v>
          </cell>
          <cell r="BM1296">
            <v>0</v>
          </cell>
          <cell r="BN1296">
            <v>18268.968756279406</v>
          </cell>
          <cell r="BO1296">
            <v>18268.968756279406</v>
          </cell>
          <cell r="BP1296">
            <v>18268.968756279406</v>
          </cell>
          <cell r="BQ1296">
            <v>18268.968756279406</v>
          </cell>
          <cell r="BR1296">
            <v>73075.875025117624</v>
          </cell>
          <cell r="BT1296">
            <v>0</v>
          </cell>
          <cell r="CA1296" t="str">
            <v>002265 - CONTRACT - Identified - Recompete</v>
          </cell>
          <cell r="CC1296" t="str">
            <v>002265 - CONTRACT - Identified - Recompete - IS4</v>
          </cell>
          <cell r="CD1296" t="str">
            <v/>
          </cell>
          <cell r="CF1296" t="str">
            <v>002265 - Identified - Recompete - IS4</v>
          </cell>
        </row>
        <row r="1297">
          <cell r="D1297">
            <v>1283</v>
          </cell>
          <cell r="E1297">
            <v>0</v>
          </cell>
          <cell r="F1297">
            <v>5</v>
          </cell>
          <cell r="G1297" t="str">
            <v>002265</v>
          </cell>
          <cell r="H1297" t="str">
            <v>002265 Manufacture Cables for Radar Antenna Pedestals</v>
          </cell>
          <cell r="I1297" t="str">
            <v>IS4</v>
          </cell>
          <cell r="J1297" t="str">
            <v>IS4 Sustainment Engineering and Acquisition</v>
          </cell>
          <cell r="K1297" t="str">
            <v>Navy</v>
          </cell>
          <cell r="L1297" t="str">
            <v>DOD</v>
          </cell>
          <cell r="M1297" t="str">
            <v>IN</v>
          </cell>
          <cell r="N1297" t="str">
            <v>CONUS</v>
          </cell>
          <cell r="O1297">
            <v>42570</v>
          </cell>
          <cell r="P1297">
            <v>44395</v>
          </cell>
          <cell r="Q1297" t="str">
            <v>Prime</v>
          </cell>
          <cell r="R1297" t="str">
            <v>FFP</v>
          </cell>
          <cell r="S1297">
            <v>0</v>
          </cell>
          <cell r="T1297">
            <v>1</v>
          </cell>
          <cell r="U1297" t="str">
            <v>EBITA</v>
          </cell>
          <cell r="V1297" t="str">
            <v>Base</v>
          </cell>
          <cell r="W1297" t="str">
            <v>05 Won</v>
          </cell>
          <cell r="X1297" t="str">
            <v>Active</v>
          </cell>
          <cell r="Y1297">
            <v>1</v>
          </cell>
          <cell r="Z1297">
            <v>0</v>
          </cell>
          <cell r="AA1297">
            <v>80415.010000000024</v>
          </cell>
          <cell r="AB1297">
            <v>0</v>
          </cell>
          <cell r="AC1297">
            <v>0</v>
          </cell>
          <cell r="AD1297">
            <v>80415.010000000024</v>
          </cell>
          <cell r="AT1297">
            <v>1.5383715516135271E-2</v>
          </cell>
          <cell r="AU1297">
            <v>3.0709092234643561E-3</v>
          </cell>
          <cell r="AV1297">
            <v>7.8789267489258158E-2</v>
          </cell>
          <cell r="AW1297">
            <v>0.14962673185439931</v>
          </cell>
          <cell r="AX1297">
            <v>6.4506043660001247E-2</v>
          </cell>
          <cell r="AY1297">
            <v>6.5506043660001248E-2</v>
          </cell>
          <cell r="AZ1297">
            <v>6.6506043660001249E-2</v>
          </cell>
          <cell r="BA1297">
            <v>6.750604366000125E-2</v>
          </cell>
          <cell r="BF1297">
            <v>3316.5299999999856</v>
          </cell>
          <cell r="BG1297">
            <v>971.33000000001869</v>
          </cell>
          <cell r="BH1297">
            <v>11433.149999999996</v>
          </cell>
          <cell r="BI1297">
            <v>3560.3699999999963</v>
          </cell>
          <cell r="BJ1297">
            <v>29472.380000000019</v>
          </cell>
          <cell r="BK1297">
            <v>14350.620000000006</v>
          </cell>
          <cell r="BL1297">
            <v>0</v>
          </cell>
          <cell r="BM1297">
            <v>47383.370000000024</v>
          </cell>
          <cell r="BN1297">
            <v>0</v>
          </cell>
          <cell r="BO1297">
            <v>0</v>
          </cell>
          <cell r="BP1297">
            <v>0</v>
          </cell>
          <cell r="BQ1297">
            <v>0</v>
          </cell>
          <cell r="BR1297">
            <v>47383.370000000024</v>
          </cell>
          <cell r="BT1297">
            <v>0</v>
          </cell>
          <cell r="CA1297" t="str">
            <v>002265 - EBITA - Base</v>
          </cell>
          <cell r="CC1297" t="str">
            <v>002265 - EBITA - Base - IS4</v>
          </cell>
          <cell r="CD1297" t="str">
            <v/>
          </cell>
          <cell r="CF1297" t="str">
            <v>002265 - Base - IS4</v>
          </cell>
        </row>
        <row r="1298">
          <cell r="D1298">
            <v>1284</v>
          </cell>
          <cell r="E1298">
            <v>0</v>
          </cell>
          <cell r="F1298">
            <v>0</v>
          </cell>
          <cell r="G1298" t="str">
            <v>002265</v>
          </cell>
          <cell r="H1298" t="str">
            <v>002265 Manufacture Cables for Radar Antenna Pedestals</v>
          </cell>
          <cell r="I1298" t="str">
            <v>IS4</v>
          </cell>
          <cell r="J1298" t="str">
            <v>IS4 Sustainment Engineering and Acquisition</v>
          </cell>
          <cell r="K1298" t="str">
            <v>Navy</v>
          </cell>
          <cell r="L1298" t="str">
            <v>DOD</v>
          </cell>
          <cell r="M1298" t="str">
            <v>IN</v>
          </cell>
          <cell r="N1298" t="str">
            <v>CONUS</v>
          </cell>
          <cell r="O1298">
            <v>43689</v>
          </cell>
          <cell r="P1298">
            <v>45516</v>
          </cell>
          <cell r="Q1298" t="str">
            <v>Sub</v>
          </cell>
          <cell r="R1298" t="str">
            <v>FFP</v>
          </cell>
          <cell r="S1298">
            <v>0</v>
          </cell>
          <cell r="T1298">
            <v>1</v>
          </cell>
          <cell r="U1298" t="str">
            <v>EBITA</v>
          </cell>
          <cell r="V1298" t="str">
            <v>Identified - Recompete</v>
          </cell>
          <cell r="W1298" t="str">
            <v>04 Submitted</v>
          </cell>
          <cell r="X1298" t="str">
            <v>Priority 3</v>
          </cell>
          <cell r="Y1298">
            <v>1</v>
          </cell>
          <cell r="Z1298">
            <v>650000</v>
          </cell>
          <cell r="AA1298">
            <v>0</v>
          </cell>
          <cell r="AB1298">
            <v>0</v>
          </cell>
          <cell r="AC1298">
            <v>0</v>
          </cell>
          <cell r="AD1298">
            <v>0</v>
          </cell>
          <cell r="AX1298">
            <v>6.4506043660001247E-2</v>
          </cell>
          <cell r="AY1298">
            <v>6.5506043660001248E-2</v>
          </cell>
          <cell r="AZ1298">
            <v>6.6506043660001249E-2</v>
          </cell>
          <cell r="BA1298">
            <v>6.750604366000125E-2</v>
          </cell>
          <cell r="BI1298">
            <v>0</v>
          </cell>
          <cell r="BJ1298">
            <v>0</v>
          </cell>
          <cell r="BK1298">
            <v>0</v>
          </cell>
          <cell r="BL1298">
            <v>0</v>
          </cell>
          <cell r="BM1298">
            <v>0</v>
          </cell>
          <cell r="BN1298">
            <v>8385.7856758001617</v>
          </cell>
          <cell r="BO1298">
            <v>8515.7856758001617</v>
          </cell>
          <cell r="BP1298">
            <v>8645.7856758001617</v>
          </cell>
          <cell r="BQ1298">
            <v>8775.7856758001617</v>
          </cell>
          <cell r="BR1298">
            <v>34323.142703200647</v>
          </cell>
          <cell r="BT1298">
            <v>0</v>
          </cell>
          <cell r="CA1298" t="str">
            <v>002265 - EBITA - Identified - Recompete</v>
          </cell>
          <cell r="CC1298" t="str">
            <v>002265 - EBITA - Identified - Recompete - IS4</v>
          </cell>
          <cell r="CD1298" t="str">
            <v/>
          </cell>
          <cell r="CF1298" t="str">
            <v>002265 - Identified - Recompete - IS4</v>
          </cell>
        </row>
        <row r="1299">
          <cell r="D1299">
            <v>1285</v>
          </cell>
          <cell r="E1299">
            <v>1</v>
          </cell>
          <cell r="F1299">
            <v>1</v>
          </cell>
          <cell r="G1299" t="str">
            <v>CP3415</v>
          </cell>
          <cell r="H1299" t="str">
            <v>MAHI</v>
          </cell>
          <cell r="I1299" t="str">
            <v>IS4</v>
          </cell>
          <cell r="J1299" t="str">
            <v>IS4 Global Mission Solutions</v>
          </cell>
          <cell r="K1299" t="str">
            <v>Classified Agency</v>
          </cell>
          <cell r="L1299" t="str">
            <v>Classified</v>
          </cell>
          <cell r="M1299" t="str">
            <v>MD</v>
          </cell>
          <cell r="N1299" t="str">
            <v>CONUS</v>
          </cell>
          <cell r="O1299">
            <v>43313</v>
          </cell>
          <cell r="P1299">
            <v>43463</v>
          </cell>
          <cell r="Q1299" t="str">
            <v>Prime</v>
          </cell>
          <cell r="R1299" t="str">
            <v>FFP</v>
          </cell>
          <cell r="S1299">
            <v>0</v>
          </cell>
          <cell r="T1299">
            <v>1</v>
          </cell>
          <cell r="U1299" t="str">
            <v>REVTOT</v>
          </cell>
          <cell r="V1299" t="str">
            <v>Base</v>
          </cell>
          <cell r="W1299" t="str">
            <v>05 Won</v>
          </cell>
          <cell r="X1299" t="str">
            <v>Active</v>
          </cell>
          <cell r="Y1299">
            <v>1</v>
          </cell>
          <cell r="Z1299">
            <v>0</v>
          </cell>
          <cell r="AA1299">
            <v>1541.5943600000392</v>
          </cell>
          <cell r="AB1299">
            <v>-1.6415202530595252E-12</v>
          </cell>
          <cell r="AC1299">
            <v>0</v>
          </cell>
          <cell r="AD1299">
            <v>1541.5943600000376</v>
          </cell>
          <cell r="AE1299">
            <v>0</v>
          </cell>
          <cell r="AF1299">
            <v>0</v>
          </cell>
          <cell r="AG1299">
            <v>1.007460165964114</v>
          </cell>
          <cell r="AH1299">
            <v>-1</v>
          </cell>
          <cell r="AI1299">
            <v>0</v>
          </cell>
          <cell r="AJ1299">
            <v>0</v>
          </cell>
          <cell r="AK1299">
            <v>0</v>
          </cell>
          <cell r="BB1299">
            <v>0</v>
          </cell>
          <cell r="BC1299">
            <v>0</v>
          </cell>
          <cell r="BD1299">
            <v>0</v>
          </cell>
          <cell r="BE1299">
            <v>0</v>
          </cell>
          <cell r="BF1299">
            <v>0</v>
          </cell>
          <cell r="BG1299">
            <v>0</v>
          </cell>
          <cell r="BH1299">
            <v>140082.09</v>
          </cell>
          <cell r="BI1299">
            <v>1722.7299999999998</v>
          </cell>
          <cell r="BJ1299">
            <v>100606.98999999999</v>
          </cell>
          <cell r="BK1299">
            <v>82720.06</v>
          </cell>
          <cell r="BL1299">
            <v>96159.435640000011</v>
          </cell>
          <cell r="BM1299">
            <v>281209.21563999995</v>
          </cell>
          <cell r="BN1299">
            <v>0</v>
          </cell>
          <cell r="BO1299">
            <v>0</v>
          </cell>
          <cell r="BP1299">
            <v>0</v>
          </cell>
          <cell r="BQ1299">
            <v>0</v>
          </cell>
          <cell r="BR1299">
            <v>281209.21563999995</v>
          </cell>
          <cell r="BT1299">
            <v>0</v>
          </cell>
          <cell r="CA1299" t="str">
            <v>CP3415 - REVTOT - Base</v>
          </cell>
          <cell r="CC1299" t="str">
            <v>CP3415 - REVTOT - Base - IS4</v>
          </cell>
          <cell r="CD1299" t="str">
            <v/>
          </cell>
          <cell r="CF1299" t="str">
            <v>CP3415 - Base - IS4</v>
          </cell>
        </row>
        <row r="1300">
          <cell r="D1300">
            <v>1286</v>
          </cell>
          <cell r="E1300">
            <v>1</v>
          </cell>
          <cell r="F1300">
            <v>2</v>
          </cell>
          <cell r="G1300" t="str">
            <v>CP3415</v>
          </cell>
          <cell r="H1300" t="str">
            <v>MAHI</v>
          </cell>
          <cell r="I1300" t="str">
            <v>IS4</v>
          </cell>
          <cell r="J1300" t="str">
            <v>IS4 Global Mission Solutions</v>
          </cell>
          <cell r="K1300" t="str">
            <v>Classified Agency</v>
          </cell>
          <cell r="L1300" t="str">
            <v>Classified</v>
          </cell>
          <cell r="M1300" t="str">
            <v>MD</v>
          </cell>
          <cell r="N1300" t="str">
            <v>CONUS</v>
          </cell>
          <cell r="O1300">
            <v>0</v>
          </cell>
          <cell r="P1300">
            <v>0</v>
          </cell>
          <cell r="Q1300">
            <v>0</v>
          </cell>
          <cell r="R1300" t="str">
            <v>FFP</v>
          </cell>
          <cell r="S1300">
            <v>0</v>
          </cell>
          <cell r="T1300">
            <v>1</v>
          </cell>
          <cell r="U1300" t="str">
            <v>REVTOT</v>
          </cell>
          <cell r="V1300" t="str">
            <v>Identified - Recompete</v>
          </cell>
          <cell r="W1300">
            <v>0</v>
          </cell>
          <cell r="X1300">
            <v>0</v>
          </cell>
          <cell r="Y1300">
            <v>0</v>
          </cell>
          <cell r="Z1300">
            <v>0</v>
          </cell>
          <cell r="AA1300">
            <v>0</v>
          </cell>
          <cell r="AB1300">
            <v>0</v>
          </cell>
          <cell r="AC1300">
            <v>0</v>
          </cell>
          <cell r="AD1300">
            <v>0</v>
          </cell>
          <cell r="AI1300">
            <v>0</v>
          </cell>
          <cell r="AJ1300">
            <v>0</v>
          </cell>
          <cell r="AK1300">
            <v>0</v>
          </cell>
          <cell r="BB1300">
            <v>0</v>
          </cell>
          <cell r="BC1300">
            <v>0</v>
          </cell>
          <cell r="BD1300">
            <v>0</v>
          </cell>
          <cell r="BE1300">
            <v>0</v>
          </cell>
          <cell r="BI1300">
            <v>0</v>
          </cell>
          <cell r="BJ1300">
            <v>0</v>
          </cell>
          <cell r="BK1300">
            <v>0</v>
          </cell>
          <cell r="BL1300">
            <v>0</v>
          </cell>
          <cell r="BM1300">
            <v>0</v>
          </cell>
          <cell r="BN1300">
            <v>0</v>
          </cell>
          <cell r="BO1300">
            <v>0</v>
          </cell>
          <cell r="BP1300">
            <v>0</v>
          </cell>
          <cell r="BQ1300">
            <v>0</v>
          </cell>
          <cell r="BR1300">
            <v>0</v>
          </cell>
          <cell r="BT1300">
            <v>0</v>
          </cell>
          <cell r="CA1300" t="str">
            <v>CP3415 - REVTOT - Identified - Recompete</v>
          </cell>
          <cell r="CC1300" t="str">
            <v>CP3415 - REVTOT - Identified - Recompete - IS4</v>
          </cell>
          <cell r="CD1300" t="str">
            <v/>
          </cell>
          <cell r="CF1300" t="str">
            <v>CP3415 - Identified - Recompete - IS4</v>
          </cell>
        </row>
        <row r="1301">
          <cell r="D1301">
            <v>1287</v>
          </cell>
          <cell r="E1301">
            <v>2</v>
          </cell>
          <cell r="F1301">
            <v>3</v>
          </cell>
          <cell r="G1301" t="str">
            <v>CP3415</v>
          </cell>
          <cell r="H1301" t="str">
            <v>MAHI</v>
          </cell>
          <cell r="I1301" t="str">
            <v>IS4</v>
          </cell>
          <cell r="J1301" t="str">
            <v>IS4 Global Mission Solutions</v>
          </cell>
          <cell r="K1301" t="str">
            <v>Classified Agency</v>
          </cell>
          <cell r="L1301" t="str">
            <v>Classified</v>
          </cell>
          <cell r="M1301" t="str">
            <v>MD</v>
          </cell>
          <cell r="N1301" t="str">
            <v>CONUS</v>
          </cell>
          <cell r="O1301">
            <v>43313</v>
          </cell>
          <cell r="P1301">
            <v>43463</v>
          </cell>
          <cell r="Q1301" t="str">
            <v>Prime</v>
          </cell>
          <cell r="R1301" t="str">
            <v>FFP</v>
          </cell>
          <cell r="S1301">
            <v>0</v>
          </cell>
          <cell r="T1301">
            <v>1</v>
          </cell>
          <cell r="U1301" t="str">
            <v>CONTRACT</v>
          </cell>
          <cell r="V1301" t="str">
            <v>Base</v>
          </cell>
          <cell r="W1301" t="str">
            <v>05 Won</v>
          </cell>
          <cell r="X1301" t="str">
            <v>Active</v>
          </cell>
          <cell r="Y1301">
            <v>1</v>
          </cell>
          <cell r="Z1301">
            <v>0</v>
          </cell>
          <cell r="AA1301">
            <v>1541.5943600000392</v>
          </cell>
          <cell r="AB1301">
            <v>-1.6415202530595252E-12</v>
          </cell>
          <cell r="AC1301">
            <v>0</v>
          </cell>
          <cell r="AD1301">
            <v>1541.5943600000376</v>
          </cell>
          <cell r="AL1301">
            <v>0</v>
          </cell>
          <cell r="AM1301">
            <v>0</v>
          </cell>
          <cell r="AN1301">
            <v>0.54510251810206423</v>
          </cell>
          <cell r="AO1301">
            <v>0.38566230395464157</v>
          </cell>
          <cell r="AP1301">
            <v>0.43867720867452187</v>
          </cell>
          <cell r="AQ1301">
            <v>0.43867720867452187</v>
          </cell>
          <cell r="AR1301">
            <v>0.43867720867452187</v>
          </cell>
          <cell r="AS1301">
            <v>0.43867720867452187</v>
          </cell>
          <cell r="BF1301">
            <v>0</v>
          </cell>
          <cell r="BG1301">
            <v>0</v>
          </cell>
          <cell r="BH1301">
            <v>76359.099999999991</v>
          </cell>
          <cell r="BI1301">
            <v>545.2299999999999</v>
          </cell>
          <cell r="BJ1301">
            <v>42022.969999999994</v>
          </cell>
          <cell r="BK1301">
            <v>28297.64</v>
          </cell>
          <cell r="BL1301">
            <v>37585.953996999997</v>
          </cell>
          <cell r="BM1301">
            <v>108451.793997</v>
          </cell>
          <cell r="BN1301">
            <v>0</v>
          </cell>
          <cell r="BO1301">
            <v>0</v>
          </cell>
          <cell r="BP1301">
            <v>0</v>
          </cell>
          <cell r="BQ1301">
            <v>0</v>
          </cell>
          <cell r="BR1301">
            <v>108451.793997</v>
          </cell>
          <cell r="BT1301">
            <v>0</v>
          </cell>
          <cell r="CA1301" t="str">
            <v>CP3415 - CONTRACT - Base</v>
          </cell>
          <cell r="CC1301" t="str">
            <v>CP3415 - CONTRACT - Base - IS4</v>
          </cell>
          <cell r="CD1301" t="str">
            <v/>
          </cell>
          <cell r="CF1301" t="str">
            <v>CP3415 - Base - IS4</v>
          </cell>
        </row>
        <row r="1302">
          <cell r="D1302">
            <v>1288</v>
          </cell>
          <cell r="E1302">
            <v>2</v>
          </cell>
          <cell r="F1302">
            <v>4</v>
          </cell>
          <cell r="G1302" t="str">
            <v>CP3415</v>
          </cell>
          <cell r="H1302" t="str">
            <v>MAHI</v>
          </cell>
          <cell r="I1302" t="str">
            <v>IS4</v>
          </cell>
          <cell r="J1302" t="str">
            <v>IS4 Global Mission Solutions</v>
          </cell>
          <cell r="K1302" t="str">
            <v>Classified Agency</v>
          </cell>
          <cell r="L1302" t="str">
            <v>Classified</v>
          </cell>
          <cell r="M1302" t="str">
            <v>MD</v>
          </cell>
          <cell r="N1302" t="str">
            <v>CONUS</v>
          </cell>
          <cell r="O1302">
            <v>0</v>
          </cell>
          <cell r="P1302">
            <v>0</v>
          </cell>
          <cell r="Q1302">
            <v>0</v>
          </cell>
          <cell r="R1302" t="str">
            <v>FFP</v>
          </cell>
          <cell r="S1302">
            <v>0</v>
          </cell>
          <cell r="T1302">
            <v>1</v>
          </cell>
          <cell r="U1302" t="str">
            <v>CONTRACT</v>
          </cell>
          <cell r="V1302" t="str">
            <v>Identified - Recompete</v>
          </cell>
          <cell r="W1302">
            <v>0</v>
          </cell>
          <cell r="X1302">
            <v>0</v>
          </cell>
          <cell r="Y1302">
            <v>0</v>
          </cell>
          <cell r="Z1302">
            <v>0</v>
          </cell>
          <cell r="AA1302">
            <v>0</v>
          </cell>
          <cell r="AB1302">
            <v>0</v>
          </cell>
          <cell r="AC1302">
            <v>0</v>
          </cell>
          <cell r="AD1302">
            <v>0</v>
          </cell>
          <cell r="AP1302">
            <v>0</v>
          </cell>
          <cell r="AQ1302">
            <v>0</v>
          </cell>
          <cell r="AR1302">
            <v>0</v>
          </cell>
          <cell r="AS1302">
            <v>0</v>
          </cell>
          <cell r="BI1302">
            <v>0</v>
          </cell>
          <cell r="BJ1302">
            <v>0</v>
          </cell>
          <cell r="BK1302">
            <v>0</v>
          </cell>
          <cell r="BL1302">
            <v>0</v>
          </cell>
          <cell r="BM1302">
            <v>0</v>
          </cell>
          <cell r="BN1302">
            <v>0</v>
          </cell>
          <cell r="BO1302">
            <v>0</v>
          </cell>
          <cell r="BP1302">
            <v>0</v>
          </cell>
          <cell r="BQ1302">
            <v>0</v>
          </cell>
          <cell r="BR1302">
            <v>0</v>
          </cell>
          <cell r="BT1302">
            <v>0</v>
          </cell>
          <cell r="CA1302" t="str">
            <v>CP3415 - CONTRACT - Identified - Recompete</v>
          </cell>
          <cell r="CC1302" t="str">
            <v>CP3415 - CONTRACT - Identified - Recompete - IS4</v>
          </cell>
          <cell r="CD1302" t="str">
            <v/>
          </cell>
          <cell r="CF1302" t="str">
            <v>CP3415 - Identified - Recompete - IS4</v>
          </cell>
        </row>
        <row r="1303">
          <cell r="D1303">
            <v>1289</v>
          </cell>
          <cell r="E1303">
            <v>0</v>
          </cell>
          <cell r="F1303">
            <v>5</v>
          </cell>
          <cell r="G1303" t="str">
            <v>CP3415</v>
          </cell>
          <cell r="H1303" t="str">
            <v>MAHI</v>
          </cell>
          <cell r="I1303" t="str">
            <v>IS4</v>
          </cell>
          <cell r="J1303" t="str">
            <v>IS4 Global Mission Solutions</v>
          </cell>
          <cell r="K1303" t="str">
            <v>Classified Agency</v>
          </cell>
          <cell r="L1303" t="str">
            <v>Classified</v>
          </cell>
          <cell r="M1303" t="str">
            <v>MD</v>
          </cell>
          <cell r="N1303" t="str">
            <v>CONUS</v>
          </cell>
          <cell r="O1303">
            <v>43313</v>
          </cell>
          <cell r="P1303">
            <v>43463</v>
          </cell>
          <cell r="Q1303" t="str">
            <v>Prime</v>
          </cell>
          <cell r="R1303" t="str">
            <v>FFP</v>
          </cell>
          <cell r="S1303">
            <v>0</v>
          </cell>
          <cell r="T1303">
            <v>1</v>
          </cell>
          <cell r="U1303" t="str">
            <v>EBITA</v>
          </cell>
          <cell r="V1303" t="str">
            <v>Base</v>
          </cell>
          <cell r="W1303" t="str">
            <v>05 Won</v>
          </cell>
          <cell r="X1303" t="str">
            <v>Active</v>
          </cell>
          <cell r="Y1303">
            <v>1</v>
          </cell>
          <cell r="Z1303">
            <v>0</v>
          </cell>
          <cell r="AA1303">
            <v>1541.5943600000392</v>
          </cell>
          <cell r="AB1303">
            <v>-1.6415202530595252E-12</v>
          </cell>
          <cell r="AC1303">
            <v>0</v>
          </cell>
          <cell r="AD1303">
            <v>1541.5943600000376</v>
          </cell>
          <cell r="AT1303">
            <v>0</v>
          </cell>
          <cell r="AU1303">
            <v>0</v>
          </cell>
          <cell r="AV1303">
            <v>0.32851073252833396</v>
          </cell>
          <cell r="AW1303">
            <v>5.2786916960087409E-2</v>
          </cell>
          <cell r="AX1303">
            <v>0.14546687292048718</v>
          </cell>
          <cell r="AY1303">
            <v>0.14646687292048718</v>
          </cell>
          <cell r="AZ1303">
            <v>0.14746687292048719</v>
          </cell>
          <cell r="BA1303">
            <v>0.14846687292048719</v>
          </cell>
          <cell r="BF1303">
            <v>0</v>
          </cell>
          <cell r="BG1303">
            <v>0</v>
          </cell>
          <cell r="BH1303">
            <v>46018.47</v>
          </cell>
          <cell r="BI1303">
            <v>-105.4500000000001</v>
          </cell>
          <cell r="BJ1303">
            <v>9345.1299999999919</v>
          </cell>
          <cell r="BK1303">
            <v>-817.94999999999891</v>
          </cell>
          <cell r="BL1303">
            <v>6422.4375143999987</v>
          </cell>
          <cell r="BM1303">
            <v>14844.167514399991</v>
          </cell>
          <cell r="BN1303">
            <v>0</v>
          </cell>
          <cell r="BO1303">
            <v>0</v>
          </cell>
          <cell r="BP1303">
            <v>0</v>
          </cell>
          <cell r="BQ1303">
            <v>0</v>
          </cell>
          <cell r="BR1303">
            <v>14844.167514399991</v>
          </cell>
          <cell r="BT1303">
            <v>0</v>
          </cell>
          <cell r="CA1303" t="str">
            <v>CP3415 - EBITA - Base</v>
          </cell>
          <cell r="CC1303" t="str">
            <v>CP3415 - EBITA - Base - IS4</v>
          </cell>
          <cell r="CD1303" t="str">
            <v/>
          </cell>
          <cell r="CF1303" t="str">
            <v>CP3415 - Base - IS4</v>
          </cell>
        </row>
        <row r="1304">
          <cell r="D1304">
            <v>1290</v>
          </cell>
          <cell r="E1304">
            <v>0</v>
          </cell>
          <cell r="F1304">
            <v>0</v>
          </cell>
          <cell r="G1304" t="str">
            <v>CP3415</v>
          </cell>
          <cell r="H1304" t="str">
            <v>MAHI</v>
          </cell>
          <cell r="I1304" t="str">
            <v>IS4</v>
          </cell>
          <cell r="J1304" t="str">
            <v>IS4 Global Mission Solutions</v>
          </cell>
          <cell r="K1304" t="str">
            <v>Classified Agency</v>
          </cell>
          <cell r="L1304" t="str">
            <v>Classified</v>
          </cell>
          <cell r="M1304" t="str">
            <v>MD</v>
          </cell>
          <cell r="N1304" t="str">
            <v>CONUS</v>
          </cell>
          <cell r="O1304">
            <v>0</v>
          </cell>
          <cell r="P1304">
            <v>0</v>
          </cell>
          <cell r="Q1304">
            <v>0</v>
          </cell>
          <cell r="R1304" t="str">
            <v>FFP</v>
          </cell>
          <cell r="S1304">
            <v>0</v>
          </cell>
          <cell r="T1304">
            <v>1</v>
          </cell>
          <cell r="U1304" t="str">
            <v>EBITA</v>
          </cell>
          <cell r="V1304" t="str">
            <v>Identified - Recompete</v>
          </cell>
          <cell r="W1304">
            <v>0</v>
          </cell>
          <cell r="X1304">
            <v>0</v>
          </cell>
          <cell r="Y1304">
            <v>0</v>
          </cell>
          <cell r="Z1304">
            <v>0</v>
          </cell>
          <cell r="AA1304">
            <v>0</v>
          </cell>
          <cell r="AB1304">
            <v>0</v>
          </cell>
          <cell r="AC1304">
            <v>0</v>
          </cell>
          <cell r="AD1304">
            <v>0</v>
          </cell>
          <cell r="AX1304">
            <v>0</v>
          </cell>
          <cell r="AY1304">
            <v>0</v>
          </cell>
          <cell r="AZ1304">
            <v>0</v>
          </cell>
          <cell r="BA1304">
            <v>0</v>
          </cell>
          <cell r="BI1304">
            <v>0</v>
          </cell>
          <cell r="BJ1304">
            <v>0</v>
          </cell>
          <cell r="BK1304">
            <v>0</v>
          </cell>
          <cell r="BL1304">
            <v>0</v>
          </cell>
          <cell r="BM1304">
            <v>0</v>
          </cell>
          <cell r="BN1304">
            <v>0</v>
          </cell>
          <cell r="BO1304">
            <v>0</v>
          </cell>
          <cell r="BP1304">
            <v>0</v>
          </cell>
          <cell r="BQ1304">
            <v>0</v>
          </cell>
          <cell r="BR1304">
            <v>0</v>
          </cell>
          <cell r="BT1304">
            <v>0</v>
          </cell>
          <cell r="CA1304" t="str">
            <v>CP3415 - EBITA - Identified - Recompete</v>
          </cell>
          <cell r="CC1304" t="str">
            <v>CP3415 - EBITA - Identified - Recompete - IS4</v>
          </cell>
          <cell r="CD1304" t="str">
            <v/>
          </cell>
          <cell r="CF1304" t="str">
            <v>CP3415 - Identified - Recompete - IS4</v>
          </cell>
        </row>
        <row r="1305">
          <cell r="D1305">
            <v>1291</v>
          </cell>
          <cell r="E1305">
            <v>1</v>
          </cell>
          <cell r="F1305">
            <v>1</v>
          </cell>
          <cell r="G1305" t="str">
            <v>003325</v>
          </cell>
          <cell r="H1305" t="str">
            <v>Blade Energy Surveillance and Access Control</v>
          </cell>
          <cell r="I1305" t="str">
            <v>IS4</v>
          </cell>
          <cell r="J1305" t="str">
            <v>IS4 Spectrum &amp; Infrastructure Assurance</v>
          </cell>
          <cell r="K1305" t="str">
            <v>Commercial</v>
          </cell>
          <cell r="L1305" t="str">
            <v xml:space="preserve">Commercial </v>
          </cell>
          <cell r="M1305" t="str">
            <v>TX</v>
          </cell>
          <cell r="N1305" t="str">
            <v>CONUS</v>
          </cell>
          <cell r="O1305">
            <v>42948</v>
          </cell>
          <cell r="P1305">
            <v>43709</v>
          </cell>
          <cell r="Q1305" t="str">
            <v>Prime</v>
          </cell>
          <cell r="R1305" t="str">
            <v>FFP</v>
          </cell>
          <cell r="S1305">
            <v>0</v>
          </cell>
          <cell r="T1305">
            <v>1</v>
          </cell>
          <cell r="U1305" t="str">
            <v>REVTOT</v>
          </cell>
          <cell r="V1305" t="str">
            <v>Base</v>
          </cell>
          <cell r="W1305" t="str">
            <v>05 Won</v>
          </cell>
          <cell r="X1305" t="str">
            <v>Active</v>
          </cell>
          <cell r="Y1305">
            <v>1</v>
          </cell>
          <cell r="Z1305">
            <v>0</v>
          </cell>
          <cell r="AA1305">
            <v>56604.010000000009</v>
          </cell>
          <cell r="AB1305">
            <v>0</v>
          </cell>
          <cell r="AC1305">
            <v>0</v>
          </cell>
          <cell r="AD1305">
            <v>56604.010000000009</v>
          </cell>
          <cell r="AE1305">
            <v>0</v>
          </cell>
          <cell r="AF1305">
            <v>0.71198268233628603</v>
          </cell>
          <cell r="AG1305">
            <v>-7.8811553067575479E-2</v>
          </cell>
          <cell r="AH1305">
            <v>-1</v>
          </cell>
          <cell r="AI1305">
            <v>0</v>
          </cell>
          <cell r="AJ1305">
            <v>0</v>
          </cell>
          <cell r="AK1305">
            <v>0</v>
          </cell>
          <cell r="BB1305">
            <v>0</v>
          </cell>
          <cell r="BC1305">
            <v>0</v>
          </cell>
          <cell r="BD1305">
            <v>0</v>
          </cell>
          <cell r="BE1305">
            <v>0</v>
          </cell>
          <cell r="BF1305">
            <v>0</v>
          </cell>
          <cell r="BG1305">
            <v>107594.19</v>
          </cell>
          <cell r="BH1305">
            <v>184199.39</v>
          </cell>
          <cell r="BI1305">
            <v>48083.759999999995</v>
          </cell>
          <cell r="BJ1305">
            <v>47468.03</v>
          </cell>
          <cell r="BK1305">
            <v>48090.559999999998</v>
          </cell>
          <cell r="BL1305">
            <v>26040</v>
          </cell>
          <cell r="BM1305">
            <v>169682.34999999998</v>
          </cell>
          <cell r="BN1305">
            <v>0</v>
          </cell>
          <cell r="BO1305">
            <v>0</v>
          </cell>
          <cell r="BP1305">
            <v>0</v>
          </cell>
          <cell r="BQ1305">
            <v>0</v>
          </cell>
          <cell r="BR1305">
            <v>169682.34999999998</v>
          </cell>
          <cell r="BT1305">
            <v>0</v>
          </cell>
          <cell r="CA1305" t="str">
            <v>003325 - REVTOT - Base</v>
          </cell>
          <cell r="CC1305" t="str">
            <v>003325 - REVTOT - Base - IS4</v>
          </cell>
          <cell r="CD1305" t="str">
            <v/>
          </cell>
          <cell r="CF1305" t="str">
            <v>003325 - Base - IS4</v>
          </cell>
        </row>
        <row r="1306">
          <cell r="D1306">
            <v>1292</v>
          </cell>
          <cell r="E1306">
            <v>1</v>
          </cell>
          <cell r="F1306">
            <v>2</v>
          </cell>
          <cell r="G1306" t="str">
            <v>003325</v>
          </cell>
          <cell r="H1306" t="str">
            <v>Blade Energy Surveillance and Access Control</v>
          </cell>
          <cell r="I1306" t="str">
            <v>IS4</v>
          </cell>
          <cell r="J1306" t="str">
            <v>IS4 Spectrum &amp; Infrastructure Assurance</v>
          </cell>
          <cell r="K1306" t="str">
            <v>Commercial</v>
          </cell>
          <cell r="L1306" t="str">
            <v xml:space="preserve">Commercial </v>
          </cell>
          <cell r="M1306" t="str">
            <v>TX</v>
          </cell>
          <cell r="N1306" t="str">
            <v>CONUS</v>
          </cell>
          <cell r="O1306">
            <v>0</v>
          </cell>
          <cell r="P1306">
            <v>0</v>
          </cell>
          <cell r="Q1306">
            <v>0</v>
          </cell>
          <cell r="R1306" t="str">
            <v>FFP</v>
          </cell>
          <cell r="S1306">
            <v>0</v>
          </cell>
          <cell r="T1306">
            <v>1</v>
          </cell>
          <cell r="U1306" t="str">
            <v>REVTOT</v>
          </cell>
          <cell r="V1306" t="str">
            <v>Identified - Recompete</v>
          </cell>
          <cell r="W1306">
            <v>0</v>
          </cell>
          <cell r="X1306">
            <v>0</v>
          </cell>
          <cell r="Y1306">
            <v>0</v>
          </cell>
          <cell r="Z1306">
            <v>0</v>
          </cell>
          <cell r="AA1306">
            <v>0</v>
          </cell>
          <cell r="AB1306">
            <v>0</v>
          </cell>
          <cell r="AC1306">
            <v>0</v>
          </cell>
          <cell r="AD1306">
            <v>0</v>
          </cell>
          <cell r="AI1306">
            <v>0</v>
          </cell>
          <cell r="AJ1306">
            <v>0</v>
          </cell>
          <cell r="AK1306">
            <v>0</v>
          </cell>
          <cell r="BB1306">
            <v>0</v>
          </cell>
          <cell r="BC1306">
            <v>0</v>
          </cell>
          <cell r="BD1306">
            <v>0</v>
          </cell>
          <cell r="BE1306">
            <v>0</v>
          </cell>
          <cell r="BI1306">
            <v>0</v>
          </cell>
          <cell r="BJ1306">
            <v>0</v>
          </cell>
          <cell r="BK1306">
            <v>0</v>
          </cell>
          <cell r="BL1306">
            <v>0</v>
          </cell>
          <cell r="BM1306">
            <v>0</v>
          </cell>
          <cell r="BN1306">
            <v>0</v>
          </cell>
          <cell r="BO1306">
            <v>0</v>
          </cell>
          <cell r="BP1306">
            <v>0</v>
          </cell>
          <cell r="BQ1306">
            <v>0</v>
          </cell>
          <cell r="BR1306">
            <v>0</v>
          </cell>
          <cell r="BT1306">
            <v>0</v>
          </cell>
          <cell r="CA1306" t="str">
            <v>003325 - REVTOT - Identified - Recompete</v>
          </cell>
          <cell r="CC1306" t="str">
            <v>003325 - REVTOT - Identified - Recompete - IS4</v>
          </cell>
          <cell r="CD1306" t="str">
            <v/>
          </cell>
          <cell r="CF1306" t="str">
            <v>003325 - Identified - Recompete - IS4</v>
          </cell>
        </row>
        <row r="1307">
          <cell r="D1307">
            <v>1293</v>
          </cell>
          <cell r="E1307">
            <v>2</v>
          </cell>
          <cell r="F1307">
            <v>3</v>
          </cell>
          <cell r="G1307" t="str">
            <v>003325</v>
          </cell>
          <cell r="H1307" t="str">
            <v>Blade Energy Surveillance and Access Control</v>
          </cell>
          <cell r="I1307" t="str">
            <v>IS4</v>
          </cell>
          <cell r="J1307" t="str">
            <v>IS4 Spectrum &amp; Infrastructure Assurance</v>
          </cell>
          <cell r="K1307" t="str">
            <v>Commercial</v>
          </cell>
          <cell r="L1307" t="str">
            <v xml:space="preserve">Commercial </v>
          </cell>
          <cell r="M1307" t="str">
            <v>TX</v>
          </cell>
          <cell r="N1307" t="str">
            <v>CONUS</v>
          </cell>
          <cell r="O1307">
            <v>42948</v>
          </cell>
          <cell r="P1307">
            <v>43709</v>
          </cell>
          <cell r="Q1307" t="str">
            <v>Prime</v>
          </cell>
          <cell r="R1307" t="str">
            <v>FFP</v>
          </cell>
          <cell r="S1307">
            <v>0</v>
          </cell>
          <cell r="T1307">
            <v>1</v>
          </cell>
          <cell r="U1307" t="str">
            <v>CONTRACT</v>
          </cell>
          <cell r="V1307" t="str">
            <v>Base</v>
          </cell>
          <cell r="W1307" t="str">
            <v>05 Won</v>
          </cell>
          <cell r="X1307" t="str">
            <v>Active</v>
          </cell>
          <cell r="Y1307">
            <v>1</v>
          </cell>
          <cell r="Z1307">
            <v>0</v>
          </cell>
          <cell r="AA1307">
            <v>56604.010000000009</v>
          </cell>
          <cell r="AB1307">
            <v>0</v>
          </cell>
          <cell r="AC1307">
            <v>0</v>
          </cell>
          <cell r="AD1307">
            <v>56604.010000000009</v>
          </cell>
          <cell r="AL1307">
            <v>0</v>
          </cell>
          <cell r="AM1307">
            <v>0.18067546212300123</v>
          </cell>
          <cell r="AN1307">
            <v>0.61318498394592946</v>
          </cell>
          <cell r="AO1307">
            <v>0.55429866453405441</v>
          </cell>
          <cell r="AP1307">
            <v>0.49069217976330859</v>
          </cell>
          <cell r="AQ1307">
            <v>0.49069217976330859</v>
          </cell>
          <cell r="AR1307">
            <v>0.49069217976330859</v>
          </cell>
          <cell r="AS1307">
            <v>0.49069217976330859</v>
          </cell>
          <cell r="BF1307">
            <v>0</v>
          </cell>
          <cell r="BG1307">
            <v>19439.629999999997</v>
          </cell>
          <cell r="BH1307">
            <v>112948.3</v>
          </cell>
          <cell r="BI1307">
            <v>27637.11</v>
          </cell>
          <cell r="BJ1307">
            <v>24794.68</v>
          </cell>
          <cell r="BK1307">
            <v>27026.909999999996</v>
          </cell>
          <cell r="BL1307">
            <v>14596</v>
          </cell>
          <cell r="BM1307">
            <v>94054.7</v>
          </cell>
          <cell r="BN1307">
            <v>0</v>
          </cell>
          <cell r="BO1307">
            <v>0</v>
          </cell>
          <cell r="BP1307">
            <v>0</v>
          </cell>
          <cell r="BQ1307">
            <v>0</v>
          </cell>
          <cell r="BR1307">
            <v>94054.7</v>
          </cell>
          <cell r="BT1307">
            <v>0</v>
          </cell>
          <cell r="CA1307" t="str">
            <v>003325 - CONTRACT - Base</v>
          </cell>
          <cell r="CC1307" t="str">
            <v>003325 - CONTRACT - Base - IS4</v>
          </cell>
          <cell r="CD1307" t="str">
            <v/>
          </cell>
          <cell r="CF1307" t="str">
            <v>003325 - Base - IS4</v>
          </cell>
        </row>
        <row r="1308">
          <cell r="D1308">
            <v>1294</v>
          </cell>
          <cell r="E1308">
            <v>2</v>
          </cell>
          <cell r="F1308">
            <v>4</v>
          </cell>
          <cell r="G1308" t="str">
            <v>003325</v>
          </cell>
          <cell r="H1308" t="str">
            <v>Blade Energy Surveillance and Access Control</v>
          </cell>
          <cell r="I1308" t="str">
            <v>IS4</v>
          </cell>
          <cell r="J1308" t="str">
            <v>IS4 Spectrum &amp; Infrastructure Assurance</v>
          </cell>
          <cell r="K1308" t="str">
            <v>Commercial</v>
          </cell>
          <cell r="L1308" t="str">
            <v xml:space="preserve">Commercial </v>
          </cell>
          <cell r="M1308" t="str">
            <v>TX</v>
          </cell>
          <cell r="N1308" t="str">
            <v>CONUS</v>
          </cell>
          <cell r="O1308">
            <v>0</v>
          </cell>
          <cell r="P1308">
            <v>0</v>
          </cell>
          <cell r="Q1308">
            <v>0</v>
          </cell>
          <cell r="R1308" t="str">
            <v>FFP</v>
          </cell>
          <cell r="S1308">
            <v>0</v>
          </cell>
          <cell r="T1308">
            <v>1</v>
          </cell>
          <cell r="U1308" t="str">
            <v>CONTRACT</v>
          </cell>
          <cell r="V1308" t="str">
            <v>Identified - Recompete</v>
          </cell>
          <cell r="W1308">
            <v>0</v>
          </cell>
          <cell r="X1308">
            <v>0</v>
          </cell>
          <cell r="Y1308">
            <v>0</v>
          </cell>
          <cell r="Z1308">
            <v>0</v>
          </cell>
          <cell r="AA1308">
            <v>0</v>
          </cell>
          <cell r="AB1308">
            <v>0</v>
          </cell>
          <cell r="AC1308">
            <v>0</v>
          </cell>
          <cell r="AD1308">
            <v>0</v>
          </cell>
          <cell r="AP1308">
            <v>0</v>
          </cell>
          <cell r="AQ1308">
            <v>0</v>
          </cell>
          <cell r="AR1308">
            <v>0</v>
          </cell>
          <cell r="AS1308">
            <v>0</v>
          </cell>
          <cell r="BI1308">
            <v>0</v>
          </cell>
          <cell r="BJ1308">
            <v>0</v>
          </cell>
          <cell r="BK1308">
            <v>0</v>
          </cell>
          <cell r="BL1308">
            <v>0</v>
          </cell>
          <cell r="BM1308">
            <v>0</v>
          </cell>
          <cell r="BN1308">
            <v>0</v>
          </cell>
          <cell r="BO1308">
            <v>0</v>
          </cell>
          <cell r="BP1308">
            <v>0</v>
          </cell>
          <cell r="BQ1308">
            <v>0</v>
          </cell>
          <cell r="BR1308">
            <v>0</v>
          </cell>
          <cell r="BT1308">
            <v>0</v>
          </cell>
          <cell r="CA1308" t="str">
            <v>003325 - CONTRACT - Identified - Recompete</v>
          </cell>
          <cell r="CC1308" t="str">
            <v>003325 - CONTRACT - Identified - Recompete - IS4</v>
          </cell>
          <cell r="CD1308" t="str">
            <v/>
          </cell>
          <cell r="CF1308" t="str">
            <v>003325 - Identified - Recompete - IS4</v>
          </cell>
        </row>
        <row r="1309">
          <cell r="D1309">
            <v>1295</v>
          </cell>
          <cell r="E1309">
            <v>0</v>
          </cell>
          <cell r="F1309">
            <v>5</v>
          </cell>
          <cell r="G1309" t="str">
            <v>003325</v>
          </cell>
          <cell r="H1309" t="str">
            <v>Blade Energy Surveillance and Access Control</v>
          </cell>
          <cell r="I1309" t="str">
            <v>IS4</v>
          </cell>
          <cell r="J1309" t="str">
            <v>IS4 Spectrum &amp; Infrastructure Assurance</v>
          </cell>
          <cell r="K1309" t="str">
            <v>Commercial</v>
          </cell>
          <cell r="L1309" t="str">
            <v xml:space="preserve">Commercial </v>
          </cell>
          <cell r="M1309" t="str">
            <v>TX</v>
          </cell>
          <cell r="N1309" t="str">
            <v>CONUS</v>
          </cell>
          <cell r="O1309">
            <v>42948</v>
          </cell>
          <cell r="P1309">
            <v>43709</v>
          </cell>
          <cell r="Q1309" t="str">
            <v>Prime</v>
          </cell>
          <cell r="R1309" t="str">
            <v>FFP</v>
          </cell>
          <cell r="S1309">
            <v>0</v>
          </cell>
          <cell r="T1309">
            <v>1</v>
          </cell>
          <cell r="U1309" t="str">
            <v>EBITA</v>
          </cell>
          <cell r="V1309" t="str">
            <v>Base</v>
          </cell>
          <cell r="W1309" t="str">
            <v>05 Won</v>
          </cell>
          <cell r="X1309" t="str">
            <v>Active</v>
          </cell>
          <cell r="Y1309">
            <v>1</v>
          </cell>
          <cell r="Z1309">
            <v>0</v>
          </cell>
          <cell r="AA1309">
            <v>56604.010000000009</v>
          </cell>
          <cell r="AB1309">
            <v>0</v>
          </cell>
          <cell r="AC1309">
            <v>0</v>
          </cell>
          <cell r="AD1309">
            <v>56604.010000000009</v>
          </cell>
          <cell r="AT1309">
            <v>0</v>
          </cell>
          <cell r="AU1309">
            <v>6.9608963086203776E-2</v>
          </cell>
          <cell r="AV1309">
            <v>9.018059180326278E-2</v>
          </cell>
          <cell r="AW1309">
            <v>0.48484818839437338</v>
          </cell>
          <cell r="AX1309">
            <v>0.23150153450040181</v>
          </cell>
          <cell r="AY1309">
            <v>0.23250153450040181</v>
          </cell>
          <cell r="AZ1309">
            <v>0.23350153450040181</v>
          </cell>
          <cell r="BA1309">
            <v>0.23450153450040181</v>
          </cell>
          <cell r="BF1309">
            <v>0</v>
          </cell>
          <cell r="BG1309">
            <v>7489.519999999995</v>
          </cell>
          <cell r="BH1309">
            <v>16611.210000000006</v>
          </cell>
          <cell r="BI1309">
            <v>24421.799999999996</v>
          </cell>
          <cell r="BJ1309">
            <v>21400.400000000001</v>
          </cell>
          <cell r="BK1309">
            <v>23683.979999999996</v>
          </cell>
          <cell r="BL1309">
            <v>12764</v>
          </cell>
          <cell r="BM1309">
            <v>82270.179999999993</v>
          </cell>
          <cell r="BN1309">
            <v>0</v>
          </cell>
          <cell r="BO1309">
            <v>0</v>
          </cell>
          <cell r="BP1309">
            <v>0</v>
          </cell>
          <cell r="BQ1309">
            <v>0</v>
          </cell>
          <cell r="BR1309">
            <v>82270.179999999993</v>
          </cell>
          <cell r="BT1309">
            <v>0</v>
          </cell>
          <cell r="CA1309" t="str">
            <v>003325 - EBITA - Base</v>
          </cell>
          <cell r="CC1309" t="str">
            <v>003325 - EBITA - Base - IS4</v>
          </cell>
          <cell r="CD1309" t="str">
            <v/>
          </cell>
          <cell r="CF1309" t="str">
            <v>003325 - Base - IS4</v>
          </cell>
        </row>
        <row r="1310">
          <cell r="D1310">
            <v>1296</v>
          </cell>
          <cell r="E1310">
            <v>0</v>
          </cell>
          <cell r="F1310">
            <v>0</v>
          </cell>
          <cell r="G1310" t="str">
            <v>003325</v>
          </cell>
          <cell r="H1310" t="str">
            <v>Blade Energy Surveillance and Access Control</v>
          </cell>
          <cell r="I1310" t="str">
            <v>IS4</v>
          </cell>
          <cell r="J1310" t="str">
            <v>IS4 Spectrum &amp; Infrastructure Assurance</v>
          </cell>
          <cell r="K1310" t="str">
            <v>Commercial</v>
          </cell>
          <cell r="L1310" t="str">
            <v xml:space="preserve">Commercial </v>
          </cell>
          <cell r="M1310" t="str">
            <v>TX</v>
          </cell>
          <cell r="N1310" t="str">
            <v>CONUS</v>
          </cell>
          <cell r="O1310">
            <v>0</v>
          </cell>
          <cell r="P1310">
            <v>0</v>
          </cell>
          <cell r="Q1310">
            <v>0</v>
          </cell>
          <cell r="R1310" t="str">
            <v>FFP</v>
          </cell>
          <cell r="S1310">
            <v>0</v>
          </cell>
          <cell r="T1310">
            <v>1</v>
          </cell>
          <cell r="U1310" t="str">
            <v>EBITA</v>
          </cell>
          <cell r="V1310" t="str">
            <v>Identified - Recompete</v>
          </cell>
          <cell r="W1310">
            <v>0</v>
          </cell>
          <cell r="X1310">
            <v>0</v>
          </cell>
          <cell r="Y1310">
            <v>0</v>
          </cell>
          <cell r="Z1310">
            <v>0</v>
          </cell>
          <cell r="AA1310">
            <v>0</v>
          </cell>
          <cell r="AB1310">
            <v>0</v>
          </cell>
          <cell r="AC1310">
            <v>0</v>
          </cell>
          <cell r="AD1310">
            <v>0</v>
          </cell>
          <cell r="AX1310">
            <v>0</v>
          </cell>
          <cell r="AY1310">
            <v>0</v>
          </cell>
          <cell r="AZ1310">
            <v>0</v>
          </cell>
          <cell r="BA1310">
            <v>0</v>
          </cell>
          <cell r="BI1310">
            <v>0</v>
          </cell>
          <cell r="BJ1310">
            <v>0</v>
          </cell>
          <cell r="BK1310">
            <v>0</v>
          </cell>
          <cell r="BL1310">
            <v>0</v>
          </cell>
          <cell r="BM1310">
            <v>0</v>
          </cell>
          <cell r="BN1310">
            <v>0</v>
          </cell>
          <cell r="BO1310">
            <v>0</v>
          </cell>
          <cell r="BP1310">
            <v>0</v>
          </cell>
          <cell r="BQ1310">
            <v>0</v>
          </cell>
          <cell r="BR1310">
            <v>0</v>
          </cell>
          <cell r="BT1310">
            <v>0</v>
          </cell>
          <cell r="CA1310" t="str">
            <v>003325 - EBITA - Identified - Recompete</v>
          </cell>
          <cell r="CC1310" t="str">
            <v>003325 - EBITA - Identified - Recompete - IS4</v>
          </cell>
          <cell r="CD1310" t="str">
            <v/>
          </cell>
          <cell r="CF1310" t="str">
            <v>003325 - Identified - Recompete - IS4</v>
          </cell>
        </row>
        <row r="1311">
          <cell r="D1311">
            <v>1297</v>
          </cell>
          <cell r="E1311">
            <v>1</v>
          </cell>
          <cell r="F1311">
            <v>1</v>
          </cell>
          <cell r="G1311" t="str">
            <v>RADPED</v>
          </cell>
          <cell r="H1311" t="str">
            <v>Cables for Radar Antenna Pedestals</v>
          </cell>
          <cell r="I1311" t="str">
            <v>IS4</v>
          </cell>
          <cell r="J1311" t="str">
            <v>IS4 Sustainment Engineering and Acquisition</v>
          </cell>
          <cell r="K1311" t="str">
            <v>Navy</v>
          </cell>
          <cell r="L1311" t="str">
            <v>DOD</v>
          </cell>
          <cell r="M1311" t="str">
            <v>IN</v>
          </cell>
          <cell r="N1311" t="str">
            <v>CONUS</v>
          </cell>
          <cell r="O1311">
            <v>41514</v>
          </cell>
          <cell r="P1311">
            <v>43532</v>
          </cell>
          <cell r="Q1311" t="str">
            <v>Sub</v>
          </cell>
          <cell r="R1311" t="str">
            <v>FFP</v>
          </cell>
          <cell r="S1311">
            <v>0</v>
          </cell>
          <cell r="T1311">
            <v>1</v>
          </cell>
          <cell r="U1311" t="str">
            <v>REVTOT</v>
          </cell>
          <cell r="V1311" t="str">
            <v>Base</v>
          </cell>
          <cell r="W1311" t="str">
            <v>05 Won</v>
          </cell>
          <cell r="X1311" t="str">
            <v>Active</v>
          </cell>
          <cell r="Y1311">
            <v>1</v>
          </cell>
          <cell r="Z1311">
            <v>0</v>
          </cell>
          <cell r="AA1311">
            <v>-56750</v>
          </cell>
          <cell r="AB1311">
            <v>0</v>
          </cell>
          <cell r="AC1311">
            <v>0</v>
          </cell>
          <cell r="AD1311">
            <v>-56750</v>
          </cell>
          <cell r="AE1311">
            <v>0</v>
          </cell>
          <cell r="AF1311">
            <v>0</v>
          </cell>
          <cell r="AG1311">
            <v>0</v>
          </cell>
          <cell r="AH1311">
            <v>-1</v>
          </cell>
          <cell r="AI1311">
            <v>0</v>
          </cell>
          <cell r="AJ1311">
            <v>0</v>
          </cell>
          <cell r="AK1311">
            <v>0</v>
          </cell>
          <cell r="BB1311">
            <v>200004</v>
          </cell>
          <cell r="BC1311">
            <v>200004</v>
          </cell>
          <cell r="BD1311">
            <v>200004</v>
          </cell>
          <cell r="BE1311">
            <v>200004</v>
          </cell>
          <cell r="BF1311">
            <v>0</v>
          </cell>
          <cell r="BG1311">
            <v>0</v>
          </cell>
          <cell r="BH1311">
            <v>0</v>
          </cell>
          <cell r="BI1311">
            <v>0</v>
          </cell>
          <cell r="BJ1311">
            <v>0</v>
          </cell>
          <cell r="BK1311">
            <v>0</v>
          </cell>
          <cell r="BL1311">
            <v>56750</v>
          </cell>
          <cell r="BM1311">
            <v>56750</v>
          </cell>
          <cell r="BN1311">
            <v>0</v>
          </cell>
          <cell r="BO1311">
            <v>0</v>
          </cell>
          <cell r="BP1311">
            <v>0</v>
          </cell>
          <cell r="BQ1311">
            <v>0</v>
          </cell>
          <cell r="BR1311">
            <v>56750</v>
          </cell>
          <cell r="BT1311">
            <v>0</v>
          </cell>
          <cell r="CA1311" t="str">
            <v>RADPED - REVTOT - Base</v>
          </cell>
          <cell r="CC1311" t="str">
            <v>RADPED - REVTOT - Base - IS4</v>
          </cell>
          <cell r="CD1311" t="str">
            <v/>
          </cell>
          <cell r="CF1311" t="str">
            <v>RADPED - Base - IS4</v>
          </cell>
        </row>
        <row r="1312">
          <cell r="D1312">
            <v>1298</v>
          </cell>
          <cell r="E1312">
            <v>1</v>
          </cell>
          <cell r="F1312">
            <v>2</v>
          </cell>
          <cell r="G1312" t="str">
            <v>RADPED</v>
          </cell>
          <cell r="H1312" t="str">
            <v>Cables for Radar Antenna Pedestals</v>
          </cell>
          <cell r="I1312" t="str">
            <v>IS4</v>
          </cell>
          <cell r="J1312" t="str">
            <v>IS4 Sustainment Engineering and Acquisition</v>
          </cell>
          <cell r="K1312" t="str">
            <v>Navy</v>
          </cell>
          <cell r="L1312" t="str">
            <v>DOD</v>
          </cell>
          <cell r="M1312" t="str">
            <v>IN</v>
          </cell>
          <cell r="N1312" t="str">
            <v>CONUS</v>
          </cell>
          <cell r="O1312">
            <v>0</v>
          </cell>
          <cell r="P1312">
            <v>0</v>
          </cell>
          <cell r="Q1312">
            <v>0</v>
          </cell>
          <cell r="R1312" t="str">
            <v>FFP</v>
          </cell>
          <cell r="S1312">
            <v>0</v>
          </cell>
          <cell r="T1312">
            <v>1</v>
          </cell>
          <cell r="U1312" t="str">
            <v>REVTOT</v>
          </cell>
          <cell r="V1312" t="str">
            <v>Identified - Recompete</v>
          </cell>
          <cell r="W1312">
            <v>0</v>
          </cell>
          <cell r="X1312">
            <v>0</v>
          </cell>
          <cell r="Y1312">
            <v>0</v>
          </cell>
          <cell r="Z1312">
            <v>0</v>
          </cell>
          <cell r="AA1312">
            <v>0</v>
          </cell>
          <cell r="AB1312">
            <v>0</v>
          </cell>
          <cell r="AC1312">
            <v>0</v>
          </cell>
          <cell r="AD1312">
            <v>0</v>
          </cell>
          <cell r="AI1312">
            <v>0</v>
          </cell>
          <cell r="AJ1312">
            <v>0</v>
          </cell>
          <cell r="AK1312">
            <v>0</v>
          </cell>
          <cell r="BB1312">
            <v>0</v>
          </cell>
          <cell r="BC1312">
            <v>0</v>
          </cell>
          <cell r="BD1312">
            <v>0</v>
          </cell>
          <cell r="BE1312">
            <v>0</v>
          </cell>
          <cell r="BI1312">
            <v>0</v>
          </cell>
          <cell r="BJ1312">
            <v>0</v>
          </cell>
          <cell r="BK1312">
            <v>0</v>
          </cell>
          <cell r="BL1312">
            <v>0</v>
          </cell>
          <cell r="BM1312">
            <v>0</v>
          </cell>
          <cell r="BN1312">
            <v>0</v>
          </cell>
          <cell r="BO1312">
            <v>0</v>
          </cell>
          <cell r="BP1312">
            <v>0</v>
          </cell>
          <cell r="BQ1312">
            <v>0</v>
          </cell>
          <cell r="BR1312">
            <v>0</v>
          </cell>
          <cell r="BT1312">
            <v>0</v>
          </cell>
          <cell r="CA1312" t="str">
            <v>RADPED - REVTOT - Identified - Recompete</v>
          </cell>
          <cell r="CC1312" t="str">
            <v>RADPED - REVTOT - Identified - Recompete - IS4</v>
          </cell>
          <cell r="CD1312" t="str">
            <v/>
          </cell>
          <cell r="CF1312" t="str">
            <v>RADPED - Identified - Recompete - IS4</v>
          </cell>
        </row>
        <row r="1313">
          <cell r="D1313">
            <v>1299</v>
          </cell>
          <cell r="E1313">
            <v>2</v>
          </cell>
          <cell r="F1313">
            <v>3</v>
          </cell>
          <cell r="G1313" t="str">
            <v>RADPED</v>
          </cell>
          <cell r="H1313" t="str">
            <v>Cables for Radar Antenna Pedestals</v>
          </cell>
          <cell r="I1313" t="str">
            <v>IS4</v>
          </cell>
          <cell r="J1313" t="str">
            <v>IS4 Sustainment Engineering and Acquisition</v>
          </cell>
          <cell r="K1313" t="str">
            <v>Navy</v>
          </cell>
          <cell r="L1313" t="str">
            <v>DOD</v>
          </cell>
          <cell r="M1313" t="str">
            <v>IN</v>
          </cell>
          <cell r="N1313" t="str">
            <v>CONUS</v>
          </cell>
          <cell r="O1313">
            <v>41514</v>
          </cell>
          <cell r="P1313">
            <v>43532</v>
          </cell>
          <cell r="Q1313" t="str">
            <v>Sub</v>
          </cell>
          <cell r="R1313" t="str">
            <v>FFP</v>
          </cell>
          <cell r="S1313">
            <v>0</v>
          </cell>
          <cell r="T1313">
            <v>1</v>
          </cell>
          <cell r="U1313" t="str">
            <v>CONTRACT</v>
          </cell>
          <cell r="V1313" t="str">
            <v>Base</v>
          </cell>
          <cell r="W1313" t="str">
            <v>05 Won</v>
          </cell>
          <cell r="X1313" t="str">
            <v>Active</v>
          </cell>
          <cell r="Y1313">
            <v>1</v>
          </cell>
          <cell r="Z1313">
            <v>0</v>
          </cell>
          <cell r="AA1313">
            <v>-56750</v>
          </cell>
          <cell r="AB1313">
            <v>0</v>
          </cell>
          <cell r="AC1313">
            <v>0</v>
          </cell>
          <cell r="AD1313">
            <v>-56750</v>
          </cell>
          <cell r="AL1313">
            <v>0</v>
          </cell>
          <cell r="AM1313">
            <v>0</v>
          </cell>
          <cell r="AN1313">
            <v>0</v>
          </cell>
          <cell r="AO1313">
            <v>0.21651457797356824</v>
          </cell>
          <cell r="AP1313">
            <v>0.19676606467870641</v>
          </cell>
          <cell r="AQ1313">
            <v>0.19676606467870641</v>
          </cell>
          <cell r="AR1313">
            <v>0.19676606467870641</v>
          </cell>
          <cell r="AS1313">
            <v>0.19676606467870641</v>
          </cell>
          <cell r="BF1313">
            <v>0</v>
          </cell>
          <cell r="BG1313">
            <v>0</v>
          </cell>
          <cell r="BH1313">
            <v>0</v>
          </cell>
          <cell r="BI1313">
            <v>0</v>
          </cell>
          <cell r="BJ1313">
            <v>0</v>
          </cell>
          <cell r="BK1313">
            <v>0</v>
          </cell>
          <cell r="BL1313">
            <v>12287.202299999997</v>
          </cell>
          <cell r="BM1313">
            <v>12287.202299999997</v>
          </cell>
          <cell r="BN1313">
            <v>0</v>
          </cell>
          <cell r="BO1313">
            <v>0</v>
          </cell>
          <cell r="BP1313">
            <v>0</v>
          </cell>
          <cell r="BQ1313">
            <v>0</v>
          </cell>
          <cell r="BR1313">
            <v>12287.202299999997</v>
          </cell>
          <cell r="BT1313">
            <v>0</v>
          </cell>
          <cell r="CA1313" t="str">
            <v>RADPED - CONTRACT - Base</v>
          </cell>
          <cell r="CC1313" t="str">
            <v>RADPED - CONTRACT - Base - IS4</v>
          </cell>
          <cell r="CD1313" t="str">
            <v/>
          </cell>
          <cell r="CF1313" t="str">
            <v>RADPED - Base - IS4</v>
          </cell>
        </row>
        <row r="1314">
          <cell r="D1314">
            <v>1300</v>
          </cell>
          <cell r="E1314">
            <v>2</v>
          </cell>
          <cell r="F1314">
            <v>4</v>
          </cell>
          <cell r="G1314" t="str">
            <v>RADPED</v>
          </cell>
          <cell r="H1314" t="str">
            <v>Cables for Radar Antenna Pedestals</v>
          </cell>
          <cell r="I1314" t="str">
            <v>IS4</v>
          </cell>
          <cell r="J1314" t="str">
            <v>IS4 Sustainment Engineering and Acquisition</v>
          </cell>
          <cell r="K1314" t="str">
            <v>Navy</v>
          </cell>
          <cell r="L1314" t="str">
            <v>DOD</v>
          </cell>
          <cell r="M1314" t="str">
            <v>IN</v>
          </cell>
          <cell r="N1314" t="str">
            <v>CONUS</v>
          </cell>
          <cell r="O1314">
            <v>0</v>
          </cell>
          <cell r="P1314">
            <v>0</v>
          </cell>
          <cell r="Q1314">
            <v>0</v>
          </cell>
          <cell r="R1314" t="str">
            <v>FFP</v>
          </cell>
          <cell r="S1314">
            <v>0</v>
          </cell>
          <cell r="T1314">
            <v>1</v>
          </cell>
          <cell r="U1314" t="str">
            <v>CONTRACT</v>
          </cell>
          <cell r="V1314" t="str">
            <v>Identified - Recompete</v>
          </cell>
          <cell r="W1314">
            <v>0</v>
          </cell>
          <cell r="X1314">
            <v>0</v>
          </cell>
          <cell r="Y1314">
            <v>0</v>
          </cell>
          <cell r="Z1314">
            <v>0</v>
          </cell>
          <cell r="AA1314">
            <v>0</v>
          </cell>
          <cell r="AB1314">
            <v>0</v>
          </cell>
          <cell r="AC1314">
            <v>0</v>
          </cell>
          <cell r="AD1314">
            <v>0</v>
          </cell>
          <cell r="AP1314">
            <v>0</v>
          </cell>
          <cell r="AQ1314">
            <v>0</v>
          </cell>
          <cell r="AR1314">
            <v>0</v>
          </cell>
          <cell r="AS1314">
            <v>0</v>
          </cell>
          <cell r="BI1314">
            <v>0</v>
          </cell>
          <cell r="BJ1314">
            <v>0</v>
          </cell>
          <cell r="BK1314">
            <v>0</v>
          </cell>
          <cell r="BL1314">
            <v>0</v>
          </cell>
          <cell r="BM1314">
            <v>0</v>
          </cell>
          <cell r="BN1314">
            <v>0</v>
          </cell>
          <cell r="BO1314">
            <v>0</v>
          </cell>
          <cell r="BP1314">
            <v>0</v>
          </cell>
          <cell r="BQ1314">
            <v>0</v>
          </cell>
          <cell r="BR1314">
            <v>0</v>
          </cell>
          <cell r="BT1314">
            <v>0</v>
          </cell>
          <cell r="CA1314" t="str">
            <v>RADPED - CONTRACT - Identified - Recompete</v>
          </cell>
          <cell r="CC1314" t="str">
            <v>RADPED - CONTRACT - Identified - Recompete - IS4</v>
          </cell>
          <cell r="CD1314" t="str">
            <v/>
          </cell>
          <cell r="CF1314" t="str">
            <v>RADPED - Identified - Recompete - IS4</v>
          </cell>
        </row>
        <row r="1315">
          <cell r="D1315">
            <v>1301</v>
          </cell>
          <cell r="E1315">
            <v>0</v>
          </cell>
          <cell r="F1315">
            <v>5</v>
          </cell>
          <cell r="G1315" t="str">
            <v>RADPED</v>
          </cell>
          <cell r="H1315" t="str">
            <v>Cables for Radar Antenna Pedestals</v>
          </cell>
          <cell r="I1315" t="str">
            <v>IS4</v>
          </cell>
          <cell r="J1315" t="str">
            <v>IS4 Sustainment Engineering and Acquisition</v>
          </cell>
          <cell r="K1315" t="str">
            <v>Navy</v>
          </cell>
          <cell r="L1315" t="str">
            <v>DOD</v>
          </cell>
          <cell r="M1315" t="str">
            <v>IN</v>
          </cell>
          <cell r="N1315" t="str">
            <v>CONUS</v>
          </cell>
          <cell r="O1315">
            <v>41514</v>
          </cell>
          <cell r="P1315">
            <v>43532</v>
          </cell>
          <cell r="Q1315" t="str">
            <v>Sub</v>
          </cell>
          <cell r="R1315" t="str">
            <v>FFP</v>
          </cell>
          <cell r="S1315">
            <v>0</v>
          </cell>
          <cell r="T1315">
            <v>1</v>
          </cell>
          <cell r="U1315" t="str">
            <v>EBITA</v>
          </cell>
          <cell r="V1315" t="str">
            <v>Base</v>
          </cell>
          <cell r="W1315" t="str">
            <v>05 Won</v>
          </cell>
          <cell r="X1315" t="str">
            <v>Active</v>
          </cell>
          <cell r="Y1315">
            <v>1</v>
          </cell>
          <cell r="Z1315">
            <v>0</v>
          </cell>
          <cell r="AA1315">
            <v>-56750</v>
          </cell>
          <cell r="AB1315">
            <v>0</v>
          </cell>
          <cell r="AC1315">
            <v>0</v>
          </cell>
          <cell r="AD1315">
            <v>-56750</v>
          </cell>
          <cell r="AT1315">
            <v>0</v>
          </cell>
          <cell r="AU1315">
            <v>0</v>
          </cell>
          <cell r="AV1315">
            <v>0</v>
          </cell>
          <cell r="AW1315">
            <v>0.13031603146842027</v>
          </cell>
          <cell r="AX1315">
            <v>0.10182349012913904</v>
          </cell>
          <cell r="AY1315">
            <v>0.10282349012913904</v>
          </cell>
          <cell r="AZ1315">
            <v>0.10382349012913904</v>
          </cell>
          <cell r="BA1315">
            <v>0.10482349012913904</v>
          </cell>
          <cell r="BF1315">
            <v>0</v>
          </cell>
          <cell r="BG1315">
            <v>0</v>
          </cell>
          <cell r="BH1315">
            <v>0</v>
          </cell>
          <cell r="BI1315">
            <v>0</v>
          </cell>
          <cell r="BJ1315">
            <v>0</v>
          </cell>
          <cell r="BK1315">
            <v>0</v>
          </cell>
          <cell r="BL1315">
            <v>7395.4347858328501</v>
          </cell>
          <cell r="BM1315">
            <v>7395.4347858328501</v>
          </cell>
          <cell r="BN1315">
            <v>0</v>
          </cell>
          <cell r="BO1315">
            <v>0</v>
          </cell>
          <cell r="BP1315">
            <v>0</v>
          </cell>
          <cell r="BQ1315">
            <v>0</v>
          </cell>
          <cell r="BR1315">
            <v>7395.4347858328501</v>
          </cell>
          <cell r="BT1315">
            <v>0</v>
          </cell>
          <cell r="CA1315" t="str">
            <v>RADPED - EBITA - Base</v>
          </cell>
          <cell r="CC1315" t="str">
            <v>RADPED - EBITA - Base - IS4</v>
          </cell>
          <cell r="CD1315" t="str">
            <v/>
          </cell>
          <cell r="CF1315" t="str">
            <v>RADPED - Base - IS4</v>
          </cell>
        </row>
        <row r="1316">
          <cell r="D1316">
            <v>1302</v>
          </cell>
          <cell r="E1316">
            <v>0</v>
          </cell>
          <cell r="F1316">
            <v>0</v>
          </cell>
          <cell r="G1316" t="str">
            <v>RADPED</v>
          </cell>
          <cell r="H1316" t="str">
            <v>Cables for Radar Antenna Pedestals</v>
          </cell>
          <cell r="I1316" t="str">
            <v>IS4</v>
          </cell>
          <cell r="J1316" t="str">
            <v>IS4 Sustainment Engineering and Acquisition</v>
          </cell>
          <cell r="K1316" t="str">
            <v>Navy</v>
          </cell>
          <cell r="L1316" t="str">
            <v>DOD</v>
          </cell>
          <cell r="M1316" t="str">
            <v>IN</v>
          </cell>
          <cell r="N1316" t="str">
            <v>CONUS</v>
          </cell>
          <cell r="O1316">
            <v>0</v>
          </cell>
          <cell r="P1316">
            <v>0</v>
          </cell>
          <cell r="Q1316">
            <v>0</v>
          </cell>
          <cell r="R1316" t="str">
            <v>FFP</v>
          </cell>
          <cell r="S1316">
            <v>0</v>
          </cell>
          <cell r="T1316">
            <v>1</v>
          </cell>
          <cell r="U1316" t="str">
            <v>EBITA</v>
          </cell>
          <cell r="V1316" t="str">
            <v>Identified - Recompete</v>
          </cell>
          <cell r="W1316">
            <v>0</v>
          </cell>
          <cell r="X1316">
            <v>0</v>
          </cell>
          <cell r="Y1316">
            <v>0</v>
          </cell>
          <cell r="Z1316">
            <v>0</v>
          </cell>
          <cell r="AA1316">
            <v>0</v>
          </cell>
          <cell r="AB1316">
            <v>0</v>
          </cell>
          <cell r="AC1316">
            <v>0</v>
          </cell>
          <cell r="AD1316">
            <v>0</v>
          </cell>
          <cell r="AX1316">
            <v>0</v>
          </cell>
          <cell r="AY1316">
            <v>0</v>
          </cell>
          <cell r="AZ1316">
            <v>0</v>
          </cell>
          <cell r="BA1316">
            <v>0</v>
          </cell>
          <cell r="BI1316">
            <v>0</v>
          </cell>
          <cell r="BJ1316">
            <v>0</v>
          </cell>
          <cell r="BK1316">
            <v>0</v>
          </cell>
          <cell r="BL1316">
            <v>0</v>
          </cell>
          <cell r="BM1316">
            <v>0</v>
          </cell>
          <cell r="BN1316">
            <v>0</v>
          </cell>
          <cell r="BO1316">
            <v>0</v>
          </cell>
          <cell r="BP1316">
            <v>0</v>
          </cell>
          <cell r="BQ1316">
            <v>0</v>
          </cell>
          <cell r="BR1316">
            <v>0</v>
          </cell>
          <cell r="BT1316">
            <v>0</v>
          </cell>
          <cell r="CA1316" t="str">
            <v>RADPED - EBITA - Identified - Recompete</v>
          </cell>
          <cell r="CC1316" t="str">
            <v>RADPED - EBITA - Identified - Recompete - IS4</v>
          </cell>
          <cell r="CD1316" t="str">
            <v/>
          </cell>
          <cell r="CF1316" t="str">
            <v>RADPED - Identified - Recompete - IS4</v>
          </cell>
        </row>
        <row r="1317">
          <cell r="D1317">
            <v>1303</v>
          </cell>
          <cell r="E1317">
            <v>1</v>
          </cell>
          <cell r="F1317">
            <v>1</v>
          </cell>
          <cell r="G1317" t="str">
            <v>001984</v>
          </cell>
          <cell r="H1317" t="str">
            <v>MSRA</v>
          </cell>
          <cell r="I1317" t="str">
            <v>IS4</v>
          </cell>
          <cell r="J1317" t="str">
            <v>IS4 Sustainment Engineering and Acquisition</v>
          </cell>
          <cell r="K1317" t="str">
            <v>Navy</v>
          </cell>
          <cell r="L1317" t="str">
            <v>DOD</v>
          </cell>
          <cell r="M1317" t="str">
            <v>CT</v>
          </cell>
          <cell r="N1317" t="str">
            <v>CONUS</v>
          </cell>
          <cell r="O1317">
            <v>41514</v>
          </cell>
          <cell r="P1317">
            <v>43532</v>
          </cell>
          <cell r="Q1317" t="str">
            <v>Prime</v>
          </cell>
          <cell r="R1317" t="str">
            <v>FFP</v>
          </cell>
          <cell r="S1317">
            <v>0</v>
          </cell>
          <cell r="T1317">
            <v>1</v>
          </cell>
          <cell r="U1317" t="str">
            <v>REVTOT</v>
          </cell>
          <cell r="V1317" t="str">
            <v>Base</v>
          </cell>
          <cell r="W1317" t="str">
            <v>05 Won</v>
          </cell>
          <cell r="X1317" t="str">
            <v>Active</v>
          </cell>
          <cell r="Y1317">
            <v>1</v>
          </cell>
          <cell r="Z1317">
            <v>0</v>
          </cell>
          <cell r="AA1317">
            <v>1.0186340659856796E-10</v>
          </cell>
          <cell r="AB1317">
            <v>0</v>
          </cell>
          <cell r="AC1317">
            <v>0</v>
          </cell>
          <cell r="AD1317">
            <v>1.0186340659856796E-10</v>
          </cell>
          <cell r="AE1317">
            <v>-3.1198916821615352E-3</v>
          </cell>
          <cell r="AF1317">
            <v>-0.49822482641937671</v>
          </cell>
          <cell r="AG1317">
            <v>-0.74991543339949529</v>
          </cell>
          <cell r="AH1317">
            <v>-1</v>
          </cell>
          <cell r="AI1317">
            <v>0</v>
          </cell>
          <cell r="AJ1317">
            <v>0</v>
          </cell>
          <cell r="AK1317">
            <v>0</v>
          </cell>
          <cell r="BB1317">
            <v>0</v>
          </cell>
          <cell r="BC1317">
            <v>0</v>
          </cell>
          <cell r="BD1317">
            <v>0</v>
          </cell>
          <cell r="BE1317">
            <v>0</v>
          </cell>
          <cell r="BF1317">
            <v>882543.46</v>
          </cell>
          <cell r="BG1317">
            <v>879790.0199999999</v>
          </cell>
          <cell r="BH1317">
            <v>441456.79</v>
          </cell>
          <cell r="BI1317">
            <v>0</v>
          </cell>
          <cell r="BJ1317">
            <v>110401.53</v>
          </cell>
          <cell r="BK1317">
            <v>0</v>
          </cell>
          <cell r="BL1317">
            <v>0</v>
          </cell>
          <cell r="BM1317">
            <v>110401.53</v>
          </cell>
          <cell r="BN1317">
            <v>0</v>
          </cell>
          <cell r="BO1317">
            <v>0</v>
          </cell>
          <cell r="BP1317">
            <v>0</v>
          </cell>
          <cell r="BQ1317">
            <v>0</v>
          </cell>
          <cell r="BR1317">
            <v>110401.53</v>
          </cell>
          <cell r="BT1317">
            <v>0</v>
          </cell>
          <cell r="CA1317" t="str">
            <v>001984 - REVTOT - Base</v>
          </cell>
          <cell r="CC1317" t="str">
            <v>001984 - REVTOT - Base - IS4</v>
          </cell>
          <cell r="CD1317" t="str">
            <v/>
          </cell>
          <cell r="CF1317" t="str">
            <v>001984 - Base - IS4</v>
          </cell>
        </row>
        <row r="1318">
          <cell r="D1318">
            <v>1304</v>
          </cell>
          <cell r="E1318">
            <v>1</v>
          </cell>
          <cell r="F1318">
            <v>2</v>
          </cell>
          <cell r="G1318" t="str">
            <v>001984</v>
          </cell>
          <cell r="H1318" t="str">
            <v>MSRA</v>
          </cell>
          <cell r="I1318" t="str">
            <v>IS4</v>
          </cell>
          <cell r="J1318" t="str">
            <v>IS4 Sustainment Engineering and Acquisition</v>
          </cell>
          <cell r="K1318" t="str">
            <v>Navy</v>
          </cell>
          <cell r="L1318" t="str">
            <v>DOD</v>
          </cell>
          <cell r="M1318" t="str">
            <v>CT</v>
          </cell>
          <cell r="N1318" t="str">
            <v>CONUS</v>
          </cell>
          <cell r="O1318">
            <v>0</v>
          </cell>
          <cell r="P1318">
            <v>0</v>
          </cell>
          <cell r="Q1318">
            <v>0</v>
          </cell>
          <cell r="R1318" t="str">
            <v>FFP</v>
          </cell>
          <cell r="S1318">
            <v>0</v>
          </cell>
          <cell r="T1318">
            <v>1</v>
          </cell>
          <cell r="U1318" t="str">
            <v>REVTOT</v>
          </cell>
          <cell r="V1318" t="str">
            <v>Identified - Recompete</v>
          </cell>
          <cell r="W1318">
            <v>0</v>
          </cell>
          <cell r="X1318">
            <v>0</v>
          </cell>
          <cell r="Y1318">
            <v>0</v>
          </cell>
          <cell r="Z1318">
            <v>0</v>
          </cell>
          <cell r="AA1318">
            <v>0</v>
          </cell>
          <cell r="AB1318">
            <v>0</v>
          </cell>
          <cell r="AC1318">
            <v>0</v>
          </cell>
          <cell r="AD1318">
            <v>0</v>
          </cell>
          <cell r="AI1318">
            <v>0</v>
          </cell>
          <cell r="AJ1318">
            <v>0</v>
          </cell>
          <cell r="AK1318">
            <v>0</v>
          </cell>
          <cell r="BB1318">
            <v>0</v>
          </cell>
          <cell r="BC1318">
            <v>0</v>
          </cell>
          <cell r="BD1318">
            <v>0</v>
          </cell>
          <cell r="BE1318">
            <v>0</v>
          </cell>
          <cell r="BI1318">
            <v>0</v>
          </cell>
          <cell r="BJ1318">
            <v>0</v>
          </cell>
          <cell r="BK1318">
            <v>0</v>
          </cell>
          <cell r="BL1318">
            <v>0</v>
          </cell>
          <cell r="BM1318">
            <v>0</v>
          </cell>
          <cell r="BN1318">
            <v>0</v>
          </cell>
          <cell r="BO1318">
            <v>0</v>
          </cell>
          <cell r="BP1318">
            <v>0</v>
          </cell>
          <cell r="BQ1318">
            <v>0</v>
          </cell>
          <cell r="BR1318">
            <v>0</v>
          </cell>
          <cell r="BT1318">
            <v>0</v>
          </cell>
          <cell r="CA1318" t="str">
            <v>001984 - REVTOT - Identified - Recompete</v>
          </cell>
          <cell r="CC1318" t="str">
            <v>001984 - REVTOT - Identified - Recompete - IS4</v>
          </cell>
          <cell r="CD1318" t="str">
            <v/>
          </cell>
          <cell r="CF1318" t="str">
            <v>001984 - Identified - Recompete - IS4</v>
          </cell>
        </row>
        <row r="1319">
          <cell r="D1319">
            <v>1305</v>
          </cell>
          <cell r="E1319">
            <v>2</v>
          </cell>
          <cell r="F1319">
            <v>3</v>
          </cell>
          <cell r="G1319" t="str">
            <v>001984</v>
          </cell>
          <cell r="H1319" t="str">
            <v>MSRA</v>
          </cell>
          <cell r="I1319" t="str">
            <v>IS4</v>
          </cell>
          <cell r="J1319" t="str">
            <v>IS4 Sustainment Engineering and Acquisition</v>
          </cell>
          <cell r="K1319" t="str">
            <v>Navy</v>
          </cell>
          <cell r="L1319" t="str">
            <v>DOD</v>
          </cell>
          <cell r="M1319" t="str">
            <v>CT</v>
          </cell>
          <cell r="N1319" t="str">
            <v>CONUS</v>
          </cell>
          <cell r="O1319">
            <v>41514</v>
          </cell>
          <cell r="P1319">
            <v>43532</v>
          </cell>
          <cell r="Q1319" t="str">
            <v>Prime</v>
          </cell>
          <cell r="R1319" t="str">
            <v>FFP</v>
          </cell>
          <cell r="S1319">
            <v>0</v>
          </cell>
          <cell r="T1319">
            <v>1</v>
          </cell>
          <cell r="U1319" t="str">
            <v>CONTRACT</v>
          </cell>
          <cell r="V1319" t="str">
            <v>Base</v>
          </cell>
          <cell r="W1319" t="str">
            <v>05 Won</v>
          </cell>
          <cell r="X1319" t="str">
            <v>Active</v>
          </cell>
          <cell r="Y1319">
            <v>1</v>
          </cell>
          <cell r="Z1319">
            <v>0</v>
          </cell>
          <cell r="AA1319">
            <v>1.0186340659856796E-10</v>
          </cell>
          <cell r="AB1319">
            <v>0</v>
          </cell>
          <cell r="AC1319">
            <v>0</v>
          </cell>
          <cell r="AD1319">
            <v>1.0186340659856796E-10</v>
          </cell>
          <cell r="AL1319">
            <v>0.25432200245413417</v>
          </cell>
          <cell r="AM1319">
            <v>0.22240389814833317</v>
          </cell>
          <cell r="AN1319">
            <v>0.3200906254041308</v>
          </cell>
          <cell r="AO1319">
            <v>1</v>
          </cell>
          <cell r="AP1319">
            <v>0.29030725111030126</v>
          </cell>
          <cell r="AQ1319">
            <v>0.29030725111030126</v>
          </cell>
          <cell r="AR1319">
            <v>0.29030725111030126</v>
          </cell>
          <cell r="AS1319">
            <v>0.29030725111030126</v>
          </cell>
          <cell r="BF1319">
            <v>224450.22000000003</v>
          </cell>
          <cell r="BG1319">
            <v>195668.72999999998</v>
          </cell>
          <cell r="BH1319">
            <v>141306.18000000002</v>
          </cell>
          <cell r="BI1319">
            <v>0</v>
          </cell>
          <cell r="BJ1319">
            <v>110401.53</v>
          </cell>
          <cell r="BK1319">
            <v>0</v>
          </cell>
          <cell r="BL1319">
            <v>0</v>
          </cell>
          <cell r="BM1319">
            <v>110401.53</v>
          </cell>
          <cell r="BN1319">
            <v>0</v>
          </cell>
          <cell r="BO1319">
            <v>0</v>
          </cell>
          <cell r="BP1319">
            <v>0</v>
          </cell>
          <cell r="BQ1319">
            <v>0</v>
          </cell>
          <cell r="BR1319">
            <v>110401.53</v>
          </cell>
          <cell r="BT1319">
            <v>0</v>
          </cell>
          <cell r="CA1319" t="str">
            <v>001984 - CONTRACT - Base</v>
          </cell>
          <cell r="CC1319" t="str">
            <v>001984 - CONTRACT - Base - IS4</v>
          </cell>
          <cell r="CD1319" t="str">
            <v/>
          </cell>
          <cell r="CF1319" t="str">
            <v>001984 - Base - IS4</v>
          </cell>
        </row>
        <row r="1320">
          <cell r="D1320">
            <v>1306</v>
          </cell>
          <cell r="E1320">
            <v>2</v>
          </cell>
          <cell r="F1320">
            <v>4</v>
          </cell>
          <cell r="G1320" t="str">
            <v>001984</v>
          </cell>
          <cell r="H1320" t="str">
            <v>MSRA</v>
          </cell>
          <cell r="I1320" t="str">
            <v>IS4</v>
          </cell>
          <cell r="J1320" t="str">
            <v>IS4 Sustainment Engineering and Acquisition</v>
          </cell>
          <cell r="K1320" t="str">
            <v>Navy</v>
          </cell>
          <cell r="L1320" t="str">
            <v>DOD</v>
          </cell>
          <cell r="M1320" t="str">
            <v>CT</v>
          </cell>
          <cell r="N1320" t="str">
            <v>CONUS</v>
          </cell>
          <cell r="O1320">
            <v>0</v>
          </cell>
          <cell r="P1320">
            <v>0</v>
          </cell>
          <cell r="Q1320">
            <v>0</v>
          </cell>
          <cell r="R1320" t="str">
            <v>FFP</v>
          </cell>
          <cell r="S1320">
            <v>0</v>
          </cell>
          <cell r="T1320">
            <v>1</v>
          </cell>
          <cell r="U1320" t="str">
            <v>CONTRACT</v>
          </cell>
          <cell r="V1320" t="str">
            <v>Identified - Recompete</v>
          </cell>
          <cell r="W1320">
            <v>0</v>
          </cell>
          <cell r="X1320">
            <v>0</v>
          </cell>
          <cell r="Y1320">
            <v>0</v>
          </cell>
          <cell r="Z1320">
            <v>0</v>
          </cell>
          <cell r="AA1320">
            <v>0</v>
          </cell>
          <cell r="AB1320">
            <v>0</v>
          </cell>
          <cell r="AC1320">
            <v>0</v>
          </cell>
          <cell r="AD1320">
            <v>0</v>
          </cell>
          <cell r="AP1320">
            <v>0</v>
          </cell>
          <cell r="AQ1320">
            <v>0</v>
          </cell>
          <cell r="AR1320">
            <v>0</v>
          </cell>
          <cell r="AS1320">
            <v>0</v>
          </cell>
          <cell r="BI1320">
            <v>0</v>
          </cell>
          <cell r="BJ1320">
            <v>0</v>
          </cell>
          <cell r="BK1320">
            <v>0</v>
          </cell>
          <cell r="BL1320">
            <v>0</v>
          </cell>
          <cell r="BM1320">
            <v>0</v>
          </cell>
          <cell r="BN1320">
            <v>0</v>
          </cell>
          <cell r="BO1320">
            <v>0</v>
          </cell>
          <cell r="BP1320">
            <v>0</v>
          </cell>
          <cell r="BQ1320">
            <v>0</v>
          </cell>
          <cell r="BR1320">
            <v>0</v>
          </cell>
          <cell r="BT1320">
            <v>0</v>
          </cell>
          <cell r="CA1320" t="str">
            <v>001984 - CONTRACT - Identified - Recompete</v>
          </cell>
          <cell r="CC1320" t="str">
            <v>001984 - CONTRACT - Identified - Recompete - IS4</v>
          </cell>
          <cell r="CD1320" t="str">
            <v/>
          </cell>
          <cell r="CF1320" t="str">
            <v>001984 - Identified - Recompete - IS4</v>
          </cell>
        </row>
        <row r="1321">
          <cell r="D1321">
            <v>1307</v>
          </cell>
          <cell r="E1321">
            <v>0</v>
          </cell>
          <cell r="F1321">
            <v>5</v>
          </cell>
          <cell r="G1321" t="str">
            <v>001984</v>
          </cell>
          <cell r="H1321" t="str">
            <v>MSRA</v>
          </cell>
          <cell r="I1321" t="str">
            <v>IS4</v>
          </cell>
          <cell r="J1321" t="str">
            <v>IS4 Sustainment Engineering and Acquisition</v>
          </cell>
          <cell r="K1321" t="str">
            <v>Navy</v>
          </cell>
          <cell r="L1321" t="str">
            <v>DOD</v>
          </cell>
          <cell r="M1321" t="str">
            <v>CT</v>
          </cell>
          <cell r="N1321" t="str">
            <v>CONUS</v>
          </cell>
          <cell r="O1321">
            <v>41514</v>
          </cell>
          <cell r="P1321">
            <v>43532</v>
          </cell>
          <cell r="Q1321" t="str">
            <v>Prime</v>
          </cell>
          <cell r="R1321" t="str">
            <v>FFP</v>
          </cell>
          <cell r="S1321">
            <v>0</v>
          </cell>
          <cell r="T1321">
            <v>1</v>
          </cell>
          <cell r="U1321" t="str">
            <v>EBITA</v>
          </cell>
          <cell r="V1321" t="str">
            <v>Base</v>
          </cell>
          <cell r="W1321" t="str">
            <v>05 Won</v>
          </cell>
          <cell r="X1321" t="str">
            <v>Active</v>
          </cell>
          <cell r="Y1321">
            <v>1</v>
          </cell>
          <cell r="Z1321">
            <v>0</v>
          </cell>
          <cell r="AA1321">
            <v>1.0186340659856796E-10</v>
          </cell>
          <cell r="AB1321">
            <v>0</v>
          </cell>
          <cell r="AC1321">
            <v>0</v>
          </cell>
          <cell r="AD1321">
            <v>1.0186340659856796E-10</v>
          </cell>
          <cell r="AT1321">
            <v>0.10436095690970282</v>
          </cell>
          <cell r="AU1321">
            <v>0.10883421932883486</v>
          </cell>
          <cell r="AV1321">
            <v>0.22948438509689709</v>
          </cell>
          <cell r="AW1321">
            <v>1</v>
          </cell>
          <cell r="AX1321">
            <v>0.17365781945990824</v>
          </cell>
          <cell r="AY1321">
            <v>0.17465781945990824</v>
          </cell>
          <cell r="AZ1321">
            <v>0.17565781945990824</v>
          </cell>
          <cell r="BA1321">
            <v>0.17665781945990824</v>
          </cell>
          <cell r="BF1321">
            <v>92103.080000000031</v>
          </cell>
          <cell r="BG1321">
            <v>95751.26</v>
          </cell>
          <cell r="BH1321">
            <v>101307.44000000002</v>
          </cell>
          <cell r="BI1321">
            <v>0</v>
          </cell>
          <cell r="BJ1321">
            <v>110401.53</v>
          </cell>
          <cell r="BK1321">
            <v>0</v>
          </cell>
          <cell r="BL1321">
            <v>0</v>
          </cell>
          <cell r="BM1321">
            <v>110401.53</v>
          </cell>
          <cell r="BN1321">
            <v>0</v>
          </cell>
          <cell r="BO1321">
            <v>0</v>
          </cell>
          <cell r="BP1321">
            <v>0</v>
          </cell>
          <cell r="BQ1321">
            <v>0</v>
          </cell>
          <cell r="BR1321">
            <v>110401.53</v>
          </cell>
          <cell r="BT1321">
            <v>0</v>
          </cell>
          <cell r="CA1321" t="str">
            <v>001984 - EBITA - Base</v>
          </cell>
          <cell r="CC1321" t="str">
            <v>001984 - EBITA - Base - IS4</v>
          </cell>
          <cell r="CD1321" t="str">
            <v/>
          </cell>
          <cell r="CF1321" t="str">
            <v>001984 - Base - IS4</v>
          </cell>
        </row>
        <row r="1322">
          <cell r="D1322">
            <v>1308</v>
          </cell>
          <cell r="E1322">
            <v>0</v>
          </cell>
          <cell r="F1322">
            <v>0</v>
          </cell>
          <cell r="G1322" t="str">
            <v>001984</v>
          </cell>
          <cell r="H1322" t="str">
            <v>MSRA</v>
          </cell>
          <cell r="I1322" t="str">
            <v>IS4</v>
          </cell>
          <cell r="J1322" t="str">
            <v>IS4 Sustainment Engineering and Acquisition</v>
          </cell>
          <cell r="K1322" t="str">
            <v>Navy</v>
          </cell>
          <cell r="L1322" t="str">
            <v>DOD</v>
          </cell>
          <cell r="M1322" t="str">
            <v>CT</v>
          </cell>
          <cell r="N1322" t="str">
            <v>CONUS</v>
          </cell>
          <cell r="O1322">
            <v>0</v>
          </cell>
          <cell r="P1322">
            <v>0</v>
          </cell>
          <cell r="Q1322">
            <v>0</v>
          </cell>
          <cell r="R1322" t="str">
            <v>FFP</v>
          </cell>
          <cell r="S1322">
            <v>0</v>
          </cell>
          <cell r="T1322">
            <v>1</v>
          </cell>
          <cell r="U1322" t="str">
            <v>EBITA</v>
          </cell>
          <cell r="V1322" t="str">
            <v>Identified - Recompete</v>
          </cell>
          <cell r="W1322">
            <v>0</v>
          </cell>
          <cell r="X1322">
            <v>0</v>
          </cell>
          <cell r="Y1322">
            <v>0</v>
          </cell>
          <cell r="Z1322">
            <v>0</v>
          </cell>
          <cell r="AA1322">
            <v>0</v>
          </cell>
          <cell r="AB1322">
            <v>0</v>
          </cell>
          <cell r="AC1322">
            <v>0</v>
          </cell>
          <cell r="AD1322">
            <v>0</v>
          </cell>
          <cell r="AX1322">
            <v>0</v>
          </cell>
          <cell r="AY1322">
            <v>0</v>
          </cell>
          <cell r="AZ1322">
            <v>0</v>
          </cell>
          <cell r="BA1322">
            <v>0</v>
          </cell>
          <cell r="BI1322">
            <v>0</v>
          </cell>
          <cell r="BJ1322">
            <v>0</v>
          </cell>
          <cell r="BK1322">
            <v>0</v>
          </cell>
          <cell r="BL1322">
            <v>0</v>
          </cell>
          <cell r="BM1322">
            <v>0</v>
          </cell>
          <cell r="BN1322">
            <v>0</v>
          </cell>
          <cell r="BO1322">
            <v>0</v>
          </cell>
          <cell r="BP1322">
            <v>0</v>
          </cell>
          <cell r="BQ1322">
            <v>0</v>
          </cell>
          <cell r="BR1322">
            <v>0</v>
          </cell>
          <cell r="BT1322">
            <v>0</v>
          </cell>
          <cell r="CA1322" t="str">
            <v>001984 - EBITA - Identified - Recompete</v>
          </cell>
          <cell r="CC1322" t="str">
            <v>001984 - EBITA - Identified - Recompete - IS4</v>
          </cell>
          <cell r="CD1322" t="str">
            <v/>
          </cell>
          <cell r="CF1322" t="str">
            <v>001984 - Identified - Recompete - IS4</v>
          </cell>
        </row>
        <row r="1323">
          <cell r="D1323">
            <v>1309</v>
          </cell>
          <cell r="E1323">
            <v>1</v>
          </cell>
          <cell r="F1323">
            <v>1</v>
          </cell>
          <cell r="G1323" t="str">
            <v>NC2CVC</v>
          </cell>
          <cell r="H1323" t="str">
            <v>NC2 Nellis CVC Conversion</v>
          </cell>
          <cell r="I1323" t="str">
            <v>IS4</v>
          </cell>
          <cell r="J1323" t="str">
            <v>IS4 Engineering and Technology Services</v>
          </cell>
          <cell r="K1323" t="str">
            <v>Air Force</v>
          </cell>
          <cell r="L1323" t="str">
            <v>DOD</v>
          </cell>
          <cell r="M1323" t="str">
            <v>US_State</v>
          </cell>
          <cell r="N1323" t="str">
            <v>CONUS</v>
          </cell>
          <cell r="O1323">
            <v>41514</v>
          </cell>
          <cell r="P1323">
            <v>43532</v>
          </cell>
          <cell r="Q1323" t="str">
            <v>Prime</v>
          </cell>
          <cell r="R1323" t="str">
            <v>FFP</v>
          </cell>
          <cell r="S1323">
            <v>0</v>
          </cell>
          <cell r="T1323">
            <v>1</v>
          </cell>
          <cell r="U1323" t="str">
            <v>REVTOT</v>
          </cell>
          <cell r="V1323" t="str">
            <v>Base</v>
          </cell>
          <cell r="W1323" t="str">
            <v>05 Won</v>
          </cell>
          <cell r="X1323" t="str">
            <v>Active</v>
          </cell>
          <cell r="Y1323">
            <v>1</v>
          </cell>
          <cell r="Z1323">
            <v>0</v>
          </cell>
          <cell r="AA1323">
            <v>0</v>
          </cell>
          <cell r="AB1323">
            <v>0</v>
          </cell>
          <cell r="AC1323">
            <v>0</v>
          </cell>
          <cell r="AD1323">
            <v>0</v>
          </cell>
          <cell r="AE1323">
            <v>0</v>
          </cell>
          <cell r="AF1323">
            <v>0</v>
          </cell>
          <cell r="AG1323">
            <v>0</v>
          </cell>
          <cell r="AH1323">
            <v>-1</v>
          </cell>
          <cell r="AI1323">
            <v>0</v>
          </cell>
          <cell r="AJ1323">
            <v>0</v>
          </cell>
          <cell r="AK1323">
            <v>0</v>
          </cell>
          <cell r="BB1323">
            <v>0</v>
          </cell>
          <cell r="BC1323">
            <v>0</v>
          </cell>
          <cell r="BD1323">
            <v>0</v>
          </cell>
          <cell r="BE1323">
            <v>0</v>
          </cell>
          <cell r="BF1323">
            <v>0</v>
          </cell>
          <cell r="BG1323">
            <v>0</v>
          </cell>
          <cell r="BH1323">
            <v>0</v>
          </cell>
          <cell r="BI1323">
            <v>72037.5</v>
          </cell>
          <cell r="BJ1323">
            <v>72037.5</v>
          </cell>
          <cell r="BK1323">
            <v>72037.5</v>
          </cell>
          <cell r="BL1323">
            <v>48025</v>
          </cell>
          <cell r="BM1323">
            <v>264137.5</v>
          </cell>
          <cell r="BN1323">
            <v>0</v>
          </cell>
          <cell r="BO1323">
            <v>0</v>
          </cell>
          <cell r="BP1323">
            <v>0</v>
          </cell>
          <cell r="BQ1323">
            <v>0</v>
          </cell>
          <cell r="BR1323">
            <v>264137.5</v>
          </cell>
          <cell r="BT1323">
            <v>0</v>
          </cell>
          <cell r="CA1323" t="str">
            <v>NC2CVC - REVTOT - Base</v>
          </cell>
          <cell r="CC1323" t="str">
            <v>NC2CVC - REVTOT - Base - IS4</v>
          </cell>
          <cell r="CD1323" t="str">
            <v/>
          </cell>
          <cell r="CF1323" t="str">
            <v>NC2CVC - Base - IS4</v>
          </cell>
        </row>
        <row r="1324">
          <cell r="D1324">
            <v>1310</v>
          </cell>
          <cell r="E1324">
            <v>1</v>
          </cell>
          <cell r="F1324">
            <v>2</v>
          </cell>
          <cell r="G1324" t="str">
            <v>NC2CVC</v>
          </cell>
          <cell r="H1324" t="str">
            <v>NC2 Nellis CVC Conversion</v>
          </cell>
          <cell r="I1324" t="str">
            <v>IS4</v>
          </cell>
          <cell r="J1324" t="str">
            <v>IS4 Engineering and Technology Services</v>
          </cell>
          <cell r="K1324" t="str">
            <v>Air Force</v>
          </cell>
          <cell r="L1324" t="str">
            <v>DOD</v>
          </cell>
          <cell r="M1324" t="str">
            <v>US_State</v>
          </cell>
          <cell r="N1324" t="str">
            <v>CONUS</v>
          </cell>
          <cell r="O1324">
            <v>0</v>
          </cell>
          <cell r="P1324">
            <v>0</v>
          </cell>
          <cell r="Q1324">
            <v>0</v>
          </cell>
          <cell r="R1324" t="str">
            <v>FFP</v>
          </cell>
          <cell r="S1324">
            <v>0</v>
          </cell>
          <cell r="T1324">
            <v>1</v>
          </cell>
          <cell r="U1324" t="str">
            <v>REVTOT</v>
          </cell>
          <cell r="V1324" t="str">
            <v>Identified - Recompete</v>
          </cell>
          <cell r="W1324">
            <v>0</v>
          </cell>
          <cell r="X1324">
            <v>0</v>
          </cell>
          <cell r="Y1324">
            <v>0</v>
          </cell>
          <cell r="Z1324">
            <v>0</v>
          </cell>
          <cell r="AA1324">
            <v>0</v>
          </cell>
          <cell r="AB1324">
            <v>0</v>
          </cell>
          <cell r="AC1324">
            <v>0</v>
          </cell>
          <cell r="AD1324">
            <v>0</v>
          </cell>
          <cell r="AI1324">
            <v>0</v>
          </cell>
          <cell r="AJ1324">
            <v>0</v>
          </cell>
          <cell r="AK1324">
            <v>0</v>
          </cell>
          <cell r="BB1324">
            <v>0</v>
          </cell>
          <cell r="BC1324">
            <v>0</v>
          </cell>
          <cell r="BD1324">
            <v>0</v>
          </cell>
          <cell r="BE1324">
            <v>0</v>
          </cell>
          <cell r="BI1324">
            <v>0</v>
          </cell>
          <cell r="BJ1324">
            <v>0</v>
          </cell>
          <cell r="BK1324">
            <v>0</v>
          </cell>
          <cell r="BL1324">
            <v>0</v>
          </cell>
          <cell r="BM1324">
            <v>0</v>
          </cell>
          <cell r="BN1324">
            <v>0</v>
          </cell>
          <cell r="BO1324">
            <v>0</v>
          </cell>
          <cell r="BP1324">
            <v>0</v>
          </cell>
          <cell r="BQ1324">
            <v>0</v>
          </cell>
          <cell r="BR1324">
            <v>0</v>
          </cell>
          <cell r="BT1324">
            <v>0</v>
          </cell>
          <cell r="CA1324" t="str">
            <v>NC2CVC - REVTOT - Identified - Recompete</v>
          </cell>
          <cell r="CC1324" t="str">
            <v>NC2CVC - REVTOT - Identified - Recompete - IS4</v>
          </cell>
          <cell r="CD1324" t="str">
            <v/>
          </cell>
          <cell r="CF1324" t="str">
            <v>NC2CVC - Identified - Recompete - IS4</v>
          </cell>
        </row>
        <row r="1325">
          <cell r="D1325">
            <v>1311</v>
          </cell>
          <cell r="E1325">
            <v>2</v>
          </cell>
          <cell r="F1325">
            <v>3</v>
          </cell>
          <cell r="G1325" t="str">
            <v>NC2CVC</v>
          </cell>
          <cell r="H1325" t="str">
            <v>NC2 Nellis CVC Conversion</v>
          </cell>
          <cell r="I1325" t="str">
            <v>IS4</v>
          </cell>
          <cell r="J1325" t="str">
            <v>IS4 Engineering and Technology Services</v>
          </cell>
          <cell r="K1325" t="str">
            <v>Air Force</v>
          </cell>
          <cell r="L1325" t="str">
            <v>DOD</v>
          </cell>
          <cell r="M1325" t="str">
            <v>US_State</v>
          </cell>
          <cell r="N1325" t="str">
            <v>CONUS</v>
          </cell>
          <cell r="O1325">
            <v>41514</v>
          </cell>
          <cell r="P1325">
            <v>43532</v>
          </cell>
          <cell r="Q1325" t="str">
            <v>Prime</v>
          </cell>
          <cell r="R1325" t="str">
            <v>FFP</v>
          </cell>
          <cell r="S1325">
            <v>0</v>
          </cell>
          <cell r="T1325">
            <v>1</v>
          </cell>
          <cell r="U1325" t="str">
            <v>CONTRACT</v>
          </cell>
          <cell r="V1325" t="str">
            <v>Base</v>
          </cell>
          <cell r="W1325" t="str">
            <v>05 Won</v>
          </cell>
          <cell r="X1325" t="str">
            <v>Active</v>
          </cell>
          <cell r="Y1325">
            <v>1</v>
          </cell>
          <cell r="Z1325">
            <v>0</v>
          </cell>
          <cell r="AA1325">
            <v>0</v>
          </cell>
          <cell r="AB1325">
            <v>0</v>
          </cell>
          <cell r="AC1325">
            <v>0</v>
          </cell>
          <cell r="AD1325">
            <v>0</v>
          </cell>
          <cell r="AL1325">
            <v>0</v>
          </cell>
          <cell r="AM1325">
            <v>0</v>
          </cell>
          <cell r="AN1325">
            <v>0</v>
          </cell>
          <cell r="AO1325">
            <v>0.12804069849983432</v>
          </cell>
          <cell r="AP1325">
            <v>0.12804069849983432</v>
          </cell>
          <cell r="AQ1325">
            <v>0.12804069849983432</v>
          </cell>
          <cell r="AR1325">
            <v>0.12804069849983432</v>
          </cell>
          <cell r="AS1325">
            <v>0.12804069849983432</v>
          </cell>
          <cell r="BF1325">
            <v>0</v>
          </cell>
          <cell r="BG1325">
            <v>0</v>
          </cell>
          <cell r="BH1325">
            <v>0</v>
          </cell>
          <cell r="BI1325">
            <v>9510.1899999999987</v>
          </cell>
          <cell r="BJ1325">
            <v>9687.1799999999967</v>
          </cell>
          <cell r="BK1325">
            <v>9742.4399999999987</v>
          </cell>
          <cell r="BL1325">
            <v>4880.5400000000009</v>
          </cell>
          <cell r="BM1325">
            <v>33820.349999999991</v>
          </cell>
          <cell r="BN1325">
            <v>0</v>
          </cell>
          <cell r="BO1325">
            <v>0</v>
          </cell>
          <cell r="BP1325">
            <v>0</v>
          </cell>
          <cell r="BQ1325">
            <v>0</v>
          </cell>
          <cell r="BR1325">
            <v>33820.349999999991</v>
          </cell>
          <cell r="BT1325">
            <v>0</v>
          </cell>
          <cell r="CA1325" t="str">
            <v>NC2CVC - CONTRACT - Base</v>
          </cell>
          <cell r="CC1325" t="str">
            <v>NC2CVC - CONTRACT - Base - IS4</v>
          </cell>
          <cell r="CD1325" t="str">
            <v/>
          </cell>
          <cell r="CF1325" t="str">
            <v>NC2CVC - Base - IS4</v>
          </cell>
        </row>
        <row r="1326">
          <cell r="D1326">
            <v>1312</v>
          </cell>
          <cell r="E1326">
            <v>2</v>
          </cell>
          <cell r="F1326">
            <v>4</v>
          </cell>
          <cell r="G1326" t="str">
            <v>NC2CVC</v>
          </cell>
          <cell r="H1326" t="str">
            <v>NC2 Nellis CVC Conversion</v>
          </cell>
          <cell r="I1326" t="str">
            <v>IS4</v>
          </cell>
          <cell r="J1326" t="str">
            <v>IS4 Engineering and Technology Services</v>
          </cell>
          <cell r="K1326" t="str">
            <v>Air Force</v>
          </cell>
          <cell r="L1326" t="str">
            <v>DOD</v>
          </cell>
          <cell r="M1326" t="str">
            <v>US_State</v>
          </cell>
          <cell r="N1326" t="str">
            <v>CONUS</v>
          </cell>
          <cell r="O1326">
            <v>0</v>
          </cell>
          <cell r="P1326">
            <v>0</v>
          </cell>
          <cell r="Q1326">
            <v>0</v>
          </cell>
          <cell r="R1326" t="str">
            <v>FFP</v>
          </cell>
          <cell r="S1326">
            <v>0</v>
          </cell>
          <cell r="T1326">
            <v>1</v>
          </cell>
          <cell r="U1326" t="str">
            <v>CONTRACT</v>
          </cell>
          <cell r="V1326" t="str">
            <v>Identified - Recompete</v>
          </cell>
          <cell r="W1326">
            <v>0</v>
          </cell>
          <cell r="X1326">
            <v>0</v>
          </cell>
          <cell r="Y1326">
            <v>0</v>
          </cell>
          <cell r="Z1326">
            <v>0</v>
          </cell>
          <cell r="AA1326">
            <v>0</v>
          </cell>
          <cell r="AB1326">
            <v>0</v>
          </cell>
          <cell r="AC1326">
            <v>0</v>
          </cell>
          <cell r="AD1326">
            <v>0</v>
          </cell>
          <cell r="AP1326">
            <v>0</v>
          </cell>
          <cell r="AQ1326">
            <v>0</v>
          </cell>
          <cell r="AR1326">
            <v>0</v>
          </cell>
          <cell r="AS1326">
            <v>0</v>
          </cell>
          <cell r="BI1326">
            <v>0</v>
          </cell>
          <cell r="BJ1326">
            <v>0</v>
          </cell>
          <cell r="BK1326">
            <v>0</v>
          </cell>
          <cell r="BL1326">
            <v>0</v>
          </cell>
          <cell r="BM1326">
            <v>0</v>
          </cell>
          <cell r="BN1326">
            <v>0</v>
          </cell>
          <cell r="BO1326">
            <v>0</v>
          </cell>
          <cell r="BP1326">
            <v>0</v>
          </cell>
          <cell r="BQ1326">
            <v>0</v>
          </cell>
          <cell r="BR1326">
            <v>0</v>
          </cell>
          <cell r="BT1326">
            <v>0</v>
          </cell>
          <cell r="CA1326" t="str">
            <v>NC2CVC - CONTRACT - Identified - Recompete</v>
          </cell>
          <cell r="CC1326" t="str">
            <v>NC2CVC - CONTRACT - Identified - Recompete - IS4</v>
          </cell>
          <cell r="CD1326" t="str">
            <v/>
          </cell>
          <cell r="CF1326" t="str">
            <v>NC2CVC - Identified - Recompete - IS4</v>
          </cell>
        </row>
        <row r="1327">
          <cell r="D1327">
            <v>1313</v>
          </cell>
          <cell r="E1327">
            <v>0</v>
          </cell>
          <cell r="F1327">
            <v>5</v>
          </cell>
          <cell r="G1327" t="str">
            <v>NC2CVC</v>
          </cell>
          <cell r="H1327" t="str">
            <v>NC2 Nellis CVC Conversion</v>
          </cell>
          <cell r="I1327" t="str">
            <v>IS4</v>
          </cell>
          <cell r="J1327" t="str">
            <v>IS4 Engineering and Technology Services</v>
          </cell>
          <cell r="K1327" t="str">
            <v>Air Force</v>
          </cell>
          <cell r="L1327" t="str">
            <v>DOD</v>
          </cell>
          <cell r="M1327" t="str">
            <v>US_State</v>
          </cell>
          <cell r="N1327" t="str">
            <v>CONUS</v>
          </cell>
          <cell r="O1327">
            <v>41514</v>
          </cell>
          <cell r="P1327">
            <v>43532</v>
          </cell>
          <cell r="Q1327" t="str">
            <v>Prime</v>
          </cell>
          <cell r="R1327" t="str">
            <v>FFP</v>
          </cell>
          <cell r="S1327">
            <v>0</v>
          </cell>
          <cell r="T1327">
            <v>1</v>
          </cell>
          <cell r="U1327" t="str">
            <v>EBITA</v>
          </cell>
          <cell r="V1327" t="str">
            <v>Base</v>
          </cell>
          <cell r="W1327" t="str">
            <v>05 Won</v>
          </cell>
          <cell r="X1327" t="str">
            <v>Active</v>
          </cell>
          <cell r="Y1327">
            <v>1</v>
          </cell>
          <cell r="Z1327">
            <v>0</v>
          </cell>
          <cell r="AA1327">
            <v>0</v>
          </cell>
          <cell r="AB1327">
            <v>0</v>
          </cell>
          <cell r="AC1327">
            <v>0</v>
          </cell>
          <cell r="AD1327">
            <v>0</v>
          </cell>
          <cell r="AT1327">
            <v>0</v>
          </cell>
          <cell r="AU1327">
            <v>0</v>
          </cell>
          <cell r="AV1327">
            <v>0</v>
          </cell>
          <cell r="AW1327">
            <v>4.0666092470777522E-2</v>
          </cell>
          <cell r="AX1327">
            <v>4.1666092470777523E-2</v>
          </cell>
          <cell r="AY1327">
            <v>4.2666092470777524E-2</v>
          </cell>
          <cell r="AZ1327">
            <v>4.3666092470777525E-2</v>
          </cell>
          <cell r="BA1327">
            <v>4.4666092470777526E-2</v>
          </cell>
          <cell r="BF1327">
            <v>0</v>
          </cell>
          <cell r="BG1327">
            <v>0</v>
          </cell>
          <cell r="BH1327">
            <v>0</v>
          </cell>
          <cell r="BI1327">
            <v>3128.9199999999987</v>
          </cell>
          <cell r="BJ1327">
            <v>3594.5499999999965</v>
          </cell>
          <cell r="BK1327">
            <v>3527.4699999999993</v>
          </cell>
          <cell r="BL1327">
            <v>490.50000000000182</v>
          </cell>
          <cell r="BM1327">
            <v>10741.439999999997</v>
          </cell>
          <cell r="BN1327">
            <v>0</v>
          </cell>
          <cell r="BO1327">
            <v>0</v>
          </cell>
          <cell r="BP1327">
            <v>0</v>
          </cell>
          <cell r="BQ1327">
            <v>0</v>
          </cell>
          <cell r="BR1327">
            <v>10741.439999999997</v>
          </cell>
          <cell r="BT1327">
            <v>0</v>
          </cell>
          <cell r="CA1327" t="str">
            <v>NC2CVC - EBITA - Base</v>
          </cell>
          <cell r="CC1327" t="str">
            <v>NC2CVC - EBITA - Base - IS4</v>
          </cell>
          <cell r="CD1327" t="str">
            <v/>
          </cell>
          <cell r="CF1327" t="str">
            <v>NC2CVC - Base - IS4</v>
          </cell>
        </row>
        <row r="1328">
          <cell r="D1328">
            <v>1314</v>
          </cell>
          <cell r="E1328">
            <v>0</v>
          </cell>
          <cell r="F1328">
            <v>0</v>
          </cell>
          <cell r="G1328" t="str">
            <v>NC2CVC</v>
          </cell>
          <cell r="H1328" t="str">
            <v>NC2 Nellis CVC Conversion</v>
          </cell>
          <cell r="I1328" t="str">
            <v>IS4</v>
          </cell>
          <cell r="J1328" t="str">
            <v>IS4 Engineering and Technology Services</v>
          </cell>
          <cell r="K1328" t="str">
            <v>Air Force</v>
          </cell>
          <cell r="L1328" t="str">
            <v>DOD</v>
          </cell>
          <cell r="M1328" t="str">
            <v>US_State</v>
          </cell>
          <cell r="N1328" t="str">
            <v>CONUS</v>
          </cell>
          <cell r="O1328">
            <v>0</v>
          </cell>
          <cell r="P1328">
            <v>0</v>
          </cell>
          <cell r="Q1328">
            <v>0</v>
          </cell>
          <cell r="R1328" t="str">
            <v>FFP</v>
          </cell>
          <cell r="S1328">
            <v>0</v>
          </cell>
          <cell r="T1328">
            <v>1</v>
          </cell>
          <cell r="U1328" t="str">
            <v>EBITA</v>
          </cell>
          <cell r="V1328" t="str">
            <v>Identified - Recompete</v>
          </cell>
          <cell r="W1328">
            <v>0</v>
          </cell>
          <cell r="X1328">
            <v>0</v>
          </cell>
          <cell r="Y1328">
            <v>0</v>
          </cell>
          <cell r="Z1328">
            <v>0</v>
          </cell>
          <cell r="AA1328">
            <v>0</v>
          </cell>
          <cell r="AB1328">
            <v>0</v>
          </cell>
          <cell r="AC1328">
            <v>0</v>
          </cell>
          <cell r="AD1328">
            <v>0</v>
          </cell>
          <cell r="AX1328">
            <v>0</v>
          </cell>
          <cell r="AY1328">
            <v>0</v>
          </cell>
          <cell r="AZ1328">
            <v>0</v>
          </cell>
          <cell r="BA1328">
            <v>0</v>
          </cell>
          <cell r="BI1328">
            <v>0</v>
          </cell>
          <cell r="BJ1328">
            <v>0</v>
          </cell>
          <cell r="BK1328">
            <v>0</v>
          </cell>
          <cell r="BL1328">
            <v>0</v>
          </cell>
          <cell r="BM1328">
            <v>0</v>
          </cell>
          <cell r="BN1328">
            <v>0</v>
          </cell>
          <cell r="BO1328">
            <v>0</v>
          </cell>
          <cell r="BP1328">
            <v>0</v>
          </cell>
          <cell r="BQ1328">
            <v>0</v>
          </cell>
          <cell r="BR1328">
            <v>0</v>
          </cell>
          <cell r="BT1328">
            <v>0</v>
          </cell>
          <cell r="CA1328" t="str">
            <v>NC2CVC - EBITA - Identified - Recompete</v>
          </cell>
          <cell r="CC1328" t="str">
            <v>NC2CVC - EBITA - Identified - Recompete - IS4</v>
          </cell>
          <cell r="CD1328" t="str">
            <v/>
          </cell>
          <cell r="CF1328" t="str">
            <v>NC2CVC - Identified - Recompete - IS4</v>
          </cell>
        </row>
        <row r="1329">
          <cell r="D1329">
            <v>1315</v>
          </cell>
          <cell r="E1329">
            <v>1</v>
          </cell>
          <cell r="F1329">
            <v>1</v>
          </cell>
          <cell r="G1329" t="str">
            <v>003571</v>
          </cell>
          <cell r="H1329" t="str">
            <v>3571 EB Schoohouse IMI HTML5</v>
          </cell>
          <cell r="I1329" t="str">
            <v>IS4</v>
          </cell>
          <cell r="J1329" t="str">
            <v>IS4 Sustainment Engineering and Acquisition</v>
          </cell>
          <cell r="K1329" t="str">
            <v>Navy</v>
          </cell>
          <cell r="L1329" t="str">
            <v>DOD</v>
          </cell>
          <cell r="M1329" t="str">
            <v>CT</v>
          </cell>
          <cell r="N1329" t="str">
            <v>CONUS</v>
          </cell>
          <cell r="O1329">
            <v>43332</v>
          </cell>
          <cell r="P1329">
            <v>43679</v>
          </cell>
          <cell r="Q1329" t="str">
            <v>Sub</v>
          </cell>
          <cell r="R1329" t="str">
            <v>FFP</v>
          </cell>
          <cell r="S1329">
            <v>0</v>
          </cell>
          <cell r="T1329">
            <v>1</v>
          </cell>
          <cell r="U1329" t="str">
            <v>REVTOT</v>
          </cell>
          <cell r="V1329" t="str">
            <v>Base</v>
          </cell>
          <cell r="W1329" t="str">
            <v>05 Won</v>
          </cell>
          <cell r="X1329" t="str">
            <v>Active</v>
          </cell>
          <cell r="Y1329">
            <v>1</v>
          </cell>
          <cell r="Z1329">
            <v>0</v>
          </cell>
          <cell r="AA1329">
            <v>5315.7400000000207</v>
          </cell>
          <cell r="AB1329">
            <v>0</v>
          </cell>
          <cell r="AC1329">
            <v>0</v>
          </cell>
          <cell r="AD1329">
            <v>5315.7400000000207</v>
          </cell>
          <cell r="AE1329">
            <v>0</v>
          </cell>
          <cell r="AF1329">
            <v>0</v>
          </cell>
          <cell r="AG1329">
            <v>4.2012574723319362</v>
          </cell>
          <cell r="AH1329">
            <v>-1</v>
          </cell>
          <cell r="AI1329">
            <v>0</v>
          </cell>
          <cell r="AJ1329">
            <v>0</v>
          </cell>
          <cell r="AK1329">
            <v>0</v>
          </cell>
          <cell r="BB1329">
            <v>0</v>
          </cell>
          <cell r="BC1329">
            <v>0</v>
          </cell>
          <cell r="BD1329">
            <v>0</v>
          </cell>
          <cell r="BE1329">
            <v>0</v>
          </cell>
          <cell r="BF1329">
            <v>0</v>
          </cell>
          <cell r="BG1329">
            <v>0</v>
          </cell>
          <cell r="BH1329">
            <v>33764.559999999998</v>
          </cell>
          <cell r="BI1329">
            <v>110676.70999999999</v>
          </cell>
          <cell r="BJ1329">
            <v>59923.59</v>
          </cell>
          <cell r="BK1329">
            <v>5017.87</v>
          </cell>
          <cell r="BL1329">
            <v>0</v>
          </cell>
          <cell r="BM1329">
            <v>175618.16999999998</v>
          </cell>
          <cell r="BN1329">
            <v>0</v>
          </cell>
          <cell r="BO1329">
            <v>0</v>
          </cell>
          <cell r="BP1329">
            <v>0</v>
          </cell>
          <cell r="BQ1329">
            <v>0</v>
          </cell>
          <cell r="BR1329">
            <v>175618.16999999998</v>
          </cell>
          <cell r="BT1329">
            <v>0</v>
          </cell>
          <cell r="CA1329" t="str">
            <v>003571 - REVTOT - Base</v>
          </cell>
          <cell r="CC1329" t="str">
            <v>003571 - REVTOT - Base - IS4</v>
          </cell>
          <cell r="CD1329" t="str">
            <v/>
          </cell>
          <cell r="CF1329" t="str">
            <v>003571 - Base - IS4</v>
          </cell>
        </row>
        <row r="1330">
          <cell r="D1330">
            <v>1316</v>
          </cell>
          <cell r="E1330">
            <v>1</v>
          </cell>
          <cell r="F1330">
            <v>2</v>
          </cell>
          <cell r="G1330" t="str">
            <v>003571</v>
          </cell>
          <cell r="H1330" t="str">
            <v>3571 EB Schoohouse IMI HTML5</v>
          </cell>
          <cell r="I1330" t="str">
            <v>IS4</v>
          </cell>
          <cell r="J1330" t="str">
            <v>IS4 Sustainment Engineering and Acquisition</v>
          </cell>
          <cell r="K1330" t="str">
            <v>Navy</v>
          </cell>
          <cell r="L1330" t="str">
            <v>DOD</v>
          </cell>
          <cell r="M1330" t="str">
            <v>CT</v>
          </cell>
          <cell r="N1330" t="str">
            <v>CONUS</v>
          </cell>
          <cell r="O1330">
            <v>0</v>
          </cell>
          <cell r="P1330">
            <v>0</v>
          </cell>
          <cell r="Q1330">
            <v>0</v>
          </cell>
          <cell r="R1330" t="str">
            <v>FFP</v>
          </cell>
          <cell r="S1330">
            <v>0</v>
          </cell>
          <cell r="T1330">
            <v>1</v>
          </cell>
          <cell r="U1330" t="str">
            <v>REVTOT</v>
          </cell>
          <cell r="V1330" t="str">
            <v>Identified - Recompete</v>
          </cell>
          <cell r="W1330">
            <v>0</v>
          </cell>
          <cell r="X1330">
            <v>0</v>
          </cell>
          <cell r="Y1330">
            <v>0</v>
          </cell>
          <cell r="Z1330">
            <v>0</v>
          </cell>
          <cell r="AA1330">
            <v>0</v>
          </cell>
          <cell r="AB1330">
            <v>0</v>
          </cell>
          <cell r="AC1330">
            <v>0</v>
          </cell>
          <cell r="AD1330">
            <v>0</v>
          </cell>
          <cell r="AI1330">
            <v>0</v>
          </cell>
          <cell r="AJ1330">
            <v>0</v>
          </cell>
          <cell r="AK1330">
            <v>0</v>
          </cell>
          <cell r="BB1330">
            <v>0</v>
          </cell>
          <cell r="BC1330">
            <v>0</v>
          </cell>
          <cell r="BD1330">
            <v>0</v>
          </cell>
          <cell r="BE1330">
            <v>0</v>
          </cell>
          <cell r="BI1330">
            <v>0</v>
          </cell>
          <cell r="BJ1330">
            <v>0</v>
          </cell>
          <cell r="BK1330">
            <v>0</v>
          </cell>
          <cell r="BL1330">
            <v>0</v>
          </cell>
          <cell r="BM1330">
            <v>0</v>
          </cell>
          <cell r="BN1330">
            <v>0</v>
          </cell>
          <cell r="BO1330">
            <v>0</v>
          </cell>
          <cell r="BP1330">
            <v>0</v>
          </cell>
          <cell r="BQ1330">
            <v>0</v>
          </cell>
          <cell r="BR1330">
            <v>0</v>
          </cell>
          <cell r="BT1330">
            <v>0</v>
          </cell>
          <cell r="CA1330" t="str">
            <v>003571 - REVTOT - Identified - Recompete</v>
          </cell>
          <cell r="CC1330" t="str">
            <v>003571 - REVTOT - Identified - Recompete - IS4</v>
          </cell>
          <cell r="CD1330" t="str">
            <v/>
          </cell>
          <cell r="CF1330" t="str">
            <v>003571 - Identified - Recompete - IS4</v>
          </cell>
        </row>
        <row r="1331">
          <cell r="D1331">
            <v>1317</v>
          </cell>
          <cell r="E1331">
            <v>2</v>
          </cell>
          <cell r="F1331">
            <v>3</v>
          </cell>
          <cell r="G1331" t="str">
            <v>003571</v>
          </cell>
          <cell r="H1331" t="str">
            <v>3571 EB Schoohouse IMI HTML5</v>
          </cell>
          <cell r="I1331" t="str">
            <v>IS4</v>
          </cell>
          <cell r="J1331" t="str">
            <v>IS4 Sustainment Engineering and Acquisition</v>
          </cell>
          <cell r="K1331" t="str">
            <v>Navy</v>
          </cell>
          <cell r="L1331" t="str">
            <v>DOD</v>
          </cell>
          <cell r="M1331" t="str">
            <v>CT</v>
          </cell>
          <cell r="N1331" t="str">
            <v>CONUS</v>
          </cell>
          <cell r="O1331">
            <v>43332</v>
          </cell>
          <cell r="P1331">
            <v>43679</v>
          </cell>
          <cell r="Q1331" t="str">
            <v>Sub</v>
          </cell>
          <cell r="R1331" t="str">
            <v>FFP</v>
          </cell>
          <cell r="S1331">
            <v>0</v>
          </cell>
          <cell r="T1331">
            <v>1</v>
          </cell>
          <cell r="U1331" t="str">
            <v>CONTRACT</v>
          </cell>
          <cell r="V1331" t="str">
            <v>Base</v>
          </cell>
          <cell r="W1331" t="str">
            <v>05 Won</v>
          </cell>
          <cell r="X1331" t="str">
            <v>Active</v>
          </cell>
          <cell r="Y1331">
            <v>1</v>
          </cell>
          <cell r="Z1331">
            <v>0</v>
          </cell>
          <cell r="AA1331">
            <v>5315.7400000000207</v>
          </cell>
          <cell r="AB1331">
            <v>0</v>
          </cell>
          <cell r="AC1331">
            <v>0</v>
          </cell>
          <cell r="AD1331">
            <v>5315.7400000000207</v>
          </cell>
          <cell r="AL1331">
            <v>0</v>
          </cell>
          <cell r="AM1331">
            <v>0</v>
          </cell>
          <cell r="AN1331">
            <v>0.18683021487618956</v>
          </cell>
          <cell r="AO1331">
            <v>0.17724350504278685</v>
          </cell>
          <cell r="AP1331">
            <v>0.17878943502169445</v>
          </cell>
          <cell r="AQ1331">
            <v>0.17878943502169445</v>
          </cell>
          <cell r="AR1331">
            <v>0.17878943502169445</v>
          </cell>
          <cell r="AS1331">
            <v>0.17878943502169445</v>
          </cell>
          <cell r="BF1331">
            <v>0</v>
          </cell>
          <cell r="BG1331">
            <v>0</v>
          </cell>
          <cell r="BH1331">
            <v>6308.2399999999943</v>
          </cell>
          <cell r="BI1331">
            <v>20954.740000000002</v>
          </cell>
          <cell r="BJ1331">
            <v>9978.279999999997</v>
          </cell>
          <cell r="BK1331">
            <v>194.16000000000008</v>
          </cell>
          <cell r="BL1331">
            <v>0</v>
          </cell>
          <cell r="BM1331">
            <v>31127.179999999997</v>
          </cell>
          <cell r="BN1331">
            <v>0</v>
          </cell>
          <cell r="BO1331">
            <v>0</v>
          </cell>
          <cell r="BP1331">
            <v>0</v>
          </cell>
          <cell r="BQ1331">
            <v>0</v>
          </cell>
          <cell r="BR1331">
            <v>31127.179999999997</v>
          </cell>
          <cell r="BT1331">
            <v>0</v>
          </cell>
          <cell r="CA1331" t="str">
            <v>003571 - CONTRACT - Base</v>
          </cell>
          <cell r="CC1331" t="str">
            <v>003571 - CONTRACT - Base - IS4</v>
          </cell>
          <cell r="CD1331" t="str">
            <v/>
          </cell>
          <cell r="CF1331" t="str">
            <v>003571 - Base - IS4</v>
          </cell>
        </row>
        <row r="1332">
          <cell r="D1332">
            <v>1318</v>
          </cell>
          <cell r="E1332">
            <v>2</v>
          </cell>
          <cell r="F1332">
            <v>4</v>
          </cell>
          <cell r="G1332" t="str">
            <v>003571</v>
          </cell>
          <cell r="H1332" t="str">
            <v>3571 EB Schoohouse IMI HTML5</v>
          </cell>
          <cell r="I1332" t="str">
            <v>IS4</v>
          </cell>
          <cell r="J1332" t="str">
            <v>IS4 Sustainment Engineering and Acquisition</v>
          </cell>
          <cell r="K1332" t="str">
            <v>Navy</v>
          </cell>
          <cell r="L1332" t="str">
            <v>DOD</v>
          </cell>
          <cell r="M1332" t="str">
            <v>CT</v>
          </cell>
          <cell r="N1332" t="str">
            <v>CONUS</v>
          </cell>
          <cell r="O1332">
            <v>0</v>
          </cell>
          <cell r="P1332">
            <v>0</v>
          </cell>
          <cell r="Q1332">
            <v>0</v>
          </cell>
          <cell r="R1332" t="str">
            <v>FFP</v>
          </cell>
          <cell r="S1332">
            <v>0</v>
          </cell>
          <cell r="T1332">
            <v>1</v>
          </cell>
          <cell r="U1332" t="str">
            <v>CONTRACT</v>
          </cell>
          <cell r="V1332" t="str">
            <v>Identified - Recompete</v>
          </cell>
          <cell r="W1332">
            <v>0</v>
          </cell>
          <cell r="X1332">
            <v>0</v>
          </cell>
          <cell r="Y1332">
            <v>0</v>
          </cell>
          <cell r="Z1332">
            <v>0</v>
          </cell>
          <cell r="AA1332">
            <v>0</v>
          </cell>
          <cell r="AB1332">
            <v>0</v>
          </cell>
          <cell r="AC1332">
            <v>0</v>
          </cell>
          <cell r="AD1332">
            <v>0</v>
          </cell>
          <cell r="AP1332">
            <v>0</v>
          </cell>
          <cell r="AQ1332">
            <v>0</v>
          </cell>
          <cell r="AR1332">
            <v>0</v>
          </cell>
          <cell r="AS1332">
            <v>0</v>
          </cell>
          <cell r="BI1332">
            <v>0</v>
          </cell>
          <cell r="BJ1332">
            <v>0</v>
          </cell>
          <cell r="BK1332">
            <v>0</v>
          </cell>
          <cell r="BL1332">
            <v>0</v>
          </cell>
          <cell r="BM1332">
            <v>0</v>
          </cell>
          <cell r="BN1332">
            <v>0</v>
          </cell>
          <cell r="BO1332">
            <v>0</v>
          </cell>
          <cell r="BP1332">
            <v>0</v>
          </cell>
          <cell r="BQ1332">
            <v>0</v>
          </cell>
          <cell r="BR1332">
            <v>0</v>
          </cell>
          <cell r="BT1332">
            <v>0</v>
          </cell>
          <cell r="CA1332" t="str">
            <v>003571 - CONTRACT - Identified - Recompete</v>
          </cell>
          <cell r="CC1332" t="str">
            <v>003571 - CONTRACT - Identified - Recompete - IS4</v>
          </cell>
          <cell r="CD1332" t="str">
            <v/>
          </cell>
          <cell r="CF1332" t="str">
            <v>003571 - Identified - Recompete - IS4</v>
          </cell>
        </row>
        <row r="1333">
          <cell r="D1333">
            <v>1319</v>
          </cell>
          <cell r="E1333">
            <v>0</v>
          </cell>
          <cell r="F1333">
            <v>5</v>
          </cell>
          <cell r="G1333" t="str">
            <v>003571</v>
          </cell>
          <cell r="H1333" t="str">
            <v>3571 EB Schoohouse IMI HTML5</v>
          </cell>
          <cell r="I1333" t="str">
            <v>IS4</v>
          </cell>
          <cell r="J1333" t="str">
            <v>IS4 Sustainment Engineering and Acquisition</v>
          </cell>
          <cell r="K1333" t="str">
            <v>Navy</v>
          </cell>
          <cell r="L1333" t="str">
            <v>DOD</v>
          </cell>
          <cell r="M1333" t="str">
            <v>CT</v>
          </cell>
          <cell r="N1333" t="str">
            <v>CONUS</v>
          </cell>
          <cell r="O1333">
            <v>43332</v>
          </cell>
          <cell r="P1333">
            <v>43679</v>
          </cell>
          <cell r="Q1333" t="str">
            <v>Sub</v>
          </cell>
          <cell r="R1333" t="str">
            <v>FFP</v>
          </cell>
          <cell r="S1333">
            <v>0</v>
          </cell>
          <cell r="T1333">
            <v>1</v>
          </cell>
          <cell r="U1333" t="str">
            <v>EBITA</v>
          </cell>
          <cell r="V1333" t="str">
            <v>Base</v>
          </cell>
          <cell r="W1333" t="str">
            <v>05 Won</v>
          </cell>
          <cell r="X1333" t="str">
            <v>Active</v>
          </cell>
          <cell r="Y1333">
            <v>1</v>
          </cell>
          <cell r="Z1333">
            <v>0</v>
          </cell>
          <cell r="AA1333">
            <v>5315.7400000000207</v>
          </cell>
          <cell r="AB1333">
            <v>0</v>
          </cell>
          <cell r="AC1333">
            <v>0</v>
          </cell>
          <cell r="AD1333">
            <v>5315.7400000000207</v>
          </cell>
          <cell r="AT1333">
            <v>0</v>
          </cell>
          <cell r="AU1333">
            <v>0</v>
          </cell>
          <cell r="AV1333">
            <v>7.4073821782365726E-2</v>
          </cell>
          <cell r="AW1333">
            <v>6.2121533324256809E-2</v>
          </cell>
          <cell r="AX1333">
            <v>6.5048930874098312E-2</v>
          </cell>
          <cell r="AY1333">
            <v>6.6048930874098313E-2</v>
          </cell>
          <cell r="AZ1333">
            <v>6.7048930874098314E-2</v>
          </cell>
          <cell r="BA1333">
            <v>6.8048930874098315E-2</v>
          </cell>
          <cell r="BF1333">
            <v>0</v>
          </cell>
          <cell r="BG1333">
            <v>0</v>
          </cell>
          <cell r="BH1333">
            <v>2501.0699999999943</v>
          </cell>
          <cell r="BI1333">
            <v>8198.27</v>
          </cell>
          <cell r="BJ1333">
            <v>3189.4299999999971</v>
          </cell>
          <cell r="BK1333">
            <v>-478.02999999999986</v>
          </cell>
          <cell r="BL1333">
            <v>0</v>
          </cell>
          <cell r="BM1333">
            <v>10909.669999999996</v>
          </cell>
          <cell r="BN1333">
            <v>0</v>
          </cell>
          <cell r="BO1333">
            <v>0</v>
          </cell>
          <cell r="BP1333">
            <v>0</v>
          </cell>
          <cell r="BQ1333">
            <v>0</v>
          </cell>
          <cell r="BR1333">
            <v>10909.669999999996</v>
          </cell>
          <cell r="BT1333">
            <v>0</v>
          </cell>
          <cell r="CA1333" t="str">
            <v>003571 - EBITA - Base</v>
          </cell>
          <cell r="CC1333" t="str">
            <v>003571 - EBITA - Base - IS4</v>
          </cell>
          <cell r="CD1333" t="str">
            <v/>
          </cell>
          <cell r="CF1333" t="str">
            <v>003571 - Base - IS4</v>
          </cell>
        </row>
        <row r="1334">
          <cell r="D1334">
            <v>1320</v>
          </cell>
          <cell r="E1334">
            <v>0</v>
          </cell>
          <cell r="F1334">
            <v>0</v>
          </cell>
          <cell r="G1334" t="str">
            <v>003571</v>
          </cell>
          <cell r="H1334" t="str">
            <v>3571 EB Schoohouse IMI HTML5</v>
          </cell>
          <cell r="I1334" t="str">
            <v>IS4</v>
          </cell>
          <cell r="J1334" t="str">
            <v>IS4 Sustainment Engineering and Acquisition</v>
          </cell>
          <cell r="K1334" t="str">
            <v>Navy</v>
          </cell>
          <cell r="L1334" t="str">
            <v>DOD</v>
          </cell>
          <cell r="M1334" t="str">
            <v>CT</v>
          </cell>
          <cell r="N1334" t="str">
            <v>CONUS</v>
          </cell>
          <cell r="O1334">
            <v>0</v>
          </cell>
          <cell r="P1334">
            <v>0</v>
          </cell>
          <cell r="Q1334">
            <v>0</v>
          </cell>
          <cell r="R1334" t="str">
            <v>FFP</v>
          </cell>
          <cell r="S1334">
            <v>0</v>
          </cell>
          <cell r="T1334">
            <v>1</v>
          </cell>
          <cell r="U1334" t="str">
            <v>EBITA</v>
          </cell>
          <cell r="V1334" t="str">
            <v>Identified - Recompete</v>
          </cell>
          <cell r="W1334">
            <v>0</v>
          </cell>
          <cell r="X1334">
            <v>0</v>
          </cell>
          <cell r="Y1334">
            <v>0</v>
          </cell>
          <cell r="Z1334">
            <v>0</v>
          </cell>
          <cell r="AA1334">
            <v>0</v>
          </cell>
          <cell r="AB1334">
            <v>0</v>
          </cell>
          <cell r="AC1334">
            <v>0</v>
          </cell>
          <cell r="AD1334">
            <v>0</v>
          </cell>
          <cell r="AX1334">
            <v>0</v>
          </cell>
          <cell r="AY1334">
            <v>0</v>
          </cell>
          <cell r="AZ1334">
            <v>0</v>
          </cell>
          <cell r="BA1334">
            <v>0</v>
          </cell>
          <cell r="BI1334">
            <v>0</v>
          </cell>
          <cell r="BJ1334">
            <v>0</v>
          </cell>
          <cell r="BK1334">
            <v>0</v>
          </cell>
          <cell r="BL1334">
            <v>0</v>
          </cell>
          <cell r="BM1334">
            <v>0</v>
          </cell>
          <cell r="BN1334">
            <v>0</v>
          </cell>
          <cell r="BO1334">
            <v>0</v>
          </cell>
          <cell r="BP1334">
            <v>0</v>
          </cell>
          <cell r="BQ1334">
            <v>0</v>
          </cell>
          <cell r="BR1334">
            <v>0</v>
          </cell>
          <cell r="BT1334">
            <v>0</v>
          </cell>
          <cell r="CA1334" t="str">
            <v>003571 - EBITA - Identified - Recompete</v>
          </cell>
          <cell r="CC1334" t="str">
            <v>003571 - EBITA - Identified - Recompete - IS4</v>
          </cell>
          <cell r="CD1334" t="str">
            <v/>
          </cell>
          <cell r="CF1334" t="str">
            <v>003571 - Identified - Recompete - IS4</v>
          </cell>
        </row>
        <row r="1335">
          <cell r="D1335">
            <v>1321</v>
          </cell>
          <cell r="E1335">
            <v>1</v>
          </cell>
          <cell r="F1335">
            <v>1</v>
          </cell>
          <cell r="G1335" t="str">
            <v>227607</v>
          </cell>
          <cell r="H1335" t="str">
            <v>2276.007 - CGLog (TABSS)</v>
          </cell>
          <cell r="I1335" t="str">
            <v>IS4</v>
          </cell>
          <cell r="J1335" t="str">
            <v>IS4 Sustainment Engineering and Acquisition</v>
          </cell>
          <cell r="K1335" t="str">
            <v>Coast Guard</v>
          </cell>
          <cell r="L1335" t="str">
            <v>DOD</v>
          </cell>
          <cell r="M1335" t="str">
            <v>VA</v>
          </cell>
          <cell r="N1335" t="str">
            <v>CONUS</v>
          </cell>
          <cell r="O1335">
            <v>43332</v>
          </cell>
          <cell r="P1335">
            <v>43679</v>
          </cell>
          <cell r="Q1335" t="str">
            <v>Prime</v>
          </cell>
          <cell r="R1335" t="str">
            <v>FFP</v>
          </cell>
          <cell r="S1335">
            <v>0</v>
          </cell>
          <cell r="T1335">
            <v>1</v>
          </cell>
          <cell r="U1335" t="str">
            <v>REVTOT</v>
          </cell>
          <cell r="V1335" t="str">
            <v>Base</v>
          </cell>
          <cell r="W1335" t="str">
            <v>05 Won</v>
          </cell>
          <cell r="X1335" t="str">
            <v>Active</v>
          </cell>
          <cell r="Y1335">
            <v>1</v>
          </cell>
          <cell r="Z1335">
            <v>0</v>
          </cell>
          <cell r="AA1335">
            <v>5.000583769287914E-7</v>
          </cell>
          <cell r="AB1335">
            <v>14256.5</v>
          </cell>
          <cell r="AC1335">
            <v>0</v>
          </cell>
          <cell r="AD1335">
            <v>14256.500000500058</v>
          </cell>
          <cell r="AE1335">
            <v>0.54102487828440626</v>
          </cell>
          <cell r="AF1335">
            <v>-0.18342604360653303</v>
          </cell>
          <cell r="AG1335">
            <v>-0.95518185451673498</v>
          </cell>
          <cell r="AH1335">
            <v>-1</v>
          </cell>
          <cell r="AI1335">
            <v>0</v>
          </cell>
          <cell r="AJ1335">
            <v>0</v>
          </cell>
          <cell r="AK1335">
            <v>0</v>
          </cell>
          <cell r="BB1335">
            <v>0</v>
          </cell>
          <cell r="BC1335">
            <v>0</v>
          </cell>
          <cell r="BD1335">
            <v>0</v>
          </cell>
          <cell r="BE1335">
            <v>0</v>
          </cell>
          <cell r="BF1335">
            <v>1277510.92</v>
          </cell>
          <cell r="BG1335">
            <v>1968676.1099999999</v>
          </cell>
          <cell r="BH1335">
            <v>1607569.6400000001</v>
          </cell>
          <cell r="BI1335">
            <v>67634.13</v>
          </cell>
          <cell r="BJ1335">
            <v>0</v>
          </cell>
          <cell r="BK1335">
            <v>4414.16</v>
          </cell>
          <cell r="BL1335">
            <v>0</v>
          </cell>
          <cell r="BM1335">
            <v>72048.290000000008</v>
          </cell>
          <cell r="BN1335">
            <v>0</v>
          </cell>
          <cell r="BO1335">
            <v>0</v>
          </cell>
          <cell r="BP1335">
            <v>0</v>
          </cell>
          <cell r="BQ1335">
            <v>0</v>
          </cell>
          <cell r="BR1335">
            <v>72048.290000000008</v>
          </cell>
          <cell r="BT1335">
            <v>0</v>
          </cell>
          <cell r="CA1335" t="str">
            <v>227607 - REVTOT - Base</v>
          </cell>
          <cell r="CC1335" t="str">
            <v>227607 - REVTOT - Base - IS4</v>
          </cell>
          <cell r="CD1335" t="str">
            <v/>
          </cell>
          <cell r="CF1335" t="str">
            <v>227607 - Base - IS4</v>
          </cell>
        </row>
        <row r="1336">
          <cell r="D1336">
            <v>1322</v>
          </cell>
          <cell r="E1336">
            <v>1</v>
          </cell>
          <cell r="F1336">
            <v>2</v>
          </cell>
          <cell r="G1336" t="str">
            <v>227607</v>
          </cell>
          <cell r="H1336" t="str">
            <v>2276.007 - CGLog (TABSS)</v>
          </cell>
          <cell r="I1336" t="str">
            <v>IS4</v>
          </cell>
          <cell r="J1336" t="str">
            <v>IS4 Sustainment Engineering and Acquisition</v>
          </cell>
          <cell r="K1336" t="str">
            <v>Coast Guard</v>
          </cell>
          <cell r="L1336" t="str">
            <v>DOD</v>
          </cell>
          <cell r="M1336" t="str">
            <v>VA</v>
          </cell>
          <cell r="N1336" t="str">
            <v>CONUS</v>
          </cell>
          <cell r="O1336">
            <v>0</v>
          </cell>
          <cell r="P1336">
            <v>0</v>
          </cell>
          <cell r="Q1336">
            <v>0</v>
          </cell>
          <cell r="R1336" t="str">
            <v>FFP</v>
          </cell>
          <cell r="S1336">
            <v>0</v>
          </cell>
          <cell r="T1336">
            <v>1</v>
          </cell>
          <cell r="U1336" t="str">
            <v>REVTOT</v>
          </cell>
          <cell r="V1336" t="str">
            <v>Identified - Recompete</v>
          </cell>
          <cell r="W1336">
            <v>0</v>
          </cell>
          <cell r="X1336">
            <v>0</v>
          </cell>
          <cell r="Y1336">
            <v>0</v>
          </cell>
          <cell r="Z1336">
            <v>0</v>
          </cell>
          <cell r="AA1336">
            <v>0</v>
          </cell>
          <cell r="AB1336">
            <v>0</v>
          </cell>
          <cell r="AC1336">
            <v>0</v>
          </cell>
          <cell r="AD1336">
            <v>0</v>
          </cell>
          <cell r="AI1336">
            <v>0</v>
          </cell>
          <cell r="AJ1336">
            <v>0</v>
          </cell>
          <cell r="AK1336">
            <v>0</v>
          </cell>
          <cell r="BB1336">
            <v>0</v>
          </cell>
          <cell r="BC1336">
            <v>0</v>
          </cell>
          <cell r="BD1336">
            <v>0</v>
          </cell>
          <cell r="BE1336">
            <v>0</v>
          </cell>
          <cell r="BI1336">
            <v>0</v>
          </cell>
          <cell r="BJ1336">
            <v>0</v>
          </cell>
          <cell r="BK1336">
            <v>0</v>
          </cell>
          <cell r="BL1336">
            <v>0</v>
          </cell>
          <cell r="BM1336">
            <v>0</v>
          </cell>
          <cell r="BN1336">
            <v>0</v>
          </cell>
          <cell r="BO1336">
            <v>0</v>
          </cell>
          <cell r="BP1336">
            <v>0</v>
          </cell>
          <cell r="BQ1336">
            <v>0</v>
          </cell>
          <cell r="BR1336">
            <v>0</v>
          </cell>
          <cell r="BT1336">
            <v>0</v>
          </cell>
          <cell r="CA1336" t="str">
            <v>227607 - REVTOT - Identified - Recompete</v>
          </cell>
          <cell r="CC1336" t="str">
            <v>227607 - REVTOT - Identified - Recompete - IS4</v>
          </cell>
          <cell r="CD1336" t="str">
            <v/>
          </cell>
          <cell r="CF1336" t="str">
            <v>227607 - Identified - Recompete - IS4</v>
          </cell>
        </row>
        <row r="1337">
          <cell r="D1337">
            <v>1323</v>
          </cell>
          <cell r="E1337">
            <v>2</v>
          </cell>
          <cell r="F1337">
            <v>3</v>
          </cell>
          <cell r="G1337" t="str">
            <v>227607</v>
          </cell>
          <cell r="H1337" t="str">
            <v>2276.007 - CGLog (TABSS)</v>
          </cell>
          <cell r="I1337" t="str">
            <v>IS4</v>
          </cell>
          <cell r="J1337" t="str">
            <v>IS4 Sustainment Engineering and Acquisition</v>
          </cell>
          <cell r="K1337" t="str">
            <v>Coast Guard</v>
          </cell>
          <cell r="L1337" t="str">
            <v>DOD</v>
          </cell>
          <cell r="M1337" t="str">
            <v>VA</v>
          </cell>
          <cell r="N1337" t="str">
            <v>CONUS</v>
          </cell>
          <cell r="O1337">
            <v>43332</v>
          </cell>
          <cell r="P1337">
            <v>43679</v>
          </cell>
          <cell r="Q1337" t="str">
            <v>Prime</v>
          </cell>
          <cell r="R1337" t="str">
            <v>FFP</v>
          </cell>
          <cell r="S1337">
            <v>0</v>
          </cell>
          <cell r="T1337">
            <v>1</v>
          </cell>
          <cell r="U1337" t="str">
            <v>CONTRACT</v>
          </cell>
          <cell r="V1337" t="str">
            <v>Base</v>
          </cell>
          <cell r="W1337" t="str">
            <v>05 Won</v>
          </cell>
          <cell r="X1337" t="str">
            <v>Active</v>
          </cell>
          <cell r="Y1337">
            <v>1</v>
          </cell>
          <cell r="Z1337">
            <v>0</v>
          </cell>
          <cell r="AA1337">
            <v>5.000583769287914E-7</v>
          </cell>
          <cell r="AB1337">
            <v>14256.5</v>
          </cell>
          <cell r="AC1337">
            <v>0</v>
          </cell>
          <cell r="AD1337">
            <v>14256.500000500058</v>
          </cell>
          <cell r="AL1337">
            <v>0.1789920277158962</v>
          </cell>
          <cell r="AM1337">
            <v>0.18225138618662878</v>
          </cell>
          <cell r="AN1337">
            <v>0.21694438693181589</v>
          </cell>
          <cell r="AO1337">
            <v>1</v>
          </cell>
          <cell r="AP1337">
            <v>0.20468933061450331</v>
          </cell>
          <cell r="AQ1337">
            <v>0.20468933061450331</v>
          </cell>
          <cell r="AR1337">
            <v>0.20468933061450331</v>
          </cell>
          <cell r="AS1337">
            <v>0.20468933061450331</v>
          </cell>
          <cell r="BF1337">
            <v>228664.27000000005</v>
          </cell>
          <cell r="BG1337">
            <v>358793.95000000007</v>
          </cell>
          <cell r="BH1337">
            <v>348753.21</v>
          </cell>
          <cell r="BI1337">
            <v>67634.13</v>
          </cell>
          <cell r="BJ1337">
            <v>0</v>
          </cell>
          <cell r="BK1337">
            <v>4414.16</v>
          </cell>
          <cell r="BL1337">
            <v>0</v>
          </cell>
          <cell r="BM1337">
            <v>72048.290000000008</v>
          </cell>
          <cell r="BN1337">
            <v>0</v>
          </cell>
          <cell r="BO1337">
            <v>0</v>
          </cell>
          <cell r="BP1337">
            <v>0</v>
          </cell>
          <cell r="BQ1337">
            <v>0</v>
          </cell>
          <cell r="BR1337">
            <v>72048.290000000008</v>
          </cell>
          <cell r="BT1337">
            <v>0</v>
          </cell>
          <cell r="CA1337" t="str">
            <v>227607 - CONTRACT - Base</v>
          </cell>
          <cell r="CC1337" t="str">
            <v>227607 - CONTRACT - Base - IS4</v>
          </cell>
          <cell r="CD1337" t="str">
            <v/>
          </cell>
          <cell r="CF1337" t="str">
            <v>227607 - Base - IS4</v>
          </cell>
        </row>
        <row r="1338">
          <cell r="D1338">
            <v>1324</v>
          </cell>
          <cell r="E1338">
            <v>2</v>
          </cell>
          <cell r="F1338">
            <v>4</v>
          </cell>
          <cell r="G1338" t="str">
            <v>227607</v>
          </cell>
          <cell r="H1338" t="str">
            <v>2276.007 - CGLog (TABSS)</v>
          </cell>
          <cell r="I1338" t="str">
            <v>IS4</v>
          </cell>
          <cell r="J1338" t="str">
            <v>IS4 Sustainment Engineering and Acquisition</v>
          </cell>
          <cell r="K1338" t="str">
            <v>Coast Guard</v>
          </cell>
          <cell r="L1338" t="str">
            <v>DOD</v>
          </cell>
          <cell r="M1338" t="str">
            <v>VA</v>
          </cell>
          <cell r="N1338" t="str">
            <v>CONUS</v>
          </cell>
          <cell r="O1338">
            <v>0</v>
          </cell>
          <cell r="P1338">
            <v>0</v>
          </cell>
          <cell r="Q1338">
            <v>0</v>
          </cell>
          <cell r="R1338" t="str">
            <v>FFP</v>
          </cell>
          <cell r="S1338">
            <v>0</v>
          </cell>
          <cell r="T1338">
            <v>1</v>
          </cell>
          <cell r="U1338" t="str">
            <v>CONTRACT</v>
          </cell>
          <cell r="V1338" t="str">
            <v>Identified - Recompete</v>
          </cell>
          <cell r="W1338">
            <v>0</v>
          </cell>
          <cell r="X1338">
            <v>0</v>
          </cell>
          <cell r="Y1338">
            <v>0</v>
          </cell>
          <cell r="Z1338">
            <v>0</v>
          </cell>
          <cell r="AA1338">
            <v>0</v>
          </cell>
          <cell r="AB1338">
            <v>0</v>
          </cell>
          <cell r="AC1338">
            <v>0</v>
          </cell>
          <cell r="AD1338">
            <v>0</v>
          </cell>
          <cell r="AP1338">
            <v>0</v>
          </cell>
          <cell r="AQ1338">
            <v>0</v>
          </cell>
          <cell r="AR1338">
            <v>0</v>
          </cell>
          <cell r="AS1338">
            <v>0</v>
          </cell>
          <cell r="BI1338">
            <v>0</v>
          </cell>
          <cell r="BJ1338">
            <v>0</v>
          </cell>
          <cell r="BK1338">
            <v>0</v>
          </cell>
          <cell r="BL1338">
            <v>0</v>
          </cell>
          <cell r="BM1338">
            <v>0</v>
          </cell>
          <cell r="BN1338">
            <v>0</v>
          </cell>
          <cell r="BO1338">
            <v>0</v>
          </cell>
          <cell r="BP1338">
            <v>0</v>
          </cell>
          <cell r="BQ1338">
            <v>0</v>
          </cell>
          <cell r="BR1338">
            <v>0</v>
          </cell>
          <cell r="BT1338">
            <v>0</v>
          </cell>
          <cell r="CA1338" t="str">
            <v>227607 - CONTRACT - Identified - Recompete</v>
          </cell>
          <cell r="CC1338" t="str">
            <v>227607 - CONTRACT - Identified - Recompete - IS4</v>
          </cell>
          <cell r="CD1338" t="str">
            <v/>
          </cell>
          <cell r="CF1338" t="str">
            <v>227607 - Identified - Recompete - IS4</v>
          </cell>
        </row>
        <row r="1339">
          <cell r="D1339">
            <v>1325</v>
          </cell>
          <cell r="E1339">
            <v>0</v>
          </cell>
          <cell r="F1339">
            <v>5</v>
          </cell>
          <cell r="G1339" t="str">
            <v>227607</v>
          </cell>
          <cell r="H1339" t="str">
            <v>2276.007 - CGLog (TABSS)</v>
          </cell>
          <cell r="I1339" t="str">
            <v>IS4</v>
          </cell>
          <cell r="J1339" t="str">
            <v>IS4 Sustainment Engineering and Acquisition</v>
          </cell>
          <cell r="K1339" t="str">
            <v>Coast Guard</v>
          </cell>
          <cell r="L1339" t="str">
            <v>DOD</v>
          </cell>
          <cell r="M1339" t="str">
            <v>VA</v>
          </cell>
          <cell r="N1339" t="str">
            <v>CONUS</v>
          </cell>
          <cell r="O1339">
            <v>43332</v>
          </cell>
          <cell r="P1339">
            <v>43679</v>
          </cell>
          <cell r="Q1339" t="str">
            <v>Prime</v>
          </cell>
          <cell r="R1339" t="str">
            <v>FFP</v>
          </cell>
          <cell r="S1339">
            <v>0</v>
          </cell>
          <cell r="T1339">
            <v>1</v>
          </cell>
          <cell r="U1339" t="str">
            <v>EBITA</v>
          </cell>
          <cell r="V1339" t="str">
            <v>Base</v>
          </cell>
          <cell r="W1339" t="str">
            <v>05 Won</v>
          </cell>
          <cell r="X1339" t="str">
            <v>Active</v>
          </cell>
          <cell r="Y1339">
            <v>1</v>
          </cell>
          <cell r="Z1339">
            <v>0</v>
          </cell>
          <cell r="AA1339">
            <v>5.000583769287914E-7</v>
          </cell>
          <cell r="AB1339">
            <v>14256.5</v>
          </cell>
          <cell r="AC1339">
            <v>0</v>
          </cell>
          <cell r="AD1339">
            <v>14256.500000500058</v>
          </cell>
          <cell r="AT1339">
            <v>7.0027010023522948E-2</v>
          </cell>
          <cell r="AU1339">
            <v>8.0565182456549478E-2</v>
          </cell>
          <cell r="AV1339">
            <v>0.12376589172211537</v>
          </cell>
          <cell r="AW1339">
            <v>1</v>
          </cell>
          <cell r="AX1339">
            <v>0.10637924343638651</v>
          </cell>
          <cell r="AY1339">
            <v>0.10737924343638651</v>
          </cell>
          <cell r="AZ1339">
            <v>0.10837924343638651</v>
          </cell>
          <cell r="BA1339">
            <v>0.10937924343638651</v>
          </cell>
          <cell r="BF1339">
            <v>89460.270000000019</v>
          </cell>
          <cell r="BG1339">
            <v>158606.75000000006</v>
          </cell>
          <cell r="BH1339">
            <v>198962.29</v>
          </cell>
          <cell r="BI1339">
            <v>67634.13</v>
          </cell>
          <cell r="BJ1339">
            <v>0</v>
          </cell>
          <cell r="BK1339">
            <v>4414.16</v>
          </cell>
          <cell r="BL1339">
            <v>0</v>
          </cell>
          <cell r="BM1339">
            <v>72048.290000000008</v>
          </cell>
          <cell r="BN1339">
            <v>0</v>
          </cell>
          <cell r="BO1339">
            <v>0</v>
          </cell>
          <cell r="BP1339">
            <v>0</v>
          </cell>
          <cell r="BQ1339">
            <v>0</v>
          </cell>
          <cell r="BR1339">
            <v>72048.290000000008</v>
          </cell>
          <cell r="BT1339">
            <v>0</v>
          </cell>
          <cell r="CA1339" t="str">
            <v>227607 - EBITA - Base</v>
          </cell>
          <cell r="CC1339" t="str">
            <v>227607 - EBITA - Base - IS4</v>
          </cell>
          <cell r="CD1339" t="str">
            <v/>
          </cell>
          <cell r="CF1339" t="str">
            <v>227607 - Base - IS4</v>
          </cell>
        </row>
        <row r="1340">
          <cell r="D1340">
            <v>1326</v>
          </cell>
          <cell r="E1340">
            <v>0</v>
          </cell>
          <cell r="F1340">
            <v>0</v>
          </cell>
          <cell r="G1340" t="str">
            <v>227607</v>
          </cell>
          <cell r="H1340" t="str">
            <v>2276.007 - CGLog (TABSS)</v>
          </cell>
          <cell r="I1340" t="str">
            <v>IS4</v>
          </cell>
          <cell r="J1340" t="str">
            <v>IS4 Sustainment Engineering and Acquisition</v>
          </cell>
          <cell r="K1340" t="str">
            <v>Coast Guard</v>
          </cell>
          <cell r="L1340" t="str">
            <v>DOD</v>
          </cell>
          <cell r="M1340" t="str">
            <v>VA</v>
          </cell>
          <cell r="N1340" t="str">
            <v>CONUS</v>
          </cell>
          <cell r="O1340">
            <v>0</v>
          </cell>
          <cell r="P1340">
            <v>0</v>
          </cell>
          <cell r="Q1340">
            <v>0</v>
          </cell>
          <cell r="R1340" t="str">
            <v>FFP</v>
          </cell>
          <cell r="S1340">
            <v>0</v>
          </cell>
          <cell r="T1340">
            <v>1</v>
          </cell>
          <cell r="U1340" t="str">
            <v>EBITA</v>
          </cell>
          <cell r="V1340" t="str">
            <v>Identified - Recompete</v>
          </cell>
          <cell r="W1340">
            <v>0</v>
          </cell>
          <cell r="X1340">
            <v>0</v>
          </cell>
          <cell r="Y1340">
            <v>0</v>
          </cell>
          <cell r="Z1340">
            <v>0</v>
          </cell>
          <cell r="AA1340">
            <v>0</v>
          </cell>
          <cell r="AB1340">
            <v>0</v>
          </cell>
          <cell r="AC1340">
            <v>0</v>
          </cell>
          <cell r="AD1340">
            <v>0</v>
          </cell>
          <cell r="AX1340">
            <v>0</v>
          </cell>
          <cell r="AY1340">
            <v>0</v>
          </cell>
          <cell r="AZ1340">
            <v>0</v>
          </cell>
          <cell r="BA1340">
            <v>0</v>
          </cell>
          <cell r="BI1340">
            <v>0</v>
          </cell>
          <cell r="BJ1340">
            <v>0</v>
          </cell>
          <cell r="BK1340">
            <v>0</v>
          </cell>
          <cell r="BL1340">
            <v>0</v>
          </cell>
          <cell r="BM1340">
            <v>0</v>
          </cell>
          <cell r="BN1340">
            <v>0</v>
          </cell>
          <cell r="BO1340">
            <v>0</v>
          </cell>
          <cell r="BP1340">
            <v>0</v>
          </cell>
          <cell r="BQ1340">
            <v>0</v>
          </cell>
          <cell r="BR1340">
            <v>0</v>
          </cell>
          <cell r="BT1340">
            <v>0</v>
          </cell>
          <cell r="CA1340" t="str">
            <v>227607 - EBITA - Identified - Recompete</v>
          </cell>
          <cell r="CC1340" t="str">
            <v>227607 - EBITA - Identified - Recompete - IS4</v>
          </cell>
          <cell r="CD1340" t="str">
            <v/>
          </cell>
          <cell r="CF1340" t="str">
            <v>227607 - Identified - Recompete - IS4</v>
          </cell>
        </row>
        <row r="1341">
          <cell r="D1341">
            <v>1327</v>
          </cell>
          <cell r="E1341">
            <v>1</v>
          </cell>
          <cell r="F1341">
            <v>1</v>
          </cell>
          <cell r="G1341" t="str">
            <v>AJAX01</v>
          </cell>
          <cell r="H1341" t="str">
            <v>AJAX</v>
          </cell>
          <cell r="I1341" t="str">
            <v>IS4</v>
          </cell>
          <cell r="J1341" t="str">
            <v>IS4 Infrastructure and Engineering</v>
          </cell>
          <cell r="K1341" t="str">
            <v>Classified Agency</v>
          </cell>
          <cell r="L1341" t="str">
            <v>Classified</v>
          </cell>
          <cell r="M1341" t="str">
            <v>Germany</v>
          </cell>
          <cell r="N1341" t="str">
            <v>OCONUS</v>
          </cell>
          <cell r="O1341">
            <v>42898</v>
          </cell>
          <cell r="P1341">
            <v>43701</v>
          </cell>
          <cell r="Q1341" t="str">
            <v>Prime</v>
          </cell>
          <cell r="R1341" t="str">
            <v>FFP</v>
          </cell>
          <cell r="S1341">
            <v>0</v>
          </cell>
          <cell r="T1341">
            <v>1</v>
          </cell>
          <cell r="U1341" t="str">
            <v>REVTOT</v>
          </cell>
          <cell r="V1341" t="str">
            <v>Base</v>
          </cell>
          <cell r="W1341" t="str">
            <v>05 Won</v>
          </cell>
          <cell r="X1341" t="str">
            <v>Active</v>
          </cell>
          <cell r="Y1341">
            <v>1</v>
          </cell>
          <cell r="Z1341">
            <v>0</v>
          </cell>
          <cell r="AA1341">
            <v>7052.9500000000116</v>
          </cell>
          <cell r="AB1341">
            <v>158452.00000000003</v>
          </cell>
          <cell r="AC1341">
            <v>0</v>
          </cell>
          <cell r="AD1341">
            <v>165504.95000000004</v>
          </cell>
          <cell r="AE1341">
            <v>0</v>
          </cell>
          <cell r="AF1341">
            <v>2.8577622152111943</v>
          </cell>
          <cell r="AG1341">
            <v>-6.3604098001806997E-2</v>
          </cell>
          <cell r="AH1341">
            <v>-1</v>
          </cell>
          <cell r="AI1341">
            <v>0</v>
          </cell>
          <cell r="AJ1341">
            <v>0</v>
          </cell>
          <cell r="AK1341">
            <v>0</v>
          </cell>
          <cell r="BB1341">
            <v>0</v>
          </cell>
          <cell r="BC1341">
            <v>0</v>
          </cell>
          <cell r="BD1341">
            <v>0</v>
          </cell>
          <cell r="BE1341">
            <v>0</v>
          </cell>
          <cell r="BF1341">
            <v>0</v>
          </cell>
          <cell r="BG1341">
            <v>38948.159999999996</v>
          </cell>
          <cell r="BH1341">
            <v>150252.74000000002</v>
          </cell>
          <cell r="BI1341">
            <v>38707.25</v>
          </cell>
          <cell r="BJ1341">
            <v>38656.289999999994</v>
          </cell>
          <cell r="BK1341">
            <v>38537.869999999995</v>
          </cell>
          <cell r="BL1341">
            <v>24794.639999999999</v>
          </cell>
          <cell r="BM1341">
            <v>140696.04999999999</v>
          </cell>
          <cell r="BN1341">
            <v>0</v>
          </cell>
          <cell r="BO1341">
            <v>0</v>
          </cell>
          <cell r="BP1341">
            <v>0</v>
          </cell>
          <cell r="BQ1341">
            <v>0</v>
          </cell>
          <cell r="BR1341">
            <v>140696.04999999999</v>
          </cell>
          <cell r="BT1341">
            <v>0</v>
          </cell>
          <cell r="CA1341" t="str">
            <v>AJAX01 - REVTOT - Base</v>
          </cell>
          <cell r="CC1341" t="str">
            <v>AJAX01 - REVTOT - Base - IS4</v>
          </cell>
          <cell r="CD1341" t="str">
            <v/>
          </cell>
          <cell r="CF1341" t="str">
            <v>AJAX01 - Base - IS4</v>
          </cell>
        </row>
        <row r="1342">
          <cell r="D1342">
            <v>1328</v>
          </cell>
          <cell r="E1342">
            <v>1</v>
          </cell>
          <cell r="F1342">
            <v>2</v>
          </cell>
          <cell r="G1342" t="str">
            <v>AJAX01</v>
          </cell>
          <cell r="H1342" t="str">
            <v>AJAX</v>
          </cell>
          <cell r="I1342" t="str">
            <v>IS4</v>
          </cell>
          <cell r="J1342" t="str">
            <v>IS4 Infrastructure and Engineering</v>
          </cell>
          <cell r="K1342" t="str">
            <v>Classified Agency</v>
          </cell>
          <cell r="L1342" t="str">
            <v>Classified</v>
          </cell>
          <cell r="M1342" t="str">
            <v>Germany</v>
          </cell>
          <cell r="N1342" t="str">
            <v>OCONUS</v>
          </cell>
          <cell r="O1342">
            <v>0</v>
          </cell>
          <cell r="P1342">
            <v>0</v>
          </cell>
          <cell r="Q1342">
            <v>0</v>
          </cell>
          <cell r="R1342" t="str">
            <v>FFP</v>
          </cell>
          <cell r="S1342">
            <v>0</v>
          </cell>
          <cell r="T1342">
            <v>1</v>
          </cell>
          <cell r="U1342" t="str">
            <v>REVTOT</v>
          </cell>
          <cell r="V1342" t="str">
            <v>Identified - Recompete</v>
          </cell>
          <cell r="W1342">
            <v>0</v>
          </cell>
          <cell r="X1342">
            <v>0</v>
          </cell>
          <cell r="Y1342">
            <v>0</v>
          </cell>
          <cell r="Z1342">
            <v>0</v>
          </cell>
          <cell r="AA1342">
            <v>0</v>
          </cell>
          <cell r="AB1342">
            <v>0</v>
          </cell>
          <cell r="AC1342">
            <v>0</v>
          </cell>
          <cell r="AD1342">
            <v>0</v>
          </cell>
          <cell r="AI1342">
            <v>0</v>
          </cell>
          <cell r="AJ1342">
            <v>0</v>
          </cell>
          <cell r="AK1342">
            <v>0</v>
          </cell>
          <cell r="BB1342">
            <v>0</v>
          </cell>
          <cell r="BC1342">
            <v>0</v>
          </cell>
          <cell r="BD1342">
            <v>0</v>
          </cell>
          <cell r="BE1342">
            <v>0</v>
          </cell>
          <cell r="BI1342">
            <v>0</v>
          </cell>
          <cell r="BJ1342">
            <v>0</v>
          </cell>
          <cell r="BK1342">
            <v>0</v>
          </cell>
          <cell r="BL1342">
            <v>0</v>
          </cell>
          <cell r="BM1342">
            <v>0</v>
          </cell>
          <cell r="BN1342">
            <v>0</v>
          </cell>
          <cell r="BO1342">
            <v>0</v>
          </cell>
          <cell r="BP1342">
            <v>0</v>
          </cell>
          <cell r="BQ1342">
            <v>0</v>
          </cell>
          <cell r="BR1342">
            <v>0</v>
          </cell>
          <cell r="BT1342">
            <v>0</v>
          </cell>
          <cell r="CA1342" t="str">
            <v>AJAX01 - REVTOT - Identified - Recompete</v>
          </cell>
          <cell r="CC1342" t="str">
            <v>AJAX01 - REVTOT - Identified - Recompete - IS4</v>
          </cell>
          <cell r="CD1342" t="str">
            <v/>
          </cell>
          <cell r="CF1342" t="str">
            <v>AJAX01 - Identified - Recompete - IS4</v>
          </cell>
        </row>
        <row r="1343">
          <cell r="D1343">
            <v>1329</v>
          </cell>
          <cell r="E1343">
            <v>2</v>
          </cell>
          <cell r="F1343">
            <v>3</v>
          </cell>
          <cell r="G1343" t="str">
            <v>AJAX01</v>
          </cell>
          <cell r="H1343" t="str">
            <v>AJAX</v>
          </cell>
          <cell r="I1343" t="str">
            <v>IS4</v>
          </cell>
          <cell r="J1343" t="str">
            <v>IS4 Infrastructure and Engineering</v>
          </cell>
          <cell r="K1343" t="str">
            <v>Classified Agency</v>
          </cell>
          <cell r="L1343" t="str">
            <v>Classified</v>
          </cell>
          <cell r="M1343" t="str">
            <v>Germany</v>
          </cell>
          <cell r="N1343" t="str">
            <v>OCONUS</v>
          </cell>
          <cell r="O1343">
            <v>42898</v>
          </cell>
          <cell r="P1343">
            <v>43701</v>
          </cell>
          <cell r="Q1343" t="str">
            <v>Prime</v>
          </cell>
          <cell r="R1343" t="str">
            <v>FFP</v>
          </cell>
          <cell r="S1343">
            <v>0</v>
          </cell>
          <cell r="T1343">
            <v>1</v>
          </cell>
          <cell r="U1343" t="str">
            <v>CONTRACT</v>
          </cell>
          <cell r="V1343" t="str">
            <v>Base</v>
          </cell>
          <cell r="W1343" t="str">
            <v>05 Won</v>
          </cell>
          <cell r="X1343" t="str">
            <v>Active</v>
          </cell>
          <cell r="Y1343">
            <v>1</v>
          </cell>
          <cell r="Z1343">
            <v>0</v>
          </cell>
          <cell r="AA1343">
            <v>7052.9500000000116</v>
          </cell>
          <cell r="AB1343">
            <v>158452.00000000003</v>
          </cell>
          <cell r="AC1343">
            <v>0</v>
          </cell>
          <cell r="AD1343">
            <v>165504.95000000004</v>
          </cell>
          <cell r="AL1343">
            <v>0</v>
          </cell>
          <cell r="AM1343">
            <v>0.39244087525572446</v>
          </cell>
          <cell r="AN1343">
            <v>0.13098416707741903</v>
          </cell>
          <cell r="AO1343">
            <v>0.20289922851423337</v>
          </cell>
          <cell r="AP1343">
            <v>0.19252284690719326</v>
          </cell>
          <cell r="AQ1343">
            <v>0.19252284690719326</v>
          </cell>
          <cell r="AR1343">
            <v>0.19252284690719326</v>
          </cell>
          <cell r="AS1343">
            <v>0.19252284690719326</v>
          </cell>
          <cell r="BF1343">
            <v>0</v>
          </cell>
          <cell r="BG1343">
            <v>15284.849999999997</v>
          </cell>
          <cell r="BH1343">
            <v>19680.730000000003</v>
          </cell>
          <cell r="BI1343">
            <v>9597.61</v>
          </cell>
          <cell r="BJ1343">
            <v>5409.6499999999978</v>
          </cell>
          <cell r="BK1343">
            <v>7005.8799999999992</v>
          </cell>
          <cell r="BL1343">
            <v>6533.98</v>
          </cell>
          <cell r="BM1343">
            <v>28547.119999999999</v>
          </cell>
          <cell r="BN1343">
            <v>0</v>
          </cell>
          <cell r="BO1343">
            <v>0</v>
          </cell>
          <cell r="BP1343">
            <v>0</v>
          </cell>
          <cell r="BQ1343">
            <v>0</v>
          </cell>
          <cell r="BR1343">
            <v>28547.119999999999</v>
          </cell>
          <cell r="BT1343">
            <v>0</v>
          </cell>
          <cell r="CA1343" t="str">
            <v>AJAX01 - CONTRACT - Base</v>
          </cell>
          <cell r="CC1343" t="str">
            <v>AJAX01 - CONTRACT - Base - IS4</v>
          </cell>
          <cell r="CD1343" t="str">
            <v/>
          </cell>
          <cell r="CF1343" t="str">
            <v>AJAX01 - Base - IS4</v>
          </cell>
        </row>
        <row r="1344">
          <cell r="D1344">
            <v>1330</v>
          </cell>
          <cell r="E1344">
            <v>2</v>
          </cell>
          <cell r="F1344">
            <v>4</v>
          </cell>
          <cell r="G1344" t="str">
            <v>AJAX01</v>
          </cell>
          <cell r="H1344" t="str">
            <v>AJAX</v>
          </cell>
          <cell r="I1344" t="str">
            <v>IS4</v>
          </cell>
          <cell r="J1344" t="str">
            <v>IS4 Infrastructure and Engineering</v>
          </cell>
          <cell r="K1344" t="str">
            <v>Classified Agency</v>
          </cell>
          <cell r="L1344" t="str">
            <v>Classified</v>
          </cell>
          <cell r="M1344" t="str">
            <v>Germany</v>
          </cell>
          <cell r="N1344" t="str">
            <v>OCONUS</v>
          </cell>
          <cell r="O1344">
            <v>0</v>
          </cell>
          <cell r="P1344">
            <v>0</v>
          </cell>
          <cell r="Q1344">
            <v>0</v>
          </cell>
          <cell r="R1344" t="str">
            <v>FFP</v>
          </cell>
          <cell r="S1344">
            <v>0</v>
          </cell>
          <cell r="T1344">
            <v>1</v>
          </cell>
          <cell r="U1344" t="str">
            <v>CONTRACT</v>
          </cell>
          <cell r="V1344" t="str">
            <v>Identified - Recompete</v>
          </cell>
          <cell r="W1344">
            <v>0</v>
          </cell>
          <cell r="X1344">
            <v>0</v>
          </cell>
          <cell r="Y1344">
            <v>0</v>
          </cell>
          <cell r="Z1344">
            <v>0</v>
          </cell>
          <cell r="AA1344">
            <v>0</v>
          </cell>
          <cell r="AB1344">
            <v>0</v>
          </cell>
          <cell r="AC1344">
            <v>0</v>
          </cell>
          <cell r="AD1344">
            <v>0</v>
          </cell>
          <cell r="AP1344">
            <v>0</v>
          </cell>
          <cell r="AQ1344">
            <v>0</v>
          </cell>
          <cell r="AR1344">
            <v>0</v>
          </cell>
          <cell r="AS1344">
            <v>0</v>
          </cell>
          <cell r="BI1344">
            <v>0</v>
          </cell>
          <cell r="BJ1344">
            <v>0</v>
          </cell>
          <cell r="BK1344">
            <v>0</v>
          </cell>
          <cell r="BL1344">
            <v>0</v>
          </cell>
          <cell r="BM1344">
            <v>0</v>
          </cell>
          <cell r="BN1344">
            <v>0</v>
          </cell>
          <cell r="BO1344">
            <v>0</v>
          </cell>
          <cell r="BP1344">
            <v>0</v>
          </cell>
          <cell r="BQ1344">
            <v>0</v>
          </cell>
          <cell r="BR1344">
            <v>0</v>
          </cell>
          <cell r="BT1344">
            <v>0</v>
          </cell>
          <cell r="CA1344" t="str">
            <v>AJAX01 - CONTRACT - Identified - Recompete</v>
          </cell>
          <cell r="CC1344" t="str">
            <v>AJAX01 - CONTRACT - Identified - Recompete - IS4</v>
          </cell>
          <cell r="CD1344" t="str">
            <v/>
          </cell>
          <cell r="CF1344" t="str">
            <v>AJAX01 - Identified - Recompete - IS4</v>
          </cell>
        </row>
        <row r="1345">
          <cell r="D1345">
            <v>1331</v>
          </cell>
          <cell r="E1345">
            <v>0</v>
          </cell>
          <cell r="F1345">
            <v>5</v>
          </cell>
          <cell r="G1345" t="str">
            <v>AJAX01</v>
          </cell>
          <cell r="H1345" t="str">
            <v>AJAX</v>
          </cell>
          <cell r="I1345" t="str">
            <v>IS4</v>
          </cell>
          <cell r="J1345" t="str">
            <v>IS4 Infrastructure and Engineering</v>
          </cell>
          <cell r="K1345" t="str">
            <v>Classified Agency</v>
          </cell>
          <cell r="L1345" t="str">
            <v>Classified</v>
          </cell>
          <cell r="M1345" t="str">
            <v>Germany</v>
          </cell>
          <cell r="N1345" t="str">
            <v>OCONUS</v>
          </cell>
          <cell r="O1345">
            <v>42898</v>
          </cell>
          <cell r="P1345">
            <v>43701</v>
          </cell>
          <cell r="Q1345" t="str">
            <v>Prime</v>
          </cell>
          <cell r="R1345" t="str">
            <v>FFP</v>
          </cell>
          <cell r="S1345">
            <v>0</v>
          </cell>
          <cell r="T1345">
            <v>1</v>
          </cell>
          <cell r="U1345" t="str">
            <v>EBITA</v>
          </cell>
          <cell r="V1345" t="str">
            <v>Base</v>
          </cell>
          <cell r="W1345" t="str">
            <v>05 Won</v>
          </cell>
          <cell r="X1345" t="str">
            <v>Active</v>
          </cell>
          <cell r="Y1345">
            <v>1</v>
          </cell>
          <cell r="Z1345">
            <v>0</v>
          </cell>
          <cell r="AA1345">
            <v>7052.9500000000116</v>
          </cell>
          <cell r="AB1345">
            <v>158452.00000000003</v>
          </cell>
          <cell r="AC1345">
            <v>0</v>
          </cell>
          <cell r="AD1345">
            <v>165504.95000000004</v>
          </cell>
          <cell r="AT1345">
            <v>0</v>
          </cell>
          <cell r="AU1345">
            <v>0.32537968417506757</v>
          </cell>
          <cell r="AV1345">
            <v>5.0846260773680381E-2</v>
          </cell>
          <cell r="AW1345">
            <v>0.1216379564316127</v>
          </cell>
          <cell r="AX1345">
            <v>0.114449699974492</v>
          </cell>
          <cell r="AY1345">
            <v>0.115449699974492</v>
          </cell>
          <cell r="AZ1345">
            <v>0.116449699974492</v>
          </cell>
          <cell r="BA1345">
            <v>0.11744969997449201</v>
          </cell>
          <cell r="BF1345">
            <v>0</v>
          </cell>
          <cell r="BG1345">
            <v>12672.939999999999</v>
          </cell>
          <cell r="BH1345">
            <v>7639.7899999999981</v>
          </cell>
          <cell r="BI1345">
            <v>6544.7200000000012</v>
          </cell>
          <cell r="BJ1345">
            <v>2053.6899999999978</v>
          </cell>
          <cell r="BK1345">
            <v>3765.0699999999993</v>
          </cell>
          <cell r="BL1345">
            <v>4750.5</v>
          </cell>
          <cell r="BM1345">
            <v>17113.98</v>
          </cell>
          <cell r="BN1345">
            <v>0</v>
          </cell>
          <cell r="BO1345">
            <v>0</v>
          </cell>
          <cell r="BP1345">
            <v>0</v>
          </cell>
          <cell r="BQ1345">
            <v>0</v>
          </cell>
          <cell r="BR1345">
            <v>17113.98</v>
          </cell>
          <cell r="BT1345">
            <v>0</v>
          </cell>
          <cell r="CA1345" t="str">
            <v>AJAX01 - EBITA - Base</v>
          </cell>
          <cell r="CC1345" t="str">
            <v>AJAX01 - EBITA - Base - IS4</v>
          </cell>
          <cell r="CD1345" t="str">
            <v/>
          </cell>
          <cell r="CF1345" t="str">
            <v>AJAX01 - Base - IS4</v>
          </cell>
        </row>
        <row r="1346">
          <cell r="D1346">
            <v>1332</v>
          </cell>
          <cell r="E1346">
            <v>0</v>
          </cell>
          <cell r="F1346">
            <v>0</v>
          </cell>
          <cell r="G1346" t="str">
            <v>AJAX01</v>
          </cell>
          <cell r="H1346" t="str">
            <v>AJAX</v>
          </cell>
          <cell r="I1346" t="str">
            <v>IS4</v>
          </cell>
          <cell r="J1346" t="str">
            <v>IS4 Infrastructure and Engineering</v>
          </cell>
          <cell r="K1346" t="str">
            <v>Classified Agency</v>
          </cell>
          <cell r="L1346" t="str">
            <v>Classified</v>
          </cell>
          <cell r="M1346" t="str">
            <v>Germany</v>
          </cell>
          <cell r="N1346" t="str">
            <v>OCONUS</v>
          </cell>
          <cell r="O1346">
            <v>0</v>
          </cell>
          <cell r="P1346">
            <v>0</v>
          </cell>
          <cell r="Q1346">
            <v>0</v>
          </cell>
          <cell r="R1346" t="str">
            <v>FFP</v>
          </cell>
          <cell r="S1346">
            <v>0</v>
          </cell>
          <cell r="T1346">
            <v>1</v>
          </cell>
          <cell r="U1346" t="str">
            <v>EBITA</v>
          </cell>
          <cell r="V1346" t="str">
            <v>Identified - Recompete</v>
          </cell>
          <cell r="W1346">
            <v>0</v>
          </cell>
          <cell r="X1346">
            <v>0</v>
          </cell>
          <cell r="Y1346">
            <v>0</v>
          </cell>
          <cell r="Z1346">
            <v>0</v>
          </cell>
          <cell r="AA1346">
            <v>0</v>
          </cell>
          <cell r="AB1346">
            <v>0</v>
          </cell>
          <cell r="AC1346">
            <v>0</v>
          </cell>
          <cell r="AD1346">
            <v>0</v>
          </cell>
          <cell r="AX1346">
            <v>0</v>
          </cell>
          <cell r="AY1346">
            <v>0</v>
          </cell>
          <cell r="AZ1346">
            <v>0</v>
          </cell>
          <cell r="BA1346">
            <v>0</v>
          </cell>
          <cell r="BI1346">
            <v>0</v>
          </cell>
          <cell r="BJ1346">
            <v>0</v>
          </cell>
          <cell r="BK1346">
            <v>0</v>
          </cell>
          <cell r="BL1346">
            <v>0</v>
          </cell>
          <cell r="BM1346">
            <v>0</v>
          </cell>
          <cell r="BN1346">
            <v>0</v>
          </cell>
          <cell r="BO1346">
            <v>0</v>
          </cell>
          <cell r="BP1346">
            <v>0</v>
          </cell>
          <cell r="BQ1346">
            <v>0</v>
          </cell>
          <cell r="BR1346">
            <v>0</v>
          </cell>
          <cell r="BT1346">
            <v>0</v>
          </cell>
          <cell r="CA1346" t="str">
            <v>AJAX01 - EBITA - Identified - Recompete</v>
          </cell>
          <cell r="CC1346" t="str">
            <v>AJAX01 - EBITA - Identified - Recompete - IS4</v>
          </cell>
          <cell r="CD1346" t="str">
            <v/>
          </cell>
          <cell r="CF1346" t="str">
            <v>AJAX01 - Identified - Recompete - IS4</v>
          </cell>
        </row>
        <row r="1347">
          <cell r="D1347">
            <v>1333</v>
          </cell>
          <cell r="E1347">
            <v>1</v>
          </cell>
          <cell r="F1347">
            <v>1</v>
          </cell>
          <cell r="G1347" t="str">
            <v>001753</v>
          </cell>
          <cell r="H1347" t="str">
            <v>TSS Task Orders</v>
          </cell>
          <cell r="I1347" t="str">
            <v>IS4</v>
          </cell>
          <cell r="J1347" t="str">
            <v>IS4 Sustainment Engineering and Acquisition</v>
          </cell>
          <cell r="K1347" t="str">
            <v>Army</v>
          </cell>
          <cell r="L1347" t="str">
            <v>DOD</v>
          </cell>
          <cell r="M1347" t="str">
            <v>VA</v>
          </cell>
          <cell r="N1347" t="str">
            <v>CONUS</v>
          </cell>
          <cell r="O1347">
            <v>42898</v>
          </cell>
          <cell r="P1347">
            <v>43701</v>
          </cell>
          <cell r="Q1347" t="str">
            <v>Prime</v>
          </cell>
          <cell r="R1347" t="str">
            <v>FFP</v>
          </cell>
          <cell r="S1347">
            <v>0</v>
          </cell>
          <cell r="T1347">
            <v>1</v>
          </cell>
          <cell r="U1347" t="str">
            <v>REVTOT</v>
          </cell>
          <cell r="V1347" t="str">
            <v>Base</v>
          </cell>
          <cell r="W1347" t="str">
            <v>05 Won</v>
          </cell>
          <cell r="X1347" t="str">
            <v>Active</v>
          </cell>
          <cell r="Y1347">
            <v>1</v>
          </cell>
          <cell r="Z1347">
            <v>0</v>
          </cell>
          <cell r="AA1347">
            <v>38004.689999999835</v>
          </cell>
          <cell r="AB1347">
            <v>0</v>
          </cell>
          <cell r="AC1347">
            <v>0</v>
          </cell>
          <cell r="AD1347">
            <v>38004.689999999835</v>
          </cell>
          <cell r="AE1347">
            <v>9.2015744180403702E-2</v>
          </cell>
          <cell r="AF1347">
            <v>-0.50452973437482507</v>
          </cell>
          <cell r="AG1347">
            <v>-0.88770182604492631</v>
          </cell>
          <cell r="AH1347">
            <v>-1</v>
          </cell>
          <cell r="AI1347">
            <v>0</v>
          </cell>
          <cell r="AJ1347">
            <v>0</v>
          </cell>
          <cell r="AK1347">
            <v>0</v>
          </cell>
          <cell r="BB1347">
            <v>0</v>
          </cell>
          <cell r="BC1347">
            <v>0</v>
          </cell>
          <cell r="BD1347">
            <v>0</v>
          </cell>
          <cell r="BE1347">
            <v>0</v>
          </cell>
          <cell r="BF1347">
            <v>908914.89</v>
          </cell>
          <cell r="BG1347">
            <v>992549.36999999988</v>
          </cell>
          <cell r="BH1347">
            <v>491778.69999999995</v>
          </cell>
          <cell r="BI1347">
            <v>55225.85</v>
          </cell>
          <cell r="BJ1347">
            <v>0</v>
          </cell>
          <cell r="BK1347">
            <v>0</v>
          </cell>
          <cell r="BL1347">
            <v>0</v>
          </cell>
          <cell r="BM1347">
            <v>55225.85</v>
          </cell>
          <cell r="BN1347">
            <v>0</v>
          </cell>
          <cell r="BO1347">
            <v>0</v>
          </cell>
          <cell r="BP1347">
            <v>0</v>
          </cell>
          <cell r="BQ1347">
            <v>0</v>
          </cell>
          <cell r="BR1347">
            <v>55225.85</v>
          </cell>
          <cell r="BT1347">
            <v>0</v>
          </cell>
          <cell r="CA1347" t="str">
            <v>001753 - REVTOT - Base</v>
          </cell>
          <cell r="CC1347" t="str">
            <v>001753 - REVTOT - Base - IS4</v>
          </cell>
          <cell r="CD1347" t="str">
            <v/>
          </cell>
          <cell r="CF1347" t="str">
            <v>001753 - Base - IS4</v>
          </cell>
        </row>
        <row r="1348">
          <cell r="D1348">
            <v>1334</v>
          </cell>
          <cell r="E1348">
            <v>1</v>
          </cell>
          <cell r="F1348">
            <v>2</v>
          </cell>
          <cell r="G1348" t="str">
            <v>001753</v>
          </cell>
          <cell r="H1348" t="str">
            <v>TSS Task Orders</v>
          </cell>
          <cell r="I1348" t="str">
            <v>IS4</v>
          </cell>
          <cell r="J1348" t="str">
            <v>IS4 Sustainment Engineering and Acquisition</v>
          </cell>
          <cell r="K1348" t="str">
            <v>Army</v>
          </cell>
          <cell r="L1348" t="str">
            <v>DOD</v>
          </cell>
          <cell r="M1348" t="str">
            <v>VA</v>
          </cell>
          <cell r="N1348" t="str">
            <v>CONUS</v>
          </cell>
          <cell r="O1348">
            <v>0</v>
          </cell>
          <cell r="P1348">
            <v>0</v>
          </cell>
          <cell r="Q1348">
            <v>0</v>
          </cell>
          <cell r="R1348" t="str">
            <v>FFP</v>
          </cell>
          <cell r="S1348">
            <v>0</v>
          </cell>
          <cell r="T1348">
            <v>1</v>
          </cell>
          <cell r="U1348" t="str">
            <v>REVTOT</v>
          </cell>
          <cell r="V1348" t="str">
            <v>Identified - Recompete</v>
          </cell>
          <cell r="W1348">
            <v>0</v>
          </cell>
          <cell r="X1348">
            <v>0</v>
          </cell>
          <cell r="Y1348">
            <v>0</v>
          </cell>
          <cell r="Z1348">
            <v>0</v>
          </cell>
          <cell r="AA1348">
            <v>0</v>
          </cell>
          <cell r="AB1348">
            <v>0</v>
          </cell>
          <cell r="AC1348">
            <v>0</v>
          </cell>
          <cell r="AD1348">
            <v>0</v>
          </cell>
          <cell r="AI1348">
            <v>0</v>
          </cell>
          <cell r="AJ1348">
            <v>0</v>
          </cell>
          <cell r="AK1348">
            <v>0</v>
          </cell>
          <cell r="BB1348">
            <v>0</v>
          </cell>
          <cell r="BC1348">
            <v>0</v>
          </cell>
          <cell r="BD1348">
            <v>0</v>
          </cell>
          <cell r="BE1348">
            <v>0</v>
          </cell>
          <cell r="BI1348">
            <v>0</v>
          </cell>
          <cell r="BJ1348">
            <v>0</v>
          </cell>
          <cell r="BK1348">
            <v>0</v>
          </cell>
          <cell r="BL1348">
            <v>0</v>
          </cell>
          <cell r="BM1348">
            <v>0</v>
          </cell>
          <cell r="BN1348">
            <v>0</v>
          </cell>
          <cell r="BO1348">
            <v>0</v>
          </cell>
          <cell r="BP1348">
            <v>0</v>
          </cell>
          <cell r="BQ1348">
            <v>0</v>
          </cell>
          <cell r="BR1348">
            <v>0</v>
          </cell>
          <cell r="BT1348">
            <v>0</v>
          </cell>
          <cell r="CA1348" t="str">
            <v>001753 - REVTOT - Identified - Recompete</v>
          </cell>
          <cell r="CC1348" t="str">
            <v>001753 - REVTOT - Identified - Recompete - IS4</v>
          </cell>
          <cell r="CD1348" t="str">
            <v/>
          </cell>
          <cell r="CF1348" t="str">
            <v>001753 - Identified - Recompete - IS4</v>
          </cell>
        </row>
        <row r="1349">
          <cell r="D1349">
            <v>1335</v>
          </cell>
          <cell r="E1349">
            <v>2</v>
          </cell>
          <cell r="F1349">
            <v>3</v>
          </cell>
          <cell r="G1349" t="str">
            <v>001753</v>
          </cell>
          <cell r="H1349" t="str">
            <v>TSS Task Orders</v>
          </cell>
          <cell r="I1349" t="str">
            <v>IS4</v>
          </cell>
          <cell r="J1349" t="str">
            <v>IS4 Sustainment Engineering and Acquisition</v>
          </cell>
          <cell r="K1349" t="str">
            <v>Army</v>
          </cell>
          <cell r="L1349" t="str">
            <v>DOD</v>
          </cell>
          <cell r="M1349" t="str">
            <v>VA</v>
          </cell>
          <cell r="N1349" t="str">
            <v>CONUS</v>
          </cell>
          <cell r="O1349">
            <v>42898</v>
          </cell>
          <cell r="P1349">
            <v>43701</v>
          </cell>
          <cell r="Q1349" t="str">
            <v>Prime</v>
          </cell>
          <cell r="R1349" t="str">
            <v>FFP</v>
          </cell>
          <cell r="S1349">
            <v>0</v>
          </cell>
          <cell r="T1349">
            <v>1</v>
          </cell>
          <cell r="U1349" t="str">
            <v>CONTRACT</v>
          </cell>
          <cell r="V1349" t="str">
            <v>Base</v>
          </cell>
          <cell r="W1349" t="str">
            <v>05 Won</v>
          </cell>
          <cell r="X1349" t="str">
            <v>Active</v>
          </cell>
          <cell r="Y1349">
            <v>1</v>
          </cell>
          <cell r="Z1349">
            <v>0</v>
          </cell>
          <cell r="AA1349">
            <v>38004.689999999835</v>
          </cell>
          <cell r="AB1349">
            <v>0</v>
          </cell>
          <cell r="AC1349">
            <v>0</v>
          </cell>
          <cell r="AD1349">
            <v>38004.689999999835</v>
          </cell>
          <cell r="AL1349">
            <v>4.2767590703679657E-2</v>
          </cell>
          <cell r="AM1349">
            <v>0.12178954886647106</v>
          </cell>
          <cell r="AN1349">
            <v>9.7961156105378339E-2</v>
          </cell>
          <cell r="AO1349">
            <v>1</v>
          </cell>
          <cell r="AP1349">
            <v>0.10747749733434425</v>
          </cell>
          <cell r="AQ1349">
            <v>0.10747749733434425</v>
          </cell>
          <cell r="AR1349">
            <v>0.10747749733434425</v>
          </cell>
          <cell r="AS1349">
            <v>0.10747749733434425</v>
          </cell>
          <cell r="BF1349">
            <v>38872.10000000002</v>
          </cell>
          <cell r="BG1349">
            <v>120882.14000000004</v>
          </cell>
          <cell r="BH1349">
            <v>48175.210000000021</v>
          </cell>
          <cell r="BI1349">
            <v>55225.85</v>
          </cell>
          <cell r="BJ1349">
            <v>0</v>
          </cell>
          <cell r="BK1349">
            <v>0</v>
          </cell>
          <cell r="BL1349">
            <v>0</v>
          </cell>
          <cell r="BM1349">
            <v>55225.85</v>
          </cell>
          <cell r="BN1349">
            <v>0</v>
          </cell>
          <cell r="BO1349">
            <v>0</v>
          </cell>
          <cell r="BP1349">
            <v>0</v>
          </cell>
          <cell r="BQ1349">
            <v>0</v>
          </cell>
          <cell r="BR1349">
            <v>55225.85</v>
          </cell>
          <cell r="BT1349">
            <v>0</v>
          </cell>
          <cell r="CA1349" t="str">
            <v>001753 - CONTRACT - Base</v>
          </cell>
          <cell r="CC1349" t="str">
            <v>001753 - CONTRACT - Base - IS4</v>
          </cell>
          <cell r="CD1349" t="str">
            <v/>
          </cell>
          <cell r="CF1349" t="str">
            <v>001753 - Base - IS4</v>
          </cell>
        </row>
        <row r="1350">
          <cell r="D1350">
            <v>1336</v>
          </cell>
          <cell r="E1350">
            <v>2</v>
          </cell>
          <cell r="F1350">
            <v>4</v>
          </cell>
          <cell r="G1350" t="str">
            <v>001753</v>
          </cell>
          <cell r="H1350" t="str">
            <v>TSS Task Orders</v>
          </cell>
          <cell r="I1350" t="str">
            <v>IS4</v>
          </cell>
          <cell r="J1350" t="str">
            <v>IS4 Sustainment Engineering and Acquisition</v>
          </cell>
          <cell r="K1350" t="str">
            <v>Army</v>
          </cell>
          <cell r="L1350" t="str">
            <v>DOD</v>
          </cell>
          <cell r="M1350" t="str">
            <v>VA</v>
          </cell>
          <cell r="N1350" t="str">
            <v>CONUS</v>
          </cell>
          <cell r="O1350">
            <v>0</v>
          </cell>
          <cell r="P1350">
            <v>0</v>
          </cell>
          <cell r="Q1350">
            <v>0</v>
          </cell>
          <cell r="R1350" t="str">
            <v>FFP</v>
          </cell>
          <cell r="S1350">
            <v>0</v>
          </cell>
          <cell r="T1350">
            <v>1</v>
          </cell>
          <cell r="U1350" t="str">
            <v>CONTRACT</v>
          </cell>
          <cell r="V1350" t="str">
            <v>Identified - Recompete</v>
          </cell>
          <cell r="W1350">
            <v>0</v>
          </cell>
          <cell r="X1350">
            <v>0</v>
          </cell>
          <cell r="Y1350">
            <v>0</v>
          </cell>
          <cell r="Z1350">
            <v>0</v>
          </cell>
          <cell r="AA1350">
            <v>0</v>
          </cell>
          <cell r="AB1350">
            <v>0</v>
          </cell>
          <cell r="AC1350">
            <v>0</v>
          </cell>
          <cell r="AD1350">
            <v>0</v>
          </cell>
          <cell r="AP1350">
            <v>0</v>
          </cell>
          <cell r="AQ1350">
            <v>0</v>
          </cell>
          <cell r="AR1350">
            <v>0</v>
          </cell>
          <cell r="AS1350">
            <v>0</v>
          </cell>
          <cell r="BI1350">
            <v>0</v>
          </cell>
          <cell r="BJ1350">
            <v>0</v>
          </cell>
          <cell r="BK1350">
            <v>0</v>
          </cell>
          <cell r="BL1350">
            <v>0</v>
          </cell>
          <cell r="BM1350">
            <v>0</v>
          </cell>
          <cell r="BN1350">
            <v>0</v>
          </cell>
          <cell r="BO1350">
            <v>0</v>
          </cell>
          <cell r="BP1350">
            <v>0</v>
          </cell>
          <cell r="BQ1350">
            <v>0</v>
          </cell>
          <cell r="BR1350">
            <v>0</v>
          </cell>
          <cell r="BT1350">
            <v>0</v>
          </cell>
          <cell r="CA1350" t="str">
            <v>001753 - CONTRACT - Identified - Recompete</v>
          </cell>
          <cell r="CC1350" t="str">
            <v>001753 - CONTRACT - Identified - Recompete - IS4</v>
          </cell>
          <cell r="CD1350" t="str">
            <v/>
          </cell>
          <cell r="CF1350" t="str">
            <v>001753 - Identified - Recompete - IS4</v>
          </cell>
        </row>
        <row r="1351">
          <cell r="D1351">
            <v>1337</v>
          </cell>
          <cell r="E1351">
            <v>0</v>
          </cell>
          <cell r="F1351">
            <v>5</v>
          </cell>
          <cell r="G1351" t="str">
            <v>001753</v>
          </cell>
          <cell r="H1351" t="str">
            <v>TSS Task Orders</v>
          </cell>
          <cell r="I1351" t="str">
            <v>IS4</v>
          </cell>
          <cell r="J1351" t="str">
            <v>IS4 Sustainment Engineering and Acquisition</v>
          </cell>
          <cell r="K1351" t="str">
            <v>Army</v>
          </cell>
          <cell r="L1351" t="str">
            <v>DOD</v>
          </cell>
          <cell r="M1351" t="str">
            <v>VA</v>
          </cell>
          <cell r="N1351" t="str">
            <v>CONUS</v>
          </cell>
          <cell r="O1351">
            <v>42898</v>
          </cell>
          <cell r="P1351">
            <v>43701</v>
          </cell>
          <cell r="Q1351" t="str">
            <v>Prime</v>
          </cell>
          <cell r="R1351" t="str">
            <v>FFP</v>
          </cell>
          <cell r="S1351">
            <v>0</v>
          </cell>
          <cell r="T1351">
            <v>1</v>
          </cell>
          <cell r="U1351" t="str">
            <v>EBITA</v>
          </cell>
          <cell r="V1351" t="str">
            <v>Base</v>
          </cell>
          <cell r="W1351" t="str">
            <v>05 Won</v>
          </cell>
          <cell r="X1351" t="str">
            <v>Active</v>
          </cell>
          <cell r="Y1351">
            <v>1</v>
          </cell>
          <cell r="Z1351">
            <v>0</v>
          </cell>
          <cell r="AA1351">
            <v>38004.689999999835</v>
          </cell>
          <cell r="AB1351">
            <v>0</v>
          </cell>
          <cell r="AC1351">
            <v>0</v>
          </cell>
          <cell r="AD1351">
            <v>38004.689999999835</v>
          </cell>
          <cell r="AT1351">
            <v>-3.0313487327729864E-2</v>
          </cell>
          <cell r="AU1351">
            <v>2.405933721966904E-2</v>
          </cell>
          <cell r="AV1351">
            <v>7.9747455512001984E-3</v>
          </cell>
          <cell r="AW1351">
            <v>1</v>
          </cell>
          <cell r="AX1351">
            <v>2.3657164254422373E-2</v>
          </cell>
          <cell r="AY1351">
            <v>2.4657164254422374E-2</v>
          </cell>
          <cell r="AZ1351">
            <v>2.5657164254422375E-2</v>
          </cell>
          <cell r="BA1351">
            <v>2.6657164254422376E-2</v>
          </cell>
          <cell r="BF1351">
            <v>-27552.379999999983</v>
          </cell>
          <cell r="BG1351">
            <v>23880.080000000053</v>
          </cell>
          <cell r="BH1351">
            <v>3921.8100000000168</v>
          </cell>
          <cell r="BI1351">
            <v>55225.85</v>
          </cell>
          <cell r="BJ1351">
            <v>0</v>
          </cell>
          <cell r="BK1351">
            <v>0</v>
          </cell>
          <cell r="BL1351">
            <v>0</v>
          </cell>
          <cell r="BM1351">
            <v>55225.85</v>
          </cell>
          <cell r="BN1351">
            <v>0</v>
          </cell>
          <cell r="BO1351">
            <v>0</v>
          </cell>
          <cell r="BP1351">
            <v>0</v>
          </cell>
          <cell r="BQ1351">
            <v>0</v>
          </cell>
          <cell r="BR1351">
            <v>55225.85</v>
          </cell>
          <cell r="BT1351">
            <v>0</v>
          </cell>
          <cell r="CA1351" t="str">
            <v>001753 - EBITA - Base</v>
          </cell>
          <cell r="CC1351" t="str">
            <v>001753 - EBITA - Base - IS4</v>
          </cell>
          <cell r="CD1351" t="str">
            <v/>
          </cell>
          <cell r="CF1351" t="str">
            <v>001753 - Base - IS4</v>
          </cell>
        </row>
        <row r="1352">
          <cell r="D1352">
            <v>1338</v>
          </cell>
          <cell r="E1352">
            <v>0</v>
          </cell>
          <cell r="F1352">
            <v>0</v>
          </cell>
          <cell r="G1352" t="str">
            <v>001753</v>
          </cell>
          <cell r="H1352" t="str">
            <v>TSS Task Orders</v>
          </cell>
          <cell r="I1352" t="str">
            <v>IS4</v>
          </cell>
          <cell r="J1352" t="str">
            <v>IS4 Sustainment Engineering and Acquisition</v>
          </cell>
          <cell r="K1352" t="str">
            <v>Army</v>
          </cell>
          <cell r="L1352" t="str">
            <v>DOD</v>
          </cell>
          <cell r="M1352" t="str">
            <v>VA</v>
          </cell>
          <cell r="N1352" t="str">
            <v>CONUS</v>
          </cell>
          <cell r="O1352">
            <v>0</v>
          </cell>
          <cell r="P1352">
            <v>0</v>
          </cell>
          <cell r="Q1352">
            <v>0</v>
          </cell>
          <cell r="R1352" t="str">
            <v>FFP</v>
          </cell>
          <cell r="S1352">
            <v>0</v>
          </cell>
          <cell r="T1352">
            <v>1</v>
          </cell>
          <cell r="U1352" t="str">
            <v>EBITA</v>
          </cell>
          <cell r="V1352" t="str">
            <v>Identified - Recompete</v>
          </cell>
          <cell r="W1352">
            <v>0</v>
          </cell>
          <cell r="X1352">
            <v>0</v>
          </cell>
          <cell r="Y1352">
            <v>0</v>
          </cell>
          <cell r="Z1352">
            <v>0</v>
          </cell>
          <cell r="AA1352">
            <v>0</v>
          </cell>
          <cell r="AB1352">
            <v>0</v>
          </cell>
          <cell r="AC1352">
            <v>0</v>
          </cell>
          <cell r="AD1352">
            <v>0</v>
          </cell>
          <cell r="AX1352">
            <v>0</v>
          </cell>
          <cell r="AY1352">
            <v>0</v>
          </cell>
          <cell r="AZ1352">
            <v>0</v>
          </cell>
          <cell r="BA1352">
            <v>0</v>
          </cell>
          <cell r="BI1352">
            <v>0</v>
          </cell>
          <cell r="BJ1352">
            <v>0</v>
          </cell>
          <cell r="BK1352">
            <v>0</v>
          </cell>
          <cell r="BL1352">
            <v>0</v>
          </cell>
          <cell r="BM1352">
            <v>0</v>
          </cell>
          <cell r="BN1352">
            <v>0</v>
          </cell>
          <cell r="BO1352">
            <v>0</v>
          </cell>
          <cell r="BP1352">
            <v>0</v>
          </cell>
          <cell r="BQ1352">
            <v>0</v>
          </cell>
          <cell r="BR1352">
            <v>0</v>
          </cell>
          <cell r="BT1352">
            <v>0</v>
          </cell>
          <cell r="CA1352" t="str">
            <v>001753 - EBITA - Identified - Recompete</v>
          </cell>
          <cell r="CC1352" t="str">
            <v>001753 - EBITA - Identified - Recompete - IS4</v>
          </cell>
          <cell r="CD1352" t="str">
            <v/>
          </cell>
          <cell r="CF1352" t="str">
            <v>001753 - Identified - Recompete - IS4</v>
          </cell>
        </row>
        <row r="1353">
          <cell r="D1353">
            <v>1339</v>
          </cell>
          <cell r="E1353">
            <v>1</v>
          </cell>
          <cell r="F1353">
            <v>1</v>
          </cell>
          <cell r="G1353" t="str">
            <v>CP3015</v>
          </cell>
          <cell r="H1353" t="str">
            <v>MCC Design</v>
          </cell>
          <cell r="I1353" t="str">
            <v>IS4</v>
          </cell>
          <cell r="J1353" t="str">
            <v>IS4 Global Mission Solutions</v>
          </cell>
          <cell r="K1353" t="str">
            <v>Classified Agency</v>
          </cell>
          <cell r="L1353" t="str">
            <v>Classified</v>
          </cell>
          <cell r="M1353" t="str">
            <v>MD</v>
          </cell>
          <cell r="N1353" t="str">
            <v>CONUS</v>
          </cell>
          <cell r="O1353">
            <v>42898</v>
          </cell>
          <cell r="P1353">
            <v>43701</v>
          </cell>
          <cell r="Q1353" t="str">
            <v>Sub</v>
          </cell>
          <cell r="R1353" t="str">
            <v>FFP</v>
          </cell>
          <cell r="S1353">
            <v>0</v>
          </cell>
          <cell r="T1353">
            <v>1</v>
          </cell>
          <cell r="U1353" t="str">
            <v>REVTOT</v>
          </cell>
          <cell r="V1353" t="str">
            <v>Base</v>
          </cell>
          <cell r="W1353" t="str">
            <v>05 Won</v>
          </cell>
          <cell r="X1353" t="str">
            <v>Active</v>
          </cell>
          <cell r="Y1353">
            <v>1</v>
          </cell>
          <cell r="Z1353">
            <v>0</v>
          </cell>
          <cell r="AA1353">
            <v>90915.413671999908</v>
          </cell>
          <cell r="AB1353">
            <v>0</v>
          </cell>
          <cell r="AC1353">
            <v>0</v>
          </cell>
          <cell r="AD1353">
            <v>90915.413671999908</v>
          </cell>
          <cell r="AE1353">
            <v>-0.74926203634111799</v>
          </cell>
          <cell r="AF1353">
            <v>-0.79225319862502941</v>
          </cell>
          <cell r="AG1353">
            <v>3.0710810922022675</v>
          </cell>
          <cell r="AH1353">
            <v>-1</v>
          </cell>
          <cell r="AI1353">
            <v>0</v>
          </cell>
          <cell r="AJ1353">
            <v>0</v>
          </cell>
          <cell r="AK1353">
            <v>0</v>
          </cell>
          <cell r="BB1353">
            <v>0</v>
          </cell>
          <cell r="BC1353">
            <v>0</v>
          </cell>
          <cell r="BD1353">
            <v>0</v>
          </cell>
          <cell r="BE1353">
            <v>0</v>
          </cell>
          <cell r="BF1353">
            <v>472889.13999999996</v>
          </cell>
          <cell r="BG1353">
            <v>118571.26</v>
          </cell>
          <cell r="BH1353">
            <v>24632.799999999996</v>
          </cell>
          <cell r="BI1353">
            <v>26504.850000000002</v>
          </cell>
          <cell r="BJ1353">
            <v>32337.52</v>
          </cell>
          <cell r="BK1353">
            <v>28467.510000000002</v>
          </cell>
          <cell r="BL1353">
            <v>12972.246327999999</v>
          </cell>
          <cell r="BM1353">
            <v>100282.126328</v>
          </cell>
          <cell r="BN1353">
            <v>0</v>
          </cell>
          <cell r="BO1353">
            <v>0</v>
          </cell>
          <cell r="BP1353">
            <v>0</v>
          </cell>
          <cell r="BQ1353">
            <v>0</v>
          </cell>
          <cell r="BR1353">
            <v>100282.126328</v>
          </cell>
          <cell r="BT1353">
            <v>0</v>
          </cell>
          <cell r="CA1353" t="str">
            <v>CP3015 - REVTOT - Base</v>
          </cell>
          <cell r="CC1353" t="str">
            <v>CP3015 - REVTOT - Base - IS4</v>
          </cell>
          <cell r="CD1353" t="str">
            <v/>
          </cell>
          <cell r="CF1353" t="str">
            <v>CP3015 - Base - IS4</v>
          </cell>
        </row>
        <row r="1354">
          <cell r="D1354">
            <v>1340</v>
          </cell>
          <cell r="E1354">
            <v>1</v>
          </cell>
          <cell r="F1354">
            <v>2</v>
          </cell>
          <cell r="G1354" t="str">
            <v>CP3015</v>
          </cell>
          <cell r="H1354" t="str">
            <v>MCC Design</v>
          </cell>
          <cell r="I1354" t="str">
            <v>IS4</v>
          </cell>
          <cell r="J1354" t="str">
            <v>IS4 Global Mission Solutions</v>
          </cell>
          <cell r="K1354" t="str">
            <v>Classified Agency</v>
          </cell>
          <cell r="L1354" t="str">
            <v>Classified</v>
          </cell>
          <cell r="M1354" t="str">
            <v>MD</v>
          </cell>
          <cell r="N1354" t="str">
            <v>CONUS</v>
          </cell>
          <cell r="O1354">
            <v>0</v>
          </cell>
          <cell r="P1354">
            <v>0</v>
          </cell>
          <cell r="Q1354">
            <v>0</v>
          </cell>
          <cell r="R1354" t="str">
            <v>FFP</v>
          </cell>
          <cell r="S1354">
            <v>0</v>
          </cell>
          <cell r="T1354">
            <v>1</v>
          </cell>
          <cell r="U1354" t="str">
            <v>REVTOT</v>
          </cell>
          <cell r="V1354" t="str">
            <v>Identified - Recompete</v>
          </cell>
          <cell r="W1354">
            <v>0</v>
          </cell>
          <cell r="X1354">
            <v>0</v>
          </cell>
          <cell r="Y1354">
            <v>0</v>
          </cell>
          <cell r="Z1354">
            <v>0</v>
          </cell>
          <cell r="AA1354">
            <v>0</v>
          </cell>
          <cell r="AB1354">
            <v>0</v>
          </cell>
          <cell r="AC1354">
            <v>0</v>
          </cell>
          <cell r="AD1354">
            <v>0</v>
          </cell>
          <cell r="AI1354">
            <v>0</v>
          </cell>
          <cell r="AJ1354">
            <v>0</v>
          </cell>
          <cell r="AK1354">
            <v>0</v>
          </cell>
          <cell r="BB1354">
            <v>0</v>
          </cell>
          <cell r="BC1354">
            <v>0</v>
          </cell>
          <cell r="BD1354">
            <v>0</v>
          </cell>
          <cell r="BE1354">
            <v>0</v>
          </cell>
          <cell r="BI1354">
            <v>0</v>
          </cell>
          <cell r="BJ1354">
            <v>0</v>
          </cell>
          <cell r="BK1354">
            <v>0</v>
          </cell>
          <cell r="BL1354">
            <v>0</v>
          </cell>
          <cell r="BM1354">
            <v>0</v>
          </cell>
          <cell r="BN1354">
            <v>0</v>
          </cell>
          <cell r="BO1354">
            <v>0</v>
          </cell>
          <cell r="BP1354">
            <v>0</v>
          </cell>
          <cell r="BQ1354">
            <v>0</v>
          </cell>
          <cell r="BR1354">
            <v>0</v>
          </cell>
          <cell r="BT1354">
            <v>0</v>
          </cell>
          <cell r="CA1354" t="str">
            <v>CP3015 - REVTOT - Identified - Recompete</v>
          </cell>
          <cell r="CC1354" t="str">
            <v>CP3015 - REVTOT - Identified - Recompete - IS4</v>
          </cell>
          <cell r="CD1354" t="str">
            <v/>
          </cell>
          <cell r="CF1354" t="str">
            <v>CP3015 - Identified - Recompete - IS4</v>
          </cell>
        </row>
        <row r="1355">
          <cell r="D1355">
            <v>1341</v>
          </cell>
          <cell r="E1355">
            <v>2</v>
          </cell>
          <cell r="F1355">
            <v>3</v>
          </cell>
          <cell r="G1355" t="str">
            <v>CP3015</v>
          </cell>
          <cell r="H1355" t="str">
            <v>MCC Design</v>
          </cell>
          <cell r="I1355" t="str">
            <v>IS4</v>
          </cell>
          <cell r="J1355" t="str">
            <v>IS4 Global Mission Solutions</v>
          </cell>
          <cell r="K1355" t="str">
            <v>Classified Agency</v>
          </cell>
          <cell r="L1355" t="str">
            <v>Classified</v>
          </cell>
          <cell r="M1355" t="str">
            <v>MD</v>
          </cell>
          <cell r="N1355" t="str">
            <v>CONUS</v>
          </cell>
          <cell r="O1355">
            <v>42898</v>
          </cell>
          <cell r="P1355">
            <v>43701</v>
          </cell>
          <cell r="Q1355" t="str">
            <v>Sub</v>
          </cell>
          <cell r="R1355" t="str">
            <v>FFP</v>
          </cell>
          <cell r="S1355">
            <v>0</v>
          </cell>
          <cell r="T1355">
            <v>1</v>
          </cell>
          <cell r="U1355" t="str">
            <v>CONTRACT</v>
          </cell>
          <cell r="V1355" t="str">
            <v>Base</v>
          </cell>
          <cell r="W1355" t="str">
            <v>05 Won</v>
          </cell>
          <cell r="X1355" t="str">
            <v>Active</v>
          </cell>
          <cell r="Y1355">
            <v>1</v>
          </cell>
          <cell r="Z1355">
            <v>0</v>
          </cell>
          <cell r="AA1355">
            <v>90915.413671999908</v>
          </cell>
          <cell r="AB1355">
            <v>0</v>
          </cell>
          <cell r="AC1355">
            <v>0</v>
          </cell>
          <cell r="AD1355">
            <v>90915.413671999908</v>
          </cell>
          <cell r="AL1355">
            <v>0.28944441396983667</v>
          </cell>
          <cell r="AM1355">
            <v>0.53654502785919633</v>
          </cell>
          <cell r="AN1355">
            <v>0.42412880387126106</v>
          </cell>
          <cell r="AO1355">
            <v>0.19546563233798289</v>
          </cell>
          <cell r="AP1355">
            <v>0.32181891358070513</v>
          </cell>
          <cell r="AQ1355">
            <v>0.32181891358070513</v>
          </cell>
          <cell r="AR1355">
            <v>0.32181891358070513</v>
          </cell>
          <cell r="AS1355">
            <v>0.32181891358070513</v>
          </cell>
          <cell r="BF1355">
            <v>136875.12000000002</v>
          </cell>
          <cell r="BG1355">
            <v>63618.820000000007</v>
          </cell>
          <cell r="BH1355">
            <v>10447.479999999998</v>
          </cell>
          <cell r="BI1355">
            <v>-6657.3199999999961</v>
          </cell>
          <cell r="BJ1355">
            <v>10516.89</v>
          </cell>
          <cell r="BK1355">
            <v>11097.43</v>
          </cell>
          <cell r="BL1355">
            <v>4644.7092348999995</v>
          </cell>
          <cell r="BM1355">
            <v>19601.709234900001</v>
          </cell>
          <cell r="BN1355">
            <v>0</v>
          </cell>
          <cell r="BO1355">
            <v>0</v>
          </cell>
          <cell r="BP1355">
            <v>0</v>
          </cell>
          <cell r="BQ1355">
            <v>0</v>
          </cell>
          <cell r="BR1355">
            <v>19601.709234900001</v>
          </cell>
          <cell r="BT1355">
            <v>0</v>
          </cell>
          <cell r="CA1355" t="str">
            <v>CP3015 - CONTRACT - Base</v>
          </cell>
          <cell r="CC1355" t="str">
            <v>CP3015 - CONTRACT - Base - IS4</v>
          </cell>
          <cell r="CD1355" t="str">
            <v/>
          </cell>
          <cell r="CF1355" t="str">
            <v>CP3015 - Base - IS4</v>
          </cell>
        </row>
        <row r="1356">
          <cell r="D1356">
            <v>1342</v>
          </cell>
          <cell r="E1356">
            <v>2</v>
          </cell>
          <cell r="F1356">
            <v>4</v>
          </cell>
          <cell r="G1356" t="str">
            <v>CP3015</v>
          </cell>
          <cell r="H1356" t="str">
            <v>MCC Design</v>
          </cell>
          <cell r="I1356" t="str">
            <v>IS4</v>
          </cell>
          <cell r="J1356" t="str">
            <v>IS4 Global Mission Solutions</v>
          </cell>
          <cell r="K1356" t="str">
            <v>Classified Agency</v>
          </cell>
          <cell r="L1356" t="str">
            <v>Classified</v>
          </cell>
          <cell r="M1356" t="str">
            <v>MD</v>
          </cell>
          <cell r="N1356" t="str">
            <v>CONUS</v>
          </cell>
          <cell r="O1356">
            <v>0</v>
          </cell>
          <cell r="P1356">
            <v>0</v>
          </cell>
          <cell r="Q1356">
            <v>0</v>
          </cell>
          <cell r="R1356" t="str">
            <v>FFP</v>
          </cell>
          <cell r="S1356">
            <v>0</v>
          </cell>
          <cell r="T1356">
            <v>1</v>
          </cell>
          <cell r="U1356" t="str">
            <v>CONTRACT</v>
          </cell>
          <cell r="V1356" t="str">
            <v>Identified - Recompete</v>
          </cell>
          <cell r="W1356">
            <v>0</v>
          </cell>
          <cell r="X1356">
            <v>0</v>
          </cell>
          <cell r="Y1356">
            <v>0</v>
          </cell>
          <cell r="Z1356">
            <v>0</v>
          </cell>
          <cell r="AA1356">
            <v>0</v>
          </cell>
          <cell r="AB1356">
            <v>0</v>
          </cell>
          <cell r="AC1356">
            <v>0</v>
          </cell>
          <cell r="AD1356">
            <v>0</v>
          </cell>
          <cell r="AP1356">
            <v>0</v>
          </cell>
          <cell r="AQ1356">
            <v>0</v>
          </cell>
          <cell r="AR1356">
            <v>0</v>
          </cell>
          <cell r="AS1356">
            <v>0</v>
          </cell>
          <cell r="BI1356">
            <v>0</v>
          </cell>
          <cell r="BJ1356">
            <v>0</v>
          </cell>
          <cell r="BK1356">
            <v>0</v>
          </cell>
          <cell r="BL1356">
            <v>0</v>
          </cell>
          <cell r="BM1356">
            <v>0</v>
          </cell>
          <cell r="BN1356">
            <v>0</v>
          </cell>
          <cell r="BO1356">
            <v>0</v>
          </cell>
          <cell r="BP1356">
            <v>0</v>
          </cell>
          <cell r="BQ1356">
            <v>0</v>
          </cell>
          <cell r="BR1356">
            <v>0</v>
          </cell>
          <cell r="BT1356">
            <v>0</v>
          </cell>
          <cell r="CA1356" t="str">
            <v>CP3015 - CONTRACT - Identified - Recompete</v>
          </cell>
          <cell r="CC1356" t="str">
            <v>CP3015 - CONTRACT - Identified - Recompete - IS4</v>
          </cell>
          <cell r="CD1356" t="str">
            <v/>
          </cell>
          <cell r="CF1356" t="str">
            <v>CP3015 - Identified - Recompete - IS4</v>
          </cell>
        </row>
        <row r="1357">
          <cell r="D1357">
            <v>1343</v>
          </cell>
          <cell r="E1357">
            <v>0</v>
          </cell>
          <cell r="F1357">
            <v>5</v>
          </cell>
          <cell r="G1357" t="str">
            <v>CP3015</v>
          </cell>
          <cell r="H1357" t="str">
            <v>MCC Design</v>
          </cell>
          <cell r="I1357" t="str">
            <v>IS4</v>
          </cell>
          <cell r="J1357" t="str">
            <v>IS4 Global Mission Solutions</v>
          </cell>
          <cell r="K1357" t="str">
            <v>Classified Agency</v>
          </cell>
          <cell r="L1357" t="str">
            <v>Classified</v>
          </cell>
          <cell r="M1357" t="str">
            <v>MD</v>
          </cell>
          <cell r="N1357" t="str">
            <v>CONUS</v>
          </cell>
          <cell r="O1357">
            <v>42898</v>
          </cell>
          <cell r="P1357">
            <v>43701</v>
          </cell>
          <cell r="Q1357" t="str">
            <v>Sub</v>
          </cell>
          <cell r="R1357" t="str">
            <v>FFP</v>
          </cell>
          <cell r="S1357">
            <v>0</v>
          </cell>
          <cell r="T1357">
            <v>1</v>
          </cell>
          <cell r="U1357" t="str">
            <v>EBITA</v>
          </cell>
          <cell r="V1357" t="str">
            <v>Base</v>
          </cell>
          <cell r="W1357" t="str">
            <v>05 Won</v>
          </cell>
          <cell r="X1357" t="str">
            <v>Active</v>
          </cell>
          <cell r="Y1357">
            <v>1</v>
          </cell>
          <cell r="Z1357">
            <v>0</v>
          </cell>
          <cell r="AA1357">
            <v>90915.413671999908</v>
          </cell>
          <cell r="AB1357">
            <v>0</v>
          </cell>
          <cell r="AC1357">
            <v>0</v>
          </cell>
          <cell r="AD1357">
            <v>90915.413671999908</v>
          </cell>
          <cell r="AT1357">
            <v>-5.7828268164500443E-2</v>
          </cell>
          <cell r="AU1357">
            <v>0.31145852713380973</v>
          </cell>
          <cell r="AV1357">
            <v>0.19323503621188007</v>
          </cell>
          <cell r="AW1357">
            <v>-0.20258138760015221</v>
          </cell>
          <cell r="AX1357">
            <v>-7.3359966257209907E-3</v>
          </cell>
          <cell r="AY1357">
            <v>-6.3359966257209906E-3</v>
          </cell>
          <cell r="AZ1357">
            <v>-5.3359966257209906E-3</v>
          </cell>
          <cell r="BA1357">
            <v>-4.3359966257209906E-3</v>
          </cell>
          <cell r="BF1357">
            <v>-27346.35999999999</v>
          </cell>
          <cell r="BG1357">
            <v>36930.030000000006</v>
          </cell>
          <cell r="BH1357">
            <v>4759.9199999999983</v>
          </cell>
          <cell r="BI1357">
            <v>-23823.889999999996</v>
          </cell>
          <cell r="BJ1357">
            <v>-284.20000000000118</v>
          </cell>
          <cell r="BK1357">
            <v>2949.3600000000006</v>
          </cell>
          <cell r="BL1357">
            <v>843.43769697999892</v>
          </cell>
          <cell r="BM1357">
            <v>-20315.292303019996</v>
          </cell>
          <cell r="BN1357">
            <v>0</v>
          </cell>
          <cell r="BO1357">
            <v>0</v>
          </cell>
          <cell r="BP1357">
            <v>0</v>
          </cell>
          <cell r="BQ1357">
            <v>0</v>
          </cell>
          <cell r="BR1357">
            <v>-20315.292303019996</v>
          </cell>
          <cell r="BT1357">
            <v>0</v>
          </cell>
          <cell r="CA1357" t="str">
            <v>CP3015 - EBITA - Base</v>
          </cell>
          <cell r="CC1357" t="str">
            <v>CP3015 - EBITA - Base - IS4</v>
          </cell>
          <cell r="CD1357" t="str">
            <v/>
          </cell>
          <cell r="CF1357" t="str">
            <v>CP3015 - Base - IS4</v>
          </cell>
        </row>
        <row r="1358">
          <cell r="D1358">
            <v>1344</v>
          </cell>
          <cell r="E1358">
            <v>0</v>
          </cell>
          <cell r="F1358">
            <v>0</v>
          </cell>
          <cell r="G1358" t="str">
            <v>CP3015</v>
          </cell>
          <cell r="H1358" t="str">
            <v>MCC Design</v>
          </cell>
          <cell r="I1358" t="str">
            <v>IS4</v>
          </cell>
          <cell r="J1358" t="str">
            <v>IS4 Global Mission Solutions</v>
          </cell>
          <cell r="K1358" t="str">
            <v>Classified Agency</v>
          </cell>
          <cell r="L1358" t="str">
            <v>Classified</v>
          </cell>
          <cell r="M1358" t="str">
            <v>MD</v>
          </cell>
          <cell r="N1358" t="str">
            <v>CONUS</v>
          </cell>
          <cell r="O1358">
            <v>0</v>
          </cell>
          <cell r="P1358">
            <v>0</v>
          </cell>
          <cell r="Q1358">
            <v>0</v>
          </cell>
          <cell r="R1358" t="str">
            <v>FFP</v>
          </cell>
          <cell r="S1358">
            <v>0</v>
          </cell>
          <cell r="T1358">
            <v>1</v>
          </cell>
          <cell r="U1358" t="str">
            <v>EBITA</v>
          </cell>
          <cell r="V1358" t="str">
            <v>Identified - Recompete</v>
          </cell>
          <cell r="W1358">
            <v>0</v>
          </cell>
          <cell r="X1358">
            <v>0</v>
          </cell>
          <cell r="Y1358">
            <v>0</v>
          </cell>
          <cell r="Z1358">
            <v>0</v>
          </cell>
          <cell r="AA1358">
            <v>0</v>
          </cell>
          <cell r="AB1358">
            <v>0</v>
          </cell>
          <cell r="AC1358">
            <v>0</v>
          </cell>
          <cell r="AD1358">
            <v>0</v>
          </cell>
          <cell r="AX1358">
            <v>0</v>
          </cell>
          <cell r="AY1358">
            <v>0</v>
          </cell>
          <cell r="AZ1358">
            <v>0</v>
          </cell>
          <cell r="BA1358">
            <v>0</v>
          </cell>
          <cell r="BI1358">
            <v>0</v>
          </cell>
          <cell r="BJ1358">
            <v>0</v>
          </cell>
          <cell r="BK1358">
            <v>0</v>
          </cell>
          <cell r="BL1358">
            <v>0</v>
          </cell>
          <cell r="BM1358">
            <v>0</v>
          </cell>
          <cell r="BN1358">
            <v>0</v>
          </cell>
          <cell r="BO1358">
            <v>0</v>
          </cell>
          <cell r="BP1358">
            <v>0</v>
          </cell>
          <cell r="BQ1358">
            <v>0</v>
          </cell>
          <cell r="BR1358">
            <v>0</v>
          </cell>
          <cell r="BT1358">
            <v>0</v>
          </cell>
          <cell r="CA1358" t="str">
            <v>CP3015 - EBITA - Identified - Recompete</v>
          </cell>
          <cell r="CC1358" t="str">
            <v>CP3015 - EBITA - Identified - Recompete - IS4</v>
          </cell>
          <cell r="CD1358" t="str">
            <v/>
          </cell>
          <cell r="CF1358" t="str">
            <v>CP3015 - Identified - Recompete - IS4</v>
          </cell>
        </row>
        <row r="1359">
          <cell r="D1359">
            <v>1345</v>
          </cell>
          <cell r="E1359">
            <v>1</v>
          </cell>
          <cell r="F1359">
            <v>1</v>
          </cell>
          <cell r="G1359" t="str">
            <v>CBRESB</v>
          </cell>
          <cell r="H1359" t="str">
            <v>CBRE Courier Driver</v>
          </cell>
          <cell r="I1359" t="str">
            <v>IS4</v>
          </cell>
          <cell r="J1359" t="str">
            <v>IS4 Infrastructure and Engineering</v>
          </cell>
          <cell r="K1359" t="str">
            <v>USAID</v>
          </cell>
          <cell r="L1359" t="str">
            <v>DOS</v>
          </cell>
          <cell r="M1359" t="str">
            <v>DC</v>
          </cell>
          <cell r="N1359" t="str">
            <v>CONUS</v>
          </cell>
          <cell r="O1359">
            <v>43388</v>
          </cell>
          <cell r="P1359">
            <v>43628</v>
          </cell>
          <cell r="Q1359" t="str">
            <v>Sub</v>
          </cell>
          <cell r="R1359" t="str">
            <v>FFP</v>
          </cell>
          <cell r="S1359">
            <v>0</v>
          </cell>
          <cell r="T1359">
            <v>1</v>
          </cell>
          <cell r="U1359" t="str">
            <v>REVTOT</v>
          </cell>
          <cell r="V1359" t="str">
            <v>Base</v>
          </cell>
          <cell r="W1359" t="str">
            <v>05 Won</v>
          </cell>
          <cell r="X1359" t="str">
            <v>Active</v>
          </cell>
          <cell r="Y1359">
            <v>1</v>
          </cell>
          <cell r="Z1359">
            <v>0</v>
          </cell>
          <cell r="AA1359">
            <v>-594.33999999999833</v>
          </cell>
          <cell r="AB1359">
            <v>33761</v>
          </cell>
          <cell r="AC1359">
            <v>0</v>
          </cell>
          <cell r="AD1359">
            <v>33166.660000000003</v>
          </cell>
          <cell r="AE1359">
            <v>0</v>
          </cell>
          <cell r="AF1359">
            <v>0</v>
          </cell>
          <cell r="AG1359">
            <v>0</v>
          </cell>
          <cell r="AH1359">
            <v>-1</v>
          </cell>
          <cell r="AI1359">
            <v>0</v>
          </cell>
          <cell r="AJ1359">
            <v>0</v>
          </cell>
          <cell r="AK1359">
            <v>0</v>
          </cell>
          <cell r="BB1359">
            <v>0</v>
          </cell>
          <cell r="BC1359">
            <v>0</v>
          </cell>
          <cell r="BD1359">
            <v>0</v>
          </cell>
          <cell r="BE1359">
            <v>0</v>
          </cell>
          <cell r="BF1359">
            <v>0</v>
          </cell>
          <cell r="BG1359">
            <v>0</v>
          </cell>
          <cell r="BH1359">
            <v>0</v>
          </cell>
          <cell r="BI1359">
            <v>25524</v>
          </cell>
          <cell r="BJ1359">
            <v>25130.559999999998</v>
          </cell>
          <cell r="BK1359">
            <v>17678.78</v>
          </cell>
          <cell r="BL1359">
            <v>0</v>
          </cell>
          <cell r="BM1359">
            <v>68333.34</v>
          </cell>
          <cell r="BN1359">
            <v>0</v>
          </cell>
          <cell r="BO1359">
            <v>0</v>
          </cell>
          <cell r="BP1359">
            <v>0</v>
          </cell>
          <cell r="BQ1359">
            <v>0</v>
          </cell>
          <cell r="BR1359">
            <v>68333.34</v>
          </cell>
          <cell r="BT1359">
            <v>0</v>
          </cell>
          <cell r="CA1359" t="str">
            <v>CBRESB - REVTOT - Base</v>
          </cell>
          <cell r="CC1359" t="str">
            <v>CBRESB - REVTOT - Base - IS4</v>
          </cell>
          <cell r="CD1359" t="str">
            <v/>
          </cell>
          <cell r="CF1359" t="str">
            <v>CBRESB - Base - IS4</v>
          </cell>
        </row>
        <row r="1360">
          <cell r="D1360">
            <v>1346</v>
          </cell>
          <cell r="E1360">
            <v>1</v>
          </cell>
          <cell r="F1360">
            <v>2</v>
          </cell>
          <cell r="G1360" t="str">
            <v>CBRESB</v>
          </cell>
          <cell r="H1360" t="str">
            <v>CBRE Courier Driver</v>
          </cell>
          <cell r="I1360" t="str">
            <v>IS4</v>
          </cell>
          <cell r="J1360" t="str">
            <v>IS4 Infrastructure and Engineering</v>
          </cell>
          <cell r="K1360" t="str">
            <v>USAID</v>
          </cell>
          <cell r="L1360" t="str">
            <v>DOS</v>
          </cell>
          <cell r="M1360" t="str">
            <v>DC</v>
          </cell>
          <cell r="N1360" t="str">
            <v>CONUS</v>
          </cell>
          <cell r="O1360">
            <v>0</v>
          </cell>
          <cell r="P1360">
            <v>0</v>
          </cell>
          <cell r="Q1360">
            <v>0</v>
          </cell>
          <cell r="R1360" t="str">
            <v>FFP</v>
          </cell>
          <cell r="S1360">
            <v>0</v>
          </cell>
          <cell r="T1360">
            <v>1</v>
          </cell>
          <cell r="U1360" t="str">
            <v>REVTOT</v>
          </cell>
          <cell r="V1360" t="str">
            <v>Identified - Recompete</v>
          </cell>
          <cell r="W1360">
            <v>0</v>
          </cell>
          <cell r="X1360">
            <v>0</v>
          </cell>
          <cell r="Y1360">
            <v>0</v>
          </cell>
          <cell r="Z1360">
            <v>0</v>
          </cell>
          <cell r="AA1360">
            <v>0</v>
          </cell>
          <cell r="AB1360">
            <v>0</v>
          </cell>
          <cell r="AC1360">
            <v>0</v>
          </cell>
          <cell r="AD1360">
            <v>0</v>
          </cell>
          <cell r="AI1360">
            <v>0</v>
          </cell>
          <cell r="AJ1360">
            <v>0</v>
          </cell>
          <cell r="AK1360">
            <v>0</v>
          </cell>
          <cell r="BB1360">
            <v>0</v>
          </cell>
          <cell r="BC1360">
            <v>0</v>
          </cell>
          <cell r="BD1360">
            <v>0</v>
          </cell>
          <cell r="BE1360">
            <v>0</v>
          </cell>
          <cell r="BI1360">
            <v>0</v>
          </cell>
          <cell r="BJ1360">
            <v>0</v>
          </cell>
          <cell r="BK1360">
            <v>0</v>
          </cell>
          <cell r="BL1360">
            <v>0</v>
          </cell>
          <cell r="BM1360">
            <v>0</v>
          </cell>
          <cell r="BN1360">
            <v>0</v>
          </cell>
          <cell r="BO1360">
            <v>0</v>
          </cell>
          <cell r="BP1360">
            <v>0</v>
          </cell>
          <cell r="BQ1360">
            <v>0</v>
          </cell>
          <cell r="BR1360">
            <v>0</v>
          </cell>
          <cell r="BT1360">
            <v>0</v>
          </cell>
          <cell r="CA1360" t="str">
            <v>CBRESB - REVTOT - Identified - Recompete</v>
          </cell>
          <cell r="CC1360" t="str">
            <v>CBRESB - REVTOT - Identified - Recompete - IS4</v>
          </cell>
          <cell r="CD1360" t="str">
            <v/>
          </cell>
          <cell r="CF1360" t="str">
            <v>CBRESB - Identified - Recompete - IS4</v>
          </cell>
        </row>
        <row r="1361">
          <cell r="D1361">
            <v>1347</v>
          </cell>
          <cell r="E1361">
            <v>2</v>
          </cell>
          <cell r="F1361">
            <v>3</v>
          </cell>
          <cell r="G1361" t="str">
            <v>CBRESB</v>
          </cell>
          <cell r="H1361" t="str">
            <v>CBRE Courier Driver</v>
          </cell>
          <cell r="I1361" t="str">
            <v>IS4</v>
          </cell>
          <cell r="J1361" t="str">
            <v>IS4 Infrastructure and Engineering</v>
          </cell>
          <cell r="K1361" t="str">
            <v>USAID</v>
          </cell>
          <cell r="L1361" t="str">
            <v>DOS</v>
          </cell>
          <cell r="M1361" t="str">
            <v>DC</v>
          </cell>
          <cell r="N1361" t="str">
            <v>CONUS</v>
          </cell>
          <cell r="O1361">
            <v>43388</v>
          </cell>
          <cell r="P1361">
            <v>43628</v>
          </cell>
          <cell r="Q1361" t="str">
            <v>Sub</v>
          </cell>
          <cell r="R1361" t="str">
            <v>FFP</v>
          </cell>
          <cell r="S1361">
            <v>0</v>
          </cell>
          <cell r="T1361">
            <v>1</v>
          </cell>
          <cell r="U1361" t="str">
            <v>CONTRACT</v>
          </cell>
          <cell r="V1361" t="str">
            <v>Base</v>
          </cell>
          <cell r="W1361" t="str">
            <v>05 Won</v>
          </cell>
          <cell r="X1361" t="str">
            <v>Active</v>
          </cell>
          <cell r="Y1361">
            <v>1</v>
          </cell>
          <cell r="Z1361">
            <v>0</v>
          </cell>
          <cell r="AA1361">
            <v>-594.33999999999833</v>
          </cell>
          <cell r="AB1361">
            <v>33761</v>
          </cell>
          <cell r="AC1361">
            <v>0</v>
          </cell>
          <cell r="AD1361">
            <v>33166.660000000003</v>
          </cell>
          <cell r="AL1361">
            <v>0</v>
          </cell>
          <cell r="AM1361">
            <v>0</v>
          </cell>
          <cell r="AN1361">
            <v>0</v>
          </cell>
          <cell r="AO1361">
            <v>0.25178909738642957</v>
          </cell>
          <cell r="AP1361">
            <v>0.25178909738642957</v>
          </cell>
          <cell r="AQ1361">
            <v>0.25178909738642957</v>
          </cell>
          <cell r="AR1361">
            <v>0.25178909738642957</v>
          </cell>
          <cell r="AS1361">
            <v>0.25178909738642957</v>
          </cell>
          <cell r="BF1361">
            <v>0</v>
          </cell>
          <cell r="BG1361">
            <v>0</v>
          </cell>
          <cell r="BH1361">
            <v>0</v>
          </cell>
          <cell r="BI1361">
            <v>8017.72</v>
          </cell>
          <cell r="BJ1361">
            <v>10050.75</v>
          </cell>
          <cell r="BK1361">
            <v>-1336.3799999999983</v>
          </cell>
          <cell r="BL1361">
            <v>473.5</v>
          </cell>
          <cell r="BM1361">
            <v>17205.590000000004</v>
          </cell>
          <cell r="BN1361">
            <v>0</v>
          </cell>
          <cell r="BO1361">
            <v>0</v>
          </cell>
          <cell r="BP1361">
            <v>0</v>
          </cell>
          <cell r="BQ1361">
            <v>0</v>
          </cell>
          <cell r="BR1361">
            <v>17205.590000000004</v>
          </cell>
          <cell r="BT1361">
            <v>0</v>
          </cell>
          <cell r="CA1361" t="str">
            <v>CBRESB - CONTRACT - Base</v>
          </cell>
          <cell r="CC1361" t="str">
            <v>CBRESB - CONTRACT - Base - IS4</v>
          </cell>
          <cell r="CD1361" t="str">
            <v/>
          </cell>
          <cell r="CF1361" t="str">
            <v>CBRESB - Base - IS4</v>
          </cell>
        </row>
        <row r="1362">
          <cell r="D1362">
            <v>1348</v>
          </cell>
          <cell r="E1362">
            <v>2</v>
          </cell>
          <cell r="F1362">
            <v>4</v>
          </cell>
          <cell r="G1362" t="str">
            <v>CBRESB</v>
          </cell>
          <cell r="H1362" t="str">
            <v>CBRE Courier Driver</v>
          </cell>
          <cell r="I1362" t="str">
            <v>IS4</v>
          </cell>
          <cell r="J1362" t="str">
            <v>IS4 Infrastructure and Engineering</v>
          </cell>
          <cell r="K1362" t="str">
            <v>USAID</v>
          </cell>
          <cell r="L1362" t="str">
            <v>DOS</v>
          </cell>
          <cell r="M1362" t="str">
            <v>DC</v>
          </cell>
          <cell r="N1362" t="str">
            <v>CONUS</v>
          </cell>
          <cell r="O1362">
            <v>0</v>
          </cell>
          <cell r="P1362">
            <v>0</v>
          </cell>
          <cell r="Q1362">
            <v>0</v>
          </cell>
          <cell r="R1362" t="str">
            <v>FFP</v>
          </cell>
          <cell r="S1362">
            <v>0</v>
          </cell>
          <cell r="T1362">
            <v>1</v>
          </cell>
          <cell r="U1362" t="str">
            <v>CONTRACT</v>
          </cell>
          <cell r="V1362" t="str">
            <v>Identified - Recompete</v>
          </cell>
          <cell r="W1362">
            <v>0</v>
          </cell>
          <cell r="X1362">
            <v>0</v>
          </cell>
          <cell r="Y1362">
            <v>0</v>
          </cell>
          <cell r="Z1362">
            <v>0</v>
          </cell>
          <cell r="AA1362">
            <v>0</v>
          </cell>
          <cell r="AB1362">
            <v>0</v>
          </cell>
          <cell r="AC1362">
            <v>0</v>
          </cell>
          <cell r="AD1362">
            <v>0</v>
          </cell>
          <cell r="AP1362">
            <v>0</v>
          </cell>
          <cell r="AQ1362">
            <v>0</v>
          </cell>
          <cell r="AR1362">
            <v>0</v>
          </cell>
          <cell r="AS1362">
            <v>0</v>
          </cell>
          <cell r="BI1362">
            <v>0</v>
          </cell>
          <cell r="BJ1362">
            <v>0</v>
          </cell>
          <cell r="BK1362">
            <v>0</v>
          </cell>
          <cell r="BL1362">
            <v>0</v>
          </cell>
          <cell r="BM1362">
            <v>0</v>
          </cell>
          <cell r="BN1362">
            <v>0</v>
          </cell>
          <cell r="BO1362">
            <v>0</v>
          </cell>
          <cell r="BP1362">
            <v>0</v>
          </cell>
          <cell r="BQ1362">
            <v>0</v>
          </cell>
          <cell r="BR1362">
            <v>0</v>
          </cell>
          <cell r="BT1362">
            <v>0</v>
          </cell>
          <cell r="CA1362" t="str">
            <v>CBRESB - CONTRACT - Identified - Recompete</v>
          </cell>
          <cell r="CC1362" t="str">
            <v>CBRESB - CONTRACT - Identified - Recompete - IS4</v>
          </cell>
          <cell r="CD1362" t="str">
            <v/>
          </cell>
          <cell r="CF1362" t="str">
            <v>CBRESB - Identified - Recompete - IS4</v>
          </cell>
        </row>
        <row r="1363">
          <cell r="D1363">
            <v>1349</v>
          </cell>
          <cell r="E1363">
            <v>0</v>
          </cell>
          <cell r="F1363">
            <v>5</v>
          </cell>
          <cell r="G1363" t="str">
            <v>CBRESB</v>
          </cell>
          <cell r="H1363" t="str">
            <v>CBRE Courier Driver</v>
          </cell>
          <cell r="I1363" t="str">
            <v>IS4</v>
          </cell>
          <cell r="J1363" t="str">
            <v>IS4 Infrastructure and Engineering</v>
          </cell>
          <cell r="K1363" t="str">
            <v>USAID</v>
          </cell>
          <cell r="L1363" t="str">
            <v>DOS</v>
          </cell>
          <cell r="M1363" t="str">
            <v>DC</v>
          </cell>
          <cell r="N1363" t="str">
            <v>CONUS</v>
          </cell>
          <cell r="O1363">
            <v>43388</v>
          </cell>
          <cell r="P1363">
            <v>43628</v>
          </cell>
          <cell r="Q1363" t="str">
            <v>Sub</v>
          </cell>
          <cell r="R1363" t="str">
            <v>FFP</v>
          </cell>
          <cell r="S1363">
            <v>0</v>
          </cell>
          <cell r="T1363">
            <v>1</v>
          </cell>
          <cell r="U1363" t="str">
            <v>EBITA</v>
          </cell>
          <cell r="V1363" t="str">
            <v>Base</v>
          </cell>
          <cell r="W1363" t="str">
            <v>05 Won</v>
          </cell>
          <cell r="X1363" t="str">
            <v>Active</v>
          </cell>
          <cell r="Y1363">
            <v>1</v>
          </cell>
          <cell r="Z1363">
            <v>0</v>
          </cell>
          <cell r="AA1363">
            <v>-594.33999999999833</v>
          </cell>
          <cell r="AB1363">
            <v>33761</v>
          </cell>
          <cell r="AC1363">
            <v>0</v>
          </cell>
          <cell r="AD1363">
            <v>33166.660000000003</v>
          </cell>
          <cell r="AT1363">
            <v>0</v>
          </cell>
          <cell r="AU1363">
            <v>0</v>
          </cell>
          <cell r="AV1363">
            <v>0</v>
          </cell>
          <cell r="AW1363">
            <v>0.17518754388414209</v>
          </cell>
          <cell r="AX1363">
            <v>0.17618754388414209</v>
          </cell>
          <cell r="AY1363">
            <v>0.1771875438841421</v>
          </cell>
          <cell r="AZ1363">
            <v>0.1781875438841421</v>
          </cell>
          <cell r="BA1363">
            <v>0.1791875438841421</v>
          </cell>
          <cell r="BF1363">
            <v>0</v>
          </cell>
          <cell r="BG1363">
            <v>0</v>
          </cell>
          <cell r="BH1363">
            <v>0</v>
          </cell>
          <cell r="BI1363">
            <v>6181.7400000000007</v>
          </cell>
          <cell r="BJ1363">
            <v>8537.619999999999</v>
          </cell>
          <cell r="BK1363">
            <v>-3290.7099999999982</v>
          </cell>
          <cell r="BL1363">
            <v>542.5</v>
          </cell>
          <cell r="BM1363">
            <v>11971.150000000001</v>
          </cell>
          <cell r="BN1363">
            <v>0</v>
          </cell>
          <cell r="BO1363">
            <v>0</v>
          </cell>
          <cell r="BP1363">
            <v>0</v>
          </cell>
          <cell r="BQ1363">
            <v>0</v>
          </cell>
          <cell r="BR1363">
            <v>11971.150000000001</v>
          </cell>
          <cell r="BT1363">
            <v>0</v>
          </cell>
          <cell r="CA1363" t="str">
            <v>CBRESB - EBITA - Base</v>
          </cell>
          <cell r="CC1363" t="str">
            <v>CBRESB - EBITA - Base - IS4</v>
          </cell>
          <cell r="CD1363" t="str">
            <v/>
          </cell>
          <cell r="CF1363" t="str">
            <v>CBRESB - Base - IS4</v>
          </cell>
        </row>
        <row r="1364">
          <cell r="D1364">
            <v>1350</v>
          </cell>
          <cell r="E1364">
            <v>0</v>
          </cell>
          <cell r="F1364">
            <v>0</v>
          </cell>
          <cell r="G1364" t="str">
            <v>CBRESB</v>
          </cell>
          <cell r="H1364" t="str">
            <v>CBRE Courier Driver</v>
          </cell>
          <cell r="I1364" t="str">
            <v>IS4</v>
          </cell>
          <cell r="J1364" t="str">
            <v>IS4 Infrastructure and Engineering</v>
          </cell>
          <cell r="K1364" t="str">
            <v>USAID</v>
          </cell>
          <cell r="L1364" t="str">
            <v>DOS</v>
          </cell>
          <cell r="M1364" t="str">
            <v>DC</v>
          </cell>
          <cell r="N1364" t="str">
            <v>CONUS</v>
          </cell>
          <cell r="O1364">
            <v>0</v>
          </cell>
          <cell r="P1364">
            <v>0</v>
          </cell>
          <cell r="Q1364">
            <v>0</v>
          </cell>
          <cell r="R1364" t="str">
            <v>FFP</v>
          </cell>
          <cell r="S1364">
            <v>0</v>
          </cell>
          <cell r="T1364">
            <v>1</v>
          </cell>
          <cell r="U1364" t="str">
            <v>EBITA</v>
          </cell>
          <cell r="V1364" t="str">
            <v>Identified - Recompete</v>
          </cell>
          <cell r="W1364">
            <v>0</v>
          </cell>
          <cell r="X1364">
            <v>0</v>
          </cell>
          <cell r="Y1364">
            <v>0</v>
          </cell>
          <cell r="Z1364">
            <v>0</v>
          </cell>
          <cell r="AA1364">
            <v>0</v>
          </cell>
          <cell r="AB1364">
            <v>0</v>
          </cell>
          <cell r="AC1364">
            <v>0</v>
          </cell>
          <cell r="AD1364">
            <v>0</v>
          </cell>
          <cell r="AX1364">
            <v>0</v>
          </cell>
          <cell r="AY1364">
            <v>0</v>
          </cell>
          <cell r="AZ1364">
            <v>0</v>
          </cell>
          <cell r="BA1364">
            <v>0</v>
          </cell>
          <cell r="BI1364">
            <v>0</v>
          </cell>
          <cell r="BJ1364">
            <v>0</v>
          </cell>
          <cell r="BK1364">
            <v>0</v>
          </cell>
          <cell r="BL1364">
            <v>0</v>
          </cell>
          <cell r="BM1364">
            <v>0</v>
          </cell>
          <cell r="BN1364">
            <v>0</v>
          </cell>
          <cell r="BO1364">
            <v>0</v>
          </cell>
          <cell r="BP1364">
            <v>0</v>
          </cell>
          <cell r="BQ1364">
            <v>0</v>
          </cell>
          <cell r="BR1364">
            <v>0</v>
          </cell>
          <cell r="BT1364">
            <v>0</v>
          </cell>
          <cell r="CA1364" t="str">
            <v>CBRESB - EBITA - Identified - Recompete</v>
          </cell>
          <cell r="CC1364" t="str">
            <v>CBRESB - EBITA - Identified - Recompete - IS4</v>
          </cell>
          <cell r="CD1364" t="str">
            <v/>
          </cell>
          <cell r="CF1364" t="str">
            <v>CBRESB - Identified - Recompete - IS4</v>
          </cell>
        </row>
        <row r="1365">
          <cell r="D1365">
            <v>1351</v>
          </cell>
          <cell r="E1365">
            <v>1</v>
          </cell>
          <cell r="F1365">
            <v>1</v>
          </cell>
          <cell r="G1365" t="str">
            <v>002277</v>
          </cell>
          <cell r="H1365" t="str">
            <v>002277 JEWC MTNT</v>
          </cell>
          <cell r="I1365" t="str">
            <v>IS4</v>
          </cell>
          <cell r="J1365" t="str">
            <v>IS4 Spectrum &amp; Infrastructure Assurance</v>
          </cell>
          <cell r="K1365" t="str">
            <v>Air Force</v>
          </cell>
          <cell r="L1365" t="str">
            <v>DOD</v>
          </cell>
          <cell r="M1365" t="str">
            <v>TX</v>
          </cell>
          <cell r="N1365" t="str">
            <v>CONUS</v>
          </cell>
          <cell r="O1365">
            <v>43388</v>
          </cell>
          <cell r="P1365">
            <v>43628</v>
          </cell>
          <cell r="Q1365" t="str">
            <v>Sub</v>
          </cell>
          <cell r="R1365" t="str">
            <v>FFP</v>
          </cell>
          <cell r="S1365">
            <v>0</v>
          </cell>
          <cell r="T1365">
            <v>1</v>
          </cell>
          <cell r="U1365" t="str">
            <v>REVTOT</v>
          </cell>
          <cell r="V1365" t="str">
            <v>Base</v>
          </cell>
          <cell r="W1365" t="str">
            <v>05 Won</v>
          </cell>
          <cell r="X1365" t="str">
            <v>Active</v>
          </cell>
          <cell r="Y1365">
            <v>1</v>
          </cell>
          <cell r="Z1365">
            <v>0</v>
          </cell>
          <cell r="AA1365">
            <v>196.37999999995324</v>
          </cell>
          <cell r="AB1365">
            <v>1333226</v>
          </cell>
          <cell r="AC1365">
            <v>0</v>
          </cell>
          <cell r="AD1365">
            <v>1333422.3799999999</v>
          </cell>
          <cell r="AE1365">
            <v>-0.60516435877783681</v>
          </cell>
          <cell r="AF1365">
            <v>0.35521807812383588</v>
          </cell>
          <cell r="AG1365">
            <v>-1.001501040044587</v>
          </cell>
          <cell r="AH1365">
            <v>-1</v>
          </cell>
          <cell r="AI1365">
            <v>0</v>
          </cell>
          <cell r="AJ1365">
            <v>0</v>
          </cell>
          <cell r="AK1365">
            <v>0</v>
          </cell>
          <cell r="BB1365">
            <v>0</v>
          </cell>
          <cell r="BC1365">
            <v>0</v>
          </cell>
          <cell r="BD1365">
            <v>0</v>
          </cell>
          <cell r="BE1365">
            <v>0</v>
          </cell>
          <cell r="BF1365">
            <v>463913.16000000003</v>
          </cell>
          <cell r="BG1365">
            <v>183169.45</v>
          </cell>
          <cell r="BH1365">
            <v>248234.55000000005</v>
          </cell>
          <cell r="BI1365">
            <v>-373.32000000000011</v>
          </cell>
          <cell r="BJ1365">
            <v>0.71</v>
          </cell>
          <cell r="BK1365">
            <v>0</v>
          </cell>
          <cell r="BL1365">
            <v>0</v>
          </cell>
          <cell r="BM1365">
            <v>-372.61000000000013</v>
          </cell>
          <cell r="BN1365">
            <v>0</v>
          </cell>
          <cell r="BO1365">
            <v>0</v>
          </cell>
          <cell r="BP1365">
            <v>0</v>
          </cell>
          <cell r="BQ1365">
            <v>0</v>
          </cell>
          <cell r="BR1365">
            <v>-372.61000000000013</v>
          </cell>
          <cell r="BT1365">
            <v>0</v>
          </cell>
          <cell r="CA1365" t="str">
            <v>002277 - REVTOT - Base</v>
          </cell>
          <cell r="CC1365" t="str">
            <v>002277 - REVTOT - Base - IS4</v>
          </cell>
          <cell r="CD1365" t="str">
            <v/>
          </cell>
          <cell r="CF1365" t="str">
            <v>002277 - Base - IS4</v>
          </cell>
        </row>
        <row r="1366">
          <cell r="D1366">
            <v>1352</v>
          </cell>
          <cell r="E1366">
            <v>1</v>
          </cell>
          <cell r="F1366">
            <v>2</v>
          </cell>
          <cell r="G1366" t="str">
            <v>002277</v>
          </cell>
          <cell r="H1366" t="str">
            <v>002277 JEWC MTNT</v>
          </cell>
          <cell r="I1366" t="str">
            <v>IS4</v>
          </cell>
          <cell r="J1366" t="str">
            <v>IS4 Spectrum &amp; Infrastructure Assurance</v>
          </cell>
          <cell r="K1366" t="str">
            <v>Air Force</v>
          </cell>
          <cell r="L1366" t="str">
            <v>DOD</v>
          </cell>
          <cell r="M1366" t="str">
            <v>TX</v>
          </cell>
          <cell r="N1366" t="str">
            <v>CONUS</v>
          </cell>
          <cell r="O1366">
            <v>0</v>
          </cell>
          <cell r="P1366">
            <v>0</v>
          </cell>
          <cell r="Q1366">
            <v>0</v>
          </cell>
          <cell r="R1366" t="str">
            <v>FFP</v>
          </cell>
          <cell r="S1366">
            <v>0</v>
          </cell>
          <cell r="T1366">
            <v>1</v>
          </cell>
          <cell r="U1366" t="str">
            <v>REVTOT</v>
          </cell>
          <cell r="V1366" t="str">
            <v>Identified - Recompete</v>
          </cell>
          <cell r="W1366">
            <v>0</v>
          </cell>
          <cell r="X1366">
            <v>0</v>
          </cell>
          <cell r="Y1366">
            <v>0</v>
          </cell>
          <cell r="Z1366">
            <v>0</v>
          </cell>
          <cell r="AA1366">
            <v>0</v>
          </cell>
          <cell r="AB1366">
            <v>0</v>
          </cell>
          <cell r="AC1366">
            <v>0</v>
          </cell>
          <cell r="AD1366">
            <v>0</v>
          </cell>
          <cell r="AI1366">
            <v>0</v>
          </cell>
          <cell r="AJ1366">
            <v>0</v>
          </cell>
          <cell r="AK1366">
            <v>0</v>
          </cell>
          <cell r="BB1366">
            <v>0</v>
          </cell>
          <cell r="BC1366">
            <v>0</v>
          </cell>
          <cell r="BD1366">
            <v>0</v>
          </cell>
          <cell r="BE1366">
            <v>0</v>
          </cell>
          <cell r="BI1366">
            <v>0</v>
          </cell>
          <cell r="BJ1366">
            <v>0</v>
          </cell>
          <cell r="BK1366">
            <v>0</v>
          </cell>
          <cell r="BL1366">
            <v>0</v>
          </cell>
          <cell r="BM1366">
            <v>0</v>
          </cell>
          <cell r="BN1366">
            <v>0</v>
          </cell>
          <cell r="BO1366">
            <v>0</v>
          </cell>
          <cell r="BP1366">
            <v>0</v>
          </cell>
          <cell r="BQ1366">
            <v>0</v>
          </cell>
          <cell r="BR1366">
            <v>0</v>
          </cell>
          <cell r="BT1366">
            <v>0</v>
          </cell>
          <cell r="CA1366" t="str">
            <v>002277 - REVTOT - Identified - Recompete</v>
          </cell>
          <cell r="CC1366" t="str">
            <v>002277 - REVTOT - Identified - Recompete - IS4</v>
          </cell>
          <cell r="CD1366" t="str">
            <v/>
          </cell>
          <cell r="CF1366" t="str">
            <v>002277 - Identified - Recompete - IS4</v>
          </cell>
        </row>
        <row r="1367">
          <cell r="D1367">
            <v>1353</v>
          </cell>
          <cell r="E1367">
            <v>2</v>
          </cell>
          <cell r="F1367">
            <v>3</v>
          </cell>
          <cell r="G1367" t="str">
            <v>002277</v>
          </cell>
          <cell r="H1367" t="str">
            <v>002277 JEWC MTNT</v>
          </cell>
          <cell r="I1367" t="str">
            <v>IS4</v>
          </cell>
          <cell r="J1367" t="str">
            <v>IS4 Spectrum &amp; Infrastructure Assurance</v>
          </cell>
          <cell r="K1367" t="str">
            <v>Air Force</v>
          </cell>
          <cell r="L1367" t="str">
            <v>DOD</v>
          </cell>
          <cell r="M1367" t="str">
            <v>TX</v>
          </cell>
          <cell r="N1367" t="str">
            <v>CONUS</v>
          </cell>
          <cell r="O1367">
            <v>43388</v>
          </cell>
          <cell r="P1367">
            <v>43628</v>
          </cell>
          <cell r="Q1367" t="str">
            <v>Sub</v>
          </cell>
          <cell r="R1367" t="str">
            <v>FFP</v>
          </cell>
          <cell r="S1367">
            <v>0</v>
          </cell>
          <cell r="T1367">
            <v>1</v>
          </cell>
          <cell r="U1367" t="str">
            <v>CONTRACT</v>
          </cell>
          <cell r="V1367" t="str">
            <v>Base</v>
          </cell>
          <cell r="W1367" t="str">
            <v>05 Won</v>
          </cell>
          <cell r="X1367" t="str">
            <v>Active</v>
          </cell>
          <cell r="Y1367">
            <v>1</v>
          </cell>
          <cell r="Z1367">
            <v>0</v>
          </cell>
          <cell r="AA1367">
            <v>196.37999999995324</v>
          </cell>
          <cell r="AB1367">
            <v>1333226</v>
          </cell>
          <cell r="AC1367">
            <v>0</v>
          </cell>
          <cell r="AD1367">
            <v>1333422.3799999999</v>
          </cell>
          <cell r="AL1367">
            <v>0.23517959697457169</v>
          </cell>
          <cell r="AM1367">
            <v>0.24923097164947539</v>
          </cell>
          <cell r="AN1367">
            <v>0.53756513748791213</v>
          </cell>
          <cell r="AO1367">
            <v>-0.4979469150049648</v>
          </cell>
          <cell r="AP1367">
            <v>0.32223470158011458</v>
          </cell>
          <cell r="AQ1367">
            <v>0.32223470158011458</v>
          </cell>
          <cell r="AR1367">
            <v>0.32223470158011458</v>
          </cell>
          <cell r="AS1367">
            <v>0.32223470158011458</v>
          </cell>
          <cell r="BF1367">
            <v>109102.91</v>
          </cell>
          <cell r="BG1367">
            <v>45651.5</v>
          </cell>
          <cell r="BH1367">
            <v>133442.24000000002</v>
          </cell>
          <cell r="BI1367">
            <v>184.82999999999998</v>
          </cell>
          <cell r="BJ1367">
            <v>0.71</v>
          </cell>
          <cell r="BK1367">
            <v>0</v>
          </cell>
          <cell r="BL1367">
            <v>0</v>
          </cell>
          <cell r="BM1367">
            <v>185.54</v>
          </cell>
          <cell r="BN1367">
            <v>0</v>
          </cell>
          <cell r="BO1367">
            <v>0</v>
          </cell>
          <cell r="BP1367">
            <v>0</v>
          </cell>
          <cell r="BQ1367">
            <v>0</v>
          </cell>
          <cell r="BR1367">
            <v>185.54</v>
          </cell>
          <cell r="BT1367">
            <v>0</v>
          </cell>
          <cell r="CA1367" t="str">
            <v>002277 - CONTRACT - Base</v>
          </cell>
          <cell r="CC1367" t="str">
            <v>002277 - CONTRACT - Base - IS4</v>
          </cell>
          <cell r="CD1367" t="str">
            <v/>
          </cell>
          <cell r="CF1367" t="str">
            <v>002277 - Base - IS4</v>
          </cell>
        </row>
        <row r="1368">
          <cell r="D1368">
            <v>1354</v>
          </cell>
          <cell r="E1368">
            <v>2</v>
          </cell>
          <cell r="F1368">
            <v>4</v>
          </cell>
          <cell r="G1368" t="str">
            <v>002277</v>
          </cell>
          <cell r="H1368" t="str">
            <v>002277 JEWC MTNT</v>
          </cell>
          <cell r="I1368" t="str">
            <v>IS4</v>
          </cell>
          <cell r="J1368" t="str">
            <v>IS4 Spectrum &amp; Infrastructure Assurance</v>
          </cell>
          <cell r="K1368" t="str">
            <v>Air Force</v>
          </cell>
          <cell r="L1368" t="str">
            <v>DOD</v>
          </cell>
          <cell r="M1368" t="str">
            <v>TX</v>
          </cell>
          <cell r="N1368" t="str">
            <v>CONUS</v>
          </cell>
          <cell r="O1368">
            <v>0</v>
          </cell>
          <cell r="P1368">
            <v>0</v>
          </cell>
          <cell r="Q1368">
            <v>0</v>
          </cell>
          <cell r="R1368" t="str">
            <v>FFP</v>
          </cell>
          <cell r="S1368">
            <v>0</v>
          </cell>
          <cell r="T1368">
            <v>1</v>
          </cell>
          <cell r="U1368" t="str">
            <v>CONTRACT</v>
          </cell>
          <cell r="V1368" t="str">
            <v>Identified - Recompete</v>
          </cell>
          <cell r="W1368">
            <v>0</v>
          </cell>
          <cell r="X1368">
            <v>0</v>
          </cell>
          <cell r="Y1368">
            <v>0</v>
          </cell>
          <cell r="Z1368">
            <v>0</v>
          </cell>
          <cell r="AA1368">
            <v>0</v>
          </cell>
          <cell r="AB1368">
            <v>0</v>
          </cell>
          <cell r="AC1368">
            <v>0</v>
          </cell>
          <cell r="AD1368">
            <v>0</v>
          </cell>
          <cell r="AP1368">
            <v>0</v>
          </cell>
          <cell r="AQ1368">
            <v>0</v>
          </cell>
          <cell r="AR1368">
            <v>0</v>
          </cell>
          <cell r="AS1368">
            <v>0</v>
          </cell>
          <cell r="BI1368">
            <v>0</v>
          </cell>
          <cell r="BJ1368">
            <v>0</v>
          </cell>
          <cell r="BK1368">
            <v>0</v>
          </cell>
          <cell r="BL1368">
            <v>0</v>
          </cell>
          <cell r="BM1368">
            <v>0</v>
          </cell>
          <cell r="BN1368">
            <v>0</v>
          </cell>
          <cell r="BO1368">
            <v>0</v>
          </cell>
          <cell r="BP1368">
            <v>0</v>
          </cell>
          <cell r="BQ1368">
            <v>0</v>
          </cell>
          <cell r="BR1368">
            <v>0</v>
          </cell>
          <cell r="BT1368">
            <v>0</v>
          </cell>
          <cell r="CA1368" t="str">
            <v>002277 - CONTRACT - Identified - Recompete</v>
          </cell>
          <cell r="CC1368" t="str">
            <v>002277 - CONTRACT - Identified - Recompete - IS4</v>
          </cell>
          <cell r="CD1368" t="str">
            <v/>
          </cell>
          <cell r="CF1368" t="str">
            <v>002277 - Identified - Recompete - IS4</v>
          </cell>
        </row>
        <row r="1369">
          <cell r="D1369">
            <v>1355</v>
          </cell>
          <cell r="E1369">
            <v>0</v>
          </cell>
          <cell r="F1369">
            <v>5</v>
          </cell>
          <cell r="G1369" t="str">
            <v>002277</v>
          </cell>
          <cell r="H1369" t="str">
            <v>002277 JEWC MTNT</v>
          </cell>
          <cell r="I1369" t="str">
            <v>IS4</v>
          </cell>
          <cell r="J1369" t="str">
            <v>IS4 Spectrum &amp; Infrastructure Assurance</v>
          </cell>
          <cell r="K1369" t="str">
            <v>Air Force</v>
          </cell>
          <cell r="L1369" t="str">
            <v>DOD</v>
          </cell>
          <cell r="M1369" t="str">
            <v>TX</v>
          </cell>
          <cell r="N1369" t="str">
            <v>CONUS</v>
          </cell>
          <cell r="O1369">
            <v>43388</v>
          </cell>
          <cell r="P1369">
            <v>43628</v>
          </cell>
          <cell r="Q1369" t="str">
            <v>Sub</v>
          </cell>
          <cell r="R1369" t="str">
            <v>FFP</v>
          </cell>
          <cell r="S1369">
            <v>0</v>
          </cell>
          <cell r="T1369">
            <v>1</v>
          </cell>
          <cell r="U1369" t="str">
            <v>EBITA</v>
          </cell>
          <cell r="V1369" t="str">
            <v>Base</v>
          </cell>
          <cell r="W1369" t="str">
            <v>05 Won</v>
          </cell>
          <cell r="X1369" t="str">
            <v>Active</v>
          </cell>
          <cell r="Y1369">
            <v>1</v>
          </cell>
          <cell r="Z1369">
            <v>0</v>
          </cell>
          <cell r="AA1369">
            <v>196.37999999995324</v>
          </cell>
          <cell r="AB1369">
            <v>1333226</v>
          </cell>
          <cell r="AC1369">
            <v>0</v>
          </cell>
          <cell r="AD1369">
            <v>1333422.3799999999</v>
          </cell>
          <cell r="AT1369">
            <v>8.0423780174720627E-2</v>
          </cell>
          <cell r="AU1369">
            <v>0.12457366662399216</v>
          </cell>
          <cell r="AV1369">
            <v>0.46423916412924787</v>
          </cell>
          <cell r="AW1369">
            <v>-0.54856284050347526</v>
          </cell>
          <cell r="AX1369">
            <v>0.19718236682931917</v>
          </cell>
          <cell r="AY1369">
            <v>0.19818236682931917</v>
          </cell>
          <cell r="AZ1369">
            <v>0.19918236682931917</v>
          </cell>
          <cell r="BA1369">
            <v>0.20018236682931917</v>
          </cell>
          <cell r="BF1369">
            <v>37309.65</v>
          </cell>
          <cell r="BG1369">
            <v>22818.090000000004</v>
          </cell>
          <cell r="BH1369">
            <v>115240.20000000001</v>
          </cell>
          <cell r="BI1369">
            <v>204.79</v>
          </cell>
          <cell r="BJ1369">
            <v>-0.39000000000000012</v>
          </cell>
          <cell r="BK1369">
            <v>0</v>
          </cell>
          <cell r="BL1369">
            <v>0</v>
          </cell>
          <cell r="BM1369">
            <v>204.4</v>
          </cell>
          <cell r="BN1369">
            <v>0</v>
          </cell>
          <cell r="BO1369">
            <v>0</v>
          </cell>
          <cell r="BP1369">
            <v>0</v>
          </cell>
          <cell r="BQ1369">
            <v>0</v>
          </cell>
          <cell r="BR1369">
            <v>204.4</v>
          </cell>
          <cell r="BT1369">
            <v>0</v>
          </cell>
          <cell r="CA1369" t="str">
            <v>002277 - EBITA - Base</v>
          </cell>
          <cell r="CC1369" t="str">
            <v>002277 - EBITA - Base - IS4</v>
          </cell>
          <cell r="CD1369" t="str">
            <v/>
          </cell>
          <cell r="CF1369" t="str">
            <v>002277 - Base - IS4</v>
          </cell>
        </row>
        <row r="1370">
          <cell r="D1370">
            <v>1356</v>
          </cell>
          <cell r="E1370">
            <v>0</v>
          </cell>
          <cell r="F1370">
            <v>0</v>
          </cell>
          <cell r="G1370" t="str">
            <v>002277</v>
          </cell>
          <cell r="H1370" t="str">
            <v>002277 JEWC MTNT</v>
          </cell>
          <cell r="I1370" t="str">
            <v>IS4</v>
          </cell>
          <cell r="J1370" t="str">
            <v>IS4 Spectrum &amp; Infrastructure Assurance</v>
          </cell>
          <cell r="K1370" t="str">
            <v>Air Force</v>
          </cell>
          <cell r="L1370" t="str">
            <v>DOD</v>
          </cell>
          <cell r="M1370" t="str">
            <v>TX</v>
          </cell>
          <cell r="N1370" t="str">
            <v>CONUS</v>
          </cell>
          <cell r="O1370">
            <v>0</v>
          </cell>
          <cell r="P1370">
            <v>0</v>
          </cell>
          <cell r="Q1370">
            <v>0</v>
          </cell>
          <cell r="R1370" t="str">
            <v>FFP</v>
          </cell>
          <cell r="S1370">
            <v>0</v>
          </cell>
          <cell r="T1370">
            <v>1</v>
          </cell>
          <cell r="U1370" t="str">
            <v>EBITA</v>
          </cell>
          <cell r="V1370" t="str">
            <v>Identified - Recompete</v>
          </cell>
          <cell r="W1370">
            <v>0</v>
          </cell>
          <cell r="X1370">
            <v>0</v>
          </cell>
          <cell r="Y1370">
            <v>0</v>
          </cell>
          <cell r="Z1370">
            <v>0</v>
          </cell>
          <cell r="AA1370">
            <v>0</v>
          </cell>
          <cell r="AB1370">
            <v>0</v>
          </cell>
          <cell r="AC1370">
            <v>0</v>
          </cell>
          <cell r="AD1370">
            <v>0</v>
          </cell>
          <cell r="AX1370">
            <v>0</v>
          </cell>
          <cell r="AY1370">
            <v>0</v>
          </cell>
          <cell r="AZ1370">
            <v>0</v>
          </cell>
          <cell r="BA1370">
            <v>0</v>
          </cell>
          <cell r="BI1370">
            <v>0</v>
          </cell>
          <cell r="BJ1370">
            <v>0</v>
          </cell>
          <cell r="BK1370">
            <v>0</v>
          </cell>
          <cell r="BL1370">
            <v>0</v>
          </cell>
          <cell r="BM1370">
            <v>0</v>
          </cell>
          <cell r="BN1370">
            <v>0</v>
          </cell>
          <cell r="BO1370">
            <v>0</v>
          </cell>
          <cell r="BP1370">
            <v>0</v>
          </cell>
          <cell r="BQ1370">
            <v>0</v>
          </cell>
          <cell r="BR1370">
            <v>0</v>
          </cell>
          <cell r="BT1370">
            <v>0</v>
          </cell>
          <cell r="CA1370" t="str">
            <v>002277 - EBITA - Identified - Recompete</v>
          </cell>
          <cell r="CC1370" t="str">
            <v>002277 - EBITA - Identified - Recompete - IS4</v>
          </cell>
          <cell r="CD1370" t="str">
            <v/>
          </cell>
          <cell r="CF1370" t="str">
            <v>002277 - Identified - Recompete - IS4</v>
          </cell>
        </row>
        <row r="1371">
          <cell r="D1371">
            <v>1357</v>
          </cell>
          <cell r="E1371">
            <v>1</v>
          </cell>
          <cell r="F1371">
            <v>1</v>
          </cell>
          <cell r="G1371" t="str">
            <v>CP3162</v>
          </cell>
          <cell r="H1371" t="str">
            <v>G&amp;H Plumbing</v>
          </cell>
          <cell r="I1371" t="str">
            <v>IS4</v>
          </cell>
          <cell r="J1371" t="str">
            <v>IS4 Global Mission Solutions</v>
          </cell>
          <cell r="K1371" t="str">
            <v>Classified Agency</v>
          </cell>
          <cell r="L1371" t="str">
            <v>Classified</v>
          </cell>
          <cell r="M1371" t="str">
            <v>NY</v>
          </cell>
          <cell r="N1371" t="str">
            <v>CONUS</v>
          </cell>
          <cell r="O1371">
            <v>42562</v>
          </cell>
          <cell r="P1371">
            <v>43266</v>
          </cell>
          <cell r="Q1371" t="str">
            <v>Prime</v>
          </cell>
          <cell r="R1371" t="str">
            <v>FFP</v>
          </cell>
          <cell r="S1371">
            <v>0</v>
          </cell>
          <cell r="T1371">
            <v>1</v>
          </cell>
          <cell r="U1371" t="str">
            <v>REVTOT</v>
          </cell>
          <cell r="V1371" t="str">
            <v>Base</v>
          </cell>
          <cell r="W1371" t="str">
            <v>05 Won</v>
          </cell>
          <cell r="X1371" t="str">
            <v>Active</v>
          </cell>
          <cell r="Y1371">
            <v>1</v>
          </cell>
          <cell r="Z1371">
            <v>0</v>
          </cell>
          <cell r="AA1371">
            <v>4265.2400000000325</v>
          </cell>
          <cell r="AB1371">
            <v>0</v>
          </cell>
          <cell r="AC1371">
            <v>0</v>
          </cell>
          <cell r="AD1371">
            <v>4265.2400000000325</v>
          </cell>
          <cell r="AE1371">
            <v>0</v>
          </cell>
          <cell r="AF1371">
            <v>-0.26817063614606784</v>
          </cell>
          <cell r="AG1371">
            <v>-0.83654473651088002</v>
          </cell>
          <cell r="AH1371">
            <v>-1</v>
          </cell>
          <cell r="AI1371">
            <v>0</v>
          </cell>
          <cell r="AJ1371">
            <v>0</v>
          </cell>
          <cell r="AK1371">
            <v>0</v>
          </cell>
          <cell r="BB1371">
            <v>0</v>
          </cell>
          <cell r="BC1371">
            <v>0</v>
          </cell>
          <cell r="BD1371">
            <v>0</v>
          </cell>
          <cell r="BE1371">
            <v>0</v>
          </cell>
          <cell r="BF1371">
            <v>0</v>
          </cell>
          <cell r="BG1371">
            <v>800980.35</v>
          </cell>
          <cell r="BH1371">
            <v>586180.93999999994</v>
          </cell>
          <cell r="BI1371">
            <v>47216.51</v>
          </cell>
          <cell r="BJ1371">
            <v>24515.570000000014</v>
          </cell>
          <cell r="BK1371">
            <v>24082.28</v>
          </cell>
          <cell r="BL1371">
            <v>0</v>
          </cell>
          <cell r="BM1371">
            <v>95814.360000000015</v>
          </cell>
          <cell r="BN1371">
            <v>0</v>
          </cell>
          <cell r="BO1371">
            <v>0</v>
          </cell>
          <cell r="BP1371">
            <v>0</v>
          </cell>
          <cell r="BQ1371">
            <v>0</v>
          </cell>
          <cell r="BR1371">
            <v>95814.360000000015</v>
          </cell>
          <cell r="BT1371">
            <v>0</v>
          </cell>
          <cell r="CA1371" t="str">
            <v>CP3162 - REVTOT - Base</v>
          </cell>
          <cell r="CC1371" t="str">
            <v>CP3162 - REVTOT - Base - IS4</v>
          </cell>
          <cell r="CD1371" t="str">
            <v/>
          </cell>
          <cell r="CF1371" t="str">
            <v>CP3162 - Base - IS4</v>
          </cell>
        </row>
        <row r="1372">
          <cell r="D1372">
            <v>1358</v>
          </cell>
          <cell r="E1372">
            <v>1</v>
          </cell>
          <cell r="F1372">
            <v>2</v>
          </cell>
          <cell r="G1372" t="str">
            <v>CP3162</v>
          </cell>
          <cell r="H1372" t="str">
            <v>G&amp;H Plumbing</v>
          </cell>
          <cell r="I1372" t="str">
            <v>IS4</v>
          </cell>
          <cell r="J1372" t="str">
            <v>IS4 Global Mission Solutions</v>
          </cell>
          <cell r="K1372" t="str">
            <v>Classified Agency</v>
          </cell>
          <cell r="L1372" t="str">
            <v>Classified</v>
          </cell>
          <cell r="M1372" t="str">
            <v>NY</v>
          </cell>
          <cell r="N1372" t="str">
            <v>CONUS</v>
          </cell>
          <cell r="O1372">
            <v>0</v>
          </cell>
          <cell r="P1372">
            <v>0</v>
          </cell>
          <cell r="Q1372">
            <v>0</v>
          </cell>
          <cell r="R1372" t="str">
            <v>FFP</v>
          </cell>
          <cell r="S1372">
            <v>0</v>
          </cell>
          <cell r="T1372">
            <v>1</v>
          </cell>
          <cell r="U1372" t="str">
            <v>REVTOT</v>
          </cell>
          <cell r="V1372" t="str">
            <v>Identified - Recompete</v>
          </cell>
          <cell r="W1372">
            <v>0</v>
          </cell>
          <cell r="X1372">
            <v>0</v>
          </cell>
          <cell r="Y1372">
            <v>0</v>
          </cell>
          <cell r="Z1372">
            <v>0</v>
          </cell>
          <cell r="AA1372">
            <v>0</v>
          </cell>
          <cell r="AB1372">
            <v>0</v>
          </cell>
          <cell r="AC1372">
            <v>0</v>
          </cell>
          <cell r="AD1372">
            <v>0</v>
          </cell>
          <cell r="AI1372">
            <v>0</v>
          </cell>
          <cell r="AJ1372">
            <v>0</v>
          </cell>
          <cell r="AK1372">
            <v>0</v>
          </cell>
          <cell r="BB1372">
            <v>0</v>
          </cell>
          <cell r="BC1372">
            <v>0</v>
          </cell>
          <cell r="BD1372">
            <v>0</v>
          </cell>
          <cell r="BE1372">
            <v>0</v>
          </cell>
          <cell r="BI1372">
            <v>0</v>
          </cell>
          <cell r="BJ1372">
            <v>0</v>
          </cell>
          <cell r="BK1372">
            <v>0</v>
          </cell>
          <cell r="BL1372">
            <v>0</v>
          </cell>
          <cell r="BM1372">
            <v>0</v>
          </cell>
          <cell r="BN1372">
            <v>0</v>
          </cell>
          <cell r="BO1372">
            <v>0</v>
          </cell>
          <cell r="BP1372">
            <v>0</v>
          </cell>
          <cell r="BQ1372">
            <v>0</v>
          </cell>
          <cell r="BR1372">
            <v>0</v>
          </cell>
          <cell r="BT1372">
            <v>0</v>
          </cell>
          <cell r="CA1372" t="str">
            <v>CP3162 - REVTOT - Identified - Recompete</v>
          </cell>
          <cell r="CC1372" t="str">
            <v>CP3162 - REVTOT - Identified - Recompete - IS4</v>
          </cell>
          <cell r="CD1372" t="str">
            <v/>
          </cell>
          <cell r="CF1372" t="str">
            <v>CP3162 - Identified - Recompete - IS4</v>
          </cell>
        </row>
        <row r="1373">
          <cell r="D1373">
            <v>1359</v>
          </cell>
          <cell r="E1373">
            <v>2</v>
          </cell>
          <cell r="F1373">
            <v>3</v>
          </cell>
          <cell r="G1373" t="str">
            <v>CP3162</v>
          </cell>
          <cell r="H1373" t="str">
            <v>G&amp;H Plumbing</v>
          </cell>
          <cell r="I1373" t="str">
            <v>IS4</v>
          </cell>
          <cell r="J1373" t="str">
            <v>IS4 Global Mission Solutions</v>
          </cell>
          <cell r="K1373" t="str">
            <v>Classified Agency</v>
          </cell>
          <cell r="L1373" t="str">
            <v>Classified</v>
          </cell>
          <cell r="M1373" t="str">
            <v>NY</v>
          </cell>
          <cell r="N1373" t="str">
            <v>CONUS</v>
          </cell>
          <cell r="O1373">
            <v>42562</v>
          </cell>
          <cell r="P1373">
            <v>43266</v>
          </cell>
          <cell r="Q1373" t="str">
            <v>Prime</v>
          </cell>
          <cell r="R1373" t="str">
            <v>FFP</v>
          </cell>
          <cell r="S1373">
            <v>0</v>
          </cell>
          <cell r="T1373">
            <v>1</v>
          </cell>
          <cell r="U1373" t="str">
            <v>CONTRACT</v>
          </cell>
          <cell r="V1373" t="str">
            <v>Base</v>
          </cell>
          <cell r="W1373" t="str">
            <v>05 Won</v>
          </cell>
          <cell r="X1373" t="str">
            <v>Active</v>
          </cell>
          <cell r="Y1373">
            <v>1</v>
          </cell>
          <cell r="Z1373">
            <v>0</v>
          </cell>
          <cell r="AA1373">
            <v>4265.2400000000325</v>
          </cell>
          <cell r="AB1373">
            <v>0</v>
          </cell>
          <cell r="AC1373">
            <v>0</v>
          </cell>
          <cell r="AD1373">
            <v>4265.2400000000325</v>
          </cell>
          <cell r="AL1373">
            <v>0</v>
          </cell>
          <cell r="AM1373">
            <v>-1.6820562452000212E-2</v>
          </cell>
          <cell r="AN1373">
            <v>-0.16874100341781842</v>
          </cell>
          <cell r="AO1373">
            <v>-1.4934913722744687</v>
          </cell>
          <cell r="AP1373">
            <v>-0.1722776904664618</v>
          </cell>
          <cell r="AQ1373">
            <v>-0.1722776904664618</v>
          </cell>
          <cell r="AR1373">
            <v>-0.1722776904664618</v>
          </cell>
          <cell r="AS1373">
            <v>-0.1722776904664618</v>
          </cell>
          <cell r="BF1373">
            <v>0</v>
          </cell>
          <cell r="BG1373">
            <v>-13472.939999999988</v>
          </cell>
          <cell r="BH1373">
            <v>-98912.760000000009</v>
          </cell>
          <cell r="BI1373">
            <v>5520.0800000000017</v>
          </cell>
          <cell r="BJ1373">
            <v>-133333.66999999998</v>
          </cell>
          <cell r="BK1373">
            <v>-15284.33</v>
          </cell>
          <cell r="BL1373">
            <v>0</v>
          </cell>
          <cell r="BM1373">
            <v>-143097.91999999998</v>
          </cell>
          <cell r="BN1373">
            <v>0</v>
          </cell>
          <cell r="BO1373">
            <v>0</v>
          </cell>
          <cell r="BP1373">
            <v>0</v>
          </cell>
          <cell r="BQ1373">
            <v>0</v>
          </cell>
          <cell r="BR1373">
            <v>-143097.91999999998</v>
          </cell>
          <cell r="BT1373">
            <v>0</v>
          </cell>
          <cell r="CA1373" t="str">
            <v>CP3162 - CONTRACT - Base</v>
          </cell>
          <cell r="CC1373" t="str">
            <v>CP3162 - CONTRACT - Base - IS4</v>
          </cell>
          <cell r="CD1373" t="str">
            <v/>
          </cell>
          <cell r="CF1373" t="str">
            <v>CP3162 - Base - IS4</v>
          </cell>
        </row>
        <row r="1374">
          <cell r="D1374">
            <v>1360</v>
          </cell>
          <cell r="E1374">
            <v>2</v>
          </cell>
          <cell r="F1374">
            <v>4</v>
          </cell>
          <cell r="G1374" t="str">
            <v>CP3162</v>
          </cell>
          <cell r="H1374" t="str">
            <v>G&amp;H Plumbing</v>
          </cell>
          <cell r="I1374" t="str">
            <v>IS4</v>
          </cell>
          <cell r="J1374" t="str">
            <v>IS4 Global Mission Solutions</v>
          </cell>
          <cell r="K1374" t="str">
            <v>Classified Agency</v>
          </cell>
          <cell r="L1374" t="str">
            <v>Classified</v>
          </cell>
          <cell r="M1374" t="str">
            <v>NY</v>
          </cell>
          <cell r="N1374" t="str">
            <v>CONUS</v>
          </cell>
          <cell r="O1374">
            <v>0</v>
          </cell>
          <cell r="P1374">
            <v>0</v>
          </cell>
          <cell r="Q1374">
            <v>0</v>
          </cell>
          <cell r="R1374" t="str">
            <v>FFP</v>
          </cell>
          <cell r="S1374">
            <v>0</v>
          </cell>
          <cell r="T1374">
            <v>1</v>
          </cell>
          <cell r="U1374" t="str">
            <v>CONTRACT</v>
          </cell>
          <cell r="V1374" t="str">
            <v>Identified - Recompete</v>
          </cell>
          <cell r="W1374">
            <v>0</v>
          </cell>
          <cell r="X1374">
            <v>0</v>
          </cell>
          <cell r="Y1374">
            <v>0</v>
          </cell>
          <cell r="Z1374">
            <v>0</v>
          </cell>
          <cell r="AA1374">
            <v>0</v>
          </cell>
          <cell r="AB1374">
            <v>0</v>
          </cell>
          <cell r="AC1374">
            <v>0</v>
          </cell>
          <cell r="AD1374">
            <v>0</v>
          </cell>
          <cell r="AP1374">
            <v>0</v>
          </cell>
          <cell r="AQ1374">
            <v>0</v>
          </cell>
          <cell r="AR1374">
            <v>0</v>
          </cell>
          <cell r="AS1374">
            <v>0</v>
          </cell>
          <cell r="BI1374">
            <v>0</v>
          </cell>
          <cell r="BJ1374">
            <v>0</v>
          </cell>
          <cell r="BK1374">
            <v>0</v>
          </cell>
          <cell r="BL1374">
            <v>0</v>
          </cell>
          <cell r="BM1374">
            <v>0</v>
          </cell>
          <cell r="BN1374">
            <v>0</v>
          </cell>
          <cell r="BO1374">
            <v>0</v>
          </cell>
          <cell r="BP1374">
            <v>0</v>
          </cell>
          <cell r="BQ1374">
            <v>0</v>
          </cell>
          <cell r="BR1374">
            <v>0</v>
          </cell>
          <cell r="BT1374">
            <v>0</v>
          </cell>
          <cell r="CA1374" t="str">
            <v>CP3162 - CONTRACT - Identified - Recompete</v>
          </cell>
          <cell r="CC1374" t="str">
            <v>CP3162 - CONTRACT - Identified - Recompete - IS4</v>
          </cell>
          <cell r="CD1374" t="str">
            <v/>
          </cell>
          <cell r="CF1374" t="str">
            <v>CP3162 - Identified - Recompete - IS4</v>
          </cell>
        </row>
        <row r="1375">
          <cell r="D1375">
            <v>1361</v>
          </cell>
          <cell r="E1375">
            <v>0</v>
          </cell>
          <cell r="F1375">
            <v>5</v>
          </cell>
          <cell r="G1375" t="str">
            <v>CP3162</v>
          </cell>
          <cell r="H1375" t="str">
            <v>G&amp;H Plumbing</v>
          </cell>
          <cell r="I1375" t="str">
            <v>IS4</v>
          </cell>
          <cell r="J1375" t="str">
            <v>IS4 Global Mission Solutions</v>
          </cell>
          <cell r="K1375" t="str">
            <v>Classified Agency</v>
          </cell>
          <cell r="L1375" t="str">
            <v>Classified</v>
          </cell>
          <cell r="M1375" t="str">
            <v>NY</v>
          </cell>
          <cell r="N1375" t="str">
            <v>CONUS</v>
          </cell>
          <cell r="O1375">
            <v>42562</v>
          </cell>
          <cell r="P1375">
            <v>43266</v>
          </cell>
          <cell r="Q1375" t="str">
            <v>Prime</v>
          </cell>
          <cell r="R1375" t="str">
            <v>FFP</v>
          </cell>
          <cell r="S1375">
            <v>0</v>
          </cell>
          <cell r="T1375">
            <v>1</v>
          </cell>
          <cell r="U1375" t="str">
            <v>EBITA</v>
          </cell>
          <cell r="V1375" t="str">
            <v>Base</v>
          </cell>
          <cell r="W1375" t="str">
            <v>05 Won</v>
          </cell>
          <cell r="X1375" t="str">
            <v>Active</v>
          </cell>
          <cell r="Y1375">
            <v>1</v>
          </cell>
          <cell r="Z1375">
            <v>0</v>
          </cell>
          <cell r="AA1375">
            <v>4265.2400000000325</v>
          </cell>
          <cell r="AB1375">
            <v>0</v>
          </cell>
          <cell r="AC1375">
            <v>0</v>
          </cell>
          <cell r="AD1375">
            <v>4265.2400000000325</v>
          </cell>
          <cell r="AT1375">
            <v>0</v>
          </cell>
          <cell r="AU1375">
            <v>-0.14302971352543167</v>
          </cell>
          <cell r="AV1375">
            <v>-0.35435196852357576</v>
          </cell>
          <cell r="AW1375">
            <v>-1.8171480767601007</v>
          </cell>
          <cell r="AX1375">
            <v>-0.33372379671237345</v>
          </cell>
          <cell r="AY1375">
            <v>-0.33272379671237345</v>
          </cell>
          <cell r="AZ1375">
            <v>-0.33172379671237345</v>
          </cell>
          <cell r="BA1375">
            <v>-0.33072379671237345</v>
          </cell>
          <cell r="BF1375">
            <v>0</v>
          </cell>
          <cell r="BG1375">
            <v>-114563.98999999999</v>
          </cell>
          <cell r="BH1375">
            <v>-207714.37000000002</v>
          </cell>
          <cell r="BI1375">
            <v>6.0000000001309672E-2</v>
          </cell>
          <cell r="BJ1375">
            <v>-154010.07999999996</v>
          </cell>
          <cell r="BK1375">
            <v>-20098.86</v>
          </cell>
          <cell r="BL1375">
            <v>0</v>
          </cell>
          <cell r="BM1375">
            <v>-174108.87999999995</v>
          </cell>
          <cell r="BN1375">
            <v>0</v>
          </cell>
          <cell r="BO1375">
            <v>0</v>
          </cell>
          <cell r="BP1375">
            <v>0</v>
          </cell>
          <cell r="BQ1375">
            <v>0</v>
          </cell>
          <cell r="BR1375">
            <v>-174108.87999999995</v>
          </cell>
          <cell r="BT1375">
            <v>0</v>
          </cell>
          <cell r="CA1375" t="str">
            <v>CP3162 - EBITA - Base</v>
          </cell>
          <cell r="CC1375" t="str">
            <v>CP3162 - EBITA - Base - IS4</v>
          </cell>
          <cell r="CD1375" t="str">
            <v/>
          </cell>
          <cell r="CF1375" t="str">
            <v>CP3162 - Base - IS4</v>
          </cell>
        </row>
        <row r="1376">
          <cell r="D1376">
            <v>1362</v>
          </cell>
          <cell r="E1376">
            <v>0</v>
          </cell>
          <cell r="F1376">
            <v>0</v>
          </cell>
          <cell r="G1376" t="str">
            <v>CP3162</v>
          </cell>
          <cell r="H1376" t="str">
            <v>G&amp;H Plumbing</v>
          </cell>
          <cell r="I1376" t="str">
            <v>IS4</v>
          </cell>
          <cell r="J1376" t="str">
            <v>IS4 Global Mission Solutions</v>
          </cell>
          <cell r="K1376" t="str">
            <v>Classified Agency</v>
          </cell>
          <cell r="L1376" t="str">
            <v>Classified</v>
          </cell>
          <cell r="M1376" t="str">
            <v>NY</v>
          </cell>
          <cell r="N1376" t="str">
            <v>CONUS</v>
          </cell>
          <cell r="O1376">
            <v>0</v>
          </cell>
          <cell r="P1376">
            <v>0</v>
          </cell>
          <cell r="Q1376">
            <v>0</v>
          </cell>
          <cell r="R1376" t="str">
            <v>FFP</v>
          </cell>
          <cell r="S1376">
            <v>0</v>
          </cell>
          <cell r="T1376">
            <v>1</v>
          </cell>
          <cell r="U1376" t="str">
            <v>EBITA</v>
          </cell>
          <cell r="V1376" t="str">
            <v>Identified - Recompete</v>
          </cell>
          <cell r="W1376">
            <v>0</v>
          </cell>
          <cell r="X1376">
            <v>0</v>
          </cell>
          <cell r="Y1376">
            <v>0</v>
          </cell>
          <cell r="Z1376">
            <v>0</v>
          </cell>
          <cell r="AA1376">
            <v>0</v>
          </cell>
          <cell r="AB1376">
            <v>0</v>
          </cell>
          <cell r="AC1376">
            <v>0</v>
          </cell>
          <cell r="AD1376">
            <v>0</v>
          </cell>
          <cell r="AX1376">
            <v>0</v>
          </cell>
          <cell r="AY1376">
            <v>0</v>
          </cell>
          <cell r="AZ1376">
            <v>0</v>
          </cell>
          <cell r="BA1376">
            <v>0</v>
          </cell>
          <cell r="BI1376">
            <v>0</v>
          </cell>
          <cell r="BJ1376">
            <v>0</v>
          </cell>
          <cell r="BK1376">
            <v>0</v>
          </cell>
          <cell r="BL1376">
            <v>0</v>
          </cell>
          <cell r="BM1376">
            <v>0</v>
          </cell>
          <cell r="BN1376">
            <v>0</v>
          </cell>
          <cell r="BO1376">
            <v>0</v>
          </cell>
          <cell r="BP1376">
            <v>0</v>
          </cell>
          <cell r="BQ1376">
            <v>0</v>
          </cell>
          <cell r="BR1376">
            <v>0</v>
          </cell>
          <cell r="BT1376">
            <v>0</v>
          </cell>
          <cell r="CA1376" t="str">
            <v>CP3162 - EBITA - Identified - Recompete</v>
          </cell>
          <cell r="CC1376" t="str">
            <v>CP3162 - EBITA - Identified - Recompete - IS4</v>
          </cell>
          <cell r="CD1376" t="str">
            <v/>
          </cell>
          <cell r="CF1376" t="str">
            <v>CP3162 - Identified - Recompete - IS4</v>
          </cell>
        </row>
        <row r="1377">
          <cell r="D1377">
            <v>1363</v>
          </cell>
          <cell r="E1377">
            <v>1</v>
          </cell>
          <cell r="F1377">
            <v>1</v>
          </cell>
          <cell r="G1377" t="str">
            <v>GLSSPT</v>
          </cell>
          <cell r="H1377" t="str">
            <v>GLS LLS Support</v>
          </cell>
          <cell r="I1377" t="str">
            <v>IS4</v>
          </cell>
          <cell r="J1377" t="str">
            <v>IS4 Global Mission Solutions</v>
          </cell>
          <cell r="K1377" t="str">
            <v>Army</v>
          </cell>
          <cell r="L1377" t="str">
            <v>DOD</v>
          </cell>
          <cell r="M1377" t="str">
            <v>US_State</v>
          </cell>
          <cell r="N1377" t="str">
            <v>CONUS</v>
          </cell>
          <cell r="O1377">
            <v>0</v>
          </cell>
          <cell r="P1377">
            <v>0</v>
          </cell>
          <cell r="Q1377" t="str">
            <v>Prime</v>
          </cell>
          <cell r="R1377" t="str">
            <v>CPNF</v>
          </cell>
          <cell r="S1377">
            <v>0</v>
          </cell>
          <cell r="T1377">
            <v>1</v>
          </cell>
          <cell r="U1377" t="str">
            <v>REVTOT</v>
          </cell>
          <cell r="V1377" t="str">
            <v>Base</v>
          </cell>
          <cell r="W1377" t="str">
            <v>05 Won</v>
          </cell>
          <cell r="X1377" t="str">
            <v>Active</v>
          </cell>
          <cell r="Y1377">
            <v>1</v>
          </cell>
          <cell r="Z1377">
            <v>0</v>
          </cell>
          <cell r="AA1377">
            <v>-1.1641532182693481E-10</v>
          </cell>
          <cell r="AB1377">
            <v>0</v>
          </cell>
          <cell r="AC1377">
            <v>0</v>
          </cell>
          <cell r="AD1377">
            <v>-1.1641532182693481E-10</v>
          </cell>
          <cell r="AE1377">
            <v>0</v>
          </cell>
          <cell r="AF1377">
            <v>9.1476235516285698E-2</v>
          </cell>
          <cell r="AG1377">
            <v>0.18607460262626763</v>
          </cell>
          <cell r="AH1377">
            <v>-1</v>
          </cell>
          <cell r="AI1377">
            <v>0</v>
          </cell>
          <cell r="AJ1377">
            <v>0</v>
          </cell>
          <cell r="AK1377">
            <v>0</v>
          </cell>
          <cell r="BB1377">
            <v>0</v>
          </cell>
          <cell r="BC1377">
            <v>0</v>
          </cell>
          <cell r="BD1377">
            <v>0</v>
          </cell>
          <cell r="BE1377">
            <v>0</v>
          </cell>
          <cell r="BF1377">
            <v>0</v>
          </cell>
          <cell r="BG1377">
            <v>1032138.56</v>
          </cell>
          <cell r="BH1377">
            <v>1126554.71</v>
          </cell>
          <cell r="BI1377">
            <v>230222.2</v>
          </cell>
          <cell r="BJ1377">
            <v>267797.60000000003</v>
          </cell>
          <cell r="BK1377">
            <v>530158.13</v>
          </cell>
          <cell r="BL1377">
            <v>308000</v>
          </cell>
          <cell r="BM1377">
            <v>1336177.9300000002</v>
          </cell>
          <cell r="BN1377">
            <v>0</v>
          </cell>
          <cell r="BO1377">
            <v>0</v>
          </cell>
          <cell r="BP1377">
            <v>0</v>
          </cell>
          <cell r="BQ1377">
            <v>0</v>
          </cell>
          <cell r="BR1377">
            <v>1336177.9300000002</v>
          </cell>
          <cell r="BT1377">
            <v>0</v>
          </cell>
          <cell r="CA1377" t="str">
            <v>GLSSPT - REVTOT - Base</v>
          </cell>
          <cell r="CC1377" t="str">
            <v>GLSSPT - REVTOT - Base - IS4</v>
          </cell>
          <cell r="CD1377" t="str">
            <v/>
          </cell>
          <cell r="CF1377" t="str">
            <v>GLSSPT - Base - IS4</v>
          </cell>
        </row>
        <row r="1378">
          <cell r="D1378">
            <v>1364</v>
          </cell>
          <cell r="E1378">
            <v>1</v>
          </cell>
          <cell r="F1378">
            <v>2</v>
          </cell>
          <cell r="G1378" t="str">
            <v>GLSSPT</v>
          </cell>
          <cell r="H1378" t="str">
            <v>GLS LLS Support</v>
          </cell>
          <cell r="I1378" t="str">
            <v>IS4</v>
          </cell>
          <cell r="J1378" t="str">
            <v>IS4 Global Mission Solutions</v>
          </cell>
          <cell r="K1378" t="str">
            <v>Army</v>
          </cell>
          <cell r="L1378" t="str">
            <v>DOD</v>
          </cell>
          <cell r="M1378" t="str">
            <v>US_State</v>
          </cell>
          <cell r="N1378" t="str">
            <v>CONUS</v>
          </cell>
          <cell r="O1378">
            <v>0</v>
          </cell>
          <cell r="P1378">
            <v>0</v>
          </cell>
          <cell r="Q1378">
            <v>0</v>
          </cell>
          <cell r="R1378" t="str">
            <v>CPNF</v>
          </cell>
          <cell r="S1378">
            <v>0</v>
          </cell>
          <cell r="T1378">
            <v>1</v>
          </cell>
          <cell r="U1378" t="str">
            <v>REVTOT</v>
          </cell>
          <cell r="V1378" t="str">
            <v>Identified - Recompete</v>
          </cell>
          <cell r="W1378">
            <v>0</v>
          </cell>
          <cell r="X1378">
            <v>0</v>
          </cell>
          <cell r="Y1378">
            <v>0</v>
          </cell>
          <cell r="Z1378">
            <v>0</v>
          </cell>
          <cell r="AA1378">
            <v>0</v>
          </cell>
          <cell r="AB1378">
            <v>0</v>
          </cell>
          <cell r="AC1378">
            <v>0</v>
          </cell>
          <cell r="AD1378">
            <v>0</v>
          </cell>
          <cell r="AI1378">
            <v>0</v>
          </cell>
          <cell r="AJ1378">
            <v>0</v>
          </cell>
          <cell r="AK1378">
            <v>0</v>
          </cell>
          <cell r="BB1378">
            <v>0</v>
          </cell>
          <cell r="BC1378">
            <v>0</v>
          </cell>
          <cell r="BD1378">
            <v>0</v>
          </cell>
          <cell r="BE1378">
            <v>0</v>
          </cell>
          <cell r="BI1378">
            <v>0</v>
          </cell>
          <cell r="BJ1378">
            <v>0</v>
          </cell>
          <cell r="BK1378">
            <v>0</v>
          </cell>
          <cell r="BL1378">
            <v>0</v>
          </cell>
          <cell r="BM1378">
            <v>0</v>
          </cell>
          <cell r="BN1378">
            <v>0</v>
          </cell>
          <cell r="BO1378">
            <v>0</v>
          </cell>
          <cell r="BP1378">
            <v>0</v>
          </cell>
          <cell r="BQ1378">
            <v>0</v>
          </cell>
          <cell r="BR1378">
            <v>0</v>
          </cell>
          <cell r="BT1378">
            <v>0</v>
          </cell>
          <cell r="CA1378" t="str">
            <v>GLSSPT - REVTOT - Identified - Recompete</v>
          </cell>
          <cell r="CC1378" t="str">
            <v>GLSSPT - REVTOT - Identified - Recompete - IS4</v>
          </cell>
          <cell r="CD1378" t="str">
            <v/>
          </cell>
          <cell r="CF1378" t="str">
            <v>GLSSPT - Identified - Recompete - IS4</v>
          </cell>
        </row>
        <row r="1379">
          <cell r="D1379">
            <v>1365</v>
          </cell>
          <cell r="E1379">
            <v>2</v>
          </cell>
          <cell r="F1379">
            <v>3</v>
          </cell>
          <cell r="G1379" t="str">
            <v>GLSSPT</v>
          </cell>
          <cell r="H1379" t="str">
            <v>GLS LLS Support</v>
          </cell>
          <cell r="I1379" t="str">
            <v>IS4</v>
          </cell>
          <cell r="J1379" t="str">
            <v>IS4 Global Mission Solutions</v>
          </cell>
          <cell r="K1379" t="str">
            <v>Army</v>
          </cell>
          <cell r="L1379" t="str">
            <v>DOD</v>
          </cell>
          <cell r="M1379" t="str">
            <v>US_State</v>
          </cell>
          <cell r="N1379" t="str">
            <v>CONUS</v>
          </cell>
          <cell r="O1379">
            <v>0</v>
          </cell>
          <cell r="P1379">
            <v>0</v>
          </cell>
          <cell r="Q1379" t="str">
            <v>Prime</v>
          </cell>
          <cell r="R1379" t="str">
            <v>CPNF</v>
          </cell>
          <cell r="S1379">
            <v>0</v>
          </cell>
          <cell r="T1379">
            <v>1</v>
          </cell>
          <cell r="U1379" t="str">
            <v>CONTRACT</v>
          </cell>
          <cell r="V1379" t="str">
            <v>Base</v>
          </cell>
          <cell r="W1379" t="str">
            <v>05 Won</v>
          </cell>
          <cell r="X1379" t="str">
            <v>Active</v>
          </cell>
          <cell r="Y1379">
            <v>1</v>
          </cell>
          <cell r="Z1379">
            <v>0</v>
          </cell>
          <cell r="AA1379">
            <v>-1.1641532182693481E-10</v>
          </cell>
          <cell r="AB1379">
            <v>0</v>
          </cell>
          <cell r="AC1379">
            <v>0</v>
          </cell>
          <cell r="AD1379">
            <v>-1.1641532182693481E-10</v>
          </cell>
          <cell r="AL1379">
            <v>0</v>
          </cell>
          <cell r="AM1379">
            <v>6.884580496634099E-2</v>
          </cell>
          <cell r="AN1379">
            <v>9.8489837213498549E-2</v>
          </cell>
          <cell r="AO1379">
            <v>0.10470618235701597</v>
          </cell>
          <cell r="AP1379">
            <v>9.2111746492975252E-2</v>
          </cell>
          <cell r="AQ1379">
            <v>9.2111746492975252E-2</v>
          </cell>
          <cell r="AR1379">
            <v>9.2111746492975252E-2</v>
          </cell>
          <cell r="AS1379">
            <v>9.2111746492975252E-2</v>
          </cell>
          <cell r="BF1379">
            <v>0</v>
          </cell>
          <cell r="BG1379">
            <v>71058.410000000047</v>
          </cell>
          <cell r="BH1379">
            <v>110954.19000000006</v>
          </cell>
          <cell r="BI1379">
            <v>23603.480000000018</v>
          </cell>
          <cell r="BJ1379">
            <v>30628.690000000031</v>
          </cell>
          <cell r="BK1379">
            <v>47357.120000000068</v>
          </cell>
          <cell r="BL1379">
            <v>38316.800000000003</v>
          </cell>
          <cell r="BM1379">
            <v>139906.09000000014</v>
          </cell>
          <cell r="BN1379">
            <v>0</v>
          </cell>
          <cell r="BO1379">
            <v>0</v>
          </cell>
          <cell r="BP1379">
            <v>0</v>
          </cell>
          <cell r="BQ1379">
            <v>0</v>
          </cell>
          <cell r="BR1379">
            <v>139906.09000000014</v>
          </cell>
          <cell r="BT1379">
            <v>0</v>
          </cell>
          <cell r="CA1379" t="str">
            <v>GLSSPT - CONTRACT - Base</v>
          </cell>
          <cell r="CC1379" t="str">
            <v>GLSSPT - CONTRACT - Base - IS4</v>
          </cell>
          <cell r="CD1379" t="str">
            <v/>
          </cell>
          <cell r="CF1379" t="str">
            <v>GLSSPT - Base - IS4</v>
          </cell>
        </row>
        <row r="1380">
          <cell r="D1380">
            <v>1366</v>
          </cell>
          <cell r="E1380">
            <v>2</v>
          </cell>
          <cell r="F1380">
            <v>4</v>
          </cell>
          <cell r="G1380" t="str">
            <v>GLSSPT</v>
          </cell>
          <cell r="H1380" t="str">
            <v>GLS LLS Support</v>
          </cell>
          <cell r="I1380" t="str">
            <v>IS4</v>
          </cell>
          <cell r="J1380" t="str">
            <v>IS4 Global Mission Solutions</v>
          </cell>
          <cell r="K1380" t="str">
            <v>Army</v>
          </cell>
          <cell r="L1380" t="str">
            <v>DOD</v>
          </cell>
          <cell r="M1380" t="str">
            <v>US_State</v>
          </cell>
          <cell r="N1380" t="str">
            <v>CONUS</v>
          </cell>
          <cell r="O1380">
            <v>0</v>
          </cell>
          <cell r="P1380">
            <v>0</v>
          </cell>
          <cell r="Q1380">
            <v>0</v>
          </cell>
          <cell r="R1380" t="str">
            <v>CPNF</v>
          </cell>
          <cell r="S1380">
            <v>0</v>
          </cell>
          <cell r="T1380">
            <v>1</v>
          </cell>
          <cell r="U1380" t="str">
            <v>CONTRACT</v>
          </cell>
          <cell r="V1380" t="str">
            <v>Identified - Recompete</v>
          </cell>
          <cell r="W1380">
            <v>0</v>
          </cell>
          <cell r="X1380">
            <v>0</v>
          </cell>
          <cell r="Y1380">
            <v>0</v>
          </cell>
          <cell r="Z1380">
            <v>0</v>
          </cell>
          <cell r="AA1380">
            <v>0</v>
          </cell>
          <cell r="AB1380">
            <v>0</v>
          </cell>
          <cell r="AC1380">
            <v>0</v>
          </cell>
          <cell r="AD1380">
            <v>0</v>
          </cell>
          <cell r="AP1380">
            <v>0</v>
          </cell>
          <cell r="AQ1380">
            <v>0</v>
          </cell>
          <cell r="AR1380">
            <v>0</v>
          </cell>
          <cell r="AS1380">
            <v>0</v>
          </cell>
          <cell r="BI1380">
            <v>0</v>
          </cell>
          <cell r="BJ1380">
            <v>0</v>
          </cell>
          <cell r="BK1380">
            <v>0</v>
          </cell>
          <cell r="BL1380">
            <v>0</v>
          </cell>
          <cell r="BM1380">
            <v>0</v>
          </cell>
          <cell r="BN1380">
            <v>0</v>
          </cell>
          <cell r="BO1380">
            <v>0</v>
          </cell>
          <cell r="BP1380">
            <v>0</v>
          </cell>
          <cell r="BQ1380">
            <v>0</v>
          </cell>
          <cell r="BR1380">
            <v>0</v>
          </cell>
          <cell r="BT1380">
            <v>0</v>
          </cell>
          <cell r="CA1380" t="str">
            <v>GLSSPT - CONTRACT - Identified - Recompete</v>
          </cell>
          <cell r="CC1380" t="str">
            <v>GLSSPT - CONTRACT - Identified - Recompete - IS4</v>
          </cell>
          <cell r="CD1380" t="str">
            <v/>
          </cell>
          <cell r="CF1380" t="str">
            <v>GLSSPT - Identified - Recompete - IS4</v>
          </cell>
        </row>
        <row r="1381">
          <cell r="D1381">
            <v>1367</v>
          </cell>
          <cell r="E1381">
            <v>0</v>
          </cell>
          <cell r="F1381">
            <v>5</v>
          </cell>
          <cell r="G1381" t="str">
            <v>GLSSPT</v>
          </cell>
          <cell r="H1381" t="str">
            <v>GLS LLS Support</v>
          </cell>
          <cell r="I1381" t="str">
            <v>IS4</v>
          </cell>
          <cell r="J1381" t="str">
            <v>IS4 Global Mission Solutions</v>
          </cell>
          <cell r="K1381" t="str">
            <v>Army</v>
          </cell>
          <cell r="L1381" t="str">
            <v>DOD</v>
          </cell>
          <cell r="M1381" t="str">
            <v>US_State</v>
          </cell>
          <cell r="N1381" t="str">
            <v>CONUS</v>
          </cell>
          <cell r="O1381">
            <v>0</v>
          </cell>
          <cell r="P1381">
            <v>0</v>
          </cell>
          <cell r="Q1381" t="str">
            <v>Prime</v>
          </cell>
          <cell r="R1381" t="str">
            <v>CPNF</v>
          </cell>
          <cell r="S1381">
            <v>0</v>
          </cell>
          <cell r="T1381">
            <v>1</v>
          </cell>
          <cell r="U1381" t="str">
            <v>EBITA</v>
          </cell>
          <cell r="V1381" t="str">
            <v>Base</v>
          </cell>
          <cell r="W1381" t="str">
            <v>05 Won</v>
          </cell>
          <cell r="X1381" t="str">
            <v>Active</v>
          </cell>
          <cell r="Y1381">
            <v>1</v>
          </cell>
          <cell r="Z1381">
            <v>0</v>
          </cell>
          <cell r="AA1381">
            <v>-1.1641532182693481E-10</v>
          </cell>
          <cell r="AB1381">
            <v>0</v>
          </cell>
          <cell r="AC1381">
            <v>0</v>
          </cell>
          <cell r="AD1381">
            <v>-1.1641532182693481E-10</v>
          </cell>
          <cell r="AT1381">
            <v>0</v>
          </cell>
          <cell r="AU1381">
            <v>5.8131729953937012E-8</v>
          </cell>
          <cell r="AV1381">
            <v>3.7944229964053522E-17</v>
          </cell>
          <cell r="AW1381">
            <v>8.7125613448004483E-17</v>
          </cell>
          <cell r="AX1381">
            <v>1.7168014719434293E-8</v>
          </cell>
          <cell r="AY1381">
            <v>1.7168014719434293E-8</v>
          </cell>
          <cell r="AZ1381">
            <v>1.7168014719434293E-8</v>
          </cell>
          <cell r="BA1381">
            <v>1.7168014719434293E-8</v>
          </cell>
          <cell r="BF1381">
            <v>0</v>
          </cell>
          <cell r="BG1381">
            <v>6.0000000044965418E-2</v>
          </cell>
          <cell r="BH1381">
            <v>4.2746250983327627E-11</v>
          </cell>
          <cell r="BI1381">
            <v>1.6370904631912708E-11</v>
          </cell>
          <cell r="BJ1381">
            <v>3.092281986027956E-11</v>
          </cell>
          <cell r="BK1381">
            <v>6.5483618527650833E-11</v>
          </cell>
          <cell r="BL1381">
            <v>3.637978807091713E-12</v>
          </cell>
          <cell r="BM1381">
            <v>1.1641532182693481E-10</v>
          </cell>
          <cell r="BN1381">
            <v>0</v>
          </cell>
          <cell r="BO1381">
            <v>0</v>
          </cell>
          <cell r="BP1381">
            <v>0</v>
          </cell>
          <cell r="BQ1381">
            <v>0</v>
          </cell>
          <cell r="BR1381">
            <v>1.1641532182693481E-10</v>
          </cell>
          <cell r="BT1381">
            <v>0</v>
          </cell>
          <cell r="CA1381" t="str">
            <v>GLSSPT - EBITA - Base</v>
          </cell>
          <cell r="CC1381" t="str">
            <v>GLSSPT - EBITA - Base - IS4</v>
          </cell>
          <cell r="CD1381" t="str">
            <v/>
          </cell>
          <cell r="CF1381" t="str">
            <v>GLSSPT - Base - IS4</v>
          </cell>
        </row>
        <row r="1382">
          <cell r="D1382">
            <v>1368</v>
          </cell>
          <cell r="E1382">
            <v>0</v>
          </cell>
          <cell r="F1382">
            <v>0</v>
          </cell>
          <cell r="G1382" t="str">
            <v>GLSSPT</v>
          </cell>
          <cell r="H1382" t="str">
            <v>GLS LLS Support</v>
          </cell>
          <cell r="I1382" t="str">
            <v>IS4</v>
          </cell>
          <cell r="J1382" t="str">
            <v>IS4 Global Mission Solutions</v>
          </cell>
          <cell r="K1382" t="str">
            <v>Army</v>
          </cell>
          <cell r="L1382" t="str">
            <v>DOD</v>
          </cell>
          <cell r="M1382" t="str">
            <v>US_State</v>
          </cell>
          <cell r="N1382" t="str">
            <v>CONUS</v>
          </cell>
          <cell r="O1382">
            <v>0</v>
          </cell>
          <cell r="P1382">
            <v>0</v>
          </cell>
          <cell r="Q1382">
            <v>0</v>
          </cell>
          <cell r="R1382" t="str">
            <v>CPNF</v>
          </cell>
          <cell r="S1382">
            <v>0</v>
          </cell>
          <cell r="T1382">
            <v>1</v>
          </cell>
          <cell r="U1382" t="str">
            <v>EBITA</v>
          </cell>
          <cell r="V1382" t="str">
            <v>Identified - Recompete</v>
          </cell>
          <cell r="W1382">
            <v>0</v>
          </cell>
          <cell r="X1382">
            <v>0</v>
          </cell>
          <cell r="Y1382">
            <v>0</v>
          </cell>
          <cell r="Z1382">
            <v>0</v>
          </cell>
          <cell r="AA1382">
            <v>0</v>
          </cell>
          <cell r="AB1382">
            <v>0</v>
          </cell>
          <cell r="AC1382">
            <v>0</v>
          </cell>
          <cell r="AD1382">
            <v>0</v>
          </cell>
          <cell r="AX1382">
            <v>0</v>
          </cell>
          <cell r="AY1382">
            <v>0</v>
          </cell>
          <cell r="AZ1382">
            <v>0</v>
          </cell>
          <cell r="BA1382">
            <v>0</v>
          </cell>
          <cell r="BI1382">
            <v>0</v>
          </cell>
          <cell r="BJ1382">
            <v>0</v>
          </cell>
          <cell r="BK1382">
            <v>0</v>
          </cell>
          <cell r="BL1382">
            <v>0</v>
          </cell>
          <cell r="BM1382">
            <v>0</v>
          </cell>
          <cell r="BN1382">
            <v>0</v>
          </cell>
          <cell r="BO1382">
            <v>0</v>
          </cell>
          <cell r="BP1382">
            <v>0</v>
          </cell>
          <cell r="BQ1382">
            <v>0</v>
          </cell>
          <cell r="BR1382">
            <v>0</v>
          </cell>
          <cell r="BT1382">
            <v>0</v>
          </cell>
          <cell r="CA1382" t="str">
            <v>GLSSPT - EBITA - Identified - Recompete</v>
          </cell>
          <cell r="CC1382" t="str">
            <v>GLSSPT - EBITA - Identified - Recompete - IS4</v>
          </cell>
          <cell r="CD1382" t="str">
            <v/>
          </cell>
          <cell r="CF1382" t="str">
            <v>GLSSPT - Identified - Recompete - IS4</v>
          </cell>
        </row>
        <row r="1383">
          <cell r="D1383">
            <v>1369</v>
          </cell>
          <cell r="E1383">
            <v>1</v>
          </cell>
          <cell r="F1383">
            <v>1</v>
          </cell>
          <cell r="G1383" t="str">
            <v>KSWENG</v>
          </cell>
          <cell r="H1383" t="str">
            <v>K Dept Software Engineering</v>
          </cell>
          <cell r="I1383" t="str">
            <v>IS4</v>
          </cell>
          <cell r="J1383" t="str">
            <v>IS4 Spectrum &amp; Infrastructure Assurance</v>
          </cell>
          <cell r="K1383" t="str">
            <v>Navy</v>
          </cell>
          <cell r="L1383" t="str">
            <v>DOD</v>
          </cell>
          <cell r="M1383" t="str">
            <v>VA</v>
          </cell>
          <cell r="N1383" t="str">
            <v>CONUS</v>
          </cell>
          <cell r="O1383">
            <v>42125</v>
          </cell>
          <cell r="P1383">
            <v>44195</v>
          </cell>
          <cell r="Q1383" t="str">
            <v>Prime</v>
          </cell>
          <cell r="R1383" t="str">
            <v>CPIF</v>
          </cell>
          <cell r="S1383">
            <v>0</v>
          </cell>
          <cell r="T1383">
            <v>1</v>
          </cell>
          <cell r="U1383" t="str">
            <v>REVTOT</v>
          </cell>
          <cell r="V1383" t="str">
            <v>Base</v>
          </cell>
          <cell r="W1383" t="str">
            <v>05 Won</v>
          </cell>
          <cell r="X1383" t="str">
            <v>Active</v>
          </cell>
          <cell r="Y1383">
            <v>1</v>
          </cell>
          <cell r="Z1383">
            <v>0</v>
          </cell>
          <cell r="AA1383">
            <v>11039974.330000004</v>
          </cell>
          <cell r="AB1383">
            <v>14907351</v>
          </cell>
          <cell r="AC1383">
            <v>0</v>
          </cell>
          <cell r="AD1383">
            <v>25947325.330000006</v>
          </cell>
          <cell r="AE1383">
            <v>0.25988478310830421</v>
          </cell>
          <cell r="AF1383">
            <v>0.19061172030941287</v>
          </cell>
          <cell r="AG1383">
            <v>0.33609119718274605</v>
          </cell>
          <cell r="AH1383">
            <v>-1.4169893167765291E-2</v>
          </cell>
          <cell r="AI1383">
            <v>0</v>
          </cell>
          <cell r="AJ1383">
            <v>0</v>
          </cell>
          <cell r="AK1383">
            <v>0</v>
          </cell>
          <cell r="BB1383">
            <v>8390412.5100000016</v>
          </cell>
          <cell r="BC1383">
            <v>8390412.5100000016</v>
          </cell>
          <cell r="BD1383">
            <v>8390412.5100000016</v>
          </cell>
          <cell r="BE1383">
            <v>8390412.5100000016</v>
          </cell>
          <cell r="BF1383">
            <v>4246627.32</v>
          </cell>
          <cell r="BG1383">
            <v>5350261.1399999997</v>
          </cell>
          <cell r="BH1383">
            <v>6370083.6200000001</v>
          </cell>
          <cell r="BI1383">
            <v>1697446.81</v>
          </cell>
          <cell r="BJ1383">
            <v>2082287.25</v>
          </cell>
          <cell r="BK1383">
            <v>2493396.6</v>
          </cell>
          <cell r="BL1383">
            <v>2237881.9900000002</v>
          </cell>
          <cell r="BM1383">
            <v>8511012.6500000004</v>
          </cell>
          <cell r="BN1383">
            <v>8390412.5100000016</v>
          </cell>
          <cell r="BO1383">
            <v>2097603.1275000004</v>
          </cell>
          <cell r="BP1383">
            <v>0</v>
          </cell>
          <cell r="BQ1383">
            <v>0</v>
          </cell>
          <cell r="BR1383">
            <v>18999028.287500005</v>
          </cell>
          <cell r="BT1383">
            <v>0</v>
          </cell>
          <cell r="CA1383" t="str">
            <v>KSWENG - REVTOT - Base</v>
          </cell>
          <cell r="CC1383" t="str">
            <v>KSWENG - REVTOT - Base - IS4</v>
          </cell>
          <cell r="CD1383" t="str">
            <v/>
          </cell>
          <cell r="CF1383" t="str">
            <v>KSWENG - Base - IS4</v>
          </cell>
        </row>
        <row r="1384">
          <cell r="D1384">
            <v>1370</v>
          </cell>
          <cell r="E1384">
            <v>1</v>
          </cell>
          <cell r="F1384">
            <v>2</v>
          </cell>
          <cell r="G1384" t="str">
            <v>KSWENG</v>
          </cell>
          <cell r="H1384" t="str">
            <v>K Dept Software Engineering</v>
          </cell>
          <cell r="I1384" t="str">
            <v>IS4</v>
          </cell>
          <cell r="J1384" t="str">
            <v>IS4 Spectrum &amp; Infrastructure Assurance</v>
          </cell>
          <cell r="K1384" t="str">
            <v>Navy</v>
          </cell>
          <cell r="L1384" t="str">
            <v>DOD</v>
          </cell>
          <cell r="M1384" t="str">
            <v>VA</v>
          </cell>
          <cell r="N1384" t="str">
            <v>CONUS</v>
          </cell>
          <cell r="O1384">
            <v>44184</v>
          </cell>
          <cell r="P1384">
            <v>46010</v>
          </cell>
          <cell r="Q1384" t="str">
            <v>Prime</v>
          </cell>
          <cell r="R1384" t="str">
            <v>CPIF</v>
          </cell>
          <cell r="S1384">
            <v>0</v>
          </cell>
          <cell r="T1384">
            <v>1</v>
          </cell>
          <cell r="U1384" t="str">
            <v>REVTOT</v>
          </cell>
          <cell r="V1384" t="str">
            <v>Identified - Recompete</v>
          </cell>
          <cell r="W1384" t="str">
            <v>02 Capture</v>
          </cell>
          <cell r="X1384" t="str">
            <v>Priority 2</v>
          </cell>
          <cell r="Y1384">
            <v>0.5</v>
          </cell>
          <cell r="Z1384">
            <v>65000000</v>
          </cell>
          <cell r="AA1384">
            <v>0</v>
          </cell>
          <cell r="AB1384">
            <v>0</v>
          </cell>
          <cell r="AC1384">
            <v>0</v>
          </cell>
          <cell r="AD1384">
            <v>0</v>
          </cell>
          <cell r="AI1384">
            <v>0</v>
          </cell>
          <cell r="AJ1384">
            <v>0</v>
          </cell>
          <cell r="AK1384">
            <v>0</v>
          </cell>
          <cell r="BB1384">
            <v>13000000</v>
          </cell>
          <cell r="BC1384">
            <v>13000000</v>
          </cell>
          <cell r="BD1384">
            <v>13000000</v>
          </cell>
          <cell r="BE1384">
            <v>13000000</v>
          </cell>
          <cell r="BI1384">
            <v>0</v>
          </cell>
          <cell r="BJ1384">
            <v>0</v>
          </cell>
          <cell r="BK1384">
            <v>0</v>
          </cell>
          <cell r="BL1384">
            <v>0</v>
          </cell>
          <cell r="BM1384">
            <v>0</v>
          </cell>
          <cell r="BN1384">
            <v>0</v>
          </cell>
          <cell r="BO1384">
            <v>5073611.111111111</v>
          </cell>
          <cell r="BP1384">
            <v>6500000</v>
          </cell>
          <cell r="BQ1384">
            <v>6500000</v>
          </cell>
          <cell r="BR1384">
            <v>18073611.111111112</v>
          </cell>
          <cell r="BT1384">
            <v>0</v>
          </cell>
          <cell r="CA1384" t="str">
            <v>KSWENG - REVTOT - Identified - Recompete</v>
          </cell>
          <cell r="CC1384" t="str">
            <v>KSWENG - REVTOT - Identified - Recompete - IS4</v>
          </cell>
          <cell r="CD1384" t="str">
            <v/>
          </cell>
          <cell r="CF1384" t="str">
            <v>KSWENG - Identified - Recompete - IS4</v>
          </cell>
        </row>
        <row r="1385">
          <cell r="D1385">
            <v>1371</v>
          </cell>
          <cell r="E1385">
            <v>2</v>
          </cell>
          <cell r="F1385">
            <v>3</v>
          </cell>
          <cell r="G1385" t="str">
            <v>KSWENG</v>
          </cell>
          <cell r="H1385" t="str">
            <v>K Dept Software Engineering</v>
          </cell>
          <cell r="I1385" t="str">
            <v>IS4</v>
          </cell>
          <cell r="J1385" t="str">
            <v>IS4 Spectrum &amp; Infrastructure Assurance</v>
          </cell>
          <cell r="K1385" t="str">
            <v>Navy</v>
          </cell>
          <cell r="L1385" t="str">
            <v>DOD</v>
          </cell>
          <cell r="M1385" t="str">
            <v>VA</v>
          </cell>
          <cell r="N1385" t="str">
            <v>CONUS</v>
          </cell>
          <cell r="O1385">
            <v>42125</v>
          </cell>
          <cell r="P1385">
            <v>44195</v>
          </cell>
          <cell r="Q1385" t="str">
            <v>Prime</v>
          </cell>
          <cell r="R1385" t="str">
            <v>CPIF</v>
          </cell>
          <cell r="S1385">
            <v>0</v>
          </cell>
          <cell r="T1385">
            <v>1</v>
          </cell>
          <cell r="U1385" t="str">
            <v>CONTRACT</v>
          </cell>
          <cell r="V1385" t="str">
            <v>Base</v>
          </cell>
          <cell r="W1385" t="str">
            <v>05 Won</v>
          </cell>
          <cell r="X1385" t="str">
            <v>Active</v>
          </cell>
          <cell r="Y1385">
            <v>1</v>
          </cell>
          <cell r="Z1385">
            <v>0</v>
          </cell>
          <cell r="AA1385">
            <v>11039974.330000004</v>
          </cell>
          <cell r="AB1385">
            <v>14907351</v>
          </cell>
          <cell r="AC1385">
            <v>0</v>
          </cell>
          <cell r="AD1385">
            <v>25947325.330000006</v>
          </cell>
          <cell r="AL1385">
            <v>0.12900057356575384</v>
          </cell>
          <cell r="AM1385">
            <v>0.13141271268863711</v>
          </cell>
          <cell r="AN1385">
            <v>0.13117397821537544</v>
          </cell>
          <cell r="AO1385">
            <v>0.15416205614498762</v>
          </cell>
          <cell r="AP1385">
            <v>0.15212631894543166</v>
          </cell>
          <cell r="AQ1385">
            <v>0.15212631894543166</v>
          </cell>
          <cell r="AR1385">
            <v>0.15212631894543166</v>
          </cell>
          <cell r="AS1385">
            <v>0.15212631894543166</v>
          </cell>
          <cell r="BF1385">
            <v>547817.3600000001</v>
          </cell>
          <cell r="BG1385">
            <v>703092.33</v>
          </cell>
          <cell r="BH1385">
            <v>835589.21</v>
          </cell>
          <cell r="BI1385">
            <v>259208</v>
          </cell>
          <cell r="BJ1385">
            <v>319461.5</v>
          </cell>
          <cell r="BK1385">
            <v>390562.93999999994</v>
          </cell>
          <cell r="BL1385">
            <v>342842.77</v>
          </cell>
          <cell r="BM1385">
            <v>1312075.21</v>
          </cell>
          <cell r="BN1385">
            <v>1276402.5695800001</v>
          </cell>
          <cell r="BO1385">
            <v>319100.64239500003</v>
          </cell>
          <cell r="BP1385">
            <v>0</v>
          </cell>
          <cell r="BQ1385">
            <v>0</v>
          </cell>
          <cell r="BR1385">
            <v>2907578.4219749998</v>
          </cell>
          <cell r="BT1385">
            <v>0</v>
          </cell>
          <cell r="CA1385" t="str">
            <v>KSWENG - CONTRACT - Base</v>
          </cell>
          <cell r="CC1385" t="str">
            <v>KSWENG - CONTRACT - Base - IS4</v>
          </cell>
          <cell r="CD1385" t="str">
            <v/>
          </cell>
          <cell r="CF1385" t="str">
            <v>KSWENG - Base - IS4</v>
          </cell>
        </row>
        <row r="1386">
          <cell r="D1386">
            <v>1372</v>
          </cell>
          <cell r="E1386">
            <v>2</v>
          </cell>
          <cell r="F1386">
            <v>4</v>
          </cell>
          <cell r="G1386" t="str">
            <v>KSWENG</v>
          </cell>
          <cell r="H1386" t="str">
            <v>K Dept Software Engineering</v>
          </cell>
          <cell r="I1386" t="str">
            <v>IS4</v>
          </cell>
          <cell r="J1386" t="str">
            <v>IS4 Spectrum &amp; Infrastructure Assurance</v>
          </cell>
          <cell r="K1386" t="str">
            <v>Navy</v>
          </cell>
          <cell r="L1386" t="str">
            <v>DOD</v>
          </cell>
          <cell r="M1386" t="str">
            <v>VA</v>
          </cell>
          <cell r="N1386" t="str">
            <v>CONUS</v>
          </cell>
          <cell r="O1386">
            <v>44184</v>
          </cell>
          <cell r="P1386">
            <v>46010</v>
          </cell>
          <cell r="Q1386" t="str">
            <v>Prime</v>
          </cell>
          <cell r="R1386" t="str">
            <v>CPIF</v>
          </cell>
          <cell r="S1386">
            <v>0</v>
          </cell>
          <cell r="T1386">
            <v>1</v>
          </cell>
          <cell r="U1386" t="str">
            <v>CONTRACT</v>
          </cell>
          <cell r="V1386" t="str">
            <v>Identified - Recompete</v>
          </cell>
          <cell r="W1386" t="str">
            <v>02 Capture</v>
          </cell>
          <cell r="X1386" t="str">
            <v>Priority 2</v>
          </cell>
          <cell r="Y1386">
            <v>0.5</v>
          </cell>
          <cell r="Z1386">
            <v>65000000</v>
          </cell>
          <cell r="AA1386">
            <v>0</v>
          </cell>
          <cell r="AB1386">
            <v>0</v>
          </cell>
          <cell r="AC1386">
            <v>0</v>
          </cell>
          <cell r="AD1386">
            <v>0</v>
          </cell>
          <cell r="AP1386">
            <v>0.15212631894543166</v>
          </cell>
          <cell r="AQ1386">
            <v>0.15212631894543166</v>
          </cell>
          <cell r="AR1386">
            <v>0.15212631894543166</v>
          </cell>
          <cell r="AS1386">
            <v>0.15212631894543166</v>
          </cell>
          <cell r="BI1386">
            <v>0</v>
          </cell>
          <cell r="BJ1386">
            <v>0</v>
          </cell>
          <cell r="BK1386">
            <v>0</v>
          </cell>
          <cell r="BL1386">
            <v>0</v>
          </cell>
          <cell r="BM1386">
            <v>0</v>
          </cell>
          <cell r="BN1386">
            <v>0</v>
          </cell>
          <cell r="BO1386">
            <v>771829.78209397476</v>
          </cell>
          <cell r="BP1386">
            <v>988821.07314530574</v>
          </cell>
          <cell r="BQ1386">
            <v>988821.07314530574</v>
          </cell>
          <cell r="BR1386">
            <v>2749471.9283845862</v>
          </cell>
          <cell r="BT1386">
            <v>0</v>
          </cell>
          <cell r="CA1386" t="str">
            <v>KSWENG - CONTRACT - Identified - Recompete</v>
          </cell>
          <cell r="CC1386" t="str">
            <v>KSWENG - CONTRACT - Identified - Recompete - IS4</v>
          </cell>
          <cell r="CD1386" t="str">
            <v/>
          </cell>
          <cell r="CF1386" t="str">
            <v>KSWENG - Identified - Recompete - IS4</v>
          </cell>
        </row>
        <row r="1387">
          <cell r="D1387">
            <v>1373</v>
          </cell>
          <cell r="E1387">
            <v>0</v>
          </cell>
          <cell r="F1387">
            <v>5</v>
          </cell>
          <cell r="G1387" t="str">
            <v>KSWENG</v>
          </cell>
          <cell r="H1387" t="str">
            <v>K Dept Software Engineering</v>
          </cell>
          <cell r="I1387" t="str">
            <v>IS4</v>
          </cell>
          <cell r="J1387" t="str">
            <v>IS4 Spectrum &amp; Infrastructure Assurance</v>
          </cell>
          <cell r="K1387" t="str">
            <v>Navy</v>
          </cell>
          <cell r="L1387" t="str">
            <v>DOD</v>
          </cell>
          <cell r="M1387" t="str">
            <v>VA</v>
          </cell>
          <cell r="N1387" t="str">
            <v>CONUS</v>
          </cell>
          <cell r="O1387">
            <v>42125</v>
          </cell>
          <cell r="P1387">
            <v>44195</v>
          </cell>
          <cell r="Q1387" t="str">
            <v>Prime</v>
          </cell>
          <cell r="R1387" t="str">
            <v>CPIF</v>
          </cell>
          <cell r="S1387">
            <v>0</v>
          </cell>
          <cell r="T1387">
            <v>1</v>
          </cell>
          <cell r="U1387" t="str">
            <v>EBITA</v>
          </cell>
          <cell r="V1387" t="str">
            <v>Base</v>
          </cell>
          <cell r="W1387" t="str">
            <v>05 Won</v>
          </cell>
          <cell r="X1387" t="str">
            <v>Active</v>
          </cell>
          <cell r="Y1387">
            <v>1</v>
          </cell>
          <cell r="Z1387">
            <v>0</v>
          </cell>
          <cell r="AA1387">
            <v>11039974.330000004</v>
          </cell>
          <cell r="AB1387">
            <v>14907351</v>
          </cell>
          <cell r="AC1387">
            <v>0</v>
          </cell>
          <cell r="AD1387">
            <v>25947325.330000006</v>
          </cell>
          <cell r="AT1387">
            <v>2.1721757773648966E-2</v>
          </cell>
          <cell r="AU1387">
            <v>2.0475469726324417E-2</v>
          </cell>
          <cell r="AV1387">
            <v>1.8739085249245141E-2</v>
          </cell>
          <cell r="AW1387">
            <v>2.1245766800734332E-2</v>
          </cell>
          <cell r="AX1387">
            <v>2.1440672299872725E-2</v>
          </cell>
          <cell r="AY1387">
            <v>2.1440672299872725E-2</v>
          </cell>
          <cell r="AZ1387">
            <v>2.1440672299872725E-2</v>
          </cell>
          <cell r="BA1387">
            <v>2.1440672299872725E-2</v>
          </cell>
          <cell r="BF1387">
            <v>92244.210000000079</v>
          </cell>
          <cell r="BG1387">
            <v>109549.10999999996</v>
          </cell>
          <cell r="BH1387">
            <v>119369.5400000001</v>
          </cell>
          <cell r="BI1387">
            <v>38195.630000000005</v>
          </cell>
          <cell r="BJ1387">
            <v>44249.22</v>
          </cell>
          <cell r="BK1387">
            <v>51700.319999999934</v>
          </cell>
          <cell r="BL1387">
            <v>46677.820000000022</v>
          </cell>
          <cell r="BM1387">
            <v>180822.98999999993</v>
          </cell>
          <cell r="BN1387">
            <v>179896.08508766262</v>
          </cell>
          <cell r="BO1387">
            <v>44974.021271915655</v>
          </cell>
          <cell r="BP1387">
            <v>0</v>
          </cell>
          <cell r="BQ1387">
            <v>0</v>
          </cell>
          <cell r="BR1387">
            <v>405693.09635957819</v>
          </cell>
          <cell r="BT1387">
            <v>0</v>
          </cell>
          <cell r="CA1387" t="str">
            <v>KSWENG - EBITA - Base</v>
          </cell>
          <cell r="CC1387" t="str">
            <v>KSWENG - EBITA - Base - IS4</v>
          </cell>
          <cell r="CD1387" t="str">
            <v/>
          </cell>
          <cell r="CF1387" t="str">
            <v>KSWENG - Base - IS4</v>
          </cell>
        </row>
        <row r="1388">
          <cell r="D1388">
            <v>1374</v>
          </cell>
          <cell r="E1388">
            <v>0</v>
          </cell>
          <cell r="F1388">
            <v>0</v>
          </cell>
          <cell r="G1388" t="str">
            <v>KSWENG</v>
          </cell>
          <cell r="H1388" t="str">
            <v>K Dept Software Engineering</v>
          </cell>
          <cell r="I1388" t="str">
            <v>IS4</v>
          </cell>
          <cell r="J1388" t="str">
            <v>IS4 Spectrum &amp; Infrastructure Assurance</v>
          </cell>
          <cell r="K1388" t="str">
            <v>Navy</v>
          </cell>
          <cell r="L1388" t="str">
            <v>DOD</v>
          </cell>
          <cell r="M1388" t="str">
            <v>VA</v>
          </cell>
          <cell r="N1388" t="str">
            <v>CONUS</v>
          </cell>
          <cell r="O1388">
            <v>44184</v>
          </cell>
          <cell r="P1388">
            <v>46010</v>
          </cell>
          <cell r="Q1388" t="str">
            <v>Prime</v>
          </cell>
          <cell r="R1388" t="str">
            <v>CPIF</v>
          </cell>
          <cell r="S1388">
            <v>0</v>
          </cell>
          <cell r="T1388">
            <v>1</v>
          </cell>
          <cell r="U1388" t="str">
            <v>EBITA</v>
          </cell>
          <cell r="V1388" t="str">
            <v>Identified - Recompete</v>
          </cell>
          <cell r="W1388" t="str">
            <v>02 Capture</v>
          </cell>
          <cell r="X1388" t="str">
            <v>Priority 2</v>
          </cell>
          <cell r="Y1388">
            <v>0.5</v>
          </cell>
          <cell r="Z1388">
            <v>65000000</v>
          </cell>
          <cell r="AA1388">
            <v>0</v>
          </cell>
          <cell r="AB1388">
            <v>0</v>
          </cell>
          <cell r="AC1388">
            <v>0</v>
          </cell>
          <cell r="AD1388">
            <v>0</v>
          </cell>
          <cell r="AX1388">
            <v>2.1440672299872725E-2</v>
          </cell>
          <cell r="AY1388">
            <v>2.1440672299872725E-2</v>
          </cell>
          <cell r="AZ1388">
            <v>2.1440672299872725E-2</v>
          </cell>
          <cell r="BA1388">
            <v>2.1440672299872725E-2</v>
          </cell>
          <cell r="BI1388">
            <v>0</v>
          </cell>
          <cell r="BJ1388">
            <v>0</v>
          </cell>
          <cell r="BK1388">
            <v>0</v>
          </cell>
          <cell r="BL1388">
            <v>0</v>
          </cell>
          <cell r="BM1388">
            <v>0</v>
          </cell>
          <cell r="BN1388">
            <v>0</v>
          </cell>
          <cell r="BO1388">
            <v>108781.63321032647</v>
          </cell>
          <cell r="BP1388">
            <v>139364.36994917272</v>
          </cell>
          <cell r="BQ1388">
            <v>139364.36994917272</v>
          </cell>
          <cell r="BR1388">
            <v>387510.37310867192</v>
          </cell>
          <cell r="BT1388">
            <v>0</v>
          </cell>
          <cell r="CA1388" t="str">
            <v>KSWENG - EBITA - Identified - Recompete</v>
          </cell>
          <cell r="CC1388" t="str">
            <v>KSWENG - EBITA - Identified - Recompete - IS4</v>
          </cell>
          <cell r="CD1388" t="str">
            <v/>
          </cell>
          <cell r="CF1388" t="str">
            <v>KSWENG - Identified - Recompete - IS4</v>
          </cell>
        </row>
        <row r="1389">
          <cell r="D1389">
            <v>1375</v>
          </cell>
          <cell r="E1389">
            <v>1</v>
          </cell>
          <cell r="F1389">
            <v>1</v>
          </cell>
          <cell r="G1389" t="str">
            <v>KSYSEN</v>
          </cell>
          <cell r="H1389" t="str">
            <v>K Dept Systems Engineering</v>
          </cell>
          <cell r="I1389" t="str">
            <v>IS4</v>
          </cell>
          <cell r="J1389" t="str">
            <v>IS4 Spectrum &amp; Infrastructure Assurance</v>
          </cell>
          <cell r="K1389" t="str">
            <v>Navy</v>
          </cell>
          <cell r="L1389" t="str">
            <v>DOD</v>
          </cell>
          <cell r="M1389" t="str">
            <v>VA</v>
          </cell>
          <cell r="N1389" t="str">
            <v>CONUS</v>
          </cell>
          <cell r="O1389">
            <v>42095</v>
          </cell>
          <cell r="P1389">
            <v>43887</v>
          </cell>
          <cell r="Q1389" t="str">
            <v>Prime</v>
          </cell>
          <cell r="R1389" t="str">
            <v>CPIF</v>
          </cell>
          <cell r="S1389">
            <v>0</v>
          </cell>
          <cell r="T1389">
            <v>1</v>
          </cell>
          <cell r="U1389" t="str">
            <v>REVTOT</v>
          </cell>
          <cell r="V1389" t="str">
            <v>Base</v>
          </cell>
          <cell r="W1389" t="str">
            <v>05 Won</v>
          </cell>
          <cell r="X1389" t="str">
            <v>Active</v>
          </cell>
          <cell r="Y1389">
            <v>1</v>
          </cell>
          <cell r="Z1389">
            <v>0</v>
          </cell>
          <cell r="AA1389">
            <v>6693717.0851000017</v>
          </cell>
          <cell r="AB1389">
            <v>0</v>
          </cell>
          <cell r="AC1389">
            <v>0</v>
          </cell>
          <cell r="AD1389">
            <v>6693717.0851000017</v>
          </cell>
          <cell r="AE1389">
            <v>-5.1745571276373248E-2</v>
          </cell>
          <cell r="AF1389">
            <v>-4.3892525922414327E-2</v>
          </cell>
          <cell r="AG1389">
            <v>-0.21121979449812578</v>
          </cell>
          <cell r="AH1389">
            <v>-0.59444444444444444</v>
          </cell>
          <cell r="AI1389">
            <v>0</v>
          </cell>
          <cell r="AJ1389">
            <v>0</v>
          </cell>
          <cell r="AK1389">
            <v>0</v>
          </cell>
          <cell r="BB1389">
            <v>9244630.8048999999</v>
          </cell>
          <cell r="BC1389">
            <v>9244630.8048999999</v>
          </cell>
          <cell r="BD1389">
            <v>9244630.8048999999</v>
          </cell>
          <cell r="BE1389">
            <v>9244630.8048999999</v>
          </cell>
          <cell r="BF1389">
            <v>12927125.810000001</v>
          </cell>
          <cell r="BG1389">
            <v>12258204.300000001</v>
          </cell>
          <cell r="BH1389">
            <v>11720160.75</v>
          </cell>
          <cell r="BI1389">
            <v>2943038</v>
          </cell>
          <cell r="BJ1389">
            <v>2695979.54</v>
          </cell>
          <cell r="BK1389">
            <v>1870833.92</v>
          </cell>
          <cell r="BL1389">
            <v>1734779.3448999999</v>
          </cell>
          <cell r="BM1389">
            <v>9244630.8048999999</v>
          </cell>
          <cell r="BN1389">
            <v>3749211.381987222</v>
          </cell>
          <cell r="BO1389">
            <v>0</v>
          </cell>
          <cell r="BP1389">
            <v>0</v>
          </cell>
          <cell r="BQ1389">
            <v>0</v>
          </cell>
          <cell r="BR1389">
            <v>12993842.186887221</v>
          </cell>
          <cell r="BT1389">
            <v>0</v>
          </cell>
          <cell r="CA1389" t="str">
            <v>KSYSEN - REVTOT - Base</v>
          </cell>
          <cell r="CC1389" t="str">
            <v>KSYSEN - REVTOT - Base - IS4</v>
          </cell>
          <cell r="CD1389" t="str">
            <v/>
          </cell>
          <cell r="CF1389" t="str">
            <v>KSYSEN - Base - IS4</v>
          </cell>
        </row>
        <row r="1390">
          <cell r="D1390">
            <v>1376</v>
          </cell>
          <cell r="E1390">
            <v>1</v>
          </cell>
          <cell r="F1390">
            <v>2</v>
          </cell>
          <cell r="G1390" t="str">
            <v>KSYSEN</v>
          </cell>
          <cell r="H1390" t="str">
            <v>K Dept Systems Engineering</v>
          </cell>
          <cell r="I1390" t="str">
            <v>IS4</v>
          </cell>
          <cell r="J1390" t="str">
            <v>IS4 Spectrum &amp; Infrastructure Assurance</v>
          </cell>
          <cell r="K1390" t="str">
            <v>Navy</v>
          </cell>
          <cell r="L1390" t="str">
            <v>DOD</v>
          </cell>
          <cell r="M1390" t="str">
            <v>VA</v>
          </cell>
          <cell r="N1390" t="str">
            <v>CONUS</v>
          </cell>
          <cell r="O1390">
            <v>43888</v>
          </cell>
          <cell r="P1390">
            <v>45715</v>
          </cell>
          <cell r="Q1390" t="str">
            <v>Prime</v>
          </cell>
          <cell r="R1390" t="str">
            <v>CPIF</v>
          </cell>
          <cell r="S1390">
            <v>0</v>
          </cell>
          <cell r="T1390">
            <v>1</v>
          </cell>
          <cell r="U1390" t="str">
            <v>REVTOT</v>
          </cell>
          <cell r="V1390" t="str">
            <v>Identified - Recompete</v>
          </cell>
          <cell r="W1390" t="str">
            <v>04 Submitted</v>
          </cell>
          <cell r="X1390" t="str">
            <v>Priority 2</v>
          </cell>
          <cell r="Y1390">
            <v>0.6</v>
          </cell>
          <cell r="Z1390">
            <v>80000000</v>
          </cell>
          <cell r="AA1390">
            <v>0</v>
          </cell>
          <cell r="AB1390">
            <v>0</v>
          </cell>
          <cell r="AC1390">
            <v>0</v>
          </cell>
          <cell r="AD1390">
            <v>0</v>
          </cell>
          <cell r="AI1390">
            <v>0</v>
          </cell>
          <cell r="AJ1390">
            <v>0</v>
          </cell>
          <cell r="AK1390">
            <v>0</v>
          </cell>
          <cell r="BB1390">
            <v>9244630.8048999999</v>
          </cell>
          <cell r="BC1390">
            <v>9244630.8048999999</v>
          </cell>
          <cell r="BD1390">
            <v>9244630.8048999999</v>
          </cell>
          <cell r="BE1390">
            <v>9244630.8048999999</v>
          </cell>
          <cell r="BI1390">
            <v>0</v>
          </cell>
          <cell r="BJ1390">
            <v>0</v>
          </cell>
          <cell r="BK1390">
            <v>0</v>
          </cell>
          <cell r="BL1390">
            <v>0</v>
          </cell>
          <cell r="BM1390">
            <v>0</v>
          </cell>
          <cell r="BN1390">
            <v>3281843.9357395</v>
          </cell>
          <cell r="BO1390">
            <v>5546778.4829399996</v>
          </cell>
          <cell r="BP1390">
            <v>5546778.4829399996</v>
          </cell>
          <cell r="BQ1390">
            <v>5546778.4829399996</v>
          </cell>
          <cell r="BR1390">
            <v>19922179.384559497</v>
          </cell>
          <cell r="BT1390">
            <v>0</v>
          </cell>
          <cell r="CA1390" t="str">
            <v>KSYSEN - REVTOT - Identified - Recompete</v>
          </cell>
          <cell r="CC1390" t="str">
            <v>KSYSEN - REVTOT - Identified - Recompete - IS4</v>
          </cell>
          <cell r="CD1390" t="str">
            <v/>
          </cell>
          <cell r="CF1390" t="str">
            <v>KSYSEN - Identified - Recompete - IS4</v>
          </cell>
        </row>
        <row r="1391">
          <cell r="D1391">
            <v>1377</v>
          </cell>
          <cell r="E1391">
            <v>2</v>
          </cell>
          <cell r="F1391">
            <v>3</v>
          </cell>
          <cell r="G1391" t="str">
            <v>KSYSEN</v>
          </cell>
          <cell r="H1391" t="str">
            <v>K Dept Systems Engineering</v>
          </cell>
          <cell r="I1391" t="str">
            <v>IS4</v>
          </cell>
          <cell r="J1391" t="str">
            <v>IS4 Spectrum &amp; Infrastructure Assurance</v>
          </cell>
          <cell r="K1391" t="str">
            <v>Navy</v>
          </cell>
          <cell r="L1391" t="str">
            <v>DOD</v>
          </cell>
          <cell r="M1391" t="str">
            <v>VA</v>
          </cell>
          <cell r="N1391" t="str">
            <v>CONUS</v>
          </cell>
          <cell r="O1391">
            <v>42095</v>
          </cell>
          <cell r="P1391">
            <v>43887</v>
          </cell>
          <cell r="Q1391" t="str">
            <v>Prime</v>
          </cell>
          <cell r="R1391" t="str">
            <v>CPIF</v>
          </cell>
          <cell r="S1391">
            <v>0</v>
          </cell>
          <cell r="T1391">
            <v>1</v>
          </cell>
          <cell r="U1391" t="str">
            <v>CONTRACT</v>
          </cell>
          <cell r="V1391" t="str">
            <v>Base</v>
          </cell>
          <cell r="W1391" t="str">
            <v>05 Won</v>
          </cell>
          <cell r="X1391" t="str">
            <v>Active</v>
          </cell>
          <cell r="Y1391">
            <v>1</v>
          </cell>
          <cell r="Z1391">
            <v>0</v>
          </cell>
          <cell r="AA1391">
            <v>6693717.0851000017</v>
          </cell>
          <cell r="AB1391">
            <v>0</v>
          </cell>
          <cell r="AC1391">
            <v>0</v>
          </cell>
          <cell r="AD1391">
            <v>6693717.0851000017</v>
          </cell>
          <cell r="AL1391">
            <v>0.11076900859836218</v>
          </cell>
          <cell r="AM1391">
            <v>0.12638104506057227</v>
          </cell>
          <cell r="AN1391">
            <v>0.12332131280707909</v>
          </cell>
          <cell r="AO1391">
            <v>0.13877679855100258</v>
          </cell>
          <cell r="AP1391">
            <v>0.14865085838798275</v>
          </cell>
          <cell r="AQ1391">
            <v>0.14865085838798275</v>
          </cell>
          <cell r="AR1391">
            <v>0.14865085838798275</v>
          </cell>
          <cell r="AS1391">
            <v>0.14865085838798275</v>
          </cell>
          <cell r="BF1391">
            <v>1431924.9099999997</v>
          </cell>
          <cell r="BG1391">
            <v>1549204.6700000009</v>
          </cell>
          <cell r="BH1391">
            <v>1445345.6100000006</v>
          </cell>
          <cell r="BI1391">
            <v>370107.29000000004</v>
          </cell>
          <cell r="BJ1391">
            <v>364313.21000000008</v>
          </cell>
          <cell r="BK1391">
            <v>286786</v>
          </cell>
          <cell r="BL1391">
            <v>261733.76688999997</v>
          </cell>
          <cell r="BM1391">
            <v>1282940.2668900001</v>
          </cell>
          <cell r="BN1391">
            <v>557323.49021039566</v>
          </cell>
          <cell r="BO1391">
            <v>0</v>
          </cell>
          <cell r="BP1391">
            <v>0</v>
          </cell>
          <cell r="BQ1391">
            <v>0</v>
          </cell>
          <cell r="BR1391">
            <v>1840263.7571003959</v>
          </cell>
          <cell r="BT1391">
            <v>0</v>
          </cell>
          <cell r="CA1391" t="str">
            <v>KSYSEN - CONTRACT - Base</v>
          </cell>
          <cell r="CC1391" t="str">
            <v>KSYSEN - CONTRACT - Base - IS4</v>
          </cell>
          <cell r="CD1391" t="str">
            <v/>
          </cell>
          <cell r="CF1391" t="str">
            <v>KSYSEN - Base - IS4</v>
          </cell>
        </row>
        <row r="1392">
          <cell r="D1392">
            <v>1378</v>
          </cell>
          <cell r="E1392">
            <v>2</v>
          </cell>
          <cell r="F1392">
            <v>4</v>
          </cell>
          <cell r="G1392" t="str">
            <v>KSYSEN</v>
          </cell>
          <cell r="H1392" t="str">
            <v>K Dept Systems Engineering</v>
          </cell>
          <cell r="I1392" t="str">
            <v>IS4</v>
          </cell>
          <cell r="J1392" t="str">
            <v>IS4 Spectrum &amp; Infrastructure Assurance</v>
          </cell>
          <cell r="K1392" t="str">
            <v>Navy</v>
          </cell>
          <cell r="L1392" t="str">
            <v>DOD</v>
          </cell>
          <cell r="M1392" t="str">
            <v>VA</v>
          </cell>
          <cell r="N1392" t="str">
            <v>CONUS</v>
          </cell>
          <cell r="O1392">
            <v>43888</v>
          </cell>
          <cell r="P1392">
            <v>45715</v>
          </cell>
          <cell r="Q1392" t="str">
            <v>Prime</v>
          </cell>
          <cell r="R1392" t="str">
            <v>CPIF</v>
          </cell>
          <cell r="S1392">
            <v>0</v>
          </cell>
          <cell r="T1392">
            <v>1</v>
          </cell>
          <cell r="U1392" t="str">
            <v>CONTRACT</v>
          </cell>
          <cell r="V1392" t="str">
            <v>Identified - Recompete</v>
          </cell>
          <cell r="W1392" t="str">
            <v>04 Submitted</v>
          </cell>
          <cell r="X1392" t="str">
            <v>Priority 2</v>
          </cell>
          <cell r="Y1392">
            <v>0.6</v>
          </cell>
          <cell r="Z1392">
            <v>80000000</v>
          </cell>
          <cell r="AA1392">
            <v>0</v>
          </cell>
          <cell r="AB1392">
            <v>0</v>
          </cell>
          <cell r="AC1392">
            <v>0</v>
          </cell>
          <cell r="AD1392">
            <v>0</v>
          </cell>
          <cell r="AP1392">
            <v>0.12371398494562069</v>
          </cell>
          <cell r="AQ1392">
            <v>0.12371398494562069</v>
          </cell>
          <cell r="AR1392">
            <v>0.12371398494562069</v>
          </cell>
          <cell r="AS1392">
            <v>0.12371398494562069</v>
          </cell>
          <cell r="BI1392">
            <v>0</v>
          </cell>
          <cell r="BJ1392">
            <v>0</v>
          </cell>
          <cell r="BK1392">
            <v>0</v>
          </cell>
          <cell r="BL1392">
            <v>0</v>
          </cell>
          <cell r="BM1392">
            <v>0</v>
          </cell>
          <cell r="BN1392">
            <v>406009.99125995307</v>
          </cell>
          <cell r="BO1392">
            <v>686214.06973513192</v>
          </cell>
          <cell r="BP1392">
            <v>686214.06973513192</v>
          </cell>
          <cell r="BQ1392">
            <v>686214.06973513192</v>
          </cell>
          <cell r="BR1392">
            <v>2464652.2004653485</v>
          </cell>
          <cell r="BT1392">
            <v>0</v>
          </cell>
          <cell r="CA1392" t="str">
            <v>KSYSEN - CONTRACT - Identified - Recompete</v>
          </cell>
          <cell r="CC1392" t="str">
            <v>KSYSEN - CONTRACT - Identified - Recompete - IS4</v>
          </cell>
          <cell r="CD1392" t="str">
            <v/>
          </cell>
          <cell r="CF1392" t="str">
            <v>KSYSEN - Identified - Recompete - IS4</v>
          </cell>
        </row>
        <row r="1393">
          <cell r="D1393">
            <v>1379</v>
          </cell>
          <cell r="E1393">
            <v>0</v>
          </cell>
          <cell r="F1393">
            <v>5</v>
          </cell>
          <cell r="G1393" t="str">
            <v>KSYSEN</v>
          </cell>
          <cell r="H1393" t="str">
            <v>K Dept Systems Engineering</v>
          </cell>
          <cell r="I1393" t="str">
            <v>IS4</v>
          </cell>
          <cell r="J1393" t="str">
            <v>IS4 Spectrum &amp; Infrastructure Assurance</v>
          </cell>
          <cell r="K1393" t="str">
            <v>Navy</v>
          </cell>
          <cell r="L1393" t="str">
            <v>DOD</v>
          </cell>
          <cell r="M1393" t="str">
            <v>VA</v>
          </cell>
          <cell r="N1393" t="str">
            <v>CONUS</v>
          </cell>
          <cell r="O1393">
            <v>42095</v>
          </cell>
          <cell r="P1393">
            <v>43887</v>
          </cell>
          <cell r="Q1393" t="str">
            <v>Prime</v>
          </cell>
          <cell r="R1393" t="str">
            <v>CPIF</v>
          </cell>
          <cell r="S1393">
            <v>0</v>
          </cell>
          <cell r="T1393">
            <v>1</v>
          </cell>
          <cell r="U1393" t="str">
            <v>EBITA</v>
          </cell>
          <cell r="V1393" t="str">
            <v>Base</v>
          </cell>
          <cell r="W1393" t="str">
            <v>05 Won</v>
          </cell>
          <cell r="X1393" t="str">
            <v>Active</v>
          </cell>
          <cell r="Y1393">
            <v>1</v>
          </cell>
          <cell r="Z1393">
            <v>0</v>
          </cell>
          <cell r="AA1393">
            <v>6693717.0851000017</v>
          </cell>
          <cell r="AB1393">
            <v>0</v>
          </cell>
          <cell r="AC1393">
            <v>0</v>
          </cell>
          <cell r="AD1393">
            <v>6693717.0851000017</v>
          </cell>
          <cell r="AT1393">
            <v>1.9463268455650606E-2</v>
          </cell>
          <cell r="AU1393">
            <v>2.0283534514105053E-2</v>
          </cell>
          <cell r="AV1393">
            <v>2.0467094702604691E-2</v>
          </cell>
          <cell r="AW1393">
            <v>2.126100167967997E-2</v>
          </cell>
          <cell r="AX1393">
            <v>2.1472614360742978E-2</v>
          </cell>
          <cell r="AY1393">
            <v>2.1472614360742978E-2</v>
          </cell>
          <cell r="AZ1393">
            <v>2.1472614360742978E-2</v>
          </cell>
          <cell r="BA1393">
            <v>2.1472614360742978E-2</v>
          </cell>
          <cell r="BF1393">
            <v>251604.11999999982</v>
          </cell>
          <cell r="BG1393">
            <v>248639.71000000098</v>
          </cell>
          <cell r="BH1393">
            <v>239877.64000000042</v>
          </cell>
          <cell r="BI1393">
            <v>61347.84000000004</v>
          </cell>
          <cell r="BJ1393">
            <v>55044.330000000089</v>
          </cell>
          <cell r="BK1393">
            <v>39334.999999999985</v>
          </cell>
          <cell r="BL1393">
            <v>40822.941070999987</v>
          </cell>
          <cell r="BM1393">
            <v>196550.11107100008</v>
          </cell>
          <cell r="BN1393">
            <v>80505.370162319858</v>
          </cell>
          <cell r="BO1393">
            <v>0</v>
          </cell>
          <cell r="BP1393">
            <v>0</v>
          </cell>
          <cell r="BQ1393">
            <v>0</v>
          </cell>
          <cell r="BR1393">
            <v>277055.48123331997</v>
          </cell>
          <cell r="BT1393">
            <v>0</v>
          </cell>
          <cell r="CA1393" t="str">
            <v>KSYSEN - EBITA - Base</v>
          </cell>
          <cell r="CC1393" t="str">
            <v>KSYSEN - EBITA - Base - IS4</v>
          </cell>
          <cell r="CD1393" t="str">
            <v/>
          </cell>
          <cell r="CF1393" t="str">
            <v>KSYSEN - Base - IS4</v>
          </cell>
        </row>
        <row r="1394">
          <cell r="D1394">
            <v>1380</v>
          </cell>
          <cell r="E1394">
            <v>0</v>
          </cell>
          <cell r="F1394">
            <v>0</v>
          </cell>
          <cell r="G1394" t="str">
            <v>KSYSEN</v>
          </cell>
          <cell r="H1394" t="str">
            <v>K Dept Systems Engineering</v>
          </cell>
          <cell r="I1394" t="str">
            <v>IS4</v>
          </cell>
          <cell r="J1394" t="str">
            <v>IS4 Spectrum &amp; Infrastructure Assurance</v>
          </cell>
          <cell r="K1394" t="str">
            <v>Navy</v>
          </cell>
          <cell r="L1394" t="str">
            <v>DOD</v>
          </cell>
          <cell r="M1394" t="str">
            <v>VA</v>
          </cell>
          <cell r="N1394" t="str">
            <v>CONUS</v>
          </cell>
          <cell r="O1394">
            <v>43888</v>
          </cell>
          <cell r="P1394">
            <v>45715</v>
          </cell>
          <cell r="Q1394" t="str">
            <v>Prime</v>
          </cell>
          <cell r="R1394" t="str">
            <v>CPIF</v>
          </cell>
          <cell r="S1394">
            <v>0</v>
          </cell>
          <cell r="T1394">
            <v>1</v>
          </cell>
          <cell r="U1394" t="str">
            <v>EBITA</v>
          </cell>
          <cell r="V1394" t="str">
            <v>Identified - Recompete</v>
          </cell>
          <cell r="W1394" t="str">
            <v>04 Submitted</v>
          </cell>
          <cell r="X1394" t="str">
            <v>Priority 2</v>
          </cell>
          <cell r="Y1394">
            <v>0.6</v>
          </cell>
          <cell r="Z1394">
            <v>80000000</v>
          </cell>
          <cell r="AA1394">
            <v>0</v>
          </cell>
          <cell r="AB1394">
            <v>0</v>
          </cell>
          <cell r="AC1394">
            <v>0</v>
          </cell>
          <cell r="AD1394">
            <v>0</v>
          </cell>
          <cell r="AX1394">
            <v>2.029618877003736E-2</v>
          </cell>
          <cell r="AY1394">
            <v>2.029618877003736E-2</v>
          </cell>
          <cell r="AZ1394">
            <v>2.029618877003736E-2</v>
          </cell>
          <cell r="BA1394">
            <v>2.029618877003736E-2</v>
          </cell>
          <cell r="BI1394">
            <v>0</v>
          </cell>
          <cell r="BJ1394">
            <v>0</v>
          </cell>
          <cell r="BK1394">
            <v>0</v>
          </cell>
          <cell r="BL1394">
            <v>0</v>
          </cell>
          <cell r="BM1394">
            <v>0</v>
          </cell>
          <cell r="BN1394">
            <v>66608.924033571253</v>
          </cell>
          <cell r="BO1394">
            <v>112578.46315533169</v>
          </cell>
          <cell r="BP1394">
            <v>112578.46315533169</v>
          </cell>
          <cell r="BQ1394">
            <v>112578.46315533169</v>
          </cell>
          <cell r="BR1394">
            <v>404344.31349956628</v>
          </cell>
          <cell r="BT1394">
            <v>0</v>
          </cell>
          <cell r="CA1394" t="str">
            <v>KSYSEN - EBITA - Identified - Recompete</v>
          </cell>
          <cell r="CC1394" t="str">
            <v>KSYSEN - EBITA - Identified - Recompete - IS4</v>
          </cell>
          <cell r="CD1394" t="str">
            <v/>
          </cell>
          <cell r="CF1394" t="str">
            <v>KSYSEN - Identified - Recompete - IS4</v>
          </cell>
        </row>
        <row r="1395">
          <cell r="D1395">
            <v>1381</v>
          </cell>
          <cell r="E1395">
            <v>1</v>
          </cell>
          <cell r="F1395">
            <v>1</v>
          </cell>
          <cell r="G1395" t="str">
            <v>915031</v>
          </cell>
          <cell r="H1395" t="str">
            <v>EMAC TO 31</v>
          </cell>
          <cell r="I1395" t="str">
            <v>IS4</v>
          </cell>
          <cell r="J1395" t="str">
            <v>IS4 Spectrum &amp; Infrastructure Assurance</v>
          </cell>
          <cell r="K1395" t="str">
            <v>Navy</v>
          </cell>
          <cell r="L1395" t="str">
            <v>DOD</v>
          </cell>
          <cell r="M1395" t="str">
            <v>VA</v>
          </cell>
          <cell r="N1395" t="str">
            <v>CONUS</v>
          </cell>
          <cell r="O1395">
            <v>42198</v>
          </cell>
          <cell r="P1395">
            <v>43955</v>
          </cell>
          <cell r="Q1395" t="str">
            <v>Prime</v>
          </cell>
          <cell r="R1395" t="str">
            <v>CPIF</v>
          </cell>
          <cell r="S1395">
            <v>0</v>
          </cell>
          <cell r="T1395">
            <v>1</v>
          </cell>
          <cell r="U1395" t="str">
            <v>REVTOT</v>
          </cell>
          <cell r="V1395" t="str">
            <v>Base</v>
          </cell>
          <cell r="W1395" t="str">
            <v>05 Won</v>
          </cell>
          <cell r="X1395" t="str">
            <v>Active</v>
          </cell>
          <cell r="Y1395">
            <v>1</v>
          </cell>
          <cell r="Z1395">
            <v>0</v>
          </cell>
          <cell r="AA1395">
            <v>8005187.0700000003</v>
          </cell>
          <cell r="AB1395">
            <v>0</v>
          </cell>
          <cell r="AC1395">
            <v>0</v>
          </cell>
          <cell r="AD1395">
            <v>8005187.0700000003</v>
          </cell>
          <cell r="AE1395">
            <v>0</v>
          </cell>
          <cell r="AF1395">
            <v>-0.12847571327993024</v>
          </cell>
          <cell r="AG1395">
            <v>-9.339183898884329E-4</v>
          </cell>
          <cell r="AH1395">
            <v>-0.40555555555555556</v>
          </cell>
          <cell r="AI1395">
            <v>0</v>
          </cell>
          <cell r="AJ1395">
            <v>0</v>
          </cell>
          <cell r="AK1395">
            <v>0</v>
          </cell>
          <cell r="BB1395">
            <v>7510381.3899999987</v>
          </cell>
          <cell r="BC1395">
            <v>7510381.3899999987</v>
          </cell>
          <cell r="BD1395">
            <v>7510381.3899999987</v>
          </cell>
          <cell r="BE1395">
            <v>7510381.3899999987</v>
          </cell>
          <cell r="BF1395">
            <v>0</v>
          </cell>
          <cell r="BG1395">
            <v>8625579.5100000016</v>
          </cell>
          <cell r="BH1395">
            <v>7517402.0300000003</v>
          </cell>
          <cell r="BI1395">
            <v>1802061.8199999998</v>
          </cell>
          <cell r="BJ1395">
            <v>1899987.5799999998</v>
          </cell>
          <cell r="BK1395">
            <v>2009663.9700000002</v>
          </cell>
          <cell r="BL1395">
            <v>1798668.02</v>
          </cell>
          <cell r="BM1395">
            <v>7510381.3899999987</v>
          </cell>
          <cell r="BN1395">
            <v>4464504.4929444436</v>
          </cell>
          <cell r="BO1395">
            <v>0</v>
          </cell>
          <cell r="BP1395">
            <v>0</v>
          </cell>
          <cell r="BQ1395">
            <v>0</v>
          </cell>
          <cell r="BR1395">
            <v>11974885.882944442</v>
          </cell>
          <cell r="BT1395">
            <v>0</v>
          </cell>
          <cell r="CA1395" t="str">
            <v>915031 - REVTOT - Base</v>
          </cell>
          <cell r="CC1395" t="str">
            <v>915031 - REVTOT - Base - IS4</v>
          </cell>
          <cell r="CD1395" t="str">
            <v/>
          </cell>
          <cell r="CF1395" t="str">
            <v>915031 - Base - IS4</v>
          </cell>
        </row>
        <row r="1396">
          <cell r="D1396">
            <v>1382</v>
          </cell>
          <cell r="E1396">
            <v>1</v>
          </cell>
          <cell r="F1396">
            <v>2</v>
          </cell>
          <cell r="G1396" t="str">
            <v>915031</v>
          </cell>
          <cell r="H1396" t="str">
            <v>EMAC TO 31</v>
          </cell>
          <cell r="I1396" t="str">
            <v>IS4</v>
          </cell>
          <cell r="J1396" t="str">
            <v>IS4 Spectrum &amp; Infrastructure Assurance</v>
          </cell>
          <cell r="K1396" t="str">
            <v>Navy</v>
          </cell>
          <cell r="L1396" t="str">
            <v>DOD</v>
          </cell>
          <cell r="M1396" t="str">
            <v>VA</v>
          </cell>
          <cell r="N1396" t="str">
            <v>CONUS</v>
          </cell>
          <cell r="O1396">
            <v>43956</v>
          </cell>
          <cell r="P1396">
            <v>45781</v>
          </cell>
          <cell r="Q1396" t="str">
            <v>Prime</v>
          </cell>
          <cell r="R1396" t="str">
            <v>CPIF</v>
          </cell>
          <cell r="S1396">
            <v>0</v>
          </cell>
          <cell r="T1396">
            <v>1</v>
          </cell>
          <cell r="U1396" t="str">
            <v>REVTOT</v>
          </cell>
          <cell r="V1396" t="str">
            <v>Identified - Recompete</v>
          </cell>
          <cell r="W1396" t="str">
            <v>02 Capture</v>
          </cell>
          <cell r="X1396" t="str">
            <v>Priority 2</v>
          </cell>
          <cell r="Y1396">
            <v>0.5</v>
          </cell>
          <cell r="Z1396">
            <v>55000000</v>
          </cell>
          <cell r="AA1396">
            <v>0</v>
          </cell>
          <cell r="AB1396">
            <v>0</v>
          </cell>
          <cell r="AC1396">
            <v>0</v>
          </cell>
          <cell r="AD1396">
            <v>0</v>
          </cell>
          <cell r="AI1396">
            <v>0</v>
          </cell>
          <cell r="AJ1396">
            <v>0</v>
          </cell>
          <cell r="AK1396">
            <v>0</v>
          </cell>
          <cell r="BB1396">
            <v>11000000</v>
          </cell>
          <cell r="BC1396">
            <v>11000000</v>
          </cell>
          <cell r="BD1396">
            <v>11000000</v>
          </cell>
          <cell r="BE1396">
            <v>11000000</v>
          </cell>
          <cell r="BI1396">
            <v>0</v>
          </cell>
          <cell r="BJ1396">
            <v>0</v>
          </cell>
          <cell r="BK1396">
            <v>0</v>
          </cell>
          <cell r="BL1396">
            <v>0</v>
          </cell>
          <cell r="BM1396">
            <v>0</v>
          </cell>
          <cell r="BN1396">
            <v>2215277.777777778</v>
          </cell>
          <cell r="BO1396">
            <v>5500000</v>
          </cell>
          <cell r="BP1396">
            <v>5500000</v>
          </cell>
          <cell r="BQ1396">
            <v>5500000</v>
          </cell>
          <cell r="BR1396">
            <v>18715277.777777776</v>
          </cell>
          <cell r="BT1396">
            <v>0</v>
          </cell>
          <cell r="CA1396" t="str">
            <v>915031 - REVTOT - Identified - Recompete</v>
          </cell>
          <cell r="CC1396" t="str">
            <v>915031 - REVTOT - Identified - Recompete - IS4</v>
          </cell>
          <cell r="CD1396" t="str">
            <v/>
          </cell>
          <cell r="CF1396" t="str">
            <v>915031 - Identified - Recompete - IS4</v>
          </cell>
        </row>
        <row r="1397">
          <cell r="D1397">
            <v>1383</v>
          </cell>
          <cell r="E1397">
            <v>2</v>
          </cell>
          <cell r="F1397">
            <v>3</v>
          </cell>
          <cell r="G1397" t="str">
            <v>915031</v>
          </cell>
          <cell r="H1397" t="str">
            <v>EMAC TO 31</v>
          </cell>
          <cell r="I1397" t="str">
            <v>IS4</v>
          </cell>
          <cell r="J1397" t="str">
            <v>IS4 Spectrum &amp; Infrastructure Assurance</v>
          </cell>
          <cell r="K1397" t="str">
            <v>Navy</v>
          </cell>
          <cell r="L1397" t="str">
            <v>DOD</v>
          </cell>
          <cell r="M1397" t="str">
            <v>VA</v>
          </cell>
          <cell r="N1397" t="str">
            <v>CONUS</v>
          </cell>
          <cell r="O1397">
            <v>42198</v>
          </cell>
          <cell r="P1397">
            <v>43955</v>
          </cell>
          <cell r="Q1397" t="str">
            <v>Prime</v>
          </cell>
          <cell r="R1397" t="str">
            <v>CPIF</v>
          </cell>
          <cell r="S1397">
            <v>0</v>
          </cell>
          <cell r="T1397">
            <v>1</v>
          </cell>
          <cell r="U1397" t="str">
            <v>CONTRACT</v>
          </cell>
          <cell r="V1397" t="str">
            <v>Base</v>
          </cell>
          <cell r="W1397" t="str">
            <v>05 Won</v>
          </cell>
          <cell r="X1397" t="str">
            <v>Active</v>
          </cell>
          <cell r="Y1397">
            <v>1</v>
          </cell>
          <cell r="Z1397">
            <v>0</v>
          </cell>
          <cell r="AA1397">
            <v>8005187.0700000003</v>
          </cell>
          <cell r="AB1397">
            <v>0</v>
          </cell>
          <cell r="AC1397">
            <v>0</v>
          </cell>
          <cell r="AD1397">
            <v>8005187.0700000003</v>
          </cell>
          <cell r="AL1397">
            <v>0</v>
          </cell>
          <cell r="AM1397">
            <v>0.16694573603205928</v>
          </cell>
          <cell r="AN1397">
            <v>0.14854345231819407</v>
          </cell>
          <cell r="AO1397">
            <v>0.16437254193824638</v>
          </cell>
          <cell r="AP1397">
            <v>0.16388658211674678</v>
          </cell>
          <cell r="AQ1397">
            <v>0.16388658211674678</v>
          </cell>
          <cell r="AR1397">
            <v>0.16388658211674678</v>
          </cell>
          <cell r="AS1397">
            <v>0.16388658211674678</v>
          </cell>
          <cell r="BF1397">
            <v>0</v>
          </cell>
          <cell r="BG1397">
            <v>1440003.7199999995</v>
          </cell>
          <cell r="BH1397">
            <v>1116660.8500000003</v>
          </cell>
          <cell r="BI1397">
            <v>300580.68000000005</v>
          </cell>
          <cell r="BJ1397">
            <v>319614.50999999983</v>
          </cell>
          <cell r="BK1397">
            <v>316175.8600000001</v>
          </cell>
          <cell r="BL1397">
            <v>298129.42999999993</v>
          </cell>
          <cell r="BM1397">
            <v>1234500.48</v>
          </cell>
          <cell r="BN1397">
            <v>731672.38219352451</v>
          </cell>
          <cell r="BO1397">
            <v>0</v>
          </cell>
          <cell r="BP1397">
            <v>0</v>
          </cell>
          <cell r="BQ1397">
            <v>0</v>
          </cell>
          <cell r="BR1397">
            <v>1966172.8621935244</v>
          </cell>
          <cell r="BT1397">
            <v>0</v>
          </cell>
          <cell r="CA1397" t="str">
            <v>915031 - CONTRACT - Base</v>
          </cell>
          <cell r="CC1397" t="str">
            <v>915031 - CONTRACT - Base - IS4</v>
          </cell>
          <cell r="CD1397" t="str">
            <v/>
          </cell>
          <cell r="CF1397" t="str">
            <v>915031 - Base - IS4</v>
          </cell>
        </row>
        <row r="1398">
          <cell r="D1398">
            <v>1384</v>
          </cell>
          <cell r="E1398">
            <v>2</v>
          </cell>
          <cell r="F1398">
            <v>4</v>
          </cell>
          <cell r="G1398" t="str">
            <v>915031</v>
          </cell>
          <cell r="H1398" t="str">
            <v>EMAC TO 31</v>
          </cell>
          <cell r="I1398" t="str">
            <v>IS4</v>
          </cell>
          <cell r="J1398" t="str">
            <v>IS4 Spectrum &amp; Infrastructure Assurance</v>
          </cell>
          <cell r="K1398" t="str">
            <v>Navy</v>
          </cell>
          <cell r="L1398" t="str">
            <v>DOD</v>
          </cell>
          <cell r="M1398" t="str">
            <v>VA</v>
          </cell>
          <cell r="N1398" t="str">
            <v>CONUS</v>
          </cell>
          <cell r="O1398">
            <v>43956</v>
          </cell>
          <cell r="P1398">
            <v>45781</v>
          </cell>
          <cell r="Q1398" t="str">
            <v>Prime</v>
          </cell>
          <cell r="R1398" t="str">
            <v>CPIF</v>
          </cell>
          <cell r="S1398">
            <v>0</v>
          </cell>
          <cell r="T1398">
            <v>1</v>
          </cell>
          <cell r="U1398" t="str">
            <v>CONTRACT</v>
          </cell>
          <cell r="V1398" t="str">
            <v>Identified - Recompete</v>
          </cell>
          <cell r="W1398" t="str">
            <v>02 Capture</v>
          </cell>
          <cell r="X1398" t="str">
            <v>Priority 2</v>
          </cell>
          <cell r="Y1398">
            <v>0.5</v>
          </cell>
          <cell r="Z1398">
            <v>55000000</v>
          </cell>
          <cell r="AA1398">
            <v>0</v>
          </cell>
          <cell r="AB1398">
            <v>0</v>
          </cell>
          <cell r="AC1398">
            <v>0</v>
          </cell>
          <cell r="AD1398">
            <v>0</v>
          </cell>
          <cell r="AP1398">
            <v>0.16388658211674678</v>
          </cell>
          <cell r="AQ1398">
            <v>0.16388658211674678</v>
          </cell>
          <cell r="AR1398">
            <v>0.16388658211674678</v>
          </cell>
          <cell r="AS1398">
            <v>0.16388658211674678</v>
          </cell>
          <cell r="BI1398">
            <v>0</v>
          </cell>
          <cell r="BJ1398">
            <v>0</v>
          </cell>
          <cell r="BK1398">
            <v>0</v>
          </cell>
          <cell r="BL1398">
            <v>0</v>
          </cell>
          <cell r="BM1398">
            <v>0</v>
          </cell>
          <cell r="BN1398">
            <v>363054.30343918211</v>
          </cell>
          <cell r="BO1398">
            <v>901376.20164210733</v>
          </cell>
          <cell r="BP1398">
            <v>901376.20164210733</v>
          </cell>
          <cell r="BQ1398">
            <v>901376.20164210733</v>
          </cell>
          <cell r="BR1398">
            <v>3067182.9083655039</v>
          </cell>
          <cell r="BT1398">
            <v>0</v>
          </cell>
          <cell r="CA1398" t="str">
            <v>915031 - CONTRACT - Identified - Recompete</v>
          </cell>
          <cell r="CC1398" t="str">
            <v>915031 - CONTRACT - Identified - Recompete - IS4</v>
          </cell>
          <cell r="CD1398" t="str">
            <v/>
          </cell>
          <cell r="CF1398" t="str">
            <v>915031 - Identified - Recompete - IS4</v>
          </cell>
        </row>
        <row r="1399">
          <cell r="D1399">
            <v>1385</v>
          </cell>
          <cell r="E1399">
            <v>0</v>
          </cell>
          <cell r="F1399">
            <v>5</v>
          </cell>
          <cell r="G1399" t="str">
            <v>915031</v>
          </cell>
          <cell r="H1399" t="str">
            <v>EMAC TO 31</v>
          </cell>
          <cell r="I1399" t="str">
            <v>IS4</v>
          </cell>
          <cell r="J1399" t="str">
            <v>IS4 Spectrum &amp; Infrastructure Assurance</v>
          </cell>
          <cell r="K1399" t="str">
            <v>Navy</v>
          </cell>
          <cell r="L1399" t="str">
            <v>DOD</v>
          </cell>
          <cell r="M1399" t="str">
            <v>VA</v>
          </cell>
          <cell r="N1399" t="str">
            <v>CONUS</v>
          </cell>
          <cell r="O1399">
            <v>42198</v>
          </cell>
          <cell r="P1399">
            <v>43955</v>
          </cell>
          <cell r="Q1399" t="str">
            <v>Prime</v>
          </cell>
          <cell r="R1399" t="str">
            <v>CPIF</v>
          </cell>
          <cell r="S1399">
            <v>0</v>
          </cell>
          <cell r="T1399">
            <v>1</v>
          </cell>
          <cell r="U1399" t="str">
            <v>EBITA</v>
          </cell>
          <cell r="V1399" t="str">
            <v>Base</v>
          </cell>
          <cell r="W1399" t="str">
            <v>05 Won</v>
          </cell>
          <cell r="X1399" t="str">
            <v>Active</v>
          </cell>
          <cell r="Y1399">
            <v>1</v>
          </cell>
          <cell r="Z1399">
            <v>0</v>
          </cell>
          <cell r="AA1399">
            <v>8005187.0700000003</v>
          </cell>
          <cell r="AB1399">
            <v>0</v>
          </cell>
          <cell r="AC1399">
            <v>0</v>
          </cell>
          <cell r="AD1399">
            <v>8005187.0700000003</v>
          </cell>
          <cell r="AT1399">
            <v>0</v>
          </cell>
          <cell r="AU1399">
            <v>2.7843762812870931E-2</v>
          </cell>
          <cell r="AV1399">
            <v>1.6496677908817425E-2</v>
          </cell>
          <cell r="AW1399">
            <v>2.7262737984601861E-2</v>
          </cell>
          <cell r="AX1399">
            <v>2.6746127063464988E-2</v>
          </cell>
          <cell r="AY1399">
            <v>2.6746127063464988E-2</v>
          </cell>
          <cell r="AZ1399">
            <v>2.6746127063464988E-2</v>
          </cell>
          <cell r="BA1399">
            <v>2.6746127063464988E-2</v>
          </cell>
          <cell r="BF1399">
            <v>0</v>
          </cell>
          <cell r="BG1399">
            <v>240168.5899999995</v>
          </cell>
          <cell r="BH1399">
            <v>124012.16000000028</v>
          </cell>
          <cell r="BI1399">
            <v>50868.71000000005</v>
          </cell>
          <cell r="BJ1399">
            <v>54204.609999999826</v>
          </cell>
          <cell r="BK1399">
            <v>51983.540000000081</v>
          </cell>
          <cell r="BL1399">
            <v>47696.69999999991</v>
          </cell>
          <cell r="BM1399">
            <v>204753.55999999988</v>
          </cell>
          <cell r="BN1399">
            <v>119408.20444370242</v>
          </cell>
          <cell r="BO1399">
            <v>0</v>
          </cell>
          <cell r="BP1399">
            <v>0</v>
          </cell>
          <cell r="BQ1399">
            <v>0</v>
          </cell>
          <cell r="BR1399">
            <v>324161.7644437023</v>
          </cell>
          <cell r="BT1399">
            <v>0</v>
          </cell>
          <cell r="CA1399" t="str">
            <v>915031 - EBITA - Base</v>
          </cell>
          <cell r="CC1399" t="str">
            <v>915031 - EBITA - Base - IS4</v>
          </cell>
          <cell r="CD1399" t="str">
            <v/>
          </cell>
          <cell r="CF1399" t="str">
            <v>915031 - Base - IS4</v>
          </cell>
        </row>
        <row r="1400">
          <cell r="D1400">
            <v>1386</v>
          </cell>
          <cell r="E1400">
            <v>0</v>
          </cell>
          <cell r="F1400">
            <v>0</v>
          </cell>
          <cell r="G1400" t="str">
            <v>915031</v>
          </cell>
          <cell r="H1400" t="str">
            <v>EMAC TO 31</v>
          </cell>
          <cell r="I1400" t="str">
            <v>IS4</v>
          </cell>
          <cell r="J1400" t="str">
            <v>IS4 Spectrum &amp; Infrastructure Assurance</v>
          </cell>
          <cell r="K1400" t="str">
            <v>Navy</v>
          </cell>
          <cell r="L1400" t="str">
            <v>DOD</v>
          </cell>
          <cell r="M1400" t="str">
            <v>VA</v>
          </cell>
          <cell r="N1400" t="str">
            <v>CONUS</v>
          </cell>
          <cell r="O1400">
            <v>43956</v>
          </cell>
          <cell r="P1400">
            <v>45781</v>
          </cell>
          <cell r="Q1400" t="str">
            <v>Prime</v>
          </cell>
          <cell r="R1400" t="str">
            <v>CPIF</v>
          </cell>
          <cell r="S1400">
            <v>0</v>
          </cell>
          <cell r="T1400">
            <v>1</v>
          </cell>
          <cell r="U1400" t="str">
            <v>EBITA</v>
          </cell>
          <cell r="V1400" t="str">
            <v>Identified - Recompete</v>
          </cell>
          <cell r="W1400" t="str">
            <v>02 Capture</v>
          </cell>
          <cell r="X1400" t="str">
            <v>Priority 2</v>
          </cell>
          <cell r="Y1400">
            <v>0.5</v>
          </cell>
          <cell r="Z1400">
            <v>55000000</v>
          </cell>
          <cell r="AA1400">
            <v>0</v>
          </cell>
          <cell r="AB1400">
            <v>0</v>
          </cell>
          <cell r="AC1400">
            <v>0</v>
          </cell>
          <cell r="AD1400">
            <v>0</v>
          </cell>
          <cell r="AX1400">
            <v>2.6746127063464988E-2</v>
          </cell>
          <cell r="AY1400">
            <v>2.6746127063464988E-2</v>
          </cell>
          <cell r="AZ1400">
            <v>2.6746127063464988E-2</v>
          </cell>
          <cell r="BA1400">
            <v>2.6746127063464988E-2</v>
          </cell>
          <cell r="BI1400">
            <v>0</v>
          </cell>
          <cell r="BJ1400">
            <v>0</v>
          </cell>
          <cell r="BK1400">
            <v>0</v>
          </cell>
          <cell r="BL1400">
            <v>0</v>
          </cell>
          <cell r="BM1400">
            <v>0</v>
          </cell>
          <cell r="BN1400">
            <v>59250.100925314808</v>
          </cell>
          <cell r="BO1400">
            <v>147103.69884905743</v>
          </cell>
          <cell r="BP1400">
            <v>147103.69884905743</v>
          </cell>
          <cell r="BQ1400">
            <v>147103.69884905743</v>
          </cell>
          <cell r="BR1400">
            <v>500561.19747248711</v>
          </cell>
          <cell r="BT1400">
            <v>0</v>
          </cell>
          <cell r="CA1400" t="str">
            <v>915031 - EBITA - Identified - Recompete</v>
          </cell>
          <cell r="CC1400" t="str">
            <v>915031 - EBITA - Identified - Recompete - IS4</v>
          </cell>
          <cell r="CD1400" t="str">
            <v/>
          </cell>
          <cell r="CF1400" t="str">
            <v>915031 - Identified - Recompete - IS4</v>
          </cell>
        </row>
        <row r="1401">
          <cell r="D1401">
            <v>1387</v>
          </cell>
          <cell r="E1401">
            <v>1</v>
          </cell>
          <cell r="F1401">
            <v>1</v>
          </cell>
          <cell r="G1401" t="str">
            <v>915C24</v>
          </cell>
          <cell r="H1401" t="str">
            <v>915C24 Flight Systems Division</v>
          </cell>
          <cell r="I1401" t="str">
            <v>IS4</v>
          </cell>
          <cell r="J1401" t="str">
            <v>IS4 Spectrum &amp; Infrastructure Assurance</v>
          </cell>
          <cell r="K1401" t="str">
            <v>Navy</v>
          </cell>
          <cell r="L1401" t="str">
            <v>DOD</v>
          </cell>
          <cell r="M1401" t="str">
            <v>IN</v>
          </cell>
          <cell r="N1401" t="str">
            <v>CONUS</v>
          </cell>
          <cell r="O1401">
            <v>41543</v>
          </cell>
          <cell r="P1401">
            <v>43733</v>
          </cell>
          <cell r="Q1401" t="str">
            <v>Prime</v>
          </cell>
          <cell r="R1401" t="str">
            <v>CPIF</v>
          </cell>
          <cell r="S1401">
            <v>0</v>
          </cell>
          <cell r="T1401">
            <v>1</v>
          </cell>
          <cell r="U1401" t="str">
            <v>REVTOT</v>
          </cell>
          <cell r="V1401" t="str">
            <v>Base</v>
          </cell>
          <cell r="W1401" t="str">
            <v>05 Won</v>
          </cell>
          <cell r="X1401" t="str">
            <v>Active</v>
          </cell>
          <cell r="Y1401">
            <v>1</v>
          </cell>
          <cell r="Z1401">
            <v>0</v>
          </cell>
          <cell r="AA1401">
            <v>-31340.729999998352</v>
          </cell>
          <cell r="AB1401">
            <v>4441397</v>
          </cell>
          <cell r="AC1401">
            <v>0</v>
          </cell>
          <cell r="AD1401">
            <v>4410056.2700000014</v>
          </cell>
          <cell r="AE1401">
            <v>-2.0660472480239833E-2</v>
          </cell>
          <cell r="AF1401">
            <v>0.13369894052145193</v>
          </cell>
          <cell r="AG1401">
            <v>-7.2034958975379926E-3</v>
          </cell>
          <cell r="AH1401">
            <v>-1</v>
          </cell>
          <cell r="AI1401">
            <v>0</v>
          </cell>
          <cell r="AJ1401">
            <v>0</v>
          </cell>
          <cell r="AK1401">
            <v>0</v>
          </cell>
          <cell r="BB1401">
            <v>0</v>
          </cell>
          <cell r="BC1401">
            <v>0</v>
          </cell>
          <cell r="BD1401">
            <v>0</v>
          </cell>
          <cell r="BE1401">
            <v>0</v>
          </cell>
          <cell r="BF1401">
            <v>5501033.4399999995</v>
          </cell>
          <cell r="BG1401">
            <v>5387379.4900000002</v>
          </cell>
          <cell r="BH1401">
            <v>6107666.4199999999</v>
          </cell>
          <cell r="BI1401">
            <v>1263976.03</v>
          </cell>
          <cell r="BJ1401">
            <v>1517279.8599999999</v>
          </cell>
          <cell r="BK1401">
            <v>1580607.98</v>
          </cell>
          <cell r="BL1401">
            <v>1701806</v>
          </cell>
          <cell r="BM1401">
            <v>6063669.8699999992</v>
          </cell>
          <cell r="BN1401">
            <v>0</v>
          </cell>
          <cell r="BO1401">
            <v>0</v>
          </cell>
          <cell r="BP1401">
            <v>0</v>
          </cell>
          <cell r="BQ1401">
            <v>0</v>
          </cell>
          <cell r="BR1401">
            <v>6063669.8699999992</v>
          </cell>
          <cell r="BT1401">
            <v>0</v>
          </cell>
          <cell r="CA1401" t="str">
            <v>915C24 - REVTOT - Base</v>
          </cell>
          <cell r="CC1401" t="str">
            <v>915C24 - REVTOT - Base - IS4</v>
          </cell>
          <cell r="CD1401" t="str">
            <v/>
          </cell>
          <cell r="CF1401" t="str">
            <v>915C24 - Base - IS4</v>
          </cell>
        </row>
        <row r="1402">
          <cell r="D1402">
            <v>1388</v>
          </cell>
          <cell r="E1402">
            <v>1</v>
          </cell>
          <cell r="F1402">
            <v>2</v>
          </cell>
          <cell r="G1402" t="str">
            <v>915C24</v>
          </cell>
          <cell r="H1402" t="str">
            <v>915C24 Flight Systems Division</v>
          </cell>
          <cell r="I1402" t="str">
            <v>IS4</v>
          </cell>
          <cell r="J1402" t="str">
            <v>IS4 Spectrum &amp; Infrastructure Assurance</v>
          </cell>
          <cell r="K1402" t="str">
            <v>Navy</v>
          </cell>
          <cell r="L1402" t="str">
            <v>DOD</v>
          </cell>
          <cell r="M1402" t="str">
            <v>IN</v>
          </cell>
          <cell r="N1402" t="str">
            <v>CONUS</v>
          </cell>
          <cell r="O1402">
            <v>43734</v>
          </cell>
          <cell r="P1402">
            <v>45561</v>
          </cell>
          <cell r="Q1402" t="str">
            <v>Prime</v>
          </cell>
          <cell r="R1402" t="str">
            <v>CPIF</v>
          </cell>
          <cell r="S1402">
            <v>0</v>
          </cell>
          <cell r="T1402">
            <v>1</v>
          </cell>
          <cell r="U1402" t="str">
            <v>REVTOT</v>
          </cell>
          <cell r="V1402" t="str">
            <v>Identified - Recompete</v>
          </cell>
          <cell r="W1402" t="str">
            <v>04 Submitted</v>
          </cell>
          <cell r="X1402" t="str">
            <v>Priority 3</v>
          </cell>
          <cell r="Y1402">
            <v>0.5</v>
          </cell>
          <cell r="Z1402">
            <v>52000000</v>
          </cell>
          <cell r="AA1402">
            <v>0</v>
          </cell>
          <cell r="AB1402">
            <v>0</v>
          </cell>
          <cell r="AC1402">
            <v>0</v>
          </cell>
          <cell r="AD1402">
            <v>0</v>
          </cell>
          <cell r="AI1402">
            <v>0</v>
          </cell>
          <cell r="AJ1402">
            <v>0</v>
          </cell>
          <cell r="AK1402">
            <v>0</v>
          </cell>
          <cell r="BB1402">
            <v>10400000</v>
          </cell>
          <cell r="BC1402">
            <v>10400000</v>
          </cell>
          <cell r="BD1402">
            <v>10400000</v>
          </cell>
          <cell r="BE1402">
            <v>10400000</v>
          </cell>
          <cell r="BI1402">
            <v>0</v>
          </cell>
          <cell r="BJ1402">
            <v>0</v>
          </cell>
          <cell r="BK1402">
            <v>0</v>
          </cell>
          <cell r="BL1402">
            <v>0</v>
          </cell>
          <cell r="BM1402">
            <v>0</v>
          </cell>
          <cell r="BN1402">
            <v>5200000</v>
          </cell>
          <cell r="BO1402">
            <v>5200000</v>
          </cell>
          <cell r="BP1402">
            <v>5200000</v>
          </cell>
          <cell r="BQ1402">
            <v>5200000</v>
          </cell>
          <cell r="BR1402">
            <v>20800000</v>
          </cell>
          <cell r="BT1402">
            <v>0</v>
          </cell>
          <cell r="CA1402" t="str">
            <v>915C24 - REVTOT - Identified - Recompete</v>
          </cell>
          <cell r="CC1402" t="str">
            <v>915C24 - REVTOT - Identified - Recompete - IS4</v>
          </cell>
          <cell r="CD1402" t="str">
            <v/>
          </cell>
          <cell r="CF1402" t="str">
            <v>915C24 - Identified - Recompete - IS4</v>
          </cell>
        </row>
        <row r="1403">
          <cell r="D1403">
            <v>1389</v>
          </cell>
          <cell r="E1403">
            <v>2</v>
          </cell>
          <cell r="F1403">
            <v>3</v>
          </cell>
          <cell r="G1403" t="str">
            <v>915C24</v>
          </cell>
          <cell r="H1403" t="str">
            <v>915C24 Flight Systems Division</v>
          </cell>
          <cell r="I1403" t="str">
            <v>IS4</v>
          </cell>
          <cell r="J1403" t="str">
            <v>IS4 Spectrum &amp; Infrastructure Assurance</v>
          </cell>
          <cell r="K1403" t="str">
            <v>Navy</v>
          </cell>
          <cell r="L1403" t="str">
            <v>DOD</v>
          </cell>
          <cell r="M1403" t="str">
            <v>IN</v>
          </cell>
          <cell r="N1403" t="str">
            <v>CONUS</v>
          </cell>
          <cell r="O1403">
            <v>41543</v>
          </cell>
          <cell r="P1403">
            <v>43733</v>
          </cell>
          <cell r="Q1403" t="str">
            <v>Prime</v>
          </cell>
          <cell r="R1403" t="str">
            <v>CPIF</v>
          </cell>
          <cell r="S1403">
            <v>0</v>
          </cell>
          <cell r="T1403">
            <v>1</v>
          </cell>
          <cell r="U1403" t="str">
            <v>CONTRACT</v>
          </cell>
          <cell r="V1403" t="str">
            <v>Base</v>
          </cell>
          <cell r="W1403" t="str">
            <v>05 Won</v>
          </cell>
          <cell r="X1403" t="str">
            <v>Active</v>
          </cell>
          <cell r="Y1403">
            <v>1</v>
          </cell>
          <cell r="Z1403">
            <v>0</v>
          </cell>
          <cell r="AA1403">
            <v>-31340.729999998352</v>
          </cell>
          <cell r="AB1403">
            <v>4441397</v>
          </cell>
          <cell r="AC1403">
            <v>0</v>
          </cell>
          <cell r="AD1403">
            <v>4410056.2700000014</v>
          </cell>
          <cell r="AL1403">
            <v>0.19106659893345423</v>
          </cell>
          <cell r="AM1403">
            <v>0.12594593183187844</v>
          </cell>
          <cell r="AN1403">
            <v>0.11719664775012389</v>
          </cell>
          <cell r="AO1403">
            <v>0.13538056121119271</v>
          </cell>
          <cell r="AP1403">
            <v>0.14164435652956336</v>
          </cell>
          <cell r="AQ1403">
            <v>0.14164435652956336</v>
          </cell>
          <cell r="AR1403">
            <v>0.14164435652956336</v>
          </cell>
          <cell r="AS1403">
            <v>0.14164435652956336</v>
          </cell>
          <cell r="BF1403">
            <v>1051063.75</v>
          </cell>
          <cell r="BG1403">
            <v>678518.53</v>
          </cell>
          <cell r="BH1403">
            <v>715798.03000000026</v>
          </cell>
          <cell r="BI1403">
            <v>174258.81999999995</v>
          </cell>
          <cell r="BJ1403">
            <v>201706.11</v>
          </cell>
          <cell r="BK1403">
            <v>213576.09999999998</v>
          </cell>
          <cell r="BL1403">
            <v>231362</v>
          </cell>
          <cell r="BM1403">
            <v>820903.02999999991</v>
          </cell>
          <cell r="BN1403">
            <v>0</v>
          </cell>
          <cell r="BO1403">
            <v>0</v>
          </cell>
          <cell r="BP1403">
            <v>0</v>
          </cell>
          <cell r="BQ1403">
            <v>0</v>
          </cell>
          <cell r="BR1403">
            <v>820903.02999999991</v>
          </cell>
          <cell r="BT1403">
            <v>0</v>
          </cell>
          <cell r="CA1403" t="str">
            <v>915C24 - CONTRACT - Base</v>
          </cell>
          <cell r="CC1403" t="str">
            <v>915C24 - CONTRACT - Base - IS4</v>
          </cell>
          <cell r="CD1403" t="str">
            <v/>
          </cell>
          <cell r="CF1403" t="str">
            <v>915C24 - Base - IS4</v>
          </cell>
        </row>
        <row r="1404">
          <cell r="D1404">
            <v>1390</v>
          </cell>
          <cell r="E1404">
            <v>2</v>
          </cell>
          <cell r="F1404">
            <v>4</v>
          </cell>
          <cell r="G1404" t="str">
            <v>915C24</v>
          </cell>
          <cell r="H1404" t="str">
            <v>915C24 Flight Systems Division</v>
          </cell>
          <cell r="I1404" t="str">
            <v>IS4</v>
          </cell>
          <cell r="J1404" t="str">
            <v>IS4 Spectrum &amp; Infrastructure Assurance</v>
          </cell>
          <cell r="K1404" t="str">
            <v>Navy</v>
          </cell>
          <cell r="L1404" t="str">
            <v>DOD</v>
          </cell>
          <cell r="M1404" t="str">
            <v>IN</v>
          </cell>
          <cell r="N1404" t="str">
            <v>CONUS</v>
          </cell>
          <cell r="O1404">
            <v>43734</v>
          </cell>
          <cell r="P1404">
            <v>45561</v>
          </cell>
          <cell r="Q1404" t="str">
            <v>Prime</v>
          </cell>
          <cell r="R1404" t="str">
            <v>CPIF</v>
          </cell>
          <cell r="S1404">
            <v>0</v>
          </cell>
          <cell r="T1404">
            <v>1</v>
          </cell>
          <cell r="U1404" t="str">
            <v>CONTRACT</v>
          </cell>
          <cell r="V1404" t="str">
            <v>Identified - Recompete</v>
          </cell>
          <cell r="W1404" t="str">
            <v>04 Submitted</v>
          </cell>
          <cell r="X1404" t="str">
            <v>Priority 3</v>
          </cell>
          <cell r="Y1404">
            <v>0.5</v>
          </cell>
          <cell r="Z1404">
            <v>52000000</v>
          </cell>
          <cell r="AA1404">
            <v>0</v>
          </cell>
          <cell r="AB1404">
            <v>0</v>
          </cell>
          <cell r="AC1404">
            <v>0</v>
          </cell>
          <cell r="AD1404">
            <v>0</v>
          </cell>
          <cell r="AP1404">
            <v>0.14164435652956336</v>
          </cell>
          <cell r="AQ1404">
            <v>0.14164435652956336</v>
          </cell>
          <cell r="AR1404">
            <v>0.14164435652956336</v>
          </cell>
          <cell r="AS1404">
            <v>0.14164435652956336</v>
          </cell>
          <cell r="BI1404">
            <v>0</v>
          </cell>
          <cell r="BJ1404">
            <v>0</v>
          </cell>
          <cell r="BK1404">
            <v>0</v>
          </cell>
          <cell r="BL1404">
            <v>0</v>
          </cell>
          <cell r="BM1404">
            <v>0</v>
          </cell>
          <cell r="BN1404">
            <v>736550.65395372955</v>
          </cell>
          <cell r="BO1404">
            <v>736550.65395372955</v>
          </cell>
          <cell r="BP1404">
            <v>736550.65395372955</v>
          </cell>
          <cell r="BQ1404">
            <v>736550.65395372955</v>
          </cell>
          <cell r="BR1404">
            <v>2946202.6158149182</v>
          </cell>
          <cell r="BT1404">
            <v>0</v>
          </cell>
          <cell r="CA1404" t="str">
            <v>915C24 - CONTRACT - Identified - Recompete</v>
          </cell>
          <cell r="CC1404" t="str">
            <v>915C24 - CONTRACT - Identified - Recompete - IS4</v>
          </cell>
          <cell r="CD1404" t="str">
            <v/>
          </cell>
          <cell r="CF1404" t="str">
            <v>915C24 - Identified - Recompete - IS4</v>
          </cell>
        </row>
        <row r="1405">
          <cell r="D1405">
            <v>1391</v>
          </cell>
          <cell r="E1405">
            <v>0</v>
          </cell>
          <cell r="F1405">
            <v>5</v>
          </cell>
          <cell r="G1405" t="str">
            <v>915C24</v>
          </cell>
          <cell r="H1405" t="str">
            <v>915C24 Flight Systems Division</v>
          </cell>
          <cell r="I1405" t="str">
            <v>IS4</v>
          </cell>
          <cell r="J1405" t="str">
            <v>IS4 Spectrum &amp; Infrastructure Assurance</v>
          </cell>
          <cell r="K1405" t="str">
            <v>Navy</v>
          </cell>
          <cell r="L1405" t="str">
            <v>DOD</v>
          </cell>
          <cell r="M1405" t="str">
            <v>IN</v>
          </cell>
          <cell r="N1405" t="str">
            <v>CONUS</v>
          </cell>
          <cell r="O1405">
            <v>41543</v>
          </cell>
          <cell r="P1405">
            <v>43733</v>
          </cell>
          <cell r="Q1405" t="str">
            <v>Prime</v>
          </cell>
          <cell r="R1405" t="str">
            <v>CPIF</v>
          </cell>
          <cell r="S1405">
            <v>0</v>
          </cell>
          <cell r="T1405">
            <v>1</v>
          </cell>
          <cell r="U1405" t="str">
            <v>EBITA</v>
          </cell>
          <cell r="V1405" t="str">
            <v>Base</v>
          </cell>
          <cell r="W1405" t="str">
            <v>05 Won</v>
          </cell>
          <cell r="X1405" t="str">
            <v>Active</v>
          </cell>
          <cell r="Y1405">
            <v>1</v>
          </cell>
          <cell r="Z1405">
            <v>0</v>
          </cell>
          <cell r="AA1405">
            <v>-31340.729999998352</v>
          </cell>
          <cell r="AB1405">
            <v>4441397</v>
          </cell>
          <cell r="AC1405">
            <v>0</v>
          </cell>
          <cell r="AD1405">
            <v>4410056.2700000014</v>
          </cell>
          <cell r="AT1405">
            <v>8.2723011042085196E-2</v>
          </cell>
          <cell r="AU1405">
            <v>2.1194794280215094E-2</v>
          </cell>
          <cell r="AV1405">
            <v>2.3291823786276828E-2</v>
          </cell>
          <cell r="AW1405">
            <v>2.4495017569285966E-2</v>
          </cell>
          <cell r="AX1405">
            <v>3.7295932050036409E-2</v>
          </cell>
          <cell r="AY1405">
            <v>3.7295932050036409E-2</v>
          </cell>
          <cell r="AZ1405">
            <v>3.7295932050036409E-2</v>
          </cell>
          <cell r="BA1405">
            <v>3.7295932050036409E-2</v>
          </cell>
          <cell r="BF1405">
            <v>455062.04999999987</v>
          </cell>
          <cell r="BG1405">
            <v>114184.40000000011</v>
          </cell>
          <cell r="BH1405">
            <v>142258.69000000024</v>
          </cell>
          <cell r="BI1405">
            <v>30283.889999999941</v>
          </cell>
          <cell r="BJ1405">
            <v>38040.109999999993</v>
          </cell>
          <cell r="BK1405">
            <v>39005.699999999975</v>
          </cell>
          <cell r="BL1405">
            <v>41200</v>
          </cell>
          <cell r="BM1405">
            <v>148529.69999999992</v>
          </cell>
          <cell r="BN1405">
            <v>0</v>
          </cell>
          <cell r="BO1405">
            <v>0</v>
          </cell>
          <cell r="BP1405">
            <v>0</v>
          </cell>
          <cell r="BQ1405">
            <v>0</v>
          </cell>
          <cell r="BR1405">
            <v>148529.69999999992</v>
          </cell>
          <cell r="BT1405">
            <v>0</v>
          </cell>
          <cell r="CA1405" t="str">
            <v>915C24 - EBITA - Base</v>
          </cell>
          <cell r="CC1405" t="str">
            <v>915C24 - EBITA - Base - IS4</v>
          </cell>
          <cell r="CD1405" t="str">
            <v/>
          </cell>
          <cell r="CF1405" t="str">
            <v>915C24 - Base - IS4</v>
          </cell>
        </row>
        <row r="1406">
          <cell r="D1406">
            <v>1392</v>
          </cell>
          <cell r="E1406">
            <v>0</v>
          </cell>
          <cell r="F1406">
            <v>0</v>
          </cell>
          <cell r="G1406" t="str">
            <v>915C24</v>
          </cell>
          <cell r="H1406" t="str">
            <v>915C24 Flight Systems Division</v>
          </cell>
          <cell r="I1406" t="str">
            <v>IS4</v>
          </cell>
          <cell r="J1406" t="str">
            <v>IS4 Spectrum &amp; Infrastructure Assurance</v>
          </cell>
          <cell r="K1406" t="str">
            <v>Navy</v>
          </cell>
          <cell r="L1406" t="str">
            <v>DOD</v>
          </cell>
          <cell r="M1406" t="str">
            <v>IN</v>
          </cell>
          <cell r="N1406" t="str">
            <v>CONUS</v>
          </cell>
          <cell r="O1406">
            <v>43734</v>
          </cell>
          <cell r="P1406">
            <v>45561</v>
          </cell>
          <cell r="Q1406" t="str">
            <v>Prime</v>
          </cell>
          <cell r="R1406" t="str">
            <v>CPIF</v>
          </cell>
          <cell r="S1406">
            <v>0</v>
          </cell>
          <cell r="T1406">
            <v>1</v>
          </cell>
          <cell r="U1406" t="str">
            <v>EBITA</v>
          </cell>
          <cell r="V1406" t="str">
            <v>Identified - Recompete</v>
          </cell>
          <cell r="W1406" t="str">
            <v>04 Submitted</v>
          </cell>
          <cell r="X1406" t="str">
            <v>Priority 3</v>
          </cell>
          <cell r="Y1406">
            <v>0.5</v>
          </cell>
          <cell r="Z1406">
            <v>52000000</v>
          </cell>
          <cell r="AA1406">
            <v>0</v>
          </cell>
          <cell r="AB1406">
            <v>0</v>
          </cell>
          <cell r="AC1406">
            <v>0</v>
          </cell>
          <cell r="AD1406">
            <v>0</v>
          </cell>
          <cell r="AX1406">
            <v>3.7295932050036409E-2</v>
          </cell>
          <cell r="AY1406">
            <v>3.7295932050036409E-2</v>
          </cell>
          <cell r="AZ1406">
            <v>3.7295932050036409E-2</v>
          </cell>
          <cell r="BA1406">
            <v>3.7295932050036409E-2</v>
          </cell>
          <cell r="BI1406">
            <v>0</v>
          </cell>
          <cell r="BJ1406">
            <v>0</v>
          </cell>
          <cell r="BK1406">
            <v>0</v>
          </cell>
          <cell r="BL1406">
            <v>0</v>
          </cell>
          <cell r="BM1406">
            <v>0</v>
          </cell>
          <cell r="BN1406">
            <v>193938.84666018933</v>
          </cell>
          <cell r="BO1406">
            <v>193938.84666018933</v>
          </cell>
          <cell r="BP1406">
            <v>193938.84666018933</v>
          </cell>
          <cell r="BQ1406">
            <v>193938.84666018933</v>
          </cell>
          <cell r="BR1406">
            <v>775755.38664075732</v>
          </cell>
          <cell r="BT1406">
            <v>0</v>
          </cell>
          <cell r="CA1406" t="str">
            <v>915C24 - EBITA - Identified - Recompete</v>
          </cell>
          <cell r="CC1406" t="str">
            <v>915C24 - EBITA - Identified - Recompete - IS4</v>
          </cell>
          <cell r="CD1406" t="str">
            <v/>
          </cell>
          <cell r="CF1406" t="str">
            <v>915C24 - Identified - Recompete - IS4</v>
          </cell>
        </row>
        <row r="1407">
          <cell r="D1407">
            <v>1393</v>
          </cell>
          <cell r="E1407">
            <v>1</v>
          </cell>
          <cell r="F1407">
            <v>1</v>
          </cell>
          <cell r="G1407" t="str">
            <v>915FD9</v>
          </cell>
          <cell r="H1407" t="str">
            <v>FD09 Hydrodynamics</v>
          </cell>
          <cell r="I1407" t="str">
            <v>IS4</v>
          </cell>
          <cell r="J1407" t="str">
            <v>IS4 Sustainment Engineering and Acquisition</v>
          </cell>
          <cell r="K1407" t="str">
            <v>Navy</v>
          </cell>
          <cell r="L1407" t="str">
            <v>DOD</v>
          </cell>
          <cell r="M1407" t="str">
            <v>MD</v>
          </cell>
          <cell r="N1407" t="str">
            <v>CONUS</v>
          </cell>
          <cell r="O1407">
            <v>42369</v>
          </cell>
          <cell r="P1407">
            <v>43998</v>
          </cell>
          <cell r="Q1407" t="str">
            <v>Prime</v>
          </cell>
          <cell r="R1407" t="str">
            <v>CPIF</v>
          </cell>
          <cell r="S1407">
            <v>0</v>
          </cell>
          <cell r="T1407">
            <v>1</v>
          </cell>
          <cell r="U1407" t="str">
            <v>REVTOT</v>
          </cell>
          <cell r="V1407" t="str">
            <v>Base</v>
          </cell>
          <cell r="W1407" t="str">
            <v>05 Won</v>
          </cell>
          <cell r="X1407" t="str">
            <v>Active</v>
          </cell>
          <cell r="Y1407">
            <v>1</v>
          </cell>
          <cell r="Z1407">
            <v>0</v>
          </cell>
          <cell r="AA1407">
            <v>1717510.5099999991</v>
          </cell>
          <cell r="AB1407">
            <v>0</v>
          </cell>
          <cell r="AC1407">
            <v>0</v>
          </cell>
          <cell r="AD1407">
            <v>1717510.5099999991</v>
          </cell>
          <cell r="AE1407">
            <v>-9.2496554616491866E-2</v>
          </cell>
          <cell r="AF1407">
            <v>0.73372226354878411</v>
          </cell>
          <cell r="AG1407">
            <v>0.29899340951152142</v>
          </cell>
          <cell r="AH1407">
            <v>0.3026007127016539</v>
          </cell>
          <cell r="AI1407">
            <v>0</v>
          </cell>
          <cell r="AJ1407">
            <v>0</v>
          </cell>
          <cell r="AK1407">
            <v>0</v>
          </cell>
          <cell r="BB1407">
            <v>697708</v>
          </cell>
          <cell r="BC1407">
            <v>697708</v>
          </cell>
          <cell r="BD1407">
            <v>697708</v>
          </cell>
          <cell r="BE1407">
            <v>697708</v>
          </cell>
          <cell r="BF1407">
            <v>186365.32</v>
          </cell>
          <cell r="BG1407">
            <v>169127.17</v>
          </cell>
          <cell r="BH1407">
            <v>293219.54000000004</v>
          </cell>
          <cell r="BI1407">
            <v>35810.65</v>
          </cell>
          <cell r="BJ1407">
            <v>32261.16</v>
          </cell>
          <cell r="BK1407">
            <v>102746.43999999999</v>
          </cell>
          <cell r="BL1407">
            <v>210072</v>
          </cell>
          <cell r="BM1407">
            <v>380890.25</v>
          </cell>
          <cell r="BN1407">
            <v>496147.91111111111</v>
          </cell>
          <cell r="BO1407">
            <v>0</v>
          </cell>
          <cell r="BP1407">
            <v>0</v>
          </cell>
          <cell r="BQ1407">
            <v>0</v>
          </cell>
          <cell r="BR1407">
            <v>877038.16111111105</v>
          </cell>
          <cell r="BT1407">
            <v>0</v>
          </cell>
          <cell r="CA1407" t="str">
            <v>915FD9 - REVTOT - Base</v>
          </cell>
          <cell r="CC1407" t="str">
            <v>915FD9 - REVTOT - Base - IS4</v>
          </cell>
          <cell r="CD1407" t="str">
            <v/>
          </cell>
          <cell r="CF1407" t="str">
            <v>915FD9 - Base - IS4</v>
          </cell>
        </row>
        <row r="1408">
          <cell r="D1408">
            <v>1394</v>
          </cell>
          <cell r="E1408">
            <v>1</v>
          </cell>
          <cell r="F1408">
            <v>2</v>
          </cell>
          <cell r="G1408" t="str">
            <v>915FD9</v>
          </cell>
          <cell r="H1408" t="str">
            <v>FD09 Hydrodynamics</v>
          </cell>
          <cell r="I1408" t="str">
            <v>IS4</v>
          </cell>
          <cell r="J1408" t="str">
            <v>IS4 Sustainment Engineering and Acquisition</v>
          </cell>
          <cell r="K1408" t="str">
            <v>Navy</v>
          </cell>
          <cell r="L1408" t="str">
            <v>DOD</v>
          </cell>
          <cell r="M1408" t="str">
            <v>MD</v>
          </cell>
          <cell r="N1408" t="str">
            <v>CONUS</v>
          </cell>
          <cell r="O1408">
            <v>43999</v>
          </cell>
          <cell r="P1408">
            <v>45824</v>
          </cell>
          <cell r="Q1408" t="str">
            <v>Prime</v>
          </cell>
          <cell r="R1408" t="str">
            <v>CPIF</v>
          </cell>
          <cell r="S1408">
            <v>0</v>
          </cell>
          <cell r="T1408">
            <v>1</v>
          </cell>
          <cell r="U1408" t="str">
            <v>REVTOT</v>
          </cell>
          <cell r="V1408" t="str">
            <v>Identified - Recompete</v>
          </cell>
          <cell r="W1408" t="str">
            <v>02 Capture</v>
          </cell>
          <cell r="X1408" t="str">
            <v>Priority 3</v>
          </cell>
          <cell r="Y1408">
            <v>0.5</v>
          </cell>
          <cell r="Z1408">
            <v>3500000</v>
          </cell>
          <cell r="AA1408">
            <v>0</v>
          </cell>
          <cell r="AB1408">
            <v>0</v>
          </cell>
          <cell r="AC1408">
            <v>0</v>
          </cell>
          <cell r="AD1408">
            <v>0</v>
          </cell>
          <cell r="AI1408">
            <v>0</v>
          </cell>
          <cell r="AJ1408">
            <v>0</v>
          </cell>
          <cell r="AK1408">
            <v>0</v>
          </cell>
          <cell r="BB1408">
            <v>700000</v>
          </cell>
          <cell r="BC1408">
            <v>700000</v>
          </cell>
          <cell r="BD1408">
            <v>700000</v>
          </cell>
          <cell r="BE1408">
            <v>700000</v>
          </cell>
          <cell r="BI1408">
            <v>0</v>
          </cell>
          <cell r="BJ1408">
            <v>0</v>
          </cell>
          <cell r="BK1408">
            <v>0</v>
          </cell>
          <cell r="BL1408">
            <v>0</v>
          </cell>
          <cell r="BM1408">
            <v>0</v>
          </cell>
          <cell r="BN1408">
            <v>100138.88888888888</v>
          </cell>
          <cell r="BO1408">
            <v>350000</v>
          </cell>
          <cell r="BP1408">
            <v>350000</v>
          </cell>
          <cell r="BQ1408">
            <v>350000</v>
          </cell>
          <cell r="BR1408">
            <v>1150138.888888889</v>
          </cell>
          <cell r="BT1408">
            <v>0</v>
          </cell>
          <cell r="CA1408" t="str">
            <v>915FD9 - REVTOT - Identified - Recompete</v>
          </cell>
          <cell r="CC1408" t="str">
            <v>915FD9 - REVTOT - Identified - Recompete - IS4</v>
          </cell>
          <cell r="CD1408" t="str">
            <v/>
          </cell>
          <cell r="CF1408" t="str">
            <v>915FD9 - Identified - Recompete - IS4</v>
          </cell>
        </row>
        <row r="1409">
          <cell r="D1409">
            <v>1395</v>
          </cell>
          <cell r="E1409">
            <v>2</v>
          </cell>
          <cell r="F1409">
            <v>3</v>
          </cell>
          <cell r="G1409" t="str">
            <v>915FD9</v>
          </cell>
          <cell r="H1409" t="str">
            <v>FD09 Hydrodynamics</v>
          </cell>
          <cell r="I1409" t="str">
            <v>IS4</v>
          </cell>
          <cell r="J1409" t="str">
            <v>IS4 Sustainment Engineering and Acquisition</v>
          </cell>
          <cell r="K1409" t="str">
            <v>Navy</v>
          </cell>
          <cell r="L1409" t="str">
            <v>DOD</v>
          </cell>
          <cell r="M1409" t="str">
            <v>MD</v>
          </cell>
          <cell r="N1409" t="str">
            <v>CONUS</v>
          </cell>
          <cell r="O1409">
            <v>42369</v>
          </cell>
          <cell r="P1409">
            <v>43632</v>
          </cell>
          <cell r="Q1409" t="str">
            <v>Prime</v>
          </cell>
          <cell r="R1409" t="str">
            <v>CPIF</v>
          </cell>
          <cell r="S1409">
            <v>0</v>
          </cell>
          <cell r="T1409">
            <v>1</v>
          </cell>
          <cell r="U1409" t="str">
            <v>CONTRACT</v>
          </cell>
          <cell r="V1409" t="str">
            <v>Base</v>
          </cell>
          <cell r="W1409" t="str">
            <v>05 Won</v>
          </cell>
          <cell r="X1409" t="str">
            <v>Active</v>
          </cell>
          <cell r="Y1409">
            <v>1</v>
          </cell>
          <cell r="Z1409">
            <v>0</v>
          </cell>
          <cell r="AA1409">
            <v>1717510.5099999991</v>
          </cell>
          <cell r="AB1409">
            <v>0</v>
          </cell>
          <cell r="AC1409">
            <v>0</v>
          </cell>
          <cell r="AD1409">
            <v>1717510.5099999991</v>
          </cell>
          <cell r="AL1409">
            <v>0.3352045863468589</v>
          </cell>
          <cell r="AM1409">
            <v>0.27600278535967926</v>
          </cell>
          <cell r="AN1409">
            <v>0.26237528372085972</v>
          </cell>
          <cell r="AO1409">
            <v>0.29502461667107521</v>
          </cell>
          <cell r="AP1409">
            <v>0.25310617349951553</v>
          </cell>
          <cell r="AQ1409">
            <v>0.25310617349951553</v>
          </cell>
          <cell r="AR1409">
            <v>0.25310617349951553</v>
          </cell>
          <cell r="AS1409">
            <v>0.25310617349951553</v>
          </cell>
          <cell r="BF1409">
            <v>62470.509999999995</v>
          </cell>
          <cell r="BG1409">
            <v>46679.569999999992</v>
          </cell>
          <cell r="BH1409">
            <v>76933.559999999983</v>
          </cell>
          <cell r="BI1409">
            <v>5925.9200000000037</v>
          </cell>
          <cell r="BJ1409">
            <v>8851.0099999999984</v>
          </cell>
          <cell r="BK1409">
            <v>30623.069999999992</v>
          </cell>
          <cell r="BL1409">
            <v>66972</v>
          </cell>
          <cell r="BM1409">
            <v>112372</v>
          </cell>
          <cell r="BN1409">
            <v>125578.0992711111</v>
          </cell>
          <cell r="BO1409">
            <v>0</v>
          </cell>
          <cell r="BP1409">
            <v>0</v>
          </cell>
          <cell r="BQ1409">
            <v>0</v>
          </cell>
          <cell r="BR1409">
            <v>237950.0992711111</v>
          </cell>
          <cell r="BT1409">
            <v>0</v>
          </cell>
          <cell r="CA1409" t="str">
            <v>915FD9 - CONTRACT - Base</v>
          </cell>
          <cell r="CC1409" t="str">
            <v>915FD9 - CONTRACT - Base - IS4</v>
          </cell>
          <cell r="CD1409" t="str">
            <v/>
          </cell>
          <cell r="CF1409" t="str">
            <v>915FD9 - Base - IS4</v>
          </cell>
        </row>
        <row r="1410">
          <cell r="D1410">
            <v>1396</v>
          </cell>
          <cell r="E1410">
            <v>2</v>
          </cell>
          <cell r="F1410">
            <v>4</v>
          </cell>
          <cell r="G1410" t="str">
            <v>915FD9</v>
          </cell>
          <cell r="H1410" t="str">
            <v>FD09 Hydrodynamics</v>
          </cell>
          <cell r="I1410" t="str">
            <v>IS4</v>
          </cell>
          <cell r="J1410" t="str">
            <v>IS4 Sustainment Engineering and Acquisition</v>
          </cell>
          <cell r="K1410" t="str">
            <v>Navy</v>
          </cell>
          <cell r="L1410" t="str">
            <v>DOD</v>
          </cell>
          <cell r="M1410" t="str">
            <v>MD</v>
          </cell>
          <cell r="N1410" t="str">
            <v>CONUS</v>
          </cell>
          <cell r="O1410">
            <v>44165</v>
          </cell>
          <cell r="P1410">
            <v>45991</v>
          </cell>
          <cell r="Q1410" t="str">
            <v>Prime</v>
          </cell>
          <cell r="R1410" t="str">
            <v>CPIF</v>
          </cell>
          <cell r="S1410">
            <v>0</v>
          </cell>
          <cell r="T1410">
            <v>1</v>
          </cell>
          <cell r="U1410" t="str">
            <v>CONTRACT</v>
          </cell>
          <cell r="V1410" t="str">
            <v>Identified - Recompete</v>
          </cell>
          <cell r="W1410" t="str">
            <v>02 Capture</v>
          </cell>
          <cell r="X1410" t="str">
            <v>Priority 3</v>
          </cell>
          <cell r="Y1410">
            <v>0.5</v>
          </cell>
          <cell r="Z1410">
            <v>3500000</v>
          </cell>
          <cell r="AA1410">
            <v>0</v>
          </cell>
          <cell r="AB1410">
            <v>0</v>
          </cell>
          <cell r="AC1410">
            <v>0</v>
          </cell>
          <cell r="AD1410">
            <v>0</v>
          </cell>
          <cell r="AP1410">
            <v>0.25310617349951553</v>
          </cell>
          <cell r="AQ1410">
            <v>0.25310617349951553</v>
          </cell>
          <cell r="AR1410">
            <v>0.25310617349951553</v>
          </cell>
          <cell r="AS1410">
            <v>0.25310617349951553</v>
          </cell>
          <cell r="BI1410">
            <v>0</v>
          </cell>
          <cell r="BJ1410">
            <v>0</v>
          </cell>
          <cell r="BK1410">
            <v>0</v>
          </cell>
          <cell r="BL1410">
            <v>0</v>
          </cell>
          <cell r="BM1410">
            <v>0</v>
          </cell>
          <cell r="BN1410">
            <v>25345.770985159816</v>
          </cell>
          <cell r="BO1410">
            <v>88587.160724830435</v>
          </cell>
          <cell r="BP1410">
            <v>88587.160724830435</v>
          </cell>
          <cell r="BQ1410">
            <v>88587.160724830435</v>
          </cell>
          <cell r="BR1410">
            <v>291107.25315965113</v>
          </cell>
          <cell r="BT1410">
            <v>0</v>
          </cell>
          <cell r="CA1410" t="str">
            <v>915FD9 - CONTRACT - Identified - Recompete</v>
          </cell>
          <cell r="CC1410" t="str">
            <v>915FD9 - CONTRACT - Identified - Recompete - IS4</v>
          </cell>
          <cell r="CD1410" t="str">
            <v/>
          </cell>
          <cell r="CF1410" t="str">
            <v>915FD9 - Identified - Recompete - IS4</v>
          </cell>
        </row>
        <row r="1411">
          <cell r="D1411">
            <v>1397</v>
          </cell>
          <cell r="E1411">
            <v>0</v>
          </cell>
          <cell r="F1411">
            <v>5</v>
          </cell>
          <cell r="G1411" t="str">
            <v>915FD9</v>
          </cell>
          <cell r="H1411" t="str">
            <v>FD09 Hydrodynamics</v>
          </cell>
          <cell r="I1411" t="str">
            <v>IS4</v>
          </cell>
          <cell r="J1411" t="str">
            <v>IS4 Sustainment Engineering and Acquisition</v>
          </cell>
          <cell r="K1411" t="str">
            <v>Navy</v>
          </cell>
          <cell r="L1411" t="str">
            <v>DOD</v>
          </cell>
          <cell r="M1411" t="str">
            <v>MD</v>
          </cell>
          <cell r="N1411" t="str">
            <v>CONUS</v>
          </cell>
          <cell r="O1411">
            <v>42369</v>
          </cell>
          <cell r="P1411">
            <v>43632</v>
          </cell>
          <cell r="Q1411" t="str">
            <v>Prime</v>
          </cell>
          <cell r="R1411" t="str">
            <v>CPIF</v>
          </cell>
          <cell r="S1411">
            <v>0</v>
          </cell>
          <cell r="T1411">
            <v>1</v>
          </cell>
          <cell r="U1411" t="str">
            <v>EBITA</v>
          </cell>
          <cell r="V1411" t="str">
            <v>Base</v>
          </cell>
          <cell r="W1411" t="str">
            <v>05 Won</v>
          </cell>
          <cell r="X1411" t="str">
            <v>Active</v>
          </cell>
          <cell r="Y1411">
            <v>1</v>
          </cell>
          <cell r="Z1411">
            <v>0</v>
          </cell>
          <cell r="AA1411">
            <v>1717510.5099999991</v>
          </cell>
          <cell r="AB1411">
            <v>0</v>
          </cell>
          <cell r="AC1411">
            <v>0</v>
          </cell>
          <cell r="AD1411">
            <v>1717510.5099999991</v>
          </cell>
          <cell r="AT1411">
            <v>1.2950800073747604E-2</v>
          </cell>
          <cell r="AU1411">
            <v>1.122664087621166E-2</v>
          </cell>
          <cell r="AV1411">
            <v>2.9613203813088251E-2</v>
          </cell>
          <cell r="AW1411">
            <v>2.6790761905824561E-2</v>
          </cell>
          <cell r="AX1411">
            <v>2.5030691067258738E-2</v>
          </cell>
          <cell r="AY1411">
            <v>2.5030691067258738E-2</v>
          </cell>
          <cell r="AZ1411">
            <v>2.5030691067258738E-2</v>
          </cell>
          <cell r="BA1411">
            <v>2.5030691067258738E-2</v>
          </cell>
          <cell r="BF1411">
            <v>2413.5799999999958</v>
          </cell>
          <cell r="BG1411">
            <v>1898.7299999999987</v>
          </cell>
          <cell r="BH1411">
            <v>8683.1699999999837</v>
          </cell>
          <cell r="BI1411">
            <v>200.73000000000377</v>
          </cell>
          <cell r="BJ1411">
            <v>806.30999999999904</v>
          </cell>
          <cell r="BK1411">
            <v>1759.2999999999902</v>
          </cell>
          <cell r="BL1411">
            <v>7438</v>
          </cell>
          <cell r="BM1411">
            <v>10204.339999999993</v>
          </cell>
          <cell r="BN1411">
            <v>12418.92508668797</v>
          </cell>
          <cell r="BO1411">
            <v>0</v>
          </cell>
          <cell r="BP1411">
            <v>0</v>
          </cell>
          <cell r="BQ1411">
            <v>0</v>
          </cell>
          <cell r="BR1411">
            <v>22623.265086687963</v>
          </cell>
          <cell r="BT1411">
            <v>0</v>
          </cell>
          <cell r="CA1411" t="str">
            <v>915FD9 - EBITA - Base</v>
          </cell>
          <cell r="CC1411" t="str">
            <v>915FD9 - EBITA - Base - IS4</v>
          </cell>
          <cell r="CD1411" t="str">
            <v/>
          </cell>
          <cell r="CF1411" t="str">
            <v>915FD9 - Base - IS4</v>
          </cell>
        </row>
        <row r="1412">
          <cell r="D1412">
            <v>1398</v>
          </cell>
          <cell r="E1412">
            <v>0</v>
          </cell>
          <cell r="F1412">
            <v>0</v>
          </cell>
          <cell r="G1412" t="str">
            <v>915FD9</v>
          </cell>
          <cell r="H1412" t="str">
            <v>FD09 Hydrodynamics</v>
          </cell>
          <cell r="I1412" t="str">
            <v>IS4</v>
          </cell>
          <cell r="J1412" t="str">
            <v>IS4 Sustainment Engineering and Acquisition</v>
          </cell>
          <cell r="K1412" t="str">
            <v>Navy</v>
          </cell>
          <cell r="L1412" t="str">
            <v>DOD</v>
          </cell>
          <cell r="M1412" t="str">
            <v>MD</v>
          </cell>
          <cell r="N1412" t="str">
            <v>CONUS</v>
          </cell>
          <cell r="O1412">
            <v>44165</v>
          </cell>
          <cell r="P1412">
            <v>45991</v>
          </cell>
          <cell r="Q1412" t="str">
            <v>Prime</v>
          </cell>
          <cell r="R1412" t="str">
            <v>CPIF</v>
          </cell>
          <cell r="S1412">
            <v>0</v>
          </cell>
          <cell r="T1412">
            <v>1</v>
          </cell>
          <cell r="U1412" t="str">
            <v>EBITA</v>
          </cell>
          <cell r="V1412" t="str">
            <v>Identified - Recompete</v>
          </cell>
          <cell r="W1412" t="str">
            <v>02 Capture</v>
          </cell>
          <cell r="X1412" t="str">
            <v>Priority 3</v>
          </cell>
          <cell r="Y1412">
            <v>0.5</v>
          </cell>
          <cell r="Z1412">
            <v>3500000</v>
          </cell>
          <cell r="AA1412">
            <v>0</v>
          </cell>
          <cell r="AB1412">
            <v>0</v>
          </cell>
          <cell r="AC1412">
            <v>0</v>
          </cell>
          <cell r="AD1412">
            <v>0</v>
          </cell>
          <cell r="AX1412">
            <v>2.5030691067258738E-2</v>
          </cell>
          <cell r="AY1412">
            <v>2.5030691067258738E-2</v>
          </cell>
          <cell r="AZ1412">
            <v>2.5030691067258738E-2</v>
          </cell>
          <cell r="BA1412">
            <v>2.5030691067258738E-2</v>
          </cell>
          <cell r="BI1412">
            <v>0</v>
          </cell>
          <cell r="BJ1412">
            <v>0</v>
          </cell>
          <cell r="BK1412">
            <v>0</v>
          </cell>
          <cell r="BL1412">
            <v>0</v>
          </cell>
          <cell r="BM1412">
            <v>0</v>
          </cell>
          <cell r="BN1412">
            <v>2506.5455915963262</v>
          </cell>
          <cell r="BO1412">
            <v>8760.741873540559</v>
          </cell>
          <cell r="BP1412">
            <v>8760.741873540559</v>
          </cell>
          <cell r="BQ1412">
            <v>8760.741873540559</v>
          </cell>
          <cell r="BR1412">
            <v>28788.771212218002</v>
          </cell>
          <cell r="BT1412">
            <v>0</v>
          </cell>
          <cell r="CA1412" t="str">
            <v>915FD9 - EBITA - Identified - Recompete</v>
          </cell>
          <cell r="CC1412" t="str">
            <v>915FD9 - EBITA - Identified - Recompete - IS4</v>
          </cell>
          <cell r="CD1412" t="str">
            <v/>
          </cell>
          <cell r="CF1412" t="str">
            <v>915FD9 - Identified - Recompete - IS4</v>
          </cell>
        </row>
        <row r="1413">
          <cell r="D1413">
            <v>1399</v>
          </cell>
          <cell r="E1413">
            <v>1</v>
          </cell>
          <cell r="F1413">
            <v>1</v>
          </cell>
          <cell r="G1413" t="str">
            <v>LABOPS</v>
          </cell>
          <cell r="H1413" t="str">
            <v>Lab Operations Support</v>
          </cell>
          <cell r="I1413" t="str">
            <v>IS4</v>
          </cell>
          <cell r="J1413" t="str">
            <v>IS4 Spectrum &amp; Infrastructure Assurance</v>
          </cell>
          <cell r="K1413" t="str">
            <v>Navy</v>
          </cell>
          <cell r="L1413" t="str">
            <v>DOD</v>
          </cell>
          <cell r="M1413" t="str">
            <v>VA</v>
          </cell>
          <cell r="N1413" t="str">
            <v>CONUS</v>
          </cell>
          <cell r="O1413">
            <v>42213</v>
          </cell>
          <cell r="P1413">
            <v>44039</v>
          </cell>
          <cell r="Q1413" t="str">
            <v>Sub</v>
          </cell>
          <cell r="R1413" t="str">
            <v>CPIF</v>
          </cell>
          <cell r="S1413">
            <v>0</v>
          </cell>
          <cell r="T1413">
            <v>1</v>
          </cell>
          <cell r="U1413" t="str">
            <v>REVTOT</v>
          </cell>
          <cell r="V1413" t="str">
            <v>Base</v>
          </cell>
          <cell r="W1413" t="str">
            <v>05 Won</v>
          </cell>
          <cell r="X1413" t="str">
            <v>Active</v>
          </cell>
          <cell r="Y1413">
            <v>1</v>
          </cell>
          <cell r="Z1413">
            <v>0</v>
          </cell>
          <cell r="AA1413">
            <v>1150139.5099999995</v>
          </cell>
          <cell r="AB1413">
            <v>1324296</v>
          </cell>
          <cell r="AC1413">
            <v>0</v>
          </cell>
          <cell r="AD1413">
            <v>2474435.5099999998</v>
          </cell>
          <cell r="AE1413">
            <v>5.8152300638913967E-3</v>
          </cell>
          <cell r="AF1413">
            <v>-0.18593142654818806</v>
          </cell>
          <cell r="AG1413">
            <v>-0.10206791289329042</v>
          </cell>
          <cell r="AH1413">
            <v>2.7173731402081014E-2</v>
          </cell>
          <cell r="AI1413">
            <v>0</v>
          </cell>
          <cell r="AJ1413">
            <v>0</v>
          </cell>
          <cell r="AK1413">
            <v>0</v>
          </cell>
          <cell r="BB1413">
            <v>593465.06205000007</v>
          </cell>
          <cell r="BC1413">
            <v>593465.06205000007</v>
          </cell>
          <cell r="BD1413">
            <v>593465.06205000007</v>
          </cell>
          <cell r="BE1413">
            <v>593465.06205000007</v>
          </cell>
          <cell r="BF1413">
            <v>648309.68999999994</v>
          </cell>
          <cell r="BG1413">
            <v>652079.76</v>
          </cell>
          <cell r="BH1413">
            <v>530837.6399999999</v>
          </cell>
          <cell r="BI1413">
            <v>115743.36000000002</v>
          </cell>
          <cell r="BJ1413">
            <v>116891.54000000001</v>
          </cell>
          <cell r="BK1413">
            <v>113574.25</v>
          </cell>
          <cell r="BL1413">
            <v>130447</v>
          </cell>
          <cell r="BM1413">
            <v>476656.15</v>
          </cell>
          <cell r="BN1413">
            <v>489608.67619125004</v>
          </cell>
          <cell r="BO1413">
            <v>0</v>
          </cell>
          <cell r="BP1413">
            <v>0</v>
          </cell>
          <cell r="BQ1413">
            <v>0</v>
          </cell>
          <cell r="BR1413">
            <v>966264.82619125</v>
          </cell>
          <cell r="BT1413">
            <v>0</v>
          </cell>
          <cell r="CA1413" t="str">
            <v>LABOPS - REVTOT - Base</v>
          </cell>
          <cell r="CC1413" t="str">
            <v>LABOPS - REVTOT - Base - IS4</v>
          </cell>
          <cell r="CD1413" t="str">
            <v/>
          </cell>
          <cell r="CF1413" t="str">
            <v>LABOPS - Base - IS4</v>
          </cell>
        </row>
        <row r="1414">
          <cell r="D1414">
            <v>1400</v>
          </cell>
          <cell r="E1414">
            <v>1</v>
          </cell>
          <cell r="F1414">
            <v>2</v>
          </cell>
          <cell r="G1414" t="str">
            <v>LABOPS</v>
          </cell>
          <cell r="H1414" t="str">
            <v>Lab Operations Support</v>
          </cell>
          <cell r="I1414" t="str">
            <v>IS4</v>
          </cell>
          <cell r="J1414" t="str">
            <v>IS4 Spectrum &amp; Infrastructure Assurance</v>
          </cell>
          <cell r="K1414" t="str">
            <v>Navy</v>
          </cell>
          <cell r="L1414" t="str">
            <v>DOD</v>
          </cell>
          <cell r="M1414" t="str">
            <v>VA</v>
          </cell>
          <cell r="N1414" t="str">
            <v>CONUS</v>
          </cell>
          <cell r="O1414">
            <v>44040</v>
          </cell>
          <cell r="P1414">
            <v>45865</v>
          </cell>
          <cell r="Q1414" t="str">
            <v>Sub</v>
          </cell>
          <cell r="R1414" t="str">
            <v>CPIF</v>
          </cell>
          <cell r="S1414">
            <v>0</v>
          </cell>
          <cell r="T1414">
            <v>1</v>
          </cell>
          <cell r="U1414" t="str">
            <v>REVTOT</v>
          </cell>
          <cell r="V1414" t="str">
            <v>Identified - Recompete</v>
          </cell>
          <cell r="W1414" t="str">
            <v>02 Capture</v>
          </cell>
          <cell r="X1414" t="str">
            <v>Priority 3</v>
          </cell>
          <cell r="Y1414">
            <v>0.5</v>
          </cell>
          <cell r="Z1414">
            <v>3000000</v>
          </cell>
          <cell r="AA1414">
            <v>0</v>
          </cell>
          <cell r="AB1414">
            <v>0</v>
          </cell>
          <cell r="AC1414">
            <v>0</v>
          </cell>
          <cell r="AD1414">
            <v>0</v>
          </cell>
          <cell r="AI1414">
            <v>0</v>
          </cell>
          <cell r="AJ1414">
            <v>0</v>
          </cell>
          <cell r="AK1414">
            <v>0</v>
          </cell>
          <cell r="BB1414">
            <v>600000</v>
          </cell>
          <cell r="BC1414">
            <v>600000</v>
          </cell>
          <cell r="BD1414">
            <v>600000</v>
          </cell>
          <cell r="BE1414">
            <v>600000</v>
          </cell>
          <cell r="BI1414">
            <v>0</v>
          </cell>
          <cell r="BJ1414">
            <v>0</v>
          </cell>
          <cell r="BK1414">
            <v>0</v>
          </cell>
          <cell r="BL1414">
            <v>0</v>
          </cell>
          <cell r="BM1414">
            <v>0</v>
          </cell>
          <cell r="BN1414">
            <v>51666.666666666664</v>
          </cell>
          <cell r="BO1414">
            <v>300000</v>
          </cell>
          <cell r="BP1414">
            <v>300000</v>
          </cell>
          <cell r="BQ1414">
            <v>300000</v>
          </cell>
          <cell r="BR1414">
            <v>951666.66666666674</v>
          </cell>
          <cell r="BT1414">
            <v>0</v>
          </cell>
          <cell r="CA1414" t="str">
            <v>LABOPS - REVTOT - Identified - Recompete</v>
          </cell>
          <cell r="CC1414" t="str">
            <v>LABOPS - REVTOT - Identified - Recompete - IS4</v>
          </cell>
          <cell r="CD1414" t="str">
            <v/>
          </cell>
          <cell r="CF1414" t="str">
            <v>LABOPS - Identified - Recompete - IS4</v>
          </cell>
        </row>
        <row r="1415">
          <cell r="D1415">
            <v>1401</v>
          </cell>
          <cell r="E1415">
            <v>2</v>
          </cell>
          <cell r="F1415">
            <v>3</v>
          </cell>
          <cell r="G1415" t="str">
            <v>LABOPS</v>
          </cell>
          <cell r="H1415" t="str">
            <v>Lab Operations Support</v>
          </cell>
          <cell r="I1415" t="str">
            <v>IS4</v>
          </cell>
          <cell r="J1415" t="str">
            <v>IS4 Spectrum &amp; Infrastructure Assurance</v>
          </cell>
          <cell r="K1415" t="str">
            <v>Navy</v>
          </cell>
          <cell r="L1415" t="str">
            <v>DOD</v>
          </cell>
          <cell r="M1415" t="str">
            <v>VA</v>
          </cell>
          <cell r="N1415" t="str">
            <v>CONUS</v>
          </cell>
          <cell r="O1415">
            <v>42213</v>
          </cell>
          <cell r="P1415">
            <v>44039</v>
          </cell>
          <cell r="Q1415" t="str">
            <v>Sub</v>
          </cell>
          <cell r="R1415" t="str">
            <v>CPIF</v>
          </cell>
          <cell r="S1415">
            <v>0</v>
          </cell>
          <cell r="T1415">
            <v>1</v>
          </cell>
          <cell r="U1415" t="str">
            <v>CONTRACT</v>
          </cell>
          <cell r="V1415" t="str">
            <v>Base</v>
          </cell>
          <cell r="W1415" t="str">
            <v>05 Won</v>
          </cell>
          <cell r="X1415" t="str">
            <v>Active</v>
          </cell>
          <cell r="Y1415">
            <v>1</v>
          </cell>
          <cell r="Z1415">
            <v>0</v>
          </cell>
          <cell r="AA1415">
            <v>1150139.5099999995</v>
          </cell>
          <cell r="AB1415">
            <v>1324296</v>
          </cell>
          <cell r="AC1415">
            <v>0</v>
          </cell>
          <cell r="AD1415">
            <v>2474435.5099999998</v>
          </cell>
          <cell r="AL1415">
            <v>0.20157912493950228</v>
          </cell>
          <cell r="AM1415">
            <v>0.16254442554696072</v>
          </cell>
          <cell r="AN1415">
            <v>0.15044477629732514</v>
          </cell>
          <cell r="AO1415">
            <v>0.1613939314535226</v>
          </cell>
          <cell r="AP1415">
            <v>0.16244724952296788</v>
          </cell>
          <cell r="AQ1415">
            <v>0.16244724952296788</v>
          </cell>
          <cell r="AR1415">
            <v>0.16244724952296788</v>
          </cell>
          <cell r="AS1415">
            <v>0.16244724952296788</v>
          </cell>
          <cell r="BF1415">
            <v>130685.69999999998</v>
          </cell>
          <cell r="BG1415">
            <v>105991.93000000002</v>
          </cell>
          <cell r="BH1415">
            <v>79861.75</v>
          </cell>
          <cell r="BI1415">
            <v>18895.39</v>
          </cell>
          <cell r="BJ1415">
            <v>18726.310000000005</v>
          </cell>
          <cell r="BK1415">
            <v>18290.709999999988</v>
          </cell>
          <cell r="BL1415">
            <v>21017</v>
          </cell>
          <cell r="BM1415">
            <v>76929.409999999989</v>
          </cell>
          <cell r="BN1415">
            <v>79535.58278984997</v>
          </cell>
          <cell r="BO1415">
            <v>0</v>
          </cell>
          <cell r="BP1415">
            <v>0</v>
          </cell>
          <cell r="BQ1415">
            <v>0</v>
          </cell>
          <cell r="BR1415">
            <v>156464.99278984996</v>
          </cell>
          <cell r="BT1415">
            <v>0</v>
          </cell>
          <cell r="CA1415" t="str">
            <v>LABOPS - CONTRACT - Base</v>
          </cell>
          <cell r="CC1415" t="str">
            <v>LABOPS - CONTRACT - Base - IS4</v>
          </cell>
          <cell r="CD1415" t="str">
            <v/>
          </cell>
          <cell r="CF1415" t="str">
            <v>LABOPS - Base - IS4</v>
          </cell>
        </row>
        <row r="1416">
          <cell r="D1416">
            <v>1402</v>
          </cell>
          <cell r="E1416">
            <v>2</v>
          </cell>
          <cell r="F1416">
            <v>4</v>
          </cell>
          <cell r="G1416" t="str">
            <v>LABOPS</v>
          </cell>
          <cell r="H1416" t="str">
            <v>Lab Operations Support</v>
          </cell>
          <cell r="I1416" t="str">
            <v>IS4</v>
          </cell>
          <cell r="J1416" t="str">
            <v>IS4 Spectrum &amp; Infrastructure Assurance</v>
          </cell>
          <cell r="K1416" t="str">
            <v>Navy</v>
          </cell>
          <cell r="L1416" t="str">
            <v>DOD</v>
          </cell>
          <cell r="M1416" t="str">
            <v>VA</v>
          </cell>
          <cell r="N1416" t="str">
            <v>CONUS</v>
          </cell>
          <cell r="O1416">
            <v>44040</v>
          </cell>
          <cell r="P1416">
            <v>45865</v>
          </cell>
          <cell r="Q1416" t="str">
            <v>Sub</v>
          </cell>
          <cell r="R1416" t="str">
            <v>CPIF</v>
          </cell>
          <cell r="S1416">
            <v>0</v>
          </cell>
          <cell r="T1416">
            <v>1</v>
          </cell>
          <cell r="U1416" t="str">
            <v>CONTRACT</v>
          </cell>
          <cell r="V1416" t="str">
            <v>Identified - Recompete</v>
          </cell>
          <cell r="W1416" t="str">
            <v>02 Capture</v>
          </cell>
          <cell r="X1416" t="str">
            <v>Priority 3</v>
          </cell>
          <cell r="Y1416">
            <v>0.5</v>
          </cell>
          <cell r="Z1416">
            <v>3000000</v>
          </cell>
          <cell r="AA1416">
            <v>0</v>
          </cell>
          <cell r="AB1416">
            <v>0</v>
          </cell>
          <cell r="AC1416">
            <v>0</v>
          </cell>
          <cell r="AD1416">
            <v>0</v>
          </cell>
          <cell r="AP1416">
            <v>0.16244724952296788</v>
          </cell>
          <cell r="AQ1416">
            <v>0.16244724952296788</v>
          </cell>
          <cell r="AR1416">
            <v>0.16244724952296788</v>
          </cell>
          <cell r="AS1416">
            <v>0.16244724952296788</v>
          </cell>
          <cell r="BI1416">
            <v>0</v>
          </cell>
          <cell r="BJ1416">
            <v>0</v>
          </cell>
          <cell r="BK1416">
            <v>0</v>
          </cell>
          <cell r="BL1416">
            <v>0</v>
          </cell>
          <cell r="BM1416">
            <v>0</v>
          </cell>
          <cell r="BN1416">
            <v>8393.1078920200071</v>
          </cell>
          <cell r="BO1416">
            <v>48734.174856890364</v>
          </cell>
          <cell r="BP1416">
            <v>48734.174856890364</v>
          </cell>
          <cell r="BQ1416">
            <v>48734.174856890364</v>
          </cell>
          <cell r="BR1416">
            <v>154595.63246269111</v>
          </cell>
          <cell r="BT1416">
            <v>0</v>
          </cell>
          <cell r="CA1416" t="str">
            <v>LABOPS - CONTRACT - Identified - Recompete</v>
          </cell>
          <cell r="CC1416" t="str">
            <v>LABOPS - CONTRACT - Identified - Recompete - IS4</v>
          </cell>
          <cell r="CD1416" t="str">
            <v/>
          </cell>
          <cell r="CF1416" t="str">
            <v>LABOPS - Identified - Recompete - IS4</v>
          </cell>
        </row>
        <row r="1417">
          <cell r="D1417">
            <v>1403</v>
          </cell>
          <cell r="E1417">
            <v>0</v>
          </cell>
          <cell r="F1417">
            <v>5</v>
          </cell>
          <cell r="G1417" t="str">
            <v>LABOPS</v>
          </cell>
          <cell r="H1417" t="str">
            <v>Lab Operations Support</v>
          </cell>
          <cell r="I1417" t="str">
            <v>IS4</v>
          </cell>
          <cell r="J1417" t="str">
            <v>IS4 Spectrum &amp; Infrastructure Assurance</v>
          </cell>
          <cell r="K1417" t="str">
            <v>Navy</v>
          </cell>
          <cell r="L1417" t="str">
            <v>DOD</v>
          </cell>
          <cell r="M1417" t="str">
            <v>VA</v>
          </cell>
          <cell r="N1417" t="str">
            <v>CONUS</v>
          </cell>
          <cell r="O1417">
            <v>42213</v>
          </cell>
          <cell r="P1417">
            <v>44039</v>
          </cell>
          <cell r="Q1417" t="str">
            <v>Sub</v>
          </cell>
          <cell r="R1417" t="str">
            <v>CPIF</v>
          </cell>
          <cell r="S1417">
            <v>0</v>
          </cell>
          <cell r="T1417">
            <v>1</v>
          </cell>
          <cell r="U1417" t="str">
            <v>EBITA</v>
          </cell>
          <cell r="V1417" t="str">
            <v>Base</v>
          </cell>
          <cell r="W1417" t="str">
            <v>05 Won</v>
          </cell>
          <cell r="X1417" t="str">
            <v>Active</v>
          </cell>
          <cell r="Y1417">
            <v>1</v>
          </cell>
          <cell r="Z1417">
            <v>0</v>
          </cell>
          <cell r="AA1417">
            <v>1150139.5099999995</v>
          </cell>
          <cell r="AB1417">
            <v>1324296</v>
          </cell>
          <cell r="AC1417">
            <v>0</v>
          </cell>
          <cell r="AD1417">
            <v>2474435.5099999998</v>
          </cell>
          <cell r="AT1417">
            <v>3.058454980057446E-2</v>
          </cell>
          <cell r="AU1417">
            <v>3.464750999172253E-2</v>
          </cell>
          <cell r="AV1417">
            <v>2.660700548664938E-2</v>
          </cell>
          <cell r="AW1417">
            <v>3.5518161257334029E-2</v>
          </cell>
          <cell r="AX1417">
            <v>3.7101459586357154E-2</v>
          </cell>
          <cell r="AY1417">
            <v>3.7101459586357154E-2</v>
          </cell>
          <cell r="AZ1417">
            <v>3.7101459586357154E-2</v>
          </cell>
          <cell r="BA1417">
            <v>3.7101459586357154E-2</v>
          </cell>
          <cell r="BF1417">
            <v>19828.259999999987</v>
          </cell>
          <cell r="BG1417">
            <v>22592.940000000028</v>
          </cell>
          <cell r="BH1417">
            <v>14124.000000000005</v>
          </cell>
          <cell r="BI1417">
            <v>4284.8700000000008</v>
          </cell>
          <cell r="BJ1417">
            <v>4191.1800000000048</v>
          </cell>
          <cell r="BK1417">
            <v>3965.8999999999887</v>
          </cell>
          <cell r="BL1417">
            <v>4488</v>
          </cell>
          <cell r="BM1417">
            <v>16929.949999999997</v>
          </cell>
          <cell r="BN1417">
            <v>18165.196512839488</v>
          </cell>
          <cell r="BO1417">
            <v>0</v>
          </cell>
          <cell r="BP1417">
            <v>0</v>
          </cell>
          <cell r="BQ1417">
            <v>0</v>
          </cell>
          <cell r="BR1417">
            <v>35095.146512839485</v>
          </cell>
          <cell r="BT1417">
            <v>0</v>
          </cell>
          <cell r="CA1417" t="str">
            <v>LABOPS - EBITA - Base</v>
          </cell>
          <cell r="CC1417" t="str">
            <v>LABOPS - EBITA - Base - IS4</v>
          </cell>
          <cell r="CD1417" t="str">
            <v/>
          </cell>
          <cell r="CF1417" t="str">
            <v>LABOPS - Base - IS4</v>
          </cell>
        </row>
        <row r="1418">
          <cell r="D1418">
            <v>1404</v>
          </cell>
          <cell r="E1418">
            <v>0</v>
          </cell>
          <cell r="F1418">
            <v>0</v>
          </cell>
          <cell r="G1418" t="str">
            <v>LABOPS</v>
          </cell>
          <cell r="H1418" t="str">
            <v>Lab Operations Support</v>
          </cell>
          <cell r="I1418" t="str">
            <v>IS4</v>
          </cell>
          <cell r="J1418" t="str">
            <v>IS4 Spectrum &amp; Infrastructure Assurance</v>
          </cell>
          <cell r="K1418" t="str">
            <v>Navy</v>
          </cell>
          <cell r="L1418" t="str">
            <v>DOD</v>
          </cell>
          <cell r="M1418" t="str">
            <v>VA</v>
          </cell>
          <cell r="N1418" t="str">
            <v>CONUS</v>
          </cell>
          <cell r="O1418">
            <v>44040</v>
          </cell>
          <cell r="P1418">
            <v>45865</v>
          </cell>
          <cell r="Q1418" t="str">
            <v>Sub</v>
          </cell>
          <cell r="R1418" t="str">
            <v>CPIF</v>
          </cell>
          <cell r="S1418">
            <v>0</v>
          </cell>
          <cell r="T1418">
            <v>1</v>
          </cell>
          <cell r="U1418" t="str">
            <v>EBITA</v>
          </cell>
          <cell r="V1418" t="str">
            <v>Identified - Recompete</v>
          </cell>
          <cell r="W1418" t="str">
            <v>02 Capture</v>
          </cell>
          <cell r="X1418" t="str">
            <v>Priority 3</v>
          </cell>
          <cell r="Y1418">
            <v>0.5</v>
          </cell>
          <cell r="Z1418">
            <v>3000000</v>
          </cell>
          <cell r="AA1418">
            <v>0</v>
          </cell>
          <cell r="AB1418">
            <v>0</v>
          </cell>
          <cell r="AC1418">
            <v>0</v>
          </cell>
          <cell r="AD1418">
            <v>0</v>
          </cell>
          <cell r="AX1418">
            <v>3.7101459586357154E-2</v>
          </cell>
          <cell r="AY1418">
            <v>3.7101459586357154E-2</v>
          </cell>
          <cell r="AZ1418">
            <v>3.7101459586357154E-2</v>
          </cell>
          <cell r="BA1418">
            <v>3.7101459586357154E-2</v>
          </cell>
          <cell r="BI1418">
            <v>0</v>
          </cell>
          <cell r="BJ1418">
            <v>0</v>
          </cell>
          <cell r="BK1418">
            <v>0</v>
          </cell>
          <cell r="BL1418">
            <v>0</v>
          </cell>
          <cell r="BM1418">
            <v>0</v>
          </cell>
          <cell r="BN1418">
            <v>1916.9087452951196</v>
          </cell>
          <cell r="BO1418">
            <v>11130.437875907146</v>
          </cell>
          <cell r="BP1418">
            <v>11130.437875907146</v>
          </cell>
          <cell r="BQ1418">
            <v>11130.437875907146</v>
          </cell>
          <cell r="BR1418">
            <v>35308.222373016557</v>
          </cell>
          <cell r="BT1418">
            <v>0</v>
          </cell>
          <cell r="CA1418" t="str">
            <v>LABOPS - EBITA - Identified - Recompete</v>
          </cell>
          <cell r="CC1418" t="str">
            <v>LABOPS - EBITA - Identified - Recompete - IS4</v>
          </cell>
          <cell r="CD1418" t="str">
            <v/>
          </cell>
          <cell r="CF1418" t="str">
            <v>LABOPS - Identified - Recompete - IS4</v>
          </cell>
        </row>
        <row r="1419">
          <cell r="D1419">
            <v>1405</v>
          </cell>
          <cell r="E1419">
            <v>1</v>
          </cell>
          <cell r="F1419">
            <v>1</v>
          </cell>
          <cell r="G1419" t="str">
            <v>KINFRA</v>
          </cell>
          <cell r="H1419" t="str">
            <v>K Dept Infrastructure</v>
          </cell>
          <cell r="I1419" t="str">
            <v>IS4</v>
          </cell>
          <cell r="J1419" t="str">
            <v>IS4 Spectrum &amp; Infrastructure Assurance</v>
          </cell>
          <cell r="K1419" t="str">
            <v>Navy</v>
          </cell>
          <cell r="L1419" t="str">
            <v>DOD</v>
          </cell>
          <cell r="M1419" t="str">
            <v>VA</v>
          </cell>
          <cell r="N1419" t="str">
            <v>CONUS</v>
          </cell>
          <cell r="O1419">
            <v>42064</v>
          </cell>
          <cell r="P1419">
            <v>43890</v>
          </cell>
          <cell r="Q1419" t="str">
            <v>Sub</v>
          </cell>
          <cell r="R1419" t="str">
            <v>CPIF</v>
          </cell>
          <cell r="S1419">
            <v>0</v>
          </cell>
          <cell r="T1419">
            <v>1</v>
          </cell>
          <cell r="U1419" t="str">
            <v>REVTOT</v>
          </cell>
          <cell r="V1419" t="str">
            <v>Base</v>
          </cell>
          <cell r="W1419" t="str">
            <v>05 Won</v>
          </cell>
          <cell r="X1419" t="str">
            <v>Active</v>
          </cell>
          <cell r="Y1419">
            <v>1</v>
          </cell>
          <cell r="Z1419">
            <v>0</v>
          </cell>
          <cell r="AA1419">
            <v>493559.9499999999</v>
          </cell>
          <cell r="AB1419">
            <v>0</v>
          </cell>
          <cell r="AC1419">
            <v>0</v>
          </cell>
          <cell r="AD1419">
            <v>493559.9499999999</v>
          </cell>
          <cell r="AE1419">
            <v>-7.9611061181426024E-2</v>
          </cell>
          <cell r="AF1419">
            <v>-9.0294763628772645E-2</v>
          </cell>
          <cell r="AG1419">
            <v>8.1300769152448993E-2</v>
          </cell>
          <cell r="AH1419">
            <v>-0.81803089700914022</v>
          </cell>
          <cell r="AI1419">
            <v>0</v>
          </cell>
          <cell r="AJ1419">
            <v>0</v>
          </cell>
          <cell r="AK1419">
            <v>0</v>
          </cell>
          <cell r="BB1419">
            <v>310221.64</v>
          </cell>
          <cell r="BC1419">
            <v>310221.64</v>
          </cell>
          <cell r="BD1419">
            <v>310221.64</v>
          </cell>
          <cell r="BE1419">
            <v>310221.64</v>
          </cell>
          <cell r="BF1419">
            <v>779362.68</v>
          </cell>
          <cell r="BG1419">
            <v>717316.78999999992</v>
          </cell>
          <cell r="BH1419">
            <v>652546.84</v>
          </cell>
          <cell r="BI1419">
            <v>158181.32</v>
          </cell>
          <cell r="BJ1419">
            <v>187231.13</v>
          </cell>
          <cell r="BK1419">
            <v>183396.79</v>
          </cell>
          <cell r="BL1419">
            <v>176790.16</v>
          </cell>
          <cell r="BM1419">
            <v>705599.4</v>
          </cell>
          <cell r="BN1419">
            <v>128397.28988888889</v>
          </cell>
          <cell r="BO1419">
            <v>0</v>
          </cell>
          <cell r="BP1419">
            <v>0</v>
          </cell>
          <cell r="BQ1419">
            <v>310221.64</v>
          </cell>
          <cell r="BR1419">
            <v>1144218.3298888891</v>
          </cell>
          <cell r="BT1419">
            <v>0</v>
          </cell>
          <cell r="CA1419" t="str">
            <v>KINFRA - REVTOT - Base</v>
          </cell>
          <cell r="CC1419" t="str">
            <v>KINFRA - REVTOT - Base - IS4</v>
          </cell>
          <cell r="CD1419" t="str">
            <v/>
          </cell>
          <cell r="CF1419" t="str">
            <v>KINFRA - Base - IS4</v>
          </cell>
        </row>
        <row r="1420">
          <cell r="D1420">
            <v>1406</v>
          </cell>
          <cell r="E1420">
            <v>1</v>
          </cell>
          <cell r="F1420">
            <v>2</v>
          </cell>
          <cell r="G1420" t="str">
            <v>KINFRA</v>
          </cell>
          <cell r="H1420" t="str">
            <v>K Dept Infrastructure</v>
          </cell>
          <cell r="I1420" t="str">
            <v>IS4</v>
          </cell>
          <cell r="J1420" t="str">
            <v>IS4 Spectrum &amp; Infrastructure Assurance</v>
          </cell>
          <cell r="K1420" t="str">
            <v>Navy</v>
          </cell>
          <cell r="L1420" t="str">
            <v>DOD</v>
          </cell>
          <cell r="M1420" t="str">
            <v>VA</v>
          </cell>
          <cell r="N1420" t="str">
            <v>CONUS</v>
          </cell>
          <cell r="O1420">
            <v>44015</v>
          </cell>
          <cell r="P1420">
            <v>45841</v>
          </cell>
          <cell r="Q1420" t="str">
            <v>Sub</v>
          </cell>
          <cell r="R1420" t="str">
            <v>CPIF</v>
          </cell>
          <cell r="S1420">
            <v>0</v>
          </cell>
          <cell r="T1420">
            <v>1</v>
          </cell>
          <cell r="U1420" t="str">
            <v>REVTOT</v>
          </cell>
          <cell r="V1420" t="str">
            <v>Identified - Recompete</v>
          </cell>
          <cell r="W1420" t="str">
            <v>02 Capture</v>
          </cell>
          <cell r="X1420" t="str">
            <v>Priority 3</v>
          </cell>
          <cell r="Y1420">
            <v>0.5</v>
          </cell>
          <cell r="Z1420">
            <v>3000000</v>
          </cell>
          <cell r="AA1420">
            <v>0</v>
          </cell>
          <cell r="AB1420">
            <v>0</v>
          </cell>
          <cell r="AC1420">
            <v>0</v>
          </cell>
          <cell r="AD1420">
            <v>0</v>
          </cell>
          <cell r="AI1420">
            <v>0</v>
          </cell>
          <cell r="AJ1420">
            <v>0</v>
          </cell>
          <cell r="AK1420">
            <v>0</v>
          </cell>
          <cell r="BB1420">
            <v>600000</v>
          </cell>
          <cell r="BC1420">
            <v>600000</v>
          </cell>
          <cell r="BD1420">
            <v>600000</v>
          </cell>
          <cell r="BE1420">
            <v>600000</v>
          </cell>
          <cell r="BI1420">
            <v>0</v>
          </cell>
          <cell r="BJ1420">
            <v>0</v>
          </cell>
          <cell r="BK1420">
            <v>0</v>
          </cell>
          <cell r="BL1420">
            <v>0</v>
          </cell>
          <cell r="BM1420">
            <v>0</v>
          </cell>
          <cell r="BN1420">
            <v>72500</v>
          </cell>
          <cell r="BO1420">
            <v>300000</v>
          </cell>
          <cell r="BP1420">
            <v>300000</v>
          </cell>
          <cell r="BQ1420">
            <v>300000</v>
          </cell>
          <cell r="BR1420">
            <v>972500</v>
          </cell>
          <cell r="BT1420">
            <v>0</v>
          </cell>
          <cell r="CA1420" t="str">
            <v>KINFRA - REVTOT - Identified - Recompete</v>
          </cell>
          <cell r="CC1420" t="str">
            <v>KINFRA - REVTOT - Identified - Recompete - IS4</v>
          </cell>
          <cell r="CD1420" t="str">
            <v/>
          </cell>
          <cell r="CF1420" t="str">
            <v>KINFRA - Identified - Recompete - IS4</v>
          </cell>
        </row>
        <row r="1421">
          <cell r="D1421">
            <v>1407</v>
          </cell>
          <cell r="E1421">
            <v>2</v>
          </cell>
          <cell r="F1421">
            <v>3</v>
          </cell>
          <cell r="G1421" t="str">
            <v>KINFRA</v>
          </cell>
          <cell r="H1421" t="str">
            <v>K Dept Infrastructure</v>
          </cell>
          <cell r="I1421" t="str">
            <v>IS4</v>
          </cell>
          <cell r="J1421" t="str">
            <v>IS4 Spectrum &amp; Infrastructure Assurance</v>
          </cell>
          <cell r="K1421" t="str">
            <v>Navy</v>
          </cell>
          <cell r="L1421" t="str">
            <v>DOD</v>
          </cell>
          <cell r="M1421" t="str">
            <v>VA</v>
          </cell>
          <cell r="N1421" t="str">
            <v>CONUS</v>
          </cell>
          <cell r="O1421">
            <v>42064</v>
          </cell>
          <cell r="P1421">
            <v>43890</v>
          </cell>
          <cell r="Q1421" t="str">
            <v>Sub</v>
          </cell>
          <cell r="R1421" t="str">
            <v>CPIF</v>
          </cell>
          <cell r="S1421">
            <v>0</v>
          </cell>
          <cell r="T1421">
            <v>1</v>
          </cell>
          <cell r="U1421" t="str">
            <v>CONTRACT</v>
          </cell>
          <cell r="V1421" t="str">
            <v>Base</v>
          </cell>
          <cell r="W1421" t="str">
            <v>05 Won</v>
          </cell>
          <cell r="X1421" t="str">
            <v>Active</v>
          </cell>
          <cell r="Y1421">
            <v>1</v>
          </cell>
          <cell r="Z1421">
            <v>0</v>
          </cell>
          <cell r="AA1421">
            <v>493559.9499999999</v>
          </cell>
          <cell r="AB1421">
            <v>0</v>
          </cell>
          <cell r="AC1421">
            <v>0</v>
          </cell>
          <cell r="AD1421">
            <v>493559.9499999999</v>
          </cell>
          <cell r="AL1421">
            <v>0.19624025363903749</v>
          </cell>
          <cell r="AM1421">
            <v>0.15038771084669578</v>
          </cell>
          <cell r="AN1421">
            <v>0.1466335045006118</v>
          </cell>
          <cell r="AO1421">
            <v>0.15366604620128646</v>
          </cell>
          <cell r="AP1421">
            <v>0.15811531039549662</v>
          </cell>
          <cell r="AQ1421">
            <v>0.15811531039549662</v>
          </cell>
          <cell r="AR1421">
            <v>0.15811531039549662</v>
          </cell>
          <cell r="AS1421">
            <v>0.15811531039549662</v>
          </cell>
          <cell r="BF1421">
            <v>152942.33000000002</v>
          </cell>
          <cell r="BG1421">
            <v>107875.62999999998</v>
          </cell>
          <cell r="BH1421">
            <v>95685.23</v>
          </cell>
          <cell r="BI1421">
            <v>23153.630000000005</v>
          </cell>
          <cell r="BJ1421">
            <v>28804.050000000003</v>
          </cell>
          <cell r="BK1421">
            <v>29194.789999999994</v>
          </cell>
          <cell r="BL1421">
            <v>27274.200000000004</v>
          </cell>
          <cell r="BM1421">
            <v>108426.67000000001</v>
          </cell>
          <cell r="BN1421">
            <v>20301.577344722227</v>
          </cell>
          <cell r="BO1421">
            <v>0</v>
          </cell>
          <cell r="BP1421">
            <v>0</v>
          </cell>
          <cell r="BQ1421">
            <v>49050.790900000015</v>
          </cell>
          <cell r="BR1421">
            <v>177779.03824472227</v>
          </cell>
          <cell r="BT1421">
            <v>0</v>
          </cell>
          <cell r="CA1421" t="str">
            <v>KINFRA - CONTRACT - Base</v>
          </cell>
          <cell r="CC1421" t="str">
            <v>KINFRA - CONTRACT - Base - IS4</v>
          </cell>
          <cell r="CD1421" t="str">
            <v/>
          </cell>
          <cell r="CF1421" t="str">
            <v>KINFRA - Base - IS4</v>
          </cell>
        </row>
        <row r="1422">
          <cell r="D1422">
            <v>1408</v>
          </cell>
          <cell r="E1422">
            <v>2</v>
          </cell>
          <cell r="F1422">
            <v>4</v>
          </cell>
          <cell r="G1422" t="str">
            <v>KINFRA</v>
          </cell>
          <cell r="H1422" t="str">
            <v>K Dept Infrastructure</v>
          </cell>
          <cell r="I1422" t="str">
            <v>IS4</v>
          </cell>
          <cell r="J1422" t="str">
            <v>IS4 Spectrum &amp; Infrastructure Assurance</v>
          </cell>
          <cell r="K1422" t="str">
            <v>Navy</v>
          </cell>
          <cell r="L1422" t="str">
            <v>DOD</v>
          </cell>
          <cell r="M1422" t="str">
            <v>VA</v>
          </cell>
          <cell r="N1422" t="str">
            <v>CONUS</v>
          </cell>
          <cell r="O1422">
            <v>44015</v>
          </cell>
          <cell r="P1422">
            <v>45841</v>
          </cell>
          <cell r="Q1422" t="str">
            <v>Sub</v>
          </cell>
          <cell r="R1422" t="str">
            <v>CPIF</v>
          </cell>
          <cell r="S1422">
            <v>0</v>
          </cell>
          <cell r="T1422">
            <v>1</v>
          </cell>
          <cell r="U1422" t="str">
            <v>CONTRACT</v>
          </cell>
          <cell r="V1422" t="str">
            <v>Identified - Recompete</v>
          </cell>
          <cell r="W1422" t="str">
            <v>02 Capture</v>
          </cell>
          <cell r="X1422" t="str">
            <v>Priority 3</v>
          </cell>
          <cell r="Y1422">
            <v>0.5</v>
          </cell>
          <cell r="Z1422">
            <v>3000000</v>
          </cell>
          <cell r="AA1422">
            <v>0</v>
          </cell>
          <cell r="AB1422">
            <v>0</v>
          </cell>
          <cell r="AC1422">
            <v>0</v>
          </cell>
          <cell r="AD1422">
            <v>0</v>
          </cell>
          <cell r="AP1422">
            <v>0.15811531039549662</v>
          </cell>
          <cell r="AQ1422">
            <v>0.15811531039549662</v>
          </cell>
          <cell r="AR1422">
            <v>0.15811531039549662</v>
          </cell>
          <cell r="AS1422">
            <v>0.15811531039549662</v>
          </cell>
          <cell r="BI1422">
            <v>0</v>
          </cell>
          <cell r="BJ1422">
            <v>0</v>
          </cell>
          <cell r="BK1422">
            <v>0</v>
          </cell>
          <cell r="BL1422">
            <v>0</v>
          </cell>
          <cell r="BM1422">
            <v>0</v>
          </cell>
          <cell r="BN1422">
            <v>11463.360003673504</v>
          </cell>
          <cell r="BO1422">
            <v>47434.593118648983</v>
          </cell>
          <cell r="BP1422">
            <v>47434.593118648983</v>
          </cell>
          <cell r="BQ1422">
            <v>47434.593118648983</v>
          </cell>
          <cell r="BR1422">
            <v>153767.13935962046</v>
          </cell>
          <cell r="BT1422">
            <v>0</v>
          </cell>
          <cell r="CA1422" t="str">
            <v>KINFRA - CONTRACT - Identified - Recompete</v>
          </cell>
          <cell r="CC1422" t="str">
            <v>KINFRA - CONTRACT - Identified - Recompete - IS4</v>
          </cell>
          <cell r="CD1422" t="str">
            <v/>
          </cell>
          <cell r="CF1422" t="str">
            <v>KINFRA - Identified - Recompete - IS4</v>
          </cell>
        </row>
        <row r="1423">
          <cell r="D1423">
            <v>1409</v>
          </cell>
          <cell r="E1423">
            <v>0</v>
          </cell>
          <cell r="F1423">
            <v>5</v>
          </cell>
          <cell r="G1423" t="str">
            <v>KINFRA</v>
          </cell>
          <cell r="H1423" t="str">
            <v>K Dept Infrastructure</v>
          </cell>
          <cell r="I1423" t="str">
            <v>IS4</v>
          </cell>
          <cell r="J1423" t="str">
            <v>IS4 Spectrum &amp; Infrastructure Assurance</v>
          </cell>
          <cell r="K1423" t="str">
            <v>Navy</v>
          </cell>
          <cell r="L1423" t="str">
            <v>DOD</v>
          </cell>
          <cell r="M1423" t="str">
            <v>VA</v>
          </cell>
          <cell r="N1423" t="str">
            <v>CONUS</v>
          </cell>
          <cell r="O1423">
            <v>42064</v>
          </cell>
          <cell r="P1423">
            <v>43890</v>
          </cell>
          <cell r="Q1423" t="str">
            <v>Sub</v>
          </cell>
          <cell r="R1423" t="str">
            <v>CPIF</v>
          </cell>
          <cell r="S1423">
            <v>0</v>
          </cell>
          <cell r="T1423">
            <v>1</v>
          </cell>
          <cell r="U1423" t="str">
            <v>EBITA</v>
          </cell>
          <cell r="V1423" t="str">
            <v>Base</v>
          </cell>
          <cell r="W1423" t="str">
            <v>05 Won</v>
          </cell>
          <cell r="X1423" t="str">
            <v>Active</v>
          </cell>
          <cell r="Y1423">
            <v>1</v>
          </cell>
          <cell r="Z1423">
            <v>0</v>
          </cell>
          <cell r="AA1423">
            <v>493559.9499999999</v>
          </cell>
          <cell r="AB1423">
            <v>0</v>
          </cell>
          <cell r="AC1423">
            <v>0</v>
          </cell>
          <cell r="AD1423">
            <v>493559.9499999999</v>
          </cell>
          <cell r="AT1423">
            <v>2.3678167396981344E-2</v>
          </cell>
          <cell r="AU1423">
            <v>2.0752058515178459E-2</v>
          </cell>
          <cell r="AV1423">
            <v>2.2578164657114881E-2</v>
          </cell>
          <cell r="AW1423">
            <v>2.7241902416583696E-2</v>
          </cell>
          <cell r="AX1423">
            <v>3.3676022012816387E-2</v>
          </cell>
          <cell r="AY1423">
            <v>3.3676022012816387E-2</v>
          </cell>
          <cell r="AZ1423">
            <v>3.3676022012816387E-2</v>
          </cell>
          <cell r="BA1423">
            <v>3.3676022012816387E-2</v>
          </cell>
          <cell r="BF1423">
            <v>18453.880000000005</v>
          </cell>
          <cell r="BG1423">
            <v>14885.799999999977</v>
          </cell>
          <cell r="BH1423">
            <v>14733.309999999998</v>
          </cell>
          <cell r="BI1423">
            <v>2586.0200000000059</v>
          </cell>
          <cell r="BJ1423">
            <v>5294.630000000001</v>
          </cell>
          <cell r="BK1423">
            <v>6336.1999999999944</v>
          </cell>
          <cell r="BL1423">
            <v>5005.0200000000032</v>
          </cell>
          <cell r="BM1423">
            <v>19221.870000000006</v>
          </cell>
          <cell r="BN1423">
            <v>4323.9099606841892</v>
          </cell>
          <cell r="BO1423">
            <v>0</v>
          </cell>
          <cell r="BP1423">
            <v>0</v>
          </cell>
          <cell r="BQ1423">
            <v>10447.030777492</v>
          </cell>
          <cell r="BR1423">
            <v>33992.810738176195</v>
          </cell>
          <cell r="BT1423">
            <v>0</v>
          </cell>
          <cell r="CA1423" t="str">
            <v>KINFRA - EBITA - Base</v>
          </cell>
          <cell r="CC1423" t="str">
            <v>KINFRA - EBITA - Base - IS4</v>
          </cell>
          <cell r="CD1423" t="str">
            <v/>
          </cell>
          <cell r="CF1423" t="str">
            <v>KINFRA - Base - IS4</v>
          </cell>
        </row>
        <row r="1424">
          <cell r="D1424">
            <v>1410</v>
          </cell>
          <cell r="E1424">
            <v>0</v>
          </cell>
          <cell r="F1424">
            <v>0</v>
          </cell>
          <cell r="G1424" t="str">
            <v>KINFRA</v>
          </cell>
          <cell r="H1424" t="str">
            <v>K Dept Infrastructure</v>
          </cell>
          <cell r="I1424" t="str">
            <v>IS4</v>
          </cell>
          <cell r="J1424" t="str">
            <v>IS4 Spectrum &amp; Infrastructure Assurance</v>
          </cell>
          <cell r="K1424" t="str">
            <v>Navy</v>
          </cell>
          <cell r="L1424" t="str">
            <v>DOD</v>
          </cell>
          <cell r="M1424" t="str">
            <v>VA</v>
          </cell>
          <cell r="N1424" t="str">
            <v>CONUS</v>
          </cell>
          <cell r="O1424">
            <v>44015</v>
          </cell>
          <cell r="P1424">
            <v>45841</v>
          </cell>
          <cell r="Q1424" t="str">
            <v>Sub</v>
          </cell>
          <cell r="R1424" t="str">
            <v>CPIF</v>
          </cell>
          <cell r="S1424">
            <v>0</v>
          </cell>
          <cell r="T1424">
            <v>1</v>
          </cell>
          <cell r="U1424" t="str">
            <v>EBITA</v>
          </cell>
          <cell r="V1424" t="str">
            <v>Identified - Recompete</v>
          </cell>
          <cell r="W1424" t="str">
            <v>02 Capture</v>
          </cell>
          <cell r="X1424" t="str">
            <v>Priority 3</v>
          </cell>
          <cell r="Y1424">
            <v>0.5</v>
          </cell>
          <cell r="Z1424">
            <v>3000000</v>
          </cell>
          <cell r="AA1424">
            <v>0</v>
          </cell>
          <cell r="AB1424">
            <v>0</v>
          </cell>
          <cell r="AC1424">
            <v>0</v>
          </cell>
          <cell r="AD1424">
            <v>0</v>
          </cell>
          <cell r="AX1424">
            <v>3.3676022012816387E-2</v>
          </cell>
          <cell r="AY1424">
            <v>3.3676022012816387E-2</v>
          </cell>
          <cell r="AZ1424">
            <v>3.3676022012816387E-2</v>
          </cell>
          <cell r="BA1424">
            <v>3.3676022012816387E-2</v>
          </cell>
          <cell r="BI1424">
            <v>0</v>
          </cell>
          <cell r="BJ1424">
            <v>0</v>
          </cell>
          <cell r="BK1424">
            <v>0</v>
          </cell>
          <cell r="BL1424">
            <v>0</v>
          </cell>
          <cell r="BM1424">
            <v>0</v>
          </cell>
          <cell r="BN1424">
            <v>2441.5115959291879</v>
          </cell>
          <cell r="BO1424">
            <v>10102.806603844916</v>
          </cell>
          <cell r="BP1424">
            <v>10102.806603844916</v>
          </cell>
          <cell r="BQ1424">
            <v>10102.806603844916</v>
          </cell>
          <cell r="BR1424">
            <v>32749.931407463941</v>
          </cell>
          <cell r="BT1424">
            <v>0</v>
          </cell>
          <cell r="CA1424" t="str">
            <v>KINFRA - EBITA - Identified - Recompete</v>
          </cell>
          <cell r="CC1424" t="str">
            <v>KINFRA - EBITA - Identified - Recompete - IS4</v>
          </cell>
          <cell r="CD1424" t="str">
            <v/>
          </cell>
          <cell r="CF1424" t="str">
            <v>KINFRA - Identified - Recompete - IS4</v>
          </cell>
        </row>
        <row r="1425">
          <cell r="D1425">
            <v>1411</v>
          </cell>
          <cell r="E1425">
            <v>1</v>
          </cell>
          <cell r="F1425">
            <v>1</v>
          </cell>
          <cell r="G1425" t="str">
            <v>Q40SSS</v>
          </cell>
          <cell r="H1425" t="str">
            <v>Q40 Sensor Systems Support</v>
          </cell>
          <cell r="I1425" t="str">
            <v>IS4</v>
          </cell>
          <cell r="J1425" t="str">
            <v>IS4 Spectrum &amp; Infrastructure Assurance</v>
          </cell>
          <cell r="K1425" t="str">
            <v>Navy</v>
          </cell>
          <cell r="L1425" t="str">
            <v>DOD</v>
          </cell>
          <cell r="M1425" t="str">
            <v>VA</v>
          </cell>
          <cell r="N1425" t="str">
            <v>CONUS</v>
          </cell>
          <cell r="O1425">
            <v>42156</v>
          </cell>
          <cell r="P1425">
            <v>43440</v>
          </cell>
          <cell r="Q1425" t="str">
            <v>Prime</v>
          </cell>
          <cell r="R1425" t="str">
            <v>CPIF</v>
          </cell>
          <cell r="S1425">
            <v>0</v>
          </cell>
          <cell r="T1425">
            <v>1</v>
          </cell>
          <cell r="U1425" t="str">
            <v>REVTOT</v>
          </cell>
          <cell r="V1425" t="str">
            <v>Base</v>
          </cell>
          <cell r="W1425" t="str">
            <v>05 Won</v>
          </cell>
          <cell r="X1425" t="str">
            <v>Active</v>
          </cell>
          <cell r="Y1425">
            <v>1</v>
          </cell>
          <cell r="Z1425">
            <v>0</v>
          </cell>
          <cell r="AA1425">
            <v>4244289.1399999997</v>
          </cell>
          <cell r="AB1425">
            <v>1297627</v>
          </cell>
          <cell r="AC1425">
            <v>0</v>
          </cell>
          <cell r="AD1425">
            <v>5541916.1399999997</v>
          </cell>
          <cell r="AE1425">
            <v>-1.5683638049440174E-2</v>
          </cell>
          <cell r="AF1425">
            <v>-0.15296637578816608</v>
          </cell>
          <cell r="AG1425">
            <v>-0.89747888264644082</v>
          </cell>
          <cell r="AH1425">
            <v>-1</v>
          </cell>
          <cell r="AI1425">
            <v>0</v>
          </cell>
          <cell r="AJ1425">
            <v>0</v>
          </cell>
          <cell r="AK1425">
            <v>0</v>
          </cell>
          <cell r="BB1425">
            <v>0</v>
          </cell>
          <cell r="BC1425">
            <v>0</v>
          </cell>
          <cell r="BD1425">
            <v>0</v>
          </cell>
          <cell r="BE1425">
            <v>0</v>
          </cell>
          <cell r="BF1425">
            <v>7673166.75</v>
          </cell>
          <cell r="BG1425">
            <v>7552823.580000001</v>
          </cell>
          <cell r="BH1425">
            <v>6397495.5299999993</v>
          </cell>
          <cell r="BI1425">
            <v>626817.47000000009</v>
          </cell>
          <cell r="BJ1425">
            <v>4620.96</v>
          </cell>
          <cell r="BK1425">
            <v>24439.96</v>
          </cell>
          <cell r="BL1425">
            <v>0</v>
          </cell>
          <cell r="BM1425">
            <v>655878.39</v>
          </cell>
          <cell r="BN1425">
            <v>0</v>
          </cell>
          <cell r="BO1425">
            <v>0</v>
          </cell>
          <cell r="BP1425">
            <v>0</v>
          </cell>
          <cell r="BQ1425">
            <v>0</v>
          </cell>
          <cell r="BR1425">
            <v>655878.39</v>
          </cell>
          <cell r="BT1425">
            <v>0</v>
          </cell>
          <cell r="CA1425" t="str">
            <v>Q40SSS - REVTOT - Base</v>
          </cell>
          <cell r="CC1425" t="str">
            <v>Q40SSS - REVTOT - Base - IS4</v>
          </cell>
          <cell r="CD1425" t="str">
            <v/>
          </cell>
          <cell r="CF1425" t="str">
            <v>Q40SSS - Base - IS4</v>
          </cell>
        </row>
        <row r="1426">
          <cell r="D1426">
            <v>1412</v>
          </cell>
          <cell r="E1426">
            <v>1</v>
          </cell>
          <cell r="F1426">
            <v>2</v>
          </cell>
          <cell r="G1426" t="str">
            <v>Q40SSS</v>
          </cell>
          <cell r="H1426" t="str">
            <v>Q40 Sensor Systems Support</v>
          </cell>
          <cell r="I1426" t="str">
            <v>IS4</v>
          </cell>
          <cell r="J1426" t="str">
            <v>IS4 Spectrum &amp; Infrastructure Assurance</v>
          </cell>
          <cell r="K1426" t="str">
            <v>Navy</v>
          </cell>
          <cell r="L1426" t="str">
            <v>DOD</v>
          </cell>
          <cell r="M1426" t="str">
            <v>VA</v>
          </cell>
          <cell r="N1426" t="str">
            <v>CONUS</v>
          </cell>
          <cell r="O1426">
            <v>0</v>
          </cell>
          <cell r="P1426">
            <v>0</v>
          </cell>
          <cell r="Q1426">
            <v>0</v>
          </cell>
          <cell r="R1426" t="str">
            <v>CPIF</v>
          </cell>
          <cell r="S1426">
            <v>0</v>
          </cell>
          <cell r="T1426">
            <v>1</v>
          </cell>
          <cell r="U1426" t="str">
            <v>REVTOT</v>
          </cell>
          <cell r="V1426" t="str">
            <v>Identified - Recompete</v>
          </cell>
          <cell r="W1426">
            <v>0</v>
          </cell>
          <cell r="X1426">
            <v>0</v>
          </cell>
          <cell r="Y1426">
            <v>0</v>
          </cell>
          <cell r="Z1426">
            <v>0</v>
          </cell>
          <cell r="AA1426">
            <v>0</v>
          </cell>
          <cell r="AB1426">
            <v>0</v>
          </cell>
          <cell r="AC1426">
            <v>0</v>
          </cell>
          <cell r="AD1426">
            <v>0</v>
          </cell>
          <cell r="AI1426">
            <v>0</v>
          </cell>
          <cell r="AJ1426">
            <v>0</v>
          </cell>
          <cell r="AK1426">
            <v>0</v>
          </cell>
          <cell r="BB1426">
            <v>0</v>
          </cell>
          <cell r="BC1426">
            <v>0</v>
          </cell>
          <cell r="BD1426">
            <v>0</v>
          </cell>
          <cell r="BE1426">
            <v>0</v>
          </cell>
          <cell r="BI1426">
            <v>0</v>
          </cell>
          <cell r="BJ1426">
            <v>0</v>
          </cell>
          <cell r="BK1426">
            <v>0</v>
          </cell>
          <cell r="BL1426">
            <v>0</v>
          </cell>
          <cell r="BM1426">
            <v>0</v>
          </cell>
          <cell r="BN1426">
            <v>0</v>
          </cell>
          <cell r="BO1426">
            <v>0</v>
          </cell>
          <cell r="BP1426">
            <v>0</v>
          </cell>
          <cell r="BQ1426">
            <v>0</v>
          </cell>
          <cell r="BR1426">
            <v>0</v>
          </cell>
          <cell r="BT1426">
            <v>0</v>
          </cell>
          <cell r="CA1426" t="str">
            <v>Q40SSS - REVTOT - Identified - Recompete</v>
          </cell>
          <cell r="CC1426" t="str">
            <v>Q40SSS - REVTOT - Identified - Recompete - IS4</v>
          </cell>
          <cell r="CD1426" t="str">
            <v/>
          </cell>
          <cell r="CF1426" t="str">
            <v>Q40SSS - Identified - Recompete - IS4</v>
          </cell>
        </row>
        <row r="1427">
          <cell r="D1427">
            <v>1413</v>
          </cell>
          <cell r="E1427">
            <v>2</v>
          </cell>
          <cell r="F1427">
            <v>3</v>
          </cell>
          <cell r="G1427" t="str">
            <v>Q40SSS</v>
          </cell>
          <cell r="H1427" t="str">
            <v>Q40 Sensor Systems Support</v>
          </cell>
          <cell r="I1427" t="str">
            <v>IS4</v>
          </cell>
          <cell r="J1427" t="str">
            <v>IS4 Spectrum &amp; Infrastructure Assurance</v>
          </cell>
          <cell r="K1427" t="str">
            <v>Navy</v>
          </cell>
          <cell r="L1427" t="str">
            <v>DOD</v>
          </cell>
          <cell r="M1427" t="str">
            <v>VA</v>
          </cell>
          <cell r="N1427" t="str">
            <v>CONUS</v>
          </cell>
          <cell r="O1427">
            <v>42156</v>
          </cell>
          <cell r="P1427">
            <v>43440</v>
          </cell>
          <cell r="Q1427" t="str">
            <v>Prime</v>
          </cell>
          <cell r="R1427" t="str">
            <v>CPIF</v>
          </cell>
          <cell r="S1427">
            <v>0</v>
          </cell>
          <cell r="T1427">
            <v>1</v>
          </cell>
          <cell r="U1427" t="str">
            <v>CONTRACT</v>
          </cell>
          <cell r="V1427" t="str">
            <v>Base</v>
          </cell>
          <cell r="W1427" t="str">
            <v>05 Won</v>
          </cell>
          <cell r="X1427" t="str">
            <v>Active</v>
          </cell>
          <cell r="Y1427">
            <v>1</v>
          </cell>
          <cell r="Z1427">
            <v>0</v>
          </cell>
          <cell r="AA1427">
            <v>4244289.1399999997</v>
          </cell>
          <cell r="AB1427">
            <v>1297627</v>
          </cell>
          <cell r="AC1427">
            <v>0</v>
          </cell>
          <cell r="AD1427">
            <v>5541916.1399999997</v>
          </cell>
          <cell r="AL1427">
            <v>7.8616229733310519E-2</v>
          </cell>
          <cell r="AM1427">
            <v>9.0538796882635483E-2</v>
          </cell>
          <cell r="AN1427">
            <v>9.2935700730376256E-2</v>
          </cell>
          <cell r="AO1427">
            <v>5.7856868862534071E-2</v>
          </cell>
          <cell r="AP1427">
            <v>8.6158733187370884E-2</v>
          </cell>
          <cell r="AQ1427">
            <v>8.6158733187370884E-2</v>
          </cell>
          <cell r="AR1427">
            <v>8.6158733187370884E-2</v>
          </cell>
          <cell r="AS1427">
            <v>8.6158733187370884E-2</v>
          </cell>
          <cell r="BF1427">
            <v>603235.43999999959</v>
          </cell>
          <cell r="BG1427">
            <v>683823.55999999982</v>
          </cell>
          <cell r="BH1427">
            <v>594555.72999999975</v>
          </cell>
          <cell r="BI1427">
            <v>39740.279999999977</v>
          </cell>
          <cell r="BJ1427">
            <v>-2726.3200000000006</v>
          </cell>
          <cell r="BK1427">
            <v>933.10999999999831</v>
          </cell>
          <cell r="BL1427">
            <v>0</v>
          </cell>
          <cell r="BM1427">
            <v>37947.069999999978</v>
          </cell>
          <cell r="BN1427">
            <v>0</v>
          </cell>
          <cell r="BO1427">
            <v>0</v>
          </cell>
          <cell r="BP1427">
            <v>0</v>
          </cell>
          <cell r="BQ1427">
            <v>0</v>
          </cell>
          <cell r="BR1427">
            <v>37947.069999999978</v>
          </cell>
          <cell r="BT1427">
            <v>0</v>
          </cell>
          <cell r="CA1427" t="str">
            <v>Q40SSS - CONTRACT - Base</v>
          </cell>
          <cell r="CC1427" t="str">
            <v>Q40SSS - CONTRACT - Base - IS4</v>
          </cell>
          <cell r="CD1427" t="str">
            <v/>
          </cell>
          <cell r="CF1427" t="str">
            <v>Q40SSS - Base - IS4</v>
          </cell>
        </row>
        <row r="1428">
          <cell r="D1428">
            <v>1414</v>
          </cell>
          <cell r="E1428">
            <v>2</v>
          </cell>
          <cell r="F1428">
            <v>4</v>
          </cell>
          <cell r="G1428" t="str">
            <v>Q40SSS</v>
          </cell>
          <cell r="H1428" t="str">
            <v>Q40 Sensor Systems Support</v>
          </cell>
          <cell r="I1428" t="str">
            <v>IS4</v>
          </cell>
          <cell r="J1428" t="str">
            <v>IS4 Spectrum &amp; Infrastructure Assurance</v>
          </cell>
          <cell r="K1428" t="str">
            <v>Navy</v>
          </cell>
          <cell r="L1428" t="str">
            <v>DOD</v>
          </cell>
          <cell r="M1428" t="str">
            <v>VA</v>
          </cell>
          <cell r="N1428" t="str">
            <v>CONUS</v>
          </cell>
          <cell r="O1428">
            <v>0</v>
          </cell>
          <cell r="P1428">
            <v>0</v>
          </cell>
          <cell r="Q1428">
            <v>0</v>
          </cell>
          <cell r="R1428" t="str">
            <v>CPIF</v>
          </cell>
          <cell r="S1428">
            <v>0</v>
          </cell>
          <cell r="T1428">
            <v>1</v>
          </cell>
          <cell r="U1428" t="str">
            <v>CONTRACT</v>
          </cell>
          <cell r="V1428" t="str">
            <v>Identified - Recompete</v>
          </cell>
          <cell r="W1428">
            <v>0</v>
          </cell>
          <cell r="X1428">
            <v>0</v>
          </cell>
          <cell r="Y1428">
            <v>0</v>
          </cell>
          <cell r="Z1428">
            <v>0</v>
          </cell>
          <cell r="AA1428">
            <v>0</v>
          </cell>
          <cell r="AB1428">
            <v>0</v>
          </cell>
          <cell r="AC1428">
            <v>0</v>
          </cell>
          <cell r="AD1428">
            <v>0</v>
          </cell>
          <cell r="AP1428">
            <v>0</v>
          </cell>
          <cell r="AQ1428">
            <v>0</v>
          </cell>
          <cell r="AR1428">
            <v>0</v>
          </cell>
          <cell r="AS1428">
            <v>0</v>
          </cell>
          <cell r="BI1428">
            <v>0</v>
          </cell>
          <cell r="BJ1428">
            <v>0</v>
          </cell>
          <cell r="BK1428">
            <v>0</v>
          </cell>
          <cell r="BL1428">
            <v>0</v>
          </cell>
          <cell r="BM1428">
            <v>0</v>
          </cell>
          <cell r="BN1428">
            <v>0</v>
          </cell>
          <cell r="BO1428">
            <v>0</v>
          </cell>
          <cell r="BP1428">
            <v>0</v>
          </cell>
          <cell r="BQ1428">
            <v>0</v>
          </cell>
          <cell r="BR1428">
            <v>0</v>
          </cell>
          <cell r="BT1428">
            <v>0</v>
          </cell>
          <cell r="CA1428" t="str">
            <v>Q40SSS - CONTRACT - Identified - Recompete</v>
          </cell>
          <cell r="CC1428" t="str">
            <v>Q40SSS - CONTRACT - Identified - Recompete - IS4</v>
          </cell>
          <cell r="CD1428" t="str">
            <v/>
          </cell>
          <cell r="CF1428" t="str">
            <v>Q40SSS - Identified - Recompete - IS4</v>
          </cell>
        </row>
        <row r="1429">
          <cell r="D1429">
            <v>1415</v>
          </cell>
          <cell r="E1429">
            <v>0</v>
          </cell>
          <cell r="F1429">
            <v>5</v>
          </cell>
          <cell r="G1429" t="str">
            <v>Q40SSS</v>
          </cell>
          <cell r="H1429" t="str">
            <v>Q40 Sensor Systems Support</v>
          </cell>
          <cell r="I1429" t="str">
            <v>IS4</v>
          </cell>
          <cell r="J1429" t="str">
            <v>IS4 Spectrum &amp; Infrastructure Assurance</v>
          </cell>
          <cell r="K1429" t="str">
            <v>Navy</v>
          </cell>
          <cell r="L1429" t="str">
            <v>DOD</v>
          </cell>
          <cell r="M1429" t="str">
            <v>VA</v>
          </cell>
          <cell r="N1429" t="str">
            <v>CONUS</v>
          </cell>
          <cell r="O1429">
            <v>42156</v>
          </cell>
          <cell r="P1429">
            <v>43440</v>
          </cell>
          <cell r="Q1429" t="str">
            <v>Prime</v>
          </cell>
          <cell r="R1429" t="str">
            <v>CPIF</v>
          </cell>
          <cell r="S1429">
            <v>0</v>
          </cell>
          <cell r="T1429">
            <v>1</v>
          </cell>
          <cell r="U1429" t="str">
            <v>EBITA</v>
          </cell>
          <cell r="V1429" t="str">
            <v>Base</v>
          </cell>
          <cell r="W1429" t="str">
            <v>05 Won</v>
          </cell>
          <cell r="X1429" t="str">
            <v>Active</v>
          </cell>
          <cell r="Y1429">
            <v>1</v>
          </cell>
          <cell r="Z1429">
            <v>0</v>
          </cell>
          <cell r="AA1429">
            <v>4244289.1399999997</v>
          </cell>
          <cell r="AB1429">
            <v>1297627</v>
          </cell>
          <cell r="AC1429">
            <v>0</v>
          </cell>
          <cell r="AD1429">
            <v>5541916.1399999997</v>
          </cell>
          <cell r="AT1429">
            <v>1.7636782101731287E-2</v>
          </cell>
          <cell r="AU1429">
            <v>1.8649478371636989E-2</v>
          </cell>
          <cell r="AV1429">
            <v>1.854999654841491E-2</v>
          </cell>
          <cell r="AW1429">
            <v>9.7372471747391651E-3</v>
          </cell>
          <cell r="AX1429">
            <v>1.8009767042612052E-2</v>
          </cell>
          <cell r="AY1429">
            <v>1.8009767042612052E-2</v>
          </cell>
          <cell r="AZ1429">
            <v>1.8009767042612052E-2</v>
          </cell>
          <cell r="BA1429">
            <v>1.8009767042612052E-2</v>
          </cell>
          <cell r="BF1429">
            <v>135329.96999999962</v>
          </cell>
          <cell r="BG1429">
            <v>140856.21999999988</v>
          </cell>
          <cell r="BH1429">
            <v>118673.5199999998</v>
          </cell>
          <cell r="BI1429">
            <v>9187.3599999999751</v>
          </cell>
          <cell r="BJ1429">
            <v>-3045.8700000000008</v>
          </cell>
          <cell r="BK1429">
            <v>244.95999999999827</v>
          </cell>
          <cell r="BL1429">
            <v>0</v>
          </cell>
          <cell r="BM1429">
            <v>6386.4499999999725</v>
          </cell>
          <cell r="BN1429">
            <v>0</v>
          </cell>
          <cell r="BO1429">
            <v>0</v>
          </cell>
          <cell r="BP1429">
            <v>0</v>
          </cell>
          <cell r="BQ1429">
            <v>0</v>
          </cell>
          <cell r="BR1429">
            <v>6386.4499999999725</v>
          </cell>
          <cell r="BT1429">
            <v>0</v>
          </cell>
          <cell r="CA1429" t="str">
            <v>Q40SSS - EBITA - Base</v>
          </cell>
          <cell r="CC1429" t="str">
            <v>Q40SSS - EBITA - Base - IS4</v>
          </cell>
          <cell r="CD1429" t="str">
            <v/>
          </cell>
          <cell r="CF1429" t="str">
            <v>Q40SSS - Base - IS4</v>
          </cell>
        </row>
        <row r="1430">
          <cell r="D1430">
            <v>1416</v>
          </cell>
          <cell r="E1430">
            <v>0</v>
          </cell>
          <cell r="F1430">
            <v>0</v>
          </cell>
          <cell r="G1430" t="str">
            <v>Q40SSS</v>
          </cell>
          <cell r="H1430" t="str">
            <v>Q40 Sensor Systems Support</v>
          </cell>
          <cell r="I1430" t="str">
            <v>IS4</v>
          </cell>
          <cell r="J1430" t="str">
            <v>IS4 Spectrum &amp; Infrastructure Assurance</v>
          </cell>
          <cell r="K1430" t="str">
            <v>Navy</v>
          </cell>
          <cell r="L1430" t="str">
            <v>DOD</v>
          </cell>
          <cell r="M1430" t="str">
            <v>VA</v>
          </cell>
          <cell r="N1430" t="str">
            <v>CONUS</v>
          </cell>
          <cell r="O1430">
            <v>0</v>
          </cell>
          <cell r="P1430">
            <v>0</v>
          </cell>
          <cell r="Q1430">
            <v>0</v>
          </cell>
          <cell r="R1430" t="str">
            <v>CPIF</v>
          </cell>
          <cell r="S1430">
            <v>0</v>
          </cell>
          <cell r="T1430">
            <v>1</v>
          </cell>
          <cell r="U1430" t="str">
            <v>EBITA</v>
          </cell>
          <cell r="V1430" t="str">
            <v>Identified - Recompete</v>
          </cell>
          <cell r="W1430">
            <v>0</v>
          </cell>
          <cell r="X1430">
            <v>0</v>
          </cell>
          <cell r="Y1430">
            <v>0</v>
          </cell>
          <cell r="Z1430">
            <v>0</v>
          </cell>
          <cell r="AA1430">
            <v>0</v>
          </cell>
          <cell r="AB1430">
            <v>0</v>
          </cell>
          <cell r="AC1430">
            <v>0</v>
          </cell>
          <cell r="AD1430">
            <v>0</v>
          </cell>
          <cell r="AX1430">
            <v>0</v>
          </cell>
          <cell r="AY1430">
            <v>0</v>
          </cell>
          <cell r="AZ1430">
            <v>0</v>
          </cell>
          <cell r="BA1430">
            <v>0</v>
          </cell>
          <cell r="BI1430">
            <v>0</v>
          </cell>
          <cell r="BJ1430">
            <v>0</v>
          </cell>
          <cell r="BK1430">
            <v>0</v>
          </cell>
          <cell r="BL1430">
            <v>0</v>
          </cell>
          <cell r="BM1430">
            <v>0</v>
          </cell>
          <cell r="BN1430">
            <v>0</v>
          </cell>
          <cell r="BO1430">
            <v>0</v>
          </cell>
          <cell r="BP1430">
            <v>0</v>
          </cell>
          <cell r="BQ1430">
            <v>0</v>
          </cell>
          <cell r="BR1430">
            <v>0</v>
          </cell>
          <cell r="BT1430">
            <v>0</v>
          </cell>
          <cell r="CA1430" t="str">
            <v>Q40SSS - EBITA - Identified - Recompete</v>
          </cell>
          <cell r="CC1430" t="str">
            <v>Q40SSS - EBITA - Identified - Recompete - IS4</v>
          </cell>
          <cell r="CD1430" t="str">
            <v/>
          </cell>
          <cell r="CF1430" t="str">
            <v>Q40SSS - Identified - Recompete - IS4</v>
          </cell>
        </row>
        <row r="1431">
          <cell r="D1431">
            <v>1417</v>
          </cell>
          <cell r="E1431">
            <v>1</v>
          </cell>
          <cell r="F1431">
            <v>1</v>
          </cell>
          <cell r="G1431" t="str">
            <v>KSYTST</v>
          </cell>
          <cell r="H1431" t="str">
            <v>K Dept System Test and Evaluation</v>
          </cell>
          <cell r="I1431" t="str">
            <v>IS4</v>
          </cell>
          <cell r="J1431" t="str">
            <v>IS4 Spectrum &amp; Infrastructure Assurance</v>
          </cell>
          <cell r="K1431" t="str">
            <v>Navy</v>
          </cell>
          <cell r="L1431" t="str">
            <v>DOD</v>
          </cell>
          <cell r="M1431" t="str">
            <v>VA</v>
          </cell>
          <cell r="N1431" t="str">
            <v>CONUS</v>
          </cell>
          <cell r="O1431">
            <v>42115</v>
          </cell>
          <cell r="P1431">
            <v>43890</v>
          </cell>
          <cell r="Q1431" t="str">
            <v>Sub</v>
          </cell>
          <cell r="R1431" t="str">
            <v>CPIF</v>
          </cell>
          <cell r="S1431">
            <v>0</v>
          </cell>
          <cell r="T1431">
            <v>1</v>
          </cell>
          <cell r="U1431" t="str">
            <v>REVTOT</v>
          </cell>
          <cell r="V1431" t="str">
            <v>Base</v>
          </cell>
          <cell r="W1431" t="str">
            <v>05 Won</v>
          </cell>
          <cell r="X1431" t="str">
            <v>Active</v>
          </cell>
          <cell r="Y1431">
            <v>1</v>
          </cell>
          <cell r="Z1431">
            <v>0</v>
          </cell>
          <cell r="AA1431">
            <v>4507098.2200000007</v>
          </cell>
          <cell r="AB1431">
            <v>0</v>
          </cell>
          <cell r="AC1431">
            <v>0</v>
          </cell>
          <cell r="AD1431">
            <v>4507098.2200000007</v>
          </cell>
          <cell r="AE1431">
            <v>-4.5217300571516517E-2</v>
          </cell>
          <cell r="AF1431">
            <v>-0.32063837182798194</v>
          </cell>
          <cell r="AG1431">
            <v>-0.31834154001521831</v>
          </cell>
          <cell r="AH1431">
            <v>-0.58169041880986483</v>
          </cell>
          <cell r="AI1431">
            <v>0</v>
          </cell>
          <cell r="AJ1431">
            <v>0</v>
          </cell>
          <cell r="AK1431">
            <v>0</v>
          </cell>
          <cell r="BB1431">
            <v>167722.31</v>
          </cell>
          <cell r="BC1431">
            <v>167722.31</v>
          </cell>
          <cell r="BD1431">
            <v>167722.31</v>
          </cell>
          <cell r="BE1431">
            <v>167722.31</v>
          </cell>
          <cell r="BF1431">
            <v>906819.06</v>
          </cell>
          <cell r="BG1431">
            <v>865815.15</v>
          </cell>
          <cell r="BH1431">
            <v>588201.59000000008</v>
          </cell>
          <cell r="BI1431">
            <v>95054.14</v>
          </cell>
          <cell r="BJ1431">
            <v>90922.109999999986</v>
          </cell>
          <cell r="BK1431">
            <v>106087.17000000001</v>
          </cell>
          <cell r="BL1431">
            <v>108889.16999999998</v>
          </cell>
          <cell r="BM1431">
            <v>400952.59</v>
          </cell>
          <cell r="BN1431">
            <v>167722.31</v>
          </cell>
          <cell r="BO1431">
            <v>167722.31</v>
          </cell>
          <cell r="BP1431">
            <v>167722.31</v>
          </cell>
          <cell r="BQ1431">
            <v>167722.31</v>
          </cell>
          <cell r="BR1431">
            <v>1071841.83</v>
          </cell>
          <cell r="BT1431">
            <v>0</v>
          </cell>
          <cell r="CA1431" t="str">
            <v>KSYTST - REVTOT - Base</v>
          </cell>
          <cell r="CC1431" t="str">
            <v>KSYTST - REVTOT - Base - IS4</v>
          </cell>
          <cell r="CD1431" t="str">
            <v/>
          </cell>
          <cell r="CF1431" t="str">
            <v>KSYTST - Base - IS4</v>
          </cell>
        </row>
        <row r="1432">
          <cell r="D1432">
            <v>1418</v>
          </cell>
          <cell r="E1432">
            <v>1</v>
          </cell>
          <cell r="F1432">
            <v>2</v>
          </cell>
          <cell r="G1432" t="str">
            <v>KSYTST</v>
          </cell>
          <cell r="H1432" t="str">
            <v>K Dept System Test and Evaluation</v>
          </cell>
          <cell r="I1432" t="str">
            <v>IS4</v>
          </cell>
          <cell r="J1432" t="str">
            <v>IS4 Spectrum &amp; Infrastructure Assurance</v>
          </cell>
          <cell r="K1432" t="str">
            <v>Navy</v>
          </cell>
          <cell r="L1432" t="str">
            <v>DOD</v>
          </cell>
          <cell r="M1432" t="str">
            <v>VA</v>
          </cell>
          <cell r="N1432" t="str">
            <v>CONUS</v>
          </cell>
          <cell r="O1432">
            <v>0</v>
          </cell>
          <cell r="P1432">
            <v>0</v>
          </cell>
          <cell r="Q1432">
            <v>0</v>
          </cell>
          <cell r="R1432" t="str">
            <v>CPIF</v>
          </cell>
          <cell r="S1432">
            <v>0</v>
          </cell>
          <cell r="T1432">
            <v>1</v>
          </cell>
          <cell r="U1432" t="str">
            <v>REVTOT</v>
          </cell>
          <cell r="V1432" t="str">
            <v>Identified - Recompete</v>
          </cell>
          <cell r="W1432">
            <v>0</v>
          </cell>
          <cell r="X1432">
            <v>0</v>
          </cell>
          <cell r="Y1432">
            <v>0</v>
          </cell>
          <cell r="Z1432">
            <v>0</v>
          </cell>
          <cell r="AA1432">
            <v>0</v>
          </cell>
          <cell r="AB1432">
            <v>0</v>
          </cell>
          <cell r="AC1432">
            <v>0</v>
          </cell>
          <cell r="AD1432">
            <v>0</v>
          </cell>
          <cell r="AI1432">
            <v>0</v>
          </cell>
          <cell r="AJ1432">
            <v>0</v>
          </cell>
          <cell r="AK1432">
            <v>0</v>
          </cell>
          <cell r="BB1432">
            <v>0</v>
          </cell>
          <cell r="BC1432">
            <v>0</v>
          </cell>
          <cell r="BD1432">
            <v>0</v>
          </cell>
          <cell r="BE1432">
            <v>0</v>
          </cell>
          <cell r="BI1432">
            <v>0</v>
          </cell>
          <cell r="BJ1432">
            <v>0</v>
          </cell>
          <cell r="BK1432">
            <v>0</v>
          </cell>
          <cell r="BL1432">
            <v>0</v>
          </cell>
          <cell r="BM1432">
            <v>0</v>
          </cell>
          <cell r="BN1432">
            <v>0</v>
          </cell>
          <cell r="BO1432">
            <v>0</v>
          </cell>
          <cell r="BP1432">
            <v>0</v>
          </cell>
          <cell r="BQ1432">
            <v>0</v>
          </cell>
          <cell r="BR1432">
            <v>0</v>
          </cell>
          <cell r="BT1432">
            <v>0</v>
          </cell>
          <cell r="CA1432" t="str">
            <v>KSYTST - REVTOT - Identified - Recompete</v>
          </cell>
          <cell r="CC1432" t="str">
            <v>KSYTST - REVTOT - Identified - Recompete - IS4</v>
          </cell>
          <cell r="CD1432" t="str">
            <v/>
          </cell>
          <cell r="CF1432" t="str">
            <v>KSYTST - Identified - Recompete - IS4</v>
          </cell>
        </row>
        <row r="1433">
          <cell r="D1433">
            <v>1419</v>
          </cell>
          <cell r="E1433">
            <v>2</v>
          </cell>
          <cell r="F1433">
            <v>3</v>
          </cell>
          <cell r="G1433" t="str">
            <v>KSYTST</v>
          </cell>
          <cell r="H1433" t="str">
            <v>K Dept System Test and Evaluation</v>
          </cell>
          <cell r="I1433" t="str">
            <v>IS4</v>
          </cell>
          <cell r="J1433" t="str">
            <v>IS4 Spectrum &amp; Infrastructure Assurance</v>
          </cell>
          <cell r="K1433" t="str">
            <v>Navy</v>
          </cell>
          <cell r="L1433" t="str">
            <v>DOD</v>
          </cell>
          <cell r="M1433" t="str">
            <v>VA</v>
          </cell>
          <cell r="N1433" t="str">
            <v>CONUS</v>
          </cell>
          <cell r="O1433">
            <v>42115</v>
          </cell>
          <cell r="P1433">
            <v>43890</v>
          </cell>
          <cell r="Q1433" t="str">
            <v>Sub</v>
          </cell>
          <cell r="R1433" t="str">
            <v>CPIF</v>
          </cell>
          <cell r="S1433">
            <v>0</v>
          </cell>
          <cell r="T1433">
            <v>1</v>
          </cell>
          <cell r="U1433" t="str">
            <v>CONTRACT</v>
          </cell>
          <cell r="V1433" t="str">
            <v>Base</v>
          </cell>
          <cell r="W1433" t="str">
            <v>05 Won</v>
          </cell>
          <cell r="X1433" t="str">
            <v>Active</v>
          </cell>
          <cell r="Y1433">
            <v>1</v>
          </cell>
          <cell r="Z1433">
            <v>0</v>
          </cell>
          <cell r="AA1433">
            <v>4507098.2200000007</v>
          </cell>
          <cell r="AB1433">
            <v>0</v>
          </cell>
          <cell r="AC1433">
            <v>0</v>
          </cell>
          <cell r="AD1433">
            <v>4507098.2200000007</v>
          </cell>
          <cell r="AL1433">
            <v>0.20731030951202106</v>
          </cell>
          <cell r="AM1433">
            <v>0.16752567796948342</v>
          </cell>
          <cell r="AN1433">
            <v>0.16597666796514435</v>
          </cell>
          <cell r="AO1433">
            <v>0.16784390892698806</v>
          </cell>
          <cell r="AP1433">
            <v>0.16357225137192538</v>
          </cell>
          <cell r="AQ1433">
            <v>0.16357225137192538</v>
          </cell>
          <cell r="AR1433">
            <v>0.16357225137192538</v>
          </cell>
          <cell r="AS1433">
            <v>0.16357225137192538</v>
          </cell>
          <cell r="BF1433">
            <v>187992.94</v>
          </cell>
          <cell r="BG1433">
            <v>145046.26999999999</v>
          </cell>
          <cell r="BH1433">
            <v>97627.739999999991</v>
          </cell>
          <cell r="BI1433">
            <v>16782.229999999996</v>
          </cell>
          <cell r="BJ1433">
            <v>14860.689999999999</v>
          </cell>
          <cell r="BK1433">
            <v>17448.530000000002</v>
          </cell>
          <cell r="BL1433">
            <v>18205.999999999989</v>
          </cell>
          <cell r="BM1433">
            <v>67297.449999999983</v>
          </cell>
          <cell r="BN1433">
            <v>27434.715851999994</v>
          </cell>
          <cell r="BO1433">
            <v>27434.715851999994</v>
          </cell>
          <cell r="BP1433">
            <v>27434.715851999994</v>
          </cell>
          <cell r="BQ1433">
            <v>27434.715851999994</v>
          </cell>
          <cell r="BR1433">
            <v>177036.31340799996</v>
          </cell>
          <cell r="BT1433">
            <v>0</v>
          </cell>
          <cell r="CA1433" t="str">
            <v>KSYTST - CONTRACT - Base</v>
          </cell>
          <cell r="CC1433" t="str">
            <v>KSYTST - CONTRACT - Base - IS4</v>
          </cell>
          <cell r="CD1433" t="str">
            <v/>
          </cell>
          <cell r="CF1433" t="str">
            <v>KSYTST - Base - IS4</v>
          </cell>
        </row>
        <row r="1434">
          <cell r="D1434">
            <v>1420</v>
          </cell>
          <cell r="E1434">
            <v>2</v>
          </cell>
          <cell r="F1434">
            <v>4</v>
          </cell>
          <cell r="G1434" t="str">
            <v>KSYTST</v>
          </cell>
          <cell r="H1434" t="str">
            <v>K Dept System Test and Evaluation</v>
          </cell>
          <cell r="I1434" t="str">
            <v>IS4</v>
          </cell>
          <cell r="J1434" t="str">
            <v>IS4 Spectrum &amp; Infrastructure Assurance</v>
          </cell>
          <cell r="K1434" t="str">
            <v>Navy</v>
          </cell>
          <cell r="L1434" t="str">
            <v>DOD</v>
          </cell>
          <cell r="M1434" t="str">
            <v>VA</v>
          </cell>
          <cell r="N1434" t="str">
            <v>CONUS</v>
          </cell>
          <cell r="O1434">
            <v>0</v>
          </cell>
          <cell r="P1434">
            <v>0</v>
          </cell>
          <cell r="Q1434">
            <v>0</v>
          </cell>
          <cell r="R1434" t="str">
            <v>CPIF</v>
          </cell>
          <cell r="S1434">
            <v>0</v>
          </cell>
          <cell r="T1434">
            <v>1</v>
          </cell>
          <cell r="U1434" t="str">
            <v>CONTRACT</v>
          </cell>
          <cell r="V1434" t="str">
            <v>Identified - Recompete</v>
          </cell>
          <cell r="W1434">
            <v>0</v>
          </cell>
          <cell r="X1434">
            <v>0</v>
          </cell>
          <cell r="Y1434">
            <v>0</v>
          </cell>
          <cell r="Z1434">
            <v>0</v>
          </cell>
          <cell r="AA1434">
            <v>0</v>
          </cell>
          <cell r="AB1434">
            <v>0</v>
          </cell>
          <cell r="AC1434">
            <v>0</v>
          </cell>
          <cell r="AD1434">
            <v>0</v>
          </cell>
          <cell r="AP1434">
            <v>0</v>
          </cell>
          <cell r="AQ1434">
            <v>0</v>
          </cell>
          <cell r="AR1434">
            <v>0</v>
          </cell>
          <cell r="AS1434">
            <v>0</v>
          </cell>
          <cell r="BI1434">
            <v>0</v>
          </cell>
          <cell r="BJ1434">
            <v>0</v>
          </cell>
          <cell r="BK1434">
            <v>0</v>
          </cell>
          <cell r="BL1434">
            <v>0</v>
          </cell>
          <cell r="BM1434">
            <v>0</v>
          </cell>
          <cell r="BN1434">
            <v>0</v>
          </cell>
          <cell r="BO1434">
            <v>0</v>
          </cell>
          <cell r="BP1434">
            <v>0</v>
          </cell>
          <cell r="BQ1434">
            <v>0</v>
          </cell>
          <cell r="BR1434">
            <v>0</v>
          </cell>
          <cell r="BT1434">
            <v>0</v>
          </cell>
          <cell r="CA1434" t="str">
            <v>KSYTST - CONTRACT - Identified - Recompete</v>
          </cell>
          <cell r="CC1434" t="str">
            <v>KSYTST - CONTRACT - Identified - Recompete - IS4</v>
          </cell>
          <cell r="CD1434" t="str">
            <v/>
          </cell>
          <cell r="CF1434" t="str">
            <v>KSYTST - Identified - Recompete - IS4</v>
          </cell>
        </row>
        <row r="1435">
          <cell r="D1435">
            <v>1421</v>
          </cell>
          <cell r="E1435">
            <v>0</v>
          </cell>
          <cell r="F1435">
            <v>5</v>
          </cell>
          <cell r="G1435" t="str">
            <v>KSYTST</v>
          </cell>
          <cell r="H1435" t="str">
            <v>K Dept System Test and Evaluation</v>
          </cell>
          <cell r="I1435" t="str">
            <v>IS4</v>
          </cell>
          <cell r="J1435" t="str">
            <v>IS4 Spectrum &amp; Infrastructure Assurance</v>
          </cell>
          <cell r="K1435" t="str">
            <v>Navy</v>
          </cell>
          <cell r="L1435" t="str">
            <v>DOD</v>
          </cell>
          <cell r="M1435" t="str">
            <v>VA</v>
          </cell>
          <cell r="N1435" t="str">
            <v>CONUS</v>
          </cell>
          <cell r="O1435">
            <v>42115</v>
          </cell>
          <cell r="P1435">
            <v>43890</v>
          </cell>
          <cell r="Q1435" t="str">
            <v>Sub</v>
          </cell>
          <cell r="R1435" t="str">
            <v>CPIF</v>
          </cell>
          <cell r="S1435">
            <v>0</v>
          </cell>
          <cell r="T1435">
            <v>1</v>
          </cell>
          <cell r="U1435" t="str">
            <v>EBITA</v>
          </cell>
          <cell r="V1435" t="str">
            <v>Base</v>
          </cell>
          <cell r="W1435" t="str">
            <v>05 Won</v>
          </cell>
          <cell r="X1435" t="str">
            <v>Active</v>
          </cell>
          <cell r="Y1435">
            <v>1</v>
          </cell>
          <cell r="Z1435">
            <v>0</v>
          </cell>
          <cell r="AA1435">
            <v>4507098.2200000007</v>
          </cell>
          <cell r="AB1435">
            <v>0</v>
          </cell>
          <cell r="AC1435">
            <v>0</v>
          </cell>
          <cell r="AD1435">
            <v>4507098.2200000007</v>
          </cell>
          <cell r="AT1435">
            <v>3.7209253188833516E-2</v>
          </cell>
          <cell r="AU1435">
            <v>3.8461477602927133E-2</v>
          </cell>
          <cell r="AV1435">
            <v>3.8376417853613738E-2</v>
          </cell>
          <cell r="AW1435">
            <v>3.8461055956765328E-2</v>
          </cell>
          <cell r="AX1435">
            <v>3.846156462292729E-2</v>
          </cell>
          <cell r="AY1435">
            <v>3.846156462292729E-2</v>
          </cell>
          <cell r="AZ1435">
            <v>3.846156462292729E-2</v>
          </cell>
          <cell r="BA1435">
            <v>3.846156462292729E-2</v>
          </cell>
          <cell r="BF1435">
            <v>33742.060000000012</v>
          </cell>
          <cell r="BG1435">
            <v>33300.53</v>
          </cell>
          <cell r="BH1435">
            <v>22573.069999999992</v>
          </cell>
          <cell r="BI1435">
            <v>3655.939999999996</v>
          </cell>
          <cell r="BJ1435">
            <v>3496.9999999999982</v>
          </cell>
          <cell r="BK1435">
            <v>4080.2800000000034</v>
          </cell>
          <cell r="BL1435">
            <v>4187.8399999999901</v>
          </cell>
          <cell r="BM1435">
            <v>15421.059999999987</v>
          </cell>
          <cell r="BN1435">
            <v>6450.8624647716442</v>
          </cell>
          <cell r="BO1435">
            <v>6450.8624647716442</v>
          </cell>
          <cell r="BP1435">
            <v>6450.8624647716442</v>
          </cell>
          <cell r="BQ1435">
            <v>6450.8624647716442</v>
          </cell>
          <cell r="BR1435">
            <v>41224.50985908656</v>
          </cell>
          <cell r="BT1435">
            <v>0</v>
          </cell>
          <cell r="CA1435" t="str">
            <v>KSYTST - EBITA - Base</v>
          </cell>
          <cell r="CC1435" t="str">
            <v>KSYTST - EBITA - Base - IS4</v>
          </cell>
          <cell r="CD1435" t="str">
            <v/>
          </cell>
          <cell r="CF1435" t="str">
            <v>KSYTST - Base - IS4</v>
          </cell>
        </row>
        <row r="1436">
          <cell r="D1436">
            <v>1422</v>
          </cell>
          <cell r="E1436">
            <v>0</v>
          </cell>
          <cell r="F1436">
            <v>0</v>
          </cell>
          <cell r="G1436" t="str">
            <v>KSYTST</v>
          </cell>
          <cell r="H1436" t="str">
            <v>K Dept System Test and Evaluation</v>
          </cell>
          <cell r="I1436" t="str">
            <v>IS4</v>
          </cell>
          <cell r="J1436" t="str">
            <v>IS4 Spectrum &amp; Infrastructure Assurance</v>
          </cell>
          <cell r="K1436" t="str">
            <v>Navy</v>
          </cell>
          <cell r="L1436" t="str">
            <v>DOD</v>
          </cell>
          <cell r="M1436" t="str">
            <v>VA</v>
          </cell>
          <cell r="N1436" t="str">
            <v>CONUS</v>
          </cell>
          <cell r="O1436">
            <v>0</v>
          </cell>
          <cell r="P1436">
            <v>0</v>
          </cell>
          <cell r="Q1436">
            <v>0</v>
          </cell>
          <cell r="R1436" t="str">
            <v>CPIF</v>
          </cell>
          <cell r="S1436">
            <v>0</v>
          </cell>
          <cell r="T1436">
            <v>1</v>
          </cell>
          <cell r="U1436" t="str">
            <v>EBITA</v>
          </cell>
          <cell r="V1436" t="str">
            <v>Identified - Recompete</v>
          </cell>
          <cell r="W1436">
            <v>0</v>
          </cell>
          <cell r="X1436">
            <v>0</v>
          </cell>
          <cell r="Y1436">
            <v>0</v>
          </cell>
          <cell r="Z1436">
            <v>0</v>
          </cell>
          <cell r="AA1436">
            <v>0</v>
          </cell>
          <cell r="AB1436">
            <v>0</v>
          </cell>
          <cell r="AC1436">
            <v>0</v>
          </cell>
          <cell r="AD1436">
            <v>0</v>
          </cell>
          <cell r="AX1436">
            <v>0</v>
          </cell>
          <cell r="AY1436">
            <v>0</v>
          </cell>
          <cell r="AZ1436">
            <v>0</v>
          </cell>
          <cell r="BA1436">
            <v>0</v>
          </cell>
          <cell r="BI1436">
            <v>0</v>
          </cell>
          <cell r="BJ1436">
            <v>0</v>
          </cell>
          <cell r="BK1436">
            <v>0</v>
          </cell>
          <cell r="BL1436">
            <v>0</v>
          </cell>
          <cell r="BM1436">
            <v>0</v>
          </cell>
          <cell r="BN1436">
            <v>0</v>
          </cell>
          <cell r="BO1436">
            <v>0</v>
          </cell>
          <cell r="BP1436">
            <v>0</v>
          </cell>
          <cell r="BQ1436">
            <v>0</v>
          </cell>
          <cell r="BR1436">
            <v>0</v>
          </cell>
          <cell r="BT1436">
            <v>0</v>
          </cell>
          <cell r="CA1436" t="str">
            <v>KSYTST - EBITA - Identified - Recompete</v>
          </cell>
          <cell r="CC1436" t="str">
            <v>KSYTST - EBITA - Identified - Recompete - IS4</v>
          </cell>
          <cell r="CD1436" t="str">
            <v/>
          </cell>
          <cell r="CF1436" t="str">
            <v>KSYTST - Identified - Recompete - IS4</v>
          </cell>
        </row>
        <row r="1437">
          <cell r="D1437">
            <v>1423</v>
          </cell>
          <cell r="E1437">
            <v>1</v>
          </cell>
          <cell r="F1437">
            <v>1</v>
          </cell>
          <cell r="G1437" t="str">
            <v>915C23</v>
          </cell>
          <cell r="H1437" t="str">
            <v>915C23 EW Maritime</v>
          </cell>
          <cell r="I1437" t="str">
            <v>IS4</v>
          </cell>
          <cell r="J1437" t="str">
            <v>IS4 Spectrum &amp; Infrastructure Assurance</v>
          </cell>
          <cell r="K1437" t="str">
            <v>Navy</v>
          </cell>
          <cell r="L1437" t="str">
            <v>DOD</v>
          </cell>
          <cell r="M1437" t="str">
            <v>IN</v>
          </cell>
          <cell r="N1437" t="str">
            <v>CONUS</v>
          </cell>
          <cell r="O1437">
            <v>41317</v>
          </cell>
          <cell r="P1437">
            <v>43507</v>
          </cell>
          <cell r="Q1437" t="str">
            <v>Prime</v>
          </cell>
          <cell r="R1437" t="str">
            <v>CPIF</v>
          </cell>
          <cell r="S1437">
            <v>0</v>
          </cell>
          <cell r="T1437">
            <v>1</v>
          </cell>
          <cell r="U1437" t="str">
            <v>REVTOT</v>
          </cell>
          <cell r="V1437" t="str">
            <v>Base</v>
          </cell>
          <cell r="W1437" t="str">
            <v>05 Won</v>
          </cell>
          <cell r="X1437" t="str">
            <v>Active</v>
          </cell>
          <cell r="Y1437">
            <v>1</v>
          </cell>
          <cell r="Z1437">
            <v>0</v>
          </cell>
          <cell r="AA1437">
            <v>1035340.7399999992</v>
          </cell>
          <cell r="AB1437">
            <v>0</v>
          </cell>
          <cell r="AC1437">
            <v>0</v>
          </cell>
          <cell r="AD1437">
            <v>1035340.7399999992</v>
          </cell>
          <cell r="AE1437">
            <v>0.2866602156104423</v>
          </cell>
          <cell r="AF1437">
            <v>0.11927998289646125</v>
          </cell>
          <cell r="AG1437">
            <v>-0.99720344306360065</v>
          </cell>
          <cell r="AH1437">
            <v>-1</v>
          </cell>
          <cell r="AI1437">
            <v>0</v>
          </cell>
          <cell r="AJ1437">
            <v>0</v>
          </cell>
          <cell r="AK1437">
            <v>0</v>
          </cell>
          <cell r="BB1437">
            <v>0</v>
          </cell>
          <cell r="BC1437">
            <v>0</v>
          </cell>
          <cell r="BD1437">
            <v>0</v>
          </cell>
          <cell r="BE1437">
            <v>0</v>
          </cell>
          <cell r="BF1437">
            <v>2422817.7199999997</v>
          </cell>
          <cell r="BG1437">
            <v>3117343.17</v>
          </cell>
          <cell r="BH1437">
            <v>3489179.81</v>
          </cell>
          <cell r="BI1437">
            <v>2703.71</v>
          </cell>
          <cell r="BJ1437">
            <v>6877.86</v>
          </cell>
          <cell r="BK1437">
            <v>176.12</v>
          </cell>
          <cell r="BL1437">
            <v>0</v>
          </cell>
          <cell r="BM1437">
            <v>9757.69</v>
          </cell>
          <cell r="BN1437">
            <v>0</v>
          </cell>
          <cell r="BO1437">
            <v>0</v>
          </cell>
          <cell r="BP1437">
            <v>0</v>
          </cell>
          <cell r="BQ1437">
            <v>0</v>
          </cell>
          <cell r="BR1437">
            <v>9757.69</v>
          </cell>
          <cell r="BT1437">
            <v>0</v>
          </cell>
          <cell r="CA1437" t="str">
            <v>915C23 - REVTOT - Base</v>
          </cell>
          <cell r="CC1437" t="str">
            <v>915C23 - REVTOT - Base - IS4</v>
          </cell>
          <cell r="CD1437" t="str">
            <v/>
          </cell>
          <cell r="CF1437" t="str">
            <v>915C23 - Base - IS4</v>
          </cell>
        </row>
        <row r="1438">
          <cell r="D1438">
            <v>1424</v>
          </cell>
          <cell r="E1438">
            <v>1</v>
          </cell>
          <cell r="F1438">
            <v>2</v>
          </cell>
          <cell r="G1438" t="str">
            <v>915C23</v>
          </cell>
          <cell r="H1438" t="str">
            <v>915C23 EW Maritime</v>
          </cell>
          <cell r="I1438" t="str">
            <v>IS4</v>
          </cell>
          <cell r="J1438" t="str">
            <v>IS4 Spectrum &amp; Infrastructure Assurance</v>
          </cell>
          <cell r="K1438" t="str">
            <v>Navy</v>
          </cell>
          <cell r="L1438" t="str">
            <v>DOD</v>
          </cell>
          <cell r="M1438" t="str">
            <v>IN</v>
          </cell>
          <cell r="N1438" t="str">
            <v>CONUS</v>
          </cell>
          <cell r="O1438">
            <v>0</v>
          </cell>
          <cell r="P1438">
            <v>0</v>
          </cell>
          <cell r="Q1438">
            <v>0</v>
          </cell>
          <cell r="R1438" t="str">
            <v>CPIF</v>
          </cell>
          <cell r="S1438">
            <v>0</v>
          </cell>
          <cell r="T1438">
            <v>1</v>
          </cell>
          <cell r="U1438" t="str">
            <v>REVTOT</v>
          </cell>
          <cell r="V1438" t="str">
            <v>Identified - Recompete</v>
          </cell>
          <cell r="W1438">
            <v>0</v>
          </cell>
          <cell r="X1438">
            <v>0</v>
          </cell>
          <cell r="Y1438">
            <v>0</v>
          </cell>
          <cell r="Z1438">
            <v>0</v>
          </cell>
          <cell r="AA1438">
            <v>0</v>
          </cell>
          <cell r="AB1438">
            <v>0</v>
          </cell>
          <cell r="AC1438">
            <v>0</v>
          </cell>
          <cell r="AD1438">
            <v>0</v>
          </cell>
          <cell r="AI1438">
            <v>0</v>
          </cell>
          <cell r="AJ1438">
            <v>0</v>
          </cell>
          <cell r="AK1438">
            <v>0</v>
          </cell>
          <cell r="BB1438">
            <v>0</v>
          </cell>
          <cell r="BC1438">
            <v>0</v>
          </cell>
          <cell r="BD1438">
            <v>0</v>
          </cell>
          <cell r="BE1438">
            <v>0</v>
          </cell>
          <cell r="BI1438">
            <v>0</v>
          </cell>
          <cell r="BJ1438">
            <v>0</v>
          </cell>
          <cell r="BK1438">
            <v>0</v>
          </cell>
          <cell r="BL1438">
            <v>0</v>
          </cell>
          <cell r="BM1438">
            <v>0</v>
          </cell>
          <cell r="BN1438">
            <v>0</v>
          </cell>
          <cell r="BO1438">
            <v>0</v>
          </cell>
          <cell r="BP1438">
            <v>0</v>
          </cell>
          <cell r="BQ1438">
            <v>0</v>
          </cell>
          <cell r="BR1438">
            <v>0</v>
          </cell>
          <cell r="BT1438">
            <v>0</v>
          </cell>
          <cell r="CA1438" t="str">
            <v>915C23 - REVTOT - Identified - Recompete</v>
          </cell>
          <cell r="CC1438" t="str">
            <v>915C23 - REVTOT - Identified - Recompete - IS4</v>
          </cell>
          <cell r="CD1438" t="str">
            <v/>
          </cell>
          <cell r="CF1438" t="str">
            <v>915C23 - Identified - Recompete - IS4</v>
          </cell>
        </row>
        <row r="1439">
          <cell r="D1439">
            <v>1425</v>
          </cell>
          <cell r="E1439">
            <v>2</v>
          </cell>
          <cell r="F1439">
            <v>3</v>
          </cell>
          <cell r="G1439" t="str">
            <v>915C23</v>
          </cell>
          <cell r="H1439" t="str">
            <v>915C23 EW Maritime</v>
          </cell>
          <cell r="I1439" t="str">
            <v>IS4</v>
          </cell>
          <cell r="J1439" t="str">
            <v>IS4 Spectrum &amp; Infrastructure Assurance</v>
          </cell>
          <cell r="K1439" t="str">
            <v>Navy</v>
          </cell>
          <cell r="L1439" t="str">
            <v>DOD</v>
          </cell>
          <cell r="M1439" t="str">
            <v>IN</v>
          </cell>
          <cell r="N1439" t="str">
            <v>CONUS</v>
          </cell>
          <cell r="O1439">
            <v>41317</v>
          </cell>
          <cell r="P1439">
            <v>43507</v>
          </cell>
          <cell r="Q1439" t="str">
            <v>Prime</v>
          </cell>
          <cell r="R1439" t="str">
            <v>CPIF</v>
          </cell>
          <cell r="S1439">
            <v>0</v>
          </cell>
          <cell r="T1439">
            <v>1</v>
          </cell>
          <cell r="U1439" t="str">
            <v>CONTRACT</v>
          </cell>
          <cell r="V1439" t="str">
            <v>Base</v>
          </cell>
          <cell r="W1439" t="str">
            <v>05 Won</v>
          </cell>
          <cell r="X1439" t="str">
            <v>Active</v>
          </cell>
          <cell r="Y1439">
            <v>1</v>
          </cell>
          <cell r="Z1439">
            <v>0</v>
          </cell>
          <cell r="AA1439">
            <v>1035340.7399999992</v>
          </cell>
          <cell r="AB1439">
            <v>0</v>
          </cell>
          <cell r="AC1439">
            <v>0</v>
          </cell>
          <cell r="AD1439">
            <v>1035340.7399999992</v>
          </cell>
          <cell r="AL1439">
            <v>0.20044603272919767</v>
          </cell>
          <cell r="AM1439">
            <v>0.2007041047072145</v>
          </cell>
          <cell r="AN1439">
            <v>0.16800416198671062</v>
          </cell>
          <cell r="AO1439">
            <v>0.23881984363102329</v>
          </cell>
          <cell r="AP1439">
            <v>0.18805358196792463</v>
          </cell>
          <cell r="AQ1439">
            <v>0.18805358196792463</v>
          </cell>
          <cell r="AR1439">
            <v>0.18805358196792463</v>
          </cell>
          <cell r="AS1439">
            <v>0.18805358196792463</v>
          </cell>
          <cell r="BF1439">
            <v>485644.2</v>
          </cell>
          <cell r="BG1439">
            <v>625663.56999999995</v>
          </cell>
          <cell r="BH1439">
            <v>586196.73000000021</v>
          </cell>
          <cell r="BI1439">
            <v>100.67000000000007</v>
          </cell>
          <cell r="BJ1439">
            <v>4465.7</v>
          </cell>
          <cell r="BK1439">
            <v>-2236.04</v>
          </cell>
          <cell r="BL1439">
            <v>0</v>
          </cell>
          <cell r="BM1439">
            <v>2330.33</v>
          </cell>
          <cell r="BN1439">
            <v>0</v>
          </cell>
          <cell r="BO1439">
            <v>0</v>
          </cell>
          <cell r="BP1439">
            <v>0</v>
          </cell>
          <cell r="BQ1439">
            <v>0</v>
          </cell>
          <cell r="BR1439">
            <v>2330.33</v>
          </cell>
          <cell r="BT1439">
            <v>0</v>
          </cell>
          <cell r="CA1439" t="str">
            <v>915C23 - CONTRACT - Base</v>
          </cell>
          <cell r="CC1439" t="str">
            <v>915C23 - CONTRACT - Base - IS4</v>
          </cell>
          <cell r="CD1439" t="str">
            <v/>
          </cell>
          <cell r="CF1439" t="str">
            <v>915C23 - Base - IS4</v>
          </cell>
        </row>
        <row r="1440">
          <cell r="D1440">
            <v>1426</v>
          </cell>
          <cell r="E1440">
            <v>2</v>
          </cell>
          <cell r="F1440">
            <v>4</v>
          </cell>
          <cell r="G1440" t="str">
            <v>915C23</v>
          </cell>
          <cell r="H1440" t="str">
            <v>915C23 EW Maritime</v>
          </cell>
          <cell r="I1440" t="str">
            <v>IS4</v>
          </cell>
          <cell r="J1440" t="str">
            <v>IS4 Spectrum &amp; Infrastructure Assurance</v>
          </cell>
          <cell r="K1440" t="str">
            <v>Navy</v>
          </cell>
          <cell r="L1440" t="str">
            <v>DOD</v>
          </cell>
          <cell r="M1440" t="str">
            <v>IN</v>
          </cell>
          <cell r="N1440" t="str">
            <v>CONUS</v>
          </cell>
          <cell r="O1440">
            <v>0</v>
          </cell>
          <cell r="P1440">
            <v>0</v>
          </cell>
          <cell r="Q1440">
            <v>0</v>
          </cell>
          <cell r="R1440" t="str">
            <v>CPIF</v>
          </cell>
          <cell r="S1440">
            <v>0</v>
          </cell>
          <cell r="T1440">
            <v>1</v>
          </cell>
          <cell r="U1440" t="str">
            <v>CONTRACT</v>
          </cell>
          <cell r="V1440" t="str">
            <v>Identified - Recompete</v>
          </cell>
          <cell r="W1440">
            <v>0</v>
          </cell>
          <cell r="X1440">
            <v>0</v>
          </cell>
          <cell r="Y1440">
            <v>0</v>
          </cell>
          <cell r="Z1440">
            <v>0</v>
          </cell>
          <cell r="AA1440">
            <v>0</v>
          </cell>
          <cell r="AB1440">
            <v>0</v>
          </cell>
          <cell r="AC1440">
            <v>0</v>
          </cell>
          <cell r="AD1440">
            <v>0</v>
          </cell>
          <cell r="AP1440">
            <v>0</v>
          </cell>
          <cell r="AQ1440">
            <v>0</v>
          </cell>
          <cell r="AR1440">
            <v>0</v>
          </cell>
          <cell r="AS1440">
            <v>0</v>
          </cell>
          <cell r="BI1440">
            <v>0</v>
          </cell>
          <cell r="BJ1440">
            <v>0</v>
          </cell>
          <cell r="BK1440">
            <v>0</v>
          </cell>
          <cell r="BL1440">
            <v>0</v>
          </cell>
          <cell r="BM1440">
            <v>0</v>
          </cell>
          <cell r="BN1440">
            <v>0</v>
          </cell>
          <cell r="BO1440">
            <v>0</v>
          </cell>
          <cell r="BP1440">
            <v>0</v>
          </cell>
          <cell r="BQ1440">
            <v>0</v>
          </cell>
          <cell r="BR1440">
            <v>0</v>
          </cell>
          <cell r="BT1440">
            <v>0</v>
          </cell>
          <cell r="CA1440" t="str">
            <v>915C23 - CONTRACT - Identified - Recompete</v>
          </cell>
          <cell r="CC1440" t="str">
            <v>915C23 - CONTRACT - Identified - Recompete - IS4</v>
          </cell>
          <cell r="CD1440" t="str">
            <v/>
          </cell>
          <cell r="CF1440" t="str">
            <v>915C23 - Identified - Recompete - IS4</v>
          </cell>
        </row>
        <row r="1441">
          <cell r="D1441">
            <v>1427</v>
          </cell>
          <cell r="E1441">
            <v>0</v>
          </cell>
          <cell r="F1441">
            <v>5</v>
          </cell>
          <cell r="G1441" t="str">
            <v>915C23</v>
          </cell>
          <cell r="H1441" t="str">
            <v>915C23 EW Maritime</v>
          </cell>
          <cell r="I1441" t="str">
            <v>IS4</v>
          </cell>
          <cell r="J1441" t="str">
            <v>IS4 Spectrum &amp; Infrastructure Assurance</v>
          </cell>
          <cell r="K1441" t="str">
            <v>Navy</v>
          </cell>
          <cell r="L1441" t="str">
            <v>DOD</v>
          </cell>
          <cell r="M1441" t="str">
            <v>IN</v>
          </cell>
          <cell r="N1441" t="str">
            <v>CONUS</v>
          </cell>
          <cell r="O1441">
            <v>41317</v>
          </cell>
          <cell r="P1441">
            <v>43507</v>
          </cell>
          <cell r="Q1441" t="str">
            <v>Prime</v>
          </cell>
          <cell r="R1441" t="str">
            <v>CPIF</v>
          </cell>
          <cell r="S1441">
            <v>0</v>
          </cell>
          <cell r="T1441">
            <v>1</v>
          </cell>
          <cell r="U1441" t="str">
            <v>EBITA</v>
          </cell>
          <cell r="V1441" t="str">
            <v>Base</v>
          </cell>
          <cell r="W1441" t="str">
            <v>05 Won</v>
          </cell>
          <cell r="X1441" t="str">
            <v>Active</v>
          </cell>
          <cell r="Y1441">
            <v>1</v>
          </cell>
          <cell r="Z1441">
            <v>0</v>
          </cell>
          <cell r="AA1441">
            <v>1035340.7399999992</v>
          </cell>
          <cell r="AB1441">
            <v>0</v>
          </cell>
          <cell r="AC1441">
            <v>0</v>
          </cell>
          <cell r="AD1441">
            <v>1035340.7399999992</v>
          </cell>
          <cell r="AT1441">
            <v>3.8663936303057908E-2</v>
          </cell>
          <cell r="AU1441">
            <v>3.9793786963788137E-2</v>
          </cell>
          <cell r="AV1441">
            <v>3.4780486133788625E-2</v>
          </cell>
          <cell r="AW1441">
            <v>0.21724506517423697</v>
          </cell>
          <cell r="AX1441">
            <v>3.7747320062084228E-2</v>
          </cell>
          <cell r="AY1441">
            <v>3.7747320062084228E-2</v>
          </cell>
          <cell r="AZ1441">
            <v>3.7747320062084228E-2</v>
          </cell>
          <cell r="BA1441">
            <v>3.7747320062084228E-2</v>
          </cell>
          <cell r="BF1441">
            <v>93675.669999999984</v>
          </cell>
          <cell r="BG1441">
            <v>124050.88999999998</v>
          </cell>
          <cell r="BH1441">
            <v>121355.37000000024</v>
          </cell>
          <cell r="BI1441">
            <v>26.770000000000067</v>
          </cell>
          <cell r="BJ1441">
            <v>4397.46</v>
          </cell>
          <cell r="BK1441">
            <v>-2304.42</v>
          </cell>
          <cell r="BL1441">
            <v>0</v>
          </cell>
          <cell r="BM1441">
            <v>2119.8100000000004</v>
          </cell>
          <cell r="BN1441">
            <v>0</v>
          </cell>
          <cell r="BO1441">
            <v>0</v>
          </cell>
          <cell r="BP1441">
            <v>0</v>
          </cell>
          <cell r="BQ1441">
            <v>0</v>
          </cell>
          <cell r="BR1441">
            <v>2119.8100000000004</v>
          </cell>
          <cell r="BT1441">
            <v>0</v>
          </cell>
          <cell r="CA1441" t="str">
            <v>915C23 - EBITA - Base</v>
          </cell>
          <cell r="CC1441" t="str">
            <v>915C23 - EBITA - Base - IS4</v>
          </cell>
          <cell r="CD1441" t="str">
            <v/>
          </cell>
          <cell r="CF1441" t="str">
            <v>915C23 - Base - IS4</v>
          </cell>
        </row>
        <row r="1442">
          <cell r="D1442">
            <v>1428</v>
          </cell>
          <cell r="E1442">
            <v>0</v>
          </cell>
          <cell r="F1442">
            <v>0</v>
          </cell>
          <cell r="G1442" t="str">
            <v>915C23</v>
          </cell>
          <cell r="H1442" t="str">
            <v>915C23 EW Maritime</v>
          </cell>
          <cell r="I1442" t="str">
            <v>IS4</v>
          </cell>
          <cell r="J1442" t="str">
            <v>IS4 Spectrum &amp; Infrastructure Assurance</v>
          </cell>
          <cell r="K1442" t="str">
            <v>Navy</v>
          </cell>
          <cell r="L1442" t="str">
            <v>DOD</v>
          </cell>
          <cell r="M1442" t="str">
            <v>IN</v>
          </cell>
          <cell r="N1442" t="str">
            <v>CONUS</v>
          </cell>
          <cell r="O1442">
            <v>0</v>
          </cell>
          <cell r="P1442">
            <v>0</v>
          </cell>
          <cell r="Q1442">
            <v>0</v>
          </cell>
          <cell r="R1442" t="str">
            <v>CPIF</v>
          </cell>
          <cell r="S1442">
            <v>0</v>
          </cell>
          <cell r="T1442">
            <v>1</v>
          </cell>
          <cell r="U1442" t="str">
            <v>EBITA</v>
          </cell>
          <cell r="V1442" t="str">
            <v>Identified - Recompete</v>
          </cell>
          <cell r="W1442">
            <v>0</v>
          </cell>
          <cell r="X1442">
            <v>0</v>
          </cell>
          <cell r="Y1442">
            <v>0</v>
          </cell>
          <cell r="Z1442">
            <v>0</v>
          </cell>
          <cell r="AA1442">
            <v>0</v>
          </cell>
          <cell r="AB1442">
            <v>0</v>
          </cell>
          <cell r="AC1442">
            <v>0</v>
          </cell>
          <cell r="AD1442">
            <v>0</v>
          </cell>
          <cell r="AX1442">
            <v>0</v>
          </cell>
          <cell r="AY1442">
            <v>0</v>
          </cell>
          <cell r="AZ1442">
            <v>0</v>
          </cell>
          <cell r="BA1442">
            <v>0</v>
          </cell>
          <cell r="BI1442">
            <v>0</v>
          </cell>
          <cell r="BJ1442">
            <v>0</v>
          </cell>
          <cell r="BK1442">
            <v>0</v>
          </cell>
          <cell r="BL1442">
            <v>0</v>
          </cell>
          <cell r="BM1442">
            <v>0</v>
          </cell>
          <cell r="BN1442">
            <v>0</v>
          </cell>
          <cell r="BO1442">
            <v>0</v>
          </cell>
          <cell r="BP1442">
            <v>0</v>
          </cell>
          <cell r="BQ1442">
            <v>0</v>
          </cell>
          <cell r="BR1442">
            <v>0</v>
          </cell>
          <cell r="BT1442">
            <v>0</v>
          </cell>
          <cell r="CA1442" t="str">
            <v>915C23 - EBITA - Identified - Recompete</v>
          </cell>
          <cell r="CC1442" t="str">
            <v>915C23 - EBITA - Identified - Recompete - IS4</v>
          </cell>
          <cell r="CD1442" t="str">
            <v/>
          </cell>
          <cell r="CF1442" t="str">
            <v>915C23 - Identified - Recompete - IS4</v>
          </cell>
        </row>
        <row r="1443">
          <cell r="D1443">
            <v>1429</v>
          </cell>
          <cell r="E1443">
            <v>1</v>
          </cell>
          <cell r="F1443">
            <v>1</v>
          </cell>
          <cell r="G1443" t="str">
            <v>0G3010</v>
          </cell>
          <cell r="H1443" t="str">
            <v>GXP Mechanical Devices</v>
          </cell>
          <cell r="I1443" t="str">
            <v>IS4</v>
          </cell>
          <cell r="J1443" t="str">
            <v>IS4 Spectrum &amp; Infrastructure Assurance</v>
          </cell>
          <cell r="K1443" t="str">
            <v>Navy</v>
          </cell>
          <cell r="L1443" t="str">
            <v>DOD</v>
          </cell>
          <cell r="M1443" t="str">
            <v>IN</v>
          </cell>
          <cell r="N1443" t="str">
            <v>CONUS</v>
          </cell>
          <cell r="O1443">
            <v>42929</v>
          </cell>
          <cell r="P1443">
            <v>44754</v>
          </cell>
          <cell r="Q1443" t="str">
            <v>Prime</v>
          </cell>
          <cell r="R1443" t="str">
            <v>CPFF</v>
          </cell>
          <cell r="S1443">
            <v>0</v>
          </cell>
          <cell r="T1443">
            <v>1</v>
          </cell>
          <cell r="U1443" t="str">
            <v>REVTOT</v>
          </cell>
          <cell r="V1443" t="str">
            <v>Base</v>
          </cell>
          <cell r="W1443" t="str">
            <v>05 Won</v>
          </cell>
          <cell r="X1443" t="str">
            <v>Active</v>
          </cell>
          <cell r="Y1443">
            <v>1</v>
          </cell>
          <cell r="Z1443">
            <v>0</v>
          </cell>
          <cell r="AA1443">
            <v>7677481.2700000033</v>
          </cell>
          <cell r="AB1443">
            <v>26765877</v>
          </cell>
          <cell r="AC1443">
            <v>0</v>
          </cell>
          <cell r="AD1443">
            <v>34443358.270000003</v>
          </cell>
          <cell r="AE1443">
            <v>0</v>
          </cell>
          <cell r="AF1443">
            <v>34.60167406958773</v>
          </cell>
          <cell r="AG1443">
            <v>0.76282060045845856</v>
          </cell>
          <cell r="AH1443">
            <v>8.2481891336981139E-2</v>
          </cell>
          <cell r="AI1443">
            <v>0</v>
          </cell>
          <cell r="AJ1443">
            <v>0</v>
          </cell>
          <cell r="AK1443">
            <v>0</v>
          </cell>
          <cell r="BB1443">
            <v>16708690</v>
          </cell>
          <cell r="BC1443">
            <v>16708690</v>
          </cell>
          <cell r="BD1443">
            <v>16708690</v>
          </cell>
          <cell r="BE1443">
            <v>16708690</v>
          </cell>
          <cell r="BF1443">
            <v>0</v>
          </cell>
          <cell r="BG1443">
            <v>245947.96</v>
          </cell>
          <cell r="BH1443">
            <v>8756159.1099999994</v>
          </cell>
          <cell r="BI1443">
            <v>3158835.06</v>
          </cell>
          <cell r="BJ1443">
            <v>4000651.83</v>
          </cell>
          <cell r="BK1443">
            <v>4140630.77</v>
          </cell>
          <cell r="BL1443">
            <v>4135420</v>
          </cell>
          <cell r="BM1443">
            <v>15435537.66</v>
          </cell>
          <cell r="BN1443">
            <v>16708690</v>
          </cell>
          <cell r="BO1443">
            <v>16708690</v>
          </cell>
          <cell r="BP1443">
            <v>1025978.2700000033</v>
          </cell>
          <cell r="BQ1443">
            <v>0</v>
          </cell>
          <cell r="BR1443">
            <v>49878895.93</v>
          </cell>
          <cell r="BT1443">
            <v>0</v>
          </cell>
          <cell r="CA1443" t="str">
            <v>0G3010 - REVTOT - Base</v>
          </cell>
          <cell r="CC1443" t="str">
            <v>0G3010 - REVTOT - Base - IS4</v>
          </cell>
          <cell r="CD1443" t="str">
            <v/>
          </cell>
          <cell r="CF1443" t="str">
            <v>0G3010 - Base - IS4</v>
          </cell>
        </row>
        <row r="1444">
          <cell r="D1444">
            <v>1430</v>
          </cell>
          <cell r="E1444">
            <v>1</v>
          </cell>
          <cell r="F1444">
            <v>2</v>
          </cell>
          <cell r="G1444" t="str">
            <v>0G3010</v>
          </cell>
          <cell r="H1444" t="str">
            <v>GXP Mechanical Devices</v>
          </cell>
          <cell r="I1444" t="str">
            <v>IS4</v>
          </cell>
          <cell r="J1444" t="str">
            <v>IS4 Spectrum &amp; Infrastructure Assurance</v>
          </cell>
          <cell r="K1444" t="str">
            <v>Navy</v>
          </cell>
          <cell r="L1444" t="str">
            <v>DOD</v>
          </cell>
          <cell r="M1444" t="str">
            <v>IN</v>
          </cell>
          <cell r="N1444" t="str">
            <v>CONUS</v>
          </cell>
          <cell r="O1444">
            <v>44755</v>
          </cell>
          <cell r="P1444">
            <v>46581</v>
          </cell>
          <cell r="Q1444">
            <v>0</v>
          </cell>
          <cell r="R1444" t="str">
            <v>CPFF</v>
          </cell>
          <cell r="S1444">
            <v>0</v>
          </cell>
          <cell r="T1444">
            <v>1</v>
          </cell>
          <cell r="U1444" t="str">
            <v>REVTOT</v>
          </cell>
          <cell r="V1444" t="str">
            <v>Identified - Recompete</v>
          </cell>
          <cell r="W1444" t="str">
            <v>01 Prospect</v>
          </cell>
          <cell r="X1444" t="str">
            <v>Priority 1</v>
          </cell>
          <cell r="Y1444">
            <v>0.9</v>
          </cell>
          <cell r="Z1444">
            <v>55000000</v>
          </cell>
          <cell r="AA1444">
            <v>0</v>
          </cell>
          <cell r="AB1444">
            <v>0</v>
          </cell>
          <cell r="AC1444">
            <v>0</v>
          </cell>
          <cell r="AD1444">
            <v>0</v>
          </cell>
          <cell r="AI1444">
            <v>0</v>
          </cell>
          <cell r="AJ1444">
            <v>0</v>
          </cell>
          <cell r="AK1444">
            <v>0</v>
          </cell>
          <cell r="BB1444">
            <v>11000000</v>
          </cell>
          <cell r="BC1444">
            <v>11000000</v>
          </cell>
          <cell r="BD1444">
            <v>11000000</v>
          </cell>
          <cell r="BE1444">
            <v>11000000</v>
          </cell>
          <cell r="BI1444">
            <v>0</v>
          </cell>
          <cell r="BJ1444">
            <v>0</v>
          </cell>
          <cell r="BK1444">
            <v>0</v>
          </cell>
          <cell r="BL1444">
            <v>0</v>
          </cell>
          <cell r="BM1444">
            <v>0</v>
          </cell>
          <cell r="BN1444">
            <v>0</v>
          </cell>
          <cell r="BO1444">
            <v>0</v>
          </cell>
          <cell r="BP1444">
            <v>2117500</v>
          </cell>
          <cell r="BQ1444">
            <v>9900000</v>
          </cell>
          <cell r="BR1444">
            <v>12017500</v>
          </cell>
          <cell r="BT1444">
            <v>0</v>
          </cell>
          <cell r="CA1444" t="str">
            <v>0G3010 - REVTOT - Identified - Recompete</v>
          </cell>
          <cell r="CC1444" t="str">
            <v>0G3010 - REVTOT - Identified - Recompete - IS4</v>
          </cell>
          <cell r="CD1444" t="str">
            <v/>
          </cell>
          <cell r="CF1444" t="str">
            <v>0G3010 - Identified - Recompete - IS4</v>
          </cell>
        </row>
        <row r="1445">
          <cell r="D1445">
            <v>1431</v>
          </cell>
          <cell r="E1445">
            <v>2</v>
          </cell>
          <cell r="F1445">
            <v>3</v>
          </cell>
          <cell r="G1445" t="str">
            <v>0G3010</v>
          </cell>
          <cell r="H1445" t="str">
            <v>GXP Mechanical Devices</v>
          </cell>
          <cell r="I1445" t="str">
            <v>IS4</v>
          </cell>
          <cell r="J1445" t="str">
            <v>IS4 Spectrum &amp; Infrastructure Assurance</v>
          </cell>
          <cell r="K1445" t="str">
            <v>Navy</v>
          </cell>
          <cell r="L1445" t="str">
            <v>DOD</v>
          </cell>
          <cell r="M1445" t="str">
            <v>IN</v>
          </cell>
          <cell r="N1445" t="str">
            <v>CONUS</v>
          </cell>
          <cell r="O1445">
            <v>42929</v>
          </cell>
          <cell r="P1445">
            <v>44754</v>
          </cell>
          <cell r="Q1445" t="str">
            <v>Prime</v>
          </cell>
          <cell r="R1445" t="str">
            <v>CPFF</v>
          </cell>
          <cell r="S1445">
            <v>0</v>
          </cell>
          <cell r="T1445">
            <v>1</v>
          </cell>
          <cell r="U1445" t="str">
            <v>CONTRACT</v>
          </cell>
          <cell r="V1445" t="str">
            <v>Base</v>
          </cell>
          <cell r="W1445" t="str">
            <v>05 Won</v>
          </cell>
          <cell r="X1445" t="str">
            <v>Active</v>
          </cell>
          <cell r="Y1445">
            <v>1</v>
          </cell>
          <cell r="Z1445">
            <v>0</v>
          </cell>
          <cell r="AA1445">
            <v>7677481.2700000033</v>
          </cell>
          <cell r="AB1445">
            <v>26765877</v>
          </cell>
          <cell r="AC1445">
            <v>0</v>
          </cell>
          <cell r="AD1445">
            <v>34443358.270000003</v>
          </cell>
          <cell r="AL1445">
            <v>0</v>
          </cell>
          <cell r="AM1445">
            <v>0.17096104395417627</v>
          </cell>
          <cell r="AN1445">
            <v>0.14379937986302771</v>
          </cell>
          <cell r="AO1445">
            <v>0.12847630796425397</v>
          </cell>
          <cell r="AP1445">
            <v>0.13187114226190083</v>
          </cell>
          <cell r="AQ1445">
            <v>0.13187114226190083</v>
          </cell>
          <cell r="AR1445">
            <v>0.13187114226190083</v>
          </cell>
          <cell r="AS1445">
            <v>0.13187114226190083</v>
          </cell>
          <cell r="BF1445">
            <v>0</v>
          </cell>
          <cell r="BG1445">
            <v>42047.51999999999</v>
          </cell>
          <cell r="BH1445">
            <v>1259130.2500000005</v>
          </cell>
          <cell r="BI1445">
            <v>452372.1799999997</v>
          </cell>
          <cell r="BJ1445">
            <v>502149.4</v>
          </cell>
          <cell r="BK1445">
            <v>459511.26</v>
          </cell>
          <cell r="BL1445">
            <v>569068.05000000005</v>
          </cell>
          <cell r="BM1445">
            <v>1983100.89</v>
          </cell>
          <cell r="BN1445">
            <v>2203394.0359999998</v>
          </cell>
          <cell r="BO1445">
            <v>2203394.0359999998</v>
          </cell>
          <cell r="BP1445">
            <v>135296.92640078932</v>
          </cell>
          <cell r="BQ1445">
            <v>0</v>
          </cell>
          <cell r="BR1445">
            <v>6525185.8884007884</v>
          </cell>
          <cell r="BT1445">
            <v>0</v>
          </cell>
          <cell r="CA1445" t="str">
            <v>0G3010 - CONTRACT - Base</v>
          </cell>
          <cell r="CC1445" t="str">
            <v>0G3010 - CONTRACT - Base - IS4</v>
          </cell>
          <cell r="CD1445" t="str">
            <v/>
          </cell>
          <cell r="CF1445" t="str">
            <v>0G3010 - Base - IS4</v>
          </cell>
        </row>
        <row r="1446">
          <cell r="D1446">
            <v>1432</v>
          </cell>
          <cell r="E1446">
            <v>2</v>
          </cell>
          <cell r="F1446">
            <v>4</v>
          </cell>
          <cell r="G1446" t="str">
            <v>0G3010</v>
          </cell>
          <cell r="H1446" t="str">
            <v>GXP Mechanical Devices</v>
          </cell>
          <cell r="I1446" t="str">
            <v>IS4</v>
          </cell>
          <cell r="J1446" t="str">
            <v>IS4 Spectrum &amp; Infrastructure Assurance</v>
          </cell>
          <cell r="K1446" t="str">
            <v>Navy</v>
          </cell>
          <cell r="L1446" t="str">
            <v>DOD</v>
          </cell>
          <cell r="M1446" t="str">
            <v>IN</v>
          </cell>
          <cell r="N1446" t="str">
            <v>CONUS</v>
          </cell>
          <cell r="O1446">
            <v>44755</v>
          </cell>
          <cell r="P1446">
            <v>46581</v>
          </cell>
          <cell r="Q1446">
            <v>0</v>
          </cell>
          <cell r="R1446" t="str">
            <v>CPFF</v>
          </cell>
          <cell r="S1446">
            <v>0</v>
          </cell>
          <cell r="T1446">
            <v>1</v>
          </cell>
          <cell r="U1446" t="str">
            <v>CONTRACT</v>
          </cell>
          <cell r="V1446" t="str">
            <v>Identified - Recompete</v>
          </cell>
          <cell r="W1446" t="str">
            <v>01 Prospect</v>
          </cell>
          <cell r="X1446" t="str">
            <v>Priority 1</v>
          </cell>
          <cell r="Y1446">
            <v>0.9</v>
          </cell>
          <cell r="Z1446">
            <v>55000000</v>
          </cell>
          <cell r="AA1446">
            <v>0</v>
          </cell>
          <cell r="AB1446">
            <v>0</v>
          </cell>
          <cell r="AC1446">
            <v>0</v>
          </cell>
          <cell r="AD1446">
            <v>0</v>
          </cell>
          <cell r="AP1446">
            <v>0.13187114226190083</v>
          </cell>
          <cell r="AQ1446">
            <v>0.13187114226190083</v>
          </cell>
          <cell r="AR1446">
            <v>0.13187114226190083</v>
          </cell>
          <cell r="AS1446">
            <v>0.13187114226190083</v>
          </cell>
          <cell r="BI1446">
            <v>0</v>
          </cell>
          <cell r="BJ1446">
            <v>0</v>
          </cell>
          <cell r="BK1446">
            <v>0</v>
          </cell>
          <cell r="BL1446">
            <v>0</v>
          </cell>
          <cell r="BM1446">
            <v>0</v>
          </cell>
          <cell r="BN1446">
            <v>0</v>
          </cell>
          <cell r="BO1446">
            <v>0</v>
          </cell>
          <cell r="BP1446">
            <v>279237.143739575</v>
          </cell>
          <cell r="BQ1446">
            <v>1305524.3083928183</v>
          </cell>
          <cell r="BR1446">
            <v>1584761.4521323934</v>
          </cell>
          <cell r="BT1446">
            <v>0</v>
          </cell>
          <cell r="CA1446" t="str">
            <v>0G3010 - CONTRACT - Identified - Recompete</v>
          </cell>
          <cell r="CC1446" t="str">
            <v>0G3010 - CONTRACT - Identified - Recompete - IS4</v>
          </cell>
          <cell r="CD1446" t="str">
            <v/>
          </cell>
          <cell r="CF1446" t="str">
            <v>0G3010 - Identified - Recompete - IS4</v>
          </cell>
        </row>
        <row r="1447">
          <cell r="D1447">
            <v>1433</v>
          </cell>
          <cell r="E1447">
            <v>0</v>
          </cell>
          <cell r="F1447">
            <v>5</v>
          </cell>
          <cell r="G1447" t="str">
            <v>0G3010</v>
          </cell>
          <cell r="H1447" t="str">
            <v>GXP Mechanical Devices</v>
          </cell>
          <cell r="I1447" t="str">
            <v>IS4</v>
          </cell>
          <cell r="J1447" t="str">
            <v>IS4 Spectrum &amp; Infrastructure Assurance</v>
          </cell>
          <cell r="K1447" t="str">
            <v>Navy</v>
          </cell>
          <cell r="L1447" t="str">
            <v>DOD</v>
          </cell>
          <cell r="M1447" t="str">
            <v>IN</v>
          </cell>
          <cell r="N1447" t="str">
            <v>CONUS</v>
          </cell>
          <cell r="O1447">
            <v>42929</v>
          </cell>
          <cell r="P1447">
            <v>44754</v>
          </cell>
          <cell r="Q1447" t="str">
            <v>Prime</v>
          </cell>
          <cell r="R1447" t="str">
            <v>CPFF</v>
          </cell>
          <cell r="S1447">
            <v>0</v>
          </cell>
          <cell r="T1447">
            <v>1</v>
          </cell>
          <cell r="U1447" t="str">
            <v>EBITA</v>
          </cell>
          <cell r="V1447" t="str">
            <v>Base</v>
          </cell>
          <cell r="W1447" t="str">
            <v>05 Won</v>
          </cell>
          <cell r="X1447" t="str">
            <v>Active</v>
          </cell>
          <cell r="Y1447">
            <v>1</v>
          </cell>
          <cell r="Z1447">
            <v>0</v>
          </cell>
          <cell r="AA1447">
            <v>7677481.2700000033</v>
          </cell>
          <cell r="AB1447">
            <v>26765877</v>
          </cell>
          <cell r="AC1447">
            <v>0</v>
          </cell>
          <cell r="AD1447">
            <v>34443358.270000003</v>
          </cell>
          <cell r="AT1447">
            <v>0</v>
          </cell>
          <cell r="AU1447">
            <v>3.7793970724538606E-2</v>
          </cell>
          <cell r="AV1447">
            <v>3.2808129271191422E-2</v>
          </cell>
          <cell r="AW1447">
            <v>2.7526738579445102E-2</v>
          </cell>
          <cell r="AX1447">
            <v>3.1959680520100488E-2</v>
          </cell>
          <cell r="AY1447">
            <v>3.1959680520100488E-2</v>
          </cell>
          <cell r="AZ1447">
            <v>3.1959680520100488E-2</v>
          </cell>
          <cell r="BA1447">
            <v>3.1959680520100488E-2</v>
          </cell>
          <cell r="BF1447">
            <v>0</v>
          </cell>
          <cell r="BG1447">
            <v>9295.3499999999913</v>
          </cell>
          <cell r="BH1447">
            <v>287273.20000000042</v>
          </cell>
          <cell r="BI1447">
            <v>105888.45999999969</v>
          </cell>
          <cell r="BJ1447">
            <v>122264.31000000003</v>
          </cell>
          <cell r="BK1447">
            <v>46531.189999999973</v>
          </cell>
          <cell r="BL1447">
            <v>150206.05000000005</v>
          </cell>
          <cell r="BM1447">
            <v>424890.00999999978</v>
          </cell>
          <cell r="BN1447">
            <v>534004.39430939779</v>
          </cell>
          <cell r="BO1447">
            <v>534004.39430939779</v>
          </cell>
          <cell r="BP1447">
            <v>32789.937729765501</v>
          </cell>
          <cell r="BQ1447">
            <v>0</v>
          </cell>
          <cell r="BR1447">
            <v>1525688.7363485608</v>
          </cell>
          <cell r="BT1447">
            <v>0</v>
          </cell>
          <cell r="CA1447" t="str">
            <v>0G3010 - EBITA - Base</v>
          </cell>
          <cell r="CC1447" t="str">
            <v>0G3010 - EBITA - Base - IS4</v>
          </cell>
          <cell r="CD1447" t="str">
            <v/>
          </cell>
          <cell r="CF1447" t="str">
            <v>0G3010 - Base - IS4</v>
          </cell>
        </row>
        <row r="1448">
          <cell r="D1448">
            <v>1434</v>
          </cell>
          <cell r="E1448">
            <v>0</v>
          </cell>
          <cell r="F1448">
            <v>0</v>
          </cell>
          <cell r="G1448" t="str">
            <v>0G3010</v>
          </cell>
          <cell r="H1448" t="str">
            <v>GXP Mechanical Devices</v>
          </cell>
          <cell r="I1448" t="str">
            <v>IS4</v>
          </cell>
          <cell r="J1448" t="str">
            <v>IS4 Spectrum &amp; Infrastructure Assurance</v>
          </cell>
          <cell r="K1448" t="str">
            <v>Navy</v>
          </cell>
          <cell r="L1448" t="str">
            <v>DOD</v>
          </cell>
          <cell r="M1448" t="str">
            <v>IN</v>
          </cell>
          <cell r="N1448" t="str">
            <v>CONUS</v>
          </cell>
          <cell r="O1448">
            <v>44755</v>
          </cell>
          <cell r="P1448">
            <v>46581</v>
          </cell>
          <cell r="Q1448">
            <v>0</v>
          </cell>
          <cell r="R1448" t="str">
            <v>CPFF</v>
          </cell>
          <cell r="S1448">
            <v>0</v>
          </cell>
          <cell r="T1448">
            <v>1</v>
          </cell>
          <cell r="U1448" t="str">
            <v>EBITA</v>
          </cell>
          <cell r="V1448" t="str">
            <v>Identified - Recompete</v>
          </cell>
          <cell r="W1448" t="str">
            <v>01 Prospect</v>
          </cell>
          <cell r="X1448" t="str">
            <v>Priority 1</v>
          </cell>
          <cell r="Y1448">
            <v>0.9</v>
          </cell>
          <cell r="Z1448">
            <v>55000000</v>
          </cell>
          <cell r="AA1448">
            <v>0</v>
          </cell>
          <cell r="AB1448">
            <v>0</v>
          </cell>
          <cell r="AC1448">
            <v>0</v>
          </cell>
          <cell r="AD1448">
            <v>0</v>
          </cell>
          <cell r="AX1448">
            <v>3.1959680520100488E-2</v>
          </cell>
          <cell r="AY1448">
            <v>3.1959680520100488E-2</v>
          </cell>
          <cell r="AZ1448">
            <v>3.1959680520100488E-2</v>
          </cell>
          <cell r="BA1448">
            <v>3.1959680520100488E-2</v>
          </cell>
          <cell r="BI1448">
            <v>0</v>
          </cell>
          <cell r="BJ1448">
            <v>0</v>
          </cell>
          <cell r="BK1448">
            <v>0</v>
          </cell>
          <cell r="BL1448">
            <v>0</v>
          </cell>
          <cell r="BM1448">
            <v>0</v>
          </cell>
          <cell r="BN1448">
            <v>0</v>
          </cell>
          <cell r="BO1448">
            <v>0</v>
          </cell>
          <cell r="BP1448">
            <v>67674.623501312788</v>
          </cell>
          <cell r="BQ1448">
            <v>316400.83714899485</v>
          </cell>
          <cell r="BR1448">
            <v>384075.46065030765</v>
          </cell>
          <cell r="BT1448">
            <v>0</v>
          </cell>
          <cell r="CA1448" t="str">
            <v>0G3010 - EBITA - Identified - Recompete</v>
          </cell>
          <cell r="CC1448" t="str">
            <v>0G3010 - EBITA - Identified - Recompete - IS4</v>
          </cell>
          <cell r="CD1448" t="str">
            <v/>
          </cell>
          <cell r="CF1448" t="str">
            <v>0G3010 - Identified - Recompete - IS4</v>
          </cell>
        </row>
        <row r="1449">
          <cell r="D1449">
            <v>1435</v>
          </cell>
          <cell r="E1449">
            <v>1</v>
          </cell>
          <cell r="F1449">
            <v>1</v>
          </cell>
          <cell r="G1449" t="str">
            <v>003283</v>
          </cell>
          <cell r="H1449" t="str">
            <v>NMSC Spectrum Mgmt</v>
          </cell>
          <cell r="I1449" t="str">
            <v>IS4</v>
          </cell>
          <cell r="J1449" t="str">
            <v>IS4 Spectrum &amp; Infrastructure Assurance</v>
          </cell>
          <cell r="K1449" t="str">
            <v>Navy</v>
          </cell>
          <cell r="L1449" t="str">
            <v>DOD</v>
          </cell>
          <cell r="M1449" t="str">
            <v>MD</v>
          </cell>
          <cell r="N1449" t="str">
            <v>CONUS</v>
          </cell>
          <cell r="O1449">
            <v>42828</v>
          </cell>
          <cell r="P1449">
            <v>44653</v>
          </cell>
          <cell r="Q1449" t="str">
            <v>Prime</v>
          </cell>
          <cell r="R1449" t="str">
            <v>CPFF</v>
          </cell>
          <cell r="S1449">
            <v>0</v>
          </cell>
          <cell r="T1449">
            <v>1</v>
          </cell>
          <cell r="U1449" t="str">
            <v>REVTOT</v>
          </cell>
          <cell r="V1449" t="str">
            <v>Base</v>
          </cell>
          <cell r="W1449" t="str">
            <v>05 Won</v>
          </cell>
          <cell r="X1449" t="str">
            <v>Active</v>
          </cell>
          <cell r="Y1449">
            <v>1</v>
          </cell>
          <cell r="Z1449">
            <v>0</v>
          </cell>
          <cell r="AA1449">
            <v>14563229.119999995</v>
          </cell>
          <cell r="AB1449">
            <v>0</v>
          </cell>
          <cell r="AC1449">
            <v>0</v>
          </cell>
          <cell r="AD1449">
            <v>14563229.119999995</v>
          </cell>
          <cell r="AE1449">
            <v>0</v>
          </cell>
          <cell r="AF1449">
            <v>12.986301439760807</v>
          </cell>
          <cell r="AG1449">
            <v>0.46053973327137232</v>
          </cell>
          <cell r="AH1449">
            <v>0.24767052793326694</v>
          </cell>
          <cell r="AI1449">
            <v>0</v>
          </cell>
          <cell r="AJ1449">
            <v>0</v>
          </cell>
          <cell r="AK1449">
            <v>0</v>
          </cell>
          <cell r="BB1449">
            <v>13636172.699999999</v>
          </cell>
          <cell r="BC1449">
            <v>13636172.699999999</v>
          </cell>
          <cell r="BD1449">
            <v>13636172.699999999</v>
          </cell>
          <cell r="BE1449">
            <v>13636172.699999999</v>
          </cell>
          <cell r="BF1449">
            <v>0</v>
          </cell>
          <cell r="BG1449">
            <v>535027.76</v>
          </cell>
          <cell r="BH1449">
            <v>7483059.5299999993</v>
          </cell>
          <cell r="BI1449">
            <v>2407983.62</v>
          </cell>
          <cell r="BJ1449">
            <v>2619695.44</v>
          </cell>
          <cell r="BK1449">
            <v>2815270.86</v>
          </cell>
          <cell r="BL1449">
            <v>3086355.85</v>
          </cell>
          <cell r="BM1449">
            <v>10929305.77</v>
          </cell>
          <cell r="BN1449">
            <v>13636172.699999999</v>
          </cell>
          <cell r="BO1449">
            <v>927056.4199999962</v>
          </cell>
          <cell r="BP1449">
            <v>0</v>
          </cell>
          <cell r="BQ1449">
            <v>0</v>
          </cell>
          <cell r="BR1449">
            <v>25492534.889999993</v>
          </cell>
          <cell r="BT1449">
            <v>0</v>
          </cell>
          <cell r="CA1449" t="str">
            <v>003283 - REVTOT - Base</v>
          </cell>
          <cell r="CC1449" t="str">
            <v>003283 - REVTOT - Base - IS4</v>
          </cell>
          <cell r="CD1449" t="str">
            <v/>
          </cell>
          <cell r="CF1449" t="str">
            <v>003283 - Base - IS4</v>
          </cell>
        </row>
        <row r="1450">
          <cell r="D1450">
            <v>1436</v>
          </cell>
          <cell r="E1450">
            <v>1</v>
          </cell>
          <cell r="F1450">
            <v>2</v>
          </cell>
          <cell r="G1450" t="str">
            <v>003283</v>
          </cell>
          <cell r="H1450" t="str">
            <v>NMSC Spectrum Mgmt</v>
          </cell>
          <cell r="I1450" t="str">
            <v>IS4</v>
          </cell>
          <cell r="J1450" t="str">
            <v>IS4 Spectrum &amp; Infrastructure Assurance</v>
          </cell>
          <cell r="K1450" t="str">
            <v>Navy</v>
          </cell>
          <cell r="L1450" t="str">
            <v>DOD</v>
          </cell>
          <cell r="M1450" t="str">
            <v>MD</v>
          </cell>
          <cell r="N1450" t="str">
            <v>CONUS</v>
          </cell>
          <cell r="O1450">
            <v>44654</v>
          </cell>
          <cell r="P1450">
            <v>46479</v>
          </cell>
          <cell r="Q1450" t="str">
            <v>Prime</v>
          </cell>
          <cell r="R1450" t="str">
            <v>CPFF</v>
          </cell>
          <cell r="S1450">
            <v>0</v>
          </cell>
          <cell r="T1450">
            <v>1</v>
          </cell>
          <cell r="U1450" t="str">
            <v>REVTOT</v>
          </cell>
          <cell r="V1450" t="str">
            <v>Identified - Recompete</v>
          </cell>
          <cell r="W1450" t="str">
            <v>01 Prospect</v>
          </cell>
          <cell r="X1450" t="str">
            <v>Priority 1</v>
          </cell>
          <cell r="Y1450">
            <v>0.5</v>
          </cell>
          <cell r="Z1450">
            <v>68000000</v>
          </cell>
          <cell r="AA1450">
            <v>0</v>
          </cell>
          <cell r="AB1450">
            <v>0</v>
          </cell>
          <cell r="AC1450">
            <v>0</v>
          </cell>
          <cell r="AD1450">
            <v>0</v>
          </cell>
          <cell r="AI1450">
            <v>0</v>
          </cell>
          <cell r="AJ1450">
            <v>0</v>
          </cell>
          <cell r="AK1450">
            <v>0</v>
          </cell>
          <cell r="BB1450">
            <v>13636172.699999999</v>
          </cell>
          <cell r="BC1450">
            <v>13636172.699999999</v>
          </cell>
          <cell r="BD1450">
            <v>13636172.699999999</v>
          </cell>
          <cell r="BE1450">
            <v>13636172.699999999</v>
          </cell>
          <cell r="BI1450">
            <v>0</v>
          </cell>
          <cell r="BJ1450">
            <v>0</v>
          </cell>
          <cell r="BK1450">
            <v>0</v>
          </cell>
          <cell r="BL1450">
            <v>0</v>
          </cell>
          <cell r="BM1450">
            <v>0</v>
          </cell>
          <cell r="BN1450">
            <v>0</v>
          </cell>
          <cell r="BO1450">
            <v>0</v>
          </cell>
          <cell r="BP1450">
            <v>3352225.7887499998</v>
          </cell>
          <cell r="BQ1450">
            <v>6818086.3499999996</v>
          </cell>
          <cell r="BR1450">
            <v>10170312.13875</v>
          </cell>
          <cell r="BT1450">
            <v>0</v>
          </cell>
          <cell r="CA1450" t="str">
            <v>003283 - REVTOT - Identified - Recompete</v>
          </cell>
          <cell r="CC1450" t="str">
            <v>003283 - REVTOT - Identified - Recompete - IS4</v>
          </cell>
          <cell r="CD1450" t="str">
            <v/>
          </cell>
          <cell r="CF1450" t="str">
            <v>003283 - Identified - Recompete - IS4</v>
          </cell>
        </row>
        <row r="1451">
          <cell r="D1451">
            <v>1437</v>
          </cell>
          <cell r="E1451">
            <v>2</v>
          </cell>
          <cell r="F1451">
            <v>3</v>
          </cell>
          <cell r="G1451" t="str">
            <v>003283</v>
          </cell>
          <cell r="H1451" t="str">
            <v>NMSC Spectrum Mgmt</v>
          </cell>
          <cell r="I1451" t="str">
            <v>IS4</v>
          </cell>
          <cell r="J1451" t="str">
            <v>IS4 Spectrum &amp; Infrastructure Assurance</v>
          </cell>
          <cell r="K1451" t="str">
            <v>Navy</v>
          </cell>
          <cell r="L1451" t="str">
            <v>DOD</v>
          </cell>
          <cell r="M1451" t="str">
            <v>MD</v>
          </cell>
          <cell r="N1451" t="str">
            <v>CONUS</v>
          </cell>
          <cell r="O1451">
            <v>42828</v>
          </cell>
          <cell r="P1451">
            <v>44653</v>
          </cell>
          <cell r="Q1451" t="str">
            <v>Prime</v>
          </cell>
          <cell r="R1451" t="str">
            <v>CPFF</v>
          </cell>
          <cell r="S1451">
            <v>0</v>
          </cell>
          <cell r="T1451">
            <v>1</v>
          </cell>
          <cell r="U1451" t="str">
            <v>CONTRACT</v>
          </cell>
          <cell r="V1451" t="str">
            <v>Base</v>
          </cell>
          <cell r="W1451" t="str">
            <v>05 Won</v>
          </cell>
          <cell r="X1451" t="str">
            <v>Active</v>
          </cell>
          <cell r="Y1451">
            <v>1</v>
          </cell>
          <cell r="Z1451">
            <v>0</v>
          </cell>
          <cell r="AA1451">
            <v>14563229.119999995</v>
          </cell>
          <cell r="AB1451">
            <v>0</v>
          </cell>
          <cell r="AC1451">
            <v>0</v>
          </cell>
          <cell r="AD1451">
            <v>14563229.119999995</v>
          </cell>
          <cell r="AL1451">
            <v>0</v>
          </cell>
          <cell r="AM1451">
            <v>0.13662063067531313</v>
          </cell>
          <cell r="AN1451">
            <v>0.13728227550262451</v>
          </cell>
          <cell r="AO1451">
            <v>0.13935196819001613</v>
          </cell>
          <cell r="AP1451">
            <v>0.14800813976977326</v>
          </cell>
          <cell r="AQ1451">
            <v>0.14800813976977326</v>
          </cell>
          <cell r="AR1451">
            <v>0.14800813976977326</v>
          </cell>
          <cell r="AS1451">
            <v>0.14800813976977326</v>
          </cell>
          <cell r="BF1451">
            <v>0</v>
          </cell>
          <cell r="BG1451">
            <v>73095.830000000075</v>
          </cell>
          <cell r="BH1451">
            <v>1027291.4399999997</v>
          </cell>
          <cell r="BI1451">
            <v>333716.39</v>
          </cell>
          <cell r="BJ1451">
            <v>365207.58999999997</v>
          </cell>
          <cell r="BK1451">
            <v>389648.47</v>
          </cell>
          <cell r="BL1451">
            <v>434447.81999999983</v>
          </cell>
          <cell r="BM1451">
            <v>1523020.2699999998</v>
          </cell>
          <cell r="BN1451">
            <v>2018264.5549063662</v>
          </cell>
          <cell r="BO1451">
            <v>137211.89618582505</v>
          </cell>
          <cell r="BP1451">
            <v>0</v>
          </cell>
          <cell r="BQ1451">
            <v>0</v>
          </cell>
          <cell r="BR1451">
            <v>3678496.7210921911</v>
          </cell>
          <cell r="BT1451">
            <v>0</v>
          </cell>
          <cell r="CA1451" t="str">
            <v>003283 - CONTRACT - Base</v>
          </cell>
          <cell r="CC1451" t="str">
            <v>003283 - CONTRACT - Base - IS4</v>
          </cell>
          <cell r="CD1451" t="str">
            <v/>
          </cell>
          <cell r="CF1451" t="str">
            <v>003283 - Base - IS4</v>
          </cell>
        </row>
        <row r="1452">
          <cell r="D1452">
            <v>1438</v>
          </cell>
          <cell r="E1452">
            <v>2</v>
          </cell>
          <cell r="F1452">
            <v>4</v>
          </cell>
          <cell r="G1452" t="str">
            <v>003283</v>
          </cell>
          <cell r="H1452" t="str">
            <v>NMSC Spectrum Mgmt</v>
          </cell>
          <cell r="I1452" t="str">
            <v>IS4</v>
          </cell>
          <cell r="J1452" t="str">
            <v>IS4 Spectrum &amp; Infrastructure Assurance</v>
          </cell>
          <cell r="K1452" t="str">
            <v>Navy</v>
          </cell>
          <cell r="L1452" t="str">
            <v>DOD</v>
          </cell>
          <cell r="M1452" t="str">
            <v>MD</v>
          </cell>
          <cell r="N1452" t="str">
            <v>CONUS</v>
          </cell>
          <cell r="O1452">
            <v>44654</v>
          </cell>
          <cell r="P1452">
            <v>46479</v>
          </cell>
          <cell r="Q1452" t="str">
            <v>Prime</v>
          </cell>
          <cell r="R1452" t="str">
            <v>CPFF</v>
          </cell>
          <cell r="S1452">
            <v>0</v>
          </cell>
          <cell r="T1452">
            <v>1</v>
          </cell>
          <cell r="U1452" t="str">
            <v>CONTRACT</v>
          </cell>
          <cell r="V1452" t="str">
            <v>Identified - Recompete</v>
          </cell>
          <cell r="W1452" t="str">
            <v>01 Prospect</v>
          </cell>
          <cell r="X1452" t="str">
            <v>Priority 1</v>
          </cell>
          <cell r="Y1452">
            <v>0.5</v>
          </cell>
          <cell r="Z1452">
            <v>68000000</v>
          </cell>
          <cell r="AA1452">
            <v>0</v>
          </cell>
          <cell r="AB1452">
            <v>0</v>
          </cell>
          <cell r="AC1452">
            <v>0</v>
          </cell>
          <cell r="AD1452">
            <v>0</v>
          </cell>
          <cell r="AP1452">
            <v>0.14800813976977326</v>
          </cell>
          <cell r="AQ1452">
            <v>0.14800813976977326</v>
          </cell>
          <cell r="AR1452">
            <v>0.14800813976977326</v>
          </cell>
          <cell r="AS1452">
            <v>0.14800813976977326</v>
          </cell>
          <cell r="BI1452">
            <v>0</v>
          </cell>
          <cell r="BJ1452">
            <v>0</v>
          </cell>
          <cell r="BK1452">
            <v>0</v>
          </cell>
          <cell r="BL1452">
            <v>0</v>
          </cell>
          <cell r="BM1452">
            <v>0</v>
          </cell>
          <cell r="BN1452">
            <v>0</v>
          </cell>
          <cell r="BO1452">
            <v>0</v>
          </cell>
          <cell r="BP1452">
            <v>496156.70308114839</v>
          </cell>
          <cell r="BQ1452">
            <v>1009132.2774531831</v>
          </cell>
          <cell r="BR1452">
            <v>1505288.9805343314</v>
          </cell>
          <cell r="BT1452">
            <v>0</v>
          </cell>
          <cell r="CA1452" t="str">
            <v>003283 - CONTRACT - Identified - Recompete</v>
          </cell>
          <cell r="CC1452" t="str">
            <v>003283 - CONTRACT - Identified - Recompete - IS4</v>
          </cell>
          <cell r="CD1452" t="str">
            <v/>
          </cell>
          <cell r="CF1452" t="str">
            <v>003283 - Identified - Recompete - IS4</v>
          </cell>
        </row>
        <row r="1453">
          <cell r="D1453">
            <v>1439</v>
          </cell>
          <cell r="E1453">
            <v>0</v>
          </cell>
          <cell r="F1453">
            <v>5</v>
          </cell>
          <cell r="G1453" t="str">
            <v>003283</v>
          </cell>
          <cell r="H1453" t="str">
            <v>NMSC Spectrum Mgmt</v>
          </cell>
          <cell r="I1453" t="str">
            <v>IS4</v>
          </cell>
          <cell r="J1453" t="str">
            <v>IS4 Spectrum &amp; Infrastructure Assurance</v>
          </cell>
          <cell r="K1453" t="str">
            <v>Navy</v>
          </cell>
          <cell r="L1453" t="str">
            <v>DOD</v>
          </cell>
          <cell r="M1453" t="str">
            <v>MD</v>
          </cell>
          <cell r="N1453" t="str">
            <v>CONUS</v>
          </cell>
          <cell r="O1453">
            <v>42828</v>
          </cell>
          <cell r="P1453">
            <v>44653</v>
          </cell>
          <cell r="Q1453" t="str">
            <v>Prime</v>
          </cell>
          <cell r="R1453" t="str">
            <v>CPFF</v>
          </cell>
          <cell r="S1453">
            <v>0</v>
          </cell>
          <cell r="T1453">
            <v>1</v>
          </cell>
          <cell r="U1453" t="str">
            <v>EBITA</v>
          </cell>
          <cell r="V1453" t="str">
            <v>Base</v>
          </cell>
          <cell r="W1453" t="str">
            <v>05 Won</v>
          </cell>
          <cell r="X1453" t="str">
            <v>Active</v>
          </cell>
          <cell r="Y1453">
            <v>1</v>
          </cell>
          <cell r="Z1453">
            <v>0</v>
          </cell>
          <cell r="AA1453">
            <v>14563229.119999995</v>
          </cell>
          <cell r="AB1453">
            <v>0</v>
          </cell>
          <cell r="AC1453">
            <v>0</v>
          </cell>
          <cell r="AD1453">
            <v>14563229.119999995</v>
          </cell>
          <cell r="AT1453">
            <v>0</v>
          </cell>
          <cell r="AU1453">
            <v>2.3605747111140694E-2</v>
          </cell>
          <cell r="AV1453">
            <v>3.1927272400036594E-2</v>
          </cell>
          <cell r="AW1453">
            <v>3.1304633359159811E-2</v>
          </cell>
          <cell r="AX1453">
            <v>3.9666920619798755E-2</v>
          </cell>
          <cell r="AY1453">
            <v>3.9666920619798755E-2</v>
          </cell>
          <cell r="AZ1453">
            <v>3.9666920619798755E-2</v>
          </cell>
          <cell r="BA1453">
            <v>3.9666920619798755E-2</v>
          </cell>
          <cell r="BF1453">
            <v>0</v>
          </cell>
          <cell r="BG1453">
            <v>12629.730000000076</v>
          </cell>
          <cell r="BH1453">
            <v>238913.67999999979</v>
          </cell>
          <cell r="BI1453">
            <v>73653.260000000038</v>
          </cell>
          <cell r="BJ1453">
            <v>84626.959999999977</v>
          </cell>
          <cell r="BK1453">
            <v>87025.459999999963</v>
          </cell>
          <cell r="BL1453">
            <v>96832.229999999821</v>
          </cell>
          <cell r="BM1453">
            <v>342137.9099999998</v>
          </cell>
          <cell r="BN1453">
            <v>540904.98004876683</v>
          </cell>
          <cell r="BO1453">
            <v>36773.473422214665</v>
          </cell>
          <cell r="BP1453">
            <v>0</v>
          </cell>
          <cell r="BQ1453">
            <v>0</v>
          </cell>
          <cell r="BR1453">
            <v>919816.36347098125</v>
          </cell>
          <cell r="BT1453">
            <v>0</v>
          </cell>
          <cell r="CA1453" t="str">
            <v>003283 - EBITA - Base</v>
          </cell>
          <cell r="CC1453" t="str">
            <v>003283 - EBITA - Base - IS4</v>
          </cell>
          <cell r="CD1453" t="str">
            <v/>
          </cell>
          <cell r="CF1453" t="str">
            <v>003283 - Base - IS4</v>
          </cell>
        </row>
        <row r="1454">
          <cell r="D1454">
            <v>1440</v>
          </cell>
          <cell r="E1454">
            <v>0</v>
          </cell>
          <cell r="F1454">
            <v>0</v>
          </cell>
          <cell r="G1454" t="str">
            <v>003283</v>
          </cell>
          <cell r="H1454" t="str">
            <v>NMSC Spectrum Mgmt</v>
          </cell>
          <cell r="I1454" t="str">
            <v>IS4</v>
          </cell>
          <cell r="J1454" t="str">
            <v>IS4 Spectrum &amp; Infrastructure Assurance</v>
          </cell>
          <cell r="K1454" t="str">
            <v>Navy</v>
          </cell>
          <cell r="L1454" t="str">
            <v>DOD</v>
          </cell>
          <cell r="M1454" t="str">
            <v>MD</v>
          </cell>
          <cell r="N1454" t="str">
            <v>CONUS</v>
          </cell>
          <cell r="O1454">
            <v>44654</v>
          </cell>
          <cell r="P1454">
            <v>46479</v>
          </cell>
          <cell r="Q1454" t="str">
            <v>Prime</v>
          </cell>
          <cell r="R1454" t="str">
            <v>CPFF</v>
          </cell>
          <cell r="S1454">
            <v>0</v>
          </cell>
          <cell r="T1454">
            <v>1</v>
          </cell>
          <cell r="U1454" t="str">
            <v>EBITA</v>
          </cell>
          <cell r="V1454" t="str">
            <v>Identified - Recompete</v>
          </cell>
          <cell r="W1454" t="str">
            <v>01 Prospect</v>
          </cell>
          <cell r="X1454" t="str">
            <v>Priority 1</v>
          </cell>
          <cell r="Y1454">
            <v>0.5</v>
          </cell>
          <cell r="Z1454">
            <v>68000000</v>
          </cell>
          <cell r="AA1454">
            <v>0</v>
          </cell>
          <cell r="AB1454">
            <v>0</v>
          </cell>
          <cell r="AC1454">
            <v>0</v>
          </cell>
          <cell r="AD1454">
            <v>0</v>
          </cell>
          <cell r="AX1454">
            <v>3.9666920619798755E-2</v>
          </cell>
          <cell r="AY1454">
            <v>3.9666920619798755E-2</v>
          </cell>
          <cell r="AZ1454">
            <v>3.9666920619798755E-2</v>
          </cell>
          <cell r="BA1454">
            <v>3.9666920619798755E-2</v>
          </cell>
          <cell r="BI1454">
            <v>0</v>
          </cell>
          <cell r="BJ1454">
            <v>0</v>
          </cell>
          <cell r="BK1454">
            <v>0</v>
          </cell>
          <cell r="BL1454">
            <v>0</v>
          </cell>
          <cell r="BM1454">
            <v>0</v>
          </cell>
          <cell r="BN1454">
            <v>0</v>
          </cell>
          <cell r="BO1454">
            <v>0</v>
          </cell>
          <cell r="BP1454">
            <v>132972.47426198851</v>
          </cell>
          <cell r="BQ1454">
            <v>270452.49002438341</v>
          </cell>
          <cell r="BR1454">
            <v>403424.96428637195</v>
          </cell>
          <cell r="BT1454">
            <v>0</v>
          </cell>
          <cell r="CA1454" t="str">
            <v>003283 - EBITA - Identified - Recompete</v>
          </cell>
          <cell r="CC1454" t="str">
            <v>003283 - EBITA - Identified - Recompete - IS4</v>
          </cell>
          <cell r="CD1454" t="str">
            <v/>
          </cell>
          <cell r="CF1454" t="str">
            <v>003283 - Identified - Recompete - IS4</v>
          </cell>
        </row>
        <row r="1455">
          <cell r="D1455">
            <v>1441</v>
          </cell>
          <cell r="E1455">
            <v>1</v>
          </cell>
          <cell r="F1455">
            <v>1</v>
          </cell>
          <cell r="G1455" t="str">
            <v>PMA263</v>
          </cell>
          <cell r="H1455" t="str">
            <v>DS TAT PMA263</v>
          </cell>
          <cell r="I1455" t="str">
            <v>IS4</v>
          </cell>
          <cell r="J1455" t="str">
            <v>IS4 Spectrum &amp; Infrastructure Assurance</v>
          </cell>
          <cell r="K1455" t="str">
            <v>Air Force</v>
          </cell>
          <cell r="L1455" t="str">
            <v>DOD</v>
          </cell>
          <cell r="M1455" t="str">
            <v>MD</v>
          </cell>
          <cell r="N1455" t="str">
            <v>CONUS</v>
          </cell>
          <cell r="O1455">
            <v>42344</v>
          </cell>
          <cell r="P1455">
            <v>44180</v>
          </cell>
          <cell r="Q1455" t="str">
            <v>Prime</v>
          </cell>
          <cell r="R1455" t="str">
            <v>CPFF</v>
          </cell>
          <cell r="S1455">
            <v>0</v>
          </cell>
          <cell r="T1455">
            <v>1</v>
          </cell>
          <cell r="U1455" t="str">
            <v>REVTOT</v>
          </cell>
          <cell r="V1455" t="str">
            <v>Base</v>
          </cell>
          <cell r="W1455" t="str">
            <v>05 Won</v>
          </cell>
          <cell r="X1455" t="str">
            <v>Active</v>
          </cell>
          <cell r="Y1455">
            <v>1</v>
          </cell>
          <cell r="Z1455">
            <v>0</v>
          </cell>
          <cell r="AA1455">
            <v>11662382.109500011</v>
          </cell>
          <cell r="AB1455">
            <v>0</v>
          </cell>
          <cell r="AC1455">
            <v>0</v>
          </cell>
          <cell r="AD1455">
            <v>11662382.109500011</v>
          </cell>
          <cell r="AE1455">
            <v>0.97620110354453948</v>
          </cell>
          <cell r="AF1455">
            <v>0.15756788081078588</v>
          </cell>
          <cell r="AG1455">
            <v>2.3913211678238344E-2</v>
          </cell>
          <cell r="AH1455">
            <v>6.2690245137974498E-2</v>
          </cell>
          <cell r="AI1455">
            <v>0</v>
          </cell>
          <cell r="AJ1455">
            <v>0</v>
          </cell>
          <cell r="AK1455">
            <v>0</v>
          </cell>
          <cell r="BB1455">
            <v>12865487.796</v>
          </cell>
          <cell r="BC1455">
            <v>12865487.796</v>
          </cell>
          <cell r="BD1455">
            <v>12865487.796</v>
          </cell>
          <cell r="BE1455">
            <v>12865487.796</v>
          </cell>
          <cell r="BF1455">
            <v>4685326.07</v>
          </cell>
          <cell r="BG1455">
            <v>9259146.5500000007</v>
          </cell>
          <cell r="BH1455">
            <v>10718090.65</v>
          </cell>
          <cell r="BI1455">
            <v>2910449.7800000003</v>
          </cell>
          <cell r="BJ1455">
            <v>3150961</v>
          </cell>
          <cell r="BK1455">
            <v>2460839.7400000002</v>
          </cell>
          <cell r="BL1455">
            <v>2452144.1004999997</v>
          </cell>
          <cell r="BM1455">
            <v>10974394.620499998</v>
          </cell>
          <cell r="BN1455">
            <v>11662382.109500011</v>
          </cell>
          <cell r="BO1455">
            <v>0</v>
          </cell>
          <cell r="BP1455">
            <v>0</v>
          </cell>
          <cell r="BQ1455">
            <v>0</v>
          </cell>
          <cell r="BR1455">
            <v>22636776.730000012</v>
          </cell>
          <cell r="BT1455">
            <v>0</v>
          </cell>
          <cell r="CA1455" t="str">
            <v>PMA263 - REVTOT - Base</v>
          </cell>
          <cell r="CC1455" t="str">
            <v>PMA263 - REVTOT - Base - IS4</v>
          </cell>
          <cell r="CD1455" t="str">
            <v/>
          </cell>
          <cell r="CF1455" t="str">
            <v>PMA263 - Base - IS4</v>
          </cell>
        </row>
        <row r="1456">
          <cell r="D1456">
            <v>1442</v>
          </cell>
          <cell r="E1456">
            <v>1</v>
          </cell>
          <cell r="F1456">
            <v>2</v>
          </cell>
          <cell r="G1456" t="str">
            <v>PMA263</v>
          </cell>
          <cell r="H1456" t="str">
            <v>DS TAT PMA263</v>
          </cell>
          <cell r="I1456" t="str">
            <v>IS4</v>
          </cell>
          <cell r="J1456" t="str">
            <v>IS4 Spectrum &amp; Infrastructure Assurance</v>
          </cell>
          <cell r="K1456" t="str">
            <v>Air Force</v>
          </cell>
          <cell r="L1456" t="str">
            <v>DOD</v>
          </cell>
          <cell r="M1456" t="str">
            <v>MD</v>
          </cell>
          <cell r="N1456" t="str">
            <v>CONUS</v>
          </cell>
          <cell r="O1456">
            <v>0</v>
          </cell>
          <cell r="P1456">
            <v>0</v>
          </cell>
          <cell r="Q1456">
            <v>0</v>
          </cell>
          <cell r="R1456" t="str">
            <v>CPFF</v>
          </cell>
          <cell r="S1456">
            <v>0</v>
          </cell>
          <cell r="T1456">
            <v>1</v>
          </cell>
          <cell r="U1456" t="str">
            <v>REVTOT</v>
          </cell>
          <cell r="V1456" t="str">
            <v>Identified - Recompete</v>
          </cell>
          <cell r="W1456">
            <v>0</v>
          </cell>
          <cell r="X1456">
            <v>0</v>
          </cell>
          <cell r="Y1456">
            <v>0</v>
          </cell>
          <cell r="Z1456">
            <v>0</v>
          </cell>
          <cell r="AA1456">
            <v>0</v>
          </cell>
          <cell r="AB1456">
            <v>0</v>
          </cell>
          <cell r="AC1456">
            <v>0</v>
          </cell>
          <cell r="AD1456">
            <v>0</v>
          </cell>
          <cell r="AI1456">
            <v>0</v>
          </cell>
          <cell r="AJ1456">
            <v>0</v>
          </cell>
          <cell r="AK1456">
            <v>0</v>
          </cell>
          <cell r="BB1456">
            <v>0</v>
          </cell>
          <cell r="BC1456">
            <v>0</v>
          </cell>
          <cell r="BD1456">
            <v>0</v>
          </cell>
          <cell r="BE1456">
            <v>0</v>
          </cell>
          <cell r="BI1456">
            <v>0</v>
          </cell>
          <cell r="BJ1456">
            <v>0</v>
          </cell>
          <cell r="BK1456">
            <v>0</v>
          </cell>
          <cell r="BL1456">
            <v>0</v>
          </cell>
          <cell r="BM1456">
            <v>0</v>
          </cell>
          <cell r="BN1456">
            <v>0</v>
          </cell>
          <cell r="BO1456">
            <v>0</v>
          </cell>
          <cell r="BP1456">
            <v>0</v>
          </cell>
          <cell r="BQ1456">
            <v>0</v>
          </cell>
          <cell r="BR1456">
            <v>0</v>
          </cell>
          <cell r="BT1456">
            <v>0</v>
          </cell>
          <cell r="CA1456" t="str">
            <v>PMA263 - REVTOT - Identified - Recompete</v>
          </cell>
          <cell r="CC1456" t="str">
            <v>PMA263 - REVTOT - Identified - Recompete - IS4</v>
          </cell>
          <cell r="CD1456" t="str">
            <v/>
          </cell>
          <cell r="CF1456" t="str">
            <v>PMA263 - Identified - Recompete - IS4</v>
          </cell>
        </row>
        <row r="1457">
          <cell r="D1457">
            <v>1443</v>
          </cell>
          <cell r="E1457">
            <v>2</v>
          </cell>
          <cell r="F1457">
            <v>3</v>
          </cell>
          <cell r="G1457" t="str">
            <v>PMA263</v>
          </cell>
          <cell r="H1457" t="str">
            <v>DS TAT PMA263</v>
          </cell>
          <cell r="I1457" t="str">
            <v>IS4</v>
          </cell>
          <cell r="J1457" t="str">
            <v>IS4 Spectrum &amp; Infrastructure Assurance</v>
          </cell>
          <cell r="K1457" t="str">
            <v>Air Force</v>
          </cell>
          <cell r="L1457" t="str">
            <v>DOD</v>
          </cell>
          <cell r="M1457" t="str">
            <v>MD</v>
          </cell>
          <cell r="N1457" t="str">
            <v>CONUS</v>
          </cell>
          <cell r="O1457">
            <v>42344</v>
          </cell>
          <cell r="P1457">
            <v>44180</v>
          </cell>
          <cell r="Q1457" t="str">
            <v>Prime</v>
          </cell>
          <cell r="R1457" t="str">
            <v>CPFF</v>
          </cell>
          <cell r="S1457">
            <v>0</v>
          </cell>
          <cell r="T1457">
            <v>1</v>
          </cell>
          <cell r="U1457" t="str">
            <v>CONTRACT</v>
          </cell>
          <cell r="V1457" t="str">
            <v>Base</v>
          </cell>
          <cell r="W1457" t="str">
            <v>05 Won</v>
          </cell>
          <cell r="X1457" t="str">
            <v>Active</v>
          </cell>
          <cell r="Y1457">
            <v>1</v>
          </cell>
          <cell r="Z1457">
            <v>0</v>
          </cell>
          <cell r="AA1457">
            <v>11662382.109500011</v>
          </cell>
          <cell r="AB1457">
            <v>0</v>
          </cell>
          <cell r="AC1457">
            <v>0</v>
          </cell>
          <cell r="AD1457">
            <v>11662382.109500011</v>
          </cell>
          <cell r="AL1457">
            <v>6.1909131972110627E-2</v>
          </cell>
          <cell r="AM1457">
            <v>0.107546351558719</v>
          </cell>
          <cell r="AN1457">
            <v>9.9670161867869672E-2</v>
          </cell>
          <cell r="AO1457">
            <v>0.1059790303446379</v>
          </cell>
          <cell r="AP1457">
            <v>0.10901665617773565</v>
          </cell>
          <cell r="AQ1457">
            <v>0.10901665617773565</v>
          </cell>
          <cell r="AR1457">
            <v>0.10901665617773565</v>
          </cell>
          <cell r="AS1457">
            <v>0.10901665617773565</v>
          </cell>
          <cell r="BF1457">
            <v>290064.47000000044</v>
          </cell>
          <cell r="BG1457">
            <v>995787.43000000017</v>
          </cell>
          <cell r="BH1457">
            <v>1068273.8300000005</v>
          </cell>
          <cell r="BI1457">
            <v>300575.98000000021</v>
          </cell>
          <cell r="BJ1457">
            <v>341295.22999999986</v>
          </cell>
          <cell r="BK1457">
            <v>263563.57000000018</v>
          </cell>
          <cell r="BL1457">
            <v>257620.92050000012</v>
          </cell>
          <cell r="BM1457">
            <v>1163055.7005000003</v>
          </cell>
          <cell r="BN1457">
            <v>1271393.9006447382</v>
          </cell>
          <cell r="BO1457">
            <v>0</v>
          </cell>
          <cell r="BP1457">
            <v>0</v>
          </cell>
          <cell r="BQ1457">
            <v>0</v>
          </cell>
          <cell r="BR1457">
            <v>2434449.6011447385</v>
          </cell>
          <cell r="BT1457">
            <v>0</v>
          </cell>
          <cell r="CA1457" t="str">
            <v>PMA263 - CONTRACT - Base</v>
          </cell>
          <cell r="CC1457" t="str">
            <v>PMA263 - CONTRACT - Base - IS4</v>
          </cell>
          <cell r="CD1457" t="str">
            <v/>
          </cell>
          <cell r="CF1457" t="str">
            <v>PMA263 - Base - IS4</v>
          </cell>
        </row>
        <row r="1458">
          <cell r="D1458">
            <v>1444</v>
          </cell>
          <cell r="E1458">
            <v>2</v>
          </cell>
          <cell r="F1458">
            <v>4</v>
          </cell>
          <cell r="G1458" t="str">
            <v>PMA263</v>
          </cell>
          <cell r="H1458" t="str">
            <v>DS TAT PMA263</v>
          </cell>
          <cell r="I1458" t="str">
            <v>IS4</v>
          </cell>
          <cell r="J1458" t="str">
            <v>IS4 Spectrum &amp; Infrastructure Assurance</v>
          </cell>
          <cell r="K1458" t="str">
            <v>Air Force</v>
          </cell>
          <cell r="L1458" t="str">
            <v>DOD</v>
          </cell>
          <cell r="M1458" t="str">
            <v>MD</v>
          </cell>
          <cell r="N1458" t="str">
            <v>CONUS</v>
          </cell>
          <cell r="O1458">
            <v>0</v>
          </cell>
          <cell r="P1458">
            <v>0</v>
          </cell>
          <cell r="Q1458">
            <v>0</v>
          </cell>
          <cell r="R1458" t="str">
            <v>CPFF</v>
          </cell>
          <cell r="S1458">
            <v>0</v>
          </cell>
          <cell r="T1458">
            <v>1</v>
          </cell>
          <cell r="U1458" t="str">
            <v>CONTRACT</v>
          </cell>
          <cell r="V1458" t="str">
            <v>Identified - Recompete</v>
          </cell>
          <cell r="W1458">
            <v>0</v>
          </cell>
          <cell r="X1458">
            <v>0</v>
          </cell>
          <cell r="Y1458">
            <v>0</v>
          </cell>
          <cell r="Z1458">
            <v>0</v>
          </cell>
          <cell r="AA1458">
            <v>0</v>
          </cell>
          <cell r="AB1458">
            <v>0</v>
          </cell>
          <cell r="AC1458">
            <v>0</v>
          </cell>
          <cell r="AD1458">
            <v>0</v>
          </cell>
          <cell r="AP1458">
            <v>0</v>
          </cell>
          <cell r="AQ1458">
            <v>0</v>
          </cell>
          <cell r="AR1458">
            <v>0</v>
          </cell>
          <cell r="AS1458">
            <v>0</v>
          </cell>
          <cell r="BI1458">
            <v>0</v>
          </cell>
          <cell r="BJ1458">
            <v>0</v>
          </cell>
          <cell r="BK1458">
            <v>0</v>
          </cell>
          <cell r="BL1458">
            <v>0</v>
          </cell>
          <cell r="BM1458">
            <v>0</v>
          </cell>
          <cell r="BN1458">
            <v>0</v>
          </cell>
          <cell r="BO1458">
            <v>0</v>
          </cell>
          <cell r="BP1458">
            <v>0</v>
          </cell>
          <cell r="BQ1458">
            <v>0</v>
          </cell>
          <cell r="BR1458">
            <v>0</v>
          </cell>
          <cell r="BT1458">
            <v>0</v>
          </cell>
          <cell r="CA1458" t="str">
            <v>PMA263 - CONTRACT - Identified - Recompete</v>
          </cell>
          <cell r="CC1458" t="str">
            <v>PMA263 - CONTRACT - Identified - Recompete - IS4</v>
          </cell>
          <cell r="CD1458" t="str">
            <v/>
          </cell>
          <cell r="CF1458" t="str">
            <v>PMA263 - Identified - Recompete - IS4</v>
          </cell>
        </row>
        <row r="1459">
          <cell r="D1459">
            <v>1445</v>
          </cell>
          <cell r="E1459">
            <v>0</v>
          </cell>
          <cell r="F1459">
            <v>5</v>
          </cell>
          <cell r="G1459" t="str">
            <v>PMA263</v>
          </cell>
          <cell r="H1459" t="str">
            <v>DS TAT PMA263</v>
          </cell>
          <cell r="I1459" t="str">
            <v>IS4</v>
          </cell>
          <cell r="J1459" t="str">
            <v>IS4 Spectrum &amp; Infrastructure Assurance</v>
          </cell>
          <cell r="K1459" t="str">
            <v>Air Force</v>
          </cell>
          <cell r="L1459" t="str">
            <v>DOD</v>
          </cell>
          <cell r="M1459" t="str">
            <v>MD</v>
          </cell>
          <cell r="N1459" t="str">
            <v>CONUS</v>
          </cell>
          <cell r="O1459">
            <v>42344</v>
          </cell>
          <cell r="P1459">
            <v>44180</v>
          </cell>
          <cell r="Q1459" t="str">
            <v>Prime</v>
          </cell>
          <cell r="R1459" t="str">
            <v>CPFF</v>
          </cell>
          <cell r="S1459">
            <v>0</v>
          </cell>
          <cell r="T1459">
            <v>1</v>
          </cell>
          <cell r="U1459" t="str">
            <v>EBITA</v>
          </cell>
          <cell r="V1459" t="str">
            <v>Base</v>
          </cell>
          <cell r="W1459" t="str">
            <v>05 Won</v>
          </cell>
          <cell r="X1459" t="str">
            <v>Active</v>
          </cell>
          <cell r="Y1459">
            <v>1</v>
          </cell>
          <cell r="Z1459">
            <v>0</v>
          </cell>
          <cell r="AA1459">
            <v>11662382.109500011</v>
          </cell>
          <cell r="AB1459">
            <v>0</v>
          </cell>
          <cell r="AC1459">
            <v>0</v>
          </cell>
          <cell r="AD1459">
            <v>11662382.109500011</v>
          </cell>
          <cell r="AT1459">
            <v>3.0121762688759973E-2</v>
          </cell>
          <cell r="AU1459">
            <v>2.284820300203589E-2</v>
          </cell>
          <cell r="AV1459">
            <v>2.1408440877480412E-2</v>
          </cell>
          <cell r="AW1459">
            <v>2.5170671560142521E-2</v>
          </cell>
          <cell r="AX1459">
            <v>2.842568874313357E-2</v>
          </cell>
          <cell r="AY1459">
            <v>2.842568874313357E-2</v>
          </cell>
          <cell r="AZ1459">
            <v>2.842568874313357E-2</v>
          </cell>
          <cell r="BA1459">
            <v>2.842568874313357E-2</v>
          </cell>
          <cell r="BF1459">
            <v>141130.28000000041</v>
          </cell>
          <cell r="BG1459">
            <v>211554.86000000028</v>
          </cell>
          <cell r="BH1459">
            <v>229457.61000000063</v>
          </cell>
          <cell r="BI1459">
            <v>58638.820000000211</v>
          </cell>
          <cell r="BJ1459">
            <v>93105.879999999888</v>
          </cell>
          <cell r="BK1459">
            <v>64703.660000000178</v>
          </cell>
          <cell r="BL1459">
            <v>59784.522564000115</v>
          </cell>
          <cell r="BM1459">
            <v>276232.88256400038</v>
          </cell>
          <cell r="BN1459">
            <v>331511.2438481368</v>
          </cell>
          <cell r="BO1459">
            <v>0</v>
          </cell>
          <cell r="BP1459">
            <v>0</v>
          </cell>
          <cell r="BQ1459">
            <v>0</v>
          </cell>
          <cell r="BR1459">
            <v>607744.12641213718</v>
          </cell>
          <cell r="BT1459">
            <v>0</v>
          </cell>
          <cell r="CA1459" t="str">
            <v>PMA263 - EBITA - Base</v>
          </cell>
          <cell r="CC1459" t="str">
            <v>PMA263 - EBITA - Base - IS4</v>
          </cell>
          <cell r="CD1459" t="str">
            <v/>
          </cell>
          <cell r="CF1459" t="str">
            <v>PMA263 - Base - IS4</v>
          </cell>
        </row>
        <row r="1460">
          <cell r="D1460">
            <v>1446</v>
          </cell>
          <cell r="E1460">
            <v>0</v>
          </cell>
          <cell r="F1460">
            <v>0</v>
          </cell>
          <cell r="G1460" t="str">
            <v>PMA263</v>
          </cell>
          <cell r="H1460" t="str">
            <v>DS TAT PMA263</v>
          </cell>
          <cell r="I1460" t="str">
            <v>IS4</v>
          </cell>
          <cell r="J1460" t="str">
            <v>IS4 Spectrum &amp; Infrastructure Assurance</v>
          </cell>
          <cell r="K1460" t="str">
            <v>Air Force</v>
          </cell>
          <cell r="L1460" t="str">
            <v>DOD</v>
          </cell>
          <cell r="M1460" t="str">
            <v>MD</v>
          </cell>
          <cell r="N1460" t="str">
            <v>CONUS</v>
          </cell>
          <cell r="O1460">
            <v>0</v>
          </cell>
          <cell r="P1460">
            <v>0</v>
          </cell>
          <cell r="Q1460">
            <v>0</v>
          </cell>
          <cell r="R1460" t="str">
            <v>CPFF</v>
          </cell>
          <cell r="S1460">
            <v>0</v>
          </cell>
          <cell r="T1460">
            <v>1</v>
          </cell>
          <cell r="U1460" t="str">
            <v>EBITA</v>
          </cell>
          <cell r="V1460" t="str">
            <v>Identified - Recompete</v>
          </cell>
          <cell r="W1460">
            <v>0</v>
          </cell>
          <cell r="X1460">
            <v>0</v>
          </cell>
          <cell r="Y1460">
            <v>0</v>
          </cell>
          <cell r="Z1460">
            <v>0</v>
          </cell>
          <cell r="AA1460">
            <v>0</v>
          </cell>
          <cell r="AB1460">
            <v>0</v>
          </cell>
          <cell r="AC1460">
            <v>0</v>
          </cell>
          <cell r="AD1460">
            <v>0</v>
          </cell>
          <cell r="AX1460">
            <v>0</v>
          </cell>
          <cell r="AY1460">
            <v>0</v>
          </cell>
          <cell r="AZ1460">
            <v>0</v>
          </cell>
          <cell r="BA1460">
            <v>0</v>
          </cell>
          <cell r="BI1460">
            <v>0</v>
          </cell>
          <cell r="BJ1460">
            <v>0</v>
          </cell>
          <cell r="BK1460">
            <v>0</v>
          </cell>
          <cell r="BL1460">
            <v>0</v>
          </cell>
          <cell r="BM1460">
            <v>0</v>
          </cell>
          <cell r="BN1460">
            <v>0</v>
          </cell>
          <cell r="BO1460">
            <v>0</v>
          </cell>
          <cell r="BP1460">
            <v>0</v>
          </cell>
          <cell r="BQ1460">
            <v>0</v>
          </cell>
          <cell r="BR1460">
            <v>0</v>
          </cell>
          <cell r="BT1460">
            <v>0</v>
          </cell>
          <cell r="CA1460" t="str">
            <v>PMA263 - EBITA - Identified - Recompete</v>
          </cell>
          <cell r="CC1460" t="str">
            <v>PMA263 - EBITA - Identified - Recompete - IS4</v>
          </cell>
          <cell r="CD1460" t="str">
            <v/>
          </cell>
          <cell r="CF1460" t="str">
            <v>PMA263 - Identified - Recompete - IS4</v>
          </cell>
        </row>
        <row r="1461">
          <cell r="D1461">
            <v>1447</v>
          </cell>
          <cell r="E1461">
            <v>1</v>
          </cell>
          <cell r="F1461">
            <v>1</v>
          </cell>
          <cell r="G1461" t="str">
            <v>VESTA1</v>
          </cell>
          <cell r="H1461" t="str">
            <v>Vesta</v>
          </cell>
          <cell r="I1461" t="str">
            <v>IS4</v>
          </cell>
          <cell r="J1461" t="str">
            <v>IS4 Infrastructure and Engineering</v>
          </cell>
          <cell r="K1461" t="str">
            <v>Classified Agency</v>
          </cell>
          <cell r="L1461" t="str">
            <v>Classified</v>
          </cell>
          <cell r="M1461" t="str">
            <v>Australia</v>
          </cell>
          <cell r="N1461" t="str">
            <v>OCONUS</v>
          </cell>
          <cell r="O1461">
            <v>43101</v>
          </cell>
          <cell r="P1461">
            <v>45046</v>
          </cell>
          <cell r="Q1461" t="str">
            <v>Prime</v>
          </cell>
          <cell r="R1461" t="str">
            <v>CPFF</v>
          </cell>
          <cell r="S1461">
            <v>0</v>
          </cell>
          <cell r="T1461">
            <v>1</v>
          </cell>
          <cell r="U1461" t="str">
            <v>REVTOT</v>
          </cell>
          <cell r="V1461" t="str">
            <v>Base</v>
          </cell>
          <cell r="W1461" t="str">
            <v>05 Won</v>
          </cell>
          <cell r="X1461" t="str">
            <v>Active</v>
          </cell>
          <cell r="Y1461">
            <v>1</v>
          </cell>
          <cell r="Z1461">
            <v>0</v>
          </cell>
          <cell r="AA1461">
            <v>3885061.3245999999</v>
          </cell>
          <cell r="AB1461">
            <v>20077937</v>
          </cell>
          <cell r="AC1461">
            <v>30000000</v>
          </cell>
          <cell r="AD1461">
            <v>53962998.324599996</v>
          </cell>
          <cell r="AE1461">
            <v>0</v>
          </cell>
          <cell r="AF1461">
            <v>0</v>
          </cell>
          <cell r="AG1461">
            <v>10.670695532213983</v>
          </cell>
          <cell r="AH1461">
            <v>8.8280031318998198E-2</v>
          </cell>
          <cell r="AI1461">
            <v>0</v>
          </cell>
          <cell r="AJ1461">
            <v>0</v>
          </cell>
          <cell r="AK1461">
            <v>0</v>
          </cell>
          <cell r="BB1461">
            <v>9990636</v>
          </cell>
          <cell r="BC1461">
            <v>9990636</v>
          </cell>
          <cell r="BD1461">
            <v>9990636</v>
          </cell>
          <cell r="BE1461">
            <v>9990636</v>
          </cell>
          <cell r="BF1461">
            <v>0</v>
          </cell>
          <cell r="BG1461">
            <v>0</v>
          </cell>
          <cell r="BH1461">
            <v>786603.25</v>
          </cell>
          <cell r="BI1461">
            <v>2339770.9699999997</v>
          </cell>
          <cell r="BJ1461">
            <v>2336657.0500000003</v>
          </cell>
          <cell r="BK1461">
            <v>2370269.41</v>
          </cell>
          <cell r="BL1461">
            <v>2133509.6053999998</v>
          </cell>
          <cell r="BM1461">
            <v>9180207.0353999995</v>
          </cell>
          <cell r="BN1461">
            <v>9990636</v>
          </cell>
          <cell r="BO1461">
            <v>9990636</v>
          </cell>
          <cell r="BP1461">
            <v>9990636</v>
          </cell>
          <cell r="BQ1461">
            <v>9990636</v>
          </cell>
          <cell r="BR1461">
            <v>49142751.035400003</v>
          </cell>
          <cell r="BT1461">
            <v>0</v>
          </cell>
          <cell r="CA1461" t="str">
            <v>VESTA1 - REVTOT - Base</v>
          </cell>
          <cell r="CC1461" t="str">
            <v>VESTA1 - REVTOT - Base - IS4</v>
          </cell>
          <cell r="CD1461" t="str">
            <v/>
          </cell>
          <cell r="CF1461" t="str">
            <v>VESTA1 - Base - IS4</v>
          </cell>
        </row>
        <row r="1462">
          <cell r="D1462">
            <v>1448</v>
          </cell>
          <cell r="E1462">
            <v>1</v>
          </cell>
          <cell r="F1462">
            <v>2</v>
          </cell>
          <cell r="G1462" t="str">
            <v>VESTA1</v>
          </cell>
          <cell r="H1462" t="str">
            <v>Vesta</v>
          </cell>
          <cell r="I1462" t="str">
            <v>IS4</v>
          </cell>
          <cell r="J1462" t="str">
            <v>IS4 Infrastructure and Engineering</v>
          </cell>
          <cell r="K1462" t="str">
            <v>Classified Agency</v>
          </cell>
          <cell r="L1462" t="str">
            <v>Classified</v>
          </cell>
          <cell r="M1462" t="str">
            <v>Australia</v>
          </cell>
          <cell r="N1462" t="str">
            <v>OCONUS</v>
          </cell>
          <cell r="O1462">
            <v>0</v>
          </cell>
          <cell r="P1462">
            <v>0</v>
          </cell>
          <cell r="Q1462">
            <v>0</v>
          </cell>
          <cell r="R1462" t="str">
            <v>CPFF</v>
          </cell>
          <cell r="S1462">
            <v>0</v>
          </cell>
          <cell r="T1462">
            <v>1</v>
          </cell>
          <cell r="U1462" t="str">
            <v>REVTOT</v>
          </cell>
          <cell r="V1462" t="str">
            <v>Identified - Recompete</v>
          </cell>
          <cell r="W1462">
            <v>0</v>
          </cell>
          <cell r="X1462">
            <v>0</v>
          </cell>
          <cell r="Y1462">
            <v>0</v>
          </cell>
          <cell r="Z1462">
            <v>0</v>
          </cell>
          <cell r="AA1462">
            <v>0</v>
          </cell>
          <cell r="AB1462">
            <v>0</v>
          </cell>
          <cell r="AC1462">
            <v>0</v>
          </cell>
          <cell r="AD1462">
            <v>0</v>
          </cell>
          <cell r="AI1462">
            <v>0</v>
          </cell>
          <cell r="AJ1462">
            <v>0</v>
          </cell>
          <cell r="AK1462">
            <v>0</v>
          </cell>
          <cell r="BB1462">
            <v>0</v>
          </cell>
          <cell r="BC1462">
            <v>0</v>
          </cell>
          <cell r="BD1462">
            <v>0</v>
          </cell>
          <cell r="BE1462">
            <v>0</v>
          </cell>
          <cell r="BI1462">
            <v>0</v>
          </cell>
          <cell r="BJ1462">
            <v>0</v>
          </cell>
          <cell r="BK1462">
            <v>0</v>
          </cell>
          <cell r="BL1462">
            <v>0</v>
          </cell>
          <cell r="BM1462">
            <v>0</v>
          </cell>
          <cell r="BN1462">
            <v>0</v>
          </cell>
          <cell r="BO1462">
            <v>0</v>
          </cell>
          <cell r="BP1462">
            <v>0</v>
          </cell>
          <cell r="BQ1462">
            <v>0</v>
          </cell>
          <cell r="BR1462">
            <v>0</v>
          </cell>
          <cell r="BT1462">
            <v>0</v>
          </cell>
          <cell r="CA1462" t="str">
            <v>VESTA1 - REVTOT - Identified - Recompete</v>
          </cell>
          <cell r="CC1462" t="str">
            <v>VESTA1 - REVTOT - Identified - Recompete - IS4</v>
          </cell>
          <cell r="CD1462" t="str">
            <v/>
          </cell>
          <cell r="CF1462" t="str">
            <v>VESTA1 - Identified - Recompete - IS4</v>
          </cell>
        </row>
        <row r="1463">
          <cell r="D1463">
            <v>1449</v>
          </cell>
          <cell r="E1463">
            <v>2</v>
          </cell>
          <cell r="F1463">
            <v>3</v>
          </cell>
          <cell r="G1463" t="str">
            <v>VESTA1</v>
          </cell>
          <cell r="H1463" t="str">
            <v>Vesta</v>
          </cell>
          <cell r="I1463" t="str">
            <v>IS4</v>
          </cell>
          <cell r="J1463" t="str">
            <v>IS4 Infrastructure and Engineering</v>
          </cell>
          <cell r="K1463" t="str">
            <v>Classified Agency</v>
          </cell>
          <cell r="L1463" t="str">
            <v>Classified</v>
          </cell>
          <cell r="M1463" t="str">
            <v>Australia</v>
          </cell>
          <cell r="N1463" t="str">
            <v>OCONUS</v>
          </cell>
          <cell r="O1463">
            <v>43101</v>
          </cell>
          <cell r="P1463">
            <v>45046</v>
          </cell>
          <cell r="Q1463" t="str">
            <v>Prime</v>
          </cell>
          <cell r="R1463" t="str">
            <v>CPFF</v>
          </cell>
          <cell r="S1463">
            <v>0</v>
          </cell>
          <cell r="T1463">
            <v>1</v>
          </cell>
          <cell r="U1463" t="str">
            <v>CONTRACT</v>
          </cell>
          <cell r="V1463" t="str">
            <v>Base</v>
          </cell>
          <cell r="W1463" t="str">
            <v>05 Won</v>
          </cell>
          <cell r="X1463" t="str">
            <v>Active</v>
          </cell>
          <cell r="Y1463">
            <v>1</v>
          </cell>
          <cell r="Z1463">
            <v>0</v>
          </cell>
          <cell r="AA1463">
            <v>3885061.3245999999</v>
          </cell>
          <cell r="AB1463">
            <v>20077937</v>
          </cell>
          <cell r="AC1463">
            <v>30000000</v>
          </cell>
          <cell r="AD1463">
            <v>53962998.324599996</v>
          </cell>
          <cell r="AL1463">
            <v>0</v>
          </cell>
          <cell r="AM1463">
            <v>0</v>
          </cell>
          <cell r="AN1463">
            <v>4.5216276439234163E-2</v>
          </cell>
          <cell r="AO1463">
            <v>9.2748163364783198E-2</v>
          </cell>
          <cell r="AP1463">
            <v>9.6122602885341857E-2</v>
          </cell>
          <cell r="AQ1463">
            <v>9.6122602885341857E-2</v>
          </cell>
          <cell r="AR1463">
            <v>9.6122602885341857E-2</v>
          </cell>
          <cell r="AS1463">
            <v>9.6122602885341857E-2</v>
          </cell>
          <cell r="BF1463">
            <v>0</v>
          </cell>
          <cell r="BG1463">
            <v>0</v>
          </cell>
          <cell r="BH1463">
            <v>35567.270000000019</v>
          </cell>
          <cell r="BI1463">
            <v>185293.62999999983</v>
          </cell>
          <cell r="BJ1463">
            <v>200262.44000000018</v>
          </cell>
          <cell r="BK1463">
            <v>210459.18000000005</v>
          </cell>
          <cell r="BL1463">
            <v>255432.0918418112</v>
          </cell>
          <cell r="BM1463">
            <v>851447.3418418112</v>
          </cell>
          <cell r="BN1463">
            <v>960325.93680000026</v>
          </cell>
          <cell r="BO1463">
            <v>960325.93680000026</v>
          </cell>
          <cell r="BP1463">
            <v>960325.93680000026</v>
          </cell>
          <cell r="BQ1463">
            <v>960325.93680000026</v>
          </cell>
          <cell r="BR1463">
            <v>4692751.0890418123</v>
          </cell>
          <cell r="BT1463">
            <v>0</v>
          </cell>
          <cell r="CA1463" t="str">
            <v>VESTA1 - CONTRACT - Base</v>
          </cell>
          <cell r="CC1463" t="str">
            <v>VESTA1 - CONTRACT - Base - IS4</v>
          </cell>
          <cell r="CD1463" t="str">
            <v/>
          </cell>
          <cell r="CF1463" t="str">
            <v>VESTA1 - Base - IS4</v>
          </cell>
        </row>
        <row r="1464">
          <cell r="D1464">
            <v>1450</v>
          </cell>
          <cell r="E1464">
            <v>2</v>
          </cell>
          <cell r="F1464">
            <v>4</v>
          </cell>
          <cell r="G1464" t="str">
            <v>VESTA1</v>
          </cell>
          <cell r="H1464" t="str">
            <v>Vesta</v>
          </cell>
          <cell r="I1464" t="str">
            <v>IS4</v>
          </cell>
          <cell r="J1464" t="str">
            <v>IS4 Infrastructure and Engineering</v>
          </cell>
          <cell r="K1464" t="str">
            <v>Classified Agency</v>
          </cell>
          <cell r="L1464" t="str">
            <v>Classified</v>
          </cell>
          <cell r="M1464" t="str">
            <v>Australia</v>
          </cell>
          <cell r="N1464" t="str">
            <v>OCONUS</v>
          </cell>
          <cell r="O1464">
            <v>0</v>
          </cell>
          <cell r="P1464">
            <v>0</v>
          </cell>
          <cell r="Q1464">
            <v>0</v>
          </cell>
          <cell r="R1464" t="str">
            <v>CPFF</v>
          </cell>
          <cell r="S1464">
            <v>0</v>
          </cell>
          <cell r="T1464">
            <v>1</v>
          </cell>
          <cell r="U1464" t="str">
            <v>CONTRACT</v>
          </cell>
          <cell r="V1464" t="str">
            <v>Identified - Recompete</v>
          </cell>
          <cell r="W1464">
            <v>0</v>
          </cell>
          <cell r="X1464">
            <v>0</v>
          </cell>
          <cell r="Y1464">
            <v>0</v>
          </cell>
          <cell r="Z1464">
            <v>0</v>
          </cell>
          <cell r="AA1464">
            <v>0</v>
          </cell>
          <cell r="AB1464">
            <v>0</v>
          </cell>
          <cell r="AC1464">
            <v>0</v>
          </cell>
          <cell r="AD1464">
            <v>0</v>
          </cell>
          <cell r="AP1464">
            <v>0</v>
          </cell>
          <cell r="AQ1464">
            <v>0</v>
          </cell>
          <cell r="AR1464">
            <v>0</v>
          </cell>
          <cell r="AS1464">
            <v>0</v>
          </cell>
          <cell r="BI1464">
            <v>0</v>
          </cell>
          <cell r="BJ1464">
            <v>0</v>
          </cell>
          <cell r="BK1464">
            <v>0</v>
          </cell>
          <cell r="BL1464">
            <v>0</v>
          </cell>
          <cell r="BM1464">
            <v>0</v>
          </cell>
          <cell r="BN1464">
            <v>0</v>
          </cell>
          <cell r="BO1464">
            <v>0</v>
          </cell>
          <cell r="BP1464">
            <v>0</v>
          </cell>
          <cell r="BQ1464">
            <v>0</v>
          </cell>
          <cell r="BR1464">
            <v>0</v>
          </cell>
          <cell r="BT1464">
            <v>0</v>
          </cell>
          <cell r="CA1464" t="str">
            <v>VESTA1 - CONTRACT - Identified - Recompete</v>
          </cell>
          <cell r="CC1464" t="str">
            <v>VESTA1 - CONTRACT - Identified - Recompete - IS4</v>
          </cell>
          <cell r="CD1464" t="str">
            <v/>
          </cell>
          <cell r="CF1464" t="str">
            <v>VESTA1 - Identified - Recompete - IS4</v>
          </cell>
        </row>
        <row r="1465">
          <cell r="D1465">
            <v>1451</v>
          </cell>
          <cell r="E1465">
            <v>0</v>
          </cell>
          <cell r="F1465">
            <v>5</v>
          </cell>
          <cell r="G1465" t="str">
            <v>VESTA1</v>
          </cell>
          <cell r="H1465" t="str">
            <v>Vesta</v>
          </cell>
          <cell r="I1465" t="str">
            <v>IS4</v>
          </cell>
          <cell r="J1465" t="str">
            <v>IS4 Infrastructure and Engineering</v>
          </cell>
          <cell r="K1465" t="str">
            <v>Classified Agency</v>
          </cell>
          <cell r="L1465" t="str">
            <v>Classified</v>
          </cell>
          <cell r="M1465" t="str">
            <v>Australia</v>
          </cell>
          <cell r="N1465" t="str">
            <v>OCONUS</v>
          </cell>
          <cell r="O1465">
            <v>43101</v>
          </cell>
          <cell r="P1465">
            <v>45046</v>
          </cell>
          <cell r="Q1465" t="str">
            <v>Prime</v>
          </cell>
          <cell r="R1465" t="str">
            <v>CPFF</v>
          </cell>
          <cell r="S1465">
            <v>0</v>
          </cell>
          <cell r="T1465">
            <v>1</v>
          </cell>
          <cell r="U1465" t="str">
            <v>EBITA</v>
          </cell>
          <cell r="V1465" t="str">
            <v>Base</v>
          </cell>
          <cell r="W1465" t="str">
            <v>05 Won</v>
          </cell>
          <cell r="X1465" t="str">
            <v>Active</v>
          </cell>
          <cell r="Y1465">
            <v>1</v>
          </cell>
          <cell r="Z1465">
            <v>0</v>
          </cell>
          <cell r="AA1465">
            <v>3885061.3245999999</v>
          </cell>
          <cell r="AB1465">
            <v>20077937</v>
          </cell>
          <cell r="AC1465">
            <v>30000000</v>
          </cell>
          <cell r="AD1465">
            <v>53962998.324599996</v>
          </cell>
          <cell r="AT1465">
            <v>0</v>
          </cell>
          <cell r="AU1465">
            <v>0</v>
          </cell>
          <cell r="AV1465">
            <v>1.0416127825558848E-2</v>
          </cell>
          <cell r="AW1465">
            <v>3.6719324729274416E-2</v>
          </cell>
          <cell r="AX1465">
            <v>3.4454182281032315E-2</v>
          </cell>
          <cell r="AY1465">
            <v>3.4454182281032315E-2</v>
          </cell>
          <cell r="AZ1465">
            <v>3.4454182281032315E-2</v>
          </cell>
          <cell r="BA1465">
            <v>3.4454182281032315E-2</v>
          </cell>
          <cell r="BF1465">
            <v>0</v>
          </cell>
          <cell r="BG1465">
            <v>0</v>
          </cell>
          <cell r="BH1465">
            <v>8193.3600000000224</v>
          </cell>
          <cell r="BI1465">
            <v>63131.30999999983</v>
          </cell>
          <cell r="BJ1465">
            <v>71640.810000000172</v>
          </cell>
          <cell r="BK1465">
            <v>101475.05000000005</v>
          </cell>
          <cell r="BL1465">
            <v>100843.83321482211</v>
          </cell>
          <cell r="BM1465">
            <v>337091.00321482215</v>
          </cell>
          <cell r="BN1465">
            <v>344219.19384744356</v>
          </cell>
          <cell r="BO1465">
            <v>344219.19384744356</v>
          </cell>
          <cell r="BP1465">
            <v>344219.19384744356</v>
          </cell>
          <cell r="BQ1465">
            <v>344219.19384744356</v>
          </cell>
          <cell r="BR1465">
            <v>1713967.7786045964</v>
          </cell>
          <cell r="BT1465">
            <v>0</v>
          </cell>
          <cell r="CA1465" t="str">
            <v>VESTA1 - EBITA - Base</v>
          </cell>
          <cell r="CC1465" t="str">
            <v>VESTA1 - EBITA - Base - IS4</v>
          </cell>
          <cell r="CD1465" t="str">
            <v/>
          </cell>
          <cell r="CF1465" t="str">
            <v>VESTA1 - Base - IS4</v>
          </cell>
        </row>
        <row r="1466">
          <cell r="D1466">
            <v>1452</v>
          </cell>
          <cell r="E1466">
            <v>0</v>
          </cell>
          <cell r="F1466">
            <v>0</v>
          </cell>
          <cell r="G1466" t="str">
            <v>VESTA1</v>
          </cell>
          <cell r="H1466" t="str">
            <v>Vesta</v>
          </cell>
          <cell r="I1466" t="str">
            <v>IS4</v>
          </cell>
          <cell r="J1466" t="str">
            <v>IS4 Infrastructure and Engineering</v>
          </cell>
          <cell r="K1466" t="str">
            <v>Classified Agency</v>
          </cell>
          <cell r="L1466" t="str">
            <v>Classified</v>
          </cell>
          <cell r="M1466" t="str">
            <v>Australia</v>
          </cell>
          <cell r="N1466" t="str">
            <v>OCONUS</v>
          </cell>
          <cell r="O1466">
            <v>0</v>
          </cell>
          <cell r="P1466">
            <v>0</v>
          </cell>
          <cell r="Q1466">
            <v>0</v>
          </cell>
          <cell r="R1466" t="str">
            <v>CPFF</v>
          </cell>
          <cell r="S1466">
            <v>0</v>
          </cell>
          <cell r="T1466">
            <v>1</v>
          </cell>
          <cell r="U1466" t="str">
            <v>EBITA</v>
          </cell>
          <cell r="V1466" t="str">
            <v>Identified - Recompete</v>
          </cell>
          <cell r="W1466">
            <v>0</v>
          </cell>
          <cell r="X1466">
            <v>0</v>
          </cell>
          <cell r="Y1466">
            <v>0</v>
          </cell>
          <cell r="Z1466">
            <v>0</v>
          </cell>
          <cell r="AA1466">
            <v>0</v>
          </cell>
          <cell r="AB1466">
            <v>0</v>
          </cell>
          <cell r="AC1466">
            <v>0</v>
          </cell>
          <cell r="AD1466">
            <v>0</v>
          </cell>
          <cell r="AX1466">
            <v>0</v>
          </cell>
          <cell r="AY1466">
            <v>0</v>
          </cell>
          <cell r="AZ1466">
            <v>0</v>
          </cell>
          <cell r="BA1466">
            <v>0</v>
          </cell>
          <cell r="BI1466">
            <v>0</v>
          </cell>
          <cell r="BJ1466">
            <v>0</v>
          </cell>
          <cell r="BK1466">
            <v>0</v>
          </cell>
          <cell r="BL1466">
            <v>0</v>
          </cell>
          <cell r="BM1466">
            <v>0</v>
          </cell>
          <cell r="BN1466">
            <v>0</v>
          </cell>
          <cell r="BO1466">
            <v>0</v>
          </cell>
          <cell r="BP1466">
            <v>0</v>
          </cell>
          <cell r="BQ1466">
            <v>0</v>
          </cell>
          <cell r="BR1466">
            <v>0</v>
          </cell>
          <cell r="BT1466">
            <v>0</v>
          </cell>
          <cell r="CA1466" t="str">
            <v>VESTA1 - EBITA - Identified - Recompete</v>
          </cell>
          <cell r="CC1466" t="str">
            <v>VESTA1 - EBITA - Identified - Recompete - IS4</v>
          </cell>
          <cell r="CD1466" t="str">
            <v/>
          </cell>
          <cell r="CF1466" t="str">
            <v>VESTA1 - Identified - Recompete - IS4</v>
          </cell>
        </row>
        <row r="1467">
          <cell r="D1467">
            <v>1453</v>
          </cell>
          <cell r="E1467">
            <v>1</v>
          </cell>
          <cell r="F1467">
            <v>1</v>
          </cell>
          <cell r="G1467" t="str">
            <v>HDPACM</v>
          </cell>
          <cell r="H1467" t="str">
            <v>PACOM J31</v>
          </cell>
          <cell r="I1467" t="str">
            <v>IS4</v>
          </cell>
          <cell r="J1467" t="str">
            <v>IS4 Spectrum &amp; Infrastructure Assurance</v>
          </cell>
          <cell r="K1467" t="str">
            <v>Army</v>
          </cell>
          <cell r="L1467" t="str">
            <v>DOD</v>
          </cell>
          <cell r="M1467" t="str">
            <v>HI</v>
          </cell>
          <cell r="N1467" t="str">
            <v>CONUS</v>
          </cell>
          <cell r="O1467">
            <v>42276</v>
          </cell>
          <cell r="P1467">
            <v>44102</v>
          </cell>
          <cell r="Q1467" t="str">
            <v>Prime</v>
          </cell>
          <cell r="R1467" t="str">
            <v>CPFF</v>
          </cell>
          <cell r="S1467">
            <v>0</v>
          </cell>
          <cell r="T1467">
            <v>1</v>
          </cell>
          <cell r="U1467" t="str">
            <v>REVTOT</v>
          </cell>
          <cell r="V1467" t="str">
            <v>Base</v>
          </cell>
          <cell r="W1467" t="str">
            <v>05 Won</v>
          </cell>
          <cell r="X1467" t="str">
            <v>Active</v>
          </cell>
          <cell r="Y1467">
            <v>1</v>
          </cell>
          <cell r="Z1467">
            <v>0</v>
          </cell>
          <cell r="AA1467">
            <v>16431461.094999999</v>
          </cell>
          <cell r="AB1467">
            <v>0</v>
          </cell>
          <cell r="AC1467">
            <v>0</v>
          </cell>
          <cell r="AD1467">
            <v>16431461.094999999</v>
          </cell>
          <cell r="AE1467">
            <v>3.7102339994145943</v>
          </cell>
          <cell r="AF1467">
            <v>-6.0601824051172648E-2</v>
          </cell>
          <cell r="AG1467">
            <v>0.14350340883226376</v>
          </cell>
          <cell r="AH1467">
            <v>-0.21762162161106546</v>
          </cell>
          <cell r="AI1467">
            <v>0</v>
          </cell>
          <cell r="AJ1467">
            <v>0</v>
          </cell>
          <cell r="AK1467">
            <v>0</v>
          </cell>
          <cell r="BB1467">
            <v>6450075.7960000001</v>
          </cell>
          <cell r="BC1467">
            <v>6450075.7960000001</v>
          </cell>
          <cell r="BD1467">
            <v>6450075.7960000001</v>
          </cell>
          <cell r="BE1467">
            <v>6450075.7960000001</v>
          </cell>
          <cell r="BF1467">
            <v>1629364.7599999998</v>
          </cell>
          <cell r="BG1467">
            <v>7674689.2899999991</v>
          </cell>
          <cell r="BH1467">
            <v>7209589.1200000001</v>
          </cell>
          <cell r="BI1467">
            <v>1781839.4499999997</v>
          </cell>
          <cell r="BJ1467">
            <v>1448663.12</v>
          </cell>
          <cell r="BK1467">
            <v>2345405.17</v>
          </cell>
          <cell r="BL1467">
            <v>2668281.9950000001</v>
          </cell>
          <cell r="BM1467">
            <v>8244189.7350000003</v>
          </cell>
          <cell r="BN1467">
            <v>6450075.7960000001</v>
          </cell>
          <cell r="BO1467">
            <v>0</v>
          </cell>
          <cell r="BP1467">
            <v>0</v>
          </cell>
          <cell r="BQ1467">
            <v>0</v>
          </cell>
          <cell r="BR1467">
            <v>14694265.530999999</v>
          </cell>
          <cell r="BT1467">
            <v>0</v>
          </cell>
          <cell r="CA1467" t="str">
            <v>HDPACM - REVTOT - Base</v>
          </cell>
          <cell r="CC1467" t="str">
            <v>HDPACM - REVTOT - Base - IS4</v>
          </cell>
          <cell r="CD1467" t="str">
            <v/>
          </cell>
          <cell r="CF1467" t="str">
            <v>HDPACM - Base - IS4</v>
          </cell>
        </row>
        <row r="1468">
          <cell r="D1468">
            <v>1454</v>
          </cell>
          <cell r="E1468">
            <v>1</v>
          </cell>
          <cell r="F1468">
            <v>2</v>
          </cell>
          <cell r="G1468" t="str">
            <v>HDPACM</v>
          </cell>
          <cell r="H1468" t="str">
            <v>PACOM J31</v>
          </cell>
          <cell r="I1468" t="str">
            <v>IS4</v>
          </cell>
          <cell r="J1468" t="str">
            <v>IS4 Spectrum &amp; Infrastructure Assurance</v>
          </cell>
          <cell r="K1468" t="str">
            <v>Army</v>
          </cell>
          <cell r="L1468" t="str">
            <v>DOD</v>
          </cell>
          <cell r="M1468" t="str">
            <v>HI</v>
          </cell>
          <cell r="N1468" t="str">
            <v>CONUS</v>
          </cell>
          <cell r="O1468">
            <v>0</v>
          </cell>
          <cell r="P1468">
            <v>0</v>
          </cell>
          <cell r="Q1468">
            <v>0</v>
          </cell>
          <cell r="R1468" t="str">
            <v>CPFF</v>
          </cell>
          <cell r="S1468">
            <v>0</v>
          </cell>
          <cell r="T1468">
            <v>1</v>
          </cell>
          <cell r="U1468" t="str">
            <v>REVTOT</v>
          </cell>
          <cell r="V1468" t="str">
            <v>Identified - Recompete</v>
          </cell>
          <cell r="W1468">
            <v>0</v>
          </cell>
          <cell r="X1468">
            <v>0</v>
          </cell>
          <cell r="Y1468">
            <v>0</v>
          </cell>
          <cell r="Z1468">
            <v>0</v>
          </cell>
          <cell r="AA1468">
            <v>0</v>
          </cell>
          <cell r="AB1468">
            <v>0</v>
          </cell>
          <cell r="AC1468">
            <v>0</v>
          </cell>
          <cell r="AD1468">
            <v>0</v>
          </cell>
          <cell r="AI1468">
            <v>0</v>
          </cell>
          <cell r="AJ1468">
            <v>0</v>
          </cell>
          <cell r="AK1468">
            <v>0</v>
          </cell>
          <cell r="BB1468">
            <v>0</v>
          </cell>
          <cell r="BC1468">
            <v>0</v>
          </cell>
          <cell r="BD1468">
            <v>0</v>
          </cell>
          <cell r="BE1468">
            <v>0</v>
          </cell>
          <cell r="BI1468">
            <v>0</v>
          </cell>
          <cell r="BJ1468">
            <v>0</v>
          </cell>
          <cell r="BK1468">
            <v>0</v>
          </cell>
          <cell r="BL1468">
            <v>0</v>
          </cell>
          <cell r="BM1468">
            <v>0</v>
          </cell>
          <cell r="BN1468">
            <v>0</v>
          </cell>
          <cell r="BO1468">
            <v>0</v>
          </cell>
          <cell r="BP1468">
            <v>0</v>
          </cell>
          <cell r="BQ1468">
            <v>0</v>
          </cell>
          <cell r="BR1468">
            <v>0</v>
          </cell>
          <cell r="BT1468">
            <v>0</v>
          </cell>
          <cell r="CA1468" t="str">
            <v>HDPACM - REVTOT - Identified - Recompete</v>
          </cell>
          <cell r="CC1468" t="str">
            <v>HDPACM - REVTOT - Identified - Recompete - IS4</v>
          </cell>
          <cell r="CD1468" t="str">
            <v/>
          </cell>
          <cell r="CF1468" t="str">
            <v>HDPACM - Identified - Recompete - IS4</v>
          </cell>
        </row>
        <row r="1469">
          <cell r="D1469">
            <v>1455</v>
          </cell>
          <cell r="E1469">
            <v>2</v>
          </cell>
          <cell r="F1469">
            <v>3</v>
          </cell>
          <cell r="G1469" t="str">
            <v>HDPACM</v>
          </cell>
          <cell r="H1469" t="str">
            <v>PACOM J31</v>
          </cell>
          <cell r="I1469" t="str">
            <v>IS4</v>
          </cell>
          <cell r="J1469" t="str">
            <v>IS4 Spectrum &amp; Infrastructure Assurance</v>
          </cell>
          <cell r="K1469" t="str">
            <v>Army</v>
          </cell>
          <cell r="L1469" t="str">
            <v>DOD</v>
          </cell>
          <cell r="M1469" t="str">
            <v>HI</v>
          </cell>
          <cell r="N1469" t="str">
            <v>CONUS</v>
          </cell>
          <cell r="O1469">
            <v>42276</v>
          </cell>
          <cell r="P1469">
            <v>44102</v>
          </cell>
          <cell r="Q1469" t="str">
            <v>Prime</v>
          </cell>
          <cell r="R1469" t="str">
            <v>CPFF</v>
          </cell>
          <cell r="S1469">
            <v>0</v>
          </cell>
          <cell r="T1469">
            <v>1</v>
          </cell>
          <cell r="U1469" t="str">
            <v>CONTRACT</v>
          </cell>
          <cell r="V1469" t="str">
            <v>Base</v>
          </cell>
          <cell r="W1469" t="str">
            <v>05 Won</v>
          </cell>
          <cell r="X1469" t="str">
            <v>Active</v>
          </cell>
          <cell r="Y1469">
            <v>1</v>
          </cell>
          <cell r="Z1469">
            <v>0</v>
          </cell>
          <cell r="AA1469">
            <v>16431461.094999999</v>
          </cell>
          <cell r="AB1469">
            <v>0</v>
          </cell>
          <cell r="AC1469">
            <v>0</v>
          </cell>
          <cell r="AD1469">
            <v>16431461.094999999</v>
          </cell>
          <cell r="AL1469">
            <v>0.1298473952511407</v>
          </cell>
          <cell r="AM1469">
            <v>0.16068206326043979</v>
          </cell>
          <cell r="AN1469">
            <v>0.16709676237416426</v>
          </cell>
          <cell r="AO1469">
            <v>0.19154484044756159</v>
          </cell>
          <cell r="AP1469">
            <v>0.17827465768400658</v>
          </cell>
          <cell r="AQ1469">
            <v>0.17827465768400658</v>
          </cell>
          <cell r="AR1469">
            <v>0.17827465768400658</v>
          </cell>
          <cell r="AS1469">
            <v>0.17827465768400658</v>
          </cell>
          <cell r="BF1469">
            <v>211568.77</v>
          </cell>
          <cell r="BG1469">
            <v>1233184.9099999997</v>
          </cell>
          <cell r="BH1469">
            <v>1204699</v>
          </cell>
          <cell r="BI1469">
            <v>371277.51</v>
          </cell>
          <cell r="BJ1469">
            <v>285554.32999999996</v>
          </cell>
          <cell r="BK1469">
            <v>328849.12999999995</v>
          </cell>
          <cell r="BL1469">
            <v>593451.03740999999</v>
          </cell>
          <cell r="BM1469">
            <v>1579132.0074100001</v>
          </cell>
          <cell r="BN1469">
            <v>1149885.0545677962</v>
          </cell>
          <cell r="BO1469">
            <v>0</v>
          </cell>
          <cell r="BP1469">
            <v>0</v>
          </cell>
          <cell r="BQ1469">
            <v>0</v>
          </cell>
          <cell r="BR1469">
            <v>2729017.0619777963</v>
          </cell>
          <cell r="BT1469">
            <v>0</v>
          </cell>
          <cell r="CA1469" t="str">
            <v>HDPACM - CONTRACT - Base</v>
          </cell>
          <cell r="CC1469" t="str">
            <v>HDPACM - CONTRACT - Base - IS4</v>
          </cell>
          <cell r="CD1469" t="str">
            <v/>
          </cell>
          <cell r="CF1469" t="str">
            <v>HDPACM - Base - IS4</v>
          </cell>
        </row>
        <row r="1470">
          <cell r="D1470">
            <v>1456</v>
          </cell>
          <cell r="E1470">
            <v>2</v>
          </cell>
          <cell r="F1470">
            <v>4</v>
          </cell>
          <cell r="G1470" t="str">
            <v>HDPACM</v>
          </cell>
          <cell r="H1470" t="str">
            <v>PACOM J31</v>
          </cell>
          <cell r="I1470" t="str">
            <v>IS4</v>
          </cell>
          <cell r="J1470" t="str">
            <v>IS4 Spectrum &amp; Infrastructure Assurance</v>
          </cell>
          <cell r="K1470" t="str">
            <v>Army</v>
          </cell>
          <cell r="L1470" t="str">
            <v>DOD</v>
          </cell>
          <cell r="M1470" t="str">
            <v>HI</v>
          </cell>
          <cell r="N1470" t="str">
            <v>CONUS</v>
          </cell>
          <cell r="O1470">
            <v>0</v>
          </cell>
          <cell r="P1470">
            <v>0</v>
          </cell>
          <cell r="Q1470">
            <v>0</v>
          </cell>
          <cell r="R1470" t="str">
            <v>CPFF</v>
          </cell>
          <cell r="S1470">
            <v>0</v>
          </cell>
          <cell r="T1470">
            <v>1</v>
          </cell>
          <cell r="U1470" t="str">
            <v>CONTRACT</v>
          </cell>
          <cell r="V1470" t="str">
            <v>Identified - Recompete</v>
          </cell>
          <cell r="W1470">
            <v>0</v>
          </cell>
          <cell r="X1470">
            <v>0</v>
          </cell>
          <cell r="Y1470">
            <v>0</v>
          </cell>
          <cell r="Z1470">
            <v>0</v>
          </cell>
          <cell r="AA1470">
            <v>0</v>
          </cell>
          <cell r="AB1470">
            <v>0</v>
          </cell>
          <cell r="AC1470">
            <v>0</v>
          </cell>
          <cell r="AD1470">
            <v>0</v>
          </cell>
          <cell r="AP1470">
            <v>0</v>
          </cell>
          <cell r="AQ1470">
            <v>0</v>
          </cell>
          <cell r="AR1470">
            <v>0</v>
          </cell>
          <cell r="AS1470">
            <v>0</v>
          </cell>
          <cell r="BI1470">
            <v>0</v>
          </cell>
          <cell r="BJ1470">
            <v>0</v>
          </cell>
          <cell r="BK1470">
            <v>0</v>
          </cell>
          <cell r="BL1470">
            <v>0</v>
          </cell>
          <cell r="BM1470">
            <v>0</v>
          </cell>
          <cell r="BN1470">
            <v>0</v>
          </cell>
          <cell r="BO1470">
            <v>0</v>
          </cell>
          <cell r="BP1470">
            <v>0</v>
          </cell>
          <cell r="BQ1470">
            <v>0</v>
          </cell>
          <cell r="BR1470">
            <v>0</v>
          </cell>
          <cell r="BT1470">
            <v>0</v>
          </cell>
          <cell r="CA1470" t="str">
            <v>HDPACM - CONTRACT - Identified - Recompete</v>
          </cell>
          <cell r="CC1470" t="str">
            <v>HDPACM - CONTRACT - Identified - Recompete - IS4</v>
          </cell>
          <cell r="CD1470" t="str">
            <v/>
          </cell>
          <cell r="CF1470" t="str">
            <v>HDPACM - Identified - Recompete - IS4</v>
          </cell>
        </row>
        <row r="1471">
          <cell r="D1471">
            <v>1457</v>
          </cell>
          <cell r="E1471">
            <v>0</v>
          </cell>
          <cell r="F1471">
            <v>5</v>
          </cell>
          <cell r="G1471" t="str">
            <v>HDPACM</v>
          </cell>
          <cell r="H1471" t="str">
            <v>PACOM J31</v>
          </cell>
          <cell r="I1471" t="str">
            <v>IS4</v>
          </cell>
          <cell r="J1471" t="str">
            <v>IS4 Spectrum &amp; Infrastructure Assurance</v>
          </cell>
          <cell r="K1471" t="str">
            <v>Army</v>
          </cell>
          <cell r="L1471" t="str">
            <v>DOD</v>
          </cell>
          <cell r="M1471" t="str">
            <v>HI</v>
          </cell>
          <cell r="N1471" t="str">
            <v>CONUS</v>
          </cell>
          <cell r="O1471">
            <v>42276</v>
          </cell>
          <cell r="P1471">
            <v>44102</v>
          </cell>
          <cell r="Q1471" t="str">
            <v>Prime</v>
          </cell>
          <cell r="R1471" t="str">
            <v>CPFF</v>
          </cell>
          <cell r="S1471">
            <v>0</v>
          </cell>
          <cell r="T1471">
            <v>1</v>
          </cell>
          <cell r="U1471" t="str">
            <v>EBITA</v>
          </cell>
          <cell r="V1471" t="str">
            <v>Base</v>
          </cell>
          <cell r="W1471" t="str">
            <v>05 Won</v>
          </cell>
          <cell r="X1471" t="str">
            <v>Active</v>
          </cell>
          <cell r="Y1471">
            <v>1</v>
          </cell>
          <cell r="Z1471">
            <v>0</v>
          </cell>
          <cell r="AA1471">
            <v>16431461.094999999</v>
          </cell>
          <cell r="AB1471">
            <v>0</v>
          </cell>
          <cell r="AC1471">
            <v>0</v>
          </cell>
          <cell r="AD1471">
            <v>16431461.094999999</v>
          </cell>
          <cell r="AT1471">
            <v>-6.0409125332991816E-3</v>
          </cell>
          <cell r="AU1471">
            <v>2.4636072270229958E-2</v>
          </cell>
          <cell r="AV1471">
            <v>2.7836806877560308E-2</v>
          </cell>
          <cell r="AW1471">
            <v>3.7790459393157068E-2</v>
          </cell>
          <cell r="AX1471">
            <v>3.430704185135576E-2</v>
          </cell>
          <cell r="AY1471">
            <v>3.430704185135576E-2</v>
          </cell>
          <cell r="AZ1471">
            <v>3.430704185135576E-2</v>
          </cell>
          <cell r="BA1471">
            <v>3.430704185135576E-2</v>
          </cell>
          <cell r="BF1471">
            <v>-9842.8500000000113</v>
          </cell>
          <cell r="BG1471">
            <v>189074.19999999984</v>
          </cell>
          <cell r="BH1471">
            <v>200691.93999999997</v>
          </cell>
          <cell r="BI1471">
            <v>60773.440000000017</v>
          </cell>
          <cell r="BJ1471">
            <v>44058.739999999947</v>
          </cell>
          <cell r="BK1471">
            <v>83640.499999999913</v>
          </cell>
          <cell r="BL1471">
            <v>123079.03740999999</v>
          </cell>
          <cell r="BM1471">
            <v>311551.71740999987</v>
          </cell>
          <cell r="BN1471">
            <v>221283.02027778883</v>
          </cell>
          <cell r="BO1471">
            <v>0</v>
          </cell>
          <cell r="BP1471">
            <v>0</v>
          </cell>
          <cell r="BQ1471">
            <v>0</v>
          </cell>
          <cell r="BR1471">
            <v>532834.73768778867</v>
          </cell>
          <cell r="BT1471">
            <v>0</v>
          </cell>
          <cell r="CA1471" t="str">
            <v>HDPACM - EBITA - Base</v>
          </cell>
          <cell r="CC1471" t="str">
            <v>HDPACM - EBITA - Base - IS4</v>
          </cell>
          <cell r="CD1471" t="str">
            <v/>
          </cell>
          <cell r="CF1471" t="str">
            <v>HDPACM - Base - IS4</v>
          </cell>
        </row>
        <row r="1472">
          <cell r="D1472">
            <v>1458</v>
          </cell>
          <cell r="E1472">
            <v>0</v>
          </cell>
          <cell r="F1472">
            <v>0</v>
          </cell>
          <cell r="G1472" t="str">
            <v>HDPACM</v>
          </cell>
          <cell r="H1472" t="str">
            <v>PACOM J31</v>
          </cell>
          <cell r="I1472" t="str">
            <v>IS4</v>
          </cell>
          <cell r="J1472" t="str">
            <v>IS4 Spectrum &amp; Infrastructure Assurance</v>
          </cell>
          <cell r="K1472" t="str">
            <v>Army</v>
          </cell>
          <cell r="L1472" t="str">
            <v>DOD</v>
          </cell>
          <cell r="M1472" t="str">
            <v>HI</v>
          </cell>
          <cell r="N1472" t="str">
            <v>CONUS</v>
          </cell>
          <cell r="O1472">
            <v>0</v>
          </cell>
          <cell r="P1472">
            <v>0</v>
          </cell>
          <cell r="Q1472">
            <v>0</v>
          </cell>
          <cell r="R1472" t="str">
            <v>CPFF</v>
          </cell>
          <cell r="S1472">
            <v>0</v>
          </cell>
          <cell r="T1472">
            <v>1</v>
          </cell>
          <cell r="U1472" t="str">
            <v>EBITA</v>
          </cell>
          <cell r="V1472" t="str">
            <v>Identified - Recompete</v>
          </cell>
          <cell r="W1472">
            <v>0</v>
          </cell>
          <cell r="X1472">
            <v>0</v>
          </cell>
          <cell r="Y1472">
            <v>0</v>
          </cell>
          <cell r="Z1472">
            <v>0</v>
          </cell>
          <cell r="AA1472">
            <v>0</v>
          </cell>
          <cell r="AB1472">
            <v>0</v>
          </cell>
          <cell r="AC1472">
            <v>0</v>
          </cell>
          <cell r="AD1472">
            <v>0</v>
          </cell>
          <cell r="AX1472">
            <v>0</v>
          </cell>
          <cell r="AY1472">
            <v>0</v>
          </cell>
          <cell r="AZ1472">
            <v>0</v>
          </cell>
          <cell r="BA1472">
            <v>0</v>
          </cell>
          <cell r="BI1472">
            <v>0</v>
          </cell>
          <cell r="BJ1472">
            <v>0</v>
          </cell>
          <cell r="BK1472">
            <v>0</v>
          </cell>
          <cell r="BL1472">
            <v>0</v>
          </cell>
          <cell r="BM1472">
            <v>0</v>
          </cell>
          <cell r="BN1472">
            <v>0</v>
          </cell>
          <cell r="BO1472">
            <v>0</v>
          </cell>
          <cell r="BP1472">
            <v>0</v>
          </cell>
          <cell r="BQ1472">
            <v>0</v>
          </cell>
          <cell r="BR1472">
            <v>0</v>
          </cell>
          <cell r="BT1472">
            <v>0</v>
          </cell>
          <cell r="CA1472" t="str">
            <v>HDPACM - EBITA - Identified - Recompete</v>
          </cell>
          <cell r="CC1472" t="str">
            <v>HDPACM - EBITA - Identified - Recompete - IS4</v>
          </cell>
          <cell r="CD1472" t="str">
            <v/>
          </cell>
          <cell r="CF1472" t="str">
            <v>HDPACM - Identified - Recompete - IS4</v>
          </cell>
        </row>
        <row r="1473">
          <cell r="D1473">
            <v>1459</v>
          </cell>
          <cell r="E1473">
            <v>1</v>
          </cell>
          <cell r="F1473">
            <v>1</v>
          </cell>
          <cell r="G1473" t="str">
            <v>CBAMSD</v>
          </cell>
          <cell r="H1473" t="str">
            <v>BAMS-D 3419</v>
          </cell>
          <cell r="I1473" t="str">
            <v>IS4</v>
          </cell>
          <cell r="J1473" t="str">
            <v>IS4 Spectrum &amp; Infrastructure Assurance</v>
          </cell>
          <cell r="K1473" t="str">
            <v>Navy</v>
          </cell>
          <cell r="L1473" t="str">
            <v>DOD</v>
          </cell>
          <cell r="M1473" t="str">
            <v>MD</v>
          </cell>
          <cell r="N1473" t="str">
            <v>CONUS</v>
          </cell>
          <cell r="O1473">
            <v>43183</v>
          </cell>
          <cell r="P1473">
            <v>44278</v>
          </cell>
          <cell r="Q1473" t="str">
            <v>Prime</v>
          </cell>
          <cell r="R1473" t="str">
            <v>CPFF</v>
          </cell>
          <cell r="S1473">
            <v>0</v>
          </cell>
          <cell r="T1473">
            <v>1</v>
          </cell>
          <cell r="U1473" t="str">
            <v>REVTOT</v>
          </cell>
          <cell r="V1473" t="str">
            <v>Base</v>
          </cell>
          <cell r="W1473" t="str">
            <v>05 Won</v>
          </cell>
          <cell r="X1473" t="str">
            <v>Active</v>
          </cell>
          <cell r="Y1473">
            <v>1</v>
          </cell>
          <cell r="Z1473">
            <v>0</v>
          </cell>
          <cell r="AA1473">
            <v>9468275.3045999967</v>
          </cell>
          <cell r="AB1473">
            <v>14792029.850000001</v>
          </cell>
          <cell r="AC1473">
            <v>0</v>
          </cell>
          <cell r="AD1473">
            <v>24260305.154599998</v>
          </cell>
          <cell r="AE1473">
            <v>0</v>
          </cell>
          <cell r="AF1473">
            <v>0</v>
          </cell>
          <cell r="AG1473">
            <v>0.92713351309922354</v>
          </cell>
          <cell r="AH1473">
            <v>6.4801852371214386E-2</v>
          </cell>
          <cell r="AI1473">
            <v>0</v>
          </cell>
          <cell r="AJ1473">
            <v>0</v>
          </cell>
          <cell r="AK1473">
            <v>0</v>
          </cell>
          <cell r="BB1473">
            <v>6642440</v>
          </cell>
          <cell r="BC1473">
            <v>6642440</v>
          </cell>
          <cell r="BD1473">
            <v>6642440</v>
          </cell>
          <cell r="BE1473">
            <v>6642440</v>
          </cell>
          <cell r="BF1473">
            <v>0</v>
          </cell>
          <cell r="BG1473">
            <v>0</v>
          </cell>
          <cell r="BH1473">
            <v>3237032.34</v>
          </cell>
          <cell r="BI1473">
            <v>1521161.31</v>
          </cell>
          <cell r="BJ1473">
            <v>1488360.62</v>
          </cell>
          <cell r="BK1473">
            <v>1628901.6099999999</v>
          </cell>
          <cell r="BL1473">
            <v>1599769.9654000001</v>
          </cell>
          <cell r="BM1473">
            <v>6238193.5054000001</v>
          </cell>
          <cell r="BN1473">
            <v>6642440</v>
          </cell>
          <cell r="BO1473">
            <v>6642440</v>
          </cell>
          <cell r="BP1473">
            <v>6642440</v>
          </cell>
          <cell r="BQ1473">
            <v>4332985.1545999981</v>
          </cell>
          <cell r="BR1473">
            <v>30498498.66</v>
          </cell>
          <cell r="BT1473">
            <v>0</v>
          </cell>
          <cell r="CA1473" t="str">
            <v>CBAMSD - REVTOT - Base</v>
          </cell>
          <cell r="CC1473" t="str">
            <v>CBAMSD - REVTOT - Base - IS4</v>
          </cell>
          <cell r="CD1473" t="str">
            <v/>
          </cell>
          <cell r="CF1473" t="str">
            <v>CBAMSD - Base - IS4</v>
          </cell>
        </row>
        <row r="1474">
          <cell r="D1474">
            <v>1460</v>
          </cell>
          <cell r="E1474">
            <v>1</v>
          </cell>
          <cell r="F1474">
            <v>2</v>
          </cell>
          <cell r="G1474" t="str">
            <v>CBAMSD</v>
          </cell>
          <cell r="H1474" t="str">
            <v>BAMS-D 3419</v>
          </cell>
          <cell r="I1474" t="str">
            <v>IS4</v>
          </cell>
          <cell r="J1474" t="str">
            <v>IS4 Spectrum &amp; Infrastructure Assurance</v>
          </cell>
          <cell r="K1474" t="str">
            <v>Navy</v>
          </cell>
          <cell r="L1474" t="str">
            <v>DOD</v>
          </cell>
          <cell r="M1474" t="str">
            <v>MD</v>
          </cell>
          <cell r="N1474" t="str">
            <v>CONUS</v>
          </cell>
          <cell r="O1474">
            <v>0</v>
          </cell>
          <cell r="P1474">
            <v>0</v>
          </cell>
          <cell r="Q1474">
            <v>0</v>
          </cell>
          <cell r="R1474" t="str">
            <v>CPFF</v>
          </cell>
          <cell r="S1474">
            <v>0</v>
          </cell>
          <cell r="T1474">
            <v>1</v>
          </cell>
          <cell r="U1474" t="str">
            <v>REVTOT</v>
          </cell>
          <cell r="V1474" t="str">
            <v>Identified - Recompete</v>
          </cell>
          <cell r="W1474">
            <v>0</v>
          </cell>
          <cell r="X1474">
            <v>0</v>
          </cell>
          <cell r="Y1474">
            <v>0</v>
          </cell>
          <cell r="Z1474">
            <v>0</v>
          </cell>
          <cell r="AA1474">
            <v>0</v>
          </cell>
          <cell r="AB1474">
            <v>0</v>
          </cell>
          <cell r="AC1474">
            <v>0</v>
          </cell>
          <cell r="AD1474">
            <v>0</v>
          </cell>
          <cell r="AI1474">
            <v>0</v>
          </cell>
          <cell r="AJ1474">
            <v>0</v>
          </cell>
          <cell r="AK1474">
            <v>0</v>
          </cell>
          <cell r="BB1474">
            <v>0</v>
          </cell>
          <cell r="BC1474">
            <v>0</v>
          </cell>
          <cell r="BD1474">
            <v>0</v>
          </cell>
          <cell r="BE1474">
            <v>0</v>
          </cell>
          <cell r="BI1474">
            <v>0</v>
          </cell>
          <cell r="BJ1474">
            <v>0</v>
          </cell>
          <cell r="BK1474">
            <v>0</v>
          </cell>
          <cell r="BL1474">
            <v>0</v>
          </cell>
          <cell r="BM1474">
            <v>0</v>
          </cell>
          <cell r="BN1474">
            <v>0</v>
          </cell>
          <cell r="BO1474">
            <v>0</v>
          </cell>
          <cell r="BP1474">
            <v>0</v>
          </cell>
          <cell r="BQ1474">
            <v>0</v>
          </cell>
          <cell r="BR1474">
            <v>0</v>
          </cell>
          <cell r="BT1474">
            <v>0</v>
          </cell>
          <cell r="CA1474" t="str">
            <v>CBAMSD - REVTOT - Identified - Recompete</v>
          </cell>
          <cell r="CC1474" t="str">
            <v>CBAMSD - REVTOT - Identified - Recompete - IS4</v>
          </cell>
          <cell r="CD1474" t="str">
            <v/>
          </cell>
          <cell r="CF1474" t="str">
            <v>CBAMSD - Identified - Recompete - IS4</v>
          </cell>
        </row>
        <row r="1475">
          <cell r="D1475">
            <v>1461</v>
          </cell>
          <cell r="E1475">
            <v>2</v>
          </cell>
          <cell r="F1475">
            <v>3</v>
          </cell>
          <cell r="G1475" t="str">
            <v>CBAMSD</v>
          </cell>
          <cell r="H1475" t="str">
            <v>BAMS-D 3419</v>
          </cell>
          <cell r="I1475" t="str">
            <v>IS4</v>
          </cell>
          <cell r="J1475" t="str">
            <v>IS4 Spectrum &amp; Infrastructure Assurance</v>
          </cell>
          <cell r="K1475" t="str">
            <v>Navy</v>
          </cell>
          <cell r="L1475" t="str">
            <v>DOD</v>
          </cell>
          <cell r="M1475" t="str">
            <v>MD</v>
          </cell>
          <cell r="N1475" t="str">
            <v>CONUS</v>
          </cell>
          <cell r="O1475">
            <v>43183</v>
          </cell>
          <cell r="P1475">
            <v>44278</v>
          </cell>
          <cell r="Q1475" t="str">
            <v>Prime</v>
          </cell>
          <cell r="R1475" t="str">
            <v>CPFF</v>
          </cell>
          <cell r="S1475">
            <v>0</v>
          </cell>
          <cell r="T1475">
            <v>1</v>
          </cell>
          <cell r="U1475" t="str">
            <v>CONTRACT</v>
          </cell>
          <cell r="V1475" t="str">
            <v>Base</v>
          </cell>
          <cell r="W1475" t="str">
            <v>05 Won</v>
          </cell>
          <cell r="X1475" t="str">
            <v>Active</v>
          </cell>
          <cell r="Y1475">
            <v>1</v>
          </cell>
          <cell r="Z1475">
            <v>0</v>
          </cell>
          <cell r="AA1475">
            <v>9468275.3045999967</v>
          </cell>
          <cell r="AB1475">
            <v>14792029.850000001</v>
          </cell>
          <cell r="AC1475">
            <v>0</v>
          </cell>
          <cell r="AD1475">
            <v>24260305.154599998</v>
          </cell>
          <cell r="AL1475">
            <v>0</v>
          </cell>
          <cell r="AM1475">
            <v>0</v>
          </cell>
          <cell r="AN1475">
            <v>0.14323024650411739</v>
          </cell>
          <cell r="AO1475">
            <v>0.14762588949650562</v>
          </cell>
          <cell r="AP1475">
            <v>0.14903831917187058</v>
          </cell>
          <cell r="AQ1475">
            <v>0.14903831917187058</v>
          </cell>
          <cell r="AR1475">
            <v>0.14903831917187058</v>
          </cell>
          <cell r="AS1475">
            <v>0.14903831917187058</v>
          </cell>
          <cell r="BF1475">
            <v>0</v>
          </cell>
          <cell r="BG1475">
            <v>0</v>
          </cell>
          <cell r="BH1475">
            <v>463640.93999999994</v>
          </cell>
          <cell r="BI1475">
            <v>219701.95999999979</v>
          </cell>
          <cell r="BJ1475">
            <v>210745.61999999994</v>
          </cell>
          <cell r="BK1475">
            <v>233619.84999999986</v>
          </cell>
          <cell r="BL1475">
            <v>256851.43508599995</v>
          </cell>
          <cell r="BM1475">
            <v>920918.86508599948</v>
          </cell>
          <cell r="BN1475">
            <v>989978.09279999998</v>
          </cell>
          <cell r="BO1475">
            <v>989978.09279999998</v>
          </cell>
          <cell r="BP1475">
            <v>989978.09279999998</v>
          </cell>
          <cell r="BQ1475">
            <v>645780.82443825144</v>
          </cell>
          <cell r="BR1475">
            <v>4536633.9679242512</v>
          </cell>
          <cell r="BT1475">
            <v>0</v>
          </cell>
          <cell r="CA1475" t="str">
            <v>CBAMSD - CONTRACT - Base</v>
          </cell>
          <cell r="CC1475" t="str">
            <v>CBAMSD - CONTRACT - Base - IS4</v>
          </cell>
          <cell r="CD1475" t="str">
            <v/>
          </cell>
          <cell r="CF1475" t="str">
            <v>CBAMSD - Base - IS4</v>
          </cell>
        </row>
        <row r="1476">
          <cell r="D1476">
            <v>1462</v>
          </cell>
          <cell r="E1476">
            <v>2</v>
          </cell>
          <cell r="F1476">
            <v>4</v>
          </cell>
          <cell r="G1476" t="str">
            <v>CBAMSD</v>
          </cell>
          <cell r="H1476" t="str">
            <v>BAMS-D 3419</v>
          </cell>
          <cell r="I1476" t="str">
            <v>IS4</v>
          </cell>
          <cell r="J1476" t="str">
            <v>IS4 Spectrum &amp; Infrastructure Assurance</v>
          </cell>
          <cell r="K1476" t="str">
            <v>Navy</v>
          </cell>
          <cell r="L1476" t="str">
            <v>DOD</v>
          </cell>
          <cell r="M1476" t="str">
            <v>MD</v>
          </cell>
          <cell r="N1476" t="str">
            <v>CONUS</v>
          </cell>
          <cell r="O1476">
            <v>0</v>
          </cell>
          <cell r="P1476">
            <v>0</v>
          </cell>
          <cell r="Q1476">
            <v>0</v>
          </cell>
          <cell r="R1476" t="str">
            <v>CPFF</v>
          </cell>
          <cell r="S1476">
            <v>0</v>
          </cell>
          <cell r="T1476">
            <v>1</v>
          </cell>
          <cell r="U1476" t="str">
            <v>CONTRACT</v>
          </cell>
          <cell r="V1476" t="str">
            <v>Identified - Recompete</v>
          </cell>
          <cell r="W1476">
            <v>0</v>
          </cell>
          <cell r="X1476">
            <v>0</v>
          </cell>
          <cell r="Y1476">
            <v>0</v>
          </cell>
          <cell r="Z1476">
            <v>0</v>
          </cell>
          <cell r="AA1476">
            <v>0</v>
          </cell>
          <cell r="AB1476">
            <v>0</v>
          </cell>
          <cell r="AC1476">
            <v>0</v>
          </cell>
          <cell r="AD1476">
            <v>0</v>
          </cell>
          <cell r="AP1476">
            <v>0</v>
          </cell>
          <cell r="AQ1476">
            <v>0</v>
          </cell>
          <cell r="AR1476">
            <v>0</v>
          </cell>
          <cell r="AS1476">
            <v>0</v>
          </cell>
          <cell r="BI1476">
            <v>0</v>
          </cell>
          <cell r="BJ1476">
            <v>0</v>
          </cell>
          <cell r="BK1476">
            <v>0</v>
          </cell>
          <cell r="BL1476">
            <v>0</v>
          </cell>
          <cell r="BM1476">
            <v>0</v>
          </cell>
          <cell r="BN1476">
            <v>0</v>
          </cell>
          <cell r="BO1476">
            <v>0</v>
          </cell>
          <cell r="BP1476">
            <v>0</v>
          </cell>
          <cell r="BQ1476">
            <v>0</v>
          </cell>
          <cell r="BR1476">
            <v>0</v>
          </cell>
          <cell r="BT1476">
            <v>0</v>
          </cell>
          <cell r="CA1476" t="str">
            <v>CBAMSD - CONTRACT - Identified - Recompete</v>
          </cell>
          <cell r="CC1476" t="str">
            <v>CBAMSD - CONTRACT - Identified - Recompete - IS4</v>
          </cell>
          <cell r="CD1476" t="str">
            <v/>
          </cell>
          <cell r="CF1476" t="str">
            <v>CBAMSD - Identified - Recompete - IS4</v>
          </cell>
        </row>
        <row r="1477">
          <cell r="D1477">
            <v>1463</v>
          </cell>
          <cell r="E1477">
            <v>0</v>
          </cell>
          <cell r="F1477">
            <v>5</v>
          </cell>
          <cell r="G1477" t="str">
            <v>CBAMSD</v>
          </cell>
          <cell r="H1477" t="str">
            <v>BAMS-D 3419</v>
          </cell>
          <cell r="I1477" t="str">
            <v>IS4</v>
          </cell>
          <cell r="J1477" t="str">
            <v>IS4 Spectrum &amp; Infrastructure Assurance</v>
          </cell>
          <cell r="K1477" t="str">
            <v>Navy</v>
          </cell>
          <cell r="L1477" t="str">
            <v>DOD</v>
          </cell>
          <cell r="M1477" t="str">
            <v>MD</v>
          </cell>
          <cell r="N1477" t="str">
            <v>CONUS</v>
          </cell>
          <cell r="O1477">
            <v>43183</v>
          </cell>
          <cell r="P1477">
            <v>44278</v>
          </cell>
          <cell r="Q1477" t="str">
            <v>Prime</v>
          </cell>
          <cell r="R1477" t="str">
            <v>CPFF</v>
          </cell>
          <cell r="S1477">
            <v>0</v>
          </cell>
          <cell r="T1477">
            <v>1</v>
          </cell>
          <cell r="U1477" t="str">
            <v>EBITA</v>
          </cell>
          <cell r="V1477" t="str">
            <v>Base</v>
          </cell>
          <cell r="W1477" t="str">
            <v>05 Won</v>
          </cell>
          <cell r="X1477" t="str">
            <v>Active</v>
          </cell>
          <cell r="Y1477">
            <v>1</v>
          </cell>
          <cell r="Z1477">
            <v>0</v>
          </cell>
          <cell r="AA1477">
            <v>9468275.3045999967</v>
          </cell>
          <cell r="AB1477">
            <v>14792029.850000001</v>
          </cell>
          <cell r="AC1477">
            <v>0</v>
          </cell>
          <cell r="AD1477">
            <v>24260305.154599998</v>
          </cell>
          <cell r="AT1477">
            <v>0</v>
          </cell>
          <cell r="AU1477">
            <v>0</v>
          </cell>
          <cell r="AV1477">
            <v>3.9777443187360907E-2</v>
          </cell>
          <cell r="AW1477">
            <v>4.3807516411832836E-2</v>
          </cell>
          <cell r="AX1477">
            <v>4.1520267932469421E-2</v>
          </cell>
          <cell r="AY1477">
            <v>4.1520267932469421E-2</v>
          </cell>
          <cell r="AZ1477">
            <v>4.1520267932469421E-2</v>
          </cell>
          <cell r="BA1477">
            <v>4.1520267932469421E-2</v>
          </cell>
          <cell r="BF1477">
            <v>0</v>
          </cell>
          <cell r="BG1477">
            <v>0</v>
          </cell>
          <cell r="BH1477">
            <v>128760.86999999992</v>
          </cell>
          <cell r="BI1477">
            <v>58966.979999999785</v>
          </cell>
          <cell r="BJ1477">
            <v>57045.149999999936</v>
          </cell>
          <cell r="BK1477">
            <v>64471.60999999987</v>
          </cell>
          <cell r="BL1477">
            <v>92796.024367999955</v>
          </cell>
          <cell r="BM1477">
            <v>273279.76436799951</v>
          </cell>
          <cell r="BN1477">
            <v>275795.88852535217</v>
          </cell>
          <cell r="BO1477">
            <v>275795.88852535217</v>
          </cell>
          <cell r="BP1477">
            <v>275795.88852535217</v>
          </cell>
          <cell r="BQ1477">
            <v>179906.70456640437</v>
          </cell>
          <cell r="BR1477">
            <v>1280574.1345104603</v>
          </cell>
          <cell r="BT1477">
            <v>0</v>
          </cell>
          <cell r="CA1477" t="str">
            <v>CBAMSD - EBITA - Base</v>
          </cell>
          <cell r="CC1477" t="str">
            <v>CBAMSD - EBITA - Base - IS4</v>
          </cell>
          <cell r="CD1477" t="str">
            <v/>
          </cell>
          <cell r="CF1477" t="str">
            <v>CBAMSD - Base - IS4</v>
          </cell>
        </row>
        <row r="1478">
          <cell r="D1478">
            <v>1464</v>
          </cell>
          <cell r="E1478">
            <v>0</v>
          </cell>
          <cell r="F1478">
            <v>0</v>
          </cell>
          <cell r="G1478" t="str">
            <v>CBAMSD</v>
          </cell>
          <cell r="H1478" t="str">
            <v>BAMS-D 3419</v>
          </cell>
          <cell r="I1478" t="str">
            <v>IS4</v>
          </cell>
          <cell r="J1478" t="str">
            <v>IS4 Spectrum &amp; Infrastructure Assurance</v>
          </cell>
          <cell r="K1478" t="str">
            <v>Navy</v>
          </cell>
          <cell r="L1478" t="str">
            <v>DOD</v>
          </cell>
          <cell r="M1478" t="str">
            <v>MD</v>
          </cell>
          <cell r="N1478" t="str">
            <v>CONUS</v>
          </cell>
          <cell r="O1478">
            <v>0</v>
          </cell>
          <cell r="P1478">
            <v>0</v>
          </cell>
          <cell r="Q1478">
            <v>0</v>
          </cell>
          <cell r="R1478" t="str">
            <v>CPFF</v>
          </cell>
          <cell r="S1478">
            <v>0</v>
          </cell>
          <cell r="T1478">
            <v>1</v>
          </cell>
          <cell r="U1478" t="str">
            <v>EBITA</v>
          </cell>
          <cell r="V1478" t="str">
            <v>Identified - Recompete</v>
          </cell>
          <cell r="W1478">
            <v>0</v>
          </cell>
          <cell r="X1478">
            <v>0</v>
          </cell>
          <cell r="Y1478">
            <v>0</v>
          </cell>
          <cell r="Z1478">
            <v>0</v>
          </cell>
          <cell r="AA1478">
            <v>0</v>
          </cell>
          <cell r="AB1478">
            <v>0</v>
          </cell>
          <cell r="AC1478">
            <v>0</v>
          </cell>
          <cell r="AD1478">
            <v>0</v>
          </cell>
          <cell r="AX1478">
            <v>0</v>
          </cell>
          <cell r="AY1478">
            <v>0</v>
          </cell>
          <cell r="AZ1478">
            <v>0</v>
          </cell>
          <cell r="BA1478">
            <v>0</v>
          </cell>
          <cell r="BI1478">
            <v>0</v>
          </cell>
          <cell r="BJ1478">
            <v>0</v>
          </cell>
          <cell r="BK1478">
            <v>0</v>
          </cell>
          <cell r="BL1478">
            <v>0</v>
          </cell>
          <cell r="BM1478">
            <v>0</v>
          </cell>
          <cell r="BN1478">
            <v>0</v>
          </cell>
          <cell r="BO1478">
            <v>0</v>
          </cell>
          <cell r="BP1478">
            <v>0</v>
          </cell>
          <cell r="BQ1478">
            <v>0</v>
          </cell>
          <cell r="BR1478">
            <v>0</v>
          </cell>
          <cell r="BT1478">
            <v>0</v>
          </cell>
          <cell r="CA1478" t="str">
            <v>CBAMSD - EBITA - Identified - Recompete</v>
          </cell>
          <cell r="CC1478" t="str">
            <v>CBAMSD - EBITA - Identified - Recompete - IS4</v>
          </cell>
          <cell r="CD1478" t="str">
            <v/>
          </cell>
          <cell r="CF1478" t="str">
            <v>CBAMSD - Identified - Recompete - IS4</v>
          </cell>
        </row>
        <row r="1479">
          <cell r="D1479">
            <v>1465</v>
          </cell>
          <cell r="E1479">
            <v>1</v>
          </cell>
          <cell r="F1479">
            <v>1</v>
          </cell>
          <cell r="G1479" t="str">
            <v>MHTVPM</v>
          </cell>
          <cell r="H1479" t="str">
            <v>Medium and Heavy Tactical Vehicles (PM MHTV)</v>
          </cell>
          <cell r="I1479" t="str">
            <v>IS4</v>
          </cell>
          <cell r="J1479" t="str">
            <v>IS4 Spectrum &amp; Infrastructure Assurance</v>
          </cell>
          <cell r="K1479" t="str">
            <v>Navy</v>
          </cell>
          <cell r="L1479" t="str">
            <v>DOD</v>
          </cell>
          <cell r="M1479" t="str">
            <v>VA</v>
          </cell>
          <cell r="N1479" t="str">
            <v>CONUS</v>
          </cell>
          <cell r="O1479">
            <v>43005</v>
          </cell>
          <cell r="P1479">
            <v>44465</v>
          </cell>
          <cell r="Q1479" t="str">
            <v>Prime</v>
          </cell>
          <cell r="R1479" t="str">
            <v>CPFF</v>
          </cell>
          <cell r="S1479">
            <v>0</v>
          </cell>
          <cell r="T1479">
            <v>1</v>
          </cell>
          <cell r="U1479" t="str">
            <v>REVTOT</v>
          </cell>
          <cell r="V1479" t="str">
            <v>Base</v>
          </cell>
          <cell r="W1479" t="str">
            <v>05 Won</v>
          </cell>
          <cell r="X1479" t="str">
            <v>Active</v>
          </cell>
          <cell r="Y1479">
            <v>1</v>
          </cell>
          <cell r="Z1479">
            <v>0</v>
          </cell>
          <cell r="AA1479">
            <v>12187707.129999995</v>
          </cell>
          <cell r="AB1479">
            <v>8175542</v>
          </cell>
          <cell r="AC1479">
            <v>0</v>
          </cell>
          <cell r="AD1479">
            <v>20363249.129999995</v>
          </cell>
          <cell r="AE1479">
            <v>0</v>
          </cell>
          <cell r="AF1479">
            <v>0.50630413493434512</v>
          </cell>
          <cell r="AG1479">
            <v>0.17960956316912569</v>
          </cell>
          <cell r="AH1479">
            <v>-0.13789395073137367</v>
          </cell>
          <cell r="AI1479">
            <v>0</v>
          </cell>
          <cell r="AJ1479">
            <v>0</v>
          </cell>
          <cell r="AK1479">
            <v>0</v>
          </cell>
          <cell r="BB1479">
            <v>5385683.7874999996</v>
          </cell>
          <cell r="BC1479">
            <v>5385683.7874999996</v>
          </cell>
          <cell r="BD1479">
            <v>5385683.7874999996</v>
          </cell>
          <cell r="BE1479">
            <v>5385683.7874999996</v>
          </cell>
          <cell r="BF1479">
            <v>0</v>
          </cell>
          <cell r="BG1479">
            <v>3515840.83</v>
          </cell>
          <cell r="BH1479">
            <v>5295925.58</v>
          </cell>
          <cell r="BI1479">
            <v>1360343.81</v>
          </cell>
          <cell r="BJ1479">
            <v>1772309.5799999998</v>
          </cell>
          <cell r="BK1479">
            <v>1646358.0699999998</v>
          </cell>
          <cell r="BL1479">
            <v>1468113</v>
          </cell>
          <cell r="BM1479">
            <v>6247124.459999999</v>
          </cell>
          <cell r="BN1479">
            <v>5385683.7874999996</v>
          </cell>
          <cell r="BO1479">
            <v>5325842.8565277774</v>
          </cell>
          <cell r="BP1479">
            <v>0</v>
          </cell>
          <cell r="BQ1479">
            <v>0</v>
          </cell>
          <cell r="BR1479">
            <v>16958651.104027778</v>
          </cell>
          <cell r="BT1479">
            <v>0</v>
          </cell>
          <cell r="CA1479" t="str">
            <v>MHTVPM - REVTOT - Base</v>
          </cell>
          <cell r="CC1479" t="str">
            <v>MHTVPM - REVTOT - Base - IS4</v>
          </cell>
          <cell r="CD1479" t="str">
            <v/>
          </cell>
          <cell r="CF1479" t="str">
            <v>MHTVPM - Base - IS4</v>
          </cell>
        </row>
        <row r="1480">
          <cell r="D1480">
            <v>1466</v>
          </cell>
          <cell r="E1480">
            <v>1</v>
          </cell>
          <cell r="F1480">
            <v>2</v>
          </cell>
          <cell r="G1480" t="str">
            <v>MHTVPM</v>
          </cell>
          <cell r="H1480" t="str">
            <v>Medium and Heavy Tactical Vehicles (PM MHTV)</v>
          </cell>
          <cell r="I1480" t="str">
            <v>IS4</v>
          </cell>
          <cell r="J1480" t="str">
            <v>IS4 Spectrum &amp; Infrastructure Assurance</v>
          </cell>
          <cell r="K1480" t="str">
            <v>Navy</v>
          </cell>
          <cell r="L1480" t="str">
            <v>DOD</v>
          </cell>
          <cell r="M1480" t="str">
            <v>VA</v>
          </cell>
          <cell r="N1480" t="str">
            <v>CONUS</v>
          </cell>
          <cell r="O1480">
            <v>44466</v>
          </cell>
          <cell r="P1480">
            <v>45926</v>
          </cell>
          <cell r="Q1480" t="str">
            <v>Prime</v>
          </cell>
          <cell r="R1480" t="str">
            <v>CPFF</v>
          </cell>
          <cell r="S1480">
            <v>0</v>
          </cell>
          <cell r="T1480">
            <v>1</v>
          </cell>
          <cell r="U1480" t="str">
            <v>REVTOT</v>
          </cell>
          <cell r="V1480" t="str">
            <v>Identified - Recompete</v>
          </cell>
          <cell r="W1480" t="str">
            <v>00 Investigative</v>
          </cell>
          <cell r="X1480" t="str">
            <v>Priority 2</v>
          </cell>
          <cell r="Y1480">
            <v>0.5</v>
          </cell>
          <cell r="Z1480">
            <v>30000000</v>
          </cell>
          <cell r="AA1480">
            <v>0</v>
          </cell>
          <cell r="AB1480">
            <v>0</v>
          </cell>
          <cell r="AC1480">
            <v>0</v>
          </cell>
          <cell r="AD1480">
            <v>0</v>
          </cell>
          <cell r="AI1480">
            <v>0</v>
          </cell>
          <cell r="AJ1480">
            <v>0</v>
          </cell>
          <cell r="AK1480">
            <v>0</v>
          </cell>
          <cell r="BB1480">
            <v>5385683.7874999996</v>
          </cell>
          <cell r="BC1480">
            <v>5385683.7874999996</v>
          </cell>
          <cell r="BD1480">
            <v>5385683.7874999996</v>
          </cell>
          <cell r="BE1480">
            <v>5385683.7874999996</v>
          </cell>
          <cell r="BI1480">
            <v>0</v>
          </cell>
          <cell r="BJ1480">
            <v>0</v>
          </cell>
          <cell r="BK1480">
            <v>0</v>
          </cell>
          <cell r="BL1480">
            <v>0</v>
          </cell>
          <cell r="BM1480">
            <v>0</v>
          </cell>
          <cell r="BN1480">
            <v>0</v>
          </cell>
          <cell r="BO1480">
            <v>22440.349114583332</v>
          </cell>
          <cell r="BP1480">
            <v>2692841.8937499998</v>
          </cell>
          <cell r="BQ1480">
            <v>2692841.8937499998</v>
          </cell>
          <cell r="BR1480">
            <v>5408124.1366145834</v>
          </cell>
          <cell r="BT1480">
            <v>0</v>
          </cell>
          <cell r="CA1480" t="str">
            <v>MHTVPM - REVTOT - Identified - Recompete</v>
          </cell>
          <cell r="CC1480" t="str">
            <v>MHTVPM - REVTOT - Identified - Recompete - IS4</v>
          </cell>
          <cell r="CD1480" t="str">
            <v/>
          </cell>
          <cell r="CF1480" t="str">
            <v>MHTVPM - Identified - Recompete - IS4</v>
          </cell>
        </row>
        <row r="1481">
          <cell r="D1481">
            <v>1467</v>
          </cell>
          <cell r="E1481">
            <v>2</v>
          </cell>
          <cell r="F1481">
            <v>3</v>
          </cell>
          <cell r="G1481" t="str">
            <v>MHTVPM</v>
          </cell>
          <cell r="H1481" t="str">
            <v>Medium and Heavy Tactical Vehicles (PM MHTV)</v>
          </cell>
          <cell r="I1481" t="str">
            <v>IS4</v>
          </cell>
          <cell r="J1481" t="str">
            <v>IS4 Spectrum &amp; Infrastructure Assurance</v>
          </cell>
          <cell r="K1481" t="str">
            <v>Navy</v>
          </cell>
          <cell r="L1481" t="str">
            <v>DOD</v>
          </cell>
          <cell r="M1481" t="str">
            <v>VA</v>
          </cell>
          <cell r="N1481" t="str">
            <v>CONUS</v>
          </cell>
          <cell r="O1481">
            <v>43005</v>
          </cell>
          <cell r="P1481">
            <v>44465</v>
          </cell>
          <cell r="Q1481" t="str">
            <v>Prime</v>
          </cell>
          <cell r="R1481" t="str">
            <v>CPFF</v>
          </cell>
          <cell r="S1481">
            <v>0</v>
          </cell>
          <cell r="T1481">
            <v>1</v>
          </cell>
          <cell r="U1481" t="str">
            <v>CONTRACT</v>
          </cell>
          <cell r="V1481" t="str">
            <v>Base</v>
          </cell>
          <cell r="W1481" t="str">
            <v>05 Won</v>
          </cell>
          <cell r="X1481" t="str">
            <v>Active</v>
          </cell>
          <cell r="Y1481">
            <v>1</v>
          </cell>
          <cell r="Z1481">
            <v>0</v>
          </cell>
          <cell r="AA1481">
            <v>12187707.129999995</v>
          </cell>
          <cell r="AB1481">
            <v>8175542</v>
          </cell>
          <cell r="AC1481">
            <v>0</v>
          </cell>
          <cell r="AD1481">
            <v>20363249.129999995</v>
          </cell>
          <cell r="AL1481">
            <v>0</v>
          </cell>
          <cell r="AM1481">
            <v>0.16495440153358709</v>
          </cell>
          <cell r="AN1481">
            <v>0.15508623706906396</v>
          </cell>
          <cell r="AO1481">
            <v>0.14977020963657897</v>
          </cell>
          <cell r="AP1481">
            <v>0.15596348009987945</v>
          </cell>
          <cell r="AQ1481">
            <v>0.15596348009987945</v>
          </cell>
          <cell r="AR1481">
            <v>0.15596348009987945</v>
          </cell>
          <cell r="AS1481">
            <v>0.15596348009987945</v>
          </cell>
          <cell r="BF1481">
            <v>0</v>
          </cell>
          <cell r="BG1481">
            <v>579953.42000000016</v>
          </cell>
          <cell r="BH1481">
            <v>821325.17000000016</v>
          </cell>
          <cell r="BI1481">
            <v>204296.31999999989</v>
          </cell>
          <cell r="BJ1481">
            <v>260574.04000000015</v>
          </cell>
          <cell r="BK1481">
            <v>240468.77999999997</v>
          </cell>
          <cell r="BL1481">
            <v>230294</v>
          </cell>
          <cell r="BM1481">
            <v>935633.14</v>
          </cell>
          <cell r="BN1481">
            <v>839969.98621599958</v>
          </cell>
          <cell r="BO1481">
            <v>830636.98636915511</v>
          </cell>
          <cell r="BP1481">
            <v>0</v>
          </cell>
          <cell r="BQ1481">
            <v>0</v>
          </cell>
          <cell r="BR1481">
            <v>2606240.1125851544</v>
          </cell>
          <cell r="BT1481">
            <v>0</v>
          </cell>
          <cell r="CA1481" t="str">
            <v>MHTVPM - CONTRACT - Base</v>
          </cell>
          <cell r="CC1481" t="str">
            <v>MHTVPM - CONTRACT - Base - IS4</v>
          </cell>
          <cell r="CD1481" t="str">
            <v/>
          </cell>
          <cell r="CF1481" t="str">
            <v>MHTVPM - Base - IS4</v>
          </cell>
        </row>
        <row r="1482">
          <cell r="D1482">
            <v>1468</v>
          </cell>
          <cell r="E1482">
            <v>2</v>
          </cell>
          <cell r="F1482">
            <v>4</v>
          </cell>
          <cell r="G1482" t="str">
            <v>MHTVPM</v>
          </cell>
          <cell r="H1482" t="str">
            <v>Medium and Heavy Tactical Vehicles (PM MHTV)</v>
          </cell>
          <cell r="I1482" t="str">
            <v>IS4</v>
          </cell>
          <cell r="J1482" t="str">
            <v>IS4 Spectrum &amp; Infrastructure Assurance</v>
          </cell>
          <cell r="K1482" t="str">
            <v>Navy</v>
          </cell>
          <cell r="L1482" t="str">
            <v>DOD</v>
          </cell>
          <cell r="M1482" t="str">
            <v>VA</v>
          </cell>
          <cell r="N1482" t="str">
            <v>CONUS</v>
          </cell>
          <cell r="O1482">
            <v>44466</v>
          </cell>
          <cell r="P1482">
            <v>45926</v>
          </cell>
          <cell r="Q1482">
            <v>0</v>
          </cell>
          <cell r="R1482" t="str">
            <v>CPFF</v>
          </cell>
          <cell r="S1482">
            <v>0</v>
          </cell>
          <cell r="T1482">
            <v>1</v>
          </cell>
          <cell r="U1482" t="str">
            <v>CONTRACT</v>
          </cell>
          <cell r="V1482" t="str">
            <v>Identified - Recompete</v>
          </cell>
          <cell r="W1482" t="str">
            <v>00 Investigative</v>
          </cell>
          <cell r="X1482" t="str">
            <v>Priority 2</v>
          </cell>
          <cell r="Y1482">
            <v>0.5</v>
          </cell>
          <cell r="Z1482">
            <v>30000000</v>
          </cell>
          <cell r="AA1482">
            <v>0</v>
          </cell>
          <cell r="AB1482">
            <v>0</v>
          </cell>
          <cell r="AC1482">
            <v>0</v>
          </cell>
          <cell r="AD1482">
            <v>0</v>
          </cell>
          <cell r="AP1482">
            <v>0.15596348009987945</v>
          </cell>
          <cell r="AQ1482">
            <v>0.15596348009987945</v>
          </cell>
          <cell r="AR1482">
            <v>0.15596348009987945</v>
          </cell>
          <cell r="AS1482">
            <v>0.15596348009987945</v>
          </cell>
          <cell r="BI1482">
            <v>0</v>
          </cell>
          <cell r="BJ1482">
            <v>0</v>
          </cell>
          <cell r="BK1482">
            <v>0</v>
          </cell>
          <cell r="BL1482">
            <v>0</v>
          </cell>
          <cell r="BM1482">
            <v>0</v>
          </cell>
          <cell r="BN1482">
            <v>0</v>
          </cell>
          <cell r="BO1482">
            <v>3499.8749425666651</v>
          </cell>
          <cell r="BP1482">
            <v>419984.99310799979</v>
          </cell>
          <cell r="BQ1482">
            <v>419984.99310799979</v>
          </cell>
          <cell r="BR1482">
            <v>843469.86115856632</v>
          </cell>
          <cell r="BT1482">
            <v>0</v>
          </cell>
          <cell r="CA1482" t="str">
            <v>MHTVPM - CONTRACT - Identified - Recompete</v>
          </cell>
          <cell r="CC1482" t="str">
            <v>MHTVPM - CONTRACT - Identified - Recompete - IS4</v>
          </cell>
          <cell r="CD1482" t="str">
            <v/>
          </cell>
          <cell r="CF1482" t="str">
            <v>MHTVPM - Identified - Recompete - IS4</v>
          </cell>
        </row>
        <row r="1483">
          <cell r="D1483">
            <v>1469</v>
          </cell>
          <cell r="E1483">
            <v>0</v>
          </cell>
          <cell r="F1483">
            <v>5</v>
          </cell>
          <cell r="G1483" t="str">
            <v>MHTVPM</v>
          </cell>
          <cell r="H1483" t="str">
            <v>Medium and Heavy Tactical Vehicles (PM MHTV)</v>
          </cell>
          <cell r="I1483" t="str">
            <v>IS4</v>
          </cell>
          <cell r="J1483" t="str">
            <v>IS4 Spectrum &amp; Infrastructure Assurance</v>
          </cell>
          <cell r="K1483" t="str">
            <v>Navy</v>
          </cell>
          <cell r="L1483" t="str">
            <v>DOD</v>
          </cell>
          <cell r="M1483" t="str">
            <v>VA</v>
          </cell>
          <cell r="N1483" t="str">
            <v>CONUS</v>
          </cell>
          <cell r="O1483">
            <v>43005</v>
          </cell>
          <cell r="P1483">
            <v>44465</v>
          </cell>
          <cell r="Q1483" t="str">
            <v>Prime</v>
          </cell>
          <cell r="R1483" t="str">
            <v>CPFF</v>
          </cell>
          <cell r="S1483">
            <v>0</v>
          </cell>
          <cell r="T1483">
            <v>1</v>
          </cell>
          <cell r="U1483" t="str">
            <v>EBITA</v>
          </cell>
          <cell r="V1483" t="str">
            <v>Base</v>
          </cell>
          <cell r="W1483" t="str">
            <v>05 Won</v>
          </cell>
          <cell r="X1483" t="str">
            <v>Active</v>
          </cell>
          <cell r="Y1483">
            <v>1</v>
          </cell>
          <cell r="Z1483">
            <v>0</v>
          </cell>
          <cell r="AA1483">
            <v>12187707.129999995</v>
          </cell>
          <cell r="AB1483">
            <v>8175542</v>
          </cell>
          <cell r="AC1483">
            <v>0</v>
          </cell>
          <cell r="AD1483">
            <v>20363249.129999995</v>
          </cell>
          <cell r="AT1483">
            <v>0</v>
          </cell>
          <cell r="AU1483">
            <v>4.7731543637599801E-2</v>
          </cell>
          <cell r="AV1483">
            <v>4.9642719866165516E-2</v>
          </cell>
          <cell r="AW1483">
            <v>4.8553671684011888E-2</v>
          </cell>
          <cell r="AX1483">
            <v>5.1922199106333881E-2</v>
          </cell>
          <cell r="AY1483">
            <v>5.1922199106333881E-2</v>
          </cell>
          <cell r="AZ1483">
            <v>5.1922199106333881E-2</v>
          </cell>
          <cell r="BA1483">
            <v>5.1922199106333881E-2</v>
          </cell>
          <cell r="BF1483">
            <v>0</v>
          </cell>
          <cell r="BG1483">
            <v>167816.5100000001</v>
          </cell>
          <cell r="BH1483">
            <v>262904.15000000014</v>
          </cell>
          <cell r="BI1483">
            <v>61897.159999999887</v>
          </cell>
          <cell r="BJ1483">
            <v>87475.720000000147</v>
          </cell>
          <cell r="BK1483">
            <v>74436.949999999983</v>
          </cell>
          <cell r="BL1483">
            <v>79511</v>
          </cell>
          <cell r="BM1483">
            <v>303320.83</v>
          </cell>
          <cell r="BN1483">
            <v>279636.54593832936</v>
          </cell>
          <cell r="BO1483">
            <v>276529.47320568125</v>
          </cell>
          <cell r="BP1483">
            <v>0</v>
          </cell>
          <cell r="BQ1483">
            <v>0</v>
          </cell>
          <cell r="BR1483">
            <v>859486.84914401057</v>
          </cell>
          <cell r="BT1483">
            <v>0</v>
          </cell>
          <cell r="CA1483" t="str">
            <v>MHTVPM - EBITA - Base</v>
          </cell>
          <cell r="CC1483" t="str">
            <v>MHTVPM - EBITA - Base - IS4</v>
          </cell>
          <cell r="CD1483" t="str">
            <v/>
          </cell>
          <cell r="CF1483" t="str">
            <v>MHTVPM - Base - IS4</v>
          </cell>
        </row>
        <row r="1484">
          <cell r="D1484">
            <v>1470</v>
          </cell>
          <cell r="E1484">
            <v>0</v>
          </cell>
          <cell r="F1484">
            <v>0</v>
          </cell>
          <cell r="G1484" t="str">
            <v>MHTVPM</v>
          </cell>
          <cell r="H1484" t="str">
            <v>Medium and Heavy Tactical Vehicles (PM MHTV)</v>
          </cell>
          <cell r="I1484" t="str">
            <v>IS4</v>
          </cell>
          <cell r="J1484" t="str">
            <v>IS4 Spectrum &amp; Infrastructure Assurance</v>
          </cell>
          <cell r="K1484" t="str">
            <v>Navy</v>
          </cell>
          <cell r="L1484" t="str">
            <v>DOD</v>
          </cell>
          <cell r="M1484" t="str">
            <v>VA</v>
          </cell>
          <cell r="N1484" t="str">
            <v>CONUS</v>
          </cell>
          <cell r="O1484">
            <v>44466</v>
          </cell>
          <cell r="P1484">
            <v>45926</v>
          </cell>
          <cell r="Q1484">
            <v>0</v>
          </cell>
          <cell r="R1484" t="str">
            <v>CPFF</v>
          </cell>
          <cell r="S1484">
            <v>0</v>
          </cell>
          <cell r="T1484">
            <v>1</v>
          </cell>
          <cell r="U1484" t="str">
            <v>EBITA</v>
          </cell>
          <cell r="V1484" t="str">
            <v>Identified - Recompete</v>
          </cell>
          <cell r="W1484" t="str">
            <v>00 Investigative</v>
          </cell>
          <cell r="X1484" t="str">
            <v>Priority 2</v>
          </cell>
          <cell r="Y1484">
            <v>0.5</v>
          </cell>
          <cell r="Z1484">
            <v>30000000</v>
          </cell>
          <cell r="AA1484">
            <v>0</v>
          </cell>
          <cell r="AB1484">
            <v>0</v>
          </cell>
          <cell r="AC1484">
            <v>0</v>
          </cell>
          <cell r="AD1484">
            <v>0</v>
          </cell>
          <cell r="AX1484">
            <v>5.1922199106333881E-2</v>
          </cell>
          <cell r="AY1484">
            <v>5.1922199106333881E-2</v>
          </cell>
          <cell r="AZ1484">
            <v>5.1922199106333881E-2</v>
          </cell>
          <cell r="BA1484">
            <v>5.1922199106333881E-2</v>
          </cell>
          <cell r="BI1484">
            <v>0</v>
          </cell>
          <cell r="BJ1484">
            <v>0</v>
          </cell>
          <cell r="BK1484">
            <v>0</v>
          </cell>
          <cell r="BL1484">
            <v>0</v>
          </cell>
          <cell r="BM1484">
            <v>0</v>
          </cell>
          <cell r="BN1484">
            <v>0</v>
          </cell>
          <cell r="BO1484">
            <v>1165.152274743039</v>
          </cell>
          <cell r="BP1484">
            <v>139818.27296916468</v>
          </cell>
          <cell r="BQ1484">
            <v>139818.27296916468</v>
          </cell>
          <cell r="BR1484">
            <v>280801.69821307238</v>
          </cell>
          <cell r="BT1484">
            <v>0</v>
          </cell>
          <cell r="CA1484" t="str">
            <v>MHTVPM - EBITA - Identified - Recompete</v>
          </cell>
          <cell r="CC1484" t="str">
            <v>MHTVPM - EBITA - Identified - Recompete - IS4</v>
          </cell>
          <cell r="CD1484" t="str">
            <v/>
          </cell>
          <cell r="CF1484" t="str">
            <v>MHTVPM - Identified - Recompete - IS4</v>
          </cell>
        </row>
        <row r="1485">
          <cell r="D1485">
            <v>1471</v>
          </cell>
          <cell r="E1485">
            <v>1</v>
          </cell>
          <cell r="F1485">
            <v>1</v>
          </cell>
          <cell r="G1485" t="str">
            <v>E3CORE</v>
          </cell>
          <cell r="H1485" t="str">
            <v>E3 Core</v>
          </cell>
          <cell r="I1485" t="str">
            <v>IS4</v>
          </cell>
          <cell r="J1485" t="str">
            <v>IS4 Spectrum &amp; Infrastructure Assurance</v>
          </cell>
          <cell r="K1485" t="str">
            <v>Navy</v>
          </cell>
          <cell r="L1485" t="str">
            <v>DOD</v>
          </cell>
          <cell r="M1485" t="str">
            <v>VA</v>
          </cell>
          <cell r="N1485" t="str">
            <v>CONUS</v>
          </cell>
          <cell r="O1485">
            <v>42548</v>
          </cell>
          <cell r="P1485">
            <v>44373</v>
          </cell>
          <cell r="Q1485" t="str">
            <v>Prime</v>
          </cell>
          <cell r="R1485" t="str">
            <v>CPFF</v>
          </cell>
          <cell r="S1485">
            <v>0</v>
          </cell>
          <cell r="T1485">
            <v>1</v>
          </cell>
          <cell r="U1485" t="str">
            <v>REVTOT</v>
          </cell>
          <cell r="V1485" t="str">
            <v>Base</v>
          </cell>
          <cell r="W1485" t="str">
            <v>05 Won</v>
          </cell>
          <cell r="X1485" t="str">
            <v>Active</v>
          </cell>
          <cell r="Y1485">
            <v>1</v>
          </cell>
          <cell r="Z1485">
            <v>0</v>
          </cell>
          <cell r="AA1485">
            <v>11721056.149999995</v>
          </cell>
          <cell r="AB1485">
            <v>20362682</v>
          </cell>
          <cell r="AC1485">
            <v>0</v>
          </cell>
          <cell r="AD1485">
            <v>32083738.149999995</v>
          </cell>
          <cell r="AE1485">
            <v>6.9528170422313469</v>
          </cell>
          <cell r="AF1485">
            <v>0.10934990865665428</v>
          </cell>
          <cell r="AG1485">
            <v>5.1167188104068062E-2</v>
          </cell>
          <cell r="AH1485">
            <v>-5.0081915262087495E-2</v>
          </cell>
          <cell r="AI1485">
            <v>-0.5</v>
          </cell>
          <cell r="AJ1485">
            <v>-1</v>
          </cell>
          <cell r="AK1485">
            <v>0</v>
          </cell>
          <cell r="BB1485">
            <v>5435389.1900000004</v>
          </cell>
          <cell r="BC1485">
            <v>2717694.5950000002</v>
          </cell>
          <cell r="BD1485">
            <v>0</v>
          </cell>
          <cell r="BE1485">
            <v>0</v>
          </cell>
          <cell r="BF1485">
            <v>616997.14</v>
          </cell>
          <cell r="BG1485">
            <v>4906865.37</v>
          </cell>
          <cell r="BH1485">
            <v>5443430.6500000004</v>
          </cell>
          <cell r="BI1485">
            <v>1431141.96</v>
          </cell>
          <cell r="BJ1485">
            <v>1521328.44</v>
          </cell>
          <cell r="BK1485">
            <v>1436573.46</v>
          </cell>
          <cell r="BL1485">
            <v>1332911.83</v>
          </cell>
          <cell r="BM1485">
            <v>5721955.6899999995</v>
          </cell>
          <cell r="BN1485">
            <v>5435389.1900000004</v>
          </cell>
          <cell r="BO1485">
            <v>2717694.5950000002</v>
          </cell>
          <cell r="BP1485">
            <v>0</v>
          </cell>
          <cell r="BQ1485">
            <v>0</v>
          </cell>
          <cell r="BR1485">
            <v>13875039.475</v>
          </cell>
          <cell r="BT1485">
            <v>0</v>
          </cell>
          <cell r="CA1485" t="str">
            <v>E3CORE - REVTOT - Base</v>
          </cell>
          <cell r="CC1485" t="str">
            <v>E3CORE - REVTOT - Base - IS4</v>
          </cell>
          <cell r="CD1485" t="str">
            <v/>
          </cell>
          <cell r="CF1485" t="str">
            <v>E3CORE - Base - IS4</v>
          </cell>
        </row>
        <row r="1486">
          <cell r="D1486">
            <v>1472</v>
          </cell>
          <cell r="E1486">
            <v>1</v>
          </cell>
          <cell r="F1486">
            <v>2</v>
          </cell>
          <cell r="G1486" t="str">
            <v>E3CORE</v>
          </cell>
          <cell r="H1486" t="str">
            <v>E3 Core</v>
          </cell>
          <cell r="I1486" t="str">
            <v>IS4</v>
          </cell>
          <cell r="J1486" t="str">
            <v>IS4 Spectrum &amp; Infrastructure Assurance</v>
          </cell>
          <cell r="K1486" t="str">
            <v>Navy</v>
          </cell>
          <cell r="L1486" t="str">
            <v>DOD</v>
          </cell>
          <cell r="M1486" t="str">
            <v>VA</v>
          </cell>
          <cell r="N1486" t="str">
            <v>CONUS</v>
          </cell>
          <cell r="O1486">
            <v>44317</v>
          </cell>
          <cell r="P1486">
            <v>46143</v>
          </cell>
          <cell r="Q1486" t="str">
            <v>Prime</v>
          </cell>
          <cell r="R1486" t="str">
            <v>CPFF</v>
          </cell>
          <cell r="S1486">
            <v>0</v>
          </cell>
          <cell r="T1486">
            <v>1</v>
          </cell>
          <cell r="U1486" t="str">
            <v>REVTOT</v>
          </cell>
          <cell r="V1486" t="str">
            <v>Identified - Recompete</v>
          </cell>
          <cell r="W1486" t="str">
            <v>02 Capture</v>
          </cell>
          <cell r="X1486" t="str">
            <v>Priority 2</v>
          </cell>
          <cell r="Y1486">
            <v>0.85</v>
          </cell>
          <cell r="Z1486">
            <v>55000000</v>
          </cell>
          <cell r="AA1486">
            <v>0</v>
          </cell>
          <cell r="AB1486">
            <v>0</v>
          </cell>
          <cell r="AC1486">
            <v>0</v>
          </cell>
          <cell r="AD1486">
            <v>0</v>
          </cell>
          <cell r="AI1486">
            <v>0</v>
          </cell>
          <cell r="AJ1486">
            <v>0</v>
          </cell>
          <cell r="AK1486">
            <v>0</v>
          </cell>
          <cell r="BB1486">
            <v>11000000</v>
          </cell>
          <cell r="BC1486">
            <v>11000000</v>
          </cell>
          <cell r="BD1486">
            <v>11000000</v>
          </cell>
          <cell r="BE1486">
            <v>11000000</v>
          </cell>
          <cell r="BI1486">
            <v>0</v>
          </cell>
          <cell r="BJ1486">
            <v>0</v>
          </cell>
          <cell r="BK1486">
            <v>0</v>
          </cell>
          <cell r="BL1486">
            <v>0</v>
          </cell>
          <cell r="BM1486">
            <v>0</v>
          </cell>
          <cell r="BN1486">
            <v>0</v>
          </cell>
          <cell r="BO1486">
            <v>3869861.1111111105</v>
          </cell>
          <cell r="BP1486">
            <v>9350000</v>
          </cell>
          <cell r="BQ1486">
            <v>9350000</v>
          </cell>
          <cell r="BR1486">
            <v>22569861.111111112</v>
          </cell>
          <cell r="BT1486">
            <v>0</v>
          </cell>
          <cell r="CA1486" t="str">
            <v>E3CORE - REVTOT - Identified - Recompete</v>
          </cell>
          <cell r="CC1486" t="str">
            <v>E3CORE - REVTOT - Identified - Recompete - IS4</v>
          </cell>
          <cell r="CD1486" t="str">
            <v/>
          </cell>
          <cell r="CF1486" t="str">
            <v>E3CORE - Identified - Recompete - IS4</v>
          </cell>
        </row>
        <row r="1487">
          <cell r="D1487">
            <v>1473</v>
          </cell>
          <cell r="E1487">
            <v>2</v>
          </cell>
          <cell r="F1487">
            <v>3</v>
          </cell>
          <cell r="G1487" t="str">
            <v>E3CORE</v>
          </cell>
          <cell r="H1487" t="str">
            <v>E3 Core</v>
          </cell>
          <cell r="I1487" t="str">
            <v>IS4</v>
          </cell>
          <cell r="J1487" t="str">
            <v>IS4 Spectrum &amp; Infrastructure Assurance</v>
          </cell>
          <cell r="K1487" t="str">
            <v>Navy</v>
          </cell>
          <cell r="L1487" t="str">
            <v>DOD</v>
          </cell>
          <cell r="M1487" t="str">
            <v>VA</v>
          </cell>
          <cell r="N1487" t="str">
            <v>CONUS</v>
          </cell>
          <cell r="O1487">
            <v>42548</v>
          </cell>
          <cell r="P1487">
            <v>44373</v>
          </cell>
          <cell r="Q1487" t="str">
            <v>Prime</v>
          </cell>
          <cell r="R1487" t="str">
            <v>CPFF</v>
          </cell>
          <cell r="S1487">
            <v>0</v>
          </cell>
          <cell r="T1487">
            <v>1</v>
          </cell>
          <cell r="U1487" t="str">
            <v>CONTRACT</v>
          </cell>
          <cell r="V1487" t="str">
            <v>Base</v>
          </cell>
          <cell r="W1487" t="str">
            <v>05 Won</v>
          </cell>
          <cell r="X1487" t="str">
            <v>Active</v>
          </cell>
          <cell r="Y1487">
            <v>1</v>
          </cell>
          <cell r="Z1487">
            <v>0</v>
          </cell>
          <cell r="AA1487">
            <v>11721056.149999995</v>
          </cell>
          <cell r="AB1487">
            <v>20362682</v>
          </cell>
          <cell r="AC1487">
            <v>0</v>
          </cell>
          <cell r="AD1487">
            <v>32083738.149999995</v>
          </cell>
          <cell r="AL1487">
            <v>0.21447049171086913</v>
          </cell>
          <cell r="AM1487">
            <v>0.21206527620707882</v>
          </cell>
          <cell r="AN1487">
            <v>0.17500378920047416</v>
          </cell>
          <cell r="AO1487">
            <v>0.17476208733101881</v>
          </cell>
          <cell r="AP1487">
            <v>0.18727657416409127</v>
          </cell>
          <cell r="AQ1487">
            <v>0.18727657416409127</v>
          </cell>
          <cell r="AR1487">
            <v>0.18727657416409127</v>
          </cell>
          <cell r="AS1487">
            <v>0.18727657416409127</v>
          </cell>
          <cell r="BF1487">
            <v>132327.67999999996</v>
          </cell>
          <cell r="BG1487">
            <v>1040575.76</v>
          </cell>
          <cell r="BH1487">
            <v>952620.99000000011</v>
          </cell>
          <cell r="BI1487">
            <v>247785.85999999993</v>
          </cell>
          <cell r="BJ1487">
            <v>278871.87</v>
          </cell>
          <cell r="BK1487">
            <v>255839.15000000002</v>
          </cell>
          <cell r="BL1487">
            <v>217484.03999999992</v>
          </cell>
          <cell r="BM1487">
            <v>999980.91999999993</v>
          </cell>
          <cell r="BN1487">
            <v>1017921.0667517351</v>
          </cell>
          <cell r="BO1487">
            <v>508960.53337586753</v>
          </cell>
          <cell r="BP1487">
            <v>0</v>
          </cell>
          <cell r="BQ1487">
            <v>0</v>
          </cell>
          <cell r="BR1487">
            <v>2526862.5201276024</v>
          </cell>
          <cell r="BT1487">
            <v>0</v>
          </cell>
          <cell r="CA1487" t="str">
            <v>E3CORE - CONTRACT - Base</v>
          </cell>
          <cell r="CC1487" t="str">
            <v>E3CORE - CONTRACT - Base - IS4</v>
          </cell>
          <cell r="CD1487" t="str">
            <v/>
          </cell>
          <cell r="CF1487" t="str">
            <v>E3CORE - Base - IS4</v>
          </cell>
        </row>
        <row r="1488">
          <cell r="D1488">
            <v>1474</v>
          </cell>
          <cell r="E1488">
            <v>2</v>
          </cell>
          <cell r="F1488">
            <v>4</v>
          </cell>
          <cell r="G1488" t="str">
            <v>E3CORE</v>
          </cell>
          <cell r="H1488" t="str">
            <v>E3 Core</v>
          </cell>
          <cell r="I1488" t="str">
            <v>IS4</v>
          </cell>
          <cell r="J1488" t="str">
            <v>IS4 Spectrum &amp; Infrastructure Assurance</v>
          </cell>
          <cell r="K1488" t="str">
            <v>Navy</v>
          </cell>
          <cell r="L1488" t="str">
            <v>DOD</v>
          </cell>
          <cell r="M1488" t="str">
            <v>VA</v>
          </cell>
          <cell r="N1488" t="str">
            <v>CONUS</v>
          </cell>
          <cell r="O1488">
            <v>44317</v>
          </cell>
          <cell r="P1488">
            <v>46143</v>
          </cell>
          <cell r="Q1488" t="str">
            <v>Prime</v>
          </cell>
          <cell r="R1488" t="str">
            <v>CPFF</v>
          </cell>
          <cell r="S1488">
            <v>0</v>
          </cell>
          <cell r="T1488">
            <v>1</v>
          </cell>
          <cell r="U1488" t="str">
            <v>CONTRACT</v>
          </cell>
          <cell r="V1488" t="str">
            <v>Identified - Recompete</v>
          </cell>
          <cell r="W1488" t="str">
            <v>02 Capture</v>
          </cell>
          <cell r="X1488" t="str">
            <v>Priority 2</v>
          </cell>
          <cell r="Y1488">
            <v>0.85</v>
          </cell>
          <cell r="Z1488">
            <v>55000000</v>
          </cell>
          <cell r="AA1488">
            <v>0</v>
          </cell>
          <cell r="AB1488">
            <v>0</v>
          </cell>
          <cell r="AC1488">
            <v>0</v>
          </cell>
          <cell r="AD1488">
            <v>0</v>
          </cell>
          <cell r="AP1488">
            <v>0.18727657416409127</v>
          </cell>
          <cell r="AQ1488">
            <v>0.18727657416409127</v>
          </cell>
          <cell r="AR1488">
            <v>0.18727657416409127</v>
          </cell>
          <cell r="AS1488">
            <v>0.18727657416409127</v>
          </cell>
          <cell r="BI1488">
            <v>0</v>
          </cell>
          <cell r="BJ1488">
            <v>0</v>
          </cell>
          <cell r="BK1488">
            <v>0</v>
          </cell>
          <cell r="BL1488">
            <v>0</v>
          </cell>
          <cell r="BM1488">
            <v>0</v>
          </cell>
          <cell r="BN1488">
            <v>0</v>
          </cell>
          <cell r="BO1488">
            <v>724734.33137973258</v>
          </cell>
          <cell r="BP1488">
            <v>1751035.9684342535</v>
          </cell>
          <cell r="BQ1488">
            <v>1751035.9684342535</v>
          </cell>
          <cell r="BR1488">
            <v>4226806.2682482395</v>
          </cell>
          <cell r="BT1488">
            <v>0</v>
          </cell>
          <cell r="CA1488" t="str">
            <v>E3CORE - CONTRACT - Identified - Recompete</v>
          </cell>
          <cell r="CC1488" t="str">
            <v>E3CORE - CONTRACT - Identified - Recompete - IS4</v>
          </cell>
          <cell r="CD1488" t="str">
            <v/>
          </cell>
          <cell r="CF1488" t="str">
            <v>E3CORE - Identified - Recompete - IS4</v>
          </cell>
        </row>
        <row r="1489">
          <cell r="D1489">
            <v>1475</v>
          </cell>
          <cell r="E1489">
            <v>0</v>
          </cell>
          <cell r="F1489">
            <v>5</v>
          </cell>
          <cell r="G1489" t="str">
            <v>E3CORE</v>
          </cell>
          <cell r="H1489" t="str">
            <v>E3 Core</v>
          </cell>
          <cell r="I1489" t="str">
            <v>IS4</v>
          </cell>
          <cell r="J1489" t="str">
            <v>IS4 Spectrum &amp; Infrastructure Assurance</v>
          </cell>
          <cell r="K1489" t="str">
            <v>Navy</v>
          </cell>
          <cell r="L1489" t="str">
            <v>DOD</v>
          </cell>
          <cell r="M1489" t="str">
            <v>VA</v>
          </cell>
          <cell r="N1489" t="str">
            <v>CONUS</v>
          </cell>
          <cell r="O1489">
            <v>42548</v>
          </cell>
          <cell r="P1489">
            <v>44373</v>
          </cell>
          <cell r="Q1489" t="str">
            <v>Prime</v>
          </cell>
          <cell r="R1489" t="str">
            <v>CPFF</v>
          </cell>
          <cell r="S1489">
            <v>0</v>
          </cell>
          <cell r="T1489">
            <v>1</v>
          </cell>
          <cell r="U1489" t="str">
            <v>EBITA</v>
          </cell>
          <cell r="V1489" t="str">
            <v>Base</v>
          </cell>
          <cell r="W1489" t="str">
            <v>05 Won</v>
          </cell>
          <cell r="X1489" t="str">
            <v>Active</v>
          </cell>
          <cell r="Y1489">
            <v>1</v>
          </cell>
          <cell r="Z1489">
            <v>0</v>
          </cell>
          <cell r="AA1489">
            <v>11721056.149999995</v>
          </cell>
          <cell r="AB1489">
            <v>20362682</v>
          </cell>
          <cell r="AC1489">
            <v>0</v>
          </cell>
          <cell r="AD1489">
            <v>32083738.149999995</v>
          </cell>
          <cell r="AT1489">
            <v>4.4533156182863284E-2</v>
          </cell>
          <cell r="AU1489">
            <v>4.092841047318159E-2</v>
          </cell>
          <cell r="AV1489">
            <v>3.8732307538445469E-2</v>
          </cell>
          <cell r="AW1489">
            <v>4.0520859049154909E-2</v>
          </cell>
          <cell r="AX1489">
            <v>4.0205657308537292E-2</v>
          </cell>
          <cell r="AY1489">
            <v>4.0205657308537292E-2</v>
          </cell>
          <cell r="AZ1489">
            <v>4.0205657308537292E-2</v>
          </cell>
          <cell r="BA1489">
            <v>4.0205657308537292E-2</v>
          </cell>
          <cell r="BF1489">
            <v>27476.829999999965</v>
          </cell>
          <cell r="BG1489">
            <v>200830.20000000007</v>
          </cell>
          <cell r="BH1489">
            <v>210836.63000000012</v>
          </cell>
          <cell r="BI1489">
            <v>57177.939999999944</v>
          </cell>
          <cell r="BJ1489">
            <v>64707.12</v>
          </cell>
          <cell r="BK1489">
            <v>58526.86000000003</v>
          </cell>
          <cell r="BL1489">
            <v>51446.639999999927</v>
          </cell>
          <cell r="BM1489">
            <v>231858.55999999991</v>
          </cell>
          <cell r="BN1489">
            <v>218533.3951116681</v>
          </cell>
          <cell r="BO1489">
            <v>109266.69755583405</v>
          </cell>
          <cell r="BP1489">
            <v>0</v>
          </cell>
          <cell r="BQ1489">
            <v>0</v>
          </cell>
          <cell r="BR1489">
            <v>559658.65266750206</v>
          </cell>
          <cell r="BT1489">
            <v>0</v>
          </cell>
          <cell r="CA1489" t="str">
            <v>E3CORE - EBITA - Base</v>
          </cell>
          <cell r="CC1489" t="str">
            <v>E3CORE - EBITA - Base - IS4</v>
          </cell>
          <cell r="CD1489" t="str">
            <v/>
          </cell>
          <cell r="CF1489" t="str">
            <v>E3CORE - Base - IS4</v>
          </cell>
        </row>
        <row r="1490">
          <cell r="D1490">
            <v>1476</v>
          </cell>
          <cell r="E1490">
            <v>0</v>
          </cell>
          <cell r="F1490">
            <v>0</v>
          </cell>
          <cell r="G1490" t="str">
            <v>E3CORE</v>
          </cell>
          <cell r="H1490" t="str">
            <v>E3 Core</v>
          </cell>
          <cell r="I1490" t="str">
            <v>IS4</v>
          </cell>
          <cell r="J1490" t="str">
            <v>IS4 Spectrum &amp; Infrastructure Assurance</v>
          </cell>
          <cell r="K1490" t="str">
            <v>Navy</v>
          </cell>
          <cell r="L1490" t="str">
            <v>DOD</v>
          </cell>
          <cell r="M1490" t="str">
            <v>VA</v>
          </cell>
          <cell r="N1490" t="str">
            <v>CONUS</v>
          </cell>
          <cell r="O1490">
            <v>44317</v>
          </cell>
          <cell r="P1490">
            <v>46143</v>
          </cell>
          <cell r="Q1490" t="str">
            <v>Prime</v>
          </cell>
          <cell r="R1490" t="str">
            <v>CPFF</v>
          </cell>
          <cell r="S1490">
            <v>0</v>
          </cell>
          <cell r="T1490">
            <v>1</v>
          </cell>
          <cell r="U1490" t="str">
            <v>EBITA</v>
          </cell>
          <cell r="V1490" t="str">
            <v>Identified - Recompete</v>
          </cell>
          <cell r="W1490" t="str">
            <v>02 Capture</v>
          </cell>
          <cell r="X1490" t="str">
            <v>Priority 2</v>
          </cell>
          <cell r="Y1490">
            <v>0.85</v>
          </cell>
          <cell r="Z1490">
            <v>55000000</v>
          </cell>
          <cell r="AA1490">
            <v>0</v>
          </cell>
          <cell r="AB1490">
            <v>0</v>
          </cell>
          <cell r="AC1490">
            <v>0</v>
          </cell>
          <cell r="AD1490">
            <v>0</v>
          </cell>
          <cell r="AX1490">
            <v>4.0205657308537292E-2</v>
          </cell>
          <cell r="AY1490">
            <v>4.0205657308537292E-2</v>
          </cell>
          <cell r="AZ1490">
            <v>4.0205657308537292E-2</v>
          </cell>
          <cell r="BA1490">
            <v>4.0205657308537292E-2</v>
          </cell>
          <cell r="BI1490">
            <v>0</v>
          </cell>
          <cell r="BJ1490">
            <v>0</v>
          </cell>
          <cell r="BK1490">
            <v>0</v>
          </cell>
          <cell r="BL1490">
            <v>0</v>
          </cell>
          <cell r="BM1490">
            <v>0</v>
          </cell>
          <cell r="BN1490">
            <v>0</v>
          </cell>
          <cell r="BO1490">
            <v>155590.30966496866</v>
          </cell>
          <cell r="BP1490">
            <v>375922.89583482366</v>
          </cell>
          <cell r="BQ1490">
            <v>375922.89583482366</v>
          </cell>
          <cell r="BR1490">
            <v>907436.10133461608</v>
          </cell>
          <cell r="BT1490">
            <v>0</v>
          </cell>
          <cell r="CA1490" t="str">
            <v>E3CORE - EBITA - Identified - Recompete</v>
          </cell>
          <cell r="CC1490" t="str">
            <v>E3CORE - EBITA - Identified - Recompete - IS4</v>
          </cell>
          <cell r="CD1490" t="str">
            <v/>
          </cell>
          <cell r="CF1490" t="str">
            <v>E3CORE - Identified - Recompete - IS4</v>
          </cell>
        </row>
        <row r="1491">
          <cell r="D1491">
            <v>1477</v>
          </cell>
          <cell r="E1491">
            <v>1</v>
          </cell>
          <cell r="F1491">
            <v>1</v>
          </cell>
          <cell r="G1491" t="str">
            <v>SPCOPS</v>
          </cell>
          <cell r="H1491" t="str">
            <v>Spec Ops 2</v>
          </cell>
          <cell r="I1491" t="str">
            <v>IS4</v>
          </cell>
          <cell r="J1491" t="str">
            <v>IS4 Spectrum &amp; Infrastructure Assurance</v>
          </cell>
          <cell r="K1491" t="str">
            <v>Army</v>
          </cell>
          <cell r="L1491" t="str">
            <v>DOD</v>
          </cell>
          <cell r="M1491" t="str">
            <v>NC</v>
          </cell>
          <cell r="N1491" t="str">
            <v>CONUS</v>
          </cell>
          <cell r="O1491">
            <v>43373</v>
          </cell>
          <cell r="P1491">
            <v>44833</v>
          </cell>
          <cell r="Q1491" t="str">
            <v>Prime</v>
          </cell>
          <cell r="R1491" t="str">
            <v>CPFF</v>
          </cell>
          <cell r="S1491">
            <v>0</v>
          </cell>
          <cell r="T1491">
            <v>1</v>
          </cell>
          <cell r="U1491" t="str">
            <v>REVTOT</v>
          </cell>
          <cell r="V1491" t="str">
            <v>Base</v>
          </cell>
          <cell r="W1491" t="str">
            <v>05 Won</v>
          </cell>
          <cell r="X1491" t="str">
            <v>Active</v>
          </cell>
          <cell r="Y1491">
            <v>1</v>
          </cell>
          <cell r="Z1491">
            <v>0</v>
          </cell>
          <cell r="AA1491">
            <v>672625.18329999899</v>
          </cell>
          <cell r="AB1491">
            <v>17483906.59</v>
          </cell>
          <cell r="AC1491">
            <v>0</v>
          </cell>
          <cell r="AD1491">
            <v>18156531.7733</v>
          </cell>
          <cell r="AE1491">
            <v>0</v>
          </cell>
          <cell r="AF1491">
            <v>0</v>
          </cell>
          <cell r="AG1491">
            <v>0</v>
          </cell>
          <cell r="AH1491">
            <v>-2.662660297710695E-2</v>
          </cell>
          <cell r="AI1491">
            <v>0</v>
          </cell>
          <cell r="AJ1491">
            <v>0</v>
          </cell>
          <cell r="AK1491">
            <v>0</v>
          </cell>
          <cell r="BB1491">
            <v>5729731</v>
          </cell>
          <cell r="BC1491">
            <v>5729731</v>
          </cell>
          <cell r="BD1491">
            <v>5729731</v>
          </cell>
          <cell r="BE1491">
            <v>5729731</v>
          </cell>
          <cell r="BF1491">
            <v>0</v>
          </cell>
          <cell r="BG1491">
            <v>0</v>
          </cell>
          <cell r="BH1491">
            <v>0</v>
          </cell>
          <cell r="BI1491">
            <v>1101107.5</v>
          </cell>
          <cell r="BJ1491">
            <v>1565687.97</v>
          </cell>
          <cell r="BK1491">
            <v>1593724.22</v>
          </cell>
          <cell r="BL1491">
            <v>1625947.9467</v>
          </cell>
          <cell r="BM1491">
            <v>5886467.6366999997</v>
          </cell>
          <cell r="BN1491">
            <v>5729731</v>
          </cell>
          <cell r="BO1491">
            <v>5729731</v>
          </cell>
          <cell r="BP1491">
            <v>5713815.0805555554</v>
          </cell>
          <cell r="BQ1491">
            <v>0</v>
          </cell>
          <cell r="BR1491">
            <v>23059744.717255555</v>
          </cell>
          <cell r="BT1491">
            <v>0</v>
          </cell>
          <cell r="CA1491" t="str">
            <v>SPCOPS - REVTOT - Base</v>
          </cell>
          <cell r="CC1491" t="str">
            <v>SPCOPS - REVTOT - Base - IS4</v>
          </cell>
          <cell r="CD1491" t="str">
            <v/>
          </cell>
          <cell r="CF1491" t="str">
            <v>SPCOPS - Base - IS4</v>
          </cell>
        </row>
        <row r="1492">
          <cell r="D1492">
            <v>1478</v>
          </cell>
          <cell r="E1492">
            <v>1</v>
          </cell>
          <cell r="F1492">
            <v>2</v>
          </cell>
          <cell r="G1492" t="str">
            <v>SPCOPS</v>
          </cell>
          <cell r="H1492" t="str">
            <v>Spec Ops 2</v>
          </cell>
          <cell r="I1492" t="str">
            <v>IS4</v>
          </cell>
          <cell r="J1492" t="str">
            <v>IS4 Spectrum &amp; Infrastructure Assurance</v>
          </cell>
          <cell r="K1492" t="str">
            <v>Army</v>
          </cell>
          <cell r="L1492" t="str">
            <v>DOD</v>
          </cell>
          <cell r="M1492" t="str">
            <v>NC</v>
          </cell>
          <cell r="N1492" t="str">
            <v>CONUS</v>
          </cell>
          <cell r="O1492">
            <v>44834</v>
          </cell>
          <cell r="P1492">
            <v>46294</v>
          </cell>
          <cell r="Q1492" t="str">
            <v>Prime</v>
          </cell>
          <cell r="R1492" t="str">
            <v>CPFF</v>
          </cell>
          <cell r="S1492">
            <v>0</v>
          </cell>
          <cell r="T1492">
            <v>1</v>
          </cell>
          <cell r="U1492" t="str">
            <v>REVTOT</v>
          </cell>
          <cell r="V1492" t="str">
            <v>Identified - Recompete</v>
          </cell>
          <cell r="W1492" t="str">
            <v>00 Investigative</v>
          </cell>
          <cell r="X1492" t="str">
            <v>Priority 2</v>
          </cell>
          <cell r="Y1492">
            <v>0.5</v>
          </cell>
          <cell r="Z1492">
            <v>24000000</v>
          </cell>
          <cell r="AA1492">
            <v>0</v>
          </cell>
          <cell r="AB1492">
            <v>0</v>
          </cell>
          <cell r="AC1492">
            <v>0</v>
          </cell>
          <cell r="AD1492">
            <v>0</v>
          </cell>
          <cell r="AI1492">
            <v>0</v>
          </cell>
          <cell r="AJ1492">
            <v>0</v>
          </cell>
          <cell r="AK1492">
            <v>0</v>
          </cell>
          <cell r="BB1492">
            <v>5729731</v>
          </cell>
          <cell r="BC1492">
            <v>5729731</v>
          </cell>
          <cell r="BD1492">
            <v>5729731</v>
          </cell>
          <cell r="BE1492">
            <v>5729731</v>
          </cell>
          <cell r="BI1492">
            <v>0</v>
          </cell>
          <cell r="BJ1492">
            <v>0</v>
          </cell>
          <cell r="BK1492">
            <v>0</v>
          </cell>
          <cell r="BL1492">
            <v>0</v>
          </cell>
          <cell r="BM1492">
            <v>0</v>
          </cell>
          <cell r="BN1492">
            <v>0</v>
          </cell>
          <cell r="BO1492">
            <v>0</v>
          </cell>
          <cell r="BP1492">
            <v>0</v>
          </cell>
          <cell r="BQ1492">
            <v>2864865.5</v>
          </cell>
          <cell r="BR1492">
            <v>2864865.5</v>
          </cell>
          <cell r="BT1492">
            <v>0</v>
          </cell>
          <cell r="CA1492" t="str">
            <v>SPCOPS - REVTOT - Identified - Recompete</v>
          </cell>
          <cell r="CC1492" t="str">
            <v>SPCOPS - REVTOT - Identified - Recompete - IS4</v>
          </cell>
          <cell r="CD1492" t="str">
            <v/>
          </cell>
          <cell r="CF1492" t="str">
            <v>SPCOPS - Identified - Recompete - IS4</v>
          </cell>
        </row>
        <row r="1493">
          <cell r="D1493">
            <v>1479</v>
          </cell>
          <cell r="E1493">
            <v>2</v>
          </cell>
          <cell r="F1493">
            <v>3</v>
          </cell>
          <cell r="G1493" t="str">
            <v>SPCOPS</v>
          </cell>
          <cell r="H1493" t="str">
            <v>Spec Ops 2</v>
          </cell>
          <cell r="I1493" t="str">
            <v>IS4</v>
          </cell>
          <cell r="J1493" t="str">
            <v>IS4 Spectrum &amp; Infrastructure Assurance</v>
          </cell>
          <cell r="K1493" t="str">
            <v>Army</v>
          </cell>
          <cell r="L1493" t="str">
            <v>DOD</v>
          </cell>
          <cell r="M1493" t="str">
            <v>NC</v>
          </cell>
          <cell r="N1493" t="str">
            <v>CONUS</v>
          </cell>
          <cell r="O1493">
            <v>43373</v>
          </cell>
          <cell r="P1493">
            <v>44833</v>
          </cell>
          <cell r="Q1493" t="str">
            <v>Prime</v>
          </cell>
          <cell r="R1493" t="str">
            <v>CPFF</v>
          </cell>
          <cell r="S1493">
            <v>0</v>
          </cell>
          <cell r="T1493">
            <v>1</v>
          </cell>
          <cell r="U1493" t="str">
            <v>CONTRACT</v>
          </cell>
          <cell r="V1493" t="str">
            <v>Base</v>
          </cell>
          <cell r="W1493" t="str">
            <v>05 Won</v>
          </cell>
          <cell r="X1493" t="str">
            <v>Active</v>
          </cell>
          <cell r="Y1493">
            <v>1</v>
          </cell>
          <cell r="Z1493">
            <v>0</v>
          </cell>
          <cell r="AA1493">
            <v>672625.18329999899</v>
          </cell>
          <cell r="AB1493">
            <v>17483906.59</v>
          </cell>
          <cell r="AC1493">
            <v>0</v>
          </cell>
          <cell r="AD1493">
            <v>18156531.7733</v>
          </cell>
          <cell r="AL1493">
            <v>0</v>
          </cell>
          <cell r="AM1493">
            <v>0</v>
          </cell>
          <cell r="AN1493">
            <v>0</v>
          </cell>
          <cell r="AO1493">
            <v>0.12714347611865465</v>
          </cell>
          <cell r="AP1493">
            <v>0.1330607131120117</v>
          </cell>
          <cell r="AQ1493">
            <v>0.1330607131120117</v>
          </cell>
          <cell r="AR1493">
            <v>0.1330607131120117</v>
          </cell>
          <cell r="AS1493">
            <v>0.1330607131120117</v>
          </cell>
          <cell r="BF1493">
            <v>0</v>
          </cell>
          <cell r="BG1493">
            <v>0</v>
          </cell>
          <cell r="BH1493">
            <v>0</v>
          </cell>
          <cell r="BI1493">
            <v>151059.62999999995</v>
          </cell>
          <cell r="BJ1493">
            <v>190841.59999999992</v>
          </cell>
          <cell r="BK1493">
            <v>196123.49000000002</v>
          </cell>
          <cell r="BL1493">
            <v>210401.23738999997</v>
          </cell>
          <cell r="BM1493">
            <v>748425.95738999988</v>
          </cell>
          <cell r="BN1493">
            <v>762402.09279999987</v>
          </cell>
          <cell r="BO1493">
            <v>762402.09279999987</v>
          </cell>
          <cell r="BP1493">
            <v>760284.30920888879</v>
          </cell>
          <cell r="BQ1493">
            <v>0</v>
          </cell>
          <cell r="BR1493">
            <v>3033514.4521988882</v>
          </cell>
          <cell r="BT1493">
            <v>0</v>
          </cell>
          <cell r="CA1493" t="str">
            <v>SPCOPS - CONTRACT - Base</v>
          </cell>
          <cell r="CC1493" t="str">
            <v>SPCOPS - CONTRACT - Base - IS4</v>
          </cell>
          <cell r="CD1493" t="str">
            <v/>
          </cell>
          <cell r="CF1493" t="str">
            <v>SPCOPS - Base - IS4</v>
          </cell>
        </row>
        <row r="1494">
          <cell r="D1494">
            <v>1480</v>
          </cell>
          <cell r="E1494">
            <v>2</v>
          </cell>
          <cell r="F1494">
            <v>4</v>
          </cell>
          <cell r="G1494" t="str">
            <v>SPCOPS</v>
          </cell>
          <cell r="H1494" t="str">
            <v>Spec Ops 2</v>
          </cell>
          <cell r="I1494" t="str">
            <v>IS4</v>
          </cell>
          <cell r="J1494" t="str">
            <v>IS4 Spectrum &amp; Infrastructure Assurance</v>
          </cell>
          <cell r="K1494" t="str">
            <v>Army</v>
          </cell>
          <cell r="L1494" t="str">
            <v>DOD</v>
          </cell>
          <cell r="M1494" t="str">
            <v>NC</v>
          </cell>
          <cell r="N1494" t="str">
            <v>CONUS</v>
          </cell>
          <cell r="O1494">
            <v>44834</v>
          </cell>
          <cell r="P1494">
            <v>46294</v>
          </cell>
          <cell r="Q1494" t="str">
            <v>Prime</v>
          </cell>
          <cell r="R1494" t="str">
            <v>CPFF</v>
          </cell>
          <cell r="S1494">
            <v>0</v>
          </cell>
          <cell r="T1494">
            <v>1</v>
          </cell>
          <cell r="U1494" t="str">
            <v>CONTRACT</v>
          </cell>
          <cell r="V1494" t="str">
            <v>Identified - Recompete</v>
          </cell>
          <cell r="W1494" t="str">
            <v>00 Investigative</v>
          </cell>
          <cell r="X1494" t="str">
            <v>Priority 2</v>
          </cell>
          <cell r="Y1494">
            <v>0.5</v>
          </cell>
          <cell r="Z1494">
            <v>24000000</v>
          </cell>
          <cell r="AA1494">
            <v>0</v>
          </cell>
          <cell r="AB1494">
            <v>0</v>
          </cell>
          <cell r="AC1494">
            <v>0</v>
          </cell>
          <cell r="AD1494">
            <v>0</v>
          </cell>
          <cell r="AP1494">
            <v>0.1330607131120117</v>
          </cell>
          <cell r="AQ1494">
            <v>0.1330607131120117</v>
          </cell>
          <cell r="AR1494">
            <v>0.1330607131120117</v>
          </cell>
          <cell r="AS1494">
            <v>0.1330607131120117</v>
          </cell>
          <cell r="BI1494">
            <v>0</v>
          </cell>
          <cell r="BJ1494">
            <v>0</v>
          </cell>
          <cell r="BK1494">
            <v>0</v>
          </cell>
          <cell r="BL1494">
            <v>0</v>
          </cell>
          <cell r="BM1494">
            <v>0</v>
          </cell>
          <cell r="BN1494">
            <v>0</v>
          </cell>
          <cell r="BO1494">
            <v>0</v>
          </cell>
          <cell r="BP1494">
            <v>0</v>
          </cell>
          <cell r="BQ1494">
            <v>381201.04639999993</v>
          </cell>
          <cell r="BR1494">
            <v>381201.04639999993</v>
          </cell>
          <cell r="BT1494">
            <v>0</v>
          </cell>
          <cell r="CA1494" t="str">
            <v>SPCOPS - CONTRACT - Identified - Recompete</v>
          </cell>
          <cell r="CC1494" t="str">
            <v>SPCOPS - CONTRACT - Identified - Recompete - IS4</v>
          </cell>
          <cell r="CD1494" t="str">
            <v/>
          </cell>
          <cell r="CF1494" t="str">
            <v>SPCOPS - Identified - Recompete - IS4</v>
          </cell>
        </row>
        <row r="1495">
          <cell r="D1495">
            <v>1481</v>
          </cell>
          <cell r="E1495">
            <v>0</v>
          </cell>
          <cell r="F1495">
            <v>5</v>
          </cell>
          <cell r="G1495" t="str">
            <v>SPCOPS</v>
          </cell>
          <cell r="H1495" t="str">
            <v>Spec Ops 2</v>
          </cell>
          <cell r="I1495" t="str">
            <v>IS4</v>
          </cell>
          <cell r="J1495" t="str">
            <v>IS4 Spectrum &amp; Infrastructure Assurance</v>
          </cell>
          <cell r="K1495" t="str">
            <v>Army</v>
          </cell>
          <cell r="L1495" t="str">
            <v>DOD</v>
          </cell>
          <cell r="M1495" t="str">
            <v>NC</v>
          </cell>
          <cell r="N1495" t="str">
            <v>CONUS</v>
          </cell>
          <cell r="O1495">
            <v>43373</v>
          </cell>
          <cell r="P1495">
            <v>44833</v>
          </cell>
          <cell r="Q1495" t="str">
            <v>Prime</v>
          </cell>
          <cell r="R1495" t="str">
            <v>CPFF</v>
          </cell>
          <cell r="S1495">
            <v>0</v>
          </cell>
          <cell r="T1495">
            <v>1</v>
          </cell>
          <cell r="U1495" t="str">
            <v>EBITA</v>
          </cell>
          <cell r="V1495" t="str">
            <v>Base</v>
          </cell>
          <cell r="W1495" t="str">
            <v>05 Won</v>
          </cell>
          <cell r="X1495" t="str">
            <v>Active</v>
          </cell>
          <cell r="Y1495">
            <v>1</v>
          </cell>
          <cell r="Z1495">
            <v>0</v>
          </cell>
          <cell r="AA1495">
            <v>672625.18329999899</v>
          </cell>
          <cell r="AB1495">
            <v>17483906.59</v>
          </cell>
          <cell r="AC1495">
            <v>0</v>
          </cell>
          <cell r="AD1495">
            <v>18156531.7733</v>
          </cell>
          <cell r="AT1495">
            <v>0</v>
          </cell>
          <cell r="AU1495">
            <v>0</v>
          </cell>
          <cell r="AV1495">
            <v>0</v>
          </cell>
          <cell r="AW1495">
            <v>2.934153234363604E-2</v>
          </cell>
          <cell r="AX1495">
            <v>3.2428378580061867E-2</v>
          </cell>
          <cell r="AY1495">
            <v>3.2428378580061867E-2</v>
          </cell>
          <cell r="AZ1495">
            <v>3.2428378580061867E-2</v>
          </cell>
          <cell r="BA1495">
            <v>3.2428378580061867E-2</v>
          </cell>
          <cell r="BF1495">
            <v>0</v>
          </cell>
          <cell r="BG1495">
            <v>0</v>
          </cell>
          <cell r="BH1495">
            <v>0</v>
          </cell>
          <cell r="BI1495">
            <v>37678.849999999933</v>
          </cell>
          <cell r="BJ1495">
            <v>42161.369999999915</v>
          </cell>
          <cell r="BK1495">
            <v>42602.400000000023</v>
          </cell>
          <cell r="BL1495">
            <v>50275.360551999962</v>
          </cell>
          <cell r="BM1495">
            <v>172717.98055199985</v>
          </cell>
          <cell r="BN1495">
            <v>185805.88602991647</v>
          </cell>
          <cell r="BO1495">
            <v>185805.88602991647</v>
          </cell>
          <cell r="BP1495">
            <v>185289.75856872226</v>
          </cell>
          <cell r="BQ1495">
            <v>0</v>
          </cell>
          <cell r="BR1495">
            <v>729619.5111805551</v>
          </cell>
          <cell r="BT1495">
            <v>0</v>
          </cell>
          <cell r="CA1495" t="str">
            <v>SPCOPS - EBITA - Base</v>
          </cell>
          <cell r="CC1495" t="str">
            <v>SPCOPS - EBITA - Base - IS4</v>
          </cell>
          <cell r="CD1495" t="str">
            <v/>
          </cell>
          <cell r="CF1495" t="str">
            <v>SPCOPS - Base - IS4</v>
          </cell>
        </row>
        <row r="1496">
          <cell r="D1496">
            <v>1482</v>
          </cell>
          <cell r="E1496">
            <v>0</v>
          </cell>
          <cell r="F1496">
            <v>0</v>
          </cell>
          <cell r="G1496" t="str">
            <v>SPCOPS</v>
          </cell>
          <cell r="H1496" t="str">
            <v>Spec Ops 2</v>
          </cell>
          <cell r="I1496" t="str">
            <v>IS4</v>
          </cell>
          <cell r="J1496" t="str">
            <v>IS4 Spectrum &amp; Infrastructure Assurance</v>
          </cell>
          <cell r="K1496" t="str">
            <v>Army</v>
          </cell>
          <cell r="L1496" t="str">
            <v>DOD</v>
          </cell>
          <cell r="M1496" t="str">
            <v>NC</v>
          </cell>
          <cell r="N1496" t="str">
            <v>CONUS</v>
          </cell>
          <cell r="O1496">
            <v>44834</v>
          </cell>
          <cell r="P1496">
            <v>46294</v>
          </cell>
          <cell r="Q1496" t="str">
            <v>Prime</v>
          </cell>
          <cell r="R1496" t="str">
            <v>CPFF</v>
          </cell>
          <cell r="S1496">
            <v>0</v>
          </cell>
          <cell r="T1496">
            <v>1</v>
          </cell>
          <cell r="U1496" t="str">
            <v>EBITA</v>
          </cell>
          <cell r="V1496" t="str">
            <v>Identified - Recompete</v>
          </cell>
          <cell r="W1496" t="str">
            <v>00 Investigative</v>
          </cell>
          <cell r="X1496" t="str">
            <v>Priority 2</v>
          </cell>
          <cell r="Y1496">
            <v>0.5</v>
          </cell>
          <cell r="Z1496">
            <v>24000000</v>
          </cell>
          <cell r="AA1496">
            <v>0</v>
          </cell>
          <cell r="AB1496">
            <v>0</v>
          </cell>
          <cell r="AC1496">
            <v>0</v>
          </cell>
          <cell r="AD1496">
            <v>0</v>
          </cell>
          <cell r="AX1496">
            <v>3.2428378580061867E-2</v>
          </cell>
          <cell r="AY1496">
            <v>3.2428378580061867E-2</v>
          </cell>
          <cell r="AZ1496">
            <v>3.2428378580061867E-2</v>
          </cell>
          <cell r="BA1496">
            <v>3.2428378580061867E-2</v>
          </cell>
          <cell r="BI1496">
            <v>0</v>
          </cell>
          <cell r="BJ1496">
            <v>0</v>
          </cell>
          <cell r="BK1496">
            <v>0</v>
          </cell>
          <cell r="BL1496">
            <v>0</v>
          </cell>
          <cell r="BM1496">
            <v>0</v>
          </cell>
          <cell r="BN1496">
            <v>0</v>
          </cell>
          <cell r="BO1496">
            <v>0</v>
          </cell>
          <cell r="BP1496">
            <v>0</v>
          </cell>
          <cell r="BQ1496">
            <v>92902.943014958233</v>
          </cell>
          <cell r="BR1496">
            <v>92902.943014958233</v>
          </cell>
          <cell r="BT1496">
            <v>0</v>
          </cell>
          <cell r="CA1496" t="str">
            <v>SPCOPS - EBITA - Identified - Recompete</v>
          </cell>
          <cell r="CC1496" t="str">
            <v>SPCOPS - EBITA - Identified - Recompete - IS4</v>
          </cell>
          <cell r="CD1496" t="str">
            <v/>
          </cell>
          <cell r="CF1496" t="str">
            <v>SPCOPS - Identified - Recompete - IS4</v>
          </cell>
        </row>
        <row r="1497">
          <cell r="D1497">
            <v>1483</v>
          </cell>
          <cell r="E1497">
            <v>1</v>
          </cell>
          <cell r="F1497">
            <v>1</v>
          </cell>
          <cell r="G1497" t="str">
            <v>DSTAT2</v>
          </cell>
          <cell r="H1497" t="str">
            <v>Ft. Meade Cyber (DS TAT)</v>
          </cell>
          <cell r="I1497" t="str">
            <v>IS4</v>
          </cell>
          <cell r="J1497" t="str">
            <v>IS4 Engineering and Technology Services</v>
          </cell>
          <cell r="K1497" t="str">
            <v>Other DOD</v>
          </cell>
          <cell r="L1497" t="str">
            <v>DOD</v>
          </cell>
          <cell r="M1497" t="str">
            <v>MD</v>
          </cell>
          <cell r="N1497" t="str">
            <v>CONUS</v>
          </cell>
          <cell r="O1497">
            <v>42333</v>
          </cell>
          <cell r="P1497">
            <v>44159</v>
          </cell>
          <cell r="Q1497" t="str">
            <v>Prime</v>
          </cell>
          <cell r="R1497" t="str">
            <v>CPFF</v>
          </cell>
          <cell r="S1497">
            <v>0</v>
          </cell>
          <cell r="T1497">
            <v>1</v>
          </cell>
          <cell r="U1497" t="str">
            <v>REVTOT</v>
          </cell>
          <cell r="V1497" t="str">
            <v>Base</v>
          </cell>
          <cell r="W1497" t="str">
            <v>05 Won</v>
          </cell>
          <cell r="X1497" t="str">
            <v>Active</v>
          </cell>
          <cell r="Y1497">
            <v>1</v>
          </cell>
          <cell r="Z1497">
            <v>0</v>
          </cell>
          <cell r="AA1497">
            <v>5409471.4799999995</v>
          </cell>
          <cell r="AB1497">
            <v>0</v>
          </cell>
          <cell r="AC1497">
            <v>0</v>
          </cell>
          <cell r="AD1497">
            <v>5409471.4799999995</v>
          </cell>
          <cell r="AE1497">
            <v>0.2421598306848205</v>
          </cell>
          <cell r="AF1497">
            <v>5.2051238583204817E-2</v>
          </cell>
          <cell r="AG1497">
            <v>0.13645847019463719</v>
          </cell>
          <cell r="AH1497">
            <v>-8.8948916404318901E-4</v>
          </cell>
          <cell r="AI1497">
            <v>0</v>
          </cell>
          <cell r="AJ1497">
            <v>0</v>
          </cell>
          <cell r="AK1497">
            <v>0</v>
          </cell>
          <cell r="BB1497">
            <v>5678923</v>
          </cell>
          <cell r="BC1497">
            <v>5678923</v>
          </cell>
          <cell r="BD1497">
            <v>5678923</v>
          </cell>
          <cell r="BE1497">
            <v>5678923</v>
          </cell>
          <cell r="BF1497">
            <v>3645636.51</v>
          </cell>
          <cell r="BG1497">
            <v>4528463.2299999995</v>
          </cell>
          <cell r="BH1497">
            <v>4764175.3499999996</v>
          </cell>
          <cell r="BI1497">
            <v>1278465.94</v>
          </cell>
          <cell r="BJ1497">
            <v>1414404.4300000002</v>
          </cell>
          <cell r="BK1497">
            <v>1321931.06</v>
          </cell>
          <cell r="BL1497">
            <v>1399486</v>
          </cell>
          <cell r="BM1497">
            <v>5414287.4299999997</v>
          </cell>
          <cell r="BN1497">
            <v>5409471.4799999995</v>
          </cell>
          <cell r="BO1497">
            <v>0</v>
          </cell>
          <cell r="BP1497">
            <v>0</v>
          </cell>
          <cell r="BQ1497">
            <v>0</v>
          </cell>
          <cell r="BR1497">
            <v>10823758.91</v>
          </cell>
          <cell r="BT1497">
            <v>0</v>
          </cell>
          <cell r="CA1497" t="str">
            <v>DSTAT2 - REVTOT - Base</v>
          </cell>
          <cell r="CC1497" t="str">
            <v>DSTAT2 - REVTOT - Base - IS4</v>
          </cell>
          <cell r="CD1497" t="str">
            <v/>
          </cell>
          <cell r="CF1497" t="str">
            <v>DSTAT2 - Base - IS4</v>
          </cell>
        </row>
        <row r="1498">
          <cell r="D1498">
            <v>1484</v>
          </cell>
          <cell r="E1498">
            <v>1</v>
          </cell>
          <cell r="F1498">
            <v>2</v>
          </cell>
          <cell r="G1498" t="str">
            <v>DSTAT2</v>
          </cell>
          <cell r="H1498" t="str">
            <v>Ft. Meade Cyber (DS TAT)</v>
          </cell>
          <cell r="I1498" t="str">
            <v>IS4</v>
          </cell>
          <cell r="J1498" t="str">
            <v>IS4 Engineering and Technology Services</v>
          </cell>
          <cell r="K1498" t="str">
            <v>Other DOD</v>
          </cell>
          <cell r="L1498" t="str">
            <v>DOD</v>
          </cell>
          <cell r="M1498" t="str">
            <v>MD</v>
          </cell>
          <cell r="N1498" t="str">
            <v>CONUS</v>
          </cell>
          <cell r="O1498">
            <v>0</v>
          </cell>
          <cell r="P1498">
            <v>0</v>
          </cell>
          <cell r="Q1498">
            <v>0</v>
          </cell>
          <cell r="R1498" t="str">
            <v>CPFF</v>
          </cell>
          <cell r="S1498">
            <v>0</v>
          </cell>
          <cell r="T1498">
            <v>1</v>
          </cell>
          <cell r="U1498" t="str">
            <v>REVTOT</v>
          </cell>
          <cell r="V1498" t="str">
            <v>Identified - Recompete</v>
          </cell>
          <cell r="W1498">
            <v>0</v>
          </cell>
          <cell r="X1498">
            <v>0</v>
          </cell>
          <cell r="Y1498">
            <v>0</v>
          </cell>
          <cell r="Z1498">
            <v>0</v>
          </cell>
          <cell r="AA1498">
            <v>0</v>
          </cell>
          <cell r="AB1498">
            <v>0</v>
          </cell>
          <cell r="AC1498">
            <v>0</v>
          </cell>
          <cell r="AD1498">
            <v>0</v>
          </cell>
          <cell r="AI1498">
            <v>0</v>
          </cell>
          <cell r="AJ1498">
            <v>0</v>
          </cell>
          <cell r="AK1498">
            <v>0</v>
          </cell>
          <cell r="BB1498">
            <v>0</v>
          </cell>
          <cell r="BC1498">
            <v>0</v>
          </cell>
          <cell r="BD1498">
            <v>0</v>
          </cell>
          <cell r="BE1498">
            <v>0</v>
          </cell>
          <cell r="BI1498">
            <v>0</v>
          </cell>
          <cell r="BJ1498">
            <v>0</v>
          </cell>
          <cell r="BK1498">
            <v>0</v>
          </cell>
          <cell r="BL1498">
            <v>0</v>
          </cell>
          <cell r="BM1498">
            <v>0</v>
          </cell>
          <cell r="BN1498">
            <v>0</v>
          </cell>
          <cell r="BO1498">
            <v>0</v>
          </cell>
          <cell r="BP1498">
            <v>0</v>
          </cell>
          <cell r="BQ1498">
            <v>0</v>
          </cell>
          <cell r="BR1498">
            <v>0</v>
          </cell>
          <cell r="BT1498">
            <v>0</v>
          </cell>
          <cell r="CA1498" t="str">
            <v>DSTAT2 - REVTOT - Identified - Recompete</v>
          </cell>
          <cell r="CC1498" t="str">
            <v>DSTAT2 - REVTOT - Identified - Recompete - IS4</v>
          </cell>
          <cell r="CD1498" t="str">
            <v/>
          </cell>
          <cell r="CF1498" t="str">
            <v>DSTAT2 - Identified - Recompete - IS4</v>
          </cell>
        </row>
        <row r="1499">
          <cell r="D1499">
            <v>1485</v>
          </cell>
          <cell r="E1499">
            <v>2</v>
          </cell>
          <cell r="F1499">
            <v>3</v>
          </cell>
          <cell r="G1499" t="str">
            <v>DSTAT2</v>
          </cell>
          <cell r="H1499" t="str">
            <v>Ft. Meade Cyber (DS TAT)</v>
          </cell>
          <cell r="I1499" t="str">
            <v>IS4</v>
          </cell>
          <cell r="J1499" t="str">
            <v>IS4 Engineering and Technology Services</v>
          </cell>
          <cell r="K1499" t="str">
            <v>Other DOD</v>
          </cell>
          <cell r="L1499" t="str">
            <v>DOD</v>
          </cell>
          <cell r="M1499" t="str">
            <v>MD</v>
          </cell>
          <cell r="N1499" t="str">
            <v>CONUS</v>
          </cell>
          <cell r="O1499">
            <v>42333</v>
          </cell>
          <cell r="P1499">
            <v>44159</v>
          </cell>
          <cell r="Q1499" t="str">
            <v>Prime</v>
          </cell>
          <cell r="R1499" t="str">
            <v>CPFF</v>
          </cell>
          <cell r="S1499">
            <v>0</v>
          </cell>
          <cell r="T1499">
            <v>1</v>
          </cell>
          <cell r="U1499" t="str">
            <v>CONTRACT</v>
          </cell>
          <cell r="V1499" t="str">
            <v>Base</v>
          </cell>
          <cell r="W1499" t="str">
            <v>05 Won</v>
          </cell>
          <cell r="X1499" t="str">
            <v>Active</v>
          </cell>
          <cell r="Y1499">
            <v>1</v>
          </cell>
          <cell r="Z1499">
            <v>0</v>
          </cell>
          <cell r="AA1499">
            <v>5409471.4799999995</v>
          </cell>
          <cell r="AB1499">
            <v>0</v>
          </cell>
          <cell r="AC1499">
            <v>0</v>
          </cell>
          <cell r="AD1499">
            <v>5409471.4799999995</v>
          </cell>
          <cell r="AL1499">
            <v>8.1336254776535596E-2</v>
          </cell>
          <cell r="AM1499">
            <v>0.1132847268365697</v>
          </cell>
          <cell r="AN1499">
            <v>0.12348156328880719</v>
          </cell>
          <cell r="AO1499">
            <v>0.13096284029383345</v>
          </cell>
          <cell r="AP1499">
            <v>0.1302090228728229</v>
          </cell>
          <cell r="AQ1499">
            <v>0.1302090228728229</v>
          </cell>
          <cell r="AR1499">
            <v>0.1302090228728229</v>
          </cell>
          <cell r="AS1499">
            <v>0.1302090228728229</v>
          </cell>
          <cell r="BF1499">
            <v>296522.42000000004</v>
          </cell>
          <cell r="BG1499">
            <v>513005.72000000009</v>
          </cell>
          <cell r="BH1499">
            <v>588287.82000000007</v>
          </cell>
          <cell r="BI1499">
            <v>169309.44999999995</v>
          </cell>
          <cell r="BJ1499">
            <v>182807.75</v>
          </cell>
          <cell r="BK1499">
            <v>175254.26</v>
          </cell>
          <cell r="BL1499">
            <v>181699</v>
          </cell>
          <cell r="BM1499">
            <v>709070.46</v>
          </cell>
          <cell r="BN1499">
            <v>704361.99566920311</v>
          </cell>
          <cell r="BO1499">
            <v>0</v>
          </cell>
          <cell r="BP1499">
            <v>0</v>
          </cell>
          <cell r="BQ1499">
            <v>0</v>
          </cell>
          <cell r="BR1499">
            <v>1413432.4556692031</v>
          </cell>
          <cell r="BT1499">
            <v>0</v>
          </cell>
          <cell r="CA1499" t="str">
            <v>DSTAT2 - CONTRACT - Base</v>
          </cell>
          <cell r="CC1499" t="str">
            <v>DSTAT2 - CONTRACT - Base - IS4</v>
          </cell>
          <cell r="CD1499" t="str">
            <v/>
          </cell>
          <cell r="CF1499" t="str">
            <v>DSTAT2 - Base - IS4</v>
          </cell>
        </row>
        <row r="1500">
          <cell r="D1500">
            <v>1486</v>
          </cell>
          <cell r="E1500">
            <v>2</v>
          </cell>
          <cell r="F1500">
            <v>4</v>
          </cell>
          <cell r="G1500" t="str">
            <v>DSTAT2</v>
          </cell>
          <cell r="H1500" t="str">
            <v>Ft. Meade Cyber (DS TAT)</v>
          </cell>
          <cell r="I1500" t="str">
            <v>IS4</v>
          </cell>
          <cell r="J1500" t="str">
            <v>IS4 Engineering and Technology Services</v>
          </cell>
          <cell r="K1500" t="str">
            <v>Other DOD</v>
          </cell>
          <cell r="L1500" t="str">
            <v>DOD</v>
          </cell>
          <cell r="M1500" t="str">
            <v>MD</v>
          </cell>
          <cell r="N1500" t="str">
            <v>CONUS</v>
          </cell>
          <cell r="O1500">
            <v>0</v>
          </cell>
          <cell r="P1500">
            <v>0</v>
          </cell>
          <cell r="Q1500">
            <v>0</v>
          </cell>
          <cell r="R1500" t="str">
            <v>CPFF</v>
          </cell>
          <cell r="S1500">
            <v>0</v>
          </cell>
          <cell r="T1500">
            <v>1</v>
          </cell>
          <cell r="U1500" t="str">
            <v>CONTRACT</v>
          </cell>
          <cell r="V1500" t="str">
            <v>Identified - Recompete</v>
          </cell>
          <cell r="W1500">
            <v>0</v>
          </cell>
          <cell r="X1500">
            <v>0</v>
          </cell>
          <cell r="Y1500">
            <v>0</v>
          </cell>
          <cell r="Z1500">
            <v>0</v>
          </cell>
          <cell r="AA1500">
            <v>0</v>
          </cell>
          <cell r="AB1500">
            <v>0</v>
          </cell>
          <cell r="AC1500">
            <v>0</v>
          </cell>
          <cell r="AD1500">
            <v>0</v>
          </cell>
          <cell r="AP1500">
            <v>0</v>
          </cell>
          <cell r="AQ1500">
            <v>0</v>
          </cell>
          <cell r="AR1500">
            <v>0</v>
          </cell>
          <cell r="AS1500">
            <v>0</v>
          </cell>
          <cell r="BI1500">
            <v>0</v>
          </cell>
          <cell r="BJ1500">
            <v>0</v>
          </cell>
          <cell r="BK1500">
            <v>0</v>
          </cell>
          <cell r="BL1500">
            <v>0</v>
          </cell>
          <cell r="BM1500">
            <v>0</v>
          </cell>
          <cell r="BN1500">
            <v>0</v>
          </cell>
          <cell r="BO1500">
            <v>0</v>
          </cell>
          <cell r="BP1500">
            <v>0</v>
          </cell>
          <cell r="BQ1500">
            <v>0</v>
          </cell>
          <cell r="BR1500">
            <v>0</v>
          </cell>
          <cell r="BT1500">
            <v>0</v>
          </cell>
          <cell r="CA1500" t="str">
            <v>DSTAT2 - CONTRACT - Identified - Recompete</v>
          </cell>
          <cell r="CC1500" t="str">
            <v>DSTAT2 - CONTRACT - Identified - Recompete - IS4</v>
          </cell>
          <cell r="CD1500" t="str">
            <v/>
          </cell>
          <cell r="CF1500" t="str">
            <v>DSTAT2 - Identified - Recompete - IS4</v>
          </cell>
        </row>
        <row r="1501">
          <cell r="D1501">
            <v>1487</v>
          </cell>
          <cell r="E1501">
            <v>0</v>
          </cell>
          <cell r="F1501">
            <v>5</v>
          </cell>
          <cell r="G1501" t="str">
            <v>DSTAT2</v>
          </cell>
          <cell r="H1501" t="str">
            <v>Ft. Meade Cyber (DS TAT)</v>
          </cell>
          <cell r="I1501" t="str">
            <v>IS4</v>
          </cell>
          <cell r="J1501" t="str">
            <v>IS4 Engineering and Technology Services</v>
          </cell>
          <cell r="K1501" t="str">
            <v>Other DOD</v>
          </cell>
          <cell r="L1501" t="str">
            <v>DOD</v>
          </cell>
          <cell r="M1501" t="str">
            <v>MD</v>
          </cell>
          <cell r="N1501" t="str">
            <v>CONUS</v>
          </cell>
          <cell r="O1501">
            <v>42333</v>
          </cell>
          <cell r="P1501">
            <v>44159</v>
          </cell>
          <cell r="Q1501" t="str">
            <v>Prime</v>
          </cell>
          <cell r="R1501" t="str">
            <v>CPFF</v>
          </cell>
          <cell r="S1501">
            <v>0</v>
          </cell>
          <cell r="T1501">
            <v>1</v>
          </cell>
          <cell r="U1501" t="str">
            <v>EBITA</v>
          </cell>
          <cell r="V1501" t="str">
            <v>Base</v>
          </cell>
          <cell r="W1501" t="str">
            <v>05 Won</v>
          </cell>
          <cell r="X1501" t="str">
            <v>Active</v>
          </cell>
          <cell r="Y1501">
            <v>1</v>
          </cell>
          <cell r="Z1501">
            <v>0</v>
          </cell>
          <cell r="AA1501">
            <v>5409471.4799999995</v>
          </cell>
          <cell r="AB1501">
            <v>0</v>
          </cell>
          <cell r="AC1501">
            <v>0</v>
          </cell>
          <cell r="AD1501">
            <v>5409471.4799999995</v>
          </cell>
          <cell r="AT1501">
            <v>4.5823797721402583E-2</v>
          </cell>
          <cell r="AU1501">
            <v>1.5683731189311233E-2</v>
          </cell>
          <cell r="AV1501">
            <v>3.9068933514380406E-2</v>
          </cell>
          <cell r="AW1501">
            <v>4.0207209686316928E-2</v>
          </cell>
          <cell r="AX1501">
            <v>3.9356993082542389E-2</v>
          </cell>
          <cell r="AY1501">
            <v>3.9356993082542389E-2</v>
          </cell>
          <cell r="AZ1501">
            <v>3.9356993082542389E-2</v>
          </cell>
          <cell r="BA1501">
            <v>3.9356993082542389E-2</v>
          </cell>
          <cell r="BF1501">
            <v>167056.91000000006</v>
          </cell>
          <cell r="BG1501">
            <v>71023.200000000084</v>
          </cell>
          <cell r="BH1501">
            <v>186131.25</v>
          </cell>
          <cell r="BI1501">
            <v>51116.729999999952</v>
          </cell>
          <cell r="BJ1501">
            <v>56605.570000000007</v>
          </cell>
          <cell r="BK1501">
            <v>55181.090000000011</v>
          </cell>
          <cell r="BL1501">
            <v>54790</v>
          </cell>
          <cell r="BM1501">
            <v>217693.38999999996</v>
          </cell>
          <cell r="BN1501">
            <v>212900.53161857033</v>
          </cell>
          <cell r="BO1501">
            <v>0</v>
          </cell>
          <cell r="BP1501">
            <v>0</v>
          </cell>
          <cell r="BQ1501">
            <v>0</v>
          </cell>
          <cell r="BR1501">
            <v>430593.92161857028</v>
          </cell>
          <cell r="BT1501">
            <v>0</v>
          </cell>
          <cell r="CA1501" t="str">
            <v>DSTAT2 - EBITA - Base</v>
          </cell>
          <cell r="CC1501" t="str">
            <v>DSTAT2 - EBITA - Base - IS4</v>
          </cell>
          <cell r="CD1501" t="str">
            <v/>
          </cell>
          <cell r="CF1501" t="str">
            <v>DSTAT2 - Base - IS4</v>
          </cell>
        </row>
        <row r="1502">
          <cell r="D1502">
            <v>1488</v>
          </cell>
          <cell r="E1502">
            <v>0</v>
          </cell>
          <cell r="F1502">
            <v>0</v>
          </cell>
          <cell r="G1502" t="str">
            <v>DSTAT2</v>
          </cell>
          <cell r="H1502" t="str">
            <v>Ft. Meade Cyber (DS TAT)</v>
          </cell>
          <cell r="I1502" t="str">
            <v>IS4</v>
          </cell>
          <cell r="J1502" t="str">
            <v>IS4 Engineering and Technology Services</v>
          </cell>
          <cell r="K1502" t="str">
            <v>Other DOD</v>
          </cell>
          <cell r="L1502" t="str">
            <v>DOD</v>
          </cell>
          <cell r="M1502" t="str">
            <v>MD</v>
          </cell>
          <cell r="N1502" t="str">
            <v>CONUS</v>
          </cell>
          <cell r="O1502">
            <v>0</v>
          </cell>
          <cell r="P1502">
            <v>0</v>
          </cell>
          <cell r="Q1502">
            <v>0</v>
          </cell>
          <cell r="R1502" t="str">
            <v>CPFF</v>
          </cell>
          <cell r="S1502">
            <v>0</v>
          </cell>
          <cell r="T1502">
            <v>1</v>
          </cell>
          <cell r="U1502" t="str">
            <v>EBITA</v>
          </cell>
          <cell r="V1502" t="str">
            <v>Identified - Recompete</v>
          </cell>
          <cell r="W1502">
            <v>0</v>
          </cell>
          <cell r="X1502">
            <v>0</v>
          </cell>
          <cell r="Y1502">
            <v>0</v>
          </cell>
          <cell r="Z1502">
            <v>0</v>
          </cell>
          <cell r="AA1502">
            <v>0</v>
          </cell>
          <cell r="AB1502">
            <v>0</v>
          </cell>
          <cell r="AC1502">
            <v>0</v>
          </cell>
          <cell r="AD1502">
            <v>0</v>
          </cell>
          <cell r="AX1502">
            <v>0</v>
          </cell>
          <cell r="AY1502">
            <v>0</v>
          </cell>
          <cell r="AZ1502">
            <v>0</v>
          </cell>
          <cell r="BA1502">
            <v>0</v>
          </cell>
          <cell r="BI1502">
            <v>0</v>
          </cell>
          <cell r="BJ1502">
            <v>0</v>
          </cell>
          <cell r="BK1502">
            <v>0</v>
          </cell>
          <cell r="BL1502">
            <v>0</v>
          </cell>
          <cell r="BM1502">
            <v>0</v>
          </cell>
          <cell r="BN1502">
            <v>0</v>
          </cell>
          <cell r="BO1502">
            <v>0</v>
          </cell>
          <cell r="BP1502">
            <v>0</v>
          </cell>
          <cell r="BQ1502">
            <v>0</v>
          </cell>
          <cell r="BR1502">
            <v>0</v>
          </cell>
          <cell r="BT1502">
            <v>0</v>
          </cell>
          <cell r="CA1502" t="str">
            <v>DSTAT2 - EBITA - Identified - Recompete</v>
          </cell>
          <cell r="CC1502" t="str">
            <v>DSTAT2 - EBITA - Identified - Recompete - IS4</v>
          </cell>
          <cell r="CD1502" t="str">
            <v/>
          </cell>
          <cell r="CF1502" t="str">
            <v>DSTAT2 - Identified - Recompete - IS4</v>
          </cell>
        </row>
        <row r="1503">
          <cell r="D1503">
            <v>1489</v>
          </cell>
          <cell r="E1503">
            <v>1</v>
          </cell>
          <cell r="F1503">
            <v>1</v>
          </cell>
          <cell r="G1503" t="str">
            <v>DSTAT5</v>
          </cell>
          <cell r="H1503" t="str">
            <v>DSTAT LPCS</v>
          </cell>
          <cell r="I1503" t="str">
            <v>IS4</v>
          </cell>
          <cell r="J1503" t="str">
            <v>IS4 Engineering and Technology Services</v>
          </cell>
          <cell r="K1503" t="str">
            <v>DHHS</v>
          </cell>
          <cell r="L1503" t="str">
            <v>DHHS</v>
          </cell>
          <cell r="M1503" t="str">
            <v>US_State</v>
          </cell>
          <cell r="N1503" t="str">
            <v>CONUS</v>
          </cell>
          <cell r="O1503">
            <v>43370</v>
          </cell>
          <cell r="P1503">
            <v>44465</v>
          </cell>
          <cell r="Q1503" t="str">
            <v>Prime</v>
          </cell>
          <cell r="R1503" t="str">
            <v>CPFF</v>
          </cell>
          <cell r="S1503">
            <v>0</v>
          </cell>
          <cell r="T1503">
            <v>1</v>
          </cell>
          <cell r="U1503" t="str">
            <v>REVTOT</v>
          </cell>
          <cell r="V1503" t="str">
            <v>Base</v>
          </cell>
          <cell r="W1503" t="str">
            <v>05 Won</v>
          </cell>
          <cell r="X1503" t="str">
            <v>Active</v>
          </cell>
          <cell r="Y1503">
            <v>1</v>
          </cell>
          <cell r="Z1503">
            <v>0</v>
          </cell>
          <cell r="AA1503">
            <v>3736857.9300000006</v>
          </cell>
          <cell r="AB1503">
            <v>15004398</v>
          </cell>
          <cell r="AC1503">
            <v>0</v>
          </cell>
          <cell r="AD1503">
            <v>18741255.93</v>
          </cell>
          <cell r="AE1503">
            <v>0</v>
          </cell>
          <cell r="AF1503">
            <v>0</v>
          </cell>
          <cell r="AG1503">
            <v>0</v>
          </cell>
          <cell r="AH1503">
            <v>0.30509971626693178</v>
          </cell>
          <cell r="AI1503">
            <v>0</v>
          </cell>
          <cell r="AJ1503">
            <v>0</v>
          </cell>
          <cell r="AK1503">
            <v>0</v>
          </cell>
          <cell r="BB1503">
            <v>6000629.3300000001</v>
          </cell>
          <cell r="BC1503">
            <v>6000629.3300000001</v>
          </cell>
          <cell r="BD1503">
            <v>6000629.3300000001</v>
          </cell>
          <cell r="BE1503">
            <v>6000629.3300000001</v>
          </cell>
          <cell r="BF1503">
            <v>0</v>
          </cell>
          <cell r="BG1503">
            <v>0</v>
          </cell>
          <cell r="BH1503">
            <v>0</v>
          </cell>
          <cell r="BI1503">
            <v>39280.269999999997</v>
          </cell>
          <cell r="BJ1503">
            <v>797096.69</v>
          </cell>
          <cell r="BK1503">
            <v>1274375.28</v>
          </cell>
          <cell r="BL1503">
            <v>2487079.83</v>
          </cell>
          <cell r="BM1503">
            <v>4597832.07</v>
          </cell>
          <cell r="BN1503">
            <v>6000629.3300000001</v>
          </cell>
          <cell r="BO1503">
            <v>5933955.6707777781</v>
          </cell>
          <cell r="BP1503">
            <v>0</v>
          </cell>
          <cell r="BQ1503">
            <v>0</v>
          </cell>
          <cell r="BR1503">
            <v>16532417.070777778</v>
          </cell>
          <cell r="BT1503">
            <v>0</v>
          </cell>
          <cell r="CA1503" t="str">
            <v>DSTAT5 - REVTOT - Base</v>
          </cell>
          <cell r="CC1503" t="str">
            <v>DSTAT5 - REVTOT - Base - IS4</v>
          </cell>
          <cell r="CD1503" t="str">
            <v/>
          </cell>
          <cell r="CF1503" t="str">
            <v>DSTAT5 - Base - IS4</v>
          </cell>
        </row>
        <row r="1504">
          <cell r="D1504">
            <v>1490</v>
          </cell>
          <cell r="E1504">
            <v>1</v>
          </cell>
          <cell r="F1504">
            <v>2</v>
          </cell>
          <cell r="G1504" t="str">
            <v>DSTAT5</v>
          </cell>
          <cell r="H1504" t="str">
            <v>DSTAT LPCS</v>
          </cell>
          <cell r="I1504" t="str">
            <v>IS4</v>
          </cell>
          <cell r="J1504" t="str">
            <v>IS4 Engineering and Technology Services</v>
          </cell>
          <cell r="K1504" t="str">
            <v>DHHS</v>
          </cell>
          <cell r="L1504" t="str">
            <v>DHHS</v>
          </cell>
          <cell r="M1504" t="str">
            <v>US_State</v>
          </cell>
          <cell r="N1504" t="str">
            <v>CONUS</v>
          </cell>
          <cell r="O1504">
            <v>44466</v>
          </cell>
          <cell r="P1504">
            <v>45561</v>
          </cell>
          <cell r="Q1504" t="str">
            <v>Prime</v>
          </cell>
          <cell r="R1504" t="str">
            <v>CPFF</v>
          </cell>
          <cell r="S1504">
            <v>0</v>
          </cell>
          <cell r="T1504">
            <v>1</v>
          </cell>
          <cell r="U1504" t="str">
            <v>REVTOT</v>
          </cell>
          <cell r="V1504" t="str">
            <v>Identified - Recompete</v>
          </cell>
          <cell r="W1504" t="str">
            <v>02 Capture</v>
          </cell>
          <cell r="X1504" t="str">
            <v>Priority 3</v>
          </cell>
          <cell r="Y1504">
            <v>0.3</v>
          </cell>
          <cell r="Z1504">
            <v>24000000</v>
          </cell>
          <cell r="AA1504">
            <v>0</v>
          </cell>
          <cell r="AB1504">
            <v>0</v>
          </cell>
          <cell r="AC1504">
            <v>0</v>
          </cell>
          <cell r="AD1504">
            <v>0</v>
          </cell>
          <cell r="AI1504">
            <v>0</v>
          </cell>
          <cell r="AJ1504">
            <v>0</v>
          </cell>
          <cell r="AK1504">
            <v>0</v>
          </cell>
          <cell r="BB1504">
            <v>8000000</v>
          </cell>
          <cell r="BC1504">
            <v>8000000</v>
          </cell>
          <cell r="BD1504">
            <v>8000000</v>
          </cell>
          <cell r="BE1504">
            <v>8000000</v>
          </cell>
          <cell r="BI1504">
            <v>0</v>
          </cell>
          <cell r="BJ1504">
            <v>0</v>
          </cell>
          <cell r="BK1504">
            <v>0</v>
          </cell>
          <cell r="BL1504">
            <v>0</v>
          </cell>
          <cell r="BM1504">
            <v>0</v>
          </cell>
          <cell r="BN1504">
            <v>0</v>
          </cell>
          <cell r="BO1504">
            <v>20000</v>
          </cell>
          <cell r="BP1504">
            <v>2400000</v>
          </cell>
          <cell r="BQ1504">
            <v>2400000</v>
          </cell>
          <cell r="BR1504">
            <v>4820000</v>
          </cell>
          <cell r="BT1504">
            <v>0</v>
          </cell>
          <cell r="CA1504" t="str">
            <v>DSTAT5 - REVTOT - Identified - Recompete</v>
          </cell>
          <cell r="CC1504" t="str">
            <v>DSTAT5 - REVTOT - Identified - Recompete - IS4</v>
          </cell>
          <cell r="CD1504" t="str">
            <v/>
          </cell>
          <cell r="CF1504" t="str">
            <v>DSTAT5 - Identified - Recompete - IS4</v>
          </cell>
        </row>
        <row r="1505">
          <cell r="D1505">
            <v>1491</v>
          </cell>
          <cell r="E1505">
            <v>2</v>
          </cell>
          <cell r="F1505">
            <v>3</v>
          </cell>
          <cell r="G1505" t="str">
            <v>DSTAT5</v>
          </cell>
          <cell r="H1505" t="str">
            <v>DSTAT LPCS</v>
          </cell>
          <cell r="I1505" t="str">
            <v>IS4</v>
          </cell>
          <cell r="J1505" t="str">
            <v>IS4 Engineering and Technology Services</v>
          </cell>
          <cell r="K1505" t="str">
            <v>DHHS</v>
          </cell>
          <cell r="L1505" t="str">
            <v>DHHS</v>
          </cell>
          <cell r="M1505" t="str">
            <v>US_State</v>
          </cell>
          <cell r="N1505" t="str">
            <v>CONUS</v>
          </cell>
          <cell r="O1505">
            <v>43370</v>
          </cell>
          <cell r="P1505">
            <v>44465</v>
          </cell>
          <cell r="Q1505" t="str">
            <v>Prime</v>
          </cell>
          <cell r="R1505" t="str">
            <v>CPFF</v>
          </cell>
          <cell r="S1505">
            <v>0</v>
          </cell>
          <cell r="T1505">
            <v>1</v>
          </cell>
          <cell r="U1505" t="str">
            <v>CONTRACT</v>
          </cell>
          <cell r="V1505" t="str">
            <v>Base</v>
          </cell>
          <cell r="W1505" t="str">
            <v>05 Won</v>
          </cell>
          <cell r="X1505" t="str">
            <v>Active</v>
          </cell>
          <cell r="Y1505">
            <v>1</v>
          </cell>
          <cell r="Z1505">
            <v>0</v>
          </cell>
          <cell r="AA1505">
            <v>3736857.9300000006</v>
          </cell>
          <cell r="AB1505">
            <v>15004398</v>
          </cell>
          <cell r="AC1505">
            <v>0</v>
          </cell>
          <cell r="AD1505">
            <v>18741255.93</v>
          </cell>
          <cell r="AL1505">
            <v>0</v>
          </cell>
          <cell r="AM1505">
            <v>0</v>
          </cell>
          <cell r="AN1505">
            <v>0</v>
          </cell>
          <cell r="AO1505">
            <v>0.1183478195192109</v>
          </cell>
          <cell r="AP1505">
            <v>0.12175478984635101</v>
          </cell>
          <cell r="AQ1505">
            <v>0.12175478984635101</v>
          </cell>
          <cell r="AR1505">
            <v>0.12175478984635101</v>
          </cell>
          <cell r="AS1505">
            <v>0.12175478984635101</v>
          </cell>
          <cell r="BF1505">
            <v>0</v>
          </cell>
          <cell r="BG1505">
            <v>0</v>
          </cell>
          <cell r="BH1505">
            <v>0</v>
          </cell>
          <cell r="BI1505">
            <v>-11328.07</v>
          </cell>
          <cell r="BJ1505">
            <v>113749.08999999991</v>
          </cell>
          <cell r="BK1505">
            <v>152529.26000000007</v>
          </cell>
          <cell r="BL1505">
            <v>289193.11999999988</v>
          </cell>
          <cell r="BM1505">
            <v>544143.39999999991</v>
          </cell>
          <cell r="BN1505">
            <v>730605.36302000005</v>
          </cell>
          <cell r="BO1505">
            <v>722487.52565311117</v>
          </cell>
          <cell r="BP1505">
            <v>0</v>
          </cell>
          <cell r="BQ1505">
            <v>0</v>
          </cell>
          <cell r="BR1505">
            <v>1997236.2886731112</v>
          </cell>
          <cell r="BT1505">
            <v>0</v>
          </cell>
          <cell r="CA1505" t="str">
            <v>DSTAT5 - CONTRACT - Base</v>
          </cell>
          <cell r="CC1505" t="str">
            <v>DSTAT5 - CONTRACT - Base - IS4</v>
          </cell>
          <cell r="CD1505" t="str">
            <v/>
          </cell>
          <cell r="CF1505" t="str">
            <v>DSTAT5 - Base - IS4</v>
          </cell>
        </row>
        <row r="1506">
          <cell r="D1506">
            <v>1492</v>
          </cell>
          <cell r="E1506">
            <v>2</v>
          </cell>
          <cell r="F1506">
            <v>4</v>
          </cell>
          <cell r="G1506" t="str">
            <v>DSTAT5</v>
          </cell>
          <cell r="H1506" t="str">
            <v>DSTAT LPCS</v>
          </cell>
          <cell r="I1506" t="str">
            <v>IS4</v>
          </cell>
          <cell r="J1506" t="str">
            <v>IS4 Engineering and Technology Services</v>
          </cell>
          <cell r="K1506" t="str">
            <v>DHHS</v>
          </cell>
          <cell r="L1506" t="str">
            <v>DHHS</v>
          </cell>
          <cell r="M1506" t="str">
            <v>US_State</v>
          </cell>
          <cell r="N1506" t="str">
            <v>CONUS</v>
          </cell>
          <cell r="O1506">
            <v>44466</v>
          </cell>
          <cell r="P1506">
            <v>45561</v>
          </cell>
          <cell r="Q1506" t="str">
            <v>Prime</v>
          </cell>
          <cell r="R1506" t="str">
            <v>CPFF</v>
          </cell>
          <cell r="S1506">
            <v>0</v>
          </cell>
          <cell r="T1506">
            <v>1</v>
          </cell>
          <cell r="U1506" t="str">
            <v>CONTRACT</v>
          </cell>
          <cell r="V1506" t="str">
            <v>Identified - Recompete</v>
          </cell>
          <cell r="W1506" t="str">
            <v>02 Capture</v>
          </cell>
          <cell r="X1506" t="str">
            <v>Priority 3</v>
          </cell>
          <cell r="Y1506">
            <v>0.3</v>
          </cell>
          <cell r="Z1506">
            <v>24000000</v>
          </cell>
          <cell r="AA1506">
            <v>0</v>
          </cell>
          <cell r="AB1506">
            <v>0</v>
          </cell>
          <cell r="AC1506">
            <v>0</v>
          </cell>
          <cell r="AD1506">
            <v>0</v>
          </cell>
          <cell r="AP1506">
            <v>0.12175478984635101</v>
          </cell>
          <cell r="AQ1506">
            <v>0.12175478984635101</v>
          </cell>
          <cell r="AR1506">
            <v>0.12175478984635101</v>
          </cell>
          <cell r="AS1506">
            <v>0.12175478984635101</v>
          </cell>
          <cell r="BI1506">
            <v>0</v>
          </cell>
          <cell r="BJ1506">
            <v>0</v>
          </cell>
          <cell r="BK1506">
            <v>0</v>
          </cell>
          <cell r="BL1506">
            <v>0</v>
          </cell>
          <cell r="BM1506">
            <v>0</v>
          </cell>
          <cell r="BN1506">
            <v>0</v>
          </cell>
          <cell r="BO1506">
            <v>2435.0957969270203</v>
          </cell>
          <cell r="BP1506">
            <v>292211.4956312424</v>
          </cell>
          <cell r="BQ1506">
            <v>292211.4956312424</v>
          </cell>
          <cell r="BR1506">
            <v>586858.0870594118</v>
          </cell>
          <cell r="BT1506">
            <v>0</v>
          </cell>
          <cell r="CA1506" t="str">
            <v>DSTAT5 - CONTRACT - Identified - Recompete</v>
          </cell>
          <cell r="CC1506" t="str">
            <v>DSTAT5 - CONTRACT - Identified - Recompete - IS4</v>
          </cell>
          <cell r="CD1506" t="str">
            <v/>
          </cell>
          <cell r="CF1506" t="str">
            <v>DSTAT5 - Identified - Recompete - IS4</v>
          </cell>
        </row>
        <row r="1507">
          <cell r="D1507">
            <v>1493</v>
          </cell>
          <cell r="E1507">
            <v>0</v>
          </cell>
          <cell r="F1507">
            <v>5</v>
          </cell>
          <cell r="G1507" t="str">
            <v>DSTAT5</v>
          </cell>
          <cell r="H1507" t="str">
            <v>DSTAT LPCS</v>
          </cell>
          <cell r="I1507" t="str">
            <v>IS4</v>
          </cell>
          <cell r="J1507" t="str">
            <v>IS4 Engineering and Technology Services</v>
          </cell>
          <cell r="K1507" t="str">
            <v>DHHS</v>
          </cell>
          <cell r="L1507" t="str">
            <v>DHHS</v>
          </cell>
          <cell r="M1507" t="str">
            <v>US_State</v>
          </cell>
          <cell r="N1507" t="str">
            <v>CONUS</v>
          </cell>
          <cell r="O1507">
            <v>43370</v>
          </cell>
          <cell r="P1507">
            <v>44465</v>
          </cell>
          <cell r="Q1507" t="str">
            <v>Prime</v>
          </cell>
          <cell r="R1507" t="str">
            <v>CPFF</v>
          </cell>
          <cell r="S1507">
            <v>0</v>
          </cell>
          <cell r="T1507">
            <v>1</v>
          </cell>
          <cell r="U1507" t="str">
            <v>EBITA</v>
          </cell>
          <cell r="V1507" t="str">
            <v>Base</v>
          </cell>
          <cell r="W1507" t="str">
            <v>05 Won</v>
          </cell>
          <cell r="X1507" t="str">
            <v>Active</v>
          </cell>
          <cell r="Y1507">
            <v>1</v>
          </cell>
          <cell r="Z1507">
            <v>0</v>
          </cell>
          <cell r="AA1507">
            <v>3736857.9300000006</v>
          </cell>
          <cell r="AB1507">
            <v>15004398</v>
          </cell>
          <cell r="AC1507">
            <v>0</v>
          </cell>
          <cell r="AD1507">
            <v>18741255.93</v>
          </cell>
          <cell r="AT1507">
            <v>0</v>
          </cell>
          <cell r="AU1507">
            <v>0</v>
          </cell>
          <cell r="AV1507">
            <v>0</v>
          </cell>
          <cell r="AW1507">
            <v>2.6501742156929152E-2</v>
          </cell>
          <cell r="AX1507">
            <v>2.8620470179265268E-2</v>
          </cell>
          <cell r="AY1507">
            <v>2.8620470179265268E-2</v>
          </cell>
          <cell r="AZ1507">
            <v>2.8620470179265268E-2</v>
          </cell>
          <cell r="BA1507">
            <v>2.8620470179265268E-2</v>
          </cell>
          <cell r="BF1507">
            <v>0</v>
          </cell>
          <cell r="BG1507">
            <v>0</v>
          </cell>
          <cell r="BH1507">
            <v>0</v>
          </cell>
          <cell r="BI1507">
            <v>-18260.45</v>
          </cell>
          <cell r="BJ1507">
            <v>41036.30999999991</v>
          </cell>
          <cell r="BK1507">
            <v>35628.38000000007</v>
          </cell>
          <cell r="BL1507">
            <v>63446.319999999861</v>
          </cell>
          <cell r="BM1507">
            <v>121850.55999999984</v>
          </cell>
          <cell r="BN1507">
            <v>171740.83279608953</v>
          </cell>
          <cell r="BO1507">
            <v>169832.60132057744</v>
          </cell>
          <cell r="BP1507">
            <v>0</v>
          </cell>
          <cell r="BQ1507">
            <v>0</v>
          </cell>
          <cell r="BR1507">
            <v>463423.99411666678</v>
          </cell>
          <cell r="BT1507">
            <v>0</v>
          </cell>
          <cell r="CA1507" t="str">
            <v>DSTAT5 - EBITA - Base</v>
          </cell>
          <cell r="CC1507" t="str">
            <v>DSTAT5 - EBITA - Base - IS4</v>
          </cell>
          <cell r="CD1507" t="str">
            <v/>
          </cell>
          <cell r="CF1507" t="str">
            <v>DSTAT5 - Base - IS4</v>
          </cell>
        </row>
        <row r="1508">
          <cell r="D1508">
            <v>1494</v>
          </cell>
          <cell r="E1508">
            <v>0</v>
          </cell>
          <cell r="F1508">
            <v>0</v>
          </cell>
          <cell r="G1508" t="str">
            <v>DSTAT5</v>
          </cell>
          <cell r="H1508" t="str">
            <v>DSTAT LPCS</v>
          </cell>
          <cell r="I1508" t="str">
            <v>IS4</v>
          </cell>
          <cell r="J1508" t="str">
            <v>IS4 Engineering and Technology Services</v>
          </cell>
          <cell r="K1508" t="str">
            <v>DHHS</v>
          </cell>
          <cell r="L1508" t="str">
            <v>DHHS</v>
          </cell>
          <cell r="M1508" t="str">
            <v>US_State</v>
          </cell>
          <cell r="N1508" t="str">
            <v>CONUS</v>
          </cell>
          <cell r="O1508">
            <v>44466</v>
          </cell>
          <cell r="P1508">
            <v>45561</v>
          </cell>
          <cell r="Q1508" t="str">
            <v>Prime</v>
          </cell>
          <cell r="R1508" t="str">
            <v>CPFF</v>
          </cell>
          <cell r="S1508">
            <v>0</v>
          </cell>
          <cell r="T1508">
            <v>1</v>
          </cell>
          <cell r="U1508" t="str">
            <v>EBITA</v>
          </cell>
          <cell r="V1508" t="str">
            <v>Identified - Recompete</v>
          </cell>
          <cell r="W1508" t="str">
            <v>02 Capture</v>
          </cell>
          <cell r="X1508" t="str">
            <v>Priority 3</v>
          </cell>
          <cell r="Y1508">
            <v>0.3</v>
          </cell>
          <cell r="Z1508">
            <v>24000000</v>
          </cell>
          <cell r="AA1508">
            <v>0</v>
          </cell>
          <cell r="AB1508">
            <v>0</v>
          </cell>
          <cell r="AC1508">
            <v>0</v>
          </cell>
          <cell r="AD1508">
            <v>0</v>
          </cell>
          <cell r="AX1508">
            <v>2.8620470179265268E-2</v>
          </cell>
          <cell r="AY1508">
            <v>2.8620470179265268E-2</v>
          </cell>
          <cell r="AZ1508">
            <v>2.8620470179265268E-2</v>
          </cell>
          <cell r="BA1508">
            <v>2.8620470179265268E-2</v>
          </cell>
          <cell r="BI1508">
            <v>0</v>
          </cell>
          <cell r="BJ1508">
            <v>0</v>
          </cell>
          <cell r="BK1508">
            <v>0</v>
          </cell>
          <cell r="BL1508">
            <v>0</v>
          </cell>
          <cell r="BM1508">
            <v>0</v>
          </cell>
          <cell r="BN1508">
            <v>0</v>
          </cell>
          <cell r="BO1508">
            <v>572.40940358530531</v>
          </cell>
          <cell r="BP1508">
            <v>68689.12843023664</v>
          </cell>
          <cell r="BQ1508">
            <v>68689.12843023664</v>
          </cell>
          <cell r="BR1508">
            <v>137950.66626405859</v>
          </cell>
          <cell r="BT1508">
            <v>0</v>
          </cell>
          <cell r="CA1508" t="str">
            <v>DSTAT5 - EBITA - Identified - Recompete</v>
          </cell>
          <cell r="CC1508" t="str">
            <v>DSTAT5 - EBITA - Identified - Recompete - IS4</v>
          </cell>
          <cell r="CD1508" t="str">
            <v/>
          </cell>
          <cell r="CF1508" t="str">
            <v>DSTAT5 - Identified - Recompete - IS4</v>
          </cell>
        </row>
        <row r="1509">
          <cell r="D1509">
            <v>1495</v>
          </cell>
          <cell r="E1509">
            <v>1</v>
          </cell>
          <cell r="F1509">
            <v>1</v>
          </cell>
          <cell r="G1509" t="str">
            <v>002615</v>
          </cell>
          <cell r="H1509" t="str">
            <v>2615 - Rolling Airframe Missile (RAM) 2015</v>
          </cell>
          <cell r="I1509" t="str">
            <v>IS4</v>
          </cell>
          <cell r="J1509" t="str">
            <v>IS4 Sustainment Engineering and Acquisition</v>
          </cell>
          <cell r="K1509" t="str">
            <v>Navy</v>
          </cell>
          <cell r="L1509" t="str">
            <v>DOD</v>
          </cell>
          <cell r="M1509" t="str">
            <v>VA</v>
          </cell>
          <cell r="N1509" t="str">
            <v>CONUS</v>
          </cell>
          <cell r="O1509">
            <v>42005</v>
          </cell>
          <cell r="P1509">
            <v>43830</v>
          </cell>
          <cell r="Q1509" t="str">
            <v>Prime</v>
          </cell>
          <cell r="R1509" t="str">
            <v>CPFF</v>
          </cell>
          <cell r="S1509">
            <v>0</v>
          </cell>
          <cell r="T1509">
            <v>1</v>
          </cell>
          <cell r="U1509" t="str">
            <v>REVTOT</v>
          </cell>
          <cell r="V1509" t="str">
            <v>Base</v>
          </cell>
          <cell r="W1509" t="str">
            <v>05 Won</v>
          </cell>
          <cell r="X1509" t="str">
            <v>Active</v>
          </cell>
          <cell r="Y1509">
            <v>1</v>
          </cell>
          <cell r="Z1509">
            <v>0</v>
          </cell>
          <cell r="AA1509">
            <v>1461475.9799999995</v>
          </cell>
          <cell r="AB1509">
            <v>574562</v>
          </cell>
          <cell r="AC1509">
            <v>0</v>
          </cell>
          <cell r="AD1509">
            <v>2036037.9799999995</v>
          </cell>
          <cell r="AE1509">
            <v>8.0335249859761593E-2</v>
          </cell>
          <cell r="AF1509">
            <v>0.12119030695712296</v>
          </cell>
          <cell r="AG1509">
            <v>5.0740057806499372E-2</v>
          </cell>
          <cell r="AH1509">
            <v>-0.5837166263579594</v>
          </cell>
          <cell r="AI1509">
            <v>0</v>
          </cell>
          <cell r="AJ1509">
            <v>0</v>
          </cell>
          <cell r="AK1509">
            <v>0</v>
          </cell>
          <cell r="BB1509">
            <v>3719728.5720999995</v>
          </cell>
          <cell r="BC1509">
            <v>3719728.5720999995</v>
          </cell>
          <cell r="BD1509">
            <v>3719728.5720999995</v>
          </cell>
          <cell r="BE1509">
            <v>3719728.5720999995</v>
          </cell>
          <cell r="BF1509">
            <v>3842940.31</v>
          </cell>
          <cell r="BG1509">
            <v>4151663.88</v>
          </cell>
          <cell r="BH1509">
            <v>4654805.3</v>
          </cell>
          <cell r="BI1509">
            <v>1095093.0899999999</v>
          </cell>
          <cell r="BJ1509">
            <v>1195364.18</v>
          </cell>
          <cell r="BK1509">
            <v>1414022.3199999998</v>
          </cell>
          <cell r="BL1509">
            <v>1186510.8</v>
          </cell>
          <cell r="BM1509">
            <v>4890990.3899999997</v>
          </cell>
          <cell r="BN1509">
            <v>2036037.9799999995</v>
          </cell>
          <cell r="BO1509">
            <v>0</v>
          </cell>
          <cell r="BP1509">
            <v>0</v>
          </cell>
          <cell r="BQ1509">
            <v>0</v>
          </cell>
          <cell r="BR1509">
            <v>6927028.3699999992</v>
          </cell>
          <cell r="BT1509">
            <v>0</v>
          </cell>
          <cell r="CA1509" t="str">
            <v>002615 - REVTOT - Base</v>
          </cell>
          <cell r="CC1509" t="str">
            <v>002615 - REVTOT - Base - IS4</v>
          </cell>
          <cell r="CD1509" t="str">
            <v/>
          </cell>
          <cell r="CF1509" t="str">
            <v>002615 - Base - IS4</v>
          </cell>
        </row>
        <row r="1510">
          <cell r="D1510">
            <v>1496</v>
          </cell>
          <cell r="E1510">
            <v>1</v>
          </cell>
          <cell r="F1510">
            <v>2</v>
          </cell>
          <cell r="G1510" t="str">
            <v>002615</v>
          </cell>
          <cell r="H1510" t="str">
            <v>2615 - Rolling Airframe Missile (RAM) 2015</v>
          </cell>
          <cell r="I1510" t="str">
            <v>IS4</v>
          </cell>
          <cell r="J1510" t="str">
            <v>IS4 Sustainment Engineering and Acquisition</v>
          </cell>
          <cell r="K1510" t="str">
            <v>Navy</v>
          </cell>
          <cell r="L1510" t="str">
            <v>DOD</v>
          </cell>
          <cell r="M1510" t="str">
            <v>VA</v>
          </cell>
          <cell r="N1510" t="str">
            <v>CONUS</v>
          </cell>
          <cell r="O1510">
            <v>44088</v>
          </cell>
          <cell r="P1510">
            <v>45914</v>
          </cell>
          <cell r="Q1510" t="str">
            <v>Sub</v>
          </cell>
          <cell r="R1510" t="str">
            <v>CPFF</v>
          </cell>
          <cell r="S1510">
            <v>0</v>
          </cell>
          <cell r="T1510">
            <v>1</v>
          </cell>
          <cell r="U1510" t="str">
            <v>REVTOT</v>
          </cell>
          <cell r="V1510" t="str">
            <v>Identified - Recompete</v>
          </cell>
          <cell r="W1510" t="str">
            <v>02 Capture</v>
          </cell>
          <cell r="X1510" t="str">
            <v>Priority 3</v>
          </cell>
          <cell r="Y1510">
            <v>0.4</v>
          </cell>
          <cell r="Z1510">
            <v>15000000</v>
          </cell>
          <cell r="AA1510">
            <v>0</v>
          </cell>
          <cell r="AB1510">
            <v>0</v>
          </cell>
          <cell r="AC1510">
            <v>0</v>
          </cell>
          <cell r="AD1510">
            <v>0</v>
          </cell>
          <cell r="AI1510">
            <v>0</v>
          </cell>
          <cell r="AJ1510">
            <v>0</v>
          </cell>
          <cell r="AK1510">
            <v>0</v>
          </cell>
          <cell r="BB1510">
            <v>3000000</v>
          </cell>
          <cell r="BC1510">
            <v>3000000</v>
          </cell>
          <cell r="BD1510">
            <v>3000000</v>
          </cell>
          <cell r="BE1510">
            <v>3000000</v>
          </cell>
          <cell r="BI1510">
            <v>0</v>
          </cell>
          <cell r="BJ1510">
            <v>0</v>
          </cell>
          <cell r="BK1510">
            <v>0</v>
          </cell>
          <cell r="BL1510">
            <v>0</v>
          </cell>
          <cell r="BM1510">
            <v>0</v>
          </cell>
          <cell r="BN1510">
            <v>53333.333333333343</v>
          </cell>
          <cell r="BO1510">
            <v>1200000</v>
          </cell>
          <cell r="BP1510">
            <v>1200000</v>
          </cell>
          <cell r="BQ1510">
            <v>1200000</v>
          </cell>
          <cell r="BR1510">
            <v>3653333.333333333</v>
          </cell>
          <cell r="BT1510">
            <v>0</v>
          </cell>
          <cell r="CA1510" t="str">
            <v>002615 - REVTOT - Identified - Recompete</v>
          </cell>
          <cell r="CC1510" t="str">
            <v>002615 - REVTOT - Identified - Recompete - IS4</v>
          </cell>
          <cell r="CD1510" t="str">
            <v/>
          </cell>
          <cell r="CF1510" t="str">
            <v>002615 - Identified - Recompete - IS4</v>
          </cell>
        </row>
        <row r="1511">
          <cell r="D1511">
            <v>1497</v>
          </cell>
          <cell r="E1511">
            <v>2</v>
          </cell>
          <cell r="F1511">
            <v>3</v>
          </cell>
          <cell r="G1511" t="str">
            <v>002615</v>
          </cell>
          <cell r="H1511" t="str">
            <v>2615 - Rolling Airframe Missile (RAM) 2015</v>
          </cell>
          <cell r="I1511" t="str">
            <v>IS4</v>
          </cell>
          <cell r="J1511" t="str">
            <v>IS4 Sustainment Engineering and Acquisition</v>
          </cell>
          <cell r="K1511" t="str">
            <v>Navy</v>
          </cell>
          <cell r="L1511" t="str">
            <v>DOD</v>
          </cell>
          <cell r="M1511" t="str">
            <v>VA</v>
          </cell>
          <cell r="N1511" t="str">
            <v>CONUS</v>
          </cell>
          <cell r="O1511">
            <v>42005</v>
          </cell>
          <cell r="P1511">
            <v>43830</v>
          </cell>
          <cell r="Q1511" t="str">
            <v>Prime</v>
          </cell>
          <cell r="R1511" t="str">
            <v>CPFF</v>
          </cell>
          <cell r="S1511">
            <v>0</v>
          </cell>
          <cell r="T1511">
            <v>1</v>
          </cell>
          <cell r="U1511" t="str">
            <v>CONTRACT</v>
          </cell>
          <cell r="V1511" t="str">
            <v>Base</v>
          </cell>
          <cell r="W1511" t="str">
            <v>05 Won</v>
          </cell>
          <cell r="X1511" t="str">
            <v>Active</v>
          </cell>
          <cell r="Y1511">
            <v>1</v>
          </cell>
          <cell r="Z1511">
            <v>0</v>
          </cell>
          <cell r="AA1511">
            <v>1461475.9799999995</v>
          </cell>
          <cell r="AB1511">
            <v>574562</v>
          </cell>
          <cell r="AC1511">
            <v>0</v>
          </cell>
          <cell r="AD1511">
            <v>2036037.9799999995</v>
          </cell>
          <cell r="AL1511">
            <v>0.18178102277107711</v>
          </cell>
          <cell r="AM1511">
            <v>0.17268041458115341</v>
          </cell>
          <cell r="AN1511">
            <v>0.16374149311894959</v>
          </cell>
          <cell r="AO1511">
            <v>0.16156800095450605</v>
          </cell>
          <cell r="AP1511">
            <v>0.1668475361728288</v>
          </cell>
          <cell r="AQ1511">
            <v>0.1668475361728288</v>
          </cell>
          <cell r="AR1511">
            <v>0.1668475361728288</v>
          </cell>
          <cell r="AS1511">
            <v>0.1668475361728288</v>
          </cell>
          <cell r="BF1511">
            <v>698573.62000000011</v>
          </cell>
          <cell r="BG1511">
            <v>716911.03999999992</v>
          </cell>
          <cell r="BH1511">
            <v>762184.77</v>
          </cell>
          <cell r="BI1511">
            <v>163436.41999999993</v>
          </cell>
          <cell r="BJ1511">
            <v>195251.24999999994</v>
          </cell>
          <cell r="BK1511">
            <v>232992.90999999997</v>
          </cell>
          <cell r="BL1511">
            <v>198546.95999999996</v>
          </cell>
          <cell r="BM1511">
            <v>790227.5399999998</v>
          </cell>
          <cell r="BN1511">
            <v>339707.92051730317</v>
          </cell>
          <cell r="BO1511">
            <v>0</v>
          </cell>
          <cell r="BP1511">
            <v>0</v>
          </cell>
          <cell r="BQ1511">
            <v>0</v>
          </cell>
          <cell r="BR1511">
            <v>1129935.4605173031</v>
          </cell>
          <cell r="BT1511">
            <v>0</v>
          </cell>
          <cell r="CA1511" t="str">
            <v>002615 - CONTRACT - Base</v>
          </cell>
          <cell r="CC1511" t="str">
            <v>002615 - CONTRACT - Base - IS4</v>
          </cell>
          <cell r="CD1511" t="str">
            <v/>
          </cell>
          <cell r="CF1511" t="str">
            <v>002615 - Base - IS4</v>
          </cell>
        </row>
        <row r="1512">
          <cell r="D1512">
            <v>1498</v>
          </cell>
          <cell r="E1512">
            <v>2</v>
          </cell>
          <cell r="F1512">
            <v>4</v>
          </cell>
          <cell r="G1512" t="str">
            <v>002615</v>
          </cell>
          <cell r="H1512" t="str">
            <v>2615 - Rolling Airframe Missile (RAM) 2015</v>
          </cell>
          <cell r="I1512" t="str">
            <v>IS4</v>
          </cell>
          <cell r="J1512" t="str">
            <v>IS4 Sustainment Engineering and Acquisition</v>
          </cell>
          <cell r="K1512" t="str">
            <v>Navy</v>
          </cell>
          <cell r="L1512" t="str">
            <v>DOD</v>
          </cell>
          <cell r="M1512" t="str">
            <v>VA</v>
          </cell>
          <cell r="N1512" t="str">
            <v>CONUS</v>
          </cell>
          <cell r="O1512">
            <v>44088</v>
          </cell>
          <cell r="P1512">
            <v>45914</v>
          </cell>
          <cell r="Q1512" t="str">
            <v>Sub</v>
          </cell>
          <cell r="R1512" t="str">
            <v>CPFF</v>
          </cell>
          <cell r="S1512">
            <v>0</v>
          </cell>
          <cell r="T1512">
            <v>1</v>
          </cell>
          <cell r="U1512" t="str">
            <v>CONTRACT</v>
          </cell>
          <cell r="V1512" t="str">
            <v>Identified - Recompete</v>
          </cell>
          <cell r="W1512" t="str">
            <v>02 Capture</v>
          </cell>
          <cell r="X1512" t="str">
            <v>Priority 3</v>
          </cell>
          <cell r="Y1512">
            <v>0.4</v>
          </cell>
          <cell r="Z1512">
            <v>15000000</v>
          </cell>
          <cell r="AA1512">
            <v>0</v>
          </cell>
          <cell r="AB1512">
            <v>0</v>
          </cell>
          <cell r="AC1512">
            <v>0</v>
          </cell>
          <cell r="AD1512">
            <v>0</v>
          </cell>
          <cell r="AP1512">
            <v>0.1668475361728288</v>
          </cell>
          <cell r="AQ1512">
            <v>0.1668475361728288</v>
          </cell>
          <cell r="AR1512">
            <v>0.1668475361728288</v>
          </cell>
          <cell r="AS1512">
            <v>0.1668475361728288</v>
          </cell>
          <cell r="BI1512">
            <v>0</v>
          </cell>
          <cell r="BJ1512">
            <v>0</v>
          </cell>
          <cell r="BK1512">
            <v>0</v>
          </cell>
          <cell r="BL1512">
            <v>0</v>
          </cell>
          <cell r="BM1512">
            <v>0</v>
          </cell>
          <cell r="BN1512">
            <v>8898.5352625508713</v>
          </cell>
          <cell r="BO1512">
            <v>200217.04340739455</v>
          </cell>
          <cell r="BP1512">
            <v>200217.04340739455</v>
          </cell>
          <cell r="BQ1512">
            <v>200217.04340739455</v>
          </cell>
          <cell r="BR1512">
            <v>609549.66548473458</v>
          </cell>
          <cell r="BT1512">
            <v>0</v>
          </cell>
          <cell r="CA1512" t="str">
            <v>002615 - CONTRACT - Identified - Recompete</v>
          </cell>
          <cell r="CC1512" t="str">
            <v>002615 - CONTRACT - Identified - Recompete - IS4</v>
          </cell>
          <cell r="CD1512" t="str">
            <v/>
          </cell>
          <cell r="CF1512" t="str">
            <v>002615 - Identified - Recompete - IS4</v>
          </cell>
        </row>
        <row r="1513">
          <cell r="D1513">
            <v>1499</v>
          </cell>
          <cell r="E1513">
            <v>0</v>
          </cell>
          <cell r="F1513">
            <v>5</v>
          </cell>
          <cell r="G1513" t="str">
            <v>002615</v>
          </cell>
          <cell r="H1513" t="str">
            <v>2615 - Rolling Airframe Missile (RAM) 2015</v>
          </cell>
          <cell r="I1513" t="str">
            <v>IS4</v>
          </cell>
          <cell r="J1513" t="str">
            <v>IS4 Sustainment Engineering and Acquisition</v>
          </cell>
          <cell r="K1513" t="str">
            <v>Navy</v>
          </cell>
          <cell r="L1513" t="str">
            <v>DOD</v>
          </cell>
          <cell r="M1513" t="str">
            <v>VA</v>
          </cell>
          <cell r="N1513" t="str">
            <v>CONUS</v>
          </cell>
          <cell r="O1513">
            <v>42005</v>
          </cell>
          <cell r="P1513">
            <v>43830</v>
          </cell>
          <cell r="Q1513" t="str">
            <v>Prime</v>
          </cell>
          <cell r="R1513" t="str">
            <v>CPFF</v>
          </cell>
          <cell r="S1513">
            <v>0</v>
          </cell>
          <cell r="T1513">
            <v>1</v>
          </cell>
          <cell r="U1513" t="str">
            <v>EBITA</v>
          </cell>
          <cell r="V1513" t="str">
            <v>Base</v>
          </cell>
          <cell r="W1513" t="str">
            <v>05 Won</v>
          </cell>
          <cell r="X1513" t="str">
            <v>Active</v>
          </cell>
          <cell r="Y1513">
            <v>1</v>
          </cell>
          <cell r="Z1513">
            <v>0</v>
          </cell>
          <cell r="AA1513">
            <v>1461475.9799999995</v>
          </cell>
          <cell r="AB1513">
            <v>574562</v>
          </cell>
          <cell r="AC1513">
            <v>0</v>
          </cell>
          <cell r="AD1513">
            <v>2036037.9799999995</v>
          </cell>
          <cell r="AT1513">
            <v>6.4020916317589133E-2</v>
          </cell>
          <cell r="AU1513">
            <v>6.3678789430323526E-2</v>
          </cell>
          <cell r="AV1513">
            <v>6.429504580997189E-2</v>
          </cell>
          <cell r="AW1513">
            <v>6.2950822931385861E-2</v>
          </cell>
          <cell r="AX1513">
            <v>6.4020966602718249E-2</v>
          </cell>
          <cell r="AY1513">
            <v>6.4020966602718249E-2</v>
          </cell>
          <cell r="AZ1513">
            <v>6.4020966602718249E-2</v>
          </cell>
          <cell r="BA1513">
            <v>6.4020966602718249E-2</v>
          </cell>
          <cell r="BF1513">
            <v>246028.56000000003</v>
          </cell>
          <cell r="BG1513">
            <v>264372.92999999993</v>
          </cell>
          <cell r="BH1513">
            <v>299280.91999999993</v>
          </cell>
          <cell r="BI1513">
            <v>69719.649999999936</v>
          </cell>
          <cell r="BJ1513">
            <v>70361.769999999931</v>
          </cell>
          <cell r="BK1513">
            <v>91848.909999999974</v>
          </cell>
          <cell r="BL1513">
            <v>75961.539999999979</v>
          </cell>
          <cell r="BM1513">
            <v>307891.86999999982</v>
          </cell>
          <cell r="BN1513">
            <v>130349.1195194459</v>
          </cell>
          <cell r="BO1513">
            <v>0</v>
          </cell>
          <cell r="BP1513">
            <v>0</v>
          </cell>
          <cell r="BQ1513">
            <v>0</v>
          </cell>
          <cell r="BR1513">
            <v>438240.98951944569</v>
          </cell>
          <cell r="BT1513">
            <v>0</v>
          </cell>
          <cell r="CA1513" t="str">
            <v>002615 - EBITA - Base</v>
          </cell>
          <cell r="CC1513" t="str">
            <v>002615 - EBITA - Base - IS4</v>
          </cell>
          <cell r="CD1513" t="str">
            <v/>
          </cell>
          <cell r="CF1513" t="str">
            <v>002615 - Base - IS4</v>
          </cell>
        </row>
        <row r="1514">
          <cell r="D1514">
            <v>1500</v>
          </cell>
          <cell r="E1514">
            <v>0</v>
          </cell>
          <cell r="F1514">
            <v>0</v>
          </cell>
          <cell r="G1514" t="str">
            <v>002615</v>
          </cell>
          <cell r="H1514" t="str">
            <v>2615 - Rolling Airframe Missile (RAM) 2015</v>
          </cell>
          <cell r="I1514" t="str">
            <v>IS4</v>
          </cell>
          <cell r="J1514" t="str">
            <v>IS4 Sustainment Engineering and Acquisition</v>
          </cell>
          <cell r="K1514" t="str">
            <v>Navy</v>
          </cell>
          <cell r="L1514" t="str">
            <v>DOD</v>
          </cell>
          <cell r="M1514" t="str">
            <v>VA</v>
          </cell>
          <cell r="N1514" t="str">
            <v>CONUS</v>
          </cell>
          <cell r="O1514">
            <v>44088</v>
          </cell>
          <cell r="P1514">
            <v>45914</v>
          </cell>
          <cell r="Q1514" t="str">
            <v>Sub</v>
          </cell>
          <cell r="R1514" t="str">
            <v>CPFF</v>
          </cell>
          <cell r="S1514">
            <v>0</v>
          </cell>
          <cell r="T1514">
            <v>1</v>
          </cell>
          <cell r="U1514" t="str">
            <v>EBITA</v>
          </cell>
          <cell r="V1514" t="str">
            <v>Identified - Recompete</v>
          </cell>
          <cell r="W1514" t="str">
            <v>02 Capture</v>
          </cell>
          <cell r="X1514" t="str">
            <v>Priority 3</v>
          </cell>
          <cell r="Y1514">
            <v>0.4</v>
          </cell>
          <cell r="Z1514">
            <v>15000000</v>
          </cell>
          <cell r="AA1514">
            <v>0</v>
          </cell>
          <cell r="AB1514">
            <v>0</v>
          </cell>
          <cell r="AC1514">
            <v>0</v>
          </cell>
          <cell r="AD1514">
            <v>0</v>
          </cell>
          <cell r="AX1514">
            <v>6.4020966602718249E-2</v>
          </cell>
          <cell r="AY1514">
            <v>6.4020966602718249E-2</v>
          </cell>
          <cell r="AZ1514">
            <v>6.4020966602718249E-2</v>
          </cell>
          <cell r="BA1514">
            <v>6.4020966602718249E-2</v>
          </cell>
          <cell r="BI1514">
            <v>0</v>
          </cell>
          <cell r="BJ1514">
            <v>0</v>
          </cell>
          <cell r="BK1514">
            <v>0</v>
          </cell>
          <cell r="BL1514">
            <v>0</v>
          </cell>
          <cell r="BM1514">
            <v>0</v>
          </cell>
          <cell r="BN1514">
            <v>3414.4515521449739</v>
          </cell>
          <cell r="BO1514">
            <v>76825.159923261905</v>
          </cell>
          <cell r="BP1514">
            <v>76825.159923261905</v>
          </cell>
          <cell r="BQ1514">
            <v>76825.159923261905</v>
          </cell>
          <cell r="BR1514">
            <v>233889.93132193069</v>
          </cell>
          <cell r="BT1514">
            <v>0</v>
          </cell>
          <cell r="CA1514" t="str">
            <v>002615 - EBITA - Identified - Recompete</v>
          </cell>
          <cell r="CC1514" t="str">
            <v>002615 - EBITA - Identified - Recompete - IS4</v>
          </cell>
          <cell r="CD1514" t="str">
            <v/>
          </cell>
          <cell r="CF1514" t="str">
            <v>002615 - Identified - Recompete - IS4</v>
          </cell>
        </row>
        <row r="1515">
          <cell r="D1515">
            <v>1501</v>
          </cell>
          <cell r="E1515">
            <v>1</v>
          </cell>
          <cell r="F1515">
            <v>1</v>
          </cell>
          <cell r="G1515" t="str">
            <v>H20USW</v>
          </cell>
          <cell r="H1515" t="str">
            <v>H20 USW Engineering</v>
          </cell>
          <cell r="I1515" t="str">
            <v>IS4</v>
          </cell>
          <cell r="J1515" t="str">
            <v>IS4 Spectrum &amp; Infrastructure Assurance</v>
          </cell>
          <cell r="K1515" t="str">
            <v>Navy</v>
          </cell>
          <cell r="L1515" t="str">
            <v>DOD</v>
          </cell>
          <cell r="M1515" t="str">
            <v>VA</v>
          </cell>
          <cell r="N1515" t="str">
            <v>CONUS</v>
          </cell>
          <cell r="O1515">
            <v>42948</v>
          </cell>
          <cell r="P1515">
            <v>44773</v>
          </cell>
          <cell r="Q1515" t="str">
            <v>Prime</v>
          </cell>
          <cell r="R1515" t="str">
            <v>CPFF</v>
          </cell>
          <cell r="S1515">
            <v>0</v>
          </cell>
          <cell r="T1515">
            <v>1</v>
          </cell>
          <cell r="U1515" t="str">
            <v>REVTOT</v>
          </cell>
          <cell r="V1515" t="str">
            <v>Base</v>
          </cell>
          <cell r="W1515" t="str">
            <v>05 Won</v>
          </cell>
          <cell r="X1515" t="str">
            <v>Active</v>
          </cell>
          <cell r="Y1515">
            <v>1</v>
          </cell>
          <cell r="Z1515">
            <v>0</v>
          </cell>
          <cell r="AA1515">
            <v>9495388.1257999986</v>
          </cell>
          <cell r="AB1515">
            <v>12676754</v>
          </cell>
          <cell r="AC1515">
            <v>0</v>
          </cell>
          <cell r="AD1515">
            <v>22172142.125799999</v>
          </cell>
          <cell r="AE1515">
            <v>0</v>
          </cell>
          <cell r="AF1515">
            <v>7.1635467629667762</v>
          </cell>
          <cell r="AG1515">
            <v>-7.4082942478159719E-3</v>
          </cell>
          <cell r="AH1515">
            <v>8.0716581298006407E-2</v>
          </cell>
          <cell r="AI1515">
            <v>0</v>
          </cell>
          <cell r="AJ1515">
            <v>0</v>
          </cell>
          <cell r="AK1515">
            <v>0</v>
          </cell>
          <cell r="BB1515">
            <v>4286443.5548</v>
          </cell>
          <cell r="BC1515">
            <v>4286443.5548</v>
          </cell>
          <cell r="BD1515">
            <v>4286443.5548</v>
          </cell>
          <cell r="BE1515">
            <v>4286443.5548</v>
          </cell>
          <cell r="BF1515">
            <v>0</v>
          </cell>
          <cell r="BG1515">
            <v>489480.92000000004</v>
          </cell>
          <cell r="BH1515">
            <v>3995900.38</v>
          </cell>
          <cell r="BI1515">
            <v>972501.7</v>
          </cell>
          <cell r="BJ1515">
            <v>941624.66999999993</v>
          </cell>
          <cell r="BK1515">
            <v>1004422.63</v>
          </cell>
          <cell r="BL1515">
            <v>1047748.5742</v>
          </cell>
          <cell r="BM1515">
            <v>3966297.5742000001</v>
          </cell>
          <cell r="BN1515">
            <v>4286443.5548</v>
          </cell>
          <cell r="BO1515">
            <v>4286443.5548</v>
          </cell>
          <cell r="BP1515">
            <v>3572036.2956666667</v>
          </cell>
          <cell r="BQ1515">
            <v>0</v>
          </cell>
          <cell r="BR1515">
            <v>16111220.979466667</v>
          </cell>
          <cell r="BT1515">
            <v>0</v>
          </cell>
          <cell r="CA1515" t="str">
            <v>H20USW - REVTOT - Base</v>
          </cell>
          <cell r="CC1515" t="str">
            <v>H20USW - REVTOT - Base - IS4</v>
          </cell>
          <cell r="CD1515" t="str">
            <v/>
          </cell>
          <cell r="CF1515" t="str">
            <v>H20USW - Base - IS4</v>
          </cell>
        </row>
        <row r="1516">
          <cell r="D1516">
            <v>1502</v>
          </cell>
          <cell r="E1516">
            <v>1</v>
          </cell>
          <cell r="F1516">
            <v>2</v>
          </cell>
          <cell r="G1516" t="str">
            <v>H20USW</v>
          </cell>
          <cell r="H1516" t="str">
            <v>H20 USW Engineering</v>
          </cell>
          <cell r="I1516" t="str">
            <v>IS4</v>
          </cell>
          <cell r="J1516" t="str">
            <v>IS4 Spectrum &amp; Infrastructure Assurance</v>
          </cell>
          <cell r="K1516" t="str">
            <v>Navy</v>
          </cell>
          <cell r="L1516" t="str">
            <v>DOD</v>
          </cell>
          <cell r="M1516" t="str">
            <v>VA</v>
          </cell>
          <cell r="N1516" t="str">
            <v>CONUS</v>
          </cell>
          <cell r="O1516">
            <v>44774</v>
          </cell>
          <cell r="P1516">
            <v>46599</v>
          </cell>
          <cell r="Q1516" t="str">
            <v>Prime</v>
          </cell>
          <cell r="R1516" t="str">
            <v>CPFF</v>
          </cell>
          <cell r="S1516">
            <v>0</v>
          </cell>
          <cell r="T1516">
            <v>1</v>
          </cell>
          <cell r="U1516" t="str">
            <v>REVTOT</v>
          </cell>
          <cell r="V1516" t="str">
            <v>Identified - Recompete</v>
          </cell>
          <cell r="W1516" t="str">
            <v>00 Investigate</v>
          </cell>
          <cell r="X1516" t="str">
            <v>Priority 3</v>
          </cell>
          <cell r="Y1516">
            <v>0.5</v>
          </cell>
          <cell r="Z1516">
            <v>31000000</v>
          </cell>
          <cell r="AA1516">
            <v>0</v>
          </cell>
          <cell r="AB1516">
            <v>0</v>
          </cell>
          <cell r="AC1516">
            <v>0</v>
          </cell>
          <cell r="AD1516">
            <v>0</v>
          </cell>
          <cell r="AI1516">
            <v>0</v>
          </cell>
          <cell r="AJ1516">
            <v>0</v>
          </cell>
          <cell r="AK1516">
            <v>0</v>
          </cell>
          <cell r="BB1516">
            <v>4286443.5548</v>
          </cell>
          <cell r="BC1516">
            <v>4286443.5548</v>
          </cell>
          <cell r="BD1516">
            <v>4286443.5548</v>
          </cell>
          <cell r="BE1516">
            <v>4286443.5548</v>
          </cell>
          <cell r="BI1516">
            <v>0</v>
          </cell>
          <cell r="BJ1516">
            <v>0</v>
          </cell>
          <cell r="BK1516">
            <v>0</v>
          </cell>
          <cell r="BL1516">
            <v>0</v>
          </cell>
          <cell r="BM1516">
            <v>0</v>
          </cell>
          <cell r="BN1516">
            <v>0</v>
          </cell>
          <cell r="BO1516">
            <v>0</v>
          </cell>
          <cell r="BP1516">
            <v>351250.23574055557</v>
          </cell>
          <cell r="BQ1516">
            <v>2143221.7774</v>
          </cell>
          <cell r="BR1516">
            <v>2494472.0131405555</v>
          </cell>
          <cell r="BT1516">
            <v>0</v>
          </cell>
          <cell r="CA1516" t="str">
            <v>H20USW - REVTOT - Identified - Recompete</v>
          </cell>
          <cell r="CC1516" t="str">
            <v>H20USW - REVTOT - Identified - Recompete - IS4</v>
          </cell>
          <cell r="CD1516" t="str">
            <v/>
          </cell>
          <cell r="CF1516" t="str">
            <v>H20USW - Identified - Recompete - IS4</v>
          </cell>
        </row>
        <row r="1517">
          <cell r="D1517">
            <v>1503</v>
          </cell>
          <cell r="E1517">
            <v>2</v>
          </cell>
          <cell r="F1517">
            <v>3</v>
          </cell>
          <cell r="G1517" t="str">
            <v>H20USW</v>
          </cell>
          <cell r="H1517" t="str">
            <v>H20 USW Engineering</v>
          </cell>
          <cell r="I1517" t="str">
            <v>IS4</v>
          </cell>
          <cell r="J1517" t="str">
            <v>IS4 Spectrum &amp; Infrastructure Assurance</v>
          </cell>
          <cell r="K1517" t="str">
            <v>Navy</v>
          </cell>
          <cell r="L1517" t="str">
            <v>DOD</v>
          </cell>
          <cell r="M1517" t="str">
            <v>VA</v>
          </cell>
          <cell r="N1517" t="str">
            <v>CONUS</v>
          </cell>
          <cell r="O1517">
            <v>42948</v>
          </cell>
          <cell r="P1517">
            <v>44773</v>
          </cell>
          <cell r="Q1517" t="str">
            <v>Prime</v>
          </cell>
          <cell r="R1517" t="str">
            <v>CPFF</v>
          </cell>
          <cell r="S1517">
            <v>0</v>
          </cell>
          <cell r="T1517">
            <v>1</v>
          </cell>
          <cell r="U1517" t="str">
            <v>CONTRACT</v>
          </cell>
          <cell r="V1517" t="str">
            <v>Base</v>
          </cell>
          <cell r="W1517" t="str">
            <v>05 Won</v>
          </cell>
          <cell r="X1517" t="str">
            <v>Active</v>
          </cell>
          <cell r="Y1517">
            <v>1</v>
          </cell>
          <cell r="Z1517">
            <v>0</v>
          </cell>
          <cell r="AA1517">
            <v>9495388.1257999986</v>
          </cell>
          <cell r="AB1517">
            <v>12676754</v>
          </cell>
          <cell r="AC1517">
            <v>0</v>
          </cell>
          <cell r="AD1517">
            <v>22172142.125799999</v>
          </cell>
          <cell r="AL1517">
            <v>0</v>
          </cell>
          <cell r="AM1517">
            <v>0.16252339314880759</v>
          </cell>
          <cell r="AN1517">
            <v>0.1505275939837119</v>
          </cell>
          <cell r="AO1517">
            <v>0.16004324676749571</v>
          </cell>
          <cell r="AP1517">
            <v>0.16222253211040927</v>
          </cell>
          <cell r="AQ1517">
            <v>0.16222253211040927</v>
          </cell>
          <cell r="AR1517">
            <v>0.16222253211040927</v>
          </cell>
          <cell r="AS1517">
            <v>0.16222253211040927</v>
          </cell>
          <cell r="BF1517">
            <v>0</v>
          </cell>
          <cell r="BG1517">
            <v>79552.100000000049</v>
          </cell>
          <cell r="BH1517">
            <v>601493.27000000014</v>
          </cell>
          <cell r="BI1517">
            <v>148340.26000000013</v>
          </cell>
          <cell r="BJ1517">
            <v>151603.00999999995</v>
          </cell>
          <cell r="BK1517">
            <v>159704.86000000004</v>
          </cell>
          <cell r="BL1517">
            <v>175131.01142101007</v>
          </cell>
          <cell r="BM1517">
            <v>634779.14142101025</v>
          </cell>
          <cell r="BN1517">
            <v>695357.72720799991</v>
          </cell>
          <cell r="BO1517">
            <v>695357.72720799991</v>
          </cell>
          <cell r="BP1517">
            <v>579464.77267333318</v>
          </cell>
          <cell r="BQ1517">
            <v>0</v>
          </cell>
          <cell r="BR1517">
            <v>2604959.3685103431</v>
          </cell>
          <cell r="BT1517">
            <v>0</v>
          </cell>
          <cell r="CA1517" t="str">
            <v>H20USW - CONTRACT - Base</v>
          </cell>
          <cell r="CC1517" t="str">
            <v>H20USW - CONTRACT - Base - IS4</v>
          </cell>
          <cell r="CD1517" t="str">
            <v/>
          </cell>
          <cell r="CF1517" t="str">
            <v>H20USW - Base - IS4</v>
          </cell>
        </row>
        <row r="1518">
          <cell r="D1518">
            <v>1504</v>
          </cell>
          <cell r="E1518">
            <v>2</v>
          </cell>
          <cell r="F1518">
            <v>4</v>
          </cell>
          <cell r="G1518" t="str">
            <v>H20USW</v>
          </cell>
          <cell r="H1518" t="str">
            <v>H20 USW Engineering</v>
          </cell>
          <cell r="I1518" t="str">
            <v>IS4</v>
          </cell>
          <cell r="J1518" t="str">
            <v>IS4 Spectrum &amp; Infrastructure Assurance</v>
          </cell>
          <cell r="K1518" t="str">
            <v>Navy</v>
          </cell>
          <cell r="L1518" t="str">
            <v>DOD</v>
          </cell>
          <cell r="M1518" t="str">
            <v>VA</v>
          </cell>
          <cell r="N1518" t="str">
            <v>CONUS</v>
          </cell>
          <cell r="O1518">
            <v>44774</v>
          </cell>
          <cell r="P1518">
            <v>46599</v>
          </cell>
          <cell r="Q1518" t="str">
            <v>Prime</v>
          </cell>
          <cell r="R1518" t="str">
            <v>CPFF</v>
          </cell>
          <cell r="S1518">
            <v>0</v>
          </cell>
          <cell r="T1518">
            <v>1</v>
          </cell>
          <cell r="U1518" t="str">
            <v>CONTRACT</v>
          </cell>
          <cell r="V1518" t="str">
            <v>Identified - Recompete</v>
          </cell>
          <cell r="W1518" t="str">
            <v>00 Investigate</v>
          </cell>
          <cell r="X1518" t="str">
            <v>Priority 3</v>
          </cell>
          <cell r="Y1518">
            <v>0.5</v>
          </cell>
          <cell r="Z1518">
            <v>31000000</v>
          </cell>
          <cell r="AA1518">
            <v>0</v>
          </cell>
          <cell r="AB1518">
            <v>0</v>
          </cell>
          <cell r="AC1518">
            <v>0</v>
          </cell>
          <cell r="AD1518">
            <v>0</v>
          </cell>
          <cell r="AP1518">
            <v>0.16222253211040927</v>
          </cell>
          <cell r="AQ1518">
            <v>0.16222253211040927</v>
          </cell>
          <cell r="AR1518">
            <v>0.16222253211040927</v>
          </cell>
          <cell r="AS1518">
            <v>0.16222253211040927</v>
          </cell>
          <cell r="BI1518">
            <v>0</v>
          </cell>
          <cell r="BJ1518">
            <v>0</v>
          </cell>
          <cell r="BK1518">
            <v>0</v>
          </cell>
          <cell r="BL1518">
            <v>0</v>
          </cell>
          <cell r="BM1518">
            <v>0</v>
          </cell>
          <cell r="BN1518">
            <v>0</v>
          </cell>
          <cell r="BO1518">
            <v>0</v>
          </cell>
          <cell r="BP1518">
            <v>56980.702646211103</v>
          </cell>
          <cell r="BQ1518">
            <v>347678.86360399995</v>
          </cell>
          <cell r="BR1518">
            <v>404659.56625021104</v>
          </cell>
          <cell r="BT1518">
            <v>0</v>
          </cell>
          <cell r="CA1518" t="str">
            <v>H20USW - CONTRACT - Identified - Recompete</v>
          </cell>
          <cell r="CC1518" t="str">
            <v>H20USW - CONTRACT - Identified - Recompete - IS4</v>
          </cell>
          <cell r="CD1518" t="str">
            <v/>
          </cell>
          <cell r="CF1518" t="str">
            <v>H20USW - Identified - Recompete - IS4</v>
          </cell>
        </row>
        <row r="1519">
          <cell r="D1519">
            <v>1505</v>
          </cell>
          <cell r="E1519">
            <v>0</v>
          </cell>
          <cell r="F1519">
            <v>5</v>
          </cell>
          <cell r="G1519" t="str">
            <v>H20USW</v>
          </cell>
          <cell r="H1519" t="str">
            <v>H20 USW Engineering</v>
          </cell>
          <cell r="I1519" t="str">
            <v>IS4</v>
          </cell>
          <cell r="J1519" t="str">
            <v>IS4 Spectrum &amp; Infrastructure Assurance</v>
          </cell>
          <cell r="K1519" t="str">
            <v>Navy</v>
          </cell>
          <cell r="L1519" t="str">
            <v>DOD</v>
          </cell>
          <cell r="M1519" t="str">
            <v>VA</v>
          </cell>
          <cell r="N1519" t="str">
            <v>CONUS</v>
          </cell>
          <cell r="O1519">
            <v>42948</v>
          </cell>
          <cell r="P1519">
            <v>44773</v>
          </cell>
          <cell r="Q1519" t="str">
            <v>Prime</v>
          </cell>
          <cell r="R1519" t="str">
            <v>CPFF</v>
          </cell>
          <cell r="S1519">
            <v>0</v>
          </cell>
          <cell r="T1519">
            <v>1</v>
          </cell>
          <cell r="U1519" t="str">
            <v>EBITA</v>
          </cell>
          <cell r="V1519" t="str">
            <v>Base</v>
          </cell>
          <cell r="W1519" t="str">
            <v>05 Won</v>
          </cell>
          <cell r="X1519" t="str">
            <v>Active</v>
          </cell>
          <cell r="Y1519">
            <v>1</v>
          </cell>
          <cell r="Z1519">
            <v>0</v>
          </cell>
          <cell r="AA1519">
            <v>9495388.1257999986</v>
          </cell>
          <cell r="AB1519">
            <v>12676754</v>
          </cell>
          <cell r="AC1519">
            <v>0</v>
          </cell>
          <cell r="AD1519">
            <v>22172142.125799999</v>
          </cell>
          <cell r="AT1519">
            <v>0</v>
          </cell>
          <cell r="AU1519">
            <v>3.0478266650312016E-2</v>
          </cell>
          <cell r="AV1519">
            <v>3.8998920188295629E-2</v>
          </cell>
          <cell r="AW1519">
            <v>3.8801967669824113E-2</v>
          </cell>
          <cell r="AX1519">
            <v>3.9953666438924319E-2</v>
          </cell>
          <cell r="AY1519">
            <v>3.9953666438924319E-2</v>
          </cell>
          <cell r="AZ1519">
            <v>3.9953666438924319E-2</v>
          </cell>
          <cell r="BA1519">
            <v>3.9953666438924319E-2</v>
          </cell>
          <cell r="BF1519">
            <v>0</v>
          </cell>
          <cell r="BG1519">
            <v>14918.530000000046</v>
          </cell>
          <cell r="BH1519">
            <v>155835.80000000016</v>
          </cell>
          <cell r="BI1519">
            <v>39620.410000000127</v>
          </cell>
          <cell r="BJ1519">
            <v>34919.329999999958</v>
          </cell>
          <cell r="BK1519">
            <v>37573.41000000004</v>
          </cell>
          <cell r="BL1519">
            <v>41787.000243010072</v>
          </cell>
          <cell r="BM1519">
            <v>153900.1502430102</v>
          </cell>
          <cell r="BN1519">
            <v>171259.13599775621</v>
          </cell>
          <cell r="BO1519">
            <v>171259.13599775621</v>
          </cell>
          <cell r="BP1519">
            <v>142715.94666479685</v>
          </cell>
          <cell r="BQ1519">
            <v>0</v>
          </cell>
          <cell r="BR1519">
            <v>639134.36890331947</v>
          </cell>
          <cell r="BT1519">
            <v>0</v>
          </cell>
          <cell r="CA1519" t="str">
            <v>H20USW - EBITA - Base</v>
          </cell>
          <cell r="CC1519" t="str">
            <v>H20USW - EBITA - Base - IS4</v>
          </cell>
          <cell r="CD1519" t="str">
            <v/>
          </cell>
          <cell r="CF1519" t="str">
            <v>H20USW - Base - IS4</v>
          </cell>
        </row>
        <row r="1520">
          <cell r="D1520">
            <v>1506</v>
          </cell>
          <cell r="E1520">
            <v>0</v>
          </cell>
          <cell r="F1520">
            <v>0</v>
          </cell>
          <cell r="G1520" t="str">
            <v>H20USW</v>
          </cell>
          <cell r="H1520" t="str">
            <v>H20 USW Engineering</v>
          </cell>
          <cell r="I1520" t="str">
            <v>IS4</v>
          </cell>
          <cell r="J1520" t="str">
            <v>IS4 Spectrum &amp; Infrastructure Assurance</v>
          </cell>
          <cell r="K1520" t="str">
            <v>Navy</v>
          </cell>
          <cell r="L1520" t="str">
            <v>DOD</v>
          </cell>
          <cell r="M1520" t="str">
            <v>VA</v>
          </cell>
          <cell r="N1520" t="str">
            <v>CONUS</v>
          </cell>
          <cell r="O1520">
            <v>44774</v>
          </cell>
          <cell r="P1520">
            <v>46599</v>
          </cell>
          <cell r="Q1520" t="str">
            <v>Prime</v>
          </cell>
          <cell r="R1520" t="str">
            <v>CPFF</v>
          </cell>
          <cell r="S1520">
            <v>0</v>
          </cell>
          <cell r="T1520">
            <v>1</v>
          </cell>
          <cell r="U1520" t="str">
            <v>EBITA</v>
          </cell>
          <cell r="V1520" t="str">
            <v>Identified - Recompete</v>
          </cell>
          <cell r="W1520" t="str">
            <v>00 Investigate</v>
          </cell>
          <cell r="X1520" t="str">
            <v>Priority 3</v>
          </cell>
          <cell r="Y1520">
            <v>0.5</v>
          </cell>
          <cell r="Z1520">
            <v>31000000</v>
          </cell>
          <cell r="AA1520">
            <v>0</v>
          </cell>
          <cell r="AB1520">
            <v>0</v>
          </cell>
          <cell r="AC1520">
            <v>0</v>
          </cell>
          <cell r="AD1520">
            <v>0</v>
          </cell>
          <cell r="AX1520">
            <v>3.9953666438924319E-2</v>
          </cell>
          <cell r="AY1520">
            <v>3.9953666438924319E-2</v>
          </cell>
          <cell r="AZ1520">
            <v>3.9953666438924319E-2</v>
          </cell>
          <cell r="BA1520">
            <v>3.9953666438924319E-2</v>
          </cell>
          <cell r="BI1520">
            <v>0</v>
          </cell>
          <cell r="BJ1520">
            <v>0</v>
          </cell>
          <cell r="BK1520">
            <v>0</v>
          </cell>
          <cell r="BL1520">
            <v>0</v>
          </cell>
          <cell r="BM1520">
            <v>0</v>
          </cell>
          <cell r="BN1520">
            <v>0</v>
          </cell>
          <cell r="BO1520">
            <v>0</v>
          </cell>
          <cell r="BP1520">
            <v>14033.73475537169</v>
          </cell>
          <cell r="BQ1520">
            <v>85629.567998878105</v>
          </cell>
          <cell r="BR1520">
            <v>99663.302754249802</v>
          </cell>
          <cell r="BT1520">
            <v>0</v>
          </cell>
          <cell r="CA1520" t="str">
            <v>H20USW - EBITA - Identified - Recompete</v>
          </cell>
          <cell r="CC1520" t="str">
            <v>H20USW - EBITA - Identified - Recompete - IS4</v>
          </cell>
          <cell r="CD1520" t="str">
            <v/>
          </cell>
          <cell r="CF1520" t="str">
            <v>H20USW - Identified - Recompete - IS4</v>
          </cell>
        </row>
        <row r="1521">
          <cell r="D1521">
            <v>1507</v>
          </cell>
          <cell r="E1521">
            <v>1</v>
          </cell>
          <cell r="F1521">
            <v>1</v>
          </cell>
          <cell r="G1521" t="str">
            <v>3GPAC2</v>
          </cell>
          <cell r="H1521" t="str">
            <v>PACOM 2</v>
          </cell>
          <cell r="I1521" t="str">
            <v>IS4</v>
          </cell>
          <cell r="J1521" t="str">
            <v>IS4 Spectrum &amp; Infrastructure Assurance</v>
          </cell>
          <cell r="K1521" t="str">
            <v>Navy</v>
          </cell>
          <cell r="L1521" t="str">
            <v>DOD</v>
          </cell>
          <cell r="M1521" t="str">
            <v>OH</v>
          </cell>
          <cell r="N1521" t="str">
            <v>CONUS</v>
          </cell>
          <cell r="O1521">
            <v>42479</v>
          </cell>
          <cell r="P1521">
            <v>43573</v>
          </cell>
          <cell r="Q1521" t="str">
            <v>Prime</v>
          </cell>
          <cell r="R1521" t="str">
            <v>CPFF</v>
          </cell>
          <cell r="S1521">
            <v>0</v>
          </cell>
          <cell r="T1521">
            <v>1</v>
          </cell>
          <cell r="U1521" t="str">
            <v>REVTOT</v>
          </cell>
          <cell r="V1521" t="str">
            <v>Base</v>
          </cell>
          <cell r="W1521" t="str">
            <v>05 Won</v>
          </cell>
          <cell r="X1521" t="str">
            <v>Active</v>
          </cell>
          <cell r="Y1521">
            <v>1</v>
          </cell>
          <cell r="Z1521">
            <v>0</v>
          </cell>
          <cell r="AA1521">
            <v>9040050.0100000035</v>
          </cell>
          <cell r="AB1521">
            <v>0.17999999970197678</v>
          </cell>
          <cell r="AC1521">
            <v>0</v>
          </cell>
          <cell r="AD1521">
            <v>9040050.1900000032</v>
          </cell>
          <cell r="AE1521">
            <v>8.2379095205996755</v>
          </cell>
          <cell r="AF1521">
            <v>0.51838158173609261</v>
          </cell>
          <cell r="AG1521">
            <v>-5.8558520339607179E-2</v>
          </cell>
          <cell r="AH1521">
            <v>-1</v>
          </cell>
          <cell r="AI1521">
            <v>0</v>
          </cell>
          <cell r="AJ1521">
            <v>0</v>
          </cell>
          <cell r="AK1521">
            <v>0</v>
          </cell>
          <cell r="BB1521">
            <v>0</v>
          </cell>
          <cell r="BC1521">
            <v>0</v>
          </cell>
          <cell r="BD1521">
            <v>0</v>
          </cell>
          <cell r="BE1521">
            <v>0</v>
          </cell>
          <cell r="BF1521">
            <v>571292.69000000006</v>
          </cell>
          <cell r="BG1521">
            <v>5277550.18</v>
          </cell>
          <cell r="BH1521">
            <v>8013334.9900000002</v>
          </cell>
          <cell r="BI1521">
            <v>2613665.3099999996</v>
          </cell>
          <cell r="BJ1521">
            <v>3328832.9299999997</v>
          </cell>
          <cell r="BK1521">
            <v>1431587.71</v>
          </cell>
          <cell r="BL1521">
            <v>170000</v>
          </cell>
          <cell r="BM1521">
            <v>7544085.9499999993</v>
          </cell>
          <cell r="BN1521">
            <v>0</v>
          </cell>
          <cell r="BO1521">
            <v>0</v>
          </cell>
          <cell r="BP1521">
            <v>0</v>
          </cell>
          <cell r="BQ1521">
            <v>0</v>
          </cell>
          <cell r="BR1521">
            <v>7544085.9499999993</v>
          </cell>
          <cell r="BT1521">
            <v>0</v>
          </cell>
          <cell r="CA1521" t="str">
            <v>3GPAC2 - REVTOT - Base</v>
          </cell>
          <cell r="CC1521" t="str">
            <v>3GPAC2 - REVTOT - Base - IS4</v>
          </cell>
          <cell r="CD1521" t="str">
            <v/>
          </cell>
          <cell r="CF1521" t="str">
            <v>3GPAC2 - Base - IS4</v>
          </cell>
        </row>
        <row r="1522">
          <cell r="D1522">
            <v>1508</v>
          </cell>
          <cell r="E1522">
            <v>1</v>
          </cell>
          <cell r="F1522">
            <v>2</v>
          </cell>
          <cell r="G1522" t="str">
            <v>3GPAC2</v>
          </cell>
          <cell r="H1522" t="str">
            <v>PACOM 2</v>
          </cell>
          <cell r="I1522" t="str">
            <v>IS4</v>
          </cell>
          <cell r="J1522" t="str">
            <v>IS4 Spectrum &amp; Infrastructure Assurance</v>
          </cell>
          <cell r="K1522" t="str">
            <v>Navy</v>
          </cell>
          <cell r="L1522" t="str">
            <v>DOD</v>
          </cell>
          <cell r="M1522" t="str">
            <v>OH</v>
          </cell>
          <cell r="N1522" t="str">
            <v>CONUS</v>
          </cell>
          <cell r="O1522">
            <v>0</v>
          </cell>
          <cell r="P1522">
            <v>0</v>
          </cell>
          <cell r="Q1522">
            <v>0</v>
          </cell>
          <cell r="R1522" t="str">
            <v>CPFF</v>
          </cell>
          <cell r="S1522">
            <v>0</v>
          </cell>
          <cell r="T1522">
            <v>1</v>
          </cell>
          <cell r="U1522" t="str">
            <v>REVTOT</v>
          </cell>
          <cell r="V1522" t="str">
            <v>Identified - Recompete</v>
          </cell>
          <cell r="W1522">
            <v>0</v>
          </cell>
          <cell r="X1522">
            <v>0</v>
          </cell>
          <cell r="Y1522">
            <v>0</v>
          </cell>
          <cell r="Z1522">
            <v>0</v>
          </cell>
          <cell r="AA1522">
            <v>0</v>
          </cell>
          <cell r="AB1522">
            <v>0</v>
          </cell>
          <cell r="AC1522">
            <v>0</v>
          </cell>
          <cell r="AD1522">
            <v>0</v>
          </cell>
          <cell r="AI1522">
            <v>0</v>
          </cell>
          <cell r="AJ1522">
            <v>0</v>
          </cell>
          <cell r="AK1522">
            <v>0</v>
          </cell>
          <cell r="BB1522">
            <v>0</v>
          </cell>
          <cell r="BC1522">
            <v>0</v>
          </cell>
          <cell r="BD1522">
            <v>0</v>
          </cell>
          <cell r="BE1522">
            <v>0</v>
          </cell>
          <cell r="BI1522">
            <v>0</v>
          </cell>
          <cell r="BJ1522">
            <v>0</v>
          </cell>
          <cell r="BK1522">
            <v>0</v>
          </cell>
          <cell r="BL1522">
            <v>0</v>
          </cell>
          <cell r="BM1522">
            <v>0</v>
          </cell>
          <cell r="BN1522">
            <v>0</v>
          </cell>
          <cell r="BO1522">
            <v>0</v>
          </cell>
          <cell r="BP1522">
            <v>0</v>
          </cell>
          <cell r="BQ1522">
            <v>0</v>
          </cell>
          <cell r="BR1522">
            <v>0</v>
          </cell>
          <cell r="BT1522">
            <v>0</v>
          </cell>
          <cell r="CA1522" t="str">
            <v>3GPAC2 - REVTOT - Identified - Recompete</v>
          </cell>
          <cell r="CC1522" t="str">
            <v>3GPAC2 - REVTOT - Identified - Recompete - IS4</v>
          </cell>
          <cell r="CD1522" t="str">
            <v/>
          </cell>
          <cell r="CF1522" t="str">
            <v>3GPAC2 - Identified - Recompete - IS4</v>
          </cell>
        </row>
        <row r="1523">
          <cell r="D1523">
            <v>1509</v>
          </cell>
          <cell r="E1523">
            <v>2</v>
          </cell>
          <cell r="F1523">
            <v>3</v>
          </cell>
          <cell r="G1523" t="str">
            <v>3GPAC2</v>
          </cell>
          <cell r="H1523" t="str">
            <v>PACOM 2</v>
          </cell>
          <cell r="I1523" t="str">
            <v>IS4</v>
          </cell>
          <cell r="J1523" t="str">
            <v>IS4 Spectrum &amp; Infrastructure Assurance</v>
          </cell>
          <cell r="K1523" t="str">
            <v>Navy</v>
          </cell>
          <cell r="L1523" t="str">
            <v>DOD</v>
          </cell>
          <cell r="M1523" t="str">
            <v>OH</v>
          </cell>
          <cell r="N1523" t="str">
            <v>CONUS</v>
          </cell>
          <cell r="O1523">
            <v>42479</v>
          </cell>
          <cell r="P1523">
            <v>43573</v>
          </cell>
          <cell r="Q1523" t="str">
            <v>Prime</v>
          </cell>
          <cell r="R1523" t="str">
            <v>CPFF</v>
          </cell>
          <cell r="S1523">
            <v>0</v>
          </cell>
          <cell r="T1523">
            <v>1</v>
          </cell>
          <cell r="U1523" t="str">
            <v>CONTRACT</v>
          </cell>
          <cell r="V1523" t="str">
            <v>Base</v>
          </cell>
          <cell r="W1523" t="str">
            <v>05 Won</v>
          </cell>
          <cell r="X1523" t="str">
            <v>Active</v>
          </cell>
          <cell r="Y1523">
            <v>1</v>
          </cell>
          <cell r="Z1523">
            <v>0</v>
          </cell>
          <cell r="AA1523">
            <v>9040050.0100000035</v>
          </cell>
          <cell r="AB1523">
            <v>0.17999999970197678</v>
          </cell>
          <cell r="AC1523">
            <v>0</v>
          </cell>
          <cell r="AD1523">
            <v>9040050.1900000032</v>
          </cell>
          <cell r="AL1523">
            <v>9.3428099001231751E-2</v>
          </cell>
          <cell r="AM1523">
            <v>0.1239911412836628</v>
          </cell>
          <cell r="AN1523">
            <v>0.11731671035507275</v>
          </cell>
          <cell r="AO1523">
            <v>0.11904896576635639</v>
          </cell>
          <cell r="AP1523">
            <v>0.11893518703673307</v>
          </cell>
          <cell r="AQ1523">
            <v>0.11893518703673307</v>
          </cell>
          <cell r="AR1523">
            <v>0.11893518703673307</v>
          </cell>
          <cell r="AS1523">
            <v>0.11893518703673307</v>
          </cell>
          <cell r="BF1523">
            <v>53374.790000000008</v>
          </cell>
          <cell r="BG1523">
            <v>654369.47</v>
          </cell>
          <cell r="BH1523">
            <v>940098.09999999986</v>
          </cell>
          <cell r="BI1523">
            <v>309615.0499999997</v>
          </cell>
          <cell r="BJ1523">
            <v>396966.41000000038</v>
          </cell>
          <cell r="BK1523">
            <v>177734.17</v>
          </cell>
          <cell r="BL1523">
            <v>13800</v>
          </cell>
          <cell r="BM1523">
            <v>898115.63000000012</v>
          </cell>
          <cell r="BN1523">
            <v>0</v>
          </cell>
          <cell r="BO1523">
            <v>0</v>
          </cell>
          <cell r="BP1523">
            <v>0</v>
          </cell>
          <cell r="BQ1523">
            <v>0</v>
          </cell>
          <cell r="BR1523">
            <v>898115.63000000012</v>
          </cell>
          <cell r="BT1523">
            <v>0</v>
          </cell>
          <cell r="CA1523" t="str">
            <v>3GPAC2 - CONTRACT - Base</v>
          </cell>
          <cell r="CC1523" t="str">
            <v>3GPAC2 - CONTRACT - Base - IS4</v>
          </cell>
          <cell r="CD1523" t="str">
            <v/>
          </cell>
          <cell r="CF1523" t="str">
            <v>3GPAC2 - Base - IS4</v>
          </cell>
        </row>
        <row r="1524">
          <cell r="D1524">
            <v>1510</v>
          </cell>
          <cell r="E1524">
            <v>2</v>
          </cell>
          <cell r="F1524">
            <v>4</v>
          </cell>
          <cell r="G1524" t="str">
            <v>3GPAC2</v>
          </cell>
          <cell r="H1524" t="str">
            <v>PACOM 2</v>
          </cell>
          <cell r="I1524" t="str">
            <v>IS4</v>
          </cell>
          <cell r="J1524" t="str">
            <v>IS4 Spectrum &amp; Infrastructure Assurance</v>
          </cell>
          <cell r="K1524" t="str">
            <v>Navy</v>
          </cell>
          <cell r="L1524" t="str">
            <v>DOD</v>
          </cell>
          <cell r="M1524" t="str">
            <v>OH</v>
          </cell>
          <cell r="N1524" t="str">
            <v>CONUS</v>
          </cell>
          <cell r="O1524">
            <v>0</v>
          </cell>
          <cell r="P1524">
            <v>0</v>
          </cell>
          <cell r="Q1524">
            <v>0</v>
          </cell>
          <cell r="R1524" t="str">
            <v>CPFF</v>
          </cell>
          <cell r="S1524">
            <v>0</v>
          </cell>
          <cell r="T1524">
            <v>1</v>
          </cell>
          <cell r="U1524" t="str">
            <v>CONTRACT</v>
          </cell>
          <cell r="V1524" t="str">
            <v>Identified - Recompete</v>
          </cell>
          <cell r="W1524">
            <v>0</v>
          </cell>
          <cell r="X1524">
            <v>0</v>
          </cell>
          <cell r="Y1524">
            <v>0</v>
          </cell>
          <cell r="Z1524">
            <v>0</v>
          </cell>
          <cell r="AA1524">
            <v>0</v>
          </cell>
          <cell r="AB1524">
            <v>0</v>
          </cell>
          <cell r="AC1524">
            <v>0</v>
          </cell>
          <cell r="AD1524">
            <v>0</v>
          </cell>
          <cell r="AP1524">
            <v>0</v>
          </cell>
          <cell r="AQ1524">
            <v>0</v>
          </cell>
          <cell r="AR1524">
            <v>0</v>
          </cell>
          <cell r="AS1524">
            <v>0</v>
          </cell>
          <cell r="BI1524">
            <v>0</v>
          </cell>
          <cell r="BJ1524">
            <v>0</v>
          </cell>
          <cell r="BK1524">
            <v>0</v>
          </cell>
          <cell r="BL1524">
            <v>0</v>
          </cell>
          <cell r="BM1524">
            <v>0</v>
          </cell>
          <cell r="BN1524">
            <v>0</v>
          </cell>
          <cell r="BO1524">
            <v>0</v>
          </cell>
          <cell r="BP1524">
            <v>0</v>
          </cell>
          <cell r="BQ1524">
            <v>0</v>
          </cell>
          <cell r="BR1524">
            <v>0</v>
          </cell>
          <cell r="BT1524">
            <v>0</v>
          </cell>
          <cell r="CA1524" t="str">
            <v>3GPAC2 - CONTRACT - Identified - Recompete</v>
          </cell>
          <cell r="CC1524" t="str">
            <v>3GPAC2 - CONTRACT - Identified - Recompete - IS4</v>
          </cell>
          <cell r="CD1524" t="str">
            <v/>
          </cell>
          <cell r="CF1524" t="str">
            <v>3GPAC2 - Identified - Recompete - IS4</v>
          </cell>
        </row>
        <row r="1525">
          <cell r="D1525">
            <v>1511</v>
          </cell>
          <cell r="E1525">
            <v>0</v>
          </cell>
          <cell r="F1525">
            <v>5</v>
          </cell>
          <cell r="G1525" t="str">
            <v>3GPAC2</v>
          </cell>
          <cell r="H1525" t="str">
            <v>PACOM 2</v>
          </cell>
          <cell r="I1525" t="str">
            <v>IS4</v>
          </cell>
          <cell r="J1525" t="str">
            <v>IS4 Spectrum &amp; Infrastructure Assurance</v>
          </cell>
          <cell r="K1525" t="str">
            <v>Navy</v>
          </cell>
          <cell r="L1525" t="str">
            <v>DOD</v>
          </cell>
          <cell r="M1525" t="str">
            <v>OH</v>
          </cell>
          <cell r="N1525" t="str">
            <v>CONUS</v>
          </cell>
          <cell r="O1525">
            <v>42479</v>
          </cell>
          <cell r="P1525">
            <v>43573</v>
          </cell>
          <cell r="Q1525" t="str">
            <v>Prime</v>
          </cell>
          <cell r="R1525" t="str">
            <v>CPFF</v>
          </cell>
          <cell r="S1525">
            <v>0</v>
          </cell>
          <cell r="T1525">
            <v>1</v>
          </cell>
          <cell r="U1525" t="str">
            <v>EBITA</v>
          </cell>
          <cell r="V1525" t="str">
            <v>Base</v>
          </cell>
          <cell r="W1525" t="str">
            <v>05 Won</v>
          </cell>
          <cell r="X1525" t="str">
            <v>Active</v>
          </cell>
          <cell r="Y1525">
            <v>1</v>
          </cell>
          <cell r="Z1525">
            <v>0</v>
          </cell>
          <cell r="AA1525">
            <v>9040050.0100000035</v>
          </cell>
          <cell r="AB1525">
            <v>0.17999999970197678</v>
          </cell>
          <cell r="AC1525">
            <v>0</v>
          </cell>
          <cell r="AD1525">
            <v>9040050.1900000032</v>
          </cell>
          <cell r="AT1525">
            <v>3.1134461041327173E-2</v>
          </cell>
          <cell r="AU1525">
            <v>2.6648315071065791E-2</v>
          </cell>
          <cell r="AV1525">
            <v>1.5111630819267656E-2</v>
          </cell>
          <cell r="AW1525">
            <v>1.4653935643455936E-2</v>
          </cell>
          <cell r="AX1525">
            <v>1.8222228010559123E-2</v>
          </cell>
          <cell r="AY1525">
            <v>1.8222228010559123E-2</v>
          </cell>
          <cell r="AZ1525">
            <v>1.8222228010559123E-2</v>
          </cell>
          <cell r="BA1525">
            <v>1.8222228010559123E-2</v>
          </cell>
          <cell r="BF1525">
            <v>17786.890000000003</v>
          </cell>
          <cell r="BG1525">
            <v>140637.81999999998</v>
          </cell>
          <cell r="BH1525">
            <v>121094.55999999988</v>
          </cell>
          <cell r="BI1525">
            <v>32061.21999999971</v>
          </cell>
          <cell r="BJ1525">
            <v>13463.870000000403</v>
          </cell>
          <cell r="BK1525">
            <v>65025.460000000006</v>
          </cell>
          <cell r="BL1525">
            <v>0</v>
          </cell>
          <cell r="BM1525">
            <v>110550.55000000012</v>
          </cell>
          <cell r="BN1525">
            <v>0</v>
          </cell>
          <cell r="BO1525">
            <v>0</v>
          </cell>
          <cell r="BP1525">
            <v>0</v>
          </cell>
          <cell r="BQ1525">
            <v>0</v>
          </cell>
          <cell r="BR1525">
            <v>110550.55000000012</v>
          </cell>
          <cell r="BT1525">
            <v>0</v>
          </cell>
          <cell r="CA1525" t="str">
            <v>3GPAC2 - EBITA - Base</v>
          </cell>
          <cell r="CC1525" t="str">
            <v>3GPAC2 - EBITA - Base - IS4</v>
          </cell>
          <cell r="CD1525" t="str">
            <v/>
          </cell>
          <cell r="CF1525" t="str">
            <v>3GPAC2 - Base - IS4</v>
          </cell>
        </row>
        <row r="1526">
          <cell r="D1526">
            <v>1512</v>
          </cell>
          <cell r="E1526">
            <v>0</v>
          </cell>
          <cell r="F1526">
            <v>0</v>
          </cell>
          <cell r="G1526" t="str">
            <v>3GPAC2</v>
          </cell>
          <cell r="H1526" t="str">
            <v>PACOM 2</v>
          </cell>
          <cell r="I1526" t="str">
            <v>IS4</v>
          </cell>
          <cell r="J1526" t="str">
            <v>IS4 Spectrum &amp; Infrastructure Assurance</v>
          </cell>
          <cell r="K1526" t="str">
            <v>Navy</v>
          </cell>
          <cell r="L1526" t="str">
            <v>DOD</v>
          </cell>
          <cell r="M1526" t="str">
            <v>OH</v>
          </cell>
          <cell r="N1526" t="str">
            <v>CONUS</v>
          </cell>
          <cell r="O1526">
            <v>0</v>
          </cell>
          <cell r="P1526">
            <v>0</v>
          </cell>
          <cell r="Q1526">
            <v>0</v>
          </cell>
          <cell r="R1526" t="str">
            <v>CPFF</v>
          </cell>
          <cell r="S1526">
            <v>0</v>
          </cell>
          <cell r="T1526">
            <v>1</v>
          </cell>
          <cell r="U1526" t="str">
            <v>EBITA</v>
          </cell>
          <cell r="V1526" t="str">
            <v>Identified - Recompete</v>
          </cell>
          <cell r="W1526">
            <v>0</v>
          </cell>
          <cell r="X1526">
            <v>0</v>
          </cell>
          <cell r="Y1526">
            <v>0</v>
          </cell>
          <cell r="Z1526">
            <v>0</v>
          </cell>
          <cell r="AA1526">
            <v>0</v>
          </cell>
          <cell r="AB1526">
            <v>0</v>
          </cell>
          <cell r="AC1526">
            <v>0</v>
          </cell>
          <cell r="AD1526">
            <v>0</v>
          </cell>
          <cell r="AX1526">
            <v>0</v>
          </cell>
          <cell r="AY1526">
            <v>0</v>
          </cell>
          <cell r="AZ1526">
            <v>0</v>
          </cell>
          <cell r="BA1526">
            <v>0</v>
          </cell>
          <cell r="BI1526">
            <v>0</v>
          </cell>
          <cell r="BJ1526">
            <v>0</v>
          </cell>
          <cell r="BK1526">
            <v>0</v>
          </cell>
          <cell r="BL1526">
            <v>0</v>
          </cell>
          <cell r="BM1526">
            <v>0</v>
          </cell>
          <cell r="BN1526">
            <v>0</v>
          </cell>
          <cell r="BO1526">
            <v>0</v>
          </cell>
          <cell r="BP1526">
            <v>0</v>
          </cell>
          <cell r="BQ1526">
            <v>0</v>
          </cell>
          <cell r="BR1526">
            <v>0</v>
          </cell>
          <cell r="BT1526">
            <v>0</v>
          </cell>
          <cell r="CA1526" t="str">
            <v>3GPAC2 - EBITA - Identified - Recompete</v>
          </cell>
          <cell r="CC1526" t="str">
            <v>3GPAC2 - EBITA - Identified - Recompete - IS4</v>
          </cell>
          <cell r="CD1526" t="str">
            <v/>
          </cell>
          <cell r="CF1526" t="str">
            <v>3GPAC2 - Identified - Recompete - IS4</v>
          </cell>
        </row>
        <row r="1527">
          <cell r="D1527">
            <v>1513</v>
          </cell>
          <cell r="E1527">
            <v>1</v>
          </cell>
          <cell r="F1527">
            <v>1</v>
          </cell>
          <cell r="G1527" t="str">
            <v>3GXTR3</v>
          </cell>
          <cell r="H1527" t="str">
            <v>Target &amp; Ranges 3</v>
          </cell>
          <cell r="I1527" t="str">
            <v>IS4</v>
          </cell>
          <cell r="J1527" t="str">
            <v>IS4 Spectrum &amp; Infrastructure Assurance</v>
          </cell>
          <cell r="K1527" t="str">
            <v>Navy</v>
          </cell>
          <cell r="L1527" t="str">
            <v>DOD</v>
          </cell>
          <cell r="M1527" t="str">
            <v>CA</v>
          </cell>
          <cell r="N1527" t="str">
            <v>CONUS</v>
          </cell>
          <cell r="O1527">
            <v>43036</v>
          </cell>
          <cell r="P1527">
            <v>44131</v>
          </cell>
          <cell r="Q1527" t="str">
            <v>Prime</v>
          </cell>
          <cell r="R1527" t="str">
            <v>CPFF</v>
          </cell>
          <cell r="S1527">
            <v>0</v>
          </cell>
          <cell r="T1527">
            <v>1</v>
          </cell>
          <cell r="U1527" t="str">
            <v>REVTOT</v>
          </cell>
          <cell r="V1527" t="str">
            <v>Base</v>
          </cell>
          <cell r="W1527" t="str">
            <v>05 Won</v>
          </cell>
          <cell r="X1527" t="str">
            <v>Active</v>
          </cell>
          <cell r="Y1527">
            <v>1</v>
          </cell>
          <cell r="Z1527">
            <v>0</v>
          </cell>
          <cell r="AA1527">
            <v>15731127.495999994</v>
          </cell>
          <cell r="AB1527">
            <v>11878773.65</v>
          </cell>
          <cell r="AC1527">
            <v>0</v>
          </cell>
          <cell r="AD1527">
            <v>27609901.145999994</v>
          </cell>
          <cell r="AE1527">
            <v>0</v>
          </cell>
          <cell r="AF1527">
            <v>0</v>
          </cell>
          <cell r="AG1527">
            <v>0.15983508661686341</v>
          </cell>
          <cell r="AH1527">
            <v>-0.23901205904390133</v>
          </cell>
          <cell r="AI1527">
            <v>0</v>
          </cell>
          <cell r="AJ1527">
            <v>0</v>
          </cell>
          <cell r="AK1527">
            <v>0</v>
          </cell>
          <cell r="BB1527">
            <v>3073079.1129999999</v>
          </cell>
          <cell r="BC1527">
            <v>3073079.1129999999</v>
          </cell>
          <cell r="BD1527">
            <v>3073079.1129999999</v>
          </cell>
          <cell r="BE1527">
            <v>3073079.1129999999</v>
          </cell>
          <cell r="BF1527">
            <v>0</v>
          </cell>
          <cell r="BG1527">
            <v>0</v>
          </cell>
          <cell r="BH1527">
            <v>3481767.15</v>
          </cell>
          <cell r="BI1527">
            <v>1420534.03</v>
          </cell>
          <cell r="BJ1527">
            <v>923410.26</v>
          </cell>
          <cell r="BK1527">
            <v>866795.58000000007</v>
          </cell>
          <cell r="BL1527">
            <v>827535.83400000003</v>
          </cell>
          <cell r="BM1527">
            <v>4038275.7039999999</v>
          </cell>
          <cell r="BN1527">
            <v>3073079.1129999999</v>
          </cell>
          <cell r="BO1527">
            <v>3073079.1129999999</v>
          </cell>
          <cell r="BP1527">
            <v>3073079.1129999999</v>
          </cell>
          <cell r="BQ1527">
            <v>3073079.1129999999</v>
          </cell>
          <cell r="BR1527">
            <v>16330592.155999999</v>
          </cell>
          <cell r="BT1527">
            <v>0</v>
          </cell>
          <cell r="CA1527" t="str">
            <v>3GXTR3 - REVTOT - Base</v>
          </cell>
          <cell r="CC1527" t="str">
            <v>3GXTR3 - REVTOT - Base - IS4</v>
          </cell>
          <cell r="CD1527" t="str">
            <v/>
          </cell>
          <cell r="CF1527" t="str">
            <v>3GXTR3 - Base - IS4</v>
          </cell>
        </row>
        <row r="1528">
          <cell r="D1528">
            <v>1514</v>
          </cell>
          <cell r="E1528">
            <v>1</v>
          </cell>
          <cell r="F1528">
            <v>2</v>
          </cell>
          <cell r="G1528" t="str">
            <v>3GXTR3</v>
          </cell>
          <cell r="H1528" t="str">
            <v>Target &amp; Ranges 3</v>
          </cell>
          <cell r="I1528" t="str">
            <v>IS4</v>
          </cell>
          <cell r="J1528" t="str">
            <v>IS4 Spectrum &amp; Infrastructure Assurance</v>
          </cell>
          <cell r="K1528" t="str">
            <v>Navy</v>
          </cell>
          <cell r="L1528" t="str">
            <v>DOD</v>
          </cell>
          <cell r="M1528" t="str">
            <v>CA</v>
          </cell>
          <cell r="N1528" t="str">
            <v>CONUS</v>
          </cell>
          <cell r="O1528">
            <v>0</v>
          </cell>
          <cell r="P1528">
            <v>0</v>
          </cell>
          <cell r="Q1528">
            <v>0</v>
          </cell>
          <cell r="R1528" t="str">
            <v>CPFF</v>
          </cell>
          <cell r="S1528">
            <v>0</v>
          </cell>
          <cell r="T1528">
            <v>1</v>
          </cell>
          <cell r="U1528" t="str">
            <v>REVTOT</v>
          </cell>
          <cell r="V1528" t="str">
            <v>Identified - Recompete</v>
          </cell>
          <cell r="W1528">
            <v>0</v>
          </cell>
          <cell r="X1528">
            <v>0</v>
          </cell>
          <cell r="Y1528">
            <v>0</v>
          </cell>
          <cell r="Z1528">
            <v>0</v>
          </cell>
          <cell r="AA1528">
            <v>0</v>
          </cell>
          <cell r="AB1528">
            <v>0</v>
          </cell>
          <cell r="AC1528">
            <v>0</v>
          </cell>
          <cell r="AD1528">
            <v>0</v>
          </cell>
          <cell r="AI1528">
            <v>0</v>
          </cell>
          <cell r="AJ1528">
            <v>0</v>
          </cell>
          <cell r="AK1528">
            <v>0</v>
          </cell>
          <cell r="BB1528">
            <v>0</v>
          </cell>
          <cell r="BC1528">
            <v>0</v>
          </cell>
          <cell r="BD1528">
            <v>0</v>
          </cell>
          <cell r="BE1528">
            <v>0</v>
          </cell>
          <cell r="BI1528">
            <v>0</v>
          </cell>
          <cell r="BJ1528">
            <v>0</v>
          </cell>
          <cell r="BK1528">
            <v>0</v>
          </cell>
          <cell r="BL1528">
            <v>0</v>
          </cell>
          <cell r="BM1528">
            <v>0</v>
          </cell>
          <cell r="BN1528">
            <v>0</v>
          </cell>
          <cell r="BO1528">
            <v>0</v>
          </cell>
          <cell r="BP1528">
            <v>0</v>
          </cell>
          <cell r="BQ1528">
            <v>0</v>
          </cell>
          <cell r="BR1528">
            <v>0</v>
          </cell>
          <cell r="BT1528">
            <v>0</v>
          </cell>
          <cell r="CA1528" t="str">
            <v>3GXTR3 - REVTOT - Identified - Recompete</v>
          </cell>
          <cell r="CC1528" t="str">
            <v>3GXTR3 - REVTOT - Identified - Recompete - IS4</v>
          </cell>
          <cell r="CD1528" t="str">
            <v/>
          </cell>
          <cell r="CF1528" t="str">
            <v>3GXTR3 - Identified - Recompete - IS4</v>
          </cell>
        </row>
        <row r="1529">
          <cell r="D1529">
            <v>1515</v>
          </cell>
          <cell r="E1529">
            <v>2</v>
          </cell>
          <cell r="F1529">
            <v>3</v>
          </cell>
          <cell r="G1529" t="str">
            <v>3GXTR3</v>
          </cell>
          <cell r="H1529" t="str">
            <v>Target &amp; Ranges 3</v>
          </cell>
          <cell r="I1529" t="str">
            <v>IS4</v>
          </cell>
          <cell r="J1529" t="str">
            <v>IS4 Spectrum &amp; Infrastructure Assurance</v>
          </cell>
          <cell r="K1529" t="str">
            <v>Navy</v>
          </cell>
          <cell r="L1529" t="str">
            <v>DOD</v>
          </cell>
          <cell r="M1529" t="str">
            <v>CA</v>
          </cell>
          <cell r="N1529" t="str">
            <v>CONUS</v>
          </cell>
          <cell r="O1529">
            <v>43036</v>
          </cell>
          <cell r="P1529">
            <v>44131</v>
          </cell>
          <cell r="Q1529" t="str">
            <v>Prime</v>
          </cell>
          <cell r="R1529" t="str">
            <v>CPFF</v>
          </cell>
          <cell r="S1529">
            <v>0</v>
          </cell>
          <cell r="T1529">
            <v>1</v>
          </cell>
          <cell r="U1529" t="str">
            <v>CONTRACT</v>
          </cell>
          <cell r="V1529" t="str">
            <v>Base</v>
          </cell>
          <cell r="W1529" t="str">
            <v>05 Won</v>
          </cell>
          <cell r="X1529" t="str">
            <v>Active</v>
          </cell>
          <cell r="Y1529">
            <v>1</v>
          </cell>
          <cell r="Z1529">
            <v>0</v>
          </cell>
          <cell r="AA1529">
            <v>15731127.495999994</v>
          </cell>
          <cell r="AB1529">
            <v>11878773.65</v>
          </cell>
          <cell r="AC1529">
            <v>0</v>
          </cell>
          <cell r="AD1529">
            <v>27609901.145999994</v>
          </cell>
          <cell r="AL1529">
            <v>0</v>
          </cell>
          <cell r="AM1529">
            <v>0</v>
          </cell>
          <cell r="AN1529">
            <v>9.7991162332610349E-2</v>
          </cell>
          <cell r="AO1529">
            <v>8.7883212624008611E-2</v>
          </cell>
          <cell r="AP1529">
            <v>0.10412328222090565</v>
          </cell>
          <cell r="AQ1529">
            <v>0.10412328222090565</v>
          </cell>
          <cell r="AR1529">
            <v>0.10412328222090565</v>
          </cell>
          <cell r="AS1529">
            <v>0.10412328222090565</v>
          </cell>
          <cell r="BF1529">
            <v>0</v>
          </cell>
          <cell r="BG1529">
            <v>0</v>
          </cell>
          <cell r="BH1529">
            <v>341182.41000000009</v>
          </cell>
          <cell r="BI1529">
            <v>112482.63</v>
          </cell>
          <cell r="BJ1529">
            <v>103578.31000000006</v>
          </cell>
          <cell r="BK1529">
            <v>90782.129999999946</v>
          </cell>
          <cell r="BL1529">
            <v>48053.572329000046</v>
          </cell>
          <cell r="BM1529">
            <v>354896.64232900005</v>
          </cell>
          <cell r="BN1529">
            <v>319979.08377006941</v>
          </cell>
          <cell r="BO1529">
            <v>319979.08377006941</v>
          </cell>
          <cell r="BP1529">
            <v>319979.08377006941</v>
          </cell>
          <cell r="BQ1529">
            <v>319979.08377006941</v>
          </cell>
          <cell r="BR1529">
            <v>1634812.9774092776</v>
          </cell>
          <cell r="BT1529">
            <v>0</v>
          </cell>
          <cell r="CA1529" t="str">
            <v>3GXTR3 - CONTRACT - Base</v>
          </cell>
          <cell r="CC1529" t="str">
            <v>3GXTR3 - CONTRACT - Base - IS4</v>
          </cell>
          <cell r="CD1529" t="str">
            <v/>
          </cell>
          <cell r="CF1529" t="str">
            <v>3GXTR3 - Base - IS4</v>
          </cell>
        </row>
        <row r="1530">
          <cell r="D1530">
            <v>1516</v>
          </cell>
          <cell r="E1530">
            <v>2</v>
          </cell>
          <cell r="F1530">
            <v>4</v>
          </cell>
          <cell r="G1530" t="str">
            <v>3GXTR3</v>
          </cell>
          <cell r="H1530" t="str">
            <v>Target &amp; Ranges 3</v>
          </cell>
          <cell r="I1530" t="str">
            <v>IS4</v>
          </cell>
          <cell r="J1530" t="str">
            <v>IS4 Spectrum &amp; Infrastructure Assurance</v>
          </cell>
          <cell r="K1530" t="str">
            <v>Navy</v>
          </cell>
          <cell r="L1530" t="str">
            <v>DOD</v>
          </cell>
          <cell r="M1530" t="str">
            <v>CA</v>
          </cell>
          <cell r="N1530" t="str">
            <v>CONUS</v>
          </cell>
          <cell r="O1530">
            <v>0</v>
          </cell>
          <cell r="P1530">
            <v>0</v>
          </cell>
          <cell r="Q1530">
            <v>0</v>
          </cell>
          <cell r="R1530" t="str">
            <v>CPFF</v>
          </cell>
          <cell r="S1530">
            <v>0</v>
          </cell>
          <cell r="T1530">
            <v>1</v>
          </cell>
          <cell r="U1530" t="str">
            <v>CONTRACT</v>
          </cell>
          <cell r="V1530" t="str">
            <v>Identified - Recompete</v>
          </cell>
          <cell r="W1530">
            <v>0</v>
          </cell>
          <cell r="X1530">
            <v>0</v>
          </cell>
          <cell r="Y1530">
            <v>0</v>
          </cell>
          <cell r="Z1530">
            <v>0</v>
          </cell>
          <cell r="AA1530">
            <v>0</v>
          </cell>
          <cell r="AB1530">
            <v>0</v>
          </cell>
          <cell r="AC1530">
            <v>0</v>
          </cell>
          <cell r="AD1530">
            <v>0</v>
          </cell>
          <cell r="AP1530">
            <v>0</v>
          </cell>
          <cell r="AQ1530">
            <v>0</v>
          </cell>
          <cell r="AR1530">
            <v>0</v>
          </cell>
          <cell r="AS1530">
            <v>0</v>
          </cell>
          <cell r="BI1530">
            <v>0</v>
          </cell>
          <cell r="BJ1530">
            <v>0</v>
          </cell>
          <cell r="BK1530">
            <v>0</v>
          </cell>
          <cell r="BL1530">
            <v>0</v>
          </cell>
          <cell r="BM1530">
            <v>0</v>
          </cell>
          <cell r="BN1530">
            <v>0</v>
          </cell>
          <cell r="BO1530">
            <v>0</v>
          </cell>
          <cell r="BP1530">
            <v>0</v>
          </cell>
          <cell r="BQ1530">
            <v>0</v>
          </cell>
          <cell r="BR1530">
            <v>0</v>
          </cell>
          <cell r="BT1530">
            <v>0</v>
          </cell>
          <cell r="CA1530" t="str">
            <v>3GXTR3 - CONTRACT - Identified - Recompete</v>
          </cell>
          <cell r="CC1530" t="str">
            <v>3GXTR3 - CONTRACT - Identified - Recompete - IS4</v>
          </cell>
          <cell r="CD1530" t="str">
            <v/>
          </cell>
          <cell r="CF1530" t="str">
            <v>3GXTR3 - Identified - Recompete - IS4</v>
          </cell>
        </row>
        <row r="1531">
          <cell r="D1531">
            <v>1517</v>
          </cell>
          <cell r="E1531">
            <v>0</v>
          </cell>
          <cell r="F1531">
            <v>5</v>
          </cell>
          <cell r="G1531" t="str">
            <v>3GXTR3</v>
          </cell>
          <cell r="H1531" t="str">
            <v>Target &amp; Ranges 3</v>
          </cell>
          <cell r="I1531" t="str">
            <v>IS4</v>
          </cell>
          <cell r="J1531" t="str">
            <v>IS4 Spectrum &amp; Infrastructure Assurance</v>
          </cell>
          <cell r="K1531" t="str">
            <v>Navy</v>
          </cell>
          <cell r="L1531" t="str">
            <v>DOD</v>
          </cell>
          <cell r="M1531" t="str">
            <v>CA</v>
          </cell>
          <cell r="N1531" t="str">
            <v>CONUS</v>
          </cell>
          <cell r="O1531">
            <v>43036</v>
          </cell>
          <cell r="P1531">
            <v>44131</v>
          </cell>
          <cell r="Q1531" t="str">
            <v>Prime</v>
          </cell>
          <cell r="R1531" t="str">
            <v>CPFF</v>
          </cell>
          <cell r="S1531">
            <v>0</v>
          </cell>
          <cell r="T1531">
            <v>1</v>
          </cell>
          <cell r="U1531" t="str">
            <v>EBITA</v>
          </cell>
          <cell r="V1531" t="str">
            <v>Base</v>
          </cell>
          <cell r="W1531" t="str">
            <v>05 Won</v>
          </cell>
          <cell r="X1531" t="str">
            <v>Active</v>
          </cell>
          <cell r="Y1531">
            <v>1</v>
          </cell>
          <cell r="Z1531">
            <v>0</v>
          </cell>
          <cell r="AA1531">
            <v>15731127.495999994</v>
          </cell>
          <cell r="AB1531">
            <v>11878773.65</v>
          </cell>
          <cell r="AC1531">
            <v>0</v>
          </cell>
          <cell r="AD1531">
            <v>27609901.145999994</v>
          </cell>
          <cell r="AT1531">
            <v>0</v>
          </cell>
          <cell r="AU1531">
            <v>0</v>
          </cell>
          <cell r="AV1531">
            <v>2.0184704195396894E-2</v>
          </cell>
          <cell r="AW1531">
            <v>1.7248621210014359E-2</v>
          </cell>
          <cell r="AX1531">
            <v>2.2972036221508198E-2</v>
          </cell>
          <cell r="AY1531">
            <v>2.2972036221508198E-2</v>
          </cell>
          <cell r="AZ1531">
            <v>2.2972036221508198E-2</v>
          </cell>
          <cell r="BA1531">
            <v>2.2972036221508198E-2</v>
          </cell>
          <cell r="BF1531">
            <v>0</v>
          </cell>
          <cell r="BG1531">
            <v>0</v>
          </cell>
          <cell r="BH1531">
            <v>70278.44000000009</v>
          </cell>
          <cell r="BI1531">
            <v>-6562.9899999999761</v>
          </cell>
          <cell r="BJ1531">
            <v>32945.780000000057</v>
          </cell>
          <cell r="BK1531">
            <v>20231.779999999944</v>
          </cell>
          <cell r="BL1531">
            <v>23040.117959900046</v>
          </cell>
          <cell r="BM1531">
            <v>69654.687959900068</v>
          </cell>
          <cell r="BN1531">
            <v>70594.884695396278</v>
          </cell>
          <cell r="BO1531">
            <v>70594.884695396278</v>
          </cell>
          <cell r="BP1531">
            <v>70594.884695396278</v>
          </cell>
          <cell r="BQ1531">
            <v>70594.884695396278</v>
          </cell>
          <cell r="BR1531">
            <v>352034.22674148524</v>
          </cell>
          <cell r="BT1531">
            <v>0</v>
          </cell>
          <cell r="CA1531" t="str">
            <v>3GXTR3 - EBITA - Base</v>
          </cell>
          <cell r="CC1531" t="str">
            <v>3GXTR3 - EBITA - Base - IS4</v>
          </cell>
          <cell r="CD1531" t="str">
            <v/>
          </cell>
          <cell r="CF1531" t="str">
            <v>3GXTR3 - Base - IS4</v>
          </cell>
        </row>
        <row r="1532">
          <cell r="D1532">
            <v>1518</v>
          </cell>
          <cell r="E1532">
            <v>0</v>
          </cell>
          <cell r="F1532">
            <v>0</v>
          </cell>
          <cell r="G1532" t="str">
            <v>3GXTR3</v>
          </cell>
          <cell r="H1532" t="str">
            <v>Target &amp; Ranges 3</v>
          </cell>
          <cell r="I1532" t="str">
            <v>IS4</v>
          </cell>
          <cell r="J1532" t="str">
            <v>IS4 Spectrum &amp; Infrastructure Assurance</v>
          </cell>
          <cell r="K1532" t="str">
            <v>Navy</v>
          </cell>
          <cell r="L1532" t="str">
            <v>DOD</v>
          </cell>
          <cell r="M1532" t="str">
            <v>CA</v>
          </cell>
          <cell r="N1532" t="str">
            <v>CONUS</v>
          </cell>
          <cell r="O1532">
            <v>0</v>
          </cell>
          <cell r="P1532">
            <v>0</v>
          </cell>
          <cell r="Q1532">
            <v>0</v>
          </cell>
          <cell r="R1532" t="str">
            <v>CPFF</v>
          </cell>
          <cell r="S1532">
            <v>0</v>
          </cell>
          <cell r="T1532">
            <v>1</v>
          </cell>
          <cell r="U1532" t="str">
            <v>EBITA</v>
          </cell>
          <cell r="V1532" t="str">
            <v>Identified - Recompete</v>
          </cell>
          <cell r="W1532">
            <v>0</v>
          </cell>
          <cell r="X1532">
            <v>0</v>
          </cell>
          <cell r="Y1532">
            <v>0</v>
          </cell>
          <cell r="Z1532">
            <v>0</v>
          </cell>
          <cell r="AA1532">
            <v>0</v>
          </cell>
          <cell r="AB1532">
            <v>0</v>
          </cell>
          <cell r="AC1532">
            <v>0</v>
          </cell>
          <cell r="AD1532">
            <v>0</v>
          </cell>
          <cell r="AX1532">
            <v>0</v>
          </cell>
          <cell r="AY1532">
            <v>0</v>
          </cell>
          <cell r="AZ1532">
            <v>0</v>
          </cell>
          <cell r="BA1532">
            <v>0</v>
          </cell>
          <cell r="BI1532">
            <v>0</v>
          </cell>
          <cell r="BJ1532">
            <v>0</v>
          </cell>
          <cell r="BK1532">
            <v>0</v>
          </cell>
          <cell r="BL1532">
            <v>0</v>
          </cell>
          <cell r="BM1532">
            <v>0</v>
          </cell>
          <cell r="BN1532">
            <v>0</v>
          </cell>
          <cell r="BO1532">
            <v>0</v>
          </cell>
          <cell r="BP1532">
            <v>0</v>
          </cell>
          <cell r="BQ1532">
            <v>0</v>
          </cell>
          <cell r="BR1532">
            <v>0</v>
          </cell>
          <cell r="BT1532">
            <v>0</v>
          </cell>
          <cell r="CA1532" t="str">
            <v>3GXTR3 - EBITA - Identified - Recompete</v>
          </cell>
          <cell r="CC1532" t="str">
            <v>3GXTR3 - EBITA - Identified - Recompete - IS4</v>
          </cell>
          <cell r="CD1532" t="str">
            <v/>
          </cell>
          <cell r="CF1532" t="str">
            <v>3GXTR3 - Identified - Recompete - IS4</v>
          </cell>
        </row>
        <row r="1533">
          <cell r="D1533">
            <v>1519</v>
          </cell>
          <cell r="E1533">
            <v>1</v>
          </cell>
          <cell r="F1533">
            <v>1</v>
          </cell>
          <cell r="G1533" t="str">
            <v>TKMGMT</v>
          </cell>
          <cell r="H1533" t="str">
            <v>Track Management FY19</v>
          </cell>
          <cell r="I1533" t="str">
            <v>IS4</v>
          </cell>
          <cell r="J1533" t="str">
            <v>IS4 Spectrum &amp; Infrastructure Assurance</v>
          </cell>
          <cell r="K1533" t="str">
            <v>Navy</v>
          </cell>
          <cell r="L1533" t="str">
            <v>DOD</v>
          </cell>
          <cell r="M1533" t="str">
            <v>VA</v>
          </cell>
          <cell r="N1533" t="str">
            <v>CONUS</v>
          </cell>
          <cell r="O1533">
            <v>42086</v>
          </cell>
          <cell r="P1533">
            <v>43912</v>
          </cell>
          <cell r="Q1533" t="str">
            <v>Prime</v>
          </cell>
          <cell r="R1533" t="str">
            <v>CPFF</v>
          </cell>
          <cell r="S1533">
            <v>0</v>
          </cell>
          <cell r="T1533">
            <v>1</v>
          </cell>
          <cell r="U1533" t="str">
            <v>REVTOT</v>
          </cell>
          <cell r="V1533" t="str">
            <v>Base</v>
          </cell>
          <cell r="W1533" t="str">
            <v>05 Won</v>
          </cell>
          <cell r="X1533" t="str">
            <v>Active</v>
          </cell>
          <cell r="Y1533">
            <v>1</v>
          </cell>
          <cell r="Z1533">
            <v>0</v>
          </cell>
          <cell r="AA1533">
            <v>-297118</v>
          </cell>
          <cell r="AB1533">
            <v>0</v>
          </cell>
          <cell r="AC1533">
            <v>0</v>
          </cell>
          <cell r="AD1533">
            <v>-297118</v>
          </cell>
          <cell r="AE1533">
            <v>0</v>
          </cell>
          <cell r="AF1533">
            <v>0</v>
          </cell>
          <cell r="AG1533">
            <v>0</v>
          </cell>
          <cell r="AH1533">
            <v>-1</v>
          </cell>
          <cell r="AI1533">
            <v>0</v>
          </cell>
          <cell r="AJ1533">
            <v>0</v>
          </cell>
          <cell r="AK1533">
            <v>0</v>
          </cell>
          <cell r="BB1533">
            <v>5882445.5142999999</v>
          </cell>
          <cell r="BC1533">
            <v>5882445.5142999999</v>
          </cell>
          <cell r="BD1533">
            <v>5882445.5142999999</v>
          </cell>
          <cell r="BE1533">
            <v>5882445.5142999999</v>
          </cell>
          <cell r="BF1533">
            <v>0</v>
          </cell>
          <cell r="BG1533">
            <v>0</v>
          </cell>
          <cell r="BH1533">
            <v>0</v>
          </cell>
          <cell r="BI1533">
            <v>0</v>
          </cell>
          <cell r="BJ1533">
            <v>0</v>
          </cell>
          <cell r="BK1533">
            <v>0</v>
          </cell>
          <cell r="BL1533">
            <v>297118</v>
          </cell>
          <cell r="BM1533">
            <v>297118</v>
          </cell>
          <cell r="BN1533">
            <v>0</v>
          </cell>
          <cell r="BO1533">
            <v>0</v>
          </cell>
          <cell r="BP1533">
            <v>0</v>
          </cell>
          <cell r="BQ1533">
            <v>0</v>
          </cell>
          <cell r="BR1533">
            <v>297118</v>
          </cell>
          <cell r="BT1533">
            <v>0</v>
          </cell>
          <cell r="CA1533" t="str">
            <v>TKMGMT - REVTOT - Base</v>
          </cell>
          <cell r="CC1533" t="str">
            <v>TKMGMT - REVTOT - Base - IS4</v>
          </cell>
          <cell r="CD1533" t="str">
            <v/>
          </cell>
          <cell r="CF1533" t="str">
            <v>TKMGMT - Base - IS4</v>
          </cell>
        </row>
        <row r="1534">
          <cell r="D1534">
            <v>1520</v>
          </cell>
          <cell r="E1534">
            <v>1</v>
          </cell>
          <cell r="F1534">
            <v>2</v>
          </cell>
          <cell r="G1534" t="str">
            <v>TKMGMT</v>
          </cell>
          <cell r="H1534" t="str">
            <v>Track Management FY19</v>
          </cell>
          <cell r="I1534" t="str">
            <v>IS4</v>
          </cell>
          <cell r="J1534" t="str">
            <v>IS4 Spectrum &amp; Infrastructure Assurance</v>
          </cell>
          <cell r="K1534" t="str">
            <v>Navy</v>
          </cell>
          <cell r="L1534" t="str">
            <v>DOD</v>
          </cell>
          <cell r="M1534" t="str">
            <v>VA</v>
          </cell>
          <cell r="N1534" t="str">
            <v>CONUS</v>
          </cell>
          <cell r="O1534">
            <v>0</v>
          </cell>
          <cell r="P1534">
            <v>0</v>
          </cell>
          <cell r="Q1534">
            <v>0</v>
          </cell>
          <cell r="R1534" t="str">
            <v>CPFF</v>
          </cell>
          <cell r="S1534">
            <v>0</v>
          </cell>
          <cell r="T1534">
            <v>1</v>
          </cell>
          <cell r="U1534" t="str">
            <v>REVTOT</v>
          </cell>
          <cell r="V1534" t="str">
            <v>Identified - Recompete</v>
          </cell>
          <cell r="W1534">
            <v>0</v>
          </cell>
          <cell r="X1534">
            <v>0</v>
          </cell>
          <cell r="Y1534">
            <v>0</v>
          </cell>
          <cell r="Z1534">
            <v>0</v>
          </cell>
          <cell r="AA1534">
            <v>0</v>
          </cell>
          <cell r="AB1534">
            <v>0</v>
          </cell>
          <cell r="AC1534">
            <v>0</v>
          </cell>
          <cell r="AD1534">
            <v>0</v>
          </cell>
          <cell r="AI1534">
            <v>0</v>
          </cell>
          <cell r="AJ1534">
            <v>0</v>
          </cell>
          <cell r="AK1534">
            <v>0</v>
          </cell>
          <cell r="BB1534">
            <v>0</v>
          </cell>
          <cell r="BC1534">
            <v>0</v>
          </cell>
          <cell r="BD1534">
            <v>0</v>
          </cell>
          <cell r="BE1534">
            <v>0</v>
          </cell>
          <cell r="BI1534">
            <v>0</v>
          </cell>
          <cell r="BJ1534">
            <v>0</v>
          </cell>
          <cell r="BK1534">
            <v>0</v>
          </cell>
          <cell r="BL1534">
            <v>0</v>
          </cell>
          <cell r="BM1534">
            <v>0</v>
          </cell>
          <cell r="BN1534">
            <v>0</v>
          </cell>
          <cell r="BO1534">
            <v>0</v>
          </cell>
          <cell r="BP1534">
            <v>0</v>
          </cell>
          <cell r="BQ1534">
            <v>0</v>
          </cell>
          <cell r="BR1534">
            <v>0</v>
          </cell>
          <cell r="BT1534">
            <v>0</v>
          </cell>
          <cell r="CA1534" t="str">
            <v>TKMGMT - REVTOT - Identified - Recompete</v>
          </cell>
          <cell r="CC1534" t="str">
            <v>TKMGMT - REVTOT - Identified - Recompete - IS4</v>
          </cell>
          <cell r="CD1534" t="str">
            <v/>
          </cell>
          <cell r="CF1534" t="str">
            <v>TKMGMT - Identified - Recompete - IS4</v>
          </cell>
        </row>
        <row r="1535">
          <cell r="D1535">
            <v>1521</v>
          </cell>
          <cell r="E1535">
            <v>2</v>
          </cell>
          <cell r="F1535">
            <v>3</v>
          </cell>
          <cell r="G1535" t="str">
            <v>TKMGMT</v>
          </cell>
          <cell r="H1535" t="str">
            <v>Track Management FY19</v>
          </cell>
          <cell r="I1535" t="str">
            <v>IS4</v>
          </cell>
          <cell r="J1535" t="str">
            <v>IS4 Spectrum &amp; Infrastructure Assurance</v>
          </cell>
          <cell r="K1535" t="str">
            <v>Navy</v>
          </cell>
          <cell r="L1535" t="str">
            <v>DOD</v>
          </cell>
          <cell r="M1535" t="str">
            <v>VA</v>
          </cell>
          <cell r="N1535" t="str">
            <v>CONUS</v>
          </cell>
          <cell r="O1535">
            <v>42086</v>
          </cell>
          <cell r="P1535">
            <v>43912</v>
          </cell>
          <cell r="Q1535" t="str">
            <v>Prime</v>
          </cell>
          <cell r="R1535" t="str">
            <v>CPFF</v>
          </cell>
          <cell r="S1535">
            <v>0</v>
          </cell>
          <cell r="T1535">
            <v>1</v>
          </cell>
          <cell r="U1535" t="str">
            <v>CONTRACT</v>
          </cell>
          <cell r="V1535" t="str">
            <v>Base</v>
          </cell>
          <cell r="W1535" t="str">
            <v>05 Won</v>
          </cell>
          <cell r="X1535" t="str">
            <v>Active</v>
          </cell>
          <cell r="Y1535">
            <v>1</v>
          </cell>
          <cell r="Z1535">
            <v>0</v>
          </cell>
          <cell r="AA1535">
            <v>-297118</v>
          </cell>
          <cell r="AB1535">
            <v>0</v>
          </cell>
          <cell r="AC1535">
            <v>0</v>
          </cell>
          <cell r="AD1535">
            <v>-297118</v>
          </cell>
          <cell r="AL1535">
            <v>0</v>
          </cell>
          <cell r="AM1535">
            <v>0</v>
          </cell>
          <cell r="AN1535">
            <v>0</v>
          </cell>
          <cell r="AO1535">
            <v>0.1589368533713878</v>
          </cell>
          <cell r="AP1535">
            <v>0.13898386922046799</v>
          </cell>
          <cell r="AQ1535">
            <v>0.13898386922046799</v>
          </cell>
          <cell r="AR1535">
            <v>0.13898386922046799</v>
          </cell>
          <cell r="AS1535">
            <v>0.13898386922046799</v>
          </cell>
          <cell r="BF1535">
            <v>0</v>
          </cell>
          <cell r="BG1535">
            <v>0</v>
          </cell>
          <cell r="BH1535">
            <v>0</v>
          </cell>
          <cell r="BI1535">
            <v>0</v>
          </cell>
          <cell r="BJ1535">
            <v>0</v>
          </cell>
          <cell r="BK1535">
            <v>0</v>
          </cell>
          <cell r="BL1535">
            <v>47223</v>
          </cell>
          <cell r="BM1535">
            <v>47223</v>
          </cell>
          <cell r="BN1535">
            <v>0</v>
          </cell>
          <cell r="BO1535">
            <v>0</v>
          </cell>
          <cell r="BP1535">
            <v>0</v>
          </cell>
          <cell r="BQ1535">
            <v>0</v>
          </cell>
          <cell r="BR1535">
            <v>47223</v>
          </cell>
          <cell r="BT1535">
            <v>0</v>
          </cell>
          <cell r="CA1535" t="str">
            <v>TKMGMT - CONTRACT - Base</v>
          </cell>
          <cell r="CC1535" t="str">
            <v>TKMGMT - CONTRACT - Base - IS4</v>
          </cell>
          <cell r="CD1535" t="str">
            <v/>
          </cell>
          <cell r="CF1535" t="str">
            <v>TKMGMT - Base - IS4</v>
          </cell>
        </row>
        <row r="1536">
          <cell r="D1536">
            <v>1522</v>
          </cell>
          <cell r="E1536">
            <v>2</v>
          </cell>
          <cell r="F1536">
            <v>4</v>
          </cell>
          <cell r="G1536" t="str">
            <v>TKMGMT</v>
          </cell>
          <cell r="H1536" t="str">
            <v>Track Management FY19</v>
          </cell>
          <cell r="I1536" t="str">
            <v>IS4</v>
          </cell>
          <cell r="J1536" t="str">
            <v>IS4 Spectrum &amp; Infrastructure Assurance</v>
          </cell>
          <cell r="K1536" t="str">
            <v>Navy</v>
          </cell>
          <cell r="L1536" t="str">
            <v>DOD</v>
          </cell>
          <cell r="M1536" t="str">
            <v>VA</v>
          </cell>
          <cell r="N1536" t="str">
            <v>CONUS</v>
          </cell>
          <cell r="O1536">
            <v>0</v>
          </cell>
          <cell r="P1536">
            <v>0</v>
          </cell>
          <cell r="Q1536">
            <v>0</v>
          </cell>
          <cell r="R1536" t="str">
            <v>CPFF</v>
          </cell>
          <cell r="S1536">
            <v>0</v>
          </cell>
          <cell r="T1536">
            <v>1</v>
          </cell>
          <cell r="U1536" t="str">
            <v>CONTRACT</v>
          </cell>
          <cell r="V1536" t="str">
            <v>Identified - Recompete</v>
          </cell>
          <cell r="W1536">
            <v>0</v>
          </cell>
          <cell r="X1536">
            <v>0</v>
          </cell>
          <cell r="Y1536">
            <v>0</v>
          </cell>
          <cell r="Z1536">
            <v>0</v>
          </cell>
          <cell r="AA1536">
            <v>0</v>
          </cell>
          <cell r="AB1536">
            <v>0</v>
          </cell>
          <cell r="AC1536">
            <v>0</v>
          </cell>
          <cell r="AD1536">
            <v>0</v>
          </cell>
          <cell r="AP1536">
            <v>0</v>
          </cell>
          <cell r="AQ1536">
            <v>0</v>
          </cell>
          <cell r="AR1536">
            <v>0</v>
          </cell>
          <cell r="AS1536">
            <v>0</v>
          </cell>
          <cell r="BI1536">
            <v>0</v>
          </cell>
          <cell r="BJ1536">
            <v>0</v>
          </cell>
          <cell r="BK1536">
            <v>0</v>
          </cell>
          <cell r="BL1536">
            <v>0</v>
          </cell>
          <cell r="BM1536">
            <v>0</v>
          </cell>
          <cell r="BN1536">
            <v>0</v>
          </cell>
          <cell r="BO1536">
            <v>0</v>
          </cell>
          <cell r="BP1536">
            <v>0</v>
          </cell>
          <cell r="BQ1536">
            <v>0</v>
          </cell>
          <cell r="BR1536">
            <v>0</v>
          </cell>
          <cell r="BT1536">
            <v>0</v>
          </cell>
          <cell r="CA1536" t="str">
            <v>TKMGMT - CONTRACT - Identified - Recompete</v>
          </cell>
          <cell r="CC1536" t="str">
            <v>TKMGMT - CONTRACT - Identified - Recompete - IS4</v>
          </cell>
          <cell r="CD1536" t="str">
            <v/>
          </cell>
          <cell r="CF1536" t="str">
            <v>TKMGMT - Identified - Recompete - IS4</v>
          </cell>
        </row>
        <row r="1537">
          <cell r="D1537">
            <v>1523</v>
          </cell>
          <cell r="E1537">
            <v>0</v>
          </cell>
          <cell r="F1537">
            <v>5</v>
          </cell>
          <cell r="G1537" t="str">
            <v>TKMGMT</v>
          </cell>
          <cell r="H1537" t="str">
            <v>Track Management FY19</v>
          </cell>
          <cell r="I1537" t="str">
            <v>IS4</v>
          </cell>
          <cell r="J1537" t="str">
            <v>IS4 Spectrum &amp; Infrastructure Assurance</v>
          </cell>
          <cell r="K1537" t="str">
            <v>Navy</v>
          </cell>
          <cell r="L1537" t="str">
            <v>DOD</v>
          </cell>
          <cell r="M1537" t="str">
            <v>VA</v>
          </cell>
          <cell r="N1537" t="str">
            <v>CONUS</v>
          </cell>
          <cell r="O1537">
            <v>42086</v>
          </cell>
          <cell r="P1537">
            <v>43912</v>
          </cell>
          <cell r="Q1537" t="str">
            <v>Prime</v>
          </cell>
          <cell r="R1537" t="str">
            <v>CPFF</v>
          </cell>
          <cell r="S1537">
            <v>0</v>
          </cell>
          <cell r="T1537">
            <v>1</v>
          </cell>
          <cell r="U1537" t="str">
            <v>EBITA</v>
          </cell>
          <cell r="V1537" t="str">
            <v>Base</v>
          </cell>
          <cell r="W1537" t="str">
            <v>05 Won</v>
          </cell>
          <cell r="X1537" t="str">
            <v>Active</v>
          </cell>
          <cell r="Y1537">
            <v>1</v>
          </cell>
          <cell r="Z1537">
            <v>0</v>
          </cell>
          <cell r="AA1537">
            <v>-297118</v>
          </cell>
          <cell r="AB1537">
            <v>0</v>
          </cell>
          <cell r="AC1537">
            <v>0</v>
          </cell>
          <cell r="AD1537">
            <v>-297118</v>
          </cell>
          <cell r="AT1537">
            <v>0</v>
          </cell>
          <cell r="AU1537">
            <v>0</v>
          </cell>
          <cell r="AV1537">
            <v>0</v>
          </cell>
          <cell r="AW1537">
            <v>4.3689712504796072E-2</v>
          </cell>
          <cell r="AX1537">
            <v>4.2291478710226128E-2</v>
          </cell>
          <cell r="AY1537">
            <v>4.2291478710226128E-2</v>
          </cell>
          <cell r="AZ1537">
            <v>4.2291478710226128E-2</v>
          </cell>
          <cell r="BA1537">
            <v>4.2291478710226128E-2</v>
          </cell>
          <cell r="BF1537">
            <v>0</v>
          </cell>
          <cell r="BG1537">
            <v>0</v>
          </cell>
          <cell r="BH1537">
            <v>0</v>
          </cell>
          <cell r="BI1537">
            <v>0</v>
          </cell>
          <cell r="BJ1537">
            <v>0</v>
          </cell>
          <cell r="BK1537">
            <v>0</v>
          </cell>
          <cell r="BL1537">
            <v>12981</v>
          </cell>
          <cell r="BM1537">
            <v>12981</v>
          </cell>
          <cell r="BN1537">
            <v>0</v>
          </cell>
          <cell r="BO1537">
            <v>0</v>
          </cell>
          <cell r="BP1537">
            <v>0</v>
          </cell>
          <cell r="BQ1537">
            <v>0</v>
          </cell>
          <cell r="BR1537">
            <v>12981</v>
          </cell>
          <cell r="BT1537">
            <v>0</v>
          </cell>
          <cell r="CA1537" t="str">
            <v>TKMGMT - EBITA - Base</v>
          </cell>
          <cell r="CC1537" t="str">
            <v>TKMGMT - EBITA - Base - IS4</v>
          </cell>
          <cell r="CD1537" t="str">
            <v/>
          </cell>
          <cell r="CF1537" t="str">
            <v>TKMGMT - Base - IS4</v>
          </cell>
        </row>
        <row r="1538">
          <cell r="D1538">
            <v>1524</v>
          </cell>
          <cell r="E1538">
            <v>0</v>
          </cell>
          <cell r="F1538">
            <v>0</v>
          </cell>
          <cell r="G1538" t="str">
            <v>TKMGMT</v>
          </cell>
          <cell r="H1538" t="str">
            <v>Track Management FY19</v>
          </cell>
          <cell r="I1538" t="str">
            <v>IS4</v>
          </cell>
          <cell r="J1538" t="str">
            <v>IS4 Spectrum &amp; Infrastructure Assurance</v>
          </cell>
          <cell r="K1538" t="str">
            <v>Navy</v>
          </cell>
          <cell r="L1538" t="str">
            <v>DOD</v>
          </cell>
          <cell r="M1538" t="str">
            <v>VA</v>
          </cell>
          <cell r="N1538" t="str">
            <v>CONUS</v>
          </cell>
          <cell r="O1538">
            <v>0</v>
          </cell>
          <cell r="P1538">
            <v>0</v>
          </cell>
          <cell r="Q1538">
            <v>0</v>
          </cell>
          <cell r="R1538" t="str">
            <v>CPFF</v>
          </cell>
          <cell r="S1538">
            <v>0</v>
          </cell>
          <cell r="T1538">
            <v>1</v>
          </cell>
          <cell r="U1538" t="str">
            <v>EBITA</v>
          </cell>
          <cell r="V1538" t="str">
            <v>Identified - Recompete</v>
          </cell>
          <cell r="W1538">
            <v>0</v>
          </cell>
          <cell r="X1538">
            <v>0</v>
          </cell>
          <cell r="Y1538">
            <v>0</v>
          </cell>
          <cell r="Z1538">
            <v>0</v>
          </cell>
          <cell r="AA1538">
            <v>0</v>
          </cell>
          <cell r="AB1538">
            <v>0</v>
          </cell>
          <cell r="AC1538">
            <v>0</v>
          </cell>
          <cell r="AD1538">
            <v>0</v>
          </cell>
          <cell r="AX1538">
            <v>0</v>
          </cell>
          <cell r="AY1538">
            <v>0</v>
          </cell>
          <cell r="AZ1538">
            <v>0</v>
          </cell>
          <cell r="BA1538">
            <v>0</v>
          </cell>
          <cell r="BI1538">
            <v>0</v>
          </cell>
          <cell r="BJ1538">
            <v>0</v>
          </cell>
          <cell r="BK1538">
            <v>0</v>
          </cell>
          <cell r="BL1538">
            <v>0</v>
          </cell>
          <cell r="BM1538">
            <v>0</v>
          </cell>
          <cell r="BN1538">
            <v>0</v>
          </cell>
          <cell r="BO1538">
            <v>0</v>
          </cell>
          <cell r="BP1538">
            <v>0</v>
          </cell>
          <cell r="BQ1538">
            <v>0</v>
          </cell>
          <cell r="BR1538">
            <v>0</v>
          </cell>
          <cell r="BT1538">
            <v>0</v>
          </cell>
          <cell r="CA1538" t="str">
            <v>TKMGMT - EBITA - Identified - Recompete</v>
          </cell>
          <cell r="CC1538" t="str">
            <v>TKMGMT - EBITA - Identified - Recompete - IS4</v>
          </cell>
          <cell r="CD1538" t="str">
            <v/>
          </cell>
          <cell r="CF1538" t="str">
            <v>TKMGMT - Identified - Recompete - IS4</v>
          </cell>
        </row>
        <row r="1539">
          <cell r="D1539">
            <v>1525</v>
          </cell>
          <cell r="E1539">
            <v>1</v>
          </cell>
          <cell r="F1539">
            <v>1</v>
          </cell>
          <cell r="G1539" t="str">
            <v>915F32</v>
          </cell>
          <cell r="H1539" t="str">
            <v>MARMC ESM SUBLANT</v>
          </cell>
          <cell r="I1539" t="str">
            <v>IS4</v>
          </cell>
          <cell r="J1539" t="str">
            <v>IS4 Sustainment Engineering and Acquisition</v>
          </cell>
          <cell r="K1539" t="str">
            <v>Navy</v>
          </cell>
          <cell r="L1539" t="str">
            <v>DOD</v>
          </cell>
          <cell r="M1539" t="str">
            <v>VA</v>
          </cell>
          <cell r="N1539" t="str">
            <v>CONUS</v>
          </cell>
          <cell r="O1539">
            <v>43334</v>
          </cell>
          <cell r="P1539">
            <v>44978</v>
          </cell>
          <cell r="Q1539" t="str">
            <v>Prime</v>
          </cell>
          <cell r="R1539" t="str">
            <v>CPFF</v>
          </cell>
          <cell r="S1539">
            <v>0</v>
          </cell>
          <cell r="T1539">
            <v>1</v>
          </cell>
          <cell r="U1539" t="str">
            <v>REVTOT</v>
          </cell>
          <cell r="V1539" t="str">
            <v>Base</v>
          </cell>
          <cell r="W1539" t="str">
            <v>05 Won</v>
          </cell>
          <cell r="X1539" t="str">
            <v>Active</v>
          </cell>
          <cell r="Y1539">
            <v>1</v>
          </cell>
          <cell r="Z1539">
            <v>0</v>
          </cell>
          <cell r="AA1539">
            <v>6184273.7700000023</v>
          </cell>
          <cell r="AB1539">
            <v>10820282.879999999</v>
          </cell>
          <cell r="AC1539">
            <v>0</v>
          </cell>
          <cell r="AD1539">
            <v>17004556.650000002</v>
          </cell>
          <cell r="AE1539">
            <v>0</v>
          </cell>
          <cell r="AF1539">
            <v>12.239881758765236</v>
          </cell>
          <cell r="AG1539">
            <v>1.6951561799244397E-2</v>
          </cell>
          <cell r="AH1539">
            <v>-5.3907682397191903E-2</v>
          </cell>
          <cell r="AI1539">
            <v>0</v>
          </cell>
          <cell r="AJ1539">
            <v>0</v>
          </cell>
          <cell r="AK1539">
            <v>0</v>
          </cell>
          <cell r="BB1539">
            <v>2961193.56</v>
          </cell>
          <cell r="BC1539">
            <v>2961193.56</v>
          </cell>
          <cell r="BD1539">
            <v>2961193.56</v>
          </cell>
          <cell r="BE1539">
            <v>2961193.56</v>
          </cell>
          <cell r="BF1539">
            <v>0</v>
          </cell>
          <cell r="BG1539">
            <v>232460.36</v>
          </cell>
          <cell r="BH1539">
            <v>3077747.6799999997</v>
          </cell>
          <cell r="BI1539">
            <v>783242.3</v>
          </cell>
          <cell r="BJ1539">
            <v>743784.41999999993</v>
          </cell>
          <cell r="BK1539">
            <v>845245.52</v>
          </cell>
          <cell r="BL1539">
            <v>757648.07000000007</v>
          </cell>
          <cell r="BM1539">
            <v>3129920.3100000005</v>
          </cell>
          <cell r="BN1539">
            <v>2961193.56</v>
          </cell>
          <cell r="BO1539">
            <v>2961193.56</v>
          </cell>
          <cell r="BP1539">
            <v>2961193.56</v>
          </cell>
          <cell r="BQ1539">
            <v>2961193.56</v>
          </cell>
          <cell r="BR1539">
            <v>14974694.550000003</v>
          </cell>
          <cell r="BT1539">
            <v>0</v>
          </cell>
          <cell r="CA1539" t="str">
            <v>915F32 - REVTOT - Base</v>
          </cell>
          <cell r="CC1539" t="str">
            <v>915F32 - REVTOT - Base - IS4</v>
          </cell>
          <cell r="CD1539" t="str">
            <v/>
          </cell>
          <cell r="CF1539" t="str">
            <v>915F32 - Base - IS4</v>
          </cell>
        </row>
        <row r="1540">
          <cell r="D1540">
            <v>1526</v>
          </cell>
          <cell r="E1540">
            <v>1</v>
          </cell>
          <cell r="F1540">
            <v>2</v>
          </cell>
          <cell r="G1540" t="str">
            <v>915F32</v>
          </cell>
          <cell r="H1540" t="str">
            <v>MARMC ESM SUBLANT</v>
          </cell>
          <cell r="I1540" t="str">
            <v>IS4</v>
          </cell>
          <cell r="J1540" t="str">
            <v>IS4 Sustainment Engineering and Acquisition</v>
          </cell>
          <cell r="K1540" t="str">
            <v>Navy</v>
          </cell>
          <cell r="L1540" t="str">
            <v>DOD</v>
          </cell>
          <cell r="M1540" t="str">
            <v>VA</v>
          </cell>
          <cell r="N1540" t="str">
            <v>CONUS</v>
          </cell>
          <cell r="O1540">
            <v>0</v>
          </cell>
          <cell r="P1540">
            <v>0</v>
          </cell>
          <cell r="Q1540">
            <v>0</v>
          </cell>
          <cell r="R1540" t="str">
            <v>CPFF</v>
          </cell>
          <cell r="S1540">
            <v>0</v>
          </cell>
          <cell r="T1540">
            <v>1</v>
          </cell>
          <cell r="U1540" t="str">
            <v>REVTOT</v>
          </cell>
          <cell r="V1540" t="str">
            <v>Identified - Recompete</v>
          </cell>
          <cell r="W1540">
            <v>0</v>
          </cell>
          <cell r="X1540">
            <v>0</v>
          </cell>
          <cell r="Y1540">
            <v>0</v>
          </cell>
          <cell r="Z1540">
            <v>0</v>
          </cell>
          <cell r="AA1540">
            <v>0</v>
          </cell>
          <cell r="AB1540">
            <v>0</v>
          </cell>
          <cell r="AC1540">
            <v>0</v>
          </cell>
          <cell r="AD1540">
            <v>0</v>
          </cell>
          <cell r="AI1540">
            <v>0</v>
          </cell>
          <cell r="AJ1540">
            <v>0</v>
          </cell>
          <cell r="AK1540">
            <v>0</v>
          </cell>
          <cell r="BB1540">
            <v>0</v>
          </cell>
          <cell r="BC1540">
            <v>0</v>
          </cell>
          <cell r="BD1540">
            <v>0</v>
          </cell>
          <cell r="BE1540">
            <v>0</v>
          </cell>
          <cell r="BI1540">
            <v>0</v>
          </cell>
          <cell r="BJ1540">
            <v>0</v>
          </cell>
          <cell r="BK1540">
            <v>0</v>
          </cell>
          <cell r="BL1540">
            <v>0</v>
          </cell>
          <cell r="BM1540">
            <v>0</v>
          </cell>
          <cell r="BN1540">
            <v>0</v>
          </cell>
          <cell r="BO1540">
            <v>0</v>
          </cell>
          <cell r="BP1540">
            <v>0</v>
          </cell>
          <cell r="BQ1540">
            <v>0</v>
          </cell>
          <cell r="BR1540">
            <v>0</v>
          </cell>
          <cell r="BT1540">
            <v>0</v>
          </cell>
          <cell r="CA1540" t="str">
            <v>915F32 - REVTOT - Identified - Recompete</v>
          </cell>
          <cell r="CC1540" t="str">
            <v>915F32 - REVTOT - Identified - Recompete - IS4</v>
          </cell>
          <cell r="CD1540" t="str">
            <v/>
          </cell>
          <cell r="CF1540" t="str">
            <v>915F32 - Identified - Recompete - IS4</v>
          </cell>
        </row>
        <row r="1541">
          <cell r="D1541">
            <v>1527</v>
          </cell>
          <cell r="E1541">
            <v>2</v>
          </cell>
          <cell r="F1541">
            <v>3</v>
          </cell>
          <cell r="G1541" t="str">
            <v>915F32</v>
          </cell>
          <cell r="H1541" t="str">
            <v>MARMC ESM SUBLANT</v>
          </cell>
          <cell r="I1541" t="str">
            <v>IS4</v>
          </cell>
          <cell r="J1541" t="str">
            <v>IS4 Sustainment Engineering and Acquisition</v>
          </cell>
          <cell r="K1541" t="str">
            <v>Navy</v>
          </cell>
          <cell r="L1541" t="str">
            <v>DOD</v>
          </cell>
          <cell r="M1541" t="str">
            <v>VA</v>
          </cell>
          <cell r="N1541" t="str">
            <v>CONUS</v>
          </cell>
          <cell r="O1541">
            <v>43334</v>
          </cell>
          <cell r="P1541">
            <v>44978</v>
          </cell>
          <cell r="Q1541" t="str">
            <v>Prime</v>
          </cell>
          <cell r="R1541" t="str">
            <v>CPFF</v>
          </cell>
          <cell r="S1541">
            <v>0</v>
          </cell>
          <cell r="T1541">
            <v>1</v>
          </cell>
          <cell r="U1541" t="str">
            <v>CONTRACT</v>
          </cell>
          <cell r="V1541" t="str">
            <v>Base</v>
          </cell>
          <cell r="W1541" t="str">
            <v>05 Won</v>
          </cell>
          <cell r="X1541" t="str">
            <v>Active</v>
          </cell>
          <cell r="Y1541">
            <v>1</v>
          </cell>
          <cell r="Z1541">
            <v>0</v>
          </cell>
          <cell r="AA1541">
            <v>6184273.7700000023</v>
          </cell>
          <cell r="AB1541">
            <v>10820282.879999999</v>
          </cell>
          <cell r="AC1541">
            <v>0</v>
          </cell>
          <cell r="AD1541">
            <v>17004556.650000002</v>
          </cell>
          <cell r="AL1541">
            <v>0</v>
          </cell>
          <cell r="AM1541">
            <v>0.12366788040765318</v>
          </cell>
          <cell r="AN1541">
            <v>0.11043681137629843</v>
          </cell>
          <cell r="AO1541">
            <v>0.12986624797065185</v>
          </cell>
          <cell r="AP1541">
            <v>0.14583024566621031</v>
          </cell>
          <cell r="AQ1541">
            <v>0.14583024566621031</v>
          </cell>
          <cell r="AR1541">
            <v>0.14583024566621031</v>
          </cell>
          <cell r="AS1541">
            <v>0.14583024566621031</v>
          </cell>
          <cell r="BF1541">
            <v>0</v>
          </cell>
          <cell r="BG1541">
            <v>28747.880000000005</v>
          </cell>
          <cell r="BH1541">
            <v>339896.64000000007</v>
          </cell>
          <cell r="BI1541">
            <v>104190.66</v>
          </cell>
          <cell r="BJ1541">
            <v>56991.309999999969</v>
          </cell>
          <cell r="BK1541">
            <v>142317.14999999991</v>
          </cell>
          <cell r="BL1541">
            <v>102971.88710683971</v>
          </cell>
          <cell r="BM1541">
            <v>406471.00710683956</v>
          </cell>
          <cell r="BN1541">
            <v>431831.58431999985</v>
          </cell>
          <cell r="BO1541">
            <v>431831.58431999985</v>
          </cell>
          <cell r="BP1541">
            <v>431831.58431999985</v>
          </cell>
          <cell r="BQ1541">
            <v>431831.58431999985</v>
          </cell>
          <cell r="BR1541">
            <v>2133797.3443868388</v>
          </cell>
          <cell r="BT1541">
            <v>0</v>
          </cell>
          <cell r="CA1541" t="str">
            <v>915F32 - CONTRACT - Base</v>
          </cell>
          <cell r="CC1541" t="str">
            <v>915F32 - CONTRACT - Base - IS4</v>
          </cell>
          <cell r="CD1541" t="str">
            <v/>
          </cell>
          <cell r="CF1541" t="str">
            <v>915F32 - Base - IS4</v>
          </cell>
        </row>
        <row r="1542">
          <cell r="D1542">
            <v>1528</v>
          </cell>
          <cell r="E1542">
            <v>2</v>
          </cell>
          <cell r="F1542">
            <v>4</v>
          </cell>
          <cell r="G1542" t="str">
            <v>915F32</v>
          </cell>
          <cell r="H1542" t="str">
            <v>MARMC ESM SUBLANT</v>
          </cell>
          <cell r="I1542" t="str">
            <v>IS4</v>
          </cell>
          <cell r="J1542" t="str">
            <v>IS4 Sustainment Engineering and Acquisition</v>
          </cell>
          <cell r="K1542" t="str">
            <v>Navy</v>
          </cell>
          <cell r="L1542" t="str">
            <v>DOD</v>
          </cell>
          <cell r="M1542" t="str">
            <v>VA</v>
          </cell>
          <cell r="N1542" t="str">
            <v>CONUS</v>
          </cell>
          <cell r="O1542">
            <v>0</v>
          </cell>
          <cell r="P1542">
            <v>0</v>
          </cell>
          <cell r="Q1542">
            <v>0</v>
          </cell>
          <cell r="R1542" t="str">
            <v>CPFF</v>
          </cell>
          <cell r="S1542">
            <v>0</v>
          </cell>
          <cell r="T1542">
            <v>1</v>
          </cell>
          <cell r="U1542" t="str">
            <v>CONTRACT</v>
          </cell>
          <cell r="V1542" t="str">
            <v>Identified - Recompete</v>
          </cell>
          <cell r="W1542">
            <v>0</v>
          </cell>
          <cell r="X1542">
            <v>0</v>
          </cell>
          <cell r="Y1542">
            <v>0</v>
          </cell>
          <cell r="Z1542">
            <v>0</v>
          </cell>
          <cell r="AA1542">
            <v>0</v>
          </cell>
          <cell r="AB1542">
            <v>0</v>
          </cell>
          <cell r="AC1542">
            <v>0</v>
          </cell>
          <cell r="AD1542">
            <v>0</v>
          </cell>
          <cell r="AP1542">
            <v>0</v>
          </cell>
          <cell r="AQ1542">
            <v>0</v>
          </cell>
          <cell r="AR1542">
            <v>0</v>
          </cell>
          <cell r="AS1542">
            <v>0</v>
          </cell>
          <cell r="BI1542">
            <v>0</v>
          </cell>
          <cell r="BJ1542">
            <v>0</v>
          </cell>
          <cell r="BK1542">
            <v>0</v>
          </cell>
          <cell r="BL1542">
            <v>0</v>
          </cell>
          <cell r="BM1542">
            <v>0</v>
          </cell>
          <cell r="BN1542">
            <v>0</v>
          </cell>
          <cell r="BO1542">
            <v>0</v>
          </cell>
          <cell r="BP1542">
            <v>0</v>
          </cell>
          <cell r="BQ1542">
            <v>0</v>
          </cell>
          <cell r="BR1542">
            <v>0</v>
          </cell>
          <cell r="BT1542">
            <v>0</v>
          </cell>
          <cell r="CA1542" t="str">
            <v>915F32 - CONTRACT - Identified - Recompete</v>
          </cell>
          <cell r="CC1542" t="str">
            <v>915F32 - CONTRACT - Identified - Recompete - IS4</v>
          </cell>
          <cell r="CD1542" t="str">
            <v/>
          </cell>
          <cell r="CF1542" t="str">
            <v>915F32 - Identified - Recompete - IS4</v>
          </cell>
        </row>
        <row r="1543">
          <cell r="D1543">
            <v>1529</v>
          </cell>
          <cell r="E1543">
            <v>0</v>
          </cell>
          <cell r="F1543">
            <v>5</v>
          </cell>
          <cell r="G1543" t="str">
            <v>915F32</v>
          </cell>
          <cell r="H1543" t="str">
            <v>MARMC ESM SUBLANT</v>
          </cell>
          <cell r="I1543" t="str">
            <v>IS4</v>
          </cell>
          <cell r="J1543" t="str">
            <v>IS4 Sustainment Engineering and Acquisition</v>
          </cell>
          <cell r="K1543" t="str">
            <v>Navy</v>
          </cell>
          <cell r="L1543" t="str">
            <v>DOD</v>
          </cell>
          <cell r="M1543" t="str">
            <v>VA</v>
          </cell>
          <cell r="N1543" t="str">
            <v>CONUS</v>
          </cell>
          <cell r="O1543">
            <v>43334</v>
          </cell>
          <cell r="P1543">
            <v>44978</v>
          </cell>
          <cell r="Q1543" t="str">
            <v>Prime</v>
          </cell>
          <cell r="R1543" t="str">
            <v>CPFF</v>
          </cell>
          <cell r="S1543">
            <v>0</v>
          </cell>
          <cell r="T1543">
            <v>1</v>
          </cell>
          <cell r="U1543" t="str">
            <v>EBITA</v>
          </cell>
          <cell r="V1543" t="str">
            <v>Base</v>
          </cell>
          <cell r="W1543" t="str">
            <v>05 Won</v>
          </cell>
          <cell r="X1543" t="str">
            <v>Active</v>
          </cell>
          <cell r="Y1543">
            <v>1</v>
          </cell>
          <cell r="Z1543">
            <v>0</v>
          </cell>
          <cell r="AA1543">
            <v>6184273.7700000023</v>
          </cell>
          <cell r="AB1543">
            <v>10820282.879999999</v>
          </cell>
          <cell r="AC1543">
            <v>0</v>
          </cell>
          <cell r="AD1543">
            <v>17004556.650000002</v>
          </cell>
          <cell r="AT1543">
            <v>0</v>
          </cell>
          <cell r="AU1543">
            <v>3.9052292614534384E-2</v>
          </cell>
          <cell r="AV1543">
            <v>3.7028074374180042E-2</v>
          </cell>
          <cell r="AW1543">
            <v>3.9131068802256162E-2</v>
          </cell>
          <cell r="AX1543">
            <v>4.6017845555081226E-2</v>
          </cell>
          <cell r="AY1543">
            <v>4.6017845555081226E-2</v>
          </cell>
          <cell r="AZ1543">
            <v>4.6017845555081226E-2</v>
          </cell>
          <cell r="BA1543">
            <v>4.6017845555081226E-2</v>
          </cell>
          <cell r="BF1543">
            <v>0</v>
          </cell>
          <cell r="BG1543">
            <v>9078.1100000000042</v>
          </cell>
          <cell r="BH1543">
            <v>113963.07000000007</v>
          </cell>
          <cell r="BI1543">
            <v>30739.630000000005</v>
          </cell>
          <cell r="BJ1543">
            <v>-13079.330000000031</v>
          </cell>
          <cell r="BK1543">
            <v>73054.509999999907</v>
          </cell>
          <cell r="BL1543">
            <v>31762.316996189078</v>
          </cell>
          <cell r="BM1543">
            <v>122477.12699618896</v>
          </cell>
          <cell r="BN1543">
            <v>136267.74790278115</v>
          </cell>
          <cell r="BO1543">
            <v>136267.74790278115</v>
          </cell>
          <cell r="BP1543">
            <v>136267.74790278115</v>
          </cell>
          <cell r="BQ1543">
            <v>136267.74790278115</v>
          </cell>
          <cell r="BR1543">
            <v>667548.11860731349</v>
          </cell>
          <cell r="BT1543">
            <v>0</v>
          </cell>
          <cell r="CA1543" t="str">
            <v>915F32 - EBITA - Base</v>
          </cell>
          <cell r="CC1543" t="str">
            <v>915F32 - EBITA - Base - IS4</v>
          </cell>
          <cell r="CD1543" t="str">
            <v/>
          </cell>
          <cell r="CF1543" t="str">
            <v>915F32 - Base - IS4</v>
          </cell>
        </row>
        <row r="1544">
          <cell r="D1544">
            <v>1530</v>
          </cell>
          <cell r="E1544">
            <v>0</v>
          </cell>
          <cell r="F1544">
            <v>0</v>
          </cell>
          <cell r="G1544" t="str">
            <v>915F32</v>
          </cell>
          <cell r="H1544" t="str">
            <v>MARMC ESM SUBLANT</v>
          </cell>
          <cell r="I1544" t="str">
            <v>IS4</v>
          </cell>
          <cell r="J1544" t="str">
            <v>IS4 Sustainment Engineering and Acquisition</v>
          </cell>
          <cell r="K1544" t="str">
            <v>Navy</v>
          </cell>
          <cell r="L1544" t="str">
            <v>DOD</v>
          </cell>
          <cell r="M1544" t="str">
            <v>VA</v>
          </cell>
          <cell r="N1544" t="str">
            <v>CONUS</v>
          </cell>
          <cell r="O1544">
            <v>0</v>
          </cell>
          <cell r="P1544">
            <v>0</v>
          </cell>
          <cell r="Q1544">
            <v>0</v>
          </cell>
          <cell r="R1544" t="str">
            <v>CPFF</v>
          </cell>
          <cell r="S1544">
            <v>0</v>
          </cell>
          <cell r="T1544">
            <v>1</v>
          </cell>
          <cell r="U1544" t="str">
            <v>EBITA</v>
          </cell>
          <cell r="V1544" t="str">
            <v>Identified - Recompete</v>
          </cell>
          <cell r="W1544">
            <v>0</v>
          </cell>
          <cell r="X1544">
            <v>0</v>
          </cell>
          <cell r="Y1544">
            <v>0</v>
          </cell>
          <cell r="Z1544">
            <v>0</v>
          </cell>
          <cell r="AA1544">
            <v>0</v>
          </cell>
          <cell r="AB1544">
            <v>0</v>
          </cell>
          <cell r="AC1544">
            <v>0</v>
          </cell>
          <cell r="AD1544">
            <v>0</v>
          </cell>
          <cell r="AX1544">
            <v>0</v>
          </cell>
          <cell r="AY1544">
            <v>0</v>
          </cell>
          <cell r="AZ1544">
            <v>0</v>
          </cell>
          <cell r="BA1544">
            <v>0</v>
          </cell>
          <cell r="BI1544">
            <v>0</v>
          </cell>
          <cell r="BJ1544">
            <v>0</v>
          </cell>
          <cell r="BK1544">
            <v>0</v>
          </cell>
          <cell r="BL1544">
            <v>0</v>
          </cell>
          <cell r="BM1544">
            <v>0</v>
          </cell>
          <cell r="BN1544">
            <v>0</v>
          </cell>
          <cell r="BO1544">
            <v>0</v>
          </cell>
          <cell r="BP1544">
            <v>0</v>
          </cell>
          <cell r="BQ1544">
            <v>0</v>
          </cell>
          <cell r="BR1544">
            <v>0</v>
          </cell>
          <cell r="BT1544">
            <v>0</v>
          </cell>
          <cell r="CA1544" t="str">
            <v>915F32 - EBITA - Identified - Recompete</v>
          </cell>
          <cell r="CC1544" t="str">
            <v>915F32 - EBITA - Identified - Recompete - IS4</v>
          </cell>
          <cell r="CD1544" t="str">
            <v/>
          </cell>
          <cell r="CF1544" t="str">
            <v>915F32 - Identified - Recompete - IS4</v>
          </cell>
        </row>
        <row r="1545">
          <cell r="D1545">
            <v>1531</v>
          </cell>
          <cell r="E1545">
            <v>1</v>
          </cell>
          <cell r="F1545">
            <v>1</v>
          </cell>
          <cell r="G1545" t="str">
            <v>003273</v>
          </cell>
          <cell r="H1545" t="str">
            <v>SAIC FC55 Expeditionary</v>
          </cell>
          <cell r="I1545" t="str">
            <v>IS4</v>
          </cell>
          <cell r="J1545" t="str">
            <v>IS4 Spectrum &amp; Infrastructure Assurance</v>
          </cell>
          <cell r="K1545" t="str">
            <v>Navy</v>
          </cell>
          <cell r="L1545" t="str">
            <v>DOD</v>
          </cell>
          <cell r="M1545" t="str">
            <v>IN</v>
          </cell>
          <cell r="N1545" t="str">
            <v>CONUS</v>
          </cell>
          <cell r="O1545">
            <v>42809</v>
          </cell>
          <cell r="P1545">
            <v>44458</v>
          </cell>
          <cell r="Q1545" t="str">
            <v>Sub</v>
          </cell>
          <cell r="R1545" t="str">
            <v>CPFF</v>
          </cell>
          <cell r="S1545">
            <v>0</v>
          </cell>
          <cell r="T1545">
            <v>1</v>
          </cell>
          <cell r="U1545" t="str">
            <v>REVTOT</v>
          </cell>
          <cell r="V1545" t="str">
            <v>Base</v>
          </cell>
          <cell r="W1545" t="str">
            <v>05 Won</v>
          </cell>
          <cell r="X1545" t="str">
            <v>Active</v>
          </cell>
          <cell r="Y1545">
            <v>1</v>
          </cell>
          <cell r="Z1545">
            <v>0</v>
          </cell>
          <cell r="AA1545">
            <v>6184859.3599999994</v>
          </cell>
          <cell r="AB1545">
            <v>3955012</v>
          </cell>
          <cell r="AC1545">
            <v>0</v>
          </cell>
          <cell r="AD1545">
            <v>10139871.359999999</v>
          </cell>
          <cell r="AE1545">
            <v>0</v>
          </cell>
          <cell r="AF1545">
            <v>1.2966049515169393</v>
          </cell>
          <cell r="AG1545">
            <v>-0.10020453417032193</v>
          </cell>
          <cell r="AH1545">
            <v>-2.1960911322666088E-2</v>
          </cell>
          <cell r="AI1545">
            <v>0</v>
          </cell>
          <cell r="AJ1545">
            <v>0</v>
          </cell>
          <cell r="AK1545">
            <v>0</v>
          </cell>
          <cell r="BB1545">
            <v>2705159</v>
          </cell>
          <cell r="BC1545">
            <v>2705159</v>
          </cell>
          <cell r="BD1545">
            <v>2705159</v>
          </cell>
          <cell r="BE1545">
            <v>2705159</v>
          </cell>
          <cell r="BF1545">
            <v>0</v>
          </cell>
          <cell r="BG1545">
            <v>1338463.3600000001</v>
          </cell>
          <cell r="BH1545">
            <v>3073921.58</v>
          </cell>
          <cell r="BI1545">
            <v>659642.37</v>
          </cell>
          <cell r="BJ1545">
            <v>689174.53</v>
          </cell>
          <cell r="BK1545">
            <v>715383.8</v>
          </cell>
          <cell r="BL1545">
            <v>701700</v>
          </cell>
          <cell r="BM1545">
            <v>2765900.7</v>
          </cell>
          <cell r="BN1545">
            <v>2705159</v>
          </cell>
          <cell r="BO1545">
            <v>2622501.3638888891</v>
          </cell>
          <cell r="BP1545">
            <v>0</v>
          </cell>
          <cell r="BQ1545">
            <v>0</v>
          </cell>
          <cell r="BR1545">
            <v>8093561.0638888888</v>
          </cell>
          <cell r="BT1545">
            <v>0</v>
          </cell>
          <cell r="CA1545" t="str">
            <v>003273 - REVTOT - Base</v>
          </cell>
          <cell r="CC1545" t="str">
            <v>003273 - REVTOT - Base - IS4</v>
          </cell>
          <cell r="CD1545" t="str">
            <v/>
          </cell>
          <cell r="CF1545" t="str">
            <v>003273 - Base - IS4</v>
          </cell>
        </row>
        <row r="1546">
          <cell r="D1546">
            <v>1532</v>
          </cell>
          <cell r="E1546">
            <v>1</v>
          </cell>
          <cell r="F1546">
            <v>2</v>
          </cell>
          <cell r="G1546" t="str">
            <v>003273</v>
          </cell>
          <cell r="H1546" t="str">
            <v>SAIC FC55 Expeditionary</v>
          </cell>
          <cell r="I1546" t="str">
            <v>IS4</v>
          </cell>
          <cell r="J1546" t="str">
            <v>IS4 Spectrum &amp; Infrastructure Assurance</v>
          </cell>
          <cell r="K1546" t="str">
            <v>Navy</v>
          </cell>
          <cell r="L1546" t="str">
            <v>DOD</v>
          </cell>
          <cell r="M1546" t="str">
            <v>IN</v>
          </cell>
          <cell r="N1546" t="str">
            <v>CONUS</v>
          </cell>
          <cell r="O1546">
            <v>44459</v>
          </cell>
          <cell r="P1546">
            <v>46284</v>
          </cell>
          <cell r="Q1546" t="str">
            <v>Prime</v>
          </cell>
          <cell r="R1546" t="str">
            <v>CPFF</v>
          </cell>
          <cell r="S1546">
            <v>0</v>
          </cell>
          <cell r="T1546">
            <v>1</v>
          </cell>
          <cell r="U1546" t="str">
            <v>REVTOT</v>
          </cell>
          <cell r="V1546" t="str">
            <v>Identified - Recompete</v>
          </cell>
          <cell r="W1546" t="str">
            <v>01 Prospect</v>
          </cell>
          <cell r="X1546" t="str">
            <v>Priority 2</v>
          </cell>
          <cell r="Y1546">
            <v>0.2</v>
          </cell>
          <cell r="Z1546">
            <v>52000000</v>
          </cell>
          <cell r="AA1546">
            <v>0</v>
          </cell>
          <cell r="AB1546">
            <v>0</v>
          </cell>
          <cell r="AC1546">
            <v>0</v>
          </cell>
          <cell r="AD1546">
            <v>0</v>
          </cell>
          <cell r="AI1546">
            <v>0</v>
          </cell>
          <cell r="AJ1546">
            <v>0</v>
          </cell>
          <cell r="AK1546">
            <v>0</v>
          </cell>
          <cell r="BB1546">
            <v>10400000</v>
          </cell>
          <cell r="BC1546">
            <v>10400000</v>
          </cell>
          <cell r="BD1546">
            <v>10400000</v>
          </cell>
          <cell r="BE1546">
            <v>10400000</v>
          </cell>
          <cell r="BI1546">
            <v>0</v>
          </cell>
          <cell r="BJ1546">
            <v>0</v>
          </cell>
          <cell r="BK1546">
            <v>0</v>
          </cell>
          <cell r="BL1546">
            <v>0</v>
          </cell>
          <cell r="BM1546">
            <v>0</v>
          </cell>
          <cell r="BN1546">
            <v>0</v>
          </cell>
          <cell r="BO1546">
            <v>57777.777777777781</v>
          </cell>
          <cell r="BP1546">
            <v>2080000</v>
          </cell>
          <cell r="BQ1546">
            <v>2080000</v>
          </cell>
          <cell r="BR1546">
            <v>4217777.777777778</v>
          </cell>
          <cell r="BT1546">
            <v>0</v>
          </cell>
          <cell r="CA1546" t="str">
            <v>003273 - REVTOT - Identified - Recompete</v>
          </cell>
          <cell r="CC1546" t="str">
            <v>003273 - REVTOT - Identified - Recompete - IS4</v>
          </cell>
          <cell r="CD1546" t="str">
            <v/>
          </cell>
          <cell r="CF1546" t="str">
            <v>003273 - Identified - Recompete - IS4</v>
          </cell>
        </row>
        <row r="1547">
          <cell r="D1547">
            <v>1533</v>
          </cell>
          <cell r="E1547">
            <v>2</v>
          </cell>
          <cell r="F1547">
            <v>3</v>
          </cell>
          <cell r="G1547" t="str">
            <v>003273</v>
          </cell>
          <cell r="H1547" t="str">
            <v>SAIC FC55 Expeditionary</v>
          </cell>
          <cell r="I1547" t="str">
            <v>IS4</v>
          </cell>
          <cell r="J1547" t="str">
            <v>IS4 Spectrum &amp; Infrastructure Assurance</v>
          </cell>
          <cell r="K1547" t="str">
            <v>Navy</v>
          </cell>
          <cell r="L1547" t="str">
            <v>DOD</v>
          </cell>
          <cell r="M1547" t="str">
            <v>IN</v>
          </cell>
          <cell r="N1547" t="str">
            <v>CONUS</v>
          </cell>
          <cell r="O1547">
            <v>42809</v>
          </cell>
          <cell r="P1547">
            <v>44458</v>
          </cell>
          <cell r="Q1547" t="str">
            <v>Sub</v>
          </cell>
          <cell r="R1547" t="str">
            <v>CPFF</v>
          </cell>
          <cell r="S1547">
            <v>0</v>
          </cell>
          <cell r="T1547">
            <v>1</v>
          </cell>
          <cell r="U1547" t="str">
            <v>CONTRACT</v>
          </cell>
          <cell r="V1547" t="str">
            <v>Base</v>
          </cell>
          <cell r="W1547" t="str">
            <v>05 Won</v>
          </cell>
          <cell r="X1547" t="str">
            <v>Active</v>
          </cell>
          <cell r="Y1547">
            <v>1</v>
          </cell>
          <cell r="Z1547">
            <v>0</v>
          </cell>
          <cell r="AA1547">
            <v>6184859.3599999994</v>
          </cell>
          <cell r="AB1547">
            <v>3955012</v>
          </cell>
          <cell r="AC1547">
            <v>0</v>
          </cell>
          <cell r="AD1547">
            <v>10139871.359999999</v>
          </cell>
          <cell r="AL1547">
            <v>0</v>
          </cell>
          <cell r="AM1547">
            <v>0.16920123984566893</v>
          </cell>
          <cell r="AN1547">
            <v>0.15463445882702051</v>
          </cell>
          <cell r="AO1547">
            <v>0.16130837235046072</v>
          </cell>
          <cell r="AP1547">
            <v>0.16157203047953927</v>
          </cell>
          <cell r="AQ1547">
            <v>0.16157203047953927</v>
          </cell>
          <cell r="AR1547">
            <v>0.16157203047953927</v>
          </cell>
          <cell r="AS1547">
            <v>0.16157203047953927</v>
          </cell>
          <cell r="BF1547">
            <v>0</v>
          </cell>
          <cell r="BG1547">
            <v>226469.65999999992</v>
          </cell>
          <cell r="BH1547">
            <v>475334.19999999984</v>
          </cell>
          <cell r="BI1547">
            <v>107854.75</v>
          </cell>
          <cell r="BJ1547">
            <v>107488.55000000002</v>
          </cell>
          <cell r="BK1547">
            <v>115052.95000000001</v>
          </cell>
          <cell r="BL1547">
            <v>115766.69</v>
          </cell>
          <cell r="BM1547">
            <v>446162.94</v>
          </cell>
          <cell r="BN1547">
            <v>437078.03239999997</v>
          </cell>
          <cell r="BO1547">
            <v>423722.87029888888</v>
          </cell>
          <cell r="BP1547">
            <v>0</v>
          </cell>
          <cell r="BQ1547">
            <v>0</v>
          </cell>
          <cell r="BR1547">
            <v>1306963.8426988889</v>
          </cell>
          <cell r="BT1547">
            <v>0</v>
          </cell>
          <cell r="CA1547" t="str">
            <v>003273 - CONTRACT - Base</v>
          </cell>
          <cell r="CC1547" t="str">
            <v>003273 - CONTRACT - Base - IS4</v>
          </cell>
          <cell r="CD1547" t="str">
            <v/>
          </cell>
          <cell r="CF1547" t="str">
            <v>003273 - Base - IS4</v>
          </cell>
        </row>
        <row r="1548">
          <cell r="D1548">
            <v>1534</v>
          </cell>
          <cell r="E1548">
            <v>2</v>
          </cell>
          <cell r="F1548">
            <v>4</v>
          </cell>
          <cell r="G1548" t="str">
            <v>003273</v>
          </cell>
          <cell r="H1548" t="str">
            <v>SAIC FC55 Expeditionary</v>
          </cell>
          <cell r="I1548" t="str">
            <v>IS4</v>
          </cell>
          <cell r="J1548" t="str">
            <v>IS4 Spectrum &amp; Infrastructure Assurance</v>
          </cell>
          <cell r="K1548" t="str">
            <v>Navy</v>
          </cell>
          <cell r="L1548" t="str">
            <v>DOD</v>
          </cell>
          <cell r="M1548" t="str">
            <v>IN</v>
          </cell>
          <cell r="N1548" t="str">
            <v>CONUS</v>
          </cell>
          <cell r="O1548">
            <v>44459</v>
          </cell>
          <cell r="P1548">
            <v>46284</v>
          </cell>
          <cell r="Q1548" t="str">
            <v>Prime</v>
          </cell>
          <cell r="R1548" t="str">
            <v>CPFF</v>
          </cell>
          <cell r="S1548">
            <v>0</v>
          </cell>
          <cell r="T1548">
            <v>1</v>
          </cell>
          <cell r="U1548" t="str">
            <v>CONTRACT</v>
          </cell>
          <cell r="V1548" t="str">
            <v>Identified - Recompete</v>
          </cell>
          <cell r="W1548" t="str">
            <v>01 Prospect</v>
          </cell>
          <cell r="X1548" t="str">
            <v>Priority 2</v>
          </cell>
          <cell r="Y1548">
            <v>0.2</v>
          </cell>
          <cell r="Z1548">
            <v>52000000</v>
          </cell>
          <cell r="AA1548">
            <v>0</v>
          </cell>
          <cell r="AB1548">
            <v>0</v>
          </cell>
          <cell r="AC1548">
            <v>0</v>
          </cell>
          <cell r="AD1548">
            <v>0</v>
          </cell>
          <cell r="AP1548">
            <v>0.16157203047953927</v>
          </cell>
          <cell r="AQ1548">
            <v>0.16157203047953927</v>
          </cell>
          <cell r="AR1548">
            <v>0.16157203047953927</v>
          </cell>
          <cell r="AS1548">
            <v>0.16157203047953927</v>
          </cell>
          <cell r="BI1548">
            <v>0</v>
          </cell>
          <cell r="BJ1548">
            <v>0</v>
          </cell>
          <cell r="BK1548">
            <v>0</v>
          </cell>
          <cell r="BL1548">
            <v>0</v>
          </cell>
          <cell r="BM1548">
            <v>0</v>
          </cell>
          <cell r="BN1548">
            <v>0</v>
          </cell>
          <cell r="BO1548">
            <v>9335.2728721511594</v>
          </cell>
          <cell r="BP1548">
            <v>336069.82339744171</v>
          </cell>
          <cell r="BQ1548">
            <v>336069.82339744171</v>
          </cell>
          <cell r="BR1548">
            <v>681474.91966703464</v>
          </cell>
          <cell r="BT1548">
            <v>0</v>
          </cell>
          <cell r="CA1548" t="str">
            <v>003273 - CONTRACT - Identified - Recompete</v>
          </cell>
          <cell r="CC1548" t="str">
            <v>003273 - CONTRACT - Identified - Recompete - IS4</v>
          </cell>
          <cell r="CD1548" t="str">
            <v/>
          </cell>
          <cell r="CF1548" t="str">
            <v>003273 - Identified - Recompete - IS4</v>
          </cell>
        </row>
        <row r="1549">
          <cell r="D1549">
            <v>1535</v>
          </cell>
          <cell r="E1549">
            <v>0</v>
          </cell>
          <cell r="F1549">
            <v>5</v>
          </cell>
          <cell r="G1549" t="str">
            <v>003273</v>
          </cell>
          <cell r="H1549" t="str">
            <v>SAIC FC55 Expeditionary</v>
          </cell>
          <cell r="I1549" t="str">
            <v>IS4</v>
          </cell>
          <cell r="J1549" t="str">
            <v>IS4 Spectrum &amp; Infrastructure Assurance</v>
          </cell>
          <cell r="K1549" t="str">
            <v>Navy</v>
          </cell>
          <cell r="L1549" t="str">
            <v>DOD</v>
          </cell>
          <cell r="M1549" t="str">
            <v>IN</v>
          </cell>
          <cell r="N1549" t="str">
            <v>CONUS</v>
          </cell>
          <cell r="O1549">
            <v>42809</v>
          </cell>
          <cell r="P1549">
            <v>44458</v>
          </cell>
          <cell r="Q1549" t="str">
            <v>Sub</v>
          </cell>
          <cell r="R1549" t="str">
            <v>CPFF</v>
          </cell>
          <cell r="S1549">
            <v>0</v>
          </cell>
          <cell r="T1549">
            <v>1</v>
          </cell>
          <cell r="U1549" t="str">
            <v>EBITA</v>
          </cell>
          <cell r="V1549" t="str">
            <v>Base</v>
          </cell>
          <cell r="W1549" t="str">
            <v>05 Won</v>
          </cell>
          <cell r="X1549" t="str">
            <v>Active</v>
          </cell>
          <cell r="Y1549">
            <v>1</v>
          </cell>
          <cell r="Z1549">
            <v>0</v>
          </cell>
          <cell r="AA1549">
            <v>6184859.3599999994</v>
          </cell>
          <cell r="AB1549">
            <v>3955012</v>
          </cell>
          <cell r="AC1549">
            <v>0</v>
          </cell>
          <cell r="AD1549">
            <v>10139871.359999999</v>
          </cell>
          <cell r="AT1549">
            <v>0</v>
          </cell>
          <cell r="AU1549">
            <v>4.7770967746177173E-2</v>
          </cell>
          <cell r="AV1549">
            <v>4.0300143245684199E-2</v>
          </cell>
          <cell r="AW1549">
            <v>4.2827781199809539E-2</v>
          </cell>
          <cell r="AX1549">
            <v>4.3414443374352713E-2</v>
          </cell>
          <cell r="AY1549">
            <v>4.3414443374352713E-2</v>
          </cell>
          <cell r="AZ1549">
            <v>4.3414443374352713E-2</v>
          </cell>
          <cell r="BA1549">
            <v>4.3414443374352713E-2</v>
          </cell>
          <cell r="BF1549">
            <v>0</v>
          </cell>
          <cell r="BG1549">
            <v>63939.68999999993</v>
          </cell>
          <cell r="BH1549">
            <v>123879.47999999989</v>
          </cell>
          <cell r="BI1549">
            <v>29400.139999999996</v>
          </cell>
          <cell r="BJ1549">
            <v>26160.92000000002</v>
          </cell>
          <cell r="BK1549">
            <v>31088.640000000021</v>
          </cell>
          <cell r="BL1549">
            <v>31807.690000000002</v>
          </cell>
          <cell r="BM1549">
            <v>118457.39000000004</v>
          </cell>
          <cell r="BN1549">
            <v>117442.9722241206</v>
          </cell>
          <cell r="BO1549">
            <v>113854.43696171693</v>
          </cell>
          <cell r="BP1549">
            <v>0</v>
          </cell>
          <cell r="BQ1549">
            <v>0</v>
          </cell>
          <cell r="BR1549">
            <v>349754.79918583756</v>
          </cell>
          <cell r="BT1549">
            <v>0</v>
          </cell>
          <cell r="CA1549" t="str">
            <v>003273 - EBITA - Base</v>
          </cell>
          <cell r="CC1549" t="str">
            <v>003273 - EBITA - Base - IS4</v>
          </cell>
          <cell r="CD1549" t="str">
            <v/>
          </cell>
          <cell r="CF1549" t="str">
            <v>003273 - Base - IS4</v>
          </cell>
        </row>
        <row r="1550">
          <cell r="D1550">
            <v>1536</v>
          </cell>
          <cell r="E1550">
            <v>0</v>
          </cell>
          <cell r="F1550">
            <v>0</v>
          </cell>
          <cell r="G1550" t="str">
            <v>003273</v>
          </cell>
          <cell r="H1550" t="str">
            <v>SAIC FC55 Expeditionary</v>
          </cell>
          <cell r="I1550" t="str">
            <v>IS4</v>
          </cell>
          <cell r="J1550" t="str">
            <v>IS4 Spectrum &amp; Infrastructure Assurance</v>
          </cell>
          <cell r="K1550" t="str">
            <v>Navy</v>
          </cell>
          <cell r="L1550" t="str">
            <v>DOD</v>
          </cell>
          <cell r="M1550" t="str">
            <v>IN</v>
          </cell>
          <cell r="N1550" t="str">
            <v>CONUS</v>
          </cell>
          <cell r="O1550">
            <v>44459</v>
          </cell>
          <cell r="P1550">
            <v>46284</v>
          </cell>
          <cell r="Q1550" t="str">
            <v>Prime</v>
          </cell>
          <cell r="R1550" t="str">
            <v>CPFF</v>
          </cell>
          <cell r="S1550">
            <v>0</v>
          </cell>
          <cell r="T1550">
            <v>1</v>
          </cell>
          <cell r="U1550" t="str">
            <v>EBITA</v>
          </cell>
          <cell r="V1550" t="str">
            <v>Identified - Recompete</v>
          </cell>
          <cell r="W1550" t="str">
            <v>01 Prospect</v>
          </cell>
          <cell r="X1550" t="str">
            <v>Priority 2</v>
          </cell>
          <cell r="Y1550">
            <v>0.2</v>
          </cell>
          <cell r="Z1550">
            <v>52000000</v>
          </cell>
          <cell r="AA1550">
            <v>0</v>
          </cell>
          <cell r="AB1550">
            <v>0</v>
          </cell>
          <cell r="AC1550">
            <v>0</v>
          </cell>
          <cell r="AD1550">
            <v>0</v>
          </cell>
          <cell r="AX1550">
            <v>4.3414443374352713E-2</v>
          </cell>
          <cell r="AY1550">
            <v>4.3414443374352713E-2</v>
          </cell>
          <cell r="AZ1550">
            <v>4.3414443374352713E-2</v>
          </cell>
          <cell r="BA1550">
            <v>4.3414443374352713E-2</v>
          </cell>
          <cell r="BI1550">
            <v>0</v>
          </cell>
          <cell r="BJ1550">
            <v>0</v>
          </cell>
          <cell r="BK1550">
            <v>0</v>
          </cell>
          <cell r="BL1550">
            <v>0</v>
          </cell>
          <cell r="BM1550">
            <v>0</v>
          </cell>
          <cell r="BN1550">
            <v>0</v>
          </cell>
          <cell r="BO1550">
            <v>2508.3900616292681</v>
          </cell>
          <cell r="BP1550">
            <v>90302.042218653645</v>
          </cell>
          <cell r="BQ1550">
            <v>90302.042218653645</v>
          </cell>
          <cell r="BR1550">
            <v>183112.47449893656</v>
          </cell>
          <cell r="BT1550">
            <v>0</v>
          </cell>
          <cell r="CA1550" t="str">
            <v>003273 - EBITA - Identified - Recompete</v>
          </cell>
          <cell r="CC1550" t="str">
            <v>003273 - EBITA - Identified - Recompete - IS4</v>
          </cell>
          <cell r="CD1550" t="str">
            <v/>
          </cell>
          <cell r="CF1550" t="str">
            <v>003273 - Identified - Recompete - IS4</v>
          </cell>
        </row>
        <row r="1551">
          <cell r="D1551">
            <v>1537</v>
          </cell>
          <cell r="E1551">
            <v>1</v>
          </cell>
          <cell r="F1551">
            <v>1</v>
          </cell>
          <cell r="G1551" t="str">
            <v>915F82</v>
          </cell>
          <cell r="H1551" t="str">
            <v>MARMC PMS 435</v>
          </cell>
          <cell r="I1551" t="str">
            <v>IS4</v>
          </cell>
          <cell r="J1551" t="str">
            <v>IS4 Sustainment Engineering and Acquisition</v>
          </cell>
          <cell r="K1551" t="str">
            <v>Navy</v>
          </cell>
          <cell r="L1551" t="str">
            <v>DOD</v>
          </cell>
          <cell r="M1551" t="str">
            <v>VA</v>
          </cell>
          <cell r="N1551" t="str">
            <v>CONUS</v>
          </cell>
          <cell r="O1551">
            <v>43313</v>
          </cell>
          <cell r="P1551">
            <v>43677</v>
          </cell>
          <cell r="Q1551" t="str">
            <v>Prime</v>
          </cell>
          <cell r="R1551" t="str">
            <v>CPFF</v>
          </cell>
          <cell r="S1551">
            <v>0</v>
          </cell>
          <cell r="T1551">
            <v>1</v>
          </cell>
          <cell r="U1551" t="str">
            <v>REVTOT</v>
          </cell>
          <cell r="V1551" t="str">
            <v>Base</v>
          </cell>
          <cell r="W1551" t="str">
            <v>05 Won</v>
          </cell>
          <cell r="X1551" t="str">
            <v>Active</v>
          </cell>
          <cell r="Y1551">
            <v>1</v>
          </cell>
          <cell r="Z1551">
            <v>0</v>
          </cell>
          <cell r="AA1551">
            <v>3106947.5699999994</v>
          </cell>
          <cell r="AB1551">
            <v>9287348.8499999996</v>
          </cell>
          <cell r="AC1551">
            <v>0</v>
          </cell>
          <cell r="AD1551">
            <v>12394296.419999998</v>
          </cell>
          <cell r="AE1551">
            <v>0</v>
          </cell>
          <cell r="AF1551">
            <v>0</v>
          </cell>
          <cell r="AG1551">
            <v>11.013242511869477</v>
          </cell>
          <cell r="AH1551">
            <v>8.2725807900780657E-2</v>
          </cell>
          <cell r="AI1551">
            <v>0</v>
          </cell>
          <cell r="AJ1551">
            <v>0</v>
          </cell>
          <cell r="AK1551">
            <v>0</v>
          </cell>
          <cell r="BB1551">
            <v>2947452.81</v>
          </cell>
          <cell r="BC1551">
            <v>2947452.81</v>
          </cell>
          <cell r="BD1551">
            <v>2947452.81</v>
          </cell>
          <cell r="BE1551">
            <v>2947452.81</v>
          </cell>
          <cell r="BF1551">
            <v>0</v>
          </cell>
          <cell r="BG1551">
            <v>0</v>
          </cell>
          <cell r="BH1551">
            <v>226604.29</v>
          </cell>
          <cell r="BI1551">
            <v>560827.32999999996</v>
          </cell>
          <cell r="BJ1551">
            <v>739519.37</v>
          </cell>
          <cell r="BK1551">
            <v>805631.64999999991</v>
          </cell>
          <cell r="BL1551">
            <v>616273.93999999994</v>
          </cell>
          <cell r="BM1551">
            <v>2722252.2899999996</v>
          </cell>
          <cell r="BN1551">
            <v>2947452.81</v>
          </cell>
          <cell r="BO1551">
            <v>2947452.81</v>
          </cell>
          <cell r="BP1551">
            <v>2947452.81</v>
          </cell>
          <cell r="BQ1551">
            <v>2947452.81</v>
          </cell>
          <cell r="BR1551">
            <v>14512063.530000001</v>
          </cell>
          <cell r="BT1551">
            <v>0</v>
          </cell>
          <cell r="CA1551" t="str">
            <v>915F82 - REVTOT - Base</v>
          </cell>
          <cell r="CC1551" t="str">
            <v>915F82 - REVTOT - Base - IS4</v>
          </cell>
          <cell r="CD1551" t="str">
            <v/>
          </cell>
          <cell r="CF1551" t="str">
            <v>915F82 - Base - IS4</v>
          </cell>
        </row>
        <row r="1552">
          <cell r="D1552">
            <v>1538</v>
          </cell>
          <cell r="E1552">
            <v>1</v>
          </cell>
          <cell r="F1552">
            <v>2</v>
          </cell>
          <cell r="G1552" t="str">
            <v>915F82</v>
          </cell>
          <cell r="H1552" t="str">
            <v>MARMC PMS 435</v>
          </cell>
          <cell r="I1552" t="str">
            <v>IS4</v>
          </cell>
          <cell r="J1552" t="str">
            <v>IS4 Sustainment Engineering and Acquisition</v>
          </cell>
          <cell r="K1552" t="str">
            <v>Navy</v>
          </cell>
          <cell r="L1552" t="str">
            <v>DOD</v>
          </cell>
          <cell r="M1552" t="str">
            <v>VA</v>
          </cell>
          <cell r="N1552" t="str">
            <v>CONUS</v>
          </cell>
          <cell r="O1552">
            <v>0</v>
          </cell>
          <cell r="P1552">
            <v>0</v>
          </cell>
          <cell r="Q1552">
            <v>0</v>
          </cell>
          <cell r="R1552" t="str">
            <v>CPFF</v>
          </cell>
          <cell r="S1552">
            <v>0</v>
          </cell>
          <cell r="T1552">
            <v>1</v>
          </cell>
          <cell r="U1552" t="str">
            <v>REVTOT</v>
          </cell>
          <cell r="V1552" t="str">
            <v>Identified - Recompete</v>
          </cell>
          <cell r="W1552">
            <v>0</v>
          </cell>
          <cell r="X1552">
            <v>0</v>
          </cell>
          <cell r="Y1552">
            <v>0</v>
          </cell>
          <cell r="Z1552">
            <v>0</v>
          </cell>
          <cell r="AA1552">
            <v>0</v>
          </cell>
          <cell r="AB1552">
            <v>0</v>
          </cell>
          <cell r="AC1552">
            <v>0</v>
          </cell>
          <cell r="AD1552">
            <v>0</v>
          </cell>
          <cell r="AI1552">
            <v>0</v>
          </cell>
          <cell r="AJ1552">
            <v>0</v>
          </cell>
          <cell r="AK1552">
            <v>0</v>
          </cell>
          <cell r="BB1552">
            <v>0</v>
          </cell>
          <cell r="BC1552">
            <v>0</v>
          </cell>
          <cell r="BD1552">
            <v>0</v>
          </cell>
          <cell r="BE1552">
            <v>0</v>
          </cell>
          <cell r="BI1552">
            <v>0</v>
          </cell>
          <cell r="BJ1552">
            <v>0</v>
          </cell>
          <cell r="BK1552">
            <v>0</v>
          </cell>
          <cell r="BL1552">
            <v>0</v>
          </cell>
          <cell r="BM1552">
            <v>0</v>
          </cell>
          <cell r="BN1552">
            <v>0</v>
          </cell>
          <cell r="BO1552">
            <v>0</v>
          </cell>
          <cell r="BP1552">
            <v>0</v>
          </cell>
          <cell r="BQ1552">
            <v>0</v>
          </cell>
          <cell r="BR1552">
            <v>0</v>
          </cell>
          <cell r="BT1552">
            <v>0</v>
          </cell>
          <cell r="CA1552" t="str">
            <v>915F82 - REVTOT - Identified - Recompete</v>
          </cell>
          <cell r="CC1552" t="str">
            <v>915F82 - REVTOT - Identified - Recompete - IS4</v>
          </cell>
          <cell r="CD1552" t="str">
            <v/>
          </cell>
          <cell r="CF1552" t="str">
            <v>915F82 - Identified - Recompete - IS4</v>
          </cell>
        </row>
        <row r="1553">
          <cell r="D1553">
            <v>1539</v>
          </cell>
          <cell r="E1553">
            <v>2</v>
          </cell>
          <cell r="F1553">
            <v>3</v>
          </cell>
          <cell r="G1553" t="str">
            <v>915F82</v>
          </cell>
          <cell r="H1553" t="str">
            <v>MARMC PMS 435</v>
          </cell>
          <cell r="I1553" t="str">
            <v>IS4</v>
          </cell>
          <cell r="J1553" t="str">
            <v>IS4 Sustainment Engineering and Acquisition</v>
          </cell>
          <cell r="K1553" t="str">
            <v>Navy</v>
          </cell>
          <cell r="L1553" t="str">
            <v>DOD</v>
          </cell>
          <cell r="M1553" t="str">
            <v>VA</v>
          </cell>
          <cell r="N1553" t="str">
            <v>CONUS</v>
          </cell>
          <cell r="O1553">
            <v>43313</v>
          </cell>
          <cell r="P1553">
            <v>43677</v>
          </cell>
          <cell r="Q1553" t="str">
            <v>Prime</v>
          </cell>
          <cell r="R1553" t="str">
            <v>CPFF</v>
          </cell>
          <cell r="S1553">
            <v>0</v>
          </cell>
          <cell r="T1553">
            <v>1</v>
          </cell>
          <cell r="U1553" t="str">
            <v>CONTRACT</v>
          </cell>
          <cell r="V1553" t="str">
            <v>Base</v>
          </cell>
          <cell r="W1553" t="str">
            <v>05 Won</v>
          </cell>
          <cell r="X1553" t="str">
            <v>Active</v>
          </cell>
          <cell r="Y1553">
            <v>1</v>
          </cell>
          <cell r="Z1553">
            <v>0</v>
          </cell>
          <cell r="AA1553">
            <v>3106947.5699999994</v>
          </cell>
          <cell r="AB1553">
            <v>9287348.8499999996</v>
          </cell>
          <cell r="AC1553">
            <v>0</v>
          </cell>
          <cell r="AD1553">
            <v>12394296.419999998</v>
          </cell>
          <cell r="AL1553">
            <v>0</v>
          </cell>
          <cell r="AM1553">
            <v>0</v>
          </cell>
          <cell r="AN1553">
            <v>0.1162872953552645</v>
          </cell>
          <cell r="AO1553">
            <v>0.10750174792311409</v>
          </cell>
          <cell r="AP1553">
            <v>0.12197606029865488</v>
          </cell>
          <cell r="AQ1553">
            <v>0.12197606029865488</v>
          </cell>
          <cell r="AR1553">
            <v>0.12197606029865488</v>
          </cell>
          <cell r="AS1553">
            <v>0.12197606029865488</v>
          </cell>
          <cell r="BF1553">
            <v>0</v>
          </cell>
          <cell r="BG1553">
            <v>0</v>
          </cell>
          <cell r="BH1553">
            <v>26351.200000000012</v>
          </cell>
          <cell r="BI1553">
            <v>60647.199999999997</v>
          </cell>
          <cell r="BJ1553">
            <v>72476.590000000055</v>
          </cell>
          <cell r="BK1553">
            <v>83635.850000000006</v>
          </cell>
          <cell r="BL1553">
            <v>75887.239462700003</v>
          </cell>
          <cell r="BM1553">
            <v>292646.87946270005</v>
          </cell>
          <cell r="BN1553">
            <v>359518.68167999975</v>
          </cell>
          <cell r="BO1553">
            <v>359518.68167999975</v>
          </cell>
          <cell r="BP1553">
            <v>359518.68167999975</v>
          </cell>
          <cell r="BQ1553">
            <v>359518.68167999975</v>
          </cell>
          <cell r="BR1553">
            <v>1730721.6061826989</v>
          </cell>
          <cell r="BT1553">
            <v>0</v>
          </cell>
          <cell r="CA1553" t="str">
            <v>915F82 - CONTRACT - Base</v>
          </cell>
          <cell r="CC1553" t="str">
            <v>915F82 - CONTRACT - Base - IS4</v>
          </cell>
          <cell r="CD1553" t="str">
            <v/>
          </cell>
          <cell r="CF1553" t="str">
            <v>915F82 - Base - IS4</v>
          </cell>
        </row>
        <row r="1554">
          <cell r="D1554">
            <v>1540</v>
          </cell>
          <cell r="E1554">
            <v>2</v>
          </cell>
          <cell r="F1554">
            <v>4</v>
          </cell>
          <cell r="G1554" t="str">
            <v>915F82</v>
          </cell>
          <cell r="H1554" t="str">
            <v>MARMC PMS 435</v>
          </cell>
          <cell r="I1554" t="str">
            <v>IS4</v>
          </cell>
          <cell r="J1554" t="str">
            <v>IS4 Sustainment Engineering and Acquisition</v>
          </cell>
          <cell r="K1554" t="str">
            <v>Navy</v>
          </cell>
          <cell r="L1554" t="str">
            <v>DOD</v>
          </cell>
          <cell r="M1554" t="str">
            <v>VA</v>
          </cell>
          <cell r="N1554" t="str">
            <v>CONUS</v>
          </cell>
          <cell r="O1554">
            <v>0</v>
          </cell>
          <cell r="P1554">
            <v>0</v>
          </cell>
          <cell r="Q1554">
            <v>0</v>
          </cell>
          <cell r="R1554" t="str">
            <v>CPFF</v>
          </cell>
          <cell r="S1554">
            <v>0</v>
          </cell>
          <cell r="T1554">
            <v>1</v>
          </cell>
          <cell r="U1554" t="str">
            <v>CONTRACT</v>
          </cell>
          <cell r="V1554" t="str">
            <v>Identified - Recompete</v>
          </cell>
          <cell r="W1554">
            <v>0</v>
          </cell>
          <cell r="X1554">
            <v>0</v>
          </cell>
          <cell r="Y1554">
            <v>0</v>
          </cell>
          <cell r="Z1554">
            <v>0</v>
          </cell>
          <cell r="AA1554">
            <v>0</v>
          </cell>
          <cell r="AB1554">
            <v>0</v>
          </cell>
          <cell r="AC1554">
            <v>0</v>
          </cell>
          <cell r="AD1554">
            <v>0</v>
          </cell>
          <cell r="AP1554">
            <v>0</v>
          </cell>
          <cell r="AQ1554">
            <v>0</v>
          </cell>
          <cell r="AR1554">
            <v>0</v>
          </cell>
          <cell r="AS1554">
            <v>0</v>
          </cell>
          <cell r="BI1554">
            <v>0</v>
          </cell>
          <cell r="BJ1554">
            <v>0</v>
          </cell>
          <cell r="BK1554">
            <v>0</v>
          </cell>
          <cell r="BL1554">
            <v>0</v>
          </cell>
          <cell r="BM1554">
            <v>0</v>
          </cell>
          <cell r="BN1554">
            <v>0</v>
          </cell>
          <cell r="BO1554">
            <v>0</v>
          </cell>
          <cell r="BP1554">
            <v>0</v>
          </cell>
          <cell r="BQ1554">
            <v>0</v>
          </cell>
          <cell r="BR1554">
            <v>0</v>
          </cell>
          <cell r="BT1554">
            <v>0</v>
          </cell>
          <cell r="CA1554" t="str">
            <v>915F82 - CONTRACT - Identified - Recompete</v>
          </cell>
          <cell r="CC1554" t="str">
            <v>915F82 - CONTRACT - Identified - Recompete - IS4</v>
          </cell>
          <cell r="CD1554" t="str">
            <v/>
          </cell>
          <cell r="CF1554" t="str">
            <v>915F82 - Identified - Recompete - IS4</v>
          </cell>
        </row>
        <row r="1555">
          <cell r="D1555">
            <v>1541</v>
          </cell>
          <cell r="E1555">
            <v>0</v>
          </cell>
          <cell r="F1555">
            <v>5</v>
          </cell>
          <cell r="G1555" t="str">
            <v>915F82</v>
          </cell>
          <cell r="H1555" t="str">
            <v>MARMC PMS 435</v>
          </cell>
          <cell r="I1555" t="str">
            <v>IS4</v>
          </cell>
          <cell r="J1555" t="str">
            <v>IS4 Sustainment Engineering and Acquisition</v>
          </cell>
          <cell r="K1555" t="str">
            <v>Navy</v>
          </cell>
          <cell r="L1555" t="str">
            <v>DOD</v>
          </cell>
          <cell r="M1555" t="str">
            <v>VA</v>
          </cell>
          <cell r="N1555" t="str">
            <v>CONUS</v>
          </cell>
          <cell r="O1555">
            <v>43313</v>
          </cell>
          <cell r="P1555">
            <v>43677</v>
          </cell>
          <cell r="Q1555" t="str">
            <v>Prime</v>
          </cell>
          <cell r="R1555" t="str">
            <v>CPFF</v>
          </cell>
          <cell r="S1555">
            <v>0</v>
          </cell>
          <cell r="T1555">
            <v>1</v>
          </cell>
          <cell r="U1555" t="str">
            <v>EBITA</v>
          </cell>
          <cell r="V1555" t="str">
            <v>Base</v>
          </cell>
          <cell r="W1555" t="str">
            <v>05 Won</v>
          </cell>
          <cell r="X1555" t="str">
            <v>Active</v>
          </cell>
          <cell r="Y1555">
            <v>1</v>
          </cell>
          <cell r="Z1555">
            <v>0</v>
          </cell>
          <cell r="AA1555">
            <v>3106947.5699999994</v>
          </cell>
          <cell r="AB1555">
            <v>9287348.8499999996</v>
          </cell>
          <cell r="AC1555">
            <v>0</v>
          </cell>
          <cell r="AD1555">
            <v>12394296.419999998</v>
          </cell>
          <cell r="AT1555">
            <v>0</v>
          </cell>
          <cell r="AU1555">
            <v>0</v>
          </cell>
          <cell r="AV1555">
            <v>3.5898526016431606E-2</v>
          </cell>
          <cell r="AW1555">
            <v>2.8651032338262841E-2</v>
          </cell>
          <cell r="AX1555">
            <v>3.4072059362179802E-2</v>
          </cell>
          <cell r="AY1555">
            <v>3.4072059362179802E-2</v>
          </cell>
          <cell r="AZ1555">
            <v>3.4072059362179802E-2</v>
          </cell>
          <cell r="BA1555">
            <v>3.4072059362179802E-2</v>
          </cell>
          <cell r="BF1555">
            <v>0</v>
          </cell>
          <cell r="BG1555">
            <v>0</v>
          </cell>
          <cell r="BH1555">
            <v>8134.760000000013</v>
          </cell>
          <cell r="BI1555">
            <v>13317.649999999998</v>
          </cell>
          <cell r="BJ1555">
            <v>16014.910000000054</v>
          </cell>
          <cell r="BK1555">
            <v>24784.360000000008</v>
          </cell>
          <cell r="BL1555">
            <v>23878.418393700002</v>
          </cell>
          <cell r="BM1555">
            <v>77995.338393700062</v>
          </cell>
          <cell r="BN1555">
            <v>100425.78710954367</v>
          </cell>
          <cell r="BO1555">
            <v>100425.78710954367</v>
          </cell>
          <cell r="BP1555">
            <v>100425.78710954367</v>
          </cell>
          <cell r="BQ1555">
            <v>100425.78710954367</v>
          </cell>
          <cell r="BR1555">
            <v>479698.48683187476</v>
          </cell>
          <cell r="BT1555">
            <v>0</v>
          </cell>
          <cell r="CA1555" t="str">
            <v>915F82 - EBITA - Base</v>
          </cell>
          <cell r="CC1555" t="str">
            <v>915F82 - EBITA - Base - IS4</v>
          </cell>
          <cell r="CD1555" t="str">
            <v/>
          </cell>
          <cell r="CF1555" t="str">
            <v>915F82 - Base - IS4</v>
          </cell>
        </row>
        <row r="1556">
          <cell r="D1556">
            <v>1542</v>
          </cell>
          <cell r="E1556">
            <v>0</v>
          </cell>
          <cell r="F1556">
            <v>0</v>
          </cell>
          <cell r="G1556" t="str">
            <v>915F82</v>
          </cell>
          <cell r="H1556" t="str">
            <v>MARMC PMS 435</v>
          </cell>
          <cell r="I1556" t="str">
            <v>IS4</v>
          </cell>
          <cell r="J1556" t="str">
            <v>IS4 Sustainment Engineering and Acquisition</v>
          </cell>
          <cell r="K1556" t="str">
            <v>Navy</v>
          </cell>
          <cell r="L1556" t="str">
            <v>DOD</v>
          </cell>
          <cell r="M1556" t="str">
            <v>VA</v>
          </cell>
          <cell r="N1556" t="str">
            <v>CONUS</v>
          </cell>
          <cell r="O1556">
            <v>0</v>
          </cell>
          <cell r="P1556">
            <v>0</v>
          </cell>
          <cell r="Q1556">
            <v>0</v>
          </cell>
          <cell r="R1556" t="str">
            <v>CPFF</v>
          </cell>
          <cell r="S1556">
            <v>0</v>
          </cell>
          <cell r="T1556">
            <v>1</v>
          </cell>
          <cell r="U1556" t="str">
            <v>EBITA</v>
          </cell>
          <cell r="V1556" t="str">
            <v>Identified - Recompete</v>
          </cell>
          <cell r="W1556">
            <v>0</v>
          </cell>
          <cell r="X1556">
            <v>0</v>
          </cell>
          <cell r="Y1556">
            <v>0</v>
          </cell>
          <cell r="Z1556">
            <v>0</v>
          </cell>
          <cell r="AA1556">
            <v>0</v>
          </cell>
          <cell r="AB1556">
            <v>0</v>
          </cell>
          <cell r="AC1556">
            <v>0</v>
          </cell>
          <cell r="AD1556">
            <v>0</v>
          </cell>
          <cell r="AX1556">
            <v>0</v>
          </cell>
          <cell r="AY1556">
            <v>0</v>
          </cell>
          <cell r="AZ1556">
            <v>0</v>
          </cell>
          <cell r="BA1556">
            <v>0</v>
          </cell>
          <cell r="BI1556">
            <v>0</v>
          </cell>
          <cell r="BJ1556">
            <v>0</v>
          </cell>
          <cell r="BK1556">
            <v>0</v>
          </cell>
          <cell r="BL1556">
            <v>0</v>
          </cell>
          <cell r="BM1556">
            <v>0</v>
          </cell>
          <cell r="BN1556">
            <v>0</v>
          </cell>
          <cell r="BO1556">
            <v>0</v>
          </cell>
          <cell r="BP1556">
            <v>0</v>
          </cell>
          <cell r="BQ1556">
            <v>0</v>
          </cell>
          <cell r="BR1556">
            <v>0</v>
          </cell>
          <cell r="BT1556">
            <v>0</v>
          </cell>
          <cell r="CA1556" t="str">
            <v>915F82 - EBITA - Identified - Recompete</v>
          </cell>
          <cell r="CC1556" t="str">
            <v>915F82 - EBITA - Identified - Recompete - IS4</v>
          </cell>
          <cell r="CD1556" t="str">
            <v/>
          </cell>
          <cell r="CF1556" t="str">
            <v>915F82 - Identified - Recompete - IS4</v>
          </cell>
        </row>
        <row r="1557">
          <cell r="D1557">
            <v>1543</v>
          </cell>
          <cell r="E1557">
            <v>1</v>
          </cell>
          <cell r="F1557">
            <v>1</v>
          </cell>
          <cell r="G1557" t="str">
            <v>0807TM</v>
          </cell>
          <cell r="H1557" t="str">
            <v>Track Management</v>
          </cell>
          <cell r="I1557" t="str">
            <v>IS4</v>
          </cell>
          <cell r="J1557" t="str">
            <v>IS4 Spectrum &amp; Infrastructure Assurance</v>
          </cell>
          <cell r="K1557" t="str">
            <v>Navy</v>
          </cell>
          <cell r="L1557" t="str">
            <v>DOD</v>
          </cell>
          <cell r="M1557" t="str">
            <v>US_State</v>
          </cell>
          <cell r="N1557" t="str">
            <v>CONUS</v>
          </cell>
          <cell r="O1557">
            <v>42086</v>
          </cell>
          <cell r="P1557">
            <v>43912</v>
          </cell>
          <cell r="Q1557" t="str">
            <v>Prime</v>
          </cell>
          <cell r="R1557" t="str">
            <v>CPFF</v>
          </cell>
          <cell r="S1557">
            <v>0</v>
          </cell>
          <cell r="T1557">
            <v>1</v>
          </cell>
          <cell r="U1557" t="str">
            <v>REVTOT</v>
          </cell>
          <cell r="V1557" t="str">
            <v>Base</v>
          </cell>
          <cell r="W1557" t="str">
            <v>05 Won</v>
          </cell>
          <cell r="X1557" t="str">
            <v>Active</v>
          </cell>
          <cell r="Y1557">
            <v>1</v>
          </cell>
          <cell r="Z1557">
            <v>0</v>
          </cell>
          <cell r="AA1557">
            <v>-46387.170000007842</v>
          </cell>
          <cell r="AB1557">
            <v>0</v>
          </cell>
          <cell r="AC1557">
            <v>0</v>
          </cell>
          <cell r="AD1557">
            <v>-46387.170000007842</v>
          </cell>
          <cell r="AE1557">
            <v>0.3775454251876218</v>
          </cell>
          <cell r="AF1557">
            <v>-4.6324487219694843E-2</v>
          </cell>
          <cell r="AG1557">
            <v>-0.12349962946023796</v>
          </cell>
          <cell r="AH1557">
            <v>-1</v>
          </cell>
          <cell r="AI1557">
            <v>0</v>
          </cell>
          <cell r="AJ1557">
            <v>0</v>
          </cell>
          <cell r="AK1557">
            <v>0</v>
          </cell>
          <cell r="BB1557">
            <v>0</v>
          </cell>
          <cell r="BC1557">
            <v>0</v>
          </cell>
          <cell r="BD1557">
            <v>0</v>
          </cell>
          <cell r="BE1557">
            <v>0</v>
          </cell>
          <cell r="BF1557">
            <v>4240280.7799999993</v>
          </cell>
          <cell r="BG1557">
            <v>5841179.3899999997</v>
          </cell>
          <cell r="BH1557">
            <v>5570589.75</v>
          </cell>
          <cell r="BI1557">
            <v>1353731.4700000002</v>
          </cell>
          <cell r="BJ1557">
            <v>1494324.2399999998</v>
          </cell>
          <cell r="BK1557">
            <v>893395.27</v>
          </cell>
          <cell r="BL1557">
            <v>1141173</v>
          </cell>
          <cell r="BM1557">
            <v>4882623.9800000004</v>
          </cell>
          <cell r="BN1557">
            <v>0</v>
          </cell>
          <cell r="BO1557">
            <v>0</v>
          </cell>
          <cell r="BP1557">
            <v>0</v>
          </cell>
          <cell r="BQ1557">
            <v>0</v>
          </cell>
          <cell r="BR1557">
            <v>4882623.9800000004</v>
          </cell>
          <cell r="BT1557">
            <v>0</v>
          </cell>
          <cell r="CA1557" t="str">
            <v>0807TM - REVTOT - Base</v>
          </cell>
          <cell r="CC1557" t="str">
            <v>0807TM - REVTOT - Base - IS4</v>
          </cell>
          <cell r="CD1557" t="str">
            <v/>
          </cell>
          <cell r="CF1557" t="str">
            <v>0807TM - Base - IS4</v>
          </cell>
        </row>
        <row r="1558">
          <cell r="D1558">
            <v>1544</v>
          </cell>
          <cell r="E1558">
            <v>1</v>
          </cell>
          <cell r="F1558">
            <v>2</v>
          </cell>
          <cell r="G1558" t="str">
            <v>0807TM</v>
          </cell>
          <cell r="H1558" t="str">
            <v>Track Management</v>
          </cell>
          <cell r="I1558" t="str">
            <v>IS4</v>
          </cell>
          <cell r="J1558" t="str">
            <v>IS4 Spectrum &amp; Infrastructure Assurance</v>
          </cell>
          <cell r="K1558" t="str">
            <v>Navy</v>
          </cell>
          <cell r="L1558" t="str">
            <v>DOD</v>
          </cell>
          <cell r="M1558" t="str">
            <v>US_State</v>
          </cell>
          <cell r="N1558" t="str">
            <v>CONUS</v>
          </cell>
          <cell r="O1558">
            <v>43723</v>
          </cell>
          <cell r="P1558">
            <v>45550</v>
          </cell>
          <cell r="Q1558" t="str">
            <v>Prime</v>
          </cell>
          <cell r="R1558" t="str">
            <v>CPFF</v>
          </cell>
          <cell r="S1558">
            <v>0</v>
          </cell>
          <cell r="T1558">
            <v>1</v>
          </cell>
          <cell r="U1558" t="str">
            <v>REVTOT</v>
          </cell>
          <cell r="V1558" t="str">
            <v>Identified - Recompete</v>
          </cell>
          <cell r="W1558" t="str">
            <v>04 Submitted</v>
          </cell>
          <cell r="X1558" t="str">
            <v>Priority 3</v>
          </cell>
          <cell r="Y1558">
            <v>0.45</v>
          </cell>
          <cell r="Z1558">
            <v>56288413</v>
          </cell>
          <cell r="AA1558">
            <v>0</v>
          </cell>
          <cell r="AB1558">
            <v>0</v>
          </cell>
          <cell r="AC1558">
            <v>0</v>
          </cell>
          <cell r="AD1558">
            <v>0</v>
          </cell>
          <cell r="AI1558">
            <v>0</v>
          </cell>
          <cell r="AJ1558">
            <v>0</v>
          </cell>
          <cell r="AK1558">
            <v>0</v>
          </cell>
          <cell r="BB1558">
            <v>11257682.6</v>
          </cell>
          <cell r="BC1558">
            <v>11257682.6</v>
          </cell>
          <cell r="BD1558">
            <v>11257682.6</v>
          </cell>
          <cell r="BE1558">
            <v>11257682.6</v>
          </cell>
          <cell r="BI1558">
            <v>0</v>
          </cell>
          <cell r="BJ1558">
            <v>0</v>
          </cell>
          <cell r="BK1558">
            <v>0</v>
          </cell>
          <cell r="BL1558">
            <v>0</v>
          </cell>
          <cell r="BM1558">
            <v>0</v>
          </cell>
          <cell r="BN1558">
            <v>5065957.17</v>
          </cell>
          <cell r="BO1558">
            <v>5065957.17</v>
          </cell>
          <cell r="BP1558">
            <v>5065957.17</v>
          </cell>
          <cell r="BQ1558">
            <v>5065957.17</v>
          </cell>
          <cell r="BR1558">
            <v>20263828.68</v>
          </cell>
          <cell r="BT1558">
            <v>0</v>
          </cell>
          <cell r="CA1558" t="str">
            <v>0807TM - REVTOT - Identified - Recompete</v>
          </cell>
          <cell r="CC1558" t="str">
            <v>0807TM - REVTOT - Identified - Recompete - IS4</v>
          </cell>
          <cell r="CD1558" t="str">
            <v/>
          </cell>
          <cell r="CF1558" t="str">
            <v>0807TM - Identified - Recompete - IS4</v>
          </cell>
        </row>
        <row r="1559">
          <cell r="D1559">
            <v>1545</v>
          </cell>
          <cell r="E1559">
            <v>2</v>
          </cell>
          <cell r="F1559">
            <v>3</v>
          </cell>
          <cell r="G1559" t="str">
            <v>0807TM</v>
          </cell>
          <cell r="H1559" t="str">
            <v>Track Management</v>
          </cell>
          <cell r="I1559" t="str">
            <v>IS4</v>
          </cell>
          <cell r="J1559" t="str">
            <v>IS4 Spectrum &amp; Infrastructure Assurance</v>
          </cell>
          <cell r="K1559" t="str">
            <v>Navy</v>
          </cell>
          <cell r="L1559" t="str">
            <v>DOD</v>
          </cell>
          <cell r="M1559" t="str">
            <v>US_State</v>
          </cell>
          <cell r="N1559" t="str">
            <v>CONUS</v>
          </cell>
          <cell r="O1559">
            <v>42086</v>
          </cell>
          <cell r="P1559">
            <v>43912</v>
          </cell>
          <cell r="Q1559" t="str">
            <v>Prime</v>
          </cell>
          <cell r="R1559" t="str">
            <v>CPFF</v>
          </cell>
          <cell r="S1559">
            <v>0</v>
          </cell>
          <cell r="T1559">
            <v>1</v>
          </cell>
          <cell r="U1559" t="str">
            <v>CONTRACT</v>
          </cell>
          <cell r="V1559" t="str">
            <v>Base</v>
          </cell>
          <cell r="W1559" t="str">
            <v>05 Won</v>
          </cell>
          <cell r="X1559" t="str">
            <v>Active</v>
          </cell>
          <cell r="Y1559">
            <v>1</v>
          </cell>
          <cell r="Z1559">
            <v>0</v>
          </cell>
          <cell r="AA1559">
            <v>-46387.170000007842</v>
          </cell>
          <cell r="AB1559">
            <v>0</v>
          </cell>
          <cell r="AC1559">
            <v>0</v>
          </cell>
          <cell r="AD1559">
            <v>-46387.170000007842</v>
          </cell>
          <cell r="AL1559">
            <v>0.1120547139805209</v>
          </cell>
          <cell r="AM1559">
            <v>0.12435975194386217</v>
          </cell>
          <cell r="AN1559">
            <v>0.11667548305814479</v>
          </cell>
          <cell r="AO1559">
            <v>0.113981900363337</v>
          </cell>
          <cell r="AP1559">
            <v>0</v>
          </cell>
          <cell r="AQ1559">
            <v>0</v>
          </cell>
          <cell r="AR1559">
            <v>0</v>
          </cell>
          <cell r="AS1559">
            <v>0</v>
          </cell>
          <cell r="BF1559">
            <v>475143.45</v>
          </cell>
          <cell r="BG1559">
            <v>726407.62000000011</v>
          </cell>
          <cell r="BH1559">
            <v>649951.25</v>
          </cell>
          <cell r="BI1559">
            <v>148375.25000000006</v>
          </cell>
          <cell r="BJ1559">
            <v>157125.44</v>
          </cell>
          <cell r="BK1559">
            <v>103033.07</v>
          </cell>
          <cell r="BL1559">
            <v>147997</v>
          </cell>
          <cell r="BM1559">
            <v>556530.76</v>
          </cell>
          <cell r="BN1559">
            <v>0</v>
          </cell>
          <cell r="BO1559">
            <v>0</v>
          </cell>
          <cell r="BP1559">
            <v>0</v>
          </cell>
          <cell r="BQ1559">
            <v>0</v>
          </cell>
          <cell r="BR1559">
            <v>556530.76</v>
          </cell>
          <cell r="BT1559">
            <v>0</v>
          </cell>
          <cell r="CA1559" t="str">
            <v>0807TM - CONTRACT - Base</v>
          </cell>
          <cell r="CC1559" t="str">
            <v>0807TM - CONTRACT - Base - IS4</v>
          </cell>
          <cell r="CD1559" t="str">
            <v/>
          </cell>
          <cell r="CF1559" t="str">
            <v>0807TM - Base - IS4</v>
          </cell>
        </row>
        <row r="1560">
          <cell r="D1560">
            <v>1546</v>
          </cell>
          <cell r="E1560">
            <v>2</v>
          </cell>
          <cell r="F1560">
            <v>4</v>
          </cell>
          <cell r="G1560" t="str">
            <v>0807TM</v>
          </cell>
          <cell r="H1560" t="str">
            <v>Track Management</v>
          </cell>
          <cell r="I1560" t="str">
            <v>IS4</v>
          </cell>
          <cell r="J1560" t="str">
            <v>IS4 Spectrum &amp; Infrastructure Assurance</v>
          </cell>
          <cell r="K1560" t="str">
            <v>Navy</v>
          </cell>
          <cell r="L1560" t="str">
            <v>DOD</v>
          </cell>
          <cell r="M1560" t="str">
            <v>US_State</v>
          </cell>
          <cell r="N1560" t="str">
            <v>CONUS</v>
          </cell>
          <cell r="O1560">
            <v>43723</v>
          </cell>
          <cell r="P1560">
            <v>45550</v>
          </cell>
          <cell r="Q1560" t="str">
            <v>Prime</v>
          </cell>
          <cell r="R1560" t="str">
            <v>CPFF</v>
          </cell>
          <cell r="S1560">
            <v>0</v>
          </cell>
          <cell r="T1560">
            <v>1</v>
          </cell>
          <cell r="U1560" t="str">
            <v>CONTRACT</v>
          </cell>
          <cell r="V1560" t="str">
            <v>Identified - Recompete</v>
          </cell>
          <cell r="W1560" t="str">
            <v>04 Submitted</v>
          </cell>
          <cell r="X1560" t="str">
            <v>Priority 3</v>
          </cell>
          <cell r="Y1560">
            <v>0.45</v>
          </cell>
          <cell r="Z1560">
            <v>56288413</v>
          </cell>
          <cell r="AA1560">
            <v>0</v>
          </cell>
          <cell r="AB1560">
            <v>0</v>
          </cell>
          <cell r="AC1560">
            <v>0</v>
          </cell>
          <cell r="AD1560">
            <v>0</v>
          </cell>
          <cell r="AP1560">
            <v>0</v>
          </cell>
          <cell r="AQ1560">
            <v>0</v>
          </cell>
          <cell r="AR1560">
            <v>0</v>
          </cell>
          <cell r="AS1560">
            <v>0</v>
          </cell>
          <cell r="BI1560">
            <v>0</v>
          </cell>
          <cell r="BJ1560">
            <v>0</v>
          </cell>
          <cell r="BK1560">
            <v>0</v>
          </cell>
          <cell r="BL1560">
            <v>0</v>
          </cell>
          <cell r="BM1560">
            <v>0</v>
          </cell>
          <cell r="BN1560">
            <v>0</v>
          </cell>
          <cell r="BO1560">
            <v>0</v>
          </cell>
          <cell r="BP1560">
            <v>0</v>
          </cell>
          <cell r="BQ1560">
            <v>0</v>
          </cell>
          <cell r="BR1560">
            <v>0</v>
          </cell>
          <cell r="BT1560">
            <v>0</v>
          </cell>
          <cell r="CA1560" t="str">
            <v>0807TM - CONTRACT - Identified - Recompete</v>
          </cell>
          <cell r="CC1560" t="str">
            <v>0807TM - CONTRACT - Identified - Recompete - IS4</v>
          </cell>
          <cell r="CD1560" t="str">
            <v/>
          </cell>
          <cell r="CF1560" t="str">
            <v>0807TM - Identified - Recompete - IS4</v>
          </cell>
        </row>
        <row r="1561">
          <cell r="D1561">
            <v>1547</v>
          </cell>
          <cell r="E1561">
            <v>0</v>
          </cell>
          <cell r="F1561">
            <v>5</v>
          </cell>
          <cell r="G1561" t="str">
            <v>0807TM</v>
          </cell>
          <cell r="H1561" t="str">
            <v>Track Management</v>
          </cell>
          <cell r="I1561" t="str">
            <v>IS4</v>
          </cell>
          <cell r="J1561" t="str">
            <v>IS4 Spectrum &amp; Infrastructure Assurance</v>
          </cell>
          <cell r="K1561" t="str">
            <v>Navy</v>
          </cell>
          <cell r="L1561" t="str">
            <v>DOD</v>
          </cell>
          <cell r="M1561" t="str">
            <v>US_State</v>
          </cell>
          <cell r="N1561" t="str">
            <v>CONUS</v>
          </cell>
          <cell r="O1561">
            <v>42086</v>
          </cell>
          <cell r="P1561">
            <v>43912</v>
          </cell>
          <cell r="Q1561" t="str">
            <v>Prime</v>
          </cell>
          <cell r="R1561" t="str">
            <v>CPFF</v>
          </cell>
          <cell r="S1561">
            <v>0</v>
          </cell>
          <cell r="T1561">
            <v>1</v>
          </cell>
          <cell r="U1561" t="str">
            <v>EBITA</v>
          </cell>
          <cell r="V1561" t="str">
            <v>Base</v>
          </cell>
          <cell r="W1561" t="str">
            <v>05 Won</v>
          </cell>
          <cell r="X1561" t="str">
            <v>Active</v>
          </cell>
          <cell r="Y1561">
            <v>1</v>
          </cell>
          <cell r="Z1561">
            <v>0</v>
          </cell>
          <cell r="AA1561">
            <v>-46387.170000007842</v>
          </cell>
          <cell r="AB1561">
            <v>0</v>
          </cell>
          <cell r="AC1561">
            <v>0</v>
          </cell>
          <cell r="AD1561">
            <v>-46387.170000007842</v>
          </cell>
          <cell r="AT1561">
            <v>1.5959162496781646E-2</v>
          </cell>
          <cell r="AU1561">
            <v>1.3577966829058489E-2</v>
          </cell>
          <cell r="AV1561">
            <v>1.5905800638074282E-2</v>
          </cell>
          <cell r="AW1561">
            <v>1.6020588585238558E-2</v>
          </cell>
          <cell r="AX1561">
            <v>1.5281950496423528E-2</v>
          </cell>
          <cell r="AY1561">
            <v>1.5281950496423528E-2</v>
          </cell>
          <cell r="AZ1561">
            <v>1.5281950496423528E-2</v>
          </cell>
          <cell r="BA1561">
            <v>1.5281950496423528E-2</v>
          </cell>
          <cell r="BF1561">
            <v>67671.330000000016</v>
          </cell>
          <cell r="BG1561">
            <v>79311.340000000098</v>
          </cell>
          <cell r="BH1561">
            <v>88604.690000000046</v>
          </cell>
          <cell r="BI1561">
            <v>15519.820000000065</v>
          </cell>
          <cell r="BJ1561">
            <v>12513.700000000004</v>
          </cell>
          <cell r="BK1561">
            <v>20338.989999999998</v>
          </cell>
          <cell r="BL1561">
            <v>29850</v>
          </cell>
          <cell r="BM1561">
            <v>78222.510000000068</v>
          </cell>
          <cell r="BN1561">
            <v>0</v>
          </cell>
          <cell r="BO1561">
            <v>0</v>
          </cell>
          <cell r="BP1561">
            <v>0</v>
          </cell>
          <cell r="BQ1561">
            <v>0</v>
          </cell>
          <cell r="BR1561">
            <v>78222.510000000068</v>
          </cell>
          <cell r="BT1561">
            <v>0</v>
          </cell>
          <cell r="CA1561" t="str">
            <v>0807TM - EBITA - Base</v>
          </cell>
          <cell r="CC1561" t="str">
            <v>0807TM - EBITA - Base - IS4</v>
          </cell>
          <cell r="CD1561" t="str">
            <v/>
          </cell>
          <cell r="CF1561" t="str">
            <v>0807TM - Base - IS4</v>
          </cell>
        </row>
        <row r="1562">
          <cell r="D1562">
            <v>1548</v>
          </cell>
          <cell r="E1562">
            <v>0</v>
          </cell>
          <cell r="F1562">
            <v>0</v>
          </cell>
          <cell r="G1562" t="str">
            <v>0807TM</v>
          </cell>
          <cell r="H1562" t="str">
            <v>Track Management</v>
          </cell>
          <cell r="I1562" t="str">
            <v>IS4</v>
          </cell>
          <cell r="J1562" t="str">
            <v>IS4 Spectrum &amp; Infrastructure Assurance</v>
          </cell>
          <cell r="K1562" t="str">
            <v>Navy</v>
          </cell>
          <cell r="L1562" t="str">
            <v>DOD</v>
          </cell>
          <cell r="M1562" t="str">
            <v>US_State</v>
          </cell>
          <cell r="N1562" t="str">
            <v>CONUS</v>
          </cell>
          <cell r="O1562">
            <v>43723</v>
          </cell>
          <cell r="P1562">
            <v>45550</v>
          </cell>
          <cell r="Q1562" t="str">
            <v>Prime</v>
          </cell>
          <cell r="R1562" t="str">
            <v>CPFF</v>
          </cell>
          <cell r="S1562">
            <v>0</v>
          </cell>
          <cell r="T1562">
            <v>1</v>
          </cell>
          <cell r="U1562" t="str">
            <v>EBITA</v>
          </cell>
          <cell r="V1562" t="str">
            <v>Identified - Recompete</v>
          </cell>
          <cell r="W1562" t="str">
            <v>04 Submitted</v>
          </cell>
          <cell r="X1562" t="str">
            <v>Priority 3</v>
          </cell>
          <cell r="Y1562">
            <v>0.45</v>
          </cell>
          <cell r="Z1562">
            <v>56288413</v>
          </cell>
          <cell r="AA1562">
            <v>0</v>
          </cell>
          <cell r="AB1562">
            <v>0</v>
          </cell>
          <cell r="AC1562">
            <v>0</v>
          </cell>
          <cell r="AD1562">
            <v>0</v>
          </cell>
          <cell r="AX1562">
            <v>1.5281950496423528E-2</v>
          </cell>
          <cell r="AY1562">
            <v>1.5281950496423528E-2</v>
          </cell>
          <cell r="AZ1562">
            <v>1.5281950496423528E-2</v>
          </cell>
          <cell r="BA1562">
            <v>1.5281950496423528E-2</v>
          </cell>
          <cell r="BI1562">
            <v>0</v>
          </cell>
          <cell r="BJ1562">
            <v>0</v>
          </cell>
          <cell r="BK1562">
            <v>0</v>
          </cell>
          <cell r="BL1562">
            <v>0</v>
          </cell>
          <cell r="BM1562">
            <v>0</v>
          </cell>
          <cell r="BN1562">
            <v>77417.706688941835</v>
          </cell>
          <cell r="BO1562">
            <v>77417.706688941835</v>
          </cell>
          <cell r="BP1562">
            <v>77417.706688941835</v>
          </cell>
          <cell r="BQ1562">
            <v>77417.706688941835</v>
          </cell>
          <cell r="BR1562">
            <v>309670.82675576734</v>
          </cell>
          <cell r="BT1562">
            <v>0</v>
          </cell>
          <cell r="CA1562" t="str">
            <v>0807TM - EBITA - Identified - Recompete</v>
          </cell>
          <cell r="CC1562" t="str">
            <v>0807TM - EBITA - Identified - Recompete - IS4</v>
          </cell>
          <cell r="CD1562" t="str">
            <v/>
          </cell>
          <cell r="CF1562" t="str">
            <v>0807TM - Identified - Recompete - IS4</v>
          </cell>
        </row>
        <row r="1563">
          <cell r="D1563">
            <v>1549</v>
          </cell>
          <cell r="E1563">
            <v>1</v>
          </cell>
          <cell r="F1563">
            <v>1</v>
          </cell>
          <cell r="G1563" t="str">
            <v>E3MSGX</v>
          </cell>
          <cell r="H1563" t="str">
            <v>E3 MSG</v>
          </cell>
          <cell r="I1563" t="str">
            <v>IS4</v>
          </cell>
          <cell r="J1563" t="str">
            <v>IS4 Spectrum &amp; Infrastructure Assurance</v>
          </cell>
          <cell r="K1563" t="str">
            <v>Navy</v>
          </cell>
          <cell r="L1563" t="str">
            <v>DOD</v>
          </cell>
          <cell r="M1563" t="str">
            <v>VA</v>
          </cell>
          <cell r="N1563" t="str">
            <v>CONUS</v>
          </cell>
          <cell r="O1563">
            <v>42562</v>
          </cell>
          <cell r="P1563">
            <v>44453</v>
          </cell>
          <cell r="Q1563" t="str">
            <v>Prime</v>
          </cell>
          <cell r="R1563" t="str">
            <v>CPFF</v>
          </cell>
          <cell r="S1563">
            <v>0</v>
          </cell>
          <cell r="T1563">
            <v>1</v>
          </cell>
          <cell r="U1563" t="str">
            <v>REVTOT</v>
          </cell>
          <cell r="V1563" t="str">
            <v>Base</v>
          </cell>
          <cell r="W1563" t="str">
            <v>05 Won</v>
          </cell>
          <cell r="X1563" t="str">
            <v>Active</v>
          </cell>
          <cell r="Y1563">
            <v>1</v>
          </cell>
          <cell r="Z1563">
            <v>0</v>
          </cell>
          <cell r="AA1563">
            <v>4955330.4399999995</v>
          </cell>
          <cell r="AB1563">
            <v>3369320</v>
          </cell>
          <cell r="AC1563">
            <v>0</v>
          </cell>
          <cell r="AD1563">
            <v>8324650.4399999995</v>
          </cell>
          <cell r="AE1563">
            <v>4.5283138918867873</v>
          </cell>
          <cell r="AF1563">
            <v>0.30492098744558782</v>
          </cell>
          <cell r="AG1563">
            <v>4.1134129913894979E-2</v>
          </cell>
          <cell r="AH1563">
            <v>-6.5792692814395592E-2</v>
          </cell>
          <cell r="AI1563">
            <v>0</v>
          </cell>
          <cell r="AJ1563">
            <v>0</v>
          </cell>
          <cell r="AK1563">
            <v>0</v>
          </cell>
          <cell r="BB1563">
            <v>2279979.41</v>
          </cell>
          <cell r="BC1563">
            <v>2279979.41</v>
          </cell>
          <cell r="BD1563">
            <v>2279979.41</v>
          </cell>
          <cell r="BE1563">
            <v>2279979.41</v>
          </cell>
          <cell r="BF1563">
            <v>324940.67</v>
          </cell>
          <cell r="BG1563">
            <v>1796374.02</v>
          </cell>
          <cell r="BH1563">
            <v>2344126.16</v>
          </cell>
          <cell r="BI1563">
            <v>619634.98</v>
          </cell>
          <cell r="BJ1563">
            <v>656356.24</v>
          </cell>
          <cell r="BK1563">
            <v>621729.53</v>
          </cell>
          <cell r="BL1563">
            <v>542829</v>
          </cell>
          <cell r="BM1563">
            <v>2440549.75</v>
          </cell>
          <cell r="BN1563">
            <v>2279979.41</v>
          </cell>
          <cell r="BO1563">
            <v>2178646.9917777781</v>
          </cell>
          <cell r="BP1563">
            <v>0</v>
          </cell>
          <cell r="BQ1563">
            <v>0</v>
          </cell>
          <cell r="BR1563">
            <v>6899176.1517777778</v>
          </cell>
          <cell r="BT1563">
            <v>0</v>
          </cell>
          <cell r="CA1563" t="str">
            <v>E3MSGX - REVTOT - Base</v>
          </cell>
          <cell r="CC1563" t="str">
            <v>E3MSGX - REVTOT - Base - IS4</v>
          </cell>
          <cell r="CD1563" t="str">
            <v/>
          </cell>
          <cell r="CF1563" t="str">
            <v>E3MSGX - Base - IS4</v>
          </cell>
        </row>
        <row r="1564">
          <cell r="D1564">
            <v>1550</v>
          </cell>
          <cell r="E1564">
            <v>1</v>
          </cell>
          <cell r="F1564">
            <v>2</v>
          </cell>
          <cell r="G1564" t="str">
            <v>E3MSGX</v>
          </cell>
          <cell r="H1564" t="str">
            <v>E3 MSG</v>
          </cell>
          <cell r="I1564" t="str">
            <v>IS4</v>
          </cell>
          <cell r="J1564" t="str">
            <v>IS4 Spectrum &amp; Infrastructure Assurance</v>
          </cell>
          <cell r="K1564" t="str">
            <v>Navy</v>
          </cell>
          <cell r="L1564" t="str">
            <v>DOD</v>
          </cell>
          <cell r="M1564" t="str">
            <v>VA</v>
          </cell>
          <cell r="N1564" t="str">
            <v>CONUS</v>
          </cell>
          <cell r="O1564">
            <v>44454</v>
          </cell>
          <cell r="P1564">
            <v>46279</v>
          </cell>
          <cell r="Q1564" t="str">
            <v>Prime</v>
          </cell>
          <cell r="R1564" t="str">
            <v>CPFF</v>
          </cell>
          <cell r="S1564">
            <v>0</v>
          </cell>
          <cell r="T1564">
            <v>1</v>
          </cell>
          <cell r="U1564" t="str">
            <v>REVTOT</v>
          </cell>
          <cell r="V1564" t="str">
            <v>Identified - Recompete</v>
          </cell>
          <cell r="W1564" t="str">
            <v>00 Investigate</v>
          </cell>
          <cell r="X1564" t="str">
            <v>Priority 3</v>
          </cell>
          <cell r="Y1564">
            <v>0.5</v>
          </cell>
          <cell r="Z1564">
            <v>15000000</v>
          </cell>
          <cell r="AA1564">
            <v>0</v>
          </cell>
          <cell r="AB1564">
            <v>0</v>
          </cell>
          <cell r="AC1564">
            <v>0</v>
          </cell>
          <cell r="AD1564">
            <v>0</v>
          </cell>
          <cell r="AI1564">
            <v>0</v>
          </cell>
          <cell r="AJ1564">
            <v>0</v>
          </cell>
          <cell r="AK1564">
            <v>0</v>
          </cell>
          <cell r="BB1564">
            <v>3000000</v>
          </cell>
          <cell r="BC1564">
            <v>3000000</v>
          </cell>
          <cell r="BD1564">
            <v>3000000</v>
          </cell>
          <cell r="BE1564">
            <v>3000000</v>
          </cell>
          <cell r="BI1564">
            <v>0</v>
          </cell>
          <cell r="BJ1564">
            <v>0</v>
          </cell>
          <cell r="BK1564">
            <v>0</v>
          </cell>
          <cell r="BL1564">
            <v>0</v>
          </cell>
          <cell r="BM1564">
            <v>0</v>
          </cell>
          <cell r="BN1564">
            <v>0</v>
          </cell>
          <cell r="BO1564">
            <v>62500</v>
          </cell>
          <cell r="BP1564">
            <v>1500000</v>
          </cell>
          <cell r="BQ1564">
            <v>1500000</v>
          </cell>
          <cell r="BR1564">
            <v>3062500</v>
          </cell>
          <cell r="BT1564">
            <v>0</v>
          </cell>
          <cell r="CA1564" t="str">
            <v>E3MSGX - REVTOT - Identified - Recompete</v>
          </cell>
          <cell r="CC1564" t="str">
            <v>E3MSGX - REVTOT - Identified - Recompete - IS4</v>
          </cell>
          <cell r="CD1564" t="str">
            <v/>
          </cell>
          <cell r="CF1564" t="str">
            <v>E3MSGX - Identified - Recompete - IS4</v>
          </cell>
        </row>
        <row r="1565">
          <cell r="D1565">
            <v>1551</v>
          </cell>
          <cell r="E1565">
            <v>2</v>
          </cell>
          <cell r="F1565">
            <v>3</v>
          </cell>
          <cell r="G1565" t="str">
            <v>E3MSGX</v>
          </cell>
          <cell r="H1565" t="str">
            <v>E3 MSG</v>
          </cell>
          <cell r="I1565" t="str">
            <v>IS4</v>
          </cell>
          <cell r="J1565" t="str">
            <v>IS4 Spectrum &amp; Infrastructure Assurance</v>
          </cell>
          <cell r="K1565" t="str">
            <v>Navy</v>
          </cell>
          <cell r="L1565" t="str">
            <v>DOD</v>
          </cell>
          <cell r="M1565" t="str">
            <v>VA</v>
          </cell>
          <cell r="N1565" t="str">
            <v>CONUS</v>
          </cell>
          <cell r="O1565">
            <v>42562</v>
          </cell>
          <cell r="P1565">
            <v>44453</v>
          </cell>
          <cell r="Q1565" t="str">
            <v>Prime</v>
          </cell>
          <cell r="R1565" t="str">
            <v>CPFF</v>
          </cell>
          <cell r="S1565">
            <v>0</v>
          </cell>
          <cell r="T1565">
            <v>1</v>
          </cell>
          <cell r="U1565" t="str">
            <v>CONTRACT</v>
          </cell>
          <cell r="V1565" t="str">
            <v>Base</v>
          </cell>
          <cell r="W1565" t="str">
            <v>05 Won</v>
          </cell>
          <cell r="X1565" t="str">
            <v>Active</v>
          </cell>
          <cell r="Y1565">
            <v>1</v>
          </cell>
          <cell r="Z1565">
            <v>0</v>
          </cell>
          <cell r="AA1565">
            <v>4955330.4399999995</v>
          </cell>
          <cell r="AB1565">
            <v>3369320</v>
          </cell>
          <cell r="AC1565">
            <v>0</v>
          </cell>
          <cell r="AD1565">
            <v>8324650.4399999995</v>
          </cell>
          <cell r="AL1565">
            <v>0.19550288980446789</v>
          </cell>
          <cell r="AM1565">
            <v>0.17455618179113944</v>
          </cell>
          <cell r="AN1565">
            <v>0.13580079666019343</v>
          </cell>
          <cell r="AO1565">
            <v>0.12681673872864094</v>
          </cell>
          <cell r="AP1565">
            <v>0.1387744639781637</v>
          </cell>
          <cell r="AQ1565">
            <v>0.1387744639781637</v>
          </cell>
          <cell r="AR1565">
            <v>0.1387744639781637</v>
          </cell>
          <cell r="AS1565">
            <v>0.1387744639781637</v>
          </cell>
          <cell r="BF1565">
            <v>63526.839999999967</v>
          </cell>
          <cell r="BG1565">
            <v>313568.18999999994</v>
          </cell>
          <cell r="BH1565">
            <v>318334.20000000007</v>
          </cell>
          <cell r="BI1565">
            <v>77695.73000000001</v>
          </cell>
          <cell r="BJ1565">
            <v>81967.209999999963</v>
          </cell>
          <cell r="BK1565">
            <v>76879.62</v>
          </cell>
          <cell r="BL1565">
            <v>72960</v>
          </cell>
          <cell r="BM1565">
            <v>309502.55999999994</v>
          </cell>
          <cell r="BN1565">
            <v>316402.92050399998</v>
          </cell>
          <cell r="BO1565">
            <v>302340.56848159997</v>
          </cell>
          <cell r="BP1565">
            <v>0</v>
          </cell>
          <cell r="BQ1565">
            <v>0</v>
          </cell>
          <cell r="BR1565">
            <v>928246.04898559977</v>
          </cell>
          <cell r="BT1565">
            <v>0</v>
          </cell>
          <cell r="CA1565" t="str">
            <v>E3MSGX - CONTRACT - Base</v>
          </cell>
          <cell r="CC1565" t="str">
            <v>E3MSGX - CONTRACT - Base - IS4</v>
          </cell>
          <cell r="CD1565" t="str">
            <v/>
          </cell>
          <cell r="CF1565" t="str">
            <v>E3MSGX - Base - IS4</v>
          </cell>
        </row>
        <row r="1566">
          <cell r="D1566">
            <v>1552</v>
          </cell>
          <cell r="E1566">
            <v>2</v>
          </cell>
          <cell r="F1566">
            <v>4</v>
          </cell>
          <cell r="G1566" t="str">
            <v>E3MSGX</v>
          </cell>
          <cell r="H1566" t="str">
            <v>E3 MSG</v>
          </cell>
          <cell r="I1566" t="str">
            <v>IS4</v>
          </cell>
          <cell r="J1566" t="str">
            <v>IS4 Spectrum &amp; Infrastructure Assurance</v>
          </cell>
          <cell r="K1566" t="str">
            <v>Navy</v>
          </cell>
          <cell r="L1566" t="str">
            <v>DOD</v>
          </cell>
          <cell r="M1566" t="str">
            <v>VA</v>
          </cell>
          <cell r="N1566" t="str">
            <v>CONUS</v>
          </cell>
          <cell r="O1566">
            <v>44454</v>
          </cell>
          <cell r="P1566">
            <v>46279</v>
          </cell>
          <cell r="Q1566" t="str">
            <v>Prime</v>
          </cell>
          <cell r="R1566" t="str">
            <v>CPFF</v>
          </cell>
          <cell r="S1566">
            <v>0</v>
          </cell>
          <cell r="T1566">
            <v>1</v>
          </cell>
          <cell r="U1566" t="str">
            <v>CONTRACT</v>
          </cell>
          <cell r="V1566" t="str">
            <v>Identified - Recompete</v>
          </cell>
          <cell r="W1566" t="str">
            <v>00 Investigate</v>
          </cell>
          <cell r="X1566" t="str">
            <v>Priority 3</v>
          </cell>
          <cell r="Y1566">
            <v>0.5</v>
          </cell>
          <cell r="Z1566">
            <v>15000000</v>
          </cell>
          <cell r="AA1566">
            <v>0</v>
          </cell>
          <cell r="AB1566">
            <v>0</v>
          </cell>
          <cell r="AC1566">
            <v>0</v>
          </cell>
          <cell r="AD1566">
            <v>0</v>
          </cell>
          <cell r="AP1566">
            <v>0.1387744639781637</v>
          </cell>
          <cell r="AQ1566">
            <v>0.1387744639781637</v>
          </cell>
          <cell r="AR1566">
            <v>0.1387744639781637</v>
          </cell>
          <cell r="AS1566">
            <v>0.1387744639781637</v>
          </cell>
          <cell r="BI1566">
            <v>0</v>
          </cell>
          <cell r="BJ1566">
            <v>0</v>
          </cell>
          <cell r="BK1566">
            <v>0</v>
          </cell>
          <cell r="BL1566">
            <v>0</v>
          </cell>
          <cell r="BM1566">
            <v>0</v>
          </cell>
          <cell r="BN1566">
            <v>0</v>
          </cell>
          <cell r="BO1566">
            <v>8673.4039986352309</v>
          </cell>
          <cell r="BP1566">
            <v>208161.69596724556</v>
          </cell>
          <cell r="BQ1566">
            <v>208161.69596724556</v>
          </cell>
          <cell r="BR1566">
            <v>424996.79593312636</v>
          </cell>
          <cell r="BT1566">
            <v>0</v>
          </cell>
          <cell r="CA1566" t="str">
            <v>E3MSGX - CONTRACT - Identified - Recompete</v>
          </cell>
          <cell r="CC1566" t="str">
            <v>E3MSGX - CONTRACT - Identified - Recompete - IS4</v>
          </cell>
          <cell r="CD1566" t="str">
            <v/>
          </cell>
          <cell r="CF1566" t="str">
            <v>E3MSGX - Identified - Recompete - IS4</v>
          </cell>
        </row>
        <row r="1567">
          <cell r="D1567">
            <v>1553</v>
          </cell>
          <cell r="E1567">
            <v>0</v>
          </cell>
          <cell r="F1567">
            <v>5</v>
          </cell>
          <cell r="G1567" t="str">
            <v>E3MSGX</v>
          </cell>
          <cell r="H1567" t="str">
            <v>E3 MSG</v>
          </cell>
          <cell r="I1567" t="str">
            <v>IS4</v>
          </cell>
          <cell r="J1567" t="str">
            <v>IS4 Spectrum &amp; Infrastructure Assurance</v>
          </cell>
          <cell r="K1567" t="str">
            <v>Navy</v>
          </cell>
          <cell r="L1567" t="str">
            <v>DOD</v>
          </cell>
          <cell r="M1567" t="str">
            <v>VA</v>
          </cell>
          <cell r="N1567" t="str">
            <v>CONUS</v>
          </cell>
          <cell r="O1567">
            <v>42562</v>
          </cell>
          <cell r="P1567">
            <v>44453</v>
          </cell>
          <cell r="Q1567" t="str">
            <v>Prime</v>
          </cell>
          <cell r="R1567" t="str">
            <v>CPFF</v>
          </cell>
          <cell r="S1567">
            <v>0</v>
          </cell>
          <cell r="T1567">
            <v>1</v>
          </cell>
          <cell r="U1567" t="str">
            <v>EBITA</v>
          </cell>
          <cell r="V1567" t="str">
            <v>Base</v>
          </cell>
          <cell r="W1567" t="str">
            <v>05 Won</v>
          </cell>
          <cell r="X1567" t="str">
            <v>Active</v>
          </cell>
          <cell r="Y1567">
            <v>1</v>
          </cell>
          <cell r="Z1567">
            <v>0</v>
          </cell>
          <cell r="AA1567">
            <v>4955330.4399999995</v>
          </cell>
          <cell r="AB1567">
            <v>3369320</v>
          </cell>
          <cell r="AC1567">
            <v>0</v>
          </cell>
          <cell r="AD1567">
            <v>8324650.4399999995</v>
          </cell>
          <cell r="AT1567">
            <v>2.8993446711364151E-2</v>
          </cell>
          <cell r="AU1567">
            <v>3.0353678795688621E-2</v>
          </cell>
          <cell r="AV1567">
            <v>3.0648486939798519E-2</v>
          </cell>
          <cell r="AW1567">
            <v>3.2835384732476755E-2</v>
          </cell>
          <cell r="AX1567">
            <v>3.6201215124398133E-2</v>
          </cell>
          <cell r="AY1567">
            <v>3.6201215124398133E-2</v>
          </cell>
          <cell r="AZ1567">
            <v>3.6201215124398133E-2</v>
          </cell>
          <cell r="BA1567">
            <v>3.6201215124398133E-2</v>
          </cell>
          <cell r="BF1567">
            <v>9421.1499999999633</v>
          </cell>
          <cell r="BG1567">
            <v>54526.559999999925</v>
          </cell>
          <cell r="BH1567">
            <v>71843.920000000056</v>
          </cell>
          <cell r="BI1567">
            <v>21881.740000000005</v>
          </cell>
          <cell r="BJ1567">
            <v>19935.699999999964</v>
          </cell>
          <cell r="BK1567">
            <v>18267.94999999999</v>
          </cell>
          <cell r="BL1567">
            <v>20051</v>
          </cell>
          <cell r="BM1567">
            <v>80136.389999999956</v>
          </cell>
          <cell r="BN1567">
            <v>82538.025100608342</v>
          </cell>
          <cell r="BO1567">
            <v>78869.668429470199</v>
          </cell>
          <cell r="BP1567">
            <v>0</v>
          </cell>
          <cell r="BQ1567">
            <v>0</v>
          </cell>
          <cell r="BR1567">
            <v>241544.08353007853</v>
          </cell>
          <cell r="BT1567">
            <v>0</v>
          </cell>
          <cell r="CA1567" t="str">
            <v>E3MSGX - EBITA - Base</v>
          </cell>
          <cell r="CC1567" t="str">
            <v>E3MSGX - EBITA - Base - IS4</v>
          </cell>
          <cell r="CD1567" t="str">
            <v/>
          </cell>
          <cell r="CF1567" t="str">
            <v>E3MSGX - Base - IS4</v>
          </cell>
        </row>
        <row r="1568">
          <cell r="D1568">
            <v>1554</v>
          </cell>
          <cell r="E1568">
            <v>0</v>
          </cell>
          <cell r="F1568">
            <v>0</v>
          </cell>
          <cell r="G1568" t="str">
            <v>E3MSGX</v>
          </cell>
          <cell r="H1568" t="str">
            <v>E3 MSG</v>
          </cell>
          <cell r="I1568" t="str">
            <v>IS4</v>
          </cell>
          <cell r="J1568" t="str">
            <v>IS4 Spectrum &amp; Infrastructure Assurance</v>
          </cell>
          <cell r="K1568" t="str">
            <v>Navy</v>
          </cell>
          <cell r="L1568" t="str">
            <v>DOD</v>
          </cell>
          <cell r="M1568" t="str">
            <v>VA</v>
          </cell>
          <cell r="N1568" t="str">
            <v>CONUS</v>
          </cell>
          <cell r="O1568">
            <v>44454</v>
          </cell>
          <cell r="P1568">
            <v>46279</v>
          </cell>
          <cell r="Q1568" t="str">
            <v>Prime</v>
          </cell>
          <cell r="R1568" t="str">
            <v>CPFF</v>
          </cell>
          <cell r="S1568">
            <v>0</v>
          </cell>
          <cell r="T1568">
            <v>1</v>
          </cell>
          <cell r="U1568" t="str">
            <v>EBITA</v>
          </cell>
          <cell r="V1568" t="str">
            <v>Identified - Recompete</v>
          </cell>
          <cell r="W1568" t="str">
            <v>00 Investigate</v>
          </cell>
          <cell r="X1568" t="str">
            <v>Priority 3</v>
          </cell>
          <cell r="Y1568">
            <v>0.5</v>
          </cell>
          <cell r="Z1568">
            <v>15000000</v>
          </cell>
          <cell r="AA1568">
            <v>0</v>
          </cell>
          <cell r="AB1568">
            <v>0</v>
          </cell>
          <cell r="AC1568">
            <v>0</v>
          </cell>
          <cell r="AD1568">
            <v>0</v>
          </cell>
          <cell r="AX1568">
            <v>3.6201215124398133E-2</v>
          </cell>
          <cell r="AY1568">
            <v>3.6201215124398133E-2</v>
          </cell>
          <cell r="AZ1568">
            <v>3.6201215124398133E-2</v>
          </cell>
          <cell r="BA1568">
            <v>3.6201215124398133E-2</v>
          </cell>
          <cell r="BI1568">
            <v>0</v>
          </cell>
          <cell r="BJ1568">
            <v>0</v>
          </cell>
          <cell r="BK1568">
            <v>0</v>
          </cell>
          <cell r="BL1568">
            <v>0</v>
          </cell>
          <cell r="BM1568">
            <v>0</v>
          </cell>
          <cell r="BN1568">
            <v>0</v>
          </cell>
          <cell r="BO1568">
            <v>2262.5759452748835</v>
          </cell>
          <cell r="BP1568">
            <v>54301.822686597196</v>
          </cell>
          <cell r="BQ1568">
            <v>54301.822686597196</v>
          </cell>
          <cell r="BR1568">
            <v>110866.22131846927</v>
          </cell>
          <cell r="BT1568">
            <v>0</v>
          </cell>
          <cell r="CA1568" t="str">
            <v>E3MSGX - EBITA - Identified - Recompete</v>
          </cell>
          <cell r="CC1568" t="str">
            <v>E3MSGX - EBITA - Identified - Recompete - IS4</v>
          </cell>
          <cell r="CD1568" t="str">
            <v/>
          </cell>
          <cell r="CF1568" t="str">
            <v>E3MSGX - Identified - Recompete - IS4</v>
          </cell>
        </row>
        <row r="1569">
          <cell r="D1569">
            <v>1555</v>
          </cell>
          <cell r="E1569">
            <v>1</v>
          </cell>
          <cell r="F1569">
            <v>1</v>
          </cell>
          <cell r="G1569" t="str">
            <v>00FEWC</v>
          </cell>
          <cell r="H1569" t="str">
            <v>Fleet EW</v>
          </cell>
          <cell r="I1569" t="str">
            <v>IS4</v>
          </cell>
          <cell r="J1569" t="str">
            <v>IS4 Spectrum &amp; Infrastructure Assurance</v>
          </cell>
          <cell r="K1569" t="str">
            <v>Navy</v>
          </cell>
          <cell r="L1569" t="str">
            <v>DOD</v>
          </cell>
          <cell r="M1569" t="str">
            <v>VA</v>
          </cell>
          <cell r="N1569" t="str">
            <v>CONUS</v>
          </cell>
          <cell r="O1569">
            <v>42277</v>
          </cell>
          <cell r="P1569">
            <v>43737</v>
          </cell>
          <cell r="Q1569" t="str">
            <v>Prime</v>
          </cell>
          <cell r="R1569" t="str">
            <v>CPFF</v>
          </cell>
          <cell r="S1569">
            <v>0</v>
          </cell>
          <cell r="T1569">
            <v>1</v>
          </cell>
          <cell r="U1569" t="str">
            <v>REVTOT</v>
          </cell>
          <cell r="V1569" t="str">
            <v>Base</v>
          </cell>
          <cell r="W1569" t="str">
            <v>05 Won</v>
          </cell>
          <cell r="X1569" t="str">
            <v>Active</v>
          </cell>
          <cell r="Y1569">
            <v>1</v>
          </cell>
          <cell r="Z1569">
            <v>0</v>
          </cell>
          <cell r="AA1569">
            <v>483463.0435999966</v>
          </cell>
          <cell r="AB1569">
            <v>-0.14319999999999994</v>
          </cell>
          <cell r="AC1569">
            <v>0</v>
          </cell>
          <cell r="AD1569">
            <v>483462.90039999661</v>
          </cell>
          <cell r="AE1569">
            <v>6.2824269073752159E-2</v>
          </cell>
          <cell r="AF1569">
            <v>-2.2675732107843793E-2</v>
          </cell>
          <cell r="AG1569">
            <v>-1.2098435293981469E-2</v>
          </cell>
          <cell r="AH1569">
            <v>-1</v>
          </cell>
          <cell r="AI1569">
            <v>0</v>
          </cell>
          <cell r="AJ1569">
            <v>0</v>
          </cell>
          <cell r="AK1569">
            <v>0</v>
          </cell>
          <cell r="BB1569">
            <v>0</v>
          </cell>
          <cell r="BC1569">
            <v>0</v>
          </cell>
          <cell r="BD1569">
            <v>0</v>
          </cell>
          <cell r="BE1569">
            <v>0</v>
          </cell>
          <cell r="BF1569">
            <v>3336392.02</v>
          </cell>
          <cell r="BG1569">
            <v>3545998.4099999997</v>
          </cell>
          <cell r="BH1569">
            <v>3465590.3</v>
          </cell>
          <cell r="BI1569">
            <v>790355.8</v>
          </cell>
          <cell r="BJ1569">
            <v>813341.51</v>
          </cell>
          <cell r="BK1569">
            <v>711867.11</v>
          </cell>
          <cell r="BL1569">
            <v>1108097.6599999999</v>
          </cell>
          <cell r="BM1569">
            <v>3423662.0800000001</v>
          </cell>
          <cell r="BN1569">
            <v>0</v>
          </cell>
          <cell r="BO1569">
            <v>0</v>
          </cell>
          <cell r="BP1569">
            <v>0</v>
          </cell>
          <cell r="BQ1569">
            <v>0</v>
          </cell>
          <cell r="BR1569">
            <v>3423662.0800000001</v>
          </cell>
          <cell r="BT1569">
            <v>0</v>
          </cell>
          <cell r="CA1569" t="str">
            <v>00FEWC - REVTOT - Base</v>
          </cell>
          <cell r="CC1569" t="str">
            <v>00FEWC - REVTOT - Base - IS4</v>
          </cell>
          <cell r="CD1569" t="str">
            <v/>
          </cell>
          <cell r="CF1569" t="str">
            <v>00FEWC - Base - IS4</v>
          </cell>
        </row>
        <row r="1570">
          <cell r="D1570">
            <v>1556</v>
          </cell>
          <cell r="E1570">
            <v>1</v>
          </cell>
          <cell r="F1570">
            <v>2</v>
          </cell>
          <cell r="G1570" t="str">
            <v>00FEWC</v>
          </cell>
          <cell r="H1570" t="str">
            <v>Fleet EW</v>
          </cell>
          <cell r="I1570" t="str">
            <v>IS4</v>
          </cell>
          <cell r="J1570" t="str">
            <v>IS4 Spectrum &amp; Infrastructure Assurance</v>
          </cell>
          <cell r="K1570" t="str">
            <v>Navy</v>
          </cell>
          <cell r="L1570" t="str">
            <v>DOD</v>
          </cell>
          <cell r="M1570" t="str">
            <v>VA</v>
          </cell>
          <cell r="N1570" t="str">
            <v>CONUS</v>
          </cell>
          <cell r="O1570">
            <v>0</v>
          </cell>
          <cell r="P1570">
            <v>0</v>
          </cell>
          <cell r="Q1570">
            <v>0</v>
          </cell>
          <cell r="R1570" t="str">
            <v>CPFF</v>
          </cell>
          <cell r="S1570">
            <v>0</v>
          </cell>
          <cell r="T1570">
            <v>1</v>
          </cell>
          <cell r="U1570" t="str">
            <v>REVTOT</v>
          </cell>
          <cell r="V1570" t="str">
            <v>Identified - Recompete</v>
          </cell>
          <cell r="W1570">
            <v>0</v>
          </cell>
          <cell r="X1570">
            <v>0</v>
          </cell>
          <cell r="Y1570">
            <v>0</v>
          </cell>
          <cell r="Z1570">
            <v>0</v>
          </cell>
          <cell r="AA1570">
            <v>0</v>
          </cell>
          <cell r="AB1570">
            <v>0</v>
          </cell>
          <cell r="AC1570">
            <v>0</v>
          </cell>
          <cell r="AD1570">
            <v>0</v>
          </cell>
          <cell r="AI1570">
            <v>0</v>
          </cell>
          <cell r="AJ1570">
            <v>0</v>
          </cell>
          <cell r="AK1570">
            <v>0</v>
          </cell>
          <cell r="BB1570">
            <v>0</v>
          </cell>
          <cell r="BC1570">
            <v>0</v>
          </cell>
          <cell r="BD1570">
            <v>0</v>
          </cell>
          <cell r="BE1570">
            <v>0</v>
          </cell>
          <cell r="BI1570">
            <v>0</v>
          </cell>
          <cell r="BJ1570">
            <v>0</v>
          </cell>
          <cell r="BK1570">
            <v>0</v>
          </cell>
          <cell r="BL1570">
            <v>0</v>
          </cell>
          <cell r="BM1570">
            <v>0</v>
          </cell>
          <cell r="BN1570">
            <v>0</v>
          </cell>
          <cell r="BO1570">
            <v>0</v>
          </cell>
          <cell r="BP1570">
            <v>0</v>
          </cell>
          <cell r="BQ1570">
            <v>0</v>
          </cell>
          <cell r="BR1570">
            <v>0</v>
          </cell>
          <cell r="BT1570">
            <v>0</v>
          </cell>
          <cell r="CA1570" t="str">
            <v>00FEWC - REVTOT - Identified - Recompete</v>
          </cell>
          <cell r="CC1570" t="str">
            <v>00FEWC - REVTOT - Identified - Recompete - IS4</v>
          </cell>
          <cell r="CD1570" t="str">
            <v/>
          </cell>
          <cell r="CF1570" t="str">
            <v>00FEWC - Identified - Recompete - IS4</v>
          </cell>
        </row>
        <row r="1571">
          <cell r="D1571">
            <v>1557</v>
          </cell>
          <cell r="E1571">
            <v>2</v>
          </cell>
          <cell r="F1571">
            <v>3</v>
          </cell>
          <cell r="G1571" t="str">
            <v>00FEWC</v>
          </cell>
          <cell r="H1571" t="str">
            <v>Fleet EW</v>
          </cell>
          <cell r="I1571" t="str">
            <v>IS4</v>
          </cell>
          <cell r="J1571" t="str">
            <v>IS4 Spectrum &amp; Infrastructure Assurance</v>
          </cell>
          <cell r="K1571" t="str">
            <v>Navy</v>
          </cell>
          <cell r="L1571" t="str">
            <v>DOD</v>
          </cell>
          <cell r="M1571" t="str">
            <v>VA</v>
          </cell>
          <cell r="N1571" t="str">
            <v>CONUS</v>
          </cell>
          <cell r="O1571">
            <v>42277</v>
          </cell>
          <cell r="P1571">
            <v>43737</v>
          </cell>
          <cell r="Q1571" t="str">
            <v>Prime</v>
          </cell>
          <cell r="R1571" t="str">
            <v>CPFF</v>
          </cell>
          <cell r="S1571">
            <v>0</v>
          </cell>
          <cell r="T1571">
            <v>1</v>
          </cell>
          <cell r="U1571" t="str">
            <v>CONTRACT</v>
          </cell>
          <cell r="V1571" t="str">
            <v>Base</v>
          </cell>
          <cell r="W1571" t="str">
            <v>05 Won</v>
          </cell>
          <cell r="X1571" t="str">
            <v>Active</v>
          </cell>
          <cell r="Y1571">
            <v>1</v>
          </cell>
          <cell r="Z1571">
            <v>0</v>
          </cell>
          <cell r="AA1571">
            <v>483463.0435999966</v>
          </cell>
          <cell r="AB1571">
            <v>-0.14319999999999994</v>
          </cell>
          <cell r="AC1571">
            <v>0</v>
          </cell>
          <cell r="AD1571">
            <v>483462.90039999661</v>
          </cell>
          <cell r="AL1571">
            <v>0.27642277480330385</v>
          </cell>
          <cell r="AM1571">
            <v>0.36172049496209452</v>
          </cell>
          <cell r="AN1571">
            <v>0.3279980210009244</v>
          </cell>
          <cell r="AO1571">
            <v>0.30189090974772836</v>
          </cell>
          <cell r="AP1571">
            <v>0.31769588569513585</v>
          </cell>
          <cell r="AQ1571">
            <v>0.31769588569513585</v>
          </cell>
          <cell r="AR1571">
            <v>0.31769588569513585</v>
          </cell>
          <cell r="AS1571">
            <v>0.31769588569513585</v>
          </cell>
          <cell r="BF1571">
            <v>922254.74</v>
          </cell>
          <cell r="BG1571">
            <v>1282660.3</v>
          </cell>
          <cell r="BH1571">
            <v>1136706.7599999998</v>
          </cell>
          <cell r="BI1571">
            <v>265897.69999999995</v>
          </cell>
          <cell r="BJ1571">
            <v>268157.25000000006</v>
          </cell>
          <cell r="BK1571">
            <v>237930.12999999998</v>
          </cell>
          <cell r="BL1571">
            <v>261587.37999999995</v>
          </cell>
          <cell r="BM1571">
            <v>1033572.46</v>
          </cell>
          <cell r="BN1571">
            <v>0</v>
          </cell>
          <cell r="BO1571">
            <v>0</v>
          </cell>
          <cell r="BP1571">
            <v>0</v>
          </cell>
          <cell r="BQ1571">
            <v>0</v>
          </cell>
          <cell r="BR1571">
            <v>1033572.46</v>
          </cell>
          <cell r="BT1571">
            <v>0</v>
          </cell>
          <cell r="CA1571" t="str">
            <v>00FEWC - CONTRACT - Base</v>
          </cell>
          <cell r="CC1571" t="str">
            <v>00FEWC - CONTRACT - Base - IS4</v>
          </cell>
          <cell r="CD1571" t="str">
            <v/>
          </cell>
          <cell r="CF1571" t="str">
            <v>00FEWC - Base - IS4</v>
          </cell>
        </row>
        <row r="1572">
          <cell r="D1572">
            <v>1558</v>
          </cell>
          <cell r="E1572">
            <v>2</v>
          </cell>
          <cell r="F1572">
            <v>4</v>
          </cell>
          <cell r="G1572" t="str">
            <v>00FEWC</v>
          </cell>
          <cell r="H1572" t="str">
            <v>Fleet EW</v>
          </cell>
          <cell r="I1572" t="str">
            <v>IS4</v>
          </cell>
          <cell r="J1572" t="str">
            <v>IS4 Spectrum &amp; Infrastructure Assurance</v>
          </cell>
          <cell r="K1572" t="str">
            <v>Navy</v>
          </cell>
          <cell r="L1572" t="str">
            <v>DOD</v>
          </cell>
          <cell r="M1572" t="str">
            <v>VA</v>
          </cell>
          <cell r="N1572" t="str">
            <v>CONUS</v>
          </cell>
          <cell r="O1572">
            <v>0</v>
          </cell>
          <cell r="P1572">
            <v>0</v>
          </cell>
          <cell r="Q1572">
            <v>0</v>
          </cell>
          <cell r="R1572" t="str">
            <v>CPFF</v>
          </cell>
          <cell r="S1572">
            <v>0</v>
          </cell>
          <cell r="T1572">
            <v>1</v>
          </cell>
          <cell r="U1572" t="str">
            <v>CONTRACT</v>
          </cell>
          <cell r="V1572" t="str">
            <v>Identified - Recompete</v>
          </cell>
          <cell r="W1572">
            <v>0</v>
          </cell>
          <cell r="X1572">
            <v>0</v>
          </cell>
          <cell r="Y1572">
            <v>0</v>
          </cell>
          <cell r="Z1572">
            <v>0</v>
          </cell>
          <cell r="AA1572">
            <v>0</v>
          </cell>
          <cell r="AB1572">
            <v>0</v>
          </cell>
          <cell r="AC1572">
            <v>0</v>
          </cell>
          <cell r="AD1572">
            <v>0</v>
          </cell>
          <cell r="AP1572">
            <v>0</v>
          </cell>
          <cell r="AQ1572">
            <v>0</v>
          </cell>
          <cell r="AR1572">
            <v>0</v>
          </cell>
          <cell r="AS1572">
            <v>0</v>
          </cell>
          <cell r="BI1572">
            <v>0</v>
          </cell>
          <cell r="BJ1572">
            <v>0</v>
          </cell>
          <cell r="BK1572">
            <v>0</v>
          </cell>
          <cell r="BL1572">
            <v>0</v>
          </cell>
          <cell r="BM1572">
            <v>0</v>
          </cell>
          <cell r="BN1572">
            <v>0</v>
          </cell>
          <cell r="BO1572">
            <v>0</v>
          </cell>
          <cell r="BP1572">
            <v>0</v>
          </cell>
          <cell r="BQ1572">
            <v>0</v>
          </cell>
          <cell r="BR1572">
            <v>0</v>
          </cell>
          <cell r="BT1572">
            <v>0</v>
          </cell>
          <cell r="CA1572" t="str">
            <v>00FEWC - CONTRACT - Identified - Recompete</v>
          </cell>
          <cell r="CC1572" t="str">
            <v>00FEWC - CONTRACT - Identified - Recompete - IS4</v>
          </cell>
          <cell r="CD1572" t="str">
            <v/>
          </cell>
          <cell r="CF1572" t="str">
            <v>00FEWC - Identified - Recompete - IS4</v>
          </cell>
        </row>
        <row r="1573">
          <cell r="D1573">
            <v>1559</v>
          </cell>
          <cell r="E1573">
            <v>0</v>
          </cell>
          <cell r="F1573">
            <v>5</v>
          </cell>
          <cell r="G1573" t="str">
            <v>00FEWC</v>
          </cell>
          <cell r="H1573" t="str">
            <v>Fleet EW</v>
          </cell>
          <cell r="I1573" t="str">
            <v>IS4</v>
          </cell>
          <cell r="J1573" t="str">
            <v>IS4 Spectrum &amp; Infrastructure Assurance</v>
          </cell>
          <cell r="K1573" t="str">
            <v>Navy</v>
          </cell>
          <cell r="L1573" t="str">
            <v>DOD</v>
          </cell>
          <cell r="M1573" t="str">
            <v>VA</v>
          </cell>
          <cell r="N1573" t="str">
            <v>CONUS</v>
          </cell>
          <cell r="O1573">
            <v>42277</v>
          </cell>
          <cell r="P1573">
            <v>43737</v>
          </cell>
          <cell r="Q1573" t="str">
            <v>Prime</v>
          </cell>
          <cell r="R1573" t="str">
            <v>CPFF</v>
          </cell>
          <cell r="S1573">
            <v>0</v>
          </cell>
          <cell r="T1573">
            <v>1</v>
          </cell>
          <cell r="U1573" t="str">
            <v>EBITA</v>
          </cell>
          <cell r="V1573" t="str">
            <v>Base</v>
          </cell>
          <cell r="W1573" t="str">
            <v>05 Won</v>
          </cell>
          <cell r="X1573" t="str">
            <v>Active</v>
          </cell>
          <cell r="Y1573">
            <v>1</v>
          </cell>
          <cell r="Z1573">
            <v>0</v>
          </cell>
          <cell r="AA1573">
            <v>483463.0435999966</v>
          </cell>
          <cell r="AB1573">
            <v>-0.14319999999999994</v>
          </cell>
          <cell r="AC1573">
            <v>0</v>
          </cell>
          <cell r="AD1573">
            <v>483462.90039999661</v>
          </cell>
          <cell r="AT1573">
            <v>0.18122601791860179</v>
          </cell>
          <cell r="AU1573">
            <v>0.26118269748462747</v>
          </cell>
          <cell r="AV1573">
            <v>0.21225271492709338</v>
          </cell>
          <cell r="AW1573">
            <v>0.20059104664908983</v>
          </cell>
          <cell r="AX1573">
            <v>0.21443566470193687</v>
          </cell>
          <cell r="AY1573">
            <v>0.21443566470193687</v>
          </cell>
          <cell r="AZ1573">
            <v>0.21443566470193687</v>
          </cell>
          <cell r="BA1573">
            <v>0.21443566470193687</v>
          </cell>
          <cell r="BF1573">
            <v>604641.04</v>
          </cell>
          <cell r="BG1573">
            <v>926153.42999999993</v>
          </cell>
          <cell r="BH1573">
            <v>735580.95</v>
          </cell>
          <cell r="BI1573">
            <v>170065.02999999997</v>
          </cell>
          <cell r="BJ1573">
            <v>170411.32000000007</v>
          </cell>
          <cell r="BK1573">
            <v>152474.50999999998</v>
          </cell>
          <cell r="BL1573">
            <v>193805.09999999995</v>
          </cell>
          <cell r="BM1573">
            <v>686755.96</v>
          </cell>
          <cell r="BN1573">
            <v>0</v>
          </cell>
          <cell r="BO1573">
            <v>0</v>
          </cell>
          <cell r="BP1573">
            <v>0</v>
          </cell>
          <cell r="BQ1573">
            <v>0</v>
          </cell>
          <cell r="BR1573">
            <v>686755.96</v>
          </cell>
          <cell r="BT1573">
            <v>0</v>
          </cell>
          <cell r="CA1573" t="str">
            <v>00FEWC - EBITA - Base</v>
          </cell>
          <cell r="CC1573" t="str">
            <v>00FEWC - EBITA - Base - IS4</v>
          </cell>
          <cell r="CD1573" t="str">
            <v/>
          </cell>
          <cell r="CF1573" t="str">
            <v>00FEWC - Base - IS4</v>
          </cell>
        </row>
        <row r="1574">
          <cell r="D1574">
            <v>1560</v>
          </cell>
          <cell r="E1574">
            <v>0</v>
          </cell>
          <cell r="F1574">
            <v>0</v>
          </cell>
          <cell r="G1574" t="str">
            <v>00FEWC</v>
          </cell>
          <cell r="H1574" t="str">
            <v>Fleet EW</v>
          </cell>
          <cell r="I1574" t="str">
            <v>IS4</v>
          </cell>
          <cell r="J1574" t="str">
            <v>IS4 Spectrum &amp; Infrastructure Assurance</v>
          </cell>
          <cell r="K1574" t="str">
            <v>Navy</v>
          </cell>
          <cell r="L1574" t="str">
            <v>DOD</v>
          </cell>
          <cell r="M1574" t="str">
            <v>VA</v>
          </cell>
          <cell r="N1574" t="str">
            <v>CONUS</v>
          </cell>
          <cell r="O1574">
            <v>0</v>
          </cell>
          <cell r="P1574">
            <v>0</v>
          </cell>
          <cell r="Q1574">
            <v>0</v>
          </cell>
          <cell r="R1574" t="str">
            <v>CPFF</v>
          </cell>
          <cell r="S1574">
            <v>0</v>
          </cell>
          <cell r="T1574">
            <v>1</v>
          </cell>
          <cell r="U1574" t="str">
            <v>EBITA</v>
          </cell>
          <cell r="V1574" t="str">
            <v>Identified - Recompete</v>
          </cell>
          <cell r="W1574">
            <v>0</v>
          </cell>
          <cell r="X1574">
            <v>0</v>
          </cell>
          <cell r="Y1574">
            <v>0</v>
          </cell>
          <cell r="Z1574">
            <v>0</v>
          </cell>
          <cell r="AA1574">
            <v>0</v>
          </cell>
          <cell r="AB1574">
            <v>0</v>
          </cell>
          <cell r="AC1574">
            <v>0</v>
          </cell>
          <cell r="AD1574">
            <v>0</v>
          </cell>
          <cell r="AX1574">
            <v>0</v>
          </cell>
          <cell r="AY1574">
            <v>0</v>
          </cell>
          <cell r="AZ1574">
            <v>0</v>
          </cell>
          <cell r="BA1574">
            <v>0</v>
          </cell>
          <cell r="BI1574">
            <v>0</v>
          </cell>
          <cell r="BJ1574">
            <v>0</v>
          </cell>
          <cell r="BK1574">
            <v>0</v>
          </cell>
          <cell r="BL1574">
            <v>0</v>
          </cell>
          <cell r="BM1574">
            <v>0</v>
          </cell>
          <cell r="BN1574">
            <v>0</v>
          </cell>
          <cell r="BO1574">
            <v>0</v>
          </cell>
          <cell r="BP1574">
            <v>0</v>
          </cell>
          <cell r="BQ1574">
            <v>0</v>
          </cell>
          <cell r="BR1574">
            <v>0</v>
          </cell>
          <cell r="BT1574">
            <v>0</v>
          </cell>
          <cell r="CA1574" t="str">
            <v>00FEWC - EBITA - Identified - Recompete</v>
          </cell>
          <cell r="CC1574" t="str">
            <v>00FEWC - EBITA - Identified - Recompete - IS4</v>
          </cell>
          <cell r="CD1574" t="str">
            <v/>
          </cell>
          <cell r="CF1574" t="str">
            <v>00FEWC - Identified - Recompete - IS4</v>
          </cell>
        </row>
        <row r="1575">
          <cell r="D1575">
            <v>1561</v>
          </cell>
          <cell r="E1575">
            <v>1</v>
          </cell>
          <cell r="F1575">
            <v>1</v>
          </cell>
          <cell r="G1575" t="str">
            <v>915F35</v>
          </cell>
          <cell r="H1575" t="str">
            <v>0915.F3005 MATSS</v>
          </cell>
          <cell r="I1575" t="str">
            <v>IS4</v>
          </cell>
          <cell r="J1575" t="str">
            <v>IS4 Sustainment Engineering and Acquisition</v>
          </cell>
          <cell r="K1575" t="str">
            <v>Navy</v>
          </cell>
          <cell r="L1575" t="str">
            <v>DOD</v>
          </cell>
          <cell r="M1575" t="str">
            <v>HI</v>
          </cell>
          <cell r="N1575" t="str">
            <v>CONUS</v>
          </cell>
          <cell r="O1575">
            <v>42912</v>
          </cell>
          <cell r="P1575">
            <v>44007</v>
          </cell>
          <cell r="Q1575" t="str">
            <v>Prime</v>
          </cell>
          <cell r="R1575" t="str">
            <v>CPFF</v>
          </cell>
          <cell r="S1575">
            <v>0</v>
          </cell>
          <cell r="T1575">
            <v>1</v>
          </cell>
          <cell r="U1575" t="str">
            <v>REVTOT</v>
          </cell>
          <cell r="V1575" t="str">
            <v>Base</v>
          </cell>
          <cell r="W1575" t="str">
            <v>05 Won</v>
          </cell>
          <cell r="X1575" t="str">
            <v>Active</v>
          </cell>
          <cell r="Y1575">
            <v>1</v>
          </cell>
          <cell r="Z1575">
            <v>0</v>
          </cell>
          <cell r="AA1575">
            <v>5267454.2399999993</v>
          </cell>
          <cell r="AB1575">
            <v>6065382</v>
          </cell>
          <cell r="AC1575">
            <v>0</v>
          </cell>
          <cell r="AD1575">
            <v>11332836.239999998</v>
          </cell>
          <cell r="AE1575">
            <v>0</v>
          </cell>
          <cell r="AF1575">
            <v>1.9921720557579325</v>
          </cell>
          <cell r="AG1575">
            <v>0.11643432793091124</v>
          </cell>
          <cell r="AH1575">
            <v>-6.8773138546371571E-2</v>
          </cell>
          <cell r="AI1575">
            <v>0</v>
          </cell>
          <cell r="AJ1575">
            <v>0</v>
          </cell>
          <cell r="AK1575">
            <v>0</v>
          </cell>
          <cell r="BB1575">
            <v>2146293</v>
          </cell>
          <cell r="BC1575">
            <v>2146293</v>
          </cell>
          <cell r="BD1575">
            <v>2146293</v>
          </cell>
          <cell r="BE1575">
            <v>2146293</v>
          </cell>
          <cell r="BF1575">
            <v>0</v>
          </cell>
          <cell r="BG1575">
            <v>507875.36000000004</v>
          </cell>
          <cell r="BH1575">
            <v>1519650.4600000002</v>
          </cell>
          <cell r="BI1575">
            <v>518129.41000000003</v>
          </cell>
          <cell r="BJ1575">
            <v>387363.95000000007</v>
          </cell>
          <cell r="BK1575">
            <v>532818.58000000007</v>
          </cell>
          <cell r="BL1575">
            <v>258278</v>
          </cell>
          <cell r="BM1575">
            <v>1696589.9400000002</v>
          </cell>
          <cell r="BN1575">
            <v>1579910.125</v>
          </cell>
          <cell r="BO1575">
            <v>0</v>
          </cell>
          <cell r="BP1575">
            <v>0</v>
          </cell>
          <cell r="BQ1575">
            <v>0</v>
          </cell>
          <cell r="BR1575">
            <v>3276500.0650000004</v>
          </cell>
          <cell r="BT1575">
            <v>0</v>
          </cell>
          <cell r="CA1575" t="str">
            <v>915F35 - REVTOT - Base</v>
          </cell>
          <cell r="CC1575" t="str">
            <v>915F35 - REVTOT - Base - IS4</v>
          </cell>
          <cell r="CD1575" t="str">
            <v/>
          </cell>
          <cell r="CF1575" t="str">
            <v>915F35 - Base - IS4</v>
          </cell>
        </row>
        <row r="1576">
          <cell r="D1576">
            <v>1562</v>
          </cell>
          <cell r="E1576">
            <v>1</v>
          </cell>
          <cell r="F1576">
            <v>2</v>
          </cell>
          <cell r="G1576" t="str">
            <v>915F35</v>
          </cell>
          <cell r="H1576" t="str">
            <v>0915.F3005 MATSS</v>
          </cell>
          <cell r="I1576" t="str">
            <v>IS4</v>
          </cell>
          <cell r="J1576" t="str">
            <v>IS4 Sustainment Engineering and Acquisition</v>
          </cell>
          <cell r="K1576" t="str">
            <v>Navy</v>
          </cell>
          <cell r="L1576" t="str">
            <v>DOD</v>
          </cell>
          <cell r="M1576" t="str">
            <v>HI</v>
          </cell>
          <cell r="N1576" t="str">
            <v>CONUS</v>
          </cell>
          <cell r="O1576">
            <v>44008</v>
          </cell>
          <cell r="P1576">
            <v>45103</v>
          </cell>
          <cell r="Q1576" t="str">
            <v>Prime</v>
          </cell>
          <cell r="R1576" t="str">
            <v>CPFF</v>
          </cell>
          <cell r="S1576">
            <v>0</v>
          </cell>
          <cell r="T1576">
            <v>1</v>
          </cell>
          <cell r="U1576" t="str">
            <v>REVTOT</v>
          </cell>
          <cell r="V1576" t="str">
            <v>Identified - Recompete</v>
          </cell>
          <cell r="W1576" t="str">
            <v>02 Capture</v>
          </cell>
          <cell r="X1576" t="str">
            <v>Priority 3</v>
          </cell>
          <cell r="Y1576">
            <v>0.5</v>
          </cell>
          <cell r="Z1576">
            <v>15000000</v>
          </cell>
          <cell r="AA1576">
            <v>0</v>
          </cell>
          <cell r="AB1576">
            <v>0</v>
          </cell>
          <cell r="AC1576">
            <v>0</v>
          </cell>
          <cell r="AD1576">
            <v>0</v>
          </cell>
          <cell r="AI1576">
            <v>0</v>
          </cell>
          <cell r="AJ1576">
            <v>0</v>
          </cell>
          <cell r="AK1576">
            <v>0</v>
          </cell>
          <cell r="BB1576">
            <v>3000000</v>
          </cell>
          <cell r="BC1576">
            <v>3000000</v>
          </cell>
          <cell r="BD1576">
            <v>3000000</v>
          </cell>
          <cell r="BE1576">
            <v>3000000</v>
          </cell>
          <cell r="BI1576">
            <v>0</v>
          </cell>
          <cell r="BJ1576">
            <v>0</v>
          </cell>
          <cell r="BK1576">
            <v>0</v>
          </cell>
          <cell r="BL1576">
            <v>0</v>
          </cell>
          <cell r="BM1576">
            <v>0</v>
          </cell>
          <cell r="BN1576">
            <v>391666.66666666669</v>
          </cell>
          <cell r="BO1576">
            <v>1500000</v>
          </cell>
          <cell r="BP1576">
            <v>1500000</v>
          </cell>
          <cell r="BQ1576">
            <v>1500000</v>
          </cell>
          <cell r="BR1576">
            <v>4891666.666666667</v>
          </cell>
          <cell r="BT1576">
            <v>0</v>
          </cell>
          <cell r="CA1576" t="str">
            <v>915F35 - REVTOT - Identified - Recompete</v>
          </cell>
          <cell r="CC1576" t="str">
            <v>915F35 - REVTOT - Identified - Recompete - IS4</v>
          </cell>
          <cell r="CD1576" t="str">
            <v/>
          </cell>
          <cell r="CF1576" t="str">
            <v>915F35 - Identified - Recompete - IS4</v>
          </cell>
        </row>
        <row r="1577">
          <cell r="D1577">
            <v>1563</v>
          </cell>
          <cell r="E1577">
            <v>2</v>
          </cell>
          <cell r="F1577">
            <v>3</v>
          </cell>
          <cell r="G1577" t="str">
            <v>915F35</v>
          </cell>
          <cell r="H1577" t="str">
            <v>0915.F3005 MATSS</v>
          </cell>
          <cell r="I1577" t="str">
            <v>IS4</v>
          </cell>
          <cell r="J1577" t="str">
            <v>IS4 Sustainment Engineering and Acquisition</v>
          </cell>
          <cell r="K1577" t="str">
            <v>Navy</v>
          </cell>
          <cell r="L1577" t="str">
            <v>DOD</v>
          </cell>
          <cell r="M1577" t="str">
            <v>HI</v>
          </cell>
          <cell r="N1577" t="str">
            <v>CONUS</v>
          </cell>
          <cell r="O1577">
            <v>42912</v>
          </cell>
          <cell r="P1577">
            <v>44007</v>
          </cell>
          <cell r="Q1577" t="str">
            <v>Prime</v>
          </cell>
          <cell r="R1577" t="str">
            <v>CPFF</v>
          </cell>
          <cell r="S1577">
            <v>0</v>
          </cell>
          <cell r="T1577">
            <v>1</v>
          </cell>
          <cell r="U1577" t="str">
            <v>CONTRACT</v>
          </cell>
          <cell r="V1577" t="str">
            <v>Base</v>
          </cell>
          <cell r="W1577" t="str">
            <v>05 Won</v>
          </cell>
          <cell r="X1577" t="str">
            <v>Active</v>
          </cell>
          <cell r="Y1577">
            <v>1</v>
          </cell>
          <cell r="Z1577">
            <v>0</v>
          </cell>
          <cell r="AA1577">
            <v>5267454.2399999993</v>
          </cell>
          <cell r="AB1577">
            <v>6065382</v>
          </cell>
          <cell r="AC1577">
            <v>0</v>
          </cell>
          <cell r="AD1577">
            <v>11332836.239999998</v>
          </cell>
          <cell r="AL1577">
            <v>0</v>
          </cell>
          <cell r="AM1577">
            <v>0.18297725646701979</v>
          </cell>
          <cell r="AN1577">
            <v>0.17488751985769146</v>
          </cell>
          <cell r="AO1577">
            <v>0.17837279525540509</v>
          </cell>
          <cell r="AP1577">
            <v>0.19440272041142567</v>
          </cell>
          <cell r="AQ1577">
            <v>0.19440272041142567</v>
          </cell>
          <cell r="AR1577">
            <v>0.19440272041142567</v>
          </cell>
          <cell r="AS1577">
            <v>0.19440272041142567</v>
          </cell>
          <cell r="BF1577">
            <v>0</v>
          </cell>
          <cell r="BG1577">
            <v>92929.640000000014</v>
          </cell>
          <cell r="BH1577">
            <v>265767.90000000002</v>
          </cell>
          <cell r="BI1577">
            <v>90517.920000000042</v>
          </cell>
          <cell r="BJ1577">
            <v>69211.810000000012</v>
          </cell>
          <cell r="BK1577">
            <v>87846.760000000009</v>
          </cell>
          <cell r="BL1577">
            <v>55049</v>
          </cell>
          <cell r="BM1577">
            <v>302625.49000000005</v>
          </cell>
          <cell r="BN1577">
            <v>307138.82630555559</v>
          </cell>
          <cell r="BO1577">
            <v>0</v>
          </cell>
          <cell r="BP1577">
            <v>0</v>
          </cell>
          <cell r="BQ1577">
            <v>0</v>
          </cell>
          <cell r="BR1577">
            <v>609764.31630555564</v>
          </cell>
          <cell r="BT1577">
            <v>0</v>
          </cell>
          <cell r="CA1577" t="str">
            <v>915F35 - CONTRACT - Base</v>
          </cell>
          <cell r="CC1577" t="str">
            <v>915F35 - CONTRACT - Base - IS4</v>
          </cell>
          <cell r="CD1577" t="str">
            <v/>
          </cell>
          <cell r="CF1577" t="str">
            <v>915F35 - Base - IS4</v>
          </cell>
        </row>
        <row r="1578">
          <cell r="D1578">
            <v>1564</v>
          </cell>
          <cell r="E1578">
            <v>2</v>
          </cell>
          <cell r="F1578">
            <v>4</v>
          </cell>
          <cell r="G1578" t="str">
            <v>915F35</v>
          </cell>
          <cell r="H1578" t="str">
            <v>0915.F3005 MATSS</v>
          </cell>
          <cell r="I1578" t="str">
            <v>IS4</v>
          </cell>
          <cell r="J1578" t="str">
            <v>IS4 Sustainment Engineering and Acquisition</v>
          </cell>
          <cell r="K1578" t="str">
            <v>Navy</v>
          </cell>
          <cell r="L1578" t="str">
            <v>DOD</v>
          </cell>
          <cell r="M1578" t="str">
            <v>HI</v>
          </cell>
          <cell r="N1578" t="str">
            <v>CONUS</v>
          </cell>
          <cell r="O1578">
            <v>44008</v>
          </cell>
          <cell r="P1578">
            <v>45103</v>
          </cell>
          <cell r="Q1578" t="str">
            <v>Prime</v>
          </cell>
          <cell r="R1578" t="str">
            <v>CPFF</v>
          </cell>
          <cell r="S1578">
            <v>0</v>
          </cell>
          <cell r="T1578">
            <v>1</v>
          </cell>
          <cell r="U1578" t="str">
            <v>CONTRACT</v>
          </cell>
          <cell r="V1578" t="str">
            <v>Identified - Recompete</v>
          </cell>
          <cell r="W1578" t="str">
            <v>02 Capture</v>
          </cell>
          <cell r="X1578" t="str">
            <v>Priority 3</v>
          </cell>
          <cell r="Y1578">
            <v>0.5</v>
          </cell>
          <cell r="Z1578">
            <v>15000000</v>
          </cell>
          <cell r="AA1578">
            <v>0</v>
          </cell>
          <cell r="AB1578">
            <v>0</v>
          </cell>
          <cell r="AC1578">
            <v>0</v>
          </cell>
          <cell r="AD1578">
            <v>0</v>
          </cell>
          <cell r="AP1578">
            <v>0.19440272041142567</v>
          </cell>
          <cell r="AQ1578">
            <v>0.19440272041142567</v>
          </cell>
          <cell r="AR1578">
            <v>0.19440272041142567</v>
          </cell>
          <cell r="AS1578">
            <v>0.19440272041142567</v>
          </cell>
          <cell r="BI1578">
            <v>0</v>
          </cell>
          <cell r="BJ1578">
            <v>0</v>
          </cell>
          <cell r="BK1578">
            <v>0</v>
          </cell>
          <cell r="BL1578">
            <v>0</v>
          </cell>
          <cell r="BM1578">
            <v>0</v>
          </cell>
          <cell r="BN1578">
            <v>76141.065494475057</v>
          </cell>
          <cell r="BO1578">
            <v>291604.08061713853</v>
          </cell>
          <cell r="BP1578">
            <v>291604.08061713853</v>
          </cell>
          <cell r="BQ1578">
            <v>291604.08061713853</v>
          </cell>
          <cell r="BR1578">
            <v>950953.30734589067</v>
          </cell>
          <cell r="BT1578">
            <v>0</v>
          </cell>
          <cell r="CA1578" t="str">
            <v>915F35 - CONTRACT - Identified - Recompete</v>
          </cell>
          <cell r="CC1578" t="str">
            <v>915F35 - CONTRACT - Identified - Recompete - IS4</v>
          </cell>
          <cell r="CD1578" t="str">
            <v/>
          </cell>
          <cell r="CF1578" t="str">
            <v>915F35 - Identified - Recompete - IS4</v>
          </cell>
        </row>
        <row r="1579">
          <cell r="D1579">
            <v>1565</v>
          </cell>
          <cell r="E1579">
            <v>0</v>
          </cell>
          <cell r="F1579">
            <v>5</v>
          </cell>
          <cell r="G1579" t="str">
            <v>915F35</v>
          </cell>
          <cell r="H1579" t="str">
            <v>0915.F3005 MATSS</v>
          </cell>
          <cell r="I1579" t="str">
            <v>IS4</v>
          </cell>
          <cell r="J1579" t="str">
            <v>IS4 Sustainment Engineering and Acquisition</v>
          </cell>
          <cell r="K1579" t="str">
            <v>Navy</v>
          </cell>
          <cell r="L1579" t="str">
            <v>DOD</v>
          </cell>
          <cell r="M1579" t="str">
            <v>HI</v>
          </cell>
          <cell r="N1579" t="str">
            <v>CONUS</v>
          </cell>
          <cell r="O1579">
            <v>42912</v>
          </cell>
          <cell r="P1579">
            <v>44007</v>
          </cell>
          <cell r="Q1579" t="str">
            <v>Prime</v>
          </cell>
          <cell r="R1579" t="str">
            <v>CPFF</v>
          </cell>
          <cell r="S1579">
            <v>0</v>
          </cell>
          <cell r="T1579">
            <v>1</v>
          </cell>
          <cell r="U1579" t="str">
            <v>EBITA</v>
          </cell>
          <cell r="V1579" t="str">
            <v>Base</v>
          </cell>
          <cell r="W1579" t="str">
            <v>05 Won</v>
          </cell>
          <cell r="X1579" t="str">
            <v>Active</v>
          </cell>
          <cell r="Y1579">
            <v>1</v>
          </cell>
          <cell r="Z1579">
            <v>0</v>
          </cell>
          <cell r="AA1579">
            <v>5267454.2399999993</v>
          </cell>
          <cell r="AB1579">
            <v>6065382</v>
          </cell>
          <cell r="AC1579">
            <v>0</v>
          </cell>
          <cell r="AD1579">
            <v>11332836.239999998</v>
          </cell>
          <cell r="AT1579">
            <v>0</v>
          </cell>
          <cell r="AU1579">
            <v>2.3407908586075145E-2</v>
          </cell>
          <cell r="AV1579">
            <v>2.2719645674308574E-2</v>
          </cell>
          <cell r="AW1579">
            <v>3.12551481945013E-2</v>
          </cell>
          <cell r="AX1579">
            <v>4.2491996383317965E-2</v>
          </cell>
          <cell r="AY1579">
            <v>4.2491996383317965E-2</v>
          </cell>
          <cell r="AZ1579">
            <v>4.2491996383317965E-2</v>
          </cell>
          <cell r="BA1579">
            <v>4.2491996383317965E-2</v>
          </cell>
          <cell r="BF1579">
            <v>0</v>
          </cell>
          <cell r="BG1579">
            <v>11888.300000000007</v>
          </cell>
          <cell r="BH1579">
            <v>34525.920000000042</v>
          </cell>
          <cell r="BI1579">
            <v>15817.690000000042</v>
          </cell>
          <cell r="BJ1579">
            <v>8613.5900000000147</v>
          </cell>
          <cell r="BK1579">
            <v>15996.89000000001</v>
          </cell>
          <cell r="BL1579">
            <v>12599</v>
          </cell>
          <cell r="BM1579">
            <v>53027.170000000071</v>
          </cell>
          <cell r="BN1579">
            <v>67133.535317467438</v>
          </cell>
          <cell r="BO1579">
            <v>0</v>
          </cell>
          <cell r="BP1579">
            <v>0</v>
          </cell>
          <cell r="BQ1579">
            <v>0</v>
          </cell>
          <cell r="BR1579">
            <v>120160.70531746751</v>
          </cell>
          <cell r="BT1579">
            <v>0</v>
          </cell>
          <cell r="CA1579" t="str">
            <v>915F35 - EBITA - Base</v>
          </cell>
          <cell r="CC1579" t="str">
            <v>915F35 - EBITA - Base - IS4</v>
          </cell>
          <cell r="CD1579" t="str">
            <v/>
          </cell>
          <cell r="CF1579" t="str">
            <v>915F35 - Base - IS4</v>
          </cell>
        </row>
        <row r="1580">
          <cell r="D1580">
            <v>1566</v>
          </cell>
          <cell r="E1580">
            <v>0</v>
          </cell>
          <cell r="F1580">
            <v>0</v>
          </cell>
          <cell r="G1580" t="str">
            <v>915F35</v>
          </cell>
          <cell r="H1580" t="str">
            <v>0915.F3005 MATSS</v>
          </cell>
          <cell r="I1580" t="str">
            <v>IS4</v>
          </cell>
          <cell r="J1580" t="str">
            <v>IS4 Sustainment Engineering and Acquisition</v>
          </cell>
          <cell r="K1580" t="str">
            <v>Navy</v>
          </cell>
          <cell r="L1580" t="str">
            <v>DOD</v>
          </cell>
          <cell r="M1580" t="str">
            <v>HI</v>
          </cell>
          <cell r="N1580" t="str">
            <v>CONUS</v>
          </cell>
          <cell r="O1580">
            <v>44008</v>
          </cell>
          <cell r="P1580">
            <v>45103</v>
          </cell>
          <cell r="Q1580" t="str">
            <v>Prime</v>
          </cell>
          <cell r="R1580" t="str">
            <v>CPFF</v>
          </cell>
          <cell r="S1580">
            <v>0</v>
          </cell>
          <cell r="T1580">
            <v>1</v>
          </cell>
          <cell r="U1580" t="str">
            <v>EBITA</v>
          </cell>
          <cell r="V1580" t="str">
            <v>Identified - Recompete</v>
          </cell>
          <cell r="W1580" t="str">
            <v>02 Capture</v>
          </cell>
          <cell r="X1580" t="str">
            <v>Priority 3</v>
          </cell>
          <cell r="Y1580">
            <v>0.5</v>
          </cell>
          <cell r="Z1580">
            <v>15000000</v>
          </cell>
          <cell r="AA1580">
            <v>0</v>
          </cell>
          <cell r="AB1580">
            <v>0</v>
          </cell>
          <cell r="AC1580">
            <v>0</v>
          </cell>
          <cell r="AD1580">
            <v>0</v>
          </cell>
          <cell r="AX1580">
            <v>4.2491996383317965E-2</v>
          </cell>
          <cell r="AY1580">
            <v>4.2491996383317965E-2</v>
          </cell>
          <cell r="AZ1580">
            <v>4.2491996383317965E-2</v>
          </cell>
          <cell r="BA1580">
            <v>4.2491996383317965E-2</v>
          </cell>
          <cell r="BI1580">
            <v>0</v>
          </cell>
          <cell r="BJ1580">
            <v>0</v>
          </cell>
          <cell r="BK1580">
            <v>0</v>
          </cell>
          <cell r="BL1580">
            <v>0</v>
          </cell>
          <cell r="BM1580">
            <v>0</v>
          </cell>
          <cell r="BN1580">
            <v>16642.698583466205</v>
          </cell>
          <cell r="BO1580">
            <v>63737.994574976947</v>
          </cell>
          <cell r="BP1580">
            <v>63737.994574976947</v>
          </cell>
          <cell r="BQ1580">
            <v>63737.994574976947</v>
          </cell>
          <cell r="BR1580">
            <v>207856.68230839702</v>
          </cell>
          <cell r="BT1580">
            <v>0</v>
          </cell>
          <cell r="CA1580" t="str">
            <v>915F35 - EBITA - Identified - Recompete</v>
          </cell>
          <cell r="CC1580" t="str">
            <v>915F35 - EBITA - Identified - Recompete - IS4</v>
          </cell>
          <cell r="CD1580" t="str">
            <v/>
          </cell>
          <cell r="CF1580" t="str">
            <v>915F35 - Identified - Recompete - IS4</v>
          </cell>
        </row>
        <row r="1581">
          <cell r="D1581">
            <v>1567</v>
          </cell>
          <cell r="E1581">
            <v>1</v>
          </cell>
          <cell r="F1581">
            <v>1</v>
          </cell>
          <cell r="G1581" t="str">
            <v>915F83</v>
          </cell>
          <cell r="H1581" t="str">
            <v>MARMC STSC</v>
          </cell>
          <cell r="I1581" t="str">
            <v>IS4</v>
          </cell>
          <cell r="J1581" t="str">
            <v>IS4 Sustainment Engineering and Acquisition</v>
          </cell>
          <cell r="K1581" t="str">
            <v>Navy</v>
          </cell>
          <cell r="L1581" t="str">
            <v>DOD</v>
          </cell>
          <cell r="M1581" t="str">
            <v>CT</v>
          </cell>
          <cell r="N1581" t="str">
            <v>CONUS</v>
          </cell>
          <cell r="O1581">
            <v>43313</v>
          </cell>
          <cell r="P1581">
            <v>43646</v>
          </cell>
          <cell r="Q1581" t="str">
            <v>Prime</v>
          </cell>
          <cell r="R1581" t="str">
            <v>CPFF</v>
          </cell>
          <cell r="S1581">
            <v>0</v>
          </cell>
          <cell r="T1581">
            <v>1</v>
          </cell>
          <cell r="U1581" t="str">
            <v>REVTOT</v>
          </cell>
          <cell r="V1581" t="str">
            <v>Base</v>
          </cell>
          <cell r="W1581" t="str">
            <v>05 Won</v>
          </cell>
          <cell r="X1581" t="str">
            <v>Active</v>
          </cell>
          <cell r="Y1581">
            <v>1</v>
          </cell>
          <cell r="Z1581">
            <v>0</v>
          </cell>
          <cell r="AA1581">
            <v>652336.98999999906</v>
          </cell>
          <cell r="AB1581">
            <v>0</v>
          </cell>
          <cell r="AC1581">
            <v>0</v>
          </cell>
          <cell r="AD1581">
            <v>652336.98999999906</v>
          </cell>
          <cell r="AE1581">
            <v>0</v>
          </cell>
          <cell r="AF1581">
            <v>0</v>
          </cell>
          <cell r="AG1581">
            <v>4.122521721421549</v>
          </cell>
          <cell r="AH1581">
            <v>-1</v>
          </cell>
          <cell r="AI1581">
            <v>0</v>
          </cell>
          <cell r="AJ1581">
            <v>0</v>
          </cell>
          <cell r="AK1581">
            <v>0</v>
          </cell>
          <cell r="BB1581">
            <v>0</v>
          </cell>
          <cell r="BC1581">
            <v>0</v>
          </cell>
          <cell r="BD1581">
            <v>0</v>
          </cell>
          <cell r="BE1581">
            <v>0</v>
          </cell>
          <cell r="BF1581">
            <v>0</v>
          </cell>
          <cell r="BG1581">
            <v>0</v>
          </cell>
          <cell r="BH1581">
            <v>778680.62000000011</v>
          </cell>
          <cell r="BI1581">
            <v>1408416.5899999999</v>
          </cell>
          <cell r="BJ1581">
            <v>1384639.67</v>
          </cell>
          <cell r="BK1581">
            <v>1195752.1299999999</v>
          </cell>
          <cell r="BL1581">
            <v>0</v>
          </cell>
          <cell r="BM1581">
            <v>3988808.3899999997</v>
          </cell>
          <cell r="BN1581">
            <v>0</v>
          </cell>
          <cell r="BO1581">
            <v>0</v>
          </cell>
          <cell r="BP1581">
            <v>0</v>
          </cell>
          <cell r="BQ1581">
            <v>0</v>
          </cell>
          <cell r="BR1581">
            <v>3988808.3899999997</v>
          </cell>
          <cell r="BT1581">
            <v>0</v>
          </cell>
          <cell r="CA1581" t="str">
            <v>915F83 - REVTOT - Base</v>
          </cell>
          <cell r="CC1581" t="str">
            <v>915F83 - REVTOT - Base - IS4</v>
          </cell>
          <cell r="CD1581" t="str">
            <v/>
          </cell>
          <cell r="CF1581" t="str">
            <v>915F83 - Base - IS4</v>
          </cell>
        </row>
        <row r="1582">
          <cell r="D1582">
            <v>1568</v>
          </cell>
          <cell r="E1582">
            <v>1</v>
          </cell>
          <cell r="F1582">
            <v>2</v>
          </cell>
          <cell r="G1582" t="str">
            <v>915F83</v>
          </cell>
          <cell r="H1582" t="str">
            <v>MARMC STSC</v>
          </cell>
          <cell r="I1582" t="str">
            <v>IS4</v>
          </cell>
          <cell r="J1582" t="str">
            <v>IS4 Sustainment Engineering and Acquisition</v>
          </cell>
          <cell r="K1582" t="str">
            <v>Navy</v>
          </cell>
          <cell r="L1582" t="str">
            <v>DOD</v>
          </cell>
          <cell r="M1582" t="str">
            <v>CT</v>
          </cell>
          <cell r="N1582" t="str">
            <v>CONUS</v>
          </cell>
          <cell r="O1582">
            <v>0</v>
          </cell>
          <cell r="P1582">
            <v>0</v>
          </cell>
          <cell r="Q1582">
            <v>0</v>
          </cell>
          <cell r="R1582" t="str">
            <v>CPFF</v>
          </cell>
          <cell r="S1582">
            <v>0</v>
          </cell>
          <cell r="T1582">
            <v>1</v>
          </cell>
          <cell r="U1582" t="str">
            <v>REVTOT</v>
          </cell>
          <cell r="V1582" t="str">
            <v>Identified - Recompete</v>
          </cell>
          <cell r="W1582">
            <v>0</v>
          </cell>
          <cell r="X1582">
            <v>0</v>
          </cell>
          <cell r="Y1582">
            <v>0</v>
          </cell>
          <cell r="Z1582">
            <v>0</v>
          </cell>
          <cell r="AA1582">
            <v>0</v>
          </cell>
          <cell r="AB1582">
            <v>0</v>
          </cell>
          <cell r="AC1582">
            <v>0</v>
          </cell>
          <cell r="AD1582">
            <v>0</v>
          </cell>
          <cell r="AI1582">
            <v>0</v>
          </cell>
          <cell r="AJ1582">
            <v>0</v>
          </cell>
          <cell r="AK1582">
            <v>0</v>
          </cell>
          <cell r="BB1582">
            <v>0</v>
          </cell>
          <cell r="BC1582">
            <v>0</v>
          </cell>
          <cell r="BD1582">
            <v>0</v>
          </cell>
          <cell r="BE1582">
            <v>0</v>
          </cell>
          <cell r="BI1582">
            <v>0</v>
          </cell>
          <cell r="BJ1582">
            <v>0</v>
          </cell>
          <cell r="BK1582">
            <v>0</v>
          </cell>
          <cell r="BL1582">
            <v>0</v>
          </cell>
          <cell r="BM1582">
            <v>0</v>
          </cell>
          <cell r="BN1582">
            <v>0</v>
          </cell>
          <cell r="BO1582">
            <v>0</v>
          </cell>
          <cell r="BP1582">
            <v>0</v>
          </cell>
          <cell r="BQ1582">
            <v>0</v>
          </cell>
          <cell r="BR1582">
            <v>0</v>
          </cell>
          <cell r="BT1582">
            <v>0</v>
          </cell>
          <cell r="CA1582" t="str">
            <v>915F83 - REVTOT - Identified - Recompete</v>
          </cell>
          <cell r="CC1582" t="str">
            <v>915F83 - REVTOT - Identified - Recompete - IS4</v>
          </cell>
          <cell r="CD1582" t="str">
            <v/>
          </cell>
          <cell r="CF1582" t="str">
            <v>915F83 - Identified - Recompete - IS4</v>
          </cell>
        </row>
        <row r="1583">
          <cell r="D1583">
            <v>1569</v>
          </cell>
          <cell r="E1583">
            <v>2</v>
          </cell>
          <cell r="F1583">
            <v>3</v>
          </cell>
          <cell r="G1583" t="str">
            <v>915F83</v>
          </cell>
          <cell r="H1583" t="str">
            <v>MARMC STSC</v>
          </cell>
          <cell r="I1583" t="str">
            <v>IS4</v>
          </cell>
          <cell r="J1583" t="str">
            <v>IS4 Sustainment Engineering and Acquisition</v>
          </cell>
          <cell r="K1583" t="str">
            <v>Navy</v>
          </cell>
          <cell r="L1583" t="str">
            <v>DOD</v>
          </cell>
          <cell r="M1583" t="str">
            <v>CT</v>
          </cell>
          <cell r="N1583" t="str">
            <v>CONUS</v>
          </cell>
          <cell r="O1583">
            <v>43313</v>
          </cell>
          <cell r="P1583">
            <v>43646</v>
          </cell>
          <cell r="Q1583" t="str">
            <v>Prime</v>
          </cell>
          <cell r="R1583" t="str">
            <v>CPFF</v>
          </cell>
          <cell r="S1583">
            <v>0</v>
          </cell>
          <cell r="T1583">
            <v>1</v>
          </cell>
          <cell r="U1583" t="str">
            <v>CONTRACT</v>
          </cell>
          <cell r="V1583" t="str">
            <v>Base</v>
          </cell>
          <cell r="W1583" t="str">
            <v>05 Won</v>
          </cell>
          <cell r="X1583" t="str">
            <v>Active</v>
          </cell>
          <cell r="Y1583">
            <v>1</v>
          </cell>
          <cell r="Z1583">
            <v>0</v>
          </cell>
          <cell r="AA1583">
            <v>652336.98999999906</v>
          </cell>
          <cell r="AB1583">
            <v>0</v>
          </cell>
          <cell r="AC1583">
            <v>0</v>
          </cell>
          <cell r="AD1583">
            <v>652336.98999999906</v>
          </cell>
          <cell r="AL1583">
            <v>0</v>
          </cell>
          <cell r="AM1583">
            <v>0</v>
          </cell>
          <cell r="AN1583">
            <v>0.10380075980316567</v>
          </cell>
          <cell r="AO1583">
            <v>0.12294079134746305</v>
          </cell>
          <cell r="AP1583">
            <v>0.11981462333774738</v>
          </cell>
          <cell r="AQ1583">
            <v>0.11981462333774738</v>
          </cell>
          <cell r="AR1583">
            <v>0.11981462333774738</v>
          </cell>
          <cell r="AS1583">
            <v>0.11981462333774738</v>
          </cell>
          <cell r="BF1583">
            <v>0</v>
          </cell>
          <cell r="BG1583">
            <v>0</v>
          </cell>
          <cell r="BH1583">
            <v>80827.64000000013</v>
          </cell>
          <cell r="BI1583">
            <v>179558.53999999998</v>
          </cell>
          <cell r="BJ1583">
            <v>178288.71000000008</v>
          </cell>
          <cell r="BK1583">
            <v>132540.00999999995</v>
          </cell>
          <cell r="BL1583">
            <v>0</v>
          </cell>
          <cell r="BM1583">
            <v>490387.26</v>
          </cell>
          <cell r="BN1583">
            <v>0</v>
          </cell>
          <cell r="BO1583">
            <v>0</v>
          </cell>
          <cell r="BP1583">
            <v>0</v>
          </cell>
          <cell r="BQ1583">
            <v>0</v>
          </cell>
          <cell r="BR1583">
            <v>490387.26</v>
          </cell>
          <cell r="BT1583">
            <v>0</v>
          </cell>
          <cell r="CA1583" t="str">
            <v>915F83 - CONTRACT - Base</v>
          </cell>
          <cell r="CC1583" t="str">
            <v>915F83 - CONTRACT - Base - IS4</v>
          </cell>
          <cell r="CD1583" t="str">
            <v/>
          </cell>
          <cell r="CF1583" t="str">
            <v>915F83 - Base - IS4</v>
          </cell>
        </row>
        <row r="1584">
          <cell r="D1584">
            <v>1570</v>
          </cell>
          <cell r="E1584">
            <v>2</v>
          </cell>
          <cell r="F1584">
            <v>4</v>
          </cell>
          <cell r="G1584" t="str">
            <v>915F83</v>
          </cell>
          <cell r="H1584" t="str">
            <v>MARMC STSC</v>
          </cell>
          <cell r="I1584" t="str">
            <v>IS4</v>
          </cell>
          <cell r="J1584" t="str">
            <v>IS4 Sustainment Engineering and Acquisition</v>
          </cell>
          <cell r="K1584" t="str">
            <v>Navy</v>
          </cell>
          <cell r="L1584" t="str">
            <v>DOD</v>
          </cell>
          <cell r="M1584" t="str">
            <v>CT</v>
          </cell>
          <cell r="N1584" t="str">
            <v>CONUS</v>
          </cell>
          <cell r="O1584">
            <v>0</v>
          </cell>
          <cell r="P1584">
            <v>0</v>
          </cell>
          <cell r="Q1584">
            <v>0</v>
          </cell>
          <cell r="R1584" t="str">
            <v>CPFF</v>
          </cell>
          <cell r="S1584">
            <v>0</v>
          </cell>
          <cell r="T1584">
            <v>1</v>
          </cell>
          <cell r="U1584" t="str">
            <v>CONTRACT</v>
          </cell>
          <cell r="V1584" t="str">
            <v>Identified - Recompete</v>
          </cell>
          <cell r="W1584">
            <v>0</v>
          </cell>
          <cell r="X1584">
            <v>0</v>
          </cell>
          <cell r="Y1584">
            <v>0</v>
          </cell>
          <cell r="Z1584">
            <v>0</v>
          </cell>
          <cell r="AA1584">
            <v>0</v>
          </cell>
          <cell r="AB1584">
            <v>0</v>
          </cell>
          <cell r="AC1584">
            <v>0</v>
          </cell>
          <cell r="AD1584">
            <v>0</v>
          </cell>
          <cell r="AP1584">
            <v>0</v>
          </cell>
          <cell r="AQ1584">
            <v>0</v>
          </cell>
          <cell r="AR1584">
            <v>0</v>
          </cell>
          <cell r="AS1584">
            <v>0</v>
          </cell>
          <cell r="BI1584">
            <v>0</v>
          </cell>
          <cell r="BJ1584">
            <v>0</v>
          </cell>
          <cell r="BK1584">
            <v>0</v>
          </cell>
          <cell r="BL1584">
            <v>0</v>
          </cell>
          <cell r="BM1584">
            <v>0</v>
          </cell>
          <cell r="BN1584">
            <v>0</v>
          </cell>
          <cell r="BO1584">
            <v>0</v>
          </cell>
          <cell r="BP1584">
            <v>0</v>
          </cell>
          <cell r="BQ1584">
            <v>0</v>
          </cell>
          <cell r="BR1584">
            <v>0</v>
          </cell>
          <cell r="BT1584">
            <v>0</v>
          </cell>
          <cell r="CA1584" t="str">
            <v>915F83 - CONTRACT - Identified - Recompete</v>
          </cell>
          <cell r="CC1584" t="str">
            <v>915F83 - CONTRACT - Identified - Recompete - IS4</v>
          </cell>
          <cell r="CD1584" t="str">
            <v/>
          </cell>
          <cell r="CF1584" t="str">
            <v>915F83 - Identified - Recompete - IS4</v>
          </cell>
        </row>
        <row r="1585">
          <cell r="D1585">
            <v>1571</v>
          </cell>
          <cell r="E1585">
            <v>0</v>
          </cell>
          <cell r="F1585">
            <v>5</v>
          </cell>
          <cell r="G1585" t="str">
            <v>915F83</v>
          </cell>
          <cell r="H1585" t="str">
            <v>MARMC STSC</v>
          </cell>
          <cell r="I1585" t="str">
            <v>IS4</v>
          </cell>
          <cell r="J1585" t="str">
            <v>IS4 Sustainment Engineering and Acquisition</v>
          </cell>
          <cell r="K1585" t="str">
            <v>Navy</v>
          </cell>
          <cell r="L1585" t="str">
            <v>DOD</v>
          </cell>
          <cell r="M1585" t="str">
            <v>CT</v>
          </cell>
          <cell r="N1585" t="str">
            <v>CONUS</v>
          </cell>
          <cell r="O1585">
            <v>43313</v>
          </cell>
          <cell r="P1585">
            <v>43646</v>
          </cell>
          <cell r="Q1585" t="str">
            <v>Prime</v>
          </cell>
          <cell r="R1585" t="str">
            <v>CPFF</v>
          </cell>
          <cell r="S1585">
            <v>0</v>
          </cell>
          <cell r="T1585">
            <v>1</v>
          </cell>
          <cell r="U1585" t="str">
            <v>EBITA</v>
          </cell>
          <cell r="V1585" t="str">
            <v>Base</v>
          </cell>
          <cell r="W1585" t="str">
            <v>05 Won</v>
          </cell>
          <cell r="X1585" t="str">
            <v>Active</v>
          </cell>
          <cell r="Y1585">
            <v>1</v>
          </cell>
          <cell r="Z1585">
            <v>0</v>
          </cell>
          <cell r="AA1585">
            <v>652336.98999999906</v>
          </cell>
          <cell r="AB1585">
            <v>0</v>
          </cell>
          <cell r="AC1585">
            <v>0</v>
          </cell>
          <cell r="AD1585">
            <v>652336.98999999906</v>
          </cell>
          <cell r="AT1585">
            <v>0</v>
          </cell>
          <cell r="AU1585">
            <v>0</v>
          </cell>
          <cell r="AV1585">
            <v>3.6053523458693663E-2</v>
          </cell>
          <cell r="AW1585">
            <v>3.5422985058452511E-2</v>
          </cell>
          <cell r="AX1585">
            <v>3.5525971773556361E-2</v>
          </cell>
          <cell r="AY1585">
            <v>3.5525971773556361E-2</v>
          </cell>
          <cell r="AZ1585">
            <v>3.5525971773556361E-2</v>
          </cell>
          <cell r="BA1585">
            <v>3.5525971773556361E-2</v>
          </cell>
          <cell r="BF1585">
            <v>0</v>
          </cell>
          <cell r="BG1585">
            <v>0</v>
          </cell>
          <cell r="BH1585">
            <v>28074.180000000131</v>
          </cell>
          <cell r="BI1585">
            <v>56302.069999999978</v>
          </cell>
          <cell r="BJ1585">
            <v>53832.910000000084</v>
          </cell>
          <cell r="BK1585">
            <v>31160.519999999946</v>
          </cell>
          <cell r="BL1585">
            <v>0</v>
          </cell>
          <cell r="BM1585">
            <v>141295.5</v>
          </cell>
          <cell r="BN1585">
            <v>0</v>
          </cell>
          <cell r="BO1585">
            <v>0</v>
          </cell>
          <cell r="BP1585">
            <v>0</v>
          </cell>
          <cell r="BQ1585">
            <v>0</v>
          </cell>
          <cell r="BR1585">
            <v>141295.5</v>
          </cell>
          <cell r="BT1585">
            <v>0</v>
          </cell>
          <cell r="CA1585" t="str">
            <v>915F83 - EBITA - Base</v>
          </cell>
          <cell r="CC1585" t="str">
            <v>915F83 - EBITA - Base - IS4</v>
          </cell>
          <cell r="CD1585" t="str">
            <v/>
          </cell>
          <cell r="CF1585" t="str">
            <v>915F83 - Base - IS4</v>
          </cell>
        </row>
        <row r="1586">
          <cell r="D1586">
            <v>1572</v>
          </cell>
          <cell r="E1586">
            <v>0</v>
          </cell>
          <cell r="F1586">
            <v>0</v>
          </cell>
          <cell r="G1586" t="str">
            <v>915F83</v>
          </cell>
          <cell r="H1586" t="str">
            <v>MARMC STSC</v>
          </cell>
          <cell r="I1586" t="str">
            <v>IS4</v>
          </cell>
          <cell r="J1586" t="str">
            <v>IS4 Sustainment Engineering and Acquisition</v>
          </cell>
          <cell r="K1586" t="str">
            <v>Navy</v>
          </cell>
          <cell r="L1586" t="str">
            <v>DOD</v>
          </cell>
          <cell r="M1586" t="str">
            <v>CT</v>
          </cell>
          <cell r="N1586" t="str">
            <v>CONUS</v>
          </cell>
          <cell r="O1586">
            <v>0</v>
          </cell>
          <cell r="P1586">
            <v>0</v>
          </cell>
          <cell r="Q1586">
            <v>0</v>
          </cell>
          <cell r="R1586" t="str">
            <v>CPFF</v>
          </cell>
          <cell r="S1586">
            <v>0</v>
          </cell>
          <cell r="T1586">
            <v>1</v>
          </cell>
          <cell r="U1586" t="str">
            <v>EBITA</v>
          </cell>
          <cell r="V1586" t="str">
            <v>Identified - Recompete</v>
          </cell>
          <cell r="W1586">
            <v>0</v>
          </cell>
          <cell r="X1586">
            <v>0</v>
          </cell>
          <cell r="Y1586">
            <v>0</v>
          </cell>
          <cell r="Z1586">
            <v>0</v>
          </cell>
          <cell r="AA1586">
            <v>0</v>
          </cell>
          <cell r="AB1586">
            <v>0</v>
          </cell>
          <cell r="AC1586">
            <v>0</v>
          </cell>
          <cell r="AD1586">
            <v>0</v>
          </cell>
          <cell r="AX1586">
            <v>0</v>
          </cell>
          <cell r="AY1586">
            <v>0</v>
          </cell>
          <cell r="AZ1586">
            <v>0</v>
          </cell>
          <cell r="BA1586">
            <v>0</v>
          </cell>
          <cell r="BI1586">
            <v>0</v>
          </cell>
          <cell r="BJ1586">
            <v>0</v>
          </cell>
          <cell r="BK1586">
            <v>0</v>
          </cell>
          <cell r="BL1586">
            <v>0</v>
          </cell>
          <cell r="BM1586">
            <v>0</v>
          </cell>
          <cell r="BN1586">
            <v>0</v>
          </cell>
          <cell r="BO1586">
            <v>0</v>
          </cell>
          <cell r="BP1586">
            <v>0</v>
          </cell>
          <cell r="BQ1586">
            <v>0</v>
          </cell>
          <cell r="BR1586">
            <v>0</v>
          </cell>
          <cell r="BT1586">
            <v>0</v>
          </cell>
          <cell r="CA1586" t="str">
            <v>915F83 - EBITA - Identified - Recompete</v>
          </cell>
          <cell r="CC1586" t="str">
            <v>915F83 - EBITA - Identified - Recompete - IS4</v>
          </cell>
          <cell r="CD1586" t="str">
            <v/>
          </cell>
          <cell r="CF1586" t="str">
            <v>915F83 - Identified - Recompete - IS4</v>
          </cell>
        </row>
        <row r="1587">
          <cell r="D1587">
            <v>1573</v>
          </cell>
          <cell r="E1587">
            <v>1</v>
          </cell>
          <cell r="F1587">
            <v>1</v>
          </cell>
          <cell r="G1587" t="str">
            <v>DSOEMS</v>
          </cell>
          <cell r="H1587" t="str">
            <v>DSO EMS Services</v>
          </cell>
          <cell r="I1587" t="str">
            <v>IS4</v>
          </cell>
          <cell r="J1587" t="str">
            <v>IS4 Spectrum &amp; Infrastructure Assurance</v>
          </cell>
          <cell r="K1587" t="str">
            <v>DISA</v>
          </cell>
          <cell r="L1587" t="str">
            <v>DOD</v>
          </cell>
          <cell r="M1587" t="str">
            <v>VA</v>
          </cell>
          <cell r="N1587" t="str">
            <v>CONUS</v>
          </cell>
          <cell r="O1587">
            <v>42522</v>
          </cell>
          <cell r="P1587">
            <v>44347</v>
          </cell>
          <cell r="Q1587" t="str">
            <v>Prime</v>
          </cell>
          <cell r="R1587" t="str">
            <v>CPFF</v>
          </cell>
          <cell r="S1587">
            <v>0</v>
          </cell>
          <cell r="T1587">
            <v>1</v>
          </cell>
          <cell r="U1587" t="str">
            <v>REVTOT</v>
          </cell>
          <cell r="V1587" t="str">
            <v>Base</v>
          </cell>
          <cell r="W1587" t="str">
            <v>05 Won</v>
          </cell>
          <cell r="X1587" t="str">
            <v>Active</v>
          </cell>
          <cell r="Y1587">
            <v>1</v>
          </cell>
          <cell r="Z1587">
            <v>0</v>
          </cell>
          <cell r="AA1587">
            <v>976203.98000000138</v>
          </cell>
          <cell r="AB1587">
            <v>0</v>
          </cell>
          <cell r="AC1587">
            <v>0</v>
          </cell>
          <cell r="AD1587">
            <v>976203.98000000138</v>
          </cell>
          <cell r="AE1587">
            <v>68.721369824583576</v>
          </cell>
          <cell r="AF1587">
            <v>4.0564816240908463E-2</v>
          </cell>
          <cell r="AG1587">
            <v>-5.1462581141209718E-2</v>
          </cell>
          <cell r="AH1587">
            <v>-0.43948501779188487</v>
          </cell>
          <cell r="AI1587">
            <v>0</v>
          </cell>
          <cell r="AJ1587">
            <v>0</v>
          </cell>
          <cell r="AK1587">
            <v>0</v>
          </cell>
          <cell r="BB1587">
            <v>1798802</v>
          </cell>
          <cell r="BC1587">
            <v>1798802</v>
          </cell>
          <cell r="BD1587">
            <v>1798802</v>
          </cell>
          <cell r="BE1587">
            <v>1798802</v>
          </cell>
          <cell r="BF1587">
            <v>25308.35</v>
          </cell>
          <cell r="BG1587">
            <v>1764532.8299999996</v>
          </cell>
          <cell r="BH1587">
            <v>1836110.7799999998</v>
          </cell>
          <cell r="BI1587">
            <v>367592.67000000004</v>
          </cell>
          <cell r="BJ1587">
            <v>417073.51</v>
          </cell>
          <cell r="BK1587">
            <v>481679.60000000003</v>
          </cell>
          <cell r="BL1587">
            <v>475274</v>
          </cell>
          <cell r="BM1587">
            <v>1741619.78</v>
          </cell>
          <cell r="BN1587">
            <v>976203.98000000138</v>
          </cell>
          <cell r="BO1587">
            <v>0</v>
          </cell>
          <cell r="BP1587">
            <v>0</v>
          </cell>
          <cell r="BQ1587">
            <v>0</v>
          </cell>
          <cell r="BR1587">
            <v>2717823.7600000016</v>
          </cell>
          <cell r="BT1587">
            <v>0</v>
          </cell>
          <cell r="CA1587" t="str">
            <v>DSOEMS - REVTOT - Base</v>
          </cell>
          <cell r="CC1587" t="str">
            <v>DSOEMS - REVTOT - Base - IS4</v>
          </cell>
          <cell r="CD1587" t="str">
            <v/>
          </cell>
          <cell r="CF1587" t="str">
            <v>DSOEMS - Base - IS4</v>
          </cell>
        </row>
        <row r="1588">
          <cell r="D1588">
            <v>1574</v>
          </cell>
          <cell r="E1588">
            <v>1</v>
          </cell>
          <cell r="F1588">
            <v>2</v>
          </cell>
          <cell r="G1588" t="str">
            <v>DSOEMS</v>
          </cell>
          <cell r="H1588" t="str">
            <v>DSO EMS Services</v>
          </cell>
          <cell r="I1588" t="str">
            <v>IS4</v>
          </cell>
          <cell r="J1588" t="str">
            <v>IS4 Spectrum &amp; Infrastructure Assurance</v>
          </cell>
          <cell r="K1588" t="str">
            <v>DISA</v>
          </cell>
          <cell r="L1588" t="str">
            <v>DOD</v>
          </cell>
          <cell r="M1588" t="str">
            <v>VA</v>
          </cell>
          <cell r="N1588" t="str">
            <v>CONUS</v>
          </cell>
          <cell r="O1588">
            <v>43731</v>
          </cell>
          <cell r="P1588">
            <v>44827</v>
          </cell>
          <cell r="Q1588">
            <v>0</v>
          </cell>
          <cell r="R1588" t="str">
            <v>CPFF</v>
          </cell>
          <cell r="S1588">
            <v>0</v>
          </cell>
          <cell r="T1588">
            <v>1</v>
          </cell>
          <cell r="U1588" t="str">
            <v>REVTOT</v>
          </cell>
          <cell r="V1588" t="str">
            <v>Identified - Recompete</v>
          </cell>
          <cell r="W1588">
            <v>0</v>
          </cell>
          <cell r="X1588" t="str">
            <v>Priority 3</v>
          </cell>
          <cell r="Y1588">
            <v>0.5</v>
          </cell>
          <cell r="Z1588">
            <v>6000000</v>
          </cell>
          <cell r="AA1588">
            <v>0</v>
          </cell>
          <cell r="AB1588">
            <v>0</v>
          </cell>
          <cell r="AC1588">
            <v>0</v>
          </cell>
          <cell r="AD1588">
            <v>0</v>
          </cell>
          <cell r="AI1588">
            <v>0</v>
          </cell>
          <cell r="AJ1588">
            <v>0</v>
          </cell>
          <cell r="AK1588">
            <v>0</v>
          </cell>
          <cell r="BB1588">
            <v>2000000</v>
          </cell>
          <cell r="BC1588">
            <v>2000000</v>
          </cell>
          <cell r="BD1588">
            <v>2000000</v>
          </cell>
          <cell r="BE1588">
            <v>2000000</v>
          </cell>
          <cell r="BI1588">
            <v>0</v>
          </cell>
          <cell r="BJ1588">
            <v>0</v>
          </cell>
          <cell r="BK1588">
            <v>0</v>
          </cell>
          <cell r="BL1588">
            <v>0</v>
          </cell>
          <cell r="BM1588">
            <v>0</v>
          </cell>
          <cell r="BN1588">
            <v>1000000</v>
          </cell>
          <cell r="BO1588">
            <v>1000000</v>
          </cell>
          <cell r="BP1588">
            <v>1000000</v>
          </cell>
          <cell r="BQ1588">
            <v>0</v>
          </cell>
          <cell r="BR1588">
            <v>3000000</v>
          </cell>
          <cell r="BT1588">
            <v>0</v>
          </cell>
          <cell r="CA1588" t="str">
            <v>DSOEMS - REVTOT - Identified - Recompete</v>
          </cell>
          <cell r="CC1588" t="str">
            <v>DSOEMS - REVTOT - Identified - Recompete - IS4</v>
          </cell>
          <cell r="CD1588" t="str">
            <v/>
          </cell>
          <cell r="CF1588" t="str">
            <v>DSOEMS - Identified - Recompete - IS4</v>
          </cell>
        </row>
        <row r="1589">
          <cell r="D1589">
            <v>1575</v>
          </cell>
          <cell r="E1589">
            <v>2</v>
          </cell>
          <cell r="F1589">
            <v>3</v>
          </cell>
          <cell r="G1589" t="str">
            <v>DSOEMS</v>
          </cell>
          <cell r="H1589" t="str">
            <v>DSO EMS Services</v>
          </cell>
          <cell r="I1589" t="str">
            <v>IS4</v>
          </cell>
          <cell r="J1589" t="str">
            <v>IS4 Spectrum &amp; Infrastructure Assurance</v>
          </cell>
          <cell r="K1589" t="str">
            <v>DISA</v>
          </cell>
          <cell r="L1589" t="str">
            <v>DOD</v>
          </cell>
          <cell r="M1589" t="str">
            <v>VA</v>
          </cell>
          <cell r="N1589" t="str">
            <v>CONUS</v>
          </cell>
          <cell r="O1589">
            <v>42522</v>
          </cell>
          <cell r="P1589">
            <v>44347</v>
          </cell>
          <cell r="Q1589" t="str">
            <v>Prime</v>
          </cell>
          <cell r="R1589" t="str">
            <v>CPFF</v>
          </cell>
          <cell r="S1589">
            <v>0</v>
          </cell>
          <cell r="T1589">
            <v>1</v>
          </cell>
          <cell r="U1589" t="str">
            <v>CONTRACT</v>
          </cell>
          <cell r="V1589" t="str">
            <v>Base</v>
          </cell>
          <cell r="W1589" t="str">
            <v>05 Won</v>
          </cell>
          <cell r="X1589" t="str">
            <v>Active</v>
          </cell>
          <cell r="Y1589">
            <v>1</v>
          </cell>
          <cell r="Z1589">
            <v>0</v>
          </cell>
          <cell r="AA1589">
            <v>976203.98000000138</v>
          </cell>
          <cell r="AB1589">
            <v>0</v>
          </cell>
          <cell r="AC1589">
            <v>0</v>
          </cell>
          <cell r="AD1589">
            <v>976203.98000000138</v>
          </cell>
          <cell r="AL1589">
            <v>0.21177042359537457</v>
          </cell>
          <cell r="AM1589">
            <v>0.15146588119870805</v>
          </cell>
          <cell r="AN1589">
            <v>0.15613271438883441</v>
          </cell>
          <cell r="AO1589">
            <v>0.14261127649801961</v>
          </cell>
          <cell r="AP1589">
            <v>0.15461803709746816</v>
          </cell>
          <cell r="AQ1589">
            <v>0.15461803709746816</v>
          </cell>
          <cell r="AR1589">
            <v>0.15461803709746816</v>
          </cell>
          <cell r="AS1589">
            <v>0.15461803709746816</v>
          </cell>
          <cell r="BF1589">
            <v>5359.5599999999977</v>
          </cell>
          <cell r="BG1589">
            <v>267266.52</v>
          </cell>
          <cell r="BH1589">
            <v>286676.95999999996</v>
          </cell>
          <cell r="BI1589">
            <v>56238.85000000002</v>
          </cell>
          <cell r="BJ1589">
            <v>60100.490000000034</v>
          </cell>
          <cell r="BK1589">
            <v>63619.280000000028</v>
          </cell>
          <cell r="BL1589">
            <v>68416</v>
          </cell>
          <cell r="BM1589">
            <v>248374.62000000008</v>
          </cell>
          <cell r="BN1589">
            <v>150938.74319433628</v>
          </cell>
          <cell r="BO1589">
            <v>0</v>
          </cell>
          <cell r="BP1589">
            <v>0</v>
          </cell>
          <cell r="BQ1589">
            <v>0</v>
          </cell>
          <cell r="BR1589">
            <v>399313.36319433636</v>
          </cell>
          <cell r="BT1589">
            <v>0</v>
          </cell>
          <cell r="CA1589" t="str">
            <v>DSOEMS - CONTRACT - Base</v>
          </cell>
          <cell r="CC1589" t="str">
            <v>DSOEMS - CONTRACT - Base - IS4</v>
          </cell>
          <cell r="CD1589" t="str">
            <v/>
          </cell>
          <cell r="CF1589" t="str">
            <v>DSOEMS - Base - IS4</v>
          </cell>
        </row>
        <row r="1590">
          <cell r="D1590">
            <v>1576</v>
          </cell>
          <cell r="E1590">
            <v>2</v>
          </cell>
          <cell r="F1590">
            <v>4</v>
          </cell>
          <cell r="G1590" t="str">
            <v>DSOEMS</v>
          </cell>
          <cell r="H1590" t="str">
            <v>DSO EMS Services</v>
          </cell>
          <cell r="I1590" t="str">
            <v>IS4</v>
          </cell>
          <cell r="J1590" t="str">
            <v>IS4 Spectrum &amp; Infrastructure Assurance</v>
          </cell>
          <cell r="K1590" t="str">
            <v>DISA</v>
          </cell>
          <cell r="L1590" t="str">
            <v>DOD</v>
          </cell>
          <cell r="M1590" t="str">
            <v>VA</v>
          </cell>
          <cell r="N1590" t="str">
            <v>CONUS</v>
          </cell>
          <cell r="O1590">
            <v>43731</v>
          </cell>
          <cell r="P1590">
            <v>44827</v>
          </cell>
          <cell r="Q1590">
            <v>0</v>
          </cell>
          <cell r="R1590" t="str">
            <v>CPFF</v>
          </cell>
          <cell r="S1590">
            <v>0</v>
          </cell>
          <cell r="T1590">
            <v>1</v>
          </cell>
          <cell r="U1590" t="str">
            <v>CONTRACT</v>
          </cell>
          <cell r="V1590" t="str">
            <v>Identified - Recompete</v>
          </cell>
          <cell r="W1590">
            <v>0</v>
          </cell>
          <cell r="X1590" t="str">
            <v>Priority 3</v>
          </cell>
          <cell r="Y1590">
            <v>0.5</v>
          </cell>
          <cell r="Z1590">
            <v>6000000</v>
          </cell>
          <cell r="AA1590">
            <v>0</v>
          </cell>
          <cell r="AB1590">
            <v>0</v>
          </cell>
          <cell r="AC1590">
            <v>0</v>
          </cell>
          <cell r="AD1590">
            <v>0</v>
          </cell>
          <cell r="AP1590">
            <v>0.15461803709746816</v>
          </cell>
          <cell r="AQ1590">
            <v>0.15461803709746816</v>
          </cell>
          <cell r="AR1590">
            <v>0.15461803709746816</v>
          </cell>
          <cell r="AS1590">
            <v>0.15461803709746816</v>
          </cell>
          <cell r="BI1590">
            <v>0</v>
          </cell>
          <cell r="BJ1590">
            <v>0</v>
          </cell>
          <cell r="BK1590">
            <v>0</v>
          </cell>
          <cell r="BL1590">
            <v>0</v>
          </cell>
          <cell r="BM1590">
            <v>0</v>
          </cell>
          <cell r="BN1590">
            <v>154618.03709746816</v>
          </cell>
          <cell r="BO1590">
            <v>154618.03709746816</v>
          </cell>
          <cell r="BP1590">
            <v>154618.03709746816</v>
          </cell>
          <cell r="BQ1590">
            <v>0</v>
          </cell>
          <cell r="BR1590">
            <v>463854.11129240447</v>
          </cell>
          <cell r="BT1590">
            <v>0</v>
          </cell>
          <cell r="CA1590" t="str">
            <v>DSOEMS - CONTRACT - Identified - Recompete</v>
          </cell>
          <cell r="CC1590" t="str">
            <v>DSOEMS - CONTRACT - Identified - Recompete - IS4</v>
          </cell>
          <cell r="CD1590" t="str">
            <v/>
          </cell>
          <cell r="CF1590" t="str">
            <v>DSOEMS - Identified - Recompete - IS4</v>
          </cell>
        </row>
        <row r="1591">
          <cell r="D1591">
            <v>1577</v>
          </cell>
          <cell r="E1591">
            <v>0</v>
          </cell>
          <cell r="F1591">
            <v>5</v>
          </cell>
          <cell r="G1591" t="str">
            <v>DSOEMS</v>
          </cell>
          <cell r="H1591" t="str">
            <v>DSO EMS Services</v>
          </cell>
          <cell r="I1591" t="str">
            <v>IS4</v>
          </cell>
          <cell r="J1591" t="str">
            <v>IS4 Spectrum &amp; Infrastructure Assurance</v>
          </cell>
          <cell r="K1591" t="str">
            <v>DISA</v>
          </cell>
          <cell r="L1591" t="str">
            <v>DOD</v>
          </cell>
          <cell r="M1591" t="str">
            <v>VA</v>
          </cell>
          <cell r="N1591" t="str">
            <v>CONUS</v>
          </cell>
          <cell r="O1591">
            <v>42522</v>
          </cell>
          <cell r="P1591">
            <v>44347</v>
          </cell>
          <cell r="Q1591" t="str">
            <v>Prime</v>
          </cell>
          <cell r="R1591" t="str">
            <v>CPFF</v>
          </cell>
          <cell r="S1591">
            <v>0</v>
          </cell>
          <cell r="T1591">
            <v>1</v>
          </cell>
          <cell r="U1591" t="str">
            <v>EBITA</v>
          </cell>
          <cell r="V1591" t="str">
            <v>Base</v>
          </cell>
          <cell r="W1591" t="str">
            <v>05 Won</v>
          </cell>
          <cell r="X1591" t="str">
            <v>Active</v>
          </cell>
          <cell r="Y1591">
            <v>1</v>
          </cell>
          <cell r="Z1591">
            <v>0</v>
          </cell>
          <cell r="AA1591">
            <v>976203.98000000138</v>
          </cell>
          <cell r="AB1591">
            <v>0</v>
          </cell>
          <cell r="AC1591">
            <v>0</v>
          </cell>
          <cell r="AD1591">
            <v>976203.98000000138</v>
          </cell>
          <cell r="AT1591">
            <v>3.8810511155409094E-2</v>
          </cell>
          <cell r="AU1591">
            <v>4.2566207169973724E-2</v>
          </cell>
          <cell r="AV1591">
            <v>5.4203483299629672E-2</v>
          </cell>
          <cell r="AW1591">
            <v>3.9090351856247339E-2</v>
          </cell>
          <cell r="AX1591">
            <v>5.026955717304743E-2</v>
          </cell>
          <cell r="AY1591">
            <v>5.026955717304743E-2</v>
          </cell>
          <cell r="AZ1591">
            <v>5.026955717304743E-2</v>
          </cell>
          <cell r="BA1591">
            <v>5.026955717304743E-2</v>
          </cell>
          <cell r="BF1591">
            <v>982.22999999999774</v>
          </cell>
          <cell r="BG1591">
            <v>75109.470000000016</v>
          </cell>
          <cell r="BH1591">
            <v>99523.6</v>
          </cell>
          <cell r="BI1591">
            <v>16707.140000000018</v>
          </cell>
          <cell r="BJ1591">
            <v>16611.110000000037</v>
          </cell>
          <cell r="BK1591">
            <v>13089.280000000028</v>
          </cell>
          <cell r="BL1591">
            <v>21673</v>
          </cell>
          <cell r="BM1591">
            <v>68080.530000000086</v>
          </cell>
          <cell r="BN1591">
            <v>49073.341785166522</v>
          </cell>
          <cell r="BO1591">
            <v>0</v>
          </cell>
          <cell r="BP1591">
            <v>0</v>
          </cell>
          <cell r="BQ1591">
            <v>0</v>
          </cell>
          <cell r="BR1591">
            <v>117153.87178516662</v>
          </cell>
          <cell r="BT1591">
            <v>0</v>
          </cell>
          <cell r="CA1591" t="str">
            <v>DSOEMS - EBITA - Base</v>
          </cell>
          <cell r="CC1591" t="str">
            <v>DSOEMS - EBITA - Base - IS4</v>
          </cell>
          <cell r="CD1591" t="str">
            <v/>
          </cell>
          <cell r="CF1591" t="str">
            <v>DSOEMS - Base - IS4</v>
          </cell>
        </row>
        <row r="1592">
          <cell r="D1592">
            <v>1578</v>
          </cell>
          <cell r="E1592">
            <v>0</v>
          </cell>
          <cell r="F1592">
            <v>0</v>
          </cell>
          <cell r="G1592" t="str">
            <v>DSOEMS</v>
          </cell>
          <cell r="H1592" t="str">
            <v>DSO EMS Services</v>
          </cell>
          <cell r="I1592" t="str">
            <v>IS4</v>
          </cell>
          <cell r="J1592" t="str">
            <v>IS4 Spectrum &amp; Infrastructure Assurance</v>
          </cell>
          <cell r="K1592" t="str">
            <v>DISA</v>
          </cell>
          <cell r="L1592" t="str">
            <v>DOD</v>
          </cell>
          <cell r="M1592" t="str">
            <v>VA</v>
          </cell>
          <cell r="N1592" t="str">
            <v>CONUS</v>
          </cell>
          <cell r="O1592">
            <v>43731</v>
          </cell>
          <cell r="P1592">
            <v>44827</v>
          </cell>
          <cell r="Q1592">
            <v>0</v>
          </cell>
          <cell r="R1592" t="str">
            <v>CPFF</v>
          </cell>
          <cell r="S1592">
            <v>0</v>
          </cell>
          <cell r="T1592">
            <v>1</v>
          </cell>
          <cell r="U1592" t="str">
            <v>EBITA</v>
          </cell>
          <cell r="V1592" t="str">
            <v>Identified - Recompete</v>
          </cell>
          <cell r="W1592">
            <v>0</v>
          </cell>
          <cell r="X1592" t="str">
            <v>Priority 3</v>
          </cell>
          <cell r="Y1592">
            <v>0.5</v>
          </cell>
          <cell r="Z1592">
            <v>6000000</v>
          </cell>
          <cell r="AA1592">
            <v>0</v>
          </cell>
          <cell r="AB1592">
            <v>0</v>
          </cell>
          <cell r="AC1592">
            <v>0</v>
          </cell>
          <cell r="AD1592">
            <v>0</v>
          </cell>
          <cell r="AX1592">
            <v>5.026955717304743E-2</v>
          </cell>
          <cell r="AY1592">
            <v>5.026955717304743E-2</v>
          </cell>
          <cell r="AZ1592">
            <v>5.026955717304743E-2</v>
          </cell>
          <cell r="BA1592">
            <v>5.026955717304743E-2</v>
          </cell>
          <cell r="BI1592">
            <v>0</v>
          </cell>
          <cell r="BJ1592">
            <v>0</v>
          </cell>
          <cell r="BK1592">
            <v>0</v>
          </cell>
          <cell r="BL1592">
            <v>0</v>
          </cell>
          <cell r="BM1592">
            <v>0</v>
          </cell>
          <cell r="BN1592">
            <v>50269.557173047433</v>
          </cell>
          <cell r="BO1592">
            <v>50269.557173047433</v>
          </cell>
          <cell r="BP1592">
            <v>50269.557173047433</v>
          </cell>
          <cell r="BQ1592">
            <v>0</v>
          </cell>
          <cell r="BR1592">
            <v>150808.67151914228</v>
          </cell>
          <cell r="BT1592">
            <v>0</v>
          </cell>
          <cell r="CA1592" t="str">
            <v>DSOEMS - EBITA - Identified - Recompete</v>
          </cell>
          <cell r="CC1592" t="str">
            <v>DSOEMS - EBITA - Identified - Recompete - IS4</v>
          </cell>
          <cell r="CD1592" t="str">
            <v/>
          </cell>
          <cell r="CF1592" t="str">
            <v>DSOEMS - Identified - Recompete - IS4</v>
          </cell>
        </row>
        <row r="1593">
          <cell r="D1593">
            <v>1579</v>
          </cell>
          <cell r="E1593">
            <v>1</v>
          </cell>
          <cell r="F1593">
            <v>1</v>
          </cell>
          <cell r="G1593" t="str">
            <v>XJOISS</v>
          </cell>
          <cell r="H1593" t="str">
            <v>JOISS</v>
          </cell>
          <cell r="I1593" t="str">
            <v>IS4</v>
          </cell>
          <cell r="J1593" t="str">
            <v>IS4 Spectrum &amp; Infrastructure Assurance</v>
          </cell>
          <cell r="K1593" t="str">
            <v>Navy</v>
          </cell>
          <cell r="L1593" t="str">
            <v>DOD</v>
          </cell>
          <cell r="M1593" t="str">
            <v>CA</v>
          </cell>
          <cell r="N1593" t="str">
            <v>CONUS</v>
          </cell>
          <cell r="O1593">
            <v>42695</v>
          </cell>
          <cell r="P1593">
            <v>43789</v>
          </cell>
          <cell r="Q1593" t="str">
            <v>Prime</v>
          </cell>
          <cell r="R1593" t="str">
            <v>CPFF</v>
          </cell>
          <cell r="S1593">
            <v>0</v>
          </cell>
          <cell r="T1593">
            <v>1</v>
          </cell>
          <cell r="U1593" t="str">
            <v>REVTOT</v>
          </cell>
          <cell r="V1593" t="str">
            <v>Base</v>
          </cell>
          <cell r="W1593" t="str">
            <v>05 Won</v>
          </cell>
          <cell r="X1593" t="str">
            <v>Active</v>
          </cell>
          <cell r="Y1593">
            <v>1</v>
          </cell>
          <cell r="Z1593">
            <v>0</v>
          </cell>
          <cell r="AA1593">
            <v>7642388.2604999999</v>
          </cell>
          <cell r="AB1593">
            <v>0</v>
          </cell>
          <cell r="AC1593">
            <v>0</v>
          </cell>
          <cell r="AD1593">
            <v>7642388.2604999999</v>
          </cell>
          <cell r="AE1593">
            <v>0</v>
          </cell>
          <cell r="AF1593">
            <v>4.1149205013901771</v>
          </cell>
          <cell r="AG1593">
            <v>-0.40050220910866585</v>
          </cell>
          <cell r="AH1593">
            <v>-0.86754749134974207</v>
          </cell>
          <cell r="AI1593">
            <v>0</v>
          </cell>
          <cell r="AJ1593">
            <v>0</v>
          </cell>
          <cell r="AK1593">
            <v>0</v>
          </cell>
          <cell r="BB1593">
            <v>434653.69929999998</v>
          </cell>
          <cell r="BC1593">
            <v>434653.69929999998</v>
          </cell>
          <cell r="BD1593">
            <v>434653.69929999998</v>
          </cell>
          <cell r="BE1593">
            <v>434653.69929999998</v>
          </cell>
          <cell r="BF1593">
            <v>0</v>
          </cell>
          <cell r="BG1593">
            <v>1070179.72</v>
          </cell>
          <cell r="BH1593">
            <v>5473884.1899999995</v>
          </cell>
          <cell r="BI1593">
            <v>940981.19000000006</v>
          </cell>
          <cell r="BJ1593">
            <v>912229.93000000017</v>
          </cell>
          <cell r="BK1593">
            <v>648966.05000000005</v>
          </cell>
          <cell r="BL1593">
            <v>779404.30949999997</v>
          </cell>
          <cell r="BM1593">
            <v>3281581.4794999999</v>
          </cell>
          <cell r="BN1593">
            <v>434653.69929999998</v>
          </cell>
          <cell r="BO1593">
            <v>0</v>
          </cell>
          <cell r="BP1593">
            <v>0</v>
          </cell>
          <cell r="BQ1593">
            <v>0</v>
          </cell>
          <cell r="BR1593">
            <v>3716235.1787999999</v>
          </cell>
          <cell r="BT1593">
            <v>0</v>
          </cell>
          <cell r="CA1593" t="str">
            <v>XJOISS - REVTOT - Base</v>
          </cell>
          <cell r="CC1593" t="str">
            <v>XJOISS - REVTOT - Base - IS4</v>
          </cell>
          <cell r="CD1593" t="str">
            <v/>
          </cell>
          <cell r="CF1593" t="str">
            <v>XJOISS - Base - IS4</v>
          </cell>
        </row>
        <row r="1594">
          <cell r="D1594">
            <v>1580</v>
          </cell>
          <cell r="E1594">
            <v>1</v>
          </cell>
          <cell r="F1594">
            <v>2</v>
          </cell>
          <cell r="G1594" t="str">
            <v>XJOISS</v>
          </cell>
          <cell r="H1594" t="str">
            <v>JOISS</v>
          </cell>
          <cell r="I1594" t="str">
            <v>IS4</v>
          </cell>
          <cell r="J1594" t="str">
            <v>IS4 Spectrum &amp; Infrastructure Assurance</v>
          </cell>
          <cell r="K1594" t="str">
            <v>Navy</v>
          </cell>
          <cell r="L1594" t="str">
            <v>DOD</v>
          </cell>
          <cell r="M1594" t="str">
            <v>CA</v>
          </cell>
          <cell r="N1594" t="str">
            <v>CONUS</v>
          </cell>
          <cell r="O1594">
            <v>43790</v>
          </cell>
          <cell r="P1594">
            <v>45251</v>
          </cell>
          <cell r="Q1594" t="str">
            <v>Prime</v>
          </cell>
          <cell r="R1594" t="str">
            <v>CPFF</v>
          </cell>
          <cell r="S1594">
            <v>0</v>
          </cell>
          <cell r="T1594">
            <v>1</v>
          </cell>
          <cell r="U1594" t="str">
            <v>REVTOT</v>
          </cell>
          <cell r="V1594" t="str">
            <v>Identified - Recompete</v>
          </cell>
          <cell r="W1594" t="str">
            <v>02 Capture</v>
          </cell>
          <cell r="X1594" t="str">
            <v>Priority 3</v>
          </cell>
          <cell r="Y1594">
            <v>0.5</v>
          </cell>
          <cell r="Z1594">
            <v>11200000</v>
          </cell>
          <cell r="AA1594">
            <v>0</v>
          </cell>
          <cell r="AB1594">
            <v>0</v>
          </cell>
          <cell r="AC1594">
            <v>0</v>
          </cell>
          <cell r="AD1594">
            <v>0</v>
          </cell>
          <cell r="AI1594">
            <v>0</v>
          </cell>
          <cell r="AJ1594">
            <v>0</v>
          </cell>
          <cell r="AK1594">
            <v>0</v>
          </cell>
          <cell r="BB1594">
            <v>2800000</v>
          </cell>
          <cell r="BC1594">
            <v>2800000</v>
          </cell>
          <cell r="BD1594">
            <v>2800000</v>
          </cell>
          <cell r="BE1594">
            <v>2800000</v>
          </cell>
          <cell r="BI1594">
            <v>0</v>
          </cell>
          <cell r="BJ1594">
            <v>0</v>
          </cell>
          <cell r="BK1594">
            <v>0</v>
          </cell>
          <cell r="BL1594">
            <v>0</v>
          </cell>
          <cell r="BM1594">
            <v>0</v>
          </cell>
          <cell r="BN1594">
            <v>1400000</v>
          </cell>
          <cell r="BO1594">
            <v>1400000</v>
          </cell>
          <cell r="BP1594">
            <v>1400000</v>
          </cell>
          <cell r="BQ1594">
            <v>1400000</v>
          </cell>
          <cell r="BR1594">
            <v>5600000</v>
          </cell>
          <cell r="BT1594">
            <v>0</v>
          </cell>
          <cell r="CA1594" t="str">
            <v>XJOISS - REVTOT - Identified - Recompete</v>
          </cell>
          <cell r="CC1594" t="str">
            <v>XJOISS - REVTOT - Identified - Recompete - IS4</v>
          </cell>
          <cell r="CD1594" t="str">
            <v/>
          </cell>
          <cell r="CF1594" t="str">
            <v>XJOISS - Identified - Recompete - IS4</v>
          </cell>
        </row>
        <row r="1595">
          <cell r="D1595">
            <v>1581</v>
          </cell>
          <cell r="E1595">
            <v>2</v>
          </cell>
          <cell r="F1595">
            <v>3</v>
          </cell>
          <cell r="G1595" t="str">
            <v>XJOISS</v>
          </cell>
          <cell r="H1595" t="str">
            <v>JOISS</v>
          </cell>
          <cell r="I1595" t="str">
            <v>IS4</v>
          </cell>
          <cell r="J1595" t="str">
            <v>IS4 Spectrum &amp; Infrastructure Assurance</v>
          </cell>
          <cell r="K1595" t="str">
            <v>Navy</v>
          </cell>
          <cell r="L1595" t="str">
            <v>DOD</v>
          </cell>
          <cell r="M1595" t="str">
            <v>CA</v>
          </cell>
          <cell r="N1595" t="str">
            <v>CONUS</v>
          </cell>
          <cell r="O1595">
            <v>42695</v>
          </cell>
          <cell r="P1595">
            <v>43789</v>
          </cell>
          <cell r="Q1595" t="str">
            <v>Prime</v>
          </cell>
          <cell r="R1595" t="str">
            <v>CPFF</v>
          </cell>
          <cell r="S1595">
            <v>0</v>
          </cell>
          <cell r="T1595">
            <v>1</v>
          </cell>
          <cell r="U1595" t="str">
            <v>CONTRACT</v>
          </cell>
          <cell r="V1595" t="str">
            <v>Base</v>
          </cell>
          <cell r="W1595" t="str">
            <v>05 Won</v>
          </cell>
          <cell r="X1595" t="str">
            <v>Active</v>
          </cell>
          <cell r="Y1595">
            <v>1</v>
          </cell>
          <cell r="Z1595">
            <v>0</v>
          </cell>
          <cell r="AA1595">
            <v>7642388.2604999999</v>
          </cell>
          <cell r="AB1595">
            <v>0</v>
          </cell>
          <cell r="AC1595">
            <v>0</v>
          </cell>
          <cell r="AD1595">
            <v>7642388.2604999999</v>
          </cell>
          <cell r="AL1595">
            <v>0</v>
          </cell>
          <cell r="AM1595">
            <v>8.9856785923769888E-2</v>
          </cell>
          <cell r="AN1595">
            <v>8.9414902290799084E-2</v>
          </cell>
          <cell r="AO1595">
            <v>9.4834003006263046E-2</v>
          </cell>
          <cell r="AP1595">
            <v>8.5244001738797204E-2</v>
          </cell>
          <cell r="AQ1595">
            <v>8.5244001738797204E-2</v>
          </cell>
          <cell r="AR1595">
            <v>8.5244001738797204E-2</v>
          </cell>
          <cell r="AS1595">
            <v>8.5244001738797204E-2</v>
          </cell>
          <cell r="BF1595">
            <v>0</v>
          </cell>
          <cell r="BG1595">
            <v>96162.91</v>
          </cell>
          <cell r="BH1595">
            <v>489446.81999999983</v>
          </cell>
          <cell r="BI1595">
            <v>64854.559999999998</v>
          </cell>
          <cell r="BJ1595">
            <v>109888.38000000009</v>
          </cell>
          <cell r="BK1595">
            <v>64212.630000000019</v>
          </cell>
          <cell r="BL1595">
            <v>72249.937892200018</v>
          </cell>
          <cell r="BM1595">
            <v>311205.50789220014</v>
          </cell>
          <cell r="BN1595">
            <v>37051.620698903833</v>
          </cell>
          <cell r="BO1595">
            <v>0</v>
          </cell>
          <cell r="BP1595">
            <v>0</v>
          </cell>
          <cell r="BQ1595">
            <v>0</v>
          </cell>
          <cell r="BR1595">
            <v>348257.12859110394</v>
          </cell>
          <cell r="BT1595">
            <v>0</v>
          </cell>
          <cell r="CA1595" t="str">
            <v>XJOISS - CONTRACT - Base</v>
          </cell>
          <cell r="CC1595" t="str">
            <v>XJOISS - CONTRACT - Base - IS4</v>
          </cell>
          <cell r="CD1595" t="str">
            <v/>
          </cell>
          <cell r="CF1595" t="str">
            <v>XJOISS - Base - IS4</v>
          </cell>
        </row>
        <row r="1596">
          <cell r="D1596">
            <v>1582</v>
          </cell>
          <cell r="E1596">
            <v>2</v>
          </cell>
          <cell r="F1596">
            <v>4</v>
          </cell>
          <cell r="G1596" t="str">
            <v>XJOISS</v>
          </cell>
          <cell r="H1596" t="str">
            <v>JOISS</v>
          </cell>
          <cell r="I1596" t="str">
            <v>IS4</v>
          </cell>
          <cell r="J1596" t="str">
            <v>IS4 Spectrum &amp; Infrastructure Assurance</v>
          </cell>
          <cell r="K1596" t="str">
            <v>Navy</v>
          </cell>
          <cell r="L1596" t="str">
            <v>DOD</v>
          </cell>
          <cell r="M1596" t="str">
            <v>CA</v>
          </cell>
          <cell r="N1596" t="str">
            <v>CONUS</v>
          </cell>
          <cell r="O1596">
            <v>43790</v>
          </cell>
          <cell r="P1596">
            <v>45251</v>
          </cell>
          <cell r="Q1596" t="str">
            <v>Prime</v>
          </cell>
          <cell r="R1596" t="str">
            <v>CPFF</v>
          </cell>
          <cell r="S1596">
            <v>0</v>
          </cell>
          <cell r="T1596">
            <v>1</v>
          </cell>
          <cell r="U1596" t="str">
            <v>CONTRACT</v>
          </cell>
          <cell r="V1596" t="str">
            <v>Identified - Recompete</v>
          </cell>
          <cell r="W1596" t="str">
            <v>02 Capture</v>
          </cell>
          <cell r="X1596" t="str">
            <v>Priority 3</v>
          </cell>
          <cell r="Y1596">
            <v>0.5</v>
          </cell>
          <cell r="Z1596">
            <v>11200000</v>
          </cell>
          <cell r="AA1596">
            <v>0</v>
          </cell>
          <cell r="AB1596">
            <v>0</v>
          </cell>
          <cell r="AC1596">
            <v>0</v>
          </cell>
          <cell r="AD1596">
            <v>0</v>
          </cell>
          <cell r="AP1596">
            <v>8.5244001738797204E-2</v>
          </cell>
          <cell r="AQ1596">
            <v>8.5244001738797204E-2</v>
          </cell>
          <cell r="AR1596">
            <v>8.5244001738797204E-2</v>
          </cell>
          <cell r="AS1596">
            <v>8.5244001738797204E-2</v>
          </cell>
          <cell r="BI1596">
            <v>0</v>
          </cell>
          <cell r="BJ1596">
            <v>0</v>
          </cell>
          <cell r="BK1596">
            <v>0</v>
          </cell>
          <cell r="BL1596">
            <v>0</v>
          </cell>
          <cell r="BM1596">
            <v>0</v>
          </cell>
          <cell r="BN1596">
            <v>119341.60243431608</v>
          </cell>
          <cell r="BO1596">
            <v>119341.60243431608</v>
          </cell>
          <cell r="BP1596">
            <v>119341.60243431608</v>
          </cell>
          <cell r="BQ1596">
            <v>119341.60243431608</v>
          </cell>
          <cell r="BR1596">
            <v>477366.40973726433</v>
          </cell>
          <cell r="BT1596">
            <v>0</v>
          </cell>
          <cell r="CA1596" t="str">
            <v>XJOISS - CONTRACT - Identified - Recompete</v>
          </cell>
          <cell r="CC1596" t="str">
            <v>XJOISS - CONTRACT - Identified - Recompete - IS4</v>
          </cell>
          <cell r="CD1596" t="str">
            <v/>
          </cell>
          <cell r="CF1596" t="str">
            <v>XJOISS - Identified - Recompete - IS4</v>
          </cell>
        </row>
        <row r="1597">
          <cell r="D1597">
            <v>1583</v>
          </cell>
          <cell r="E1597">
            <v>0</v>
          </cell>
          <cell r="F1597">
            <v>5</v>
          </cell>
          <cell r="G1597" t="str">
            <v>XJOISS</v>
          </cell>
          <cell r="H1597" t="str">
            <v>JOISS</v>
          </cell>
          <cell r="I1597" t="str">
            <v>IS4</v>
          </cell>
          <cell r="J1597" t="str">
            <v>IS4 Spectrum &amp; Infrastructure Assurance</v>
          </cell>
          <cell r="K1597" t="str">
            <v>Navy</v>
          </cell>
          <cell r="L1597" t="str">
            <v>DOD</v>
          </cell>
          <cell r="M1597" t="str">
            <v>CA</v>
          </cell>
          <cell r="N1597" t="str">
            <v>CONUS</v>
          </cell>
          <cell r="O1597">
            <v>42695</v>
          </cell>
          <cell r="P1597">
            <v>43789</v>
          </cell>
          <cell r="Q1597" t="str">
            <v>Prime</v>
          </cell>
          <cell r="R1597" t="str">
            <v>CPFF</v>
          </cell>
          <cell r="S1597">
            <v>0</v>
          </cell>
          <cell r="T1597">
            <v>1</v>
          </cell>
          <cell r="U1597" t="str">
            <v>EBITA</v>
          </cell>
          <cell r="V1597" t="str">
            <v>Base</v>
          </cell>
          <cell r="W1597" t="str">
            <v>05 Won</v>
          </cell>
          <cell r="X1597" t="str">
            <v>Active</v>
          </cell>
          <cell r="Y1597">
            <v>1</v>
          </cell>
          <cell r="Z1597">
            <v>0</v>
          </cell>
          <cell r="AA1597">
            <v>7642388.2604999999</v>
          </cell>
          <cell r="AB1597">
            <v>0</v>
          </cell>
          <cell r="AC1597">
            <v>0</v>
          </cell>
          <cell r="AD1597">
            <v>7642388.2604999999</v>
          </cell>
          <cell r="AT1597">
            <v>0</v>
          </cell>
          <cell r="AU1597">
            <v>-5.1982857608252897E-4</v>
          </cell>
          <cell r="AV1597">
            <v>3.3372591318925654E-3</v>
          </cell>
          <cell r="AW1597">
            <v>9.906405221105309E-4</v>
          </cell>
          <cell r="AX1597">
            <v>0</v>
          </cell>
          <cell r="AY1597">
            <v>0</v>
          </cell>
          <cell r="AZ1597">
            <v>0</v>
          </cell>
          <cell r="BA1597">
            <v>0</v>
          </cell>
          <cell r="BF1597">
            <v>0</v>
          </cell>
          <cell r="BG1597">
            <v>-556.30999999999949</v>
          </cell>
          <cell r="BH1597">
            <v>18267.769999999837</v>
          </cell>
          <cell r="BI1597">
            <v>-24614.820000000007</v>
          </cell>
          <cell r="BJ1597">
            <v>30517.560000000096</v>
          </cell>
          <cell r="BK1597">
            <v>620.86000000002059</v>
          </cell>
          <cell r="BL1597">
            <v>-3272.7324097999808</v>
          </cell>
          <cell r="BM1597">
            <v>3250.8675902001287</v>
          </cell>
          <cell r="BN1597">
            <v>0</v>
          </cell>
          <cell r="BO1597">
            <v>0</v>
          </cell>
          <cell r="BP1597">
            <v>0</v>
          </cell>
          <cell r="BQ1597">
            <v>0</v>
          </cell>
          <cell r="BR1597">
            <v>3250.8675902001287</v>
          </cell>
          <cell r="BT1597">
            <v>0</v>
          </cell>
          <cell r="CA1597" t="str">
            <v>XJOISS - EBITA - Base</v>
          </cell>
          <cell r="CC1597" t="str">
            <v>XJOISS - EBITA - Base - IS4</v>
          </cell>
          <cell r="CD1597" t="str">
            <v/>
          </cell>
          <cell r="CF1597" t="str">
            <v>XJOISS - Base - IS4</v>
          </cell>
        </row>
        <row r="1598">
          <cell r="D1598">
            <v>1584</v>
          </cell>
          <cell r="E1598">
            <v>0</v>
          </cell>
          <cell r="F1598">
            <v>0</v>
          </cell>
          <cell r="G1598" t="str">
            <v>XJOISS</v>
          </cell>
          <cell r="H1598" t="str">
            <v>JOISS</v>
          </cell>
          <cell r="I1598" t="str">
            <v>IS4</v>
          </cell>
          <cell r="J1598" t="str">
            <v>IS4 Spectrum &amp; Infrastructure Assurance</v>
          </cell>
          <cell r="K1598" t="str">
            <v>Navy</v>
          </cell>
          <cell r="L1598" t="str">
            <v>DOD</v>
          </cell>
          <cell r="M1598" t="str">
            <v>CA</v>
          </cell>
          <cell r="N1598" t="str">
            <v>CONUS</v>
          </cell>
          <cell r="O1598">
            <v>43790</v>
          </cell>
          <cell r="P1598">
            <v>45251</v>
          </cell>
          <cell r="Q1598" t="str">
            <v>Prime</v>
          </cell>
          <cell r="R1598" t="str">
            <v>CPFF</v>
          </cell>
          <cell r="S1598">
            <v>0</v>
          </cell>
          <cell r="T1598">
            <v>1</v>
          </cell>
          <cell r="U1598" t="str">
            <v>EBITA</v>
          </cell>
          <cell r="V1598" t="str">
            <v>Identified - Recompete</v>
          </cell>
          <cell r="W1598" t="str">
            <v>02 Capture</v>
          </cell>
          <cell r="X1598" t="str">
            <v>Priority 3</v>
          </cell>
          <cell r="Y1598">
            <v>0.5</v>
          </cell>
          <cell r="Z1598">
            <v>11200000</v>
          </cell>
          <cell r="AA1598">
            <v>0</v>
          </cell>
          <cell r="AB1598">
            <v>0</v>
          </cell>
          <cell r="AC1598">
            <v>0</v>
          </cell>
          <cell r="AD1598">
            <v>0</v>
          </cell>
          <cell r="AX1598">
            <v>0.02</v>
          </cell>
          <cell r="AY1598">
            <v>0.02</v>
          </cell>
          <cell r="AZ1598">
            <v>0.02</v>
          </cell>
          <cell r="BA1598">
            <v>0.02</v>
          </cell>
          <cell r="BI1598">
            <v>0</v>
          </cell>
          <cell r="BJ1598">
            <v>0</v>
          </cell>
          <cell r="BK1598">
            <v>0</v>
          </cell>
          <cell r="BL1598">
            <v>0</v>
          </cell>
          <cell r="BM1598">
            <v>0</v>
          </cell>
          <cell r="BN1598">
            <v>28000</v>
          </cell>
          <cell r="BO1598">
            <v>28000</v>
          </cell>
          <cell r="BP1598">
            <v>28000</v>
          </cell>
          <cell r="BQ1598">
            <v>28000</v>
          </cell>
          <cell r="BR1598">
            <v>112000</v>
          </cell>
          <cell r="BT1598">
            <v>0</v>
          </cell>
          <cell r="CA1598" t="str">
            <v>XJOISS - EBITA - Identified - Recompete</v>
          </cell>
          <cell r="CC1598" t="str">
            <v>XJOISS - EBITA - Identified - Recompete - IS4</v>
          </cell>
          <cell r="CD1598" t="str">
            <v/>
          </cell>
          <cell r="CF1598" t="str">
            <v>XJOISS - Identified - Recompete - IS4</v>
          </cell>
        </row>
        <row r="1599">
          <cell r="D1599">
            <v>1585</v>
          </cell>
          <cell r="E1599">
            <v>1</v>
          </cell>
          <cell r="F1599">
            <v>1</v>
          </cell>
          <cell r="G1599" t="str">
            <v>003119</v>
          </cell>
          <cell r="H1599" t="str">
            <v>MARMC Submarine (3119)</v>
          </cell>
          <cell r="I1599" t="str">
            <v>IS4</v>
          </cell>
          <cell r="J1599" t="str">
            <v>IS4 Sustainment Engineering and Acquisition</v>
          </cell>
          <cell r="K1599" t="str">
            <v>Navy</v>
          </cell>
          <cell r="L1599" t="str">
            <v>DOD</v>
          </cell>
          <cell r="M1599" t="str">
            <v>VA</v>
          </cell>
          <cell r="N1599" t="str">
            <v>CONUS</v>
          </cell>
          <cell r="O1599">
            <v>42939</v>
          </cell>
          <cell r="P1599">
            <v>43831</v>
          </cell>
          <cell r="Q1599" t="str">
            <v>Prime</v>
          </cell>
          <cell r="R1599" t="str">
            <v>CPFF</v>
          </cell>
          <cell r="S1599">
            <v>0</v>
          </cell>
          <cell r="T1599">
            <v>1</v>
          </cell>
          <cell r="U1599" t="str">
            <v>REVTOT</v>
          </cell>
          <cell r="V1599" t="str">
            <v>Base</v>
          </cell>
          <cell r="W1599" t="str">
            <v>05 Won</v>
          </cell>
          <cell r="X1599" t="str">
            <v>Active</v>
          </cell>
          <cell r="Y1599">
            <v>1</v>
          </cell>
          <cell r="Z1599">
            <v>0</v>
          </cell>
          <cell r="AA1599">
            <v>2740117.330000001</v>
          </cell>
          <cell r="AB1599">
            <v>0</v>
          </cell>
          <cell r="AC1599">
            <v>0</v>
          </cell>
          <cell r="AD1599">
            <v>2740117.330000001</v>
          </cell>
          <cell r="AE1599">
            <v>1.4239467878464787</v>
          </cell>
          <cell r="AF1599">
            <v>-0.28205124131141446</v>
          </cell>
          <cell r="AG1599">
            <v>-0.85658420818980341</v>
          </cell>
          <cell r="AH1599">
            <v>-0.52674105213027267</v>
          </cell>
          <cell r="AI1599">
            <v>-1</v>
          </cell>
          <cell r="AJ1599">
            <v>0</v>
          </cell>
          <cell r="AK1599">
            <v>0</v>
          </cell>
          <cell r="BB1599">
            <v>861809.65999999992</v>
          </cell>
          <cell r="BC1599">
            <v>0</v>
          </cell>
          <cell r="BD1599">
            <v>0</v>
          </cell>
          <cell r="BE1599">
            <v>0</v>
          </cell>
          <cell r="BF1599">
            <v>7296238.4399999995</v>
          </cell>
          <cell r="BG1599">
            <v>17685693.73</v>
          </cell>
          <cell r="BH1599">
            <v>12697421.860000001</v>
          </cell>
          <cell r="BI1599">
            <v>777956.41999999993</v>
          </cell>
          <cell r="BJ1599">
            <v>674419.58000000007</v>
          </cell>
          <cell r="BK1599">
            <v>255370.77000000002</v>
          </cell>
          <cell r="BL1599">
            <v>113264.03999999998</v>
          </cell>
          <cell r="BM1599">
            <v>1821010.81</v>
          </cell>
          <cell r="BN1599">
            <v>861809.65999999992</v>
          </cell>
          <cell r="BO1599">
            <v>0</v>
          </cell>
          <cell r="BP1599">
            <v>0</v>
          </cell>
          <cell r="BQ1599">
            <v>0</v>
          </cell>
          <cell r="BR1599">
            <v>2682820.4699999997</v>
          </cell>
          <cell r="BT1599">
            <v>0</v>
          </cell>
          <cell r="CA1599" t="str">
            <v>003119 - REVTOT - Base</v>
          </cell>
          <cell r="CC1599" t="str">
            <v>003119 - REVTOT - Base - IS4</v>
          </cell>
          <cell r="CD1599" t="str">
            <v/>
          </cell>
          <cell r="CF1599" t="str">
            <v>003119 - Base - IS4</v>
          </cell>
        </row>
        <row r="1600">
          <cell r="D1600">
            <v>1586</v>
          </cell>
          <cell r="E1600">
            <v>1</v>
          </cell>
          <cell r="F1600">
            <v>2</v>
          </cell>
          <cell r="G1600" t="str">
            <v>003119</v>
          </cell>
          <cell r="H1600" t="str">
            <v>MARMC Submarine (3119)</v>
          </cell>
          <cell r="I1600" t="str">
            <v>IS4</v>
          </cell>
          <cell r="J1600" t="str">
            <v>IS4 Sustainment Engineering and Acquisition</v>
          </cell>
          <cell r="K1600" t="str">
            <v>Navy</v>
          </cell>
          <cell r="L1600" t="str">
            <v>DOD</v>
          </cell>
          <cell r="M1600" t="str">
            <v>VA</v>
          </cell>
          <cell r="N1600" t="str">
            <v>CONUS</v>
          </cell>
          <cell r="O1600">
            <v>43832</v>
          </cell>
          <cell r="P1600">
            <v>45659</v>
          </cell>
          <cell r="Q1600" t="str">
            <v>Prime</v>
          </cell>
          <cell r="R1600" t="str">
            <v>CPFF</v>
          </cell>
          <cell r="S1600">
            <v>0</v>
          </cell>
          <cell r="T1600">
            <v>1</v>
          </cell>
          <cell r="U1600" t="str">
            <v>REVTOT</v>
          </cell>
          <cell r="V1600" t="str">
            <v>Identified - Recompete</v>
          </cell>
          <cell r="W1600" t="str">
            <v>02 Capture</v>
          </cell>
          <cell r="X1600" t="str">
            <v>Priority 2</v>
          </cell>
          <cell r="Y1600">
            <v>0.9</v>
          </cell>
          <cell r="Z1600">
            <v>0</v>
          </cell>
          <cell r="AA1600">
            <v>0</v>
          </cell>
          <cell r="AB1600">
            <v>0</v>
          </cell>
          <cell r="AC1600">
            <v>0</v>
          </cell>
          <cell r="AD1600">
            <v>0</v>
          </cell>
          <cell r="AI1600">
            <v>0</v>
          </cell>
          <cell r="AJ1600">
            <v>0</v>
          </cell>
          <cell r="AK1600">
            <v>0</v>
          </cell>
          <cell r="BB1600">
            <v>0</v>
          </cell>
          <cell r="BC1600">
            <v>0</v>
          </cell>
          <cell r="BD1600">
            <v>0</v>
          </cell>
          <cell r="BE1600">
            <v>0</v>
          </cell>
          <cell r="BI1600">
            <v>0</v>
          </cell>
          <cell r="BJ1600">
            <v>0</v>
          </cell>
          <cell r="BK1600">
            <v>0</v>
          </cell>
          <cell r="BL1600">
            <v>0</v>
          </cell>
          <cell r="BM1600">
            <v>0</v>
          </cell>
          <cell r="BN1600">
            <v>0</v>
          </cell>
          <cell r="BO1600">
            <v>0</v>
          </cell>
          <cell r="BP1600">
            <v>0</v>
          </cell>
          <cell r="BQ1600">
            <v>0</v>
          </cell>
          <cell r="BR1600">
            <v>0</v>
          </cell>
          <cell r="BT1600">
            <v>0</v>
          </cell>
          <cell r="CA1600" t="str">
            <v>003119 - REVTOT - Identified - Recompete</v>
          </cell>
          <cell r="CC1600" t="str">
            <v>003119 - REVTOT - Identified - Recompete - IS4</v>
          </cell>
          <cell r="CD1600" t="str">
            <v/>
          </cell>
          <cell r="CF1600" t="str">
            <v>003119 - Identified - Recompete - IS4</v>
          </cell>
        </row>
        <row r="1601">
          <cell r="D1601">
            <v>1587</v>
          </cell>
          <cell r="E1601">
            <v>2</v>
          </cell>
          <cell r="F1601">
            <v>3</v>
          </cell>
          <cell r="G1601" t="str">
            <v>003119</v>
          </cell>
          <cell r="H1601" t="str">
            <v>MARMC Submarine (3119)</v>
          </cell>
          <cell r="I1601" t="str">
            <v>IS4</v>
          </cell>
          <cell r="J1601" t="str">
            <v>IS4 Sustainment Engineering and Acquisition</v>
          </cell>
          <cell r="K1601" t="str">
            <v>Navy</v>
          </cell>
          <cell r="L1601" t="str">
            <v>DOD</v>
          </cell>
          <cell r="M1601" t="str">
            <v>VA</v>
          </cell>
          <cell r="N1601" t="str">
            <v>CONUS</v>
          </cell>
          <cell r="O1601">
            <v>42939</v>
          </cell>
          <cell r="P1601">
            <v>43831</v>
          </cell>
          <cell r="Q1601" t="str">
            <v>Prime</v>
          </cell>
          <cell r="R1601" t="str">
            <v>CPFF</v>
          </cell>
          <cell r="S1601">
            <v>0</v>
          </cell>
          <cell r="T1601">
            <v>1</v>
          </cell>
          <cell r="U1601" t="str">
            <v>CONTRACT</v>
          </cell>
          <cell r="V1601" t="str">
            <v>Base</v>
          </cell>
          <cell r="W1601" t="str">
            <v>05 Won</v>
          </cell>
          <cell r="X1601" t="str">
            <v>Active</v>
          </cell>
          <cell r="Y1601">
            <v>1</v>
          </cell>
          <cell r="Z1601">
            <v>0</v>
          </cell>
          <cell r="AA1601">
            <v>2740117.330000001</v>
          </cell>
          <cell r="AB1601">
            <v>0</v>
          </cell>
          <cell r="AC1601">
            <v>0</v>
          </cell>
          <cell r="AD1601">
            <v>2740117.330000001</v>
          </cell>
          <cell r="AL1601">
            <v>0.1018781316033855</v>
          </cell>
          <cell r="AM1601">
            <v>0.13284860949585151</v>
          </cell>
          <cell r="AN1601">
            <v>0.13078060084238236</v>
          </cell>
          <cell r="AO1601">
            <v>0.165570456447859</v>
          </cell>
          <cell r="AP1601">
            <v>0.53596693232702919</v>
          </cell>
          <cell r="AQ1601">
            <v>0.53596693232702919</v>
          </cell>
          <cell r="AR1601">
            <v>0.53596693232702919</v>
          </cell>
          <cell r="AS1601">
            <v>0.53596693232702919</v>
          </cell>
          <cell r="BF1601">
            <v>743327.14000000013</v>
          </cell>
          <cell r="BG1601">
            <v>2349519.8199999994</v>
          </cell>
          <cell r="BH1601">
            <v>1660576.4600000002</v>
          </cell>
          <cell r="BI1601">
            <v>101247.95999999993</v>
          </cell>
          <cell r="BJ1601">
            <v>155922.58000000002</v>
          </cell>
          <cell r="BK1601">
            <v>30578.149999999987</v>
          </cell>
          <cell r="BL1601">
            <v>13756.901008185549</v>
          </cell>
          <cell r="BM1601">
            <v>301505.59100818547</v>
          </cell>
          <cell r="BN1601">
            <v>461901.47972</v>
          </cell>
          <cell r="BO1601">
            <v>0</v>
          </cell>
          <cell r="BP1601">
            <v>0</v>
          </cell>
          <cell r="BQ1601">
            <v>0</v>
          </cell>
          <cell r="BR1601">
            <v>763407.07072818547</v>
          </cell>
          <cell r="BT1601">
            <v>0</v>
          </cell>
          <cell r="CA1601" t="str">
            <v>003119 - CONTRACT - Base</v>
          </cell>
          <cell r="CC1601" t="str">
            <v>003119 - CONTRACT - Base - IS4</v>
          </cell>
          <cell r="CD1601" t="str">
            <v/>
          </cell>
          <cell r="CF1601" t="str">
            <v>003119 - Base - IS4</v>
          </cell>
        </row>
        <row r="1602">
          <cell r="D1602">
            <v>1588</v>
          </cell>
          <cell r="E1602">
            <v>2</v>
          </cell>
          <cell r="F1602">
            <v>4</v>
          </cell>
          <cell r="G1602" t="str">
            <v>003119</v>
          </cell>
          <cell r="H1602" t="str">
            <v>MARMC Submarine (3119)</v>
          </cell>
          <cell r="I1602" t="str">
            <v>IS4</v>
          </cell>
          <cell r="J1602" t="str">
            <v>IS4 Sustainment Engineering and Acquisition</v>
          </cell>
          <cell r="K1602" t="str">
            <v>Navy</v>
          </cell>
          <cell r="L1602" t="str">
            <v>DOD</v>
          </cell>
          <cell r="M1602" t="str">
            <v>VA</v>
          </cell>
          <cell r="N1602" t="str">
            <v>CONUS</v>
          </cell>
          <cell r="O1602">
            <v>43832</v>
          </cell>
          <cell r="P1602">
            <v>45659</v>
          </cell>
          <cell r="Q1602" t="str">
            <v>Prime</v>
          </cell>
          <cell r="R1602" t="str">
            <v>CPFF</v>
          </cell>
          <cell r="S1602">
            <v>0</v>
          </cell>
          <cell r="T1602">
            <v>1</v>
          </cell>
          <cell r="U1602" t="str">
            <v>CONTRACT</v>
          </cell>
          <cell r="V1602" t="str">
            <v>Identified - Recompete</v>
          </cell>
          <cell r="W1602" t="str">
            <v>02 Capture</v>
          </cell>
          <cell r="X1602" t="str">
            <v>Priority 2</v>
          </cell>
          <cell r="Y1602">
            <v>0.9</v>
          </cell>
          <cell r="Z1602">
            <v>0</v>
          </cell>
          <cell r="AA1602">
            <v>0</v>
          </cell>
          <cell r="AB1602">
            <v>0</v>
          </cell>
          <cell r="AC1602">
            <v>0</v>
          </cell>
          <cell r="AD1602">
            <v>0</v>
          </cell>
          <cell r="AP1602">
            <v>0</v>
          </cell>
          <cell r="AQ1602">
            <v>0</v>
          </cell>
          <cell r="AR1602">
            <v>0</v>
          </cell>
          <cell r="AS1602">
            <v>0</v>
          </cell>
          <cell r="BI1602">
            <v>0</v>
          </cell>
          <cell r="BJ1602">
            <v>0</v>
          </cell>
          <cell r="BK1602">
            <v>0</v>
          </cell>
          <cell r="BL1602">
            <v>0</v>
          </cell>
          <cell r="BM1602">
            <v>0</v>
          </cell>
          <cell r="BN1602">
            <v>0</v>
          </cell>
          <cell r="BO1602">
            <v>0</v>
          </cell>
          <cell r="BP1602">
            <v>0</v>
          </cell>
          <cell r="BQ1602">
            <v>0</v>
          </cell>
          <cell r="BR1602">
            <v>0</v>
          </cell>
          <cell r="BT1602">
            <v>0</v>
          </cell>
          <cell r="CA1602" t="str">
            <v>003119 - CONTRACT - Identified - Recompete</v>
          </cell>
          <cell r="CC1602" t="str">
            <v>003119 - CONTRACT - Identified - Recompete - IS4</v>
          </cell>
          <cell r="CD1602" t="str">
            <v/>
          </cell>
          <cell r="CF1602" t="str">
            <v>003119 - Identified - Recompete - IS4</v>
          </cell>
        </row>
        <row r="1603">
          <cell r="D1603">
            <v>1589</v>
          </cell>
          <cell r="E1603">
            <v>0</v>
          </cell>
          <cell r="F1603">
            <v>5</v>
          </cell>
          <cell r="G1603" t="str">
            <v>003119</v>
          </cell>
          <cell r="H1603" t="str">
            <v>MARMC Submarine (3119)</v>
          </cell>
          <cell r="I1603" t="str">
            <v>IS4</v>
          </cell>
          <cell r="J1603" t="str">
            <v>IS4 Sustainment Engineering and Acquisition</v>
          </cell>
          <cell r="K1603" t="str">
            <v>Navy</v>
          </cell>
          <cell r="L1603" t="str">
            <v>DOD</v>
          </cell>
          <cell r="M1603" t="str">
            <v>VA</v>
          </cell>
          <cell r="N1603" t="str">
            <v>CONUS</v>
          </cell>
          <cell r="O1603">
            <v>42939</v>
          </cell>
          <cell r="P1603">
            <v>43668</v>
          </cell>
          <cell r="Q1603" t="str">
            <v>Prime</v>
          </cell>
          <cell r="R1603" t="str">
            <v>CPFF</v>
          </cell>
          <cell r="S1603">
            <v>0</v>
          </cell>
          <cell r="T1603">
            <v>1</v>
          </cell>
          <cell r="U1603" t="str">
            <v>EBITA</v>
          </cell>
          <cell r="V1603" t="str">
            <v>Base</v>
          </cell>
          <cell r="W1603" t="str">
            <v>05 Won</v>
          </cell>
          <cell r="X1603" t="str">
            <v>Active</v>
          </cell>
          <cell r="Y1603">
            <v>1</v>
          </cell>
          <cell r="Z1603">
            <v>0</v>
          </cell>
          <cell r="AA1603">
            <v>2740117.330000001</v>
          </cell>
          <cell r="AB1603">
            <v>0</v>
          </cell>
          <cell r="AC1603">
            <v>0</v>
          </cell>
          <cell r="AD1603">
            <v>2740117.330000001</v>
          </cell>
          <cell r="AT1603">
            <v>2.4314913973672189E-2</v>
          </cell>
          <cell r="AU1603">
            <v>3.3862654139719707E-2</v>
          </cell>
          <cell r="AV1603">
            <v>3.6442099435766886E-2</v>
          </cell>
          <cell r="AW1603">
            <v>7.5066117718516026E-2</v>
          </cell>
          <cell r="AX1603">
            <v>0.48364768578661849</v>
          </cell>
          <cell r="AY1603">
            <v>0.48364768578661849</v>
          </cell>
          <cell r="AZ1603">
            <v>0.48364768578661849</v>
          </cell>
          <cell r="BA1603">
            <v>0.48364768578661849</v>
          </cell>
          <cell r="BF1603">
            <v>177407.41000000015</v>
          </cell>
          <cell r="BG1603">
            <v>598884.52999999933</v>
          </cell>
          <cell r="BH1603">
            <v>462720.7100000002</v>
          </cell>
          <cell r="BI1603">
            <v>26610.699999999932</v>
          </cell>
          <cell r="BJ1603">
            <v>99948.770000000019</v>
          </cell>
          <cell r="BK1603">
            <v>6613.789999999989</v>
          </cell>
          <cell r="BL1603">
            <v>3522.9518301502881</v>
          </cell>
          <cell r="BM1603">
            <v>136696.21183015022</v>
          </cell>
          <cell r="BN1603">
            <v>416812.24764755246</v>
          </cell>
          <cell r="BO1603">
            <v>0</v>
          </cell>
          <cell r="BP1603">
            <v>0</v>
          </cell>
          <cell r="BQ1603">
            <v>0</v>
          </cell>
          <cell r="BR1603">
            <v>553508.45947770262</v>
          </cell>
          <cell r="BT1603">
            <v>0</v>
          </cell>
          <cell r="CA1603" t="str">
            <v>003119 - EBITA - Base</v>
          </cell>
          <cell r="CC1603" t="str">
            <v>003119 - EBITA - Base - IS4</v>
          </cell>
          <cell r="CD1603" t="str">
            <v/>
          </cell>
          <cell r="CF1603" t="str">
            <v>003119 - Base - IS4</v>
          </cell>
        </row>
        <row r="1604">
          <cell r="D1604">
            <v>1590</v>
          </cell>
          <cell r="E1604">
            <v>0</v>
          </cell>
          <cell r="F1604">
            <v>0</v>
          </cell>
          <cell r="G1604" t="str">
            <v>003119</v>
          </cell>
          <cell r="H1604" t="str">
            <v>MARMC Submarine (3119)</v>
          </cell>
          <cell r="I1604" t="str">
            <v>IS4</v>
          </cell>
          <cell r="J1604" t="str">
            <v>IS4 Sustainment Engineering and Acquisition</v>
          </cell>
          <cell r="K1604" t="str">
            <v>Navy</v>
          </cell>
          <cell r="L1604" t="str">
            <v>DOD</v>
          </cell>
          <cell r="M1604" t="str">
            <v>VA</v>
          </cell>
          <cell r="N1604" t="str">
            <v>CONUS</v>
          </cell>
          <cell r="O1604">
            <v>43832</v>
          </cell>
          <cell r="P1604">
            <v>45659</v>
          </cell>
          <cell r="Q1604" t="str">
            <v>Prime</v>
          </cell>
          <cell r="R1604" t="str">
            <v>CPFF</v>
          </cell>
          <cell r="S1604">
            <v>0</v>
          </cell>
          <cell r="T1604">
            <v>1</v>
          </cell>
          <cell r="U1604" t="str">
            <v>EBITA</v>
          </cell>
          <cell r="V1604" t="str">
            <v>Identified - Recompete</v>
          </cell>
          <cell r="W1604" t="str">
            <v>02 Capture</v>
          </cell>
          <cell r="X1604" t="str">
            <v>Priority 2</v>
          </cell>
          <cell r="Y1604">
            <v>0.9</v>
          </cell>
          <cell r="Z1604">
            <v>0</v>
          </cell>
          <cell r="AA1604">
            <v>0</v>
          </cell>
          <cell r="AB1604">
            <v>0</v>
          </cell>
          <cell r="AC1604">
            <v>0</v>
          </cell>
          <cell r="AD1604">
            <v>0</v>
          </cell>
          <cell r="AX1604">
            <v>0</v>
          </cell>
          <cell r="AY1604">
            <v>0</v>
          </cell>
          <cell r="AZ1604">
            <v>0</v>
          </cell>
          <cell r="BA1604">
            <v>0</v>
          </cell>
          <cell r="BI1604">
            <v>0</v>
          </cell>
          <cell r="BJ1604">
            <v>0</v>
          </cell>
          <cell r="BK1604">
            <v>0</v>
          </cell>
          <cell r="BL1604">
            <v>0</v>
          </cell>
          <cell r="BM1604">
            <v>0</v>
          </cell>
          <cell r="BN1604">
            <v>0</v>
          </cell>
          <cell r="BO1604">
            <v>0</v>
          </cell>
          <cell r="BP1604">
            <v>0</v>
          </cell>
          <cell r="BQ1604">
            <v>0</v>
          </cell>
          <cell r="BR1604">
            <v>0</v>
          </cell>
          <cell r="BT1604">
            <v>0</v>
          </cell>
          <cell r="CA1604" t="str">
            <v>003119 - EBITA - Identified - Recompete</v>
          </cell>
          <cell r="CC1604" t="str">
            <v>003119 - EBITA - Identified - Recompete - IS4</v>
          </cell>
          <cell r="CD1604" t="str">
            <v/>
          </cell>
          <cell r="CF1604" t="str">
            <v>003119 - Identified - Recompete - IS4</v>
          </cell>
        </row>
        <row r="1605">
          <cell r="D1605">
            <v>1591</v>
          </cell>
          <cell r="E1605">
            <v>1</v>
          </cell>
          <cell r="F1605">
            <v>1</v>
          </cell>
          <cell r="G1605" t="str">
            <v>2136J7</v>
          </cell>
          <cell r="H1605" t="str">
            <v>2136.75007 GSA SPAWAR J7 Spt</v>
          </cell>
          <cell r="I1605" t="str">
            <v>IS4</v>
          </cell>
          <cell r="J1605" t="str">
            <v>IS4 Sustainment Engineering and Acquisition</v>
          </cell>
          <cell r="K1605" t="str">
            <v>Navy</v>
          </cell>
          <cell r="L1605" t="str">
            <v>DOD</v>
          </cell>
          <cell r="M1605" t="str">
            <v>VA</v>
          </cell>
          <cell r="N1605" t="str">
            <v>CONUS</v>
          </cell>
          <cell r="O1605">
            <v>42632</v>
          </cell>
          <cell r="P1605">
            <v>43726</v>
          </cell>
          <cell r="Q1605" t="str">
            <v>Prime</v>
          </cell>
          <cell r="R1605" t="str">
            <v>CPFF</v>
          </cell>
          <cell r="S1605">
            <v>0</v>
          </cell>
          <cell r="T1605">
            <v>1</v>
          </cell>
          <cell r="U1605" t="str">
            <v>REVTOT</v>
          </cell>
          <cell r="V1605" t="str">
            <v>Base</v>
          </cell>
          <cell r="W1605" t="str">
            <v>05 Won</v>
          </cell>
          <cell r="X1605" t="str">
            <v>Active</v>
          </cell>
          <cell r="Y1605">
            <v>1</v>
          </cell>
          <cell r="Z1605">
            <v>0</v>
          </cell>
          <cell r="AA1605">
            <v>186681.12999999928</v>
          </cell>
          <cell r="AB1605">
            <v>0</v>
          </cell>
          <cell r="AC1605">
            <v>0</v>
          </cell>
          <cell r="AD1605">
            <v>186681.12999999928</v>
          </cell>
          <cell r="AE1605">
            <v>46.009964580072783</v>
          </cell>
          <cell r="AF1605">
            <v>3.2035847692066799E-3</v>
          </cell>
          <cell r="AG1605">
            <v>2.3811710304187717E-2</v>
          </cell>
          <cell r="AH1605">
            <v>-0.8829122032493365</v>
          </cell>
          <cell r="AI1605">
            <v>0</v>
          </cell>
          <cell r="AJ1605">
            <v>0</v>
          </cell>
          <cell r="AK1605">
            <v>0</v>
          </cell>
          <cell r="BB1605">
            <v>1737486</v>
          </cell>
          <cell r="BC1605">
            <v>1737486</v>
          </cell>
          <cell r="BD1605">
            <v>1737486</v>
          </cell>
          <cell r="BE1605">
            <v>1737486</v>
          </cell>
          <cell r="BF1605">
            <v>33020.959999999999</v>
          </cell>
          <cell r="BG1605">
            <v>1552314.1600000001</v>
          </cell>
          <cell r="BH1605">
            <v>1557287.13</v>
          </cell>
          <cell r="BI1605">
            <v>387886.07</v>
          </cell>
          <cell r="BJ1605">
            <v>412113.17</v>
          </cell>
          <cell r="BK1605">
            <v>406575.48</v>
          </cell>
          <cell r="BL1605">
            <v>387794.07999999996</v>
          </cell>
          <cell r="BM1605">
            <v>1594368.7999999998</v>
          </cell>
          <cell r="BN1605">
            <v>186681.12999999928</v>
          </cell>
          <cell r="BO1605">
            <v>0</v>
          </cell>
          <cell r="BP1605">
            <v>0</v>
          </cell>
          <cell r="BQ1605">
            <v>0</v>
          </cell>
          <cell r="BR1605">
            <v>1781049.929999999</v>
          </cell>
          <cell r="BT1605">
            <v>0</v>
          </cell>
          <cell r="CA1605" t="str">
            <v>2136J7 - REVTOT - Base</v>
          </cell>
          <cell r="CC1605" t="str">
            <v>2136J7 - REVTOT - Base - IS4</v>
          </cell>
          <cell r="CD1605" t="str">
            <v/>
          </cell>
          <cell r="CF1605" t="str">
            <v>2136J7 - Base - IS4</v>
          </cell>
        </row>
        <row r="1606">
          <cell r="D1606">
            <v>1592</v>
          </cell>
          <cell r="E1606">
            <v>1</v>
          </cell>
          <cell r="F1606">
            <v>2</v>
          </cell>
          <cell r="G1606" t="str">
            <v>2136J7</v>
          </cell>
          <cell r="H1606" t="str">
            <v>2136.75007 GSA SPAWAR J7 Spt</v>
          </cell>
          <cell r="I1606" t="str">
            <v>IS4</v>
          </cell>
          <cell r="J1606" t="str">
            <v>IS4 Sustainment Engineering and Acquisition</v>
          </cell>
          <cell r="K1606" t="str">
            <v>Navy</v>
          </cell>
          <cell r="L1606" t="str">
            <v>DOD</v>
          </cell>
          <cell r="M1606" t="str">
            <v>VA</v>
          </cell>
          <cell r="N1606" t="str">
            <v>CONUS</v>
          </cell>
          <cell r="O1606">
            <v>43717</v>
          </cell>
          <cell r="P1606">
            <v>45544</v>
          </cell>
          <cell r="Q1606" t="str">
            <v>Prime</v>
          </cell>
          <cell r="R1606" t="str">
            <v>CPFF</v>
          </cell>
          <cell r="S1606">
            <v>0</v>
          </cell>
          <cell r="T1606">
            <v>1</v>
          </cell>
          <cell r="U1606" t="str">
            <v>REVTOT</v>
          </cell>
          <cell r="V1606" t="str">
            <v>Identified - Recompete</v>
          </cell>
          <cell r="W1606" t="str">
            <v>04 Submitted</v>
          </cell>
          <cell r="X1606" t="str">
            <v>Priority 3</v>
          </cell>
          <cell r="Y1606">
            <v>0.5</v>
          </cell>
          <cell r="Z1606">
            <v>7000000</v>
          </cell>
          <cell r="AA1606">
            <v>0</v>
          </cell>
          <cell r="AB1606">
            <v>0</v>
          </cell>
          <cell r="AC1606">
            <v>0</v>
          </cell>
          <cell r="AD1606">
            <v>0</v>
          </cell>
          <cell r="AI1606">
            <v>0</v>
          </cell>
          <cell r="AJ1606">
            <v>0</v>
          </cell>
          <cell r="AK1606">
            <v>0</v>
          </cell>
          <cell r="BB1606">
            <v>1400000</v>
          </cell>
          <cell r="BC1606">
            <v>1400000</v>
          </cell>
          <cell r="BD1606">
            <v>1400000</v>
          </cell>
          <cell r="BE1606">
            <v>1400000</v>
          </cell>
          <cell r="BI1606">
            <v>0</v>
          </cell>
          <cell r="BJ1606">
            <v>0</v>
          </cell>
          <cell r="BK1606">
            <v>0</v>
          </cell>
          <cell r="BL1606">
            <v>0</v>
          </cell>
          <cell r="BM1606">
            <v>0</v>
          </cell>
          <cell r="BN1606">
            <v>700000</v>
          </cell>
          <cell r="BO1606">
            <v>700000</v>
          </cell>
          <cell r="BP1606">
            <v>700000</v>
          </cell>
          <cell r="BQ1606">
            <v>700000</v>
          </cell>
          <cell r="BR1606">
            <v>2800000</v>
          </cell>
          <cell r="BT1606">
            <v>0</v>
          </cell>
          <cell r="CA1606" t="str">
            <v>2136J7 - REVTOT - Identified - Recompete</v>
          </cell>
          <cell r="CC1606" t="str">
            <v>2136J7 - REVTOT - Identified - Recompete - IS4</v>
          </cell>
          <cell r="CD1606" t="str">
            <v/>
          </cell>
          <cell r="CF1606" t="str">
            <v>2136J7 - Identified - Recompete - IS4</v>
          </cell>
        </row>
        <row r="1607">
          <cell r="D1607">
            <v>1593</v>
          </cell>
          <cell r="E1607">
            <v>2</v>
          </cell>
          <cell r="F1607">
            <v>3</v>
          </cell>
          <cell r="G1607" t="str">
            <v>2136J7</v>
          </cell>
          <cell r="H1607" t="str">
            <v>2136.75007 GSA SPAWAR J7 Spt</v>
          </cell>
          <cell r="I1607" t="str">
            <v>IS4</v>
          </cell>
          <cell r="J1607" t="str">
            <v>IS4 Sustainment Engineering and Acquisition</v>
          </cell>
          <cell r="K1607" t="str">
            <v>Navy</v>
          </cell>
          <cell r="L1607" t="str">
            <v>DOD</v>
          </cell>
          <cell r="M1607" t="str">
            <v>VA</v>
          </cell>
          <cell r="N1607" t="str">
            <v>CONUS</v>
          </cell>
          <cell r="O1607">
            <v>42632</v>
          </cell>
          <cell r="P1607">
            <v>43726</v>
          </cell>
          <cell r="Q1607" t="str">
            <v>Prime</v>
          </cell>
          <cell r="R1607" t="str">
            <v>CPFF</v>
          </cell>
          <cell r="S1607">
            <v>0</v>
          </cell>
          <cell r="T1607">
            <v>1</v>
          </cell>
          <cell r="U1607" t="str">
            <v>CONTRACT</v>
          </cell>
          <cell r="V1607" t="str">
            <v>Base</v>
          </cell>
          <cell r="W1607" t="str">
            <v>05 Won</v>
          </cell>
          <cell r="X1607" t="str">
            <v>Active</v>
          </cell>
          <cell r="Y1607">
            <v>1</v>
          </cell>
          <cell r="Z1607">
            <v>0</v>
          </cell>
          <cell r="AA1607">
            <v>186681.12999999928</v>
          </cell>
          <cell r="AB1607">
            <v>0</v>
          </cell>
          <cell r="AC1607">
            <v>0</v>
          </cell>
          <cell r="AD1607">
            <v>186681.12999999928</v>
          </cell>
          <cell r="AL1607">
            <v>0.21883010063910921</v>
          </cell>
          <cell r="AM1607">
            <v>0.15875723249216517</v>
          </cell>
          <cell r="AN1607">
            <v>0.15011522634236371</v>
          </cell>
          <cell r="AO1607">
            <v>0.14766831444518994</v>
          </cell>
          <cell r="AP1607">
            <v>0.15061253811541506</v>
          </cell>
          <cell r="AQ1607">
            <v>0.15061253811541506</v>
          </cell>
          <cell r="AR1607">
            <v>0.15061253811541506</v>
          </cell>
          <cell r="AS1607">
            <v>0.15061253811541506</v>
          </cell>
          <cell r="BF1607">
            <v>7225.98</v>
          </cell>
          <cell r="BG1607">
            <v>246441.10000000009</v>
          </cell>
          <cell r="BH1607">
            <v>233772.50999999995</v>
          </cell>
          <cell r="BI1607">
            <v>55795.230000000025</v>
          </cell>
          <cell r="BJ1607">
            <v>61393.210000000006</v>
          </cell>
          <cell r="BK1607">
            <v>61266.690000000061</v>
          </cell>
          <cell r="BL1607">
            <v>56982.623300000036</v>
          </cell>
          <cell r="BM1607">
            <v>235437.75330000013</v>
          </cell>
          <cell r="BN1607">
            <v>28116.518807553643</v>
          </cell>
          <cell r="BO1607">
            <v>0</v>
          </cell>
          <cell r="BP1607">
            <v>0</v>
          </cell>
          <cell r="BQ1607">
            <v>0</v>
          </cell>
          <cell r="BR1607">
            <v>263554.27210755378</v>
          </cell>
          <cell r="BT1607">
            <v>0</v>
          </cell>
          <cell r="CA1607" t="str">
            <v>2136J7 - CONTRACT - Base</v>
          </cell>
          <cell r="CC1607" t="str">
            <v>2136J7 - CONTRACT - Base - IS4</v>
          </cell>
          <cell r="CD1607" t="str">
            <v/>
          </cell>
          <cell r="CF1607" t="str">
            <v>2136J7 - Base - IS4</v>
          </cell>
        </row>
        <row r="1608">
          <cell r="D1608">
            <v>1594</v>
          </cell>
          <cell r="E1608">
            <v>2</v>
          </cell>
          <cell r="F1608">
            <v>4</v>
          </cell>
          <cell r="G1608" t="str">
            <v>2136J7</v>
          </cell>
          <cell r="H1608" t="str">
            <v>2136.75007 GSA SPAWAR J7 Spt</v>
          </cell>
          <cell r="I1608" t="str">
            <v>IS4</v>
          </cell>
          <cell r="J1608" t="str">
            <v>IS4 Sustainment Engineering and Acquisition</v>
          </cell>
          <cell r="K1608" t="str">
            <v>Navy</v>
          </cell>
          <cell r="L1608" t="str">
            <v>DOD</v>
          </cell>
          <cell r="M1608" t="str">
            <v>VA</v>
          </cell>
          <cell r="N1608" t="str">
            <v>CONUS</v>
          </cell>
          <cell r="O1608">
            <v>43717</v>
          </cell>
          <cell r="P1608">
            <v>45544</v>
          </cell>
          <cell r="Q1608" t="str">
            <v>Prime</v>
          </cell>
          <cell r="R1608" t="str">
            <v>CPFF</v>
          </cell>
          <cell r="S1608">
            <v>0</v>
          </cell>
          <cell r="T1608">
            <v>1</v>
          </cell>
          <cell r="U1608" t="str">
            <v>CONTRACT</v>
          </cell>
          <cell r="V1608" t="str">
            <v>Identified - Recompete</v>
          </cell>
          <cell r="W1608" t="str">
            <v>04 Submitted</v>
          </cell>
          <cell r="X1608" t="str">
            <v>Priority 3</v>
          </cell>
          <cell r="Y1608">
            <v>0.5</v>
          </cell>
          <cell r="Z1608">
            <v>7000000</v>
          </cell>
          <cell r="AA1608">
            <v>0</v>
          </cell>
          <cell r="AB1608">
            <v>0</v>
          </cell>
          <cell r="AC1608">
            <v>0</v>
          </cell>
          <cell r="AD1608">
            <v>0</v>
          </cell>
          <cell r="AP1608">
            <v>0.15061253811541506</v>
          </cell>
          <cell r="AQ1608">
            <v>0.15061253811541506</v>
          </cell>
          <cell r="AR1608">
            <v>0.15061253811541506</v>
          </cell>
          <cell r="AS1608">
            <v>0.15061253811541506</v>
          </cell>
          <cell r="BI1608">
            <v>0</v>
          </cell>
          <cell r="BJ1608">
            <v>0</v>
          </cell>
          <cell r="BK1608">
            <v>0</v>
          </cell>
          <cell r="BL1608">
            <v>0</v>
          </cell>
          <cell r="BM1608">
            <v>0</v>
          </cell>
          <cell r="BN1608">
            <v>105428.77668079054</v>
          </cell>
          <cell r="BO1608">
            <v>105428.77668079054</v>
          </cell>
          <cell r="BP1608">
            <v>105428.77668079054</v>
          </cell>
          <cell r="BQ1608">
            <v>105428.77668079054</v>
          </cell>
          <cell r="BR1608">
            <v>421715.10672316217</v>
          </cell>
          <cell r="BT1608">
            <v>0</v>
          </cell>
          <cell r="CA1608" t="str">
            <v>2136J7 - CONTRACT - Identified - Recompete</v>
          </cell>
          <cell r="CC1608" t="str">
            <v>2136J7 - CONTRACT - Identified - Recompete - IS4</v>
          </cell>
          <cell r="CD1608" t="str">
            <v/>
          </cell>
          <cell r="CF1608" t="str">
            <v>2136J7 - Identified - Recompete - IS4</v>
          </cell>
        </row>
        <row r="1609">
          <cell r="D1609">
            <v>1595</v>
          </cell>
          <cell r="E1609">
            <v>0</v>
          </cell>
          <cell r="F1609">
            <v>5</v>
          </cell>
          <cell r="G1609" t="str">
            <v>2136J7</v>
          </cell>
          <cell r="H1609" t="str">
            <v>2136.75007 GSA SPAWAR J7 Spt</v>
          </cell>
          <cell r="I1609" t="str">
            <v>IS4</v>
          </cell>
          <cell r="J1609" t="str">
            <v>IS4 Sustainment Engineering and Acquisition</v>
          </cell>
          <cell r="K1609" t="str">
            <v>Navy</v>
          </cell>
          <cell r="L1609" t="str">
            <v>DOD</v>
          </cell>
          <cell r="M1609" t="str">
            <v>VA</v>
          </cell>
          <cell r="N1609" t="str">
            <v>CONUS</v>
          </cell>
          <cell r="O1609">
            <v>42632</v>
          </cell>
          <cell r="P1609">
            <v>43726</v>
          </cell>
          <cell r="Q1609" t="str">
            <v>Prime</v>
          </cell>
          <cell r="R1609" t="str">
            <v>CPFF</v>
          </cell>
          <cell r="S1609">
            <v>0</v>
          </cell>
          <cell r="T1609">
            <v>1</v>
          </cell>
          <cell r="U1609" t="str">
            <v>EBITA</v>
          </cell>
          <cell r="V1609" t="str">
            <v>Base</v>
          </cell>
          <cell r="W1609" t="str">
            <v>05 Won</v>
          </cell>
          <cell r="X1609" t="str">
            <v>Active</v>
          </cell>
          <cell r="Y1609">
            <v>1</v>
          </cell>
          <cell r="Z1609">
            <v>0</v>
          </cell>
          <cell r="AA1609">
            <v>186681.12999999928</v>
          </cell>
          <cell r="AB1609">
            <v>0</v>
          </cell>
          <cell r="AC1609">
            <v>0</v>
          </cell>
          <cell r="AD1609">
            <v>186681.12999999928</v>
          </cell>
          <cell r="AT1609">
            <v>4.0654178436968509E-2</v>
          </cell>
          <cell r="AU1609">
            <v>3.6504955929797155E-2</v>
          </cell>
          <cell r="AV1609">
            <v>3.6534733321786278E-2</v>
          </cell>
          <cell r="AW1609">
            <v>3.2835074583865476E-2</v>
          </cell>
          <cell r="AX1609">
            <v>3.6059278980544535E-2</v>
          </cell>
          <cell r="AY1609">
            <v>3.6059278980544535E-2</v>
          </cell>
          <cell r="AZ1609">
            <v>3.6059278980544535E-2</v>
          </cell>
          <cell r="BA1609">
            <v>3.6059278980544535E-2</v>
          </cell>
          <cell r="BF1609">
            <v>1342.4399999999996</v>
          </cell>
          <cell r="BG1609">
            <v>56667.160000000091</v>
          </cell>
          <cell r="BH1609">
            <v>56895.06999999992</v>
          </cell>
          <cell r="BI1609">
            <v>10654.840000000022</v>
          </cell>
          <cell r="BJ1609">
            <v>14750.640000000009</v>
          </cell>
          <cell r="BK1609">
            <v>14827.450000000063</v>
          </cell>
          <cell r="BL1609">
            <v>12118.288462187997</v>
          </cell>
          <cell r="BM1609">
            <v>52351.218462188088</v>
          </cell>
          <cell r="BN1609">
            <v>6731.586947073276</v>
          </cell>
          <cell r="BO1609">
            <v>0</v>
          </cell>
          <cell r="BP1609">
            <v>0</v>
          </cell>
          <cell r="BQ1609">
            <v>0</v>
          </cell>
          <cell r="BR1609">
            <v>59082.80540926136</v>
          </cell>
          <cell r="BT1609">
            <v>0</v>
          </cell>
          <cell r="CA1609" t="str">
            <v>2136J7 - EBITA - Base</v>
          </cell>
          <cell r="CC1609" t="str">
            <v>2136J7 - EBITA - Base - IS4</v>
          </cell>
          <cell r="CD1609" t="str">
            <v/>
          </cell>
          <cell r="CF1609" t="str">
            <v>2136J7 - Base - IS4</v>
          </cell>
        </row>
        <row r="1610">
          <cell r="D1610">
            <v>1596</v>
          </cell>
          <cell r="E1610">
            <v>0</v>
          </cell>
          <cell r="F1610">
            <v>0</v>
          </cell>
          <cell r="G1610" t="str">
            <v>2136J7</v>
          </cell>
          <cell r="H1610" t="str">
            <v>2136.75007 GSA SPAWAR J7 Spt</v>
          </cell>
          <cell r="I1610" t="str">
            <v>IS4</v>
          </cell>
          <cell r="J1610" t="str">
            <v>IS4 Sustainment Engineering and Acquisition</v>
          </cell>
          <cell r="K1610" t="str">
            <v>Navy</v>
          </cell>
          <cell r="L1610" t="str">
            <v>DOD</v>
          </cell>
          <cell r="M1610" t="str">
            <v>VA</v>
          </cell>
          <cell r="N1610" t="str">
            <v>CONUS</v>
          </cell>
          <cell r="O1610">
            <v>43717</v>
          </cell>
          <cell r="P1610">
            <v>45544</v>
          </cell>
          <cell r="Q1610" t="str">
            <v>Prime</v>
          </cell>
          <cell r="R1610" t="str">
            <v>CPFF</v>
          </cell>
          <cell r="S1610">
            <v>0</v>
          </cell>
          <cell r="T1610">
            <v>1</v>
          </cell>
          <cell r="U1610" t="str">
            <v>EBITA</v>
          </cell>
          <cell r="V1610" t="str">
            <v>Identified - Recompete</v>
          </cell>
          <cell r="W1610" t="str">
            <v>04 Submitted</v>
          </cell>
          <cell r="X1610" t="str">
            <v>Priority 3</v>
          </cell>
          <cell r="Y1610">
            <v>0.5</v>
          </cell>
          <cell r="Z1610">
            <v>7000000</v>
          </cell>
          <cell r="AA1610">
            <v>0</v>
          </cell>
          <cell r="AB1610">
            <v>0</v>
          </cell>
          <cell r="AC1610">
            <v>0</v>
          </cell>
          <cell r="AD1610">
            <v>0</v>
          </cell>
          <cell r="AX1610">
            <v>3.6059278980544535E-2</v>
          </cell>
          <cell r="AY1610">
            <v>3.6059278980544535E-2</v>
          </cell>
          <cell r="AZ1610">
            <v>3.6059278980544535E-2</v>
          </cell>
          <cell r="BA1610">
            <v>3.6059278980544535E-2</v>
          </cell>
          <cell r="BI1610">
            <v>0</v>
          </cell>
          <cell r="BJ1610">
            <v>0</v>
          </cell>
          <cell r="BK1610">
            <v>0</v>
          </cell>
          <cell r="BL1610">
            <v>0</v>
          </cell>
          <cell r="BM1610">
            <v>0</v>
          </cell>
          <cell r="BN1610">
            <v>25241.495286381174</v>
          </cell>
          <cell r="BO1610">
            <v>25241.495286381174</v>
          </cell>
          <cell r="BP1610">
            <v>25241.495286381174</v>
          </cell>
          <cell r="BQ1610">
            <v>25241.495286381174</v>
          </cell>
          <cell r="BR1610">
            <v>100965.9811455247</v>
          </cell>
          <cell r="BT1610">
            <v>0</v>
          </cell>
          <cell r="CA1610" t="str">
            <v>2136J7 - EBITA - Identified - Recompete</v>
          </cell>
          <cell r="CC1610" t="str">
            <v>2136J7 - EBITA - Identified - Recompete - IS4</v>
          </cell>
          <cell r="CD1610" t="str">
            <v/>
          </cell>
          <cell r="CF1610" t="str">
            <v>2136J7 - Identified - Recompete - IS4</v>
          </cell>
        </row>
        <row r="1611">
          <cell r="D1611">
            <v>1597</v>
          </cell>
          <cell r="E1611">
            <v>1</v>
          </cell>
          <cell r="F1611">
            <v>1</v>
          </cell>
          <cell r="G1611" t="str">
            <v>003333</v>
          </cell>
          <cell r="H1611" t="str">
            <v>RADAR (Decision Tech)</v>
          </cell>
          <cell r="I1611" t="str">
            <v>IS4</v>
          </cell>
          <cell r="J1611" t="str">
            <v>IS4 Sustainment Engineering and Acquisition</v>
          </cell>
          <cell r="K1611" t="str">
            <v>Navy</v>
          </cell>
          <cell r="L1611" t="str">
            <v>DOD</v>
          </cell>
          <cell r="M1611" t="str">
            <v>VA</v>
          </cell>
          <cell r="N1611" t="str">
            <v>CONUS</v>
          </cell>
          <cell r="O1611">
            <v>43009</v>
          </cell>
          <cell r="P1611">
            <v>43685</v>
          </cell>
          <cell r="Q1611" t="str">
            <v>Sub</v>
          </cell>
          <cell r="R1611" t="str">
            <v>CPFF</v>
          </cell>
          <cell r="S1611">
            <v>0</v>
          </cell>
          <cell r="T1611">
            <v>1</v>
          </cell>
          <cell r="U1611" t="str">
            <v>REVTOT</v>
          </cell>
          <cell r="V1611" t="str">
            <v>Base</v>
          </cell>
          <cell r="W1611" t="str">
            <v>05 Won</v>
          </cell>
          <cell r="X1611" t="str">
            <v>Active</v>
          </cell>
          <cell r="Y1611">
            <v>1</v>
          </cell>
          <cell r="Z1611">
            <v>0</v>
          </cell>
          <cell r="AA1611">
            <v>1249677.22</v>
          </cell>
          <cell r="AB1611">
            <v>91000</v>
          </cell>
          <cell r="AC1611">
            <v>0</v>
          </cell>
          <cell r="AD1611">
            <v>1340677.22</v>
          </cell>
          <cell r="AE1611">
            <v>0</v>
          </cell>
          <cell r="AF1611">
            <v>0</v>
          </cell>
          <cell r="AG1611">
            <v>3.4893074543296709E-2</v>
          </cell>
          <cell r="AH1611">
            <v>-7.2524169571612673E-2</v>
          </cell>
          <cell r="AI1611">
            <v>0</v>
          </cell>
          <cell r="AJ1611">
            <v>0</v>
          </cell>
          <cell r="AK1611">
            <v>0</v>
          </cell>
          <cell r="BB1611">
            <v>1397369.98</v>
          </cell>
          <cell r="BC1611">
            <v>1397369.98</v>
          </cell>
          <cell r="BD1611">
            <v>1397369.98</v>
          </cell>
          <cell r="BE1611">
            <v>1397369.98</v>
          </cell>
          <cell r="BF1611">
            <v>0</v>
          </cell>
          <cell r="BG1611">
            <v>0</v>
          </cell>
          <cell r="BH1611">
            <v>1396774.02</v>
          </cell>
          <cell r="BI1611">
            <v>316010.53000000003</v>
          </cell>
          <cell r="BJ1611">
            <v>384314.95999999996</v>
          </cell>
          <cell r="BK1611">
            <v>417221.9</v>
          </cell>
          <cell r="BL1611">
            <v>327964.37</v>
          </cell>
          <cell r="BM1611">
            <v>1445511.7600000002</v>
          </cell>
          <cell r="BN1611">
            <v>1340677.22</v>
          </cell>
          <cell r="BO1611">
            <v>0</v>
          </cell>
          <cell r="BP1611">
            <v>0</v>
          </cell>
          <cell r="BQ1611">
            <v>0</v>
          </cell>
          <cell r="BR1611">
            <v>2786188.9800000004</v>
          </cell>
          <cell r="BT1611">
            <v>0</v>
          </cell>
          <cell r="CA1611" t="str">
            <v>003333 - REVTOT - Base</v>
          </cell>
          <cell r="CC1611" t="str">
            <v>003333 - REVTOT - Base - IS4</v>
          </cell>
          <cell r="CD1611" t="str">
            <v/>
          </cell>
          <cell r="CF1611" t="str">
            <v>003333 - Base - IS4</v>
          </cell>
        </row>
        <row r="1612">
          <cell r="D1612">
            <v>1598</v>
          </cell>
          <cell r="E1612">
            <v>1</v>
          </cell>
          <cell r="F1612">
            <v>2</v>
          </cell>
          <cell r="G1612" t="str">
            <v>003333</v>
          </cell>
          <cell r="H1612" t="str">
            <v>RADAR (Decision Tech)</v>
          </cell>
          <cell r="I1612" t="str">
            <v>IS4</v>
          </cell>
          <cell r="J1612" t="str">
            <v>IS4 Sustainment Engineering and Acquisition</v>
          </cell>
          <cell r="K1612" t="str">
            <v>Navy</v>
          </cell>
          <cell r="L1612" t="str">
            <v>DOD</v>
          </cell>
          <cell r="M1612" t="str">
            <v>VA</v>
          </cell>
          <cell r="N1612" t="str">
            <v>CONUS</v>
          </cell>
          <cell r="O1612">
            <v>0</v>
          </cell>
          <cell r="P1612">
            <v>0</v>
          </cell>
          <cell r="Q1612">
            <v>0</v>
          </cell>
          <cell r="R1612" t="str">
            <v>CPFF</v>
          </cell>
          <cell r="S1612">
            <v>0</v>
          </cell>
          <cell r="T1612">
            <v>1</v>
          </cell>
          <cell r="U1612" t="str">
            <v>REVTOT</v>
          </cell>
          <cell r="V1612" t="str">
            <v>Identified - Recompete</v>
          </cell>
          <cell r="W1612">
            <v>0</v>
          </cell>
          <cell r="X1612">
            <v>0</v>
          </cell>
          <cell r="Y1612">
            <v>0</v>
          </cell>
          <cell r="Z1612">
            <v>0</v>
          </cell>
          <cell r="AA1612">
            <v>0</v>
          </cell>
          <cell r="AB1612">
            <v>0</v>
          </cell>
          <cell r="AC1612">
            <v>0</v>
          </cell>
          <cell r="AD1612">
            <v>0</v>
          </cell>
          <cell r="AI1612">
            <v>0</v>
          </cell>
          <cell r="AJ1612">
            <v>0</v>
          </cell>
          <cell r="AK1612">
            <v>0</v>
          </cell>
          <cell r="BB1612">
            <v>0</v>
          </cell>
          <cell r="BC1612">
            <v>0</v>
          </cell>
          <cell r="BD1612">
            <v>0</v>
          </cell>
          <cell r="BE1612">
            <v>0</v>
          </cell>
          <cell r="BI1612">
            <v>0</v>
          </cell>
          <cell r="BJ1612">
            <v>0</v>
          </cell>
          <cell r="BK1612">
            <v>0</v>
          </cell>
          <cell r="BL1612">
            <v>0</v>
          </cell>
          <cell r="BM1612">
            <v>0</v>
          </cell>
          <cell r="BN1612">
            <v>0</v>
          </cell>
          <cell r="BO1612">
            <v>0</v>
          </cell>
          <cell r="BP1612">
            <v>0</v>
          </cell>
          <cell r="BQ1612">
            <v>0</v>
          </cell>
          <cell r="BR1612">
            <v>0</v>
          </cell>
          <cell r="BT1612">
            <v>0</v>
          </cell>
          <cell r="CA1612" t="str">
            <v>003333 - REVTOT - Identified - Recompete</v>
          </cell>
          <cell r="CC1612" t="str">
            <v>003333 - REVTOT - Identified - Recompete - IS4</v>
          </cell>
          <cell r="CD1612" t="str">
            <v/>
          </cell>
          <cell r="CF1612" t="str">
            <v>003333 - Identified - Recompete - IS4</v>
          </cell>
        </row>
        <row r="1613">
          <cell r="D1613">
            <v>1599</v>
          </cell>
          <cell r="E1613">
            <v>2</v>
          </cell>
          <cell r="F1613">
            <v>3</v>
          </cell>
          <cell r="G1613" t="str">
            <v>003333</v>
          </cell>
          <cell r="H1613" t="str">
            <v>RADAR (Decision Tech)</v>
          </cell>
          <cell r="I1613" t="str">
            <v>IS4</v>
          </cell>
          <cell r="J1613" t="str">
            <v>IS4 Sustainment Engineering and Acquisition</v>
          </cell>
          <cell r="K1613" t="str">
            <v>Navy</v>
          </cell>
          <cell r="L1613" t="str">
            <v>DOD</v>
          </cell>
          <cell r="M1613" t="str">
            <v>VA</v>
          </cell>
          <cell r="N1613" t="str">
            <v>CONUS</v>
          </cell>
          <cell r="O1613">
            <v>43009</v>
          </cell>
          <cell r="P1613">
            <v>43685</v>
          </cell>
          <cell r="Q1613" t="str">
            <v>Sub</v>
          </cell>
          <cell r="R1613" t="str">
            <v>CPFF</v>
          </cell>
          <cell r="S1613">
            <v>0</v>
          </cell>
          <cell r="T1613">
            <v>1</v>
          </cell>
          <cell r="U1613" t="str">
            <v>CONTRACT</v>
          </cell>
          <cell r="V1613" t="str">
            <v>Base</v>
          </cell>
          <cell r="W1613" t="str">
            <v>05 Won</v>
          </cell>
          <cell r="X1613" t="str">
            <v>Active</v>
          </cell>
          <cell r="Y1613">
            <v>1</v>
          </cell>
          <cell r="Z1613">
            <v>0</v>
          </cell>
          <cell r="AA1613">
            <v>1249677.22</v>
          </cell>
          <cell r="AB1613">
            <v>91000</v>
          </cell>
          <cell r="AC1613">
            <v>0</v>
          </cell>
          <cell r="AD1613">
            <v>1340677.22</v>
          </cell>
          <cell r="AL1613">
            <v>0</v>
          </cell>
          <cell r="AM1613">
            <v>0</v>
          </cell>
          <cell r="AN1613">
            <v>0.15676832248068304</v>
          </cell>
          <cell r="AO1613">
            <v>0.16210580673518696</v>
          </cell>
          <cell r="AP1613">
            <v>0.16384045637362268</v>
          </cell>
          <cell r="AQ1613">
            <v>0.16384045637362268</v>
          </cell>
          <cell r="AR1613">
            <v>0.16384045637362268</v>
          </cell>
          <cell r="AS1613">
            <v>0.16384045637362268</v>
          </cell>
          <cell r="BF1613">
            <v>0</v>
          </cell>
          <cell r="BG1613">
            <v>0</v>
          </cell>
          <cell r="BH1613">
            <v>218969.92</v>
          </cell>
          <cell r="BI1613">
            <v>54898.439999999988</v>
          </cell>
          <cell r="BJ1613">
            <v>59806.33</v>
          </cell>
          <cell r="BK1613">
            <v>65381.890000000014</v>
          </cell>
          <cell r="BL1613">
            <v>54239.189999999973</v>
          </cell>
          <cell r="BM1613">
            <v>234325.84999999998</v>
          </cell>
          <cell r="BN1613">
            <v>219657.16757451973</v>
          </cell>
          <cell r="BO1613">
            <v>0</v>
          </cell>
          <cell r="BP1613">
            <v>0</v>
          </cell>
          <cell r="BQ1613">
            <v>0</v>
          </cell>
          <cell r="BR1613">
            <v>453983.01757451973</v>
          </cell>
          <cell r="BT1613">
            <v>0</v>
          </cell>
          <cell r="CA1613" t="str">
            <v>003333 - CONTRACT - Base</v>
          </cell>
          <cell r="CC1613" t="str">
            <v>003333 - CONTRACT - Base - IS4</v>
          </cell>
          <cell r="CD1613" t="str">
            <v/>
          </cell>
          <cell r="CF1613" t="str">
            <v>003333 - Base - IS4</v>
          </cell>
        </row>
        <row r="1614">
          <cell r="D1614">
            <v>1600</v>
          </cell>
          <cell r="E1614">
            <v>2</v>
          </cell>
          <cell r="F1614">
            <v>4</v>
          </cell>
          <cell r="G1614" t="str">
            <v>003333</v>
          </cell>
          <cell r="H1614" t="str">
            <v>RADAR (Decision Tech)</v>
          </cell>
          <cell r="I1614" t="str">
            <v>IS4</v>
          </cell>
          <cell r="J1614" t="str">
            <v>IS4 Sustainment Engineering and Acquisition</v>
          </cell>
          <cell r="K1614" t="str">
            <v>Navy</v>
          </cell>
          <cell r="L1614" t="str">
            <v>DOD</v>
          </cell>
          <cell r="M1614" t="str">
            <v>VA</v>
          </cell>
          <cell r="N1614" t="str">
            <v>CONUS</v>
          </cell>
          <cell r="O1614">
            <v>0</v>
          </cell>
          <cell r="P1614">
            <v>0</v>
          </cell>
          <cell r="Q1614">
            <v>0</v>
          </cell>
          <cell r="R1614" t="str">
            <v>CPFF</v>
          </cell>
          <cell r="S1614">
            <v>0</v>
          </cell>
          <cell r="T1614">
            <v>1</v>
          </cell>
          <cell r="U1614" t="str">
            <v>CONTRACT</v>
          </cell>
          <cell r="V1614" t="str">
            <v>Identified - Recompete</v>
          </cell>
          <cell r="W1614">
            <v>0</v>
          </cell>
          <cell r="X1614">
            <v>0</v>
          </cell>
          <cell r="Y1614">
            <v>0</v>
          </cell>
          <cell r="Z1614">
            <v>0</v>
          </cell>
          <cell r="AA1614">
            <v>0</v>
          </cell>
          <cell r="AB1614">
            <v>0</v>
          </cell>
          <cell r="AC1614">
            <v>0</v>
          </cell>
          <cell r="AD1614">
            <v>0</v>
          </cell>
          <cell r="AP1614">
            <v>0</v>
          </cell>
          <cell r="AQ1614">
            <v>0</v>
          </cell>
          <cell r="AR1614">
            <v>0</v>
          </cell>
          <cell r="AS1614">
            <v>0</v>
          </cell>
          <cell r="BI1614">
            <v>0</v>
          </cell>
          <cell r="BJ1614">
            <v>0</v>
          </cell>
          <cell r="BK1614">
            <v>0</v>
          </cell>
          <cell r="BL1614">
            <v>0</v>
          </cell>
          <cell r="BM1614">
            <v>0</v>
          </cell>
          <cell r="BN1614">
            <v>0</v>
          </cell>
          <cell r="BO1614">
            <v>0</v>
          </cell>
          <cell r="BP1614">
            <v>0</v>
          </cell>
          <cell r="BQ1614">
            <v>0</v>
          </cell>
          <cell r="BR1614">
            <v>0</v>
          </cell>
          <cell r="BT1614">
            <v>0</v>
          </cell>
          <cell r="CA1614" t="str">
            <v>003333 - CONTRACT - Identified - Recompete</v>
          </cell>
          <cell r="CC1614" t="str">
            <v>003333 - CONTRACT - Identified - Recompete - IS4</v>
          </cell>
          <cell r="CD1614" t="str">
            <v/>
          </cell>
          <cell r="CF1614" t="str">
            <v>003333 - Identified - Recompete - IS4</v>
          </cell>
        </row>
        <row r="1615">
          <cell r="D1615">
            <v>1601</v>
          </cell>
          <cell r="E1615">
            <v>0</v>
          </cell>
          <cell r="F1615">
            <v>5</v>
          </cell>
          <cell r="G1615" t="str">
            <v>003333</v>
          </cell>
          <cell r="H1615" t="str">
            <v>RADAR (Decision Tech)</v>
          </cell>
          <cell r="I1615" t="str">
            <v>IS4</v>
          </cell>
          <cell r="J1615" t="str">
            <v>IS4 Sustainment Engineering and Acquisition</v>
          </cell>
          <cell r="K1615" t="str">
            <v>Navy</v>
          </cell>
          <cell r="L1615" t="str">
            <v>DOD</v>
          </cell>
          <cell r="M1615" t="str">
            <v>VA</v>
          </cell>
          <cell r="N1615" t="str">
            <v>CONUS</v>
          </cell>
          <cell r="O1615">
            <v>43009</v>
          </cell>
          <cell r="P1615">
            <v>43685</v>
          </cell>
          <cell r="Q1615" t="str">
            <v>Sub</v>
          </cell>
          <cell r="R1615" t="str">
            <v>CPFF</v>
          </cell>
          <cell r="S1615">
            <v>0</v>
          </cell>
          <cell r="T1615">
            <v>1</v>
          </cell>
          <cell r="U1615" t="str">
            <v>EBITA</v>
          </cell>
          <cell r="V1615" t="str">
            <v>Base</v>
          </cell>
          <cell r="W1615" t="str">
            <v>05 Won</v>
          </cell>
          <cell r="X1615" t="str">
            <v>Active</v>
          </cell>
          <cell r="Y1615">
            <v>1</v>
          </cell>
          <cell r="Z1615">
            <v>0</v>
          </cell>
          <cell r="AA1615">
            <v>1249677.22</v>
          </cell>
          <cell r="AB1615">
            <v>91000</v>
          </cell>
          <cell r="AC1615">
            <v>0</v>
          </cell>
          <cell r="AD1615">
            <v>1340677.22</v>
          </cell>
          <cell r="AT1615">
            <v>0</v>
          </cell>
          <cell r="AU1615">
            <v>0</v>
          </cell>
          <cell r="AV1615">
            <v>4.1302128457400708E-2</v>
          </cell>
          <cell r="AW1615">
            <v>4.6273591022185777E-2</v>
          </cell>
          <cell r="AX1615">
            <v>4.6097720022149645E-2</v>
          </cell>
          <cell r="AY1615">
            <v>4.6097720022149645E-2</v>
          </cell>
          <cell r="AZ1615">
            <v>4.6097720022149645E-2</v>
          </cell>
          <cell r="BA1615">
            <v>4.6097720022149645E-2</v>
          </cell>
          <cell r="BF1615">
            <v>0</v>
          </cell>
          <cell r="BG1615">
            <v>0</v>
          </cell>
          <cell r="BH1615">
            <v>57689.739999999991</v>
          </cell>
          <cell r="BI1615">
            <v>17489.01999999999</v>
          </cell>
          <cell r="BJ1615">
            <v>16193.500000000004</v>
          </cell>
          <cell r="BK1615">
            <v>17595.370000000014</v>
          </cell>
          <cell r="BL1615">
            <v>15611.129999999974</v>
          </cell>
          <cell r="BM1615">
            <v>66889.019999999975</v>
          </cell>
          <cell r="BN1615">
            <v>61802.163127633925</v>
          </cell>
          <cell r="BO1615">
            <v>0</v>
          </cell>
          <cell r="BP1615">
            <v>0</v>
          </cell>
          <cell r="BQ1615">
            <v>0</v>
          </cell>
          <cell r="BR1615">
            <v>128691.18312763391</v>
          </cell>
          <cell r="BT1615">
            <v>0</v>
          </cell>
          <cell r="CA1615" t="str">
            <v>003333 - EBITA - Base</v>
          </cell>
          <cell r="CC1615" t="str">
            <v>003333 - EBITA - Base - IS4</v>
          </cell>
          <cell r="CD1615" t="str">
            <v/>
          </cell>
          <cell r="CF1615" t="str">
            <v>003333 - Base - IS4</v>
          </cell>
        </row>
        <row r="1616">
          <cell r="D1616">
            <v>1602</v>
          </cell>
          <cell r="E1616">
            <v>0</v>
          </cell>
          <cell r="F1616">
            <v>0</v>
          </cell>
          <cell r="G1616" t="str">
            <v>003333</v>
          </cell>
          <cell r="H1616" t="str">
            <v>RADAR (Decision Tech)</v>
          </cell>
          <cell r="I1616" t="str">
            <v>IS4</v>
          </cell>
          <cell r="J1616" t="str">
            <v>IS4 Sustainment Engineering and Acquisition</v>
          </cell>
          <cell r="K1616" t="str">
            <v>Navy</v>
          </cell>
          <cell r="L1616" t="str">
            <v>DOD</v>
          </cell>
          <cell r="M1616" t="str">
            <v>VA</v>
          </cell>
          <cell r="N1616" t="str">
            <v>CONUS</v>
          </cell>
          <cell r="O1616">
            <v>0</v>
          </cell>
          <cell r="P1616">
            <v>0</v>
          </cell>
          <cell r="Q1616">
            <v>0</v>
          </cell>
          <cell r="R1616" t="str">
            <v>CPFF</v>
          </cell>
          <cell r="S1616">
            <v>0</v>
          </cell>
          <cell r="T1616">
            <v>1</v>
          </cell>
          <cell r="U1616" t="str">
            <v>EBITA</v>
          </cell>
          <cell r="V1616" t="str">
            <v>Identified - Recompete</v>
          </cell>
          <cell r="W1616">
            <v>0</v>
          </cell>
          <cell r="X1616">
            <v>0</v>
          </cell>
          <cell r="Y1616">
            <v>0</v>
          </cell>
          <cell r="Z1616">
            <v>0</v>
          </cell>
          <cell r="AA1616">
            <v>0</v>
          </cell>
          <cell r="AB1616">
            <v>0</v>
          </cell>
          <cell r="AC1616">
            <v>0</v>
          </cell>
          <cell r="AD1616">
            <v>0</v>
          </cell>
          <cell r="AX1616">
            <v>0</v>
          </cell>
          <cell r="AY1616">
            <v>0</v>
          </cell>
          <cell r="AZ1616">
            <v>0</v>
          </cell>
          <cell r="BA1616">
            <v>0</v>
          </cell>
          <cell r="BI1616">
            <v>0</v>
          </cell>
          <cell r="BJ1616">
            <v>0</v>
          </cell>
          <cell r="BK1616">
            <v>0</v>
          </cell>
          <cell r="BL1616">
            <v>0</v>
          </cell>
          <cell r="BM1616">
            <v>0</v>
          </cell>
          <cell r="BN1616">
            <v>0</v>
          </cell>
          <cell r="BO1616">
            <v>0</v>
          </cell>
          <cell r="BP1616">
            <v>0</v>
          </cell>
          <cell r="BQ1616">
            <v>0</v>
          </cell>
          <cell r="BR1616">
            <v>0</v>
          </cell>
          <cell r="BT1616">
            <v>0</v>
          </cell>
          <cell r="CA1616" t="str">
            <v>003333 - EBITA - Identified - Recompete</v>
          </cell>
          <cell r="CC1616" t="str">
            <v>003333 - EBITA - Identified - Recompete - IS4</v>
          </cell>
          <cell r="CD1616" t="str">
            <v/>
          </cell>
          <cell r="CF1616" t="str">
            <v>003333 - Identified - Recompete - IS4</v>
          </cell>
        </row>
        <row r="1617">
          <cell r="D1617">
            <v>1603</v>
          </cell>
          <cell r="E1617">
            <v>1</v>
          </cell>
          <cell r="F1617">
            <v>1</v>
          </cell>
          <cell r="G1617" t="str">
            <v>003122</v>
          </cell>
          <cell r="H1617" t="str">
            <v>MARMC C4I Systems (3122)</v>
          </cell>
          <cell r="I1617" t="str">
            <v>IS4</v>
          </cell>
          <cell r="J1617" t="str">
            <v>IS4 Sustainment Engineering and Acquisition</v>
          </cell>
          <cell r="K1617" t="str">
            <v>Navy</v>
          </cell>
          <cell r="L1617" t="str">
            <v>DOD</v>
          </cell>
          <cell r="M1617" t="str">
            <v>VA</v>
          </cell>
          <cell r="N1617" t="str">
            <v>CONUS</v>
          </cell>
          <cell r="O1617">
            <v>42370</v>
          </cell>
          <cell r="P1617">
            <v>45291</v>
          </cell>
          <cell r="Q1617" t="str">
            <v>Prime</v>
          </cell>
          <cell r="R1617" t="str">
            <v>CPFF</v>
          </cell>
          <cell r="S1617">
            <v>0</v>
          </cell>
          <cell r="T1617">
            <v>1</v>
          </cell>
          <cell r="U1617" t="str">
            <v>REVTOT</v>
          </cell>
          <cell r="V1617" t="str">
            <v>Base</v>
          </cell>
          <cell r="W1617" t="str">
            <v>05 Won</v>
          </cell>
          <cell r="X1617" t="str">
            <v>Active</v>
          </cell>
          <cell r="Y1617">
            <v>1</v>
          </cell>
          <cell r="Z1617">
            <v>0</v>
          </cell>
          <cell r="AA1617">
            <v>3795198.46</v>
          </cell>
          <cell r="AB1617">
            <v>761211</v>
          </cell>
          <cell r="AC1617">
            <v>0</v>
          </cell>
          <cell r="AD1617">
            <v>4556409.46</v>
          </cell>
          <cell r="AE1617">
            <v>3.3479383549305322</v>
          </cell>
          <cell r="AF1617">
            <v>-1.7570426300720809E-2</v>
          </cell>
          <cell r="AG1617">
            <v>-1.1747320702029218E-2</v>
          </cell>
          <cell r="AH1617">
            <v>-0.13537813220804895</v>
          </cell>
          <cell r="AI1617">
            <v>0</v>
          </cell>
          <cell r="AJ1617">
            <v>0</v>
          </cell>
          <cell r="AK1617">
            <v>0</v>
          </cell>
          <cell r="BB1617">
            <v>1172511</v>
          </cell>
          <cell r="BC1617">
            <v>1172511</v>
          </cell>
          <cell r="BD1617">
            <v>1172511</v>
          </cell>
          <cell r="BE1617">
            <v>1172511</v>
          </cell>
          <cell r="BF1617">
            <v>321246.13</v>
          </cell>
          <cell r="BG1617">
            <v>1396758.3699999999</v>
          </cell>
          <cell r="BH1617">
            <v>1372216.73</v>
          </cell>
          <cell r="BI1617">
            <v>309096.15000000002</v>
          </cell>
          <cell r="BJ1617">
            <v>359450.64</v>
          </cell>
          <cell r="BK1617">
            <v>341013.64</v>
          </cell>
          <cell r="BL1617">
            <v>346536.43</v>
          </cell>
          <cell r="BM1617">
            <v>1356096.86</v>
          </cell>
          <cell r="BN1617">
            <v>1172511</v>
          </cell>
          <cell r="BO1617">
            <v>1172511</v>
          </cell>
          <cell r="BP1617">
            <v>1172511</v>
          </cell>
          <cell r="BQ1617">
            <v>1038876.46</v>
          </cell>
          <cell r="BR1617">
            <v>5912506.3200000003</v>
          </cell>
          <cell r="BT1617">
            <v>0</v>
          </cell>
          <cell r="CA1617" t="str">
            <v>003122 - REVTOT - Base</v>
          </cell>
          <cell r="CC1617" t="str">
            <v>003122 - REVTOT - Base - IS4</v>
          </cell>
          <cell r="CD1617" t="str">
            <v/>
          </cell>
          <cell r="CF1617" t="str">
            <v>003122 - Base - IS4</v>
          </cell>
        </row>
        <row r="1618">
          <cell r="D1618">
            <v>1604</v>
          </cell>
          <cell r="E1618">
            <v>1</v>
          </cell>
          <cell r="F1618">
            <v>2</v>
          </cell>
          <cell r="G1618" t="str">
            <v>003122</v>
          </cell>
          <cell r="H1618" t="str">
            <v>MARMC C4I Systems (3122)</v>
          </cell>
          <cell r="I1618" t="str">
            <v>IS4</v>
          </cell>
          <cell r="J1618" t="str">
            <v>IS4 Sustainment Engineering and Acquisition</v>
          </cell>
          <cell r="K1618" t="str">
            <v>Navy</v>
          </cell>
          <cell r="L1618" t="str">
            <v>DOD</v>
          </cell>
          <cell r="M1618" t="str">
            <v>VA</v>
          </cell>
          <cell r="N1618" t="str">
            <v>CONUS</v>
          </cell>
          <cell r="O1618">
            <v>0</v>
          </cell>
          <cell r="P1618">
            <v>0</v>
          </cell>
          <cell r="Q1618">
            <v>0</v>
          </cell>
          <cell r="R1618" t="str">
            <v>CPFF</v>
          </cell>
          <cell r="S1618">
            <v>0</v>
          </cell>
          <cell r="T1618">
            <v>1</v>
          </cell>
          <cell r="U1618" t="str">
            <v>REVTOT</v>
          </cell>
          <cell r="V1618" t="str">
            <v>Identified - Recompete</v>
          </cell>
          <cell r="W1618">
            <v>0</v>
          </cell>
          <cell r="X1618">
            <v>0</v>
          </cell>
          <cell r="Y1618">
            <v>0</v>
          </cell>
          <cell r="Z1618">
            <v>0</v>
          </cell>
          <cell r="AA1618">
            <v>0</v>
          </cell>
          <cell r="AB1618">
            <v>0</v>
          </cell>
          <cell r="AC1618">
            <v>0</v>
          </cell>
          <cell r="AD1618">
            <v>0</v>
          </cell>
          <cell r="AI1618">
            <v>0</v>
          </cell>
          <cell r="AJ1618">
            <v>0</v>
          </cell>
          <cell r="AK1618">
            <v>0</v>
          </cell>
          <cell r="BB1618">
            <v>0</v>
          </cell>
          <cell r="BC1618">
            <v>0</v>
          </cell>
          <cell r="BD1618">
            <v>0</v>
          </cell>
          <cell r="BE1618">
            <v>0</v>
          </cell>
          <cell r="BI1618">
            <v>0</v>
          </cell>
          <cell r="BJ1618">
            <v>0</v>
          </cell>
          <cell r="BK1618">
            <v>0</v>
          </cell>
          <cell r="BL1618">
            <v>0</v>
          </cell>
          <cell r="BM1618">
            <v>0</v>
          </cell>
          <cell r="BN1618">
            <v>0</v>
          </cell>
          <cell r="BO1618">
            <v>0</v>
          </cell>
          <cell r="BP1618">
            <v>0</v>
          </cell>
          <cell r="BQ1618">
            <v>0</v>
          </cell>
          <cell r="BR1618">
            <v>0</v>
          </cell>
          <cell r="BT1618">
            <v>0</v>
          </cell>
          <cell r="CA1618" t="str">
            <v>003122 - REVTOT - Identified - Recompete</v>
          </cell>
          <cell r="CC1618" t="str">
            <v>003122 - REVTOT - Identified - Recompete - IS4</v>
          </cell>
          <cell r="CD1618" t="str">
            <v/>
          </cell>
          <cell r="CF1618" t="str">
            <v>003122 - Identified - Recompete - IS4</v>
          </cell>
        </row>
        <row r="1619">
          <cell r="D1619">
            <v>1605</v>
          </cell>
          <cell r="E1619">
            <v>2</v>
          </cell>
          <cell r="F1619">
            <v>3</v>
          </cell>
          <cell r="G1619" t="str">
            <v>003122</v>
          </cell>
          <cell r="H1619" t="str">
            <v>MARMC C4I Systems (3122)</v>
          </cell>
          <cell r="I1619" t="str">
            <v>IS4</v>
          </cell>
          <cell r="J1619" t="str">
            <v>IS4 Sustainment Engineering and Acquisition</v>
          </cell>
          <cell r="K1619" t="str">
            <v>Navy</v>
          </cell>
          <cell r="L1619" t="str">
            <v>DOD</v>
          </cell>
          <cell r="M1619" t="str">
            <v>VA</v>
          </cell>
          <cell r="N1619" t="str">
            <v>CONUS</v>
          </cell>
          <cell r="O1619">
            <v>42370</v>
          </cell>
          <cell r="P1619">
            <v>45291</v>
          </cell>
          <cell r="Q1619" t="str">
            <v>Prime</v>
          </cell>
          <cell r="R1619" t="str">
            <v>CPFF</v>
          </cell>
          <cell r="S1619">
            <v>0</v>
          </cell>
          <cell r="T1619">
            <v>1</v>
          </cell>
          <cell r="U1619" t="str">
            <v>CONTRACT</v>
          </cell>
          <cell r="V1619" t="str">
            <v>Base</v>
          </cell>
          <cell r="W1619" t="str">
            <v>05 Won</v>
          </cell>
          <cell r="X1619" t="str">
            <v>Active</v>
          </cell>
          <cell r="Y1619">
            <v>1</v>
          </cell>
          <cell r="Z1619">
            <v>0</v>
          </cell>
          <cell r="AA1619">
            <v>3795198.46</v>
          </cell>
          <cell r="AB1619">
            <v>761211</v>
          </cell>
          <cell r="AC1619">
            <v>0</v>
          </cell>
          <cell r="AD1619">
            <v>4556409.46</v>
          </cell>
          <cell r="AL1619">
            <v>7.5491150663822823E-2</v>
          </cell>
          <cell r="AM1619">
            <v>0.1416062679474045</v>
          </cell>
          <cell r="AN1619">
            <v>0.15227605481825018</v>
          </cell>
          <cell r="AO1619">
            <v>0.15591815469582312</v>
          </cell>
          <cell r="AP1619">
            <v>0.15804199261243604</v>
          </cell>
          <cell r="AQ1619">
            <v>0.15804199261243604</v>
          </cell>
          <cell r="AR1619">
            <v>0.15804199261243604</v>
          </cell>
          <cell r="AS1619">
            <v>0.15804199261243604</v>
          </cell>
          <cell r="BF1619">
            <v>24251.240000000013</v>
          </cell>
          <cell r="BG1619">
            <v>197789.73999999993</v>
          </cell>
          <cell r="BH1619">
            <v>208955.75</v>
          </cell>
          <cell r="BI1619">
            <v>50387.660000000018</v>
          </cell>
          <cell r="BJ1619">
            <v>54869.259999999995</v>
          </cell>
          <cell r="BK1619">
            <v>51000.040000000008</v>
          </cell>
          <cell r="BL1619">
            <v>55183.16</v>
          </cell>
          <cell r="BM1619">
            <v>211440.12000000002</v>
          </cell>
          <cell r="BN1619">
            <v>185305.9748</v>
          </cell>
          <cell r="BO1619">
            <v>185305.9748</v>
          </cell>
          <cell r="BP1619">
            <v>185305.9748</v>
          </cell>
          <cell r="BQ1619">
            <v>164186.1058165537</v>
          </cell>
          <cell r="BR1619">
            <v>931544.15021655371</v>
          </cell>
          <cell r="BT1619">
            <v>0</v>
          </cell>
          <cell r="CA1619" t="str">
            <v>003122 - CONTRACT - Base</v>
          </cell>
          <cell r="CC1619" t="str">
            <v>003122 - CONTRACT - Base - IS4</v>
          </cell>
          <cell r="CD1619" t="str">
            <v/>
          </cell>
          <cell r="CF1619" t="str">
            <v>003122 - Base - IS4</v>
          </cell>
        </row>
        <row r="1620">
          <cell r="D1620">
            <v>1606</v>
          </cell>
          <cell r="E1620">
            <v>2</v>
          </cell>
          <cell r="F1620">
            <v>4</v>
          </cell>
          <cell r="G1620" t="str">
            <v>003122</v>
          </cell>
          <cell r="H1620" t="str">
            <v>MARMC C4I Systems (3122)</v>
          </cell>
          <cell r="I1620" t="str">
            <v>IS4</v>
          </cell>
          <cell r="J1620" t="str">
            <v>IS4 Sustainment Engineering and Acquisition</v>
          </cell>
          <cell r="K1620" t="str">
            <v>Navy</v>
          </cell>
          <cell r="L1620" t="str">
            <v>DOD</v>
          </cell>
          <cell r="M1620" t="str">
            <v>VA</v>
          </cell>
          <cell r="N1620" t="str">
            <v>CONUS</v>
          </cell>
          <cell r="O1620">
            <v>0</v>
          </cell>
          <cell r="P1620">
            <v>0</v>
          </cell>
          <cell r="Q1620">
            <v>0</v>
          </cell>
          <cell r="R1620" t="str">
            <v>CPFF</v>
          </cell>
          <cell r="S1620">
            <v>0</v>
          </cell>
          <cell r="T1620">
            <v>1</v>
          </cell>
          <cell r="U1620" t="str">
            <v>CONTRACT</v>
          </cell>
          <cell r="V1620" t="str">
            <v>Identified - Recompete</v>
          </cell>
          <cell r="W1620">
            <v>0</v>
          </cell>
          <cell r="X1620">
            <v>0</v>
          </cell>
          <cell r="Y1620">
            <v>0</v>
          </cell>
          <cell r="Z1620">
            <v>0</v>
          </cell>
          <cell r="AA1620">
            <v>0</v>
          </cell>
          <cell r="AB1620">
            <v>0</v>
          </cell>
          <cell r="AC1620">
            <v>0</v>
          </cell>
          <cell r="AD1620">
            <v>0</v>
          </cell>
          <cell r="AP1620">
            <v>0</v>
          </cell>
          <cell r="AQ1620">
            <v>0</v>
          </cell>
          <cell r="AR1620">
            <v>0</v>
          </cell>
          <cell r="AS1620">
            <v>0</v>
          </cell>
          <cell r="BI1620">
            <v>0</v>
          </cell>
          <cell r="BJ1620">
            <v>0</v>
          </cell>
          <cell r="BK1620">
            <v>0</v>
          </cell>
          <cell r="BL1620">
            <v>0</v>
          </cell>
          <cell r="BM1620">
            <v>0</v>
          </cell>
          <cell r="BN1620">
            <v>0</v>
          </cell>
          <cell r="BO1620">
            <v>0</v>
          </cell>
          <cell r="BP1620">
            <v>0</v>
          </cell>
          <cell r="BQ1620">
            <v>0</v>
          </cell>
          <cell r="BR1620">
            <v>0</v>
          </cell>
          <cell r="BT1620">
            <v>0</v>
          </cell>
          <cell r="CA1620" t="str">
            <v>003122 - CONTRACT - Identified - Recompete</v>
          </cell>
          <cell r="CC1620" t="str">
            <v>003122 - CONTRACT - Identified - Recompete - IS4</v>
          </cell>
          <cell r="CD1620" t="str">
            <v/>
          </cell>
          <cell r="CF1620" t="str">
            <v>003122 - Identified - Recompete - IS4</v>
          </cell>
        </row>
        <row r="1621">
          <cell r="D1621">
            <v>1607</v>
          </cell>
          <cell r="E1621">
            <v>0</v>
          </cell>
          <cell r="F1621">
            <v>5</v>
          </cell>
          <cell r="G1621" t="str">
            <v>003122</v>
          </cell>
          <cell r="H1621" t="str">
            <v>MARMC C4I Systems (3122)</v>
          </cell>
          <cell r="I1621" t="str">
            <v>IS4</v>
          </cell>
          <cell r="J1621" t="str">
            <v>IS4 Sustainment Engineering and Acquisition</v>
          </cell>
          <cell r="K1621" t="str">
            <v>Navy</v>
          </cell>
          <cell r="L1621" t="str">
            <v>DOD</v>
          </cell>
          <cell r="M1621" t="str">
            <v>VA</v>
          </cell>
          <cell r="N1621" t="str">
            <v>CONUS</v>
          </cell>
          <cell r="O1621">
            <v>42370</v>
          </cell>
          <cell r="P1621">
            <v>45291</v>
          </cell>
          <cell r="Q1621" t="str">
            <v>Prime</v>
          </cell>
          <cell r="R1621" t="str">
            <v>CPFF</v>
          </cell>
          <cell r="S1621">
            <v>0</v>
          </cell>
          <cell r="T1621">
            <v>1</v>
          </cell>
          <cell r="U1621" t="str">
            <v>EBITA</v>
          </cell>
          <cell r="V1621" t="str">
            <v>Base</v>
          </cell>
          <cell r="W1621" t="str">
            <v>05 Won</v>
          </cell>
          <cell r="X1621" t="str">
            <v>Active</v>
          </cell>
          <cell r="Y1621">
            <v>1</v>
          </cell>
          <cell r="Z1621">
            <v>0</v>
          </cell>
          <cell r="AA1621">
            <v>3795198.46</v>
          </cell>
          <cell r="AB1621">
            <v>761211</v>
          </cell>
          <cell r="AC1621">
            <v>0</v>
          </cell>
          <cell r="AD1621">
            <v>4556409.46</v>
          </cell>
          <cell r="AT1621">
            <v>2.3845174415019453E-2</v>
          </cell>
          <cell r="AU1621">
            <v>4.0172889746134074E-2</v>
          </cell>
          <cell r="AV1621">
            <v>4.7903256506718152E-2</v>
          </cell>
          <cell r="AW1621">
            <v>3.9849388044449881E-2</v>
          </cell>
          <cell r="AX1621">
            <v>4.2901276385080248E-2</v>
          </cell>
          <cell r="AY1621">
            <v>4.2901276385080248E-2</v>
          </cell>
          <cell r="AZ1621">
            <v>4.2901276385080248E-2</v>
          </cell>
          <cell r="BA1621">
            <v>4.2901276385080248E-2</v>
          </cell>
          <cell r="BF1621">
            <v>7660.1700000000128</v>
          </cell>
          <cell r="BG1621">
            <v>56111.819999999934</v>
          </cell>
          <cell r="BH1621">
            <v>65733.650000000009</v>
          </cell>
          <cell r="BI1621">
            <v>13496.610000000017</v>
          </cell>
          <cell r="BJ1621">
            <v>13755.739999999994</v>
          </cell>
          <cell r="BK1621">
            <v>12405.30000000001</v>
          </cell>
          <cell r="BL1621">
            <v>14381.980000000003</v>
          </cell>
          <cell r="BM1621">
            <v>54039.630000000026</v>
          </cell>
          <cell r="BN1621">
            <v>50302.218475546826</v>
          </cell>
          <cell r="BO1621">
            <v>50302.218475546826</v>
          </cell>
          <cell r="BP1621">
            <v>50302.218475546826</v>
          </cell>
          <cell r="BQ1621">
            <v>44569.126140413762</v>
          </cell>
          <cell r="BR1621">
            <v>249515.41156705428</v>
          </cell>
          <cell r="BT1621">
            <v>0</v>
          </cell>
          <cell r="CA1621" t="str">
            <v>003122 - EBITA - Base</v>
          </cell>
          <cell r="CC1621" t="str">
            <v>003122 - EBITA - Base - IS4</v>
          </cell>
          <cell r="CD1621" t="str">
            <v/>
          </cell>
          <cell r="CF1621" t="str">
            <v>003122 - Base - IS4</v>
          </cell>
        </row>
        <row r="1622">
          <cell r="D1622">
            <v>1608</v>
          </cell>
          <cell r="E1622">
            <v>0</v>
          </cell>
          <cell r="F1622">
            <v>0</v>
          </cell>
          <cell r="G1622" t="str">
            <v>003122</v>
          </cell>
          <cell r="H1622" t="str">
            <v>MARMC C4I Systems (3122)</v>
          </cell>
          <cell r="I1622" t="str">
            <v>IS4</v>
          </cell>
          <cell r="J1622" t="str">
            <v>IS4 Sustainment Engineering and Acquisition</v>
          </cell>
          <cell r="K1622" t="str">
            <v>Navy</v>
          </cell>
          <cell r="L1622" t="str">
            <v>DOD</v>
          </cell>
          <cell r="M1622" t="str">
            <v>VA</v>
          </cell>
          <cell r="N1622" t="str">
            <v>CONUS</v>
          </cell>
          <cell r="O1622">
            <v>0</v>
          </cell>
          <cell r="P1622">
            <v>0</v>
          </cell>
          <cell r="Q1622">
            <v>0</v>
          </cell>
          <cell r="R1622" t="str">
            <v>CPFF</v>
          </cell>
          <cell r="S1622">
            <v>0</v>
          </cell>
          <cell r="T1622">
            <v>1</v>
          </cell>
          <cell r="U1622" t="str">
            <v>EBITA</v>
          </cell>
          <cell r="V1622" t="str">
            <v>Identified - Recompete</v>
          </cell>
          <cell r="W1622">
            <v>0</v>
          </cell>
          <cell r="X1622">
            <v>0</v>
          </cell>
          <cell r="Y1622">
            <v>0</v>
          </cell>
          <cell r="Z1622">
            <v>0</v>
          </cell>
          <cell r="AA1622">
            <v>0</v>
          </cell>
          <cell r="AB1622">
            <v>0</v>
          </cell>
          <cell r="AC1622">
            <v>0</v>
          </cell>
          <cell r="AD1622">
            <v>0</v>
          </cell>
          <cell r="AX1622">
            <v>0</v>
          </cell>
          <cell r="AY1622">
            <v>0</v>
          </cell>
          <cell r="AZ1622">
            <v>0</v>
          </cell>
          <cell r="BA1622">
            <v>0</v>
          </cell>
          <cell r="BI1622">
            <v>0</v>
          </cell>
          <cell r="BJ1622">
            <v>0</v>
          </cell>
          <cell r="BK1622">
            <v>0</v>
          </cell>
          <cell r="BL1622">
            <v>0</v>
          </cell>
          <cell r="BM1622">
            <v>0</v>
          </cell>
          <cell r="BN1622">
            <v>0</v>
          </cell>
          <cell r="BO1622">
            <v>0</v>
          </cell>
          <cell r="BP1622">
            <v>0</v>
          </cell>
          <cell r="BQ1622">
            <v>0</v>
          </cell>
          <cell r="BR1622">
            <v>0</v>
          </cell>
          <cell r="BT1622">
            <v>0</v>
          </cell>
          <cell r="CA1622" t="str">
            <v>003122 - EBITA - Identified - Recompete</v>
          </cell>
          <cell r="CC1622" t="str">
            <v>003122 - EBITA - Identified - Recompete - IS4</v>
          </cell>
          <cell r="CD1622" t="str">
            <v/>
          </cell>
          <cell r="CF1622" t="str">
            <v>003122 - Identified - Recompete - IS4</v>
          </cell>
        </row>
        <row r="1623">
          <cell r="D1623">
            <v>1609</v>
          </cell>
          <cell r="E1623">
            <v>1</v>
          </cell>
          <cell r="F1623">
            <v>1</v>
          </cell>
          <cell r="G1623" t="str">
            <v>ASITC2</v>
          </cell>
          <cell r="H1623" t="str">
            <v>ASIT C2 System</v>
          </cell>
          <cell r="I1623" t="str">
            <v>IS4</v>
          </cell>
          <cell r="J1623" t="str">
            <v>IS4 Spectrum &amp; Infrastructure Assurance</v>
          </cell>
          <cell r="K1623" t="str">
            <v>Navy</v>
          </cell>
          <cell r="L1623" t="str">
            <v>DOD</v>
          </cell>
          <cell r="M1623" t="str">
            <v>VA</v>
          </cell>
          <cell r="N1623" t="str">
            <v>CONUS</v>
          </cell>
          <cell r="O1623">
            <v>42736</v>
          </cell>
          <cell r="P1623">
            <v>44561</v>
          </cell>
          <cell r="Q1623" t="str">
            <v>Prime</v>
          </cell>
          <cell r="R1623" t="str">
            <v>CPFF</v>
          </cell>
          <cell r="S1623">
            <v>0</v>
          </cell>
          <cell r="T1623">
            <v>1</v>
          </cell>
          <cell r="U1623" t="str">
            <v>REVTOT</v>
          </cell>
          <cell r="V1623" t="str">
            <v>Base</v>
          </cell>
          <cell r="W1623" t="str">
            <v>05 Won</v>
          </cell>
          <cell r="X1623" t="str">
            <v>Active</v>
          </cell>
          <cell r="Y1623">
            <v>1</v>
          </cell>
          <cell r="Z1623">
            <v>0</v>
          </cell>
          <cell r="AA1623">
            <v>10251241.849840006</v>
          </cell>
          <cell r="AB1623">
            <v>8934009</v>
          </cell>
          <cell r="AC1623">
            <v>0</v>
          </cell>
          <cell r="AD1623">
            <v>19185250.849840008</v>
          </cell>
          <cell r="AE1623">
            <v>0</v>
          </cell>
          <cell r="AF1623">
            <v>0.34573964033046667</v>
          </cell>
          <cell r="AG1623">
            <v>-7.4307087795116744E-2</v>
          </cell>
          <cell r="AH1623">
            <v>-0.30704470956288799</v>
          </cell>
          <cell r="AI1623">
            <v>0</v>
          </cell>
          <cell r="AJ1623">
            <v>0</v>
          </cell>
          <cell r="AK1623">
            <v>0</v>
          </cell>
          <cell r="BB1623">
            <v>790860.21328999999</v>
          </cell>
          <cell r="BC1623">
            <v>790860.21328999999</v>
          </cell>
          <cell r="BD1623">
            <v>790860.21328999999</v>
          </cell>
          <cell r="BE1623">
            <v>790860.21328999999</v>
          </cell>
          <cell r="BF1623">
            <v>0</v>
          </cell>
          <cell r="BG1623">
            <v>916149.87999999989</v>
          </cell>
          <cell r="BH1623">
            <v>1232899.21</v>
          </cell>
          <cell r="BI1623">
            <v>254081.09</v>
          </cell>
          <cell r="BJ1623">
            <v>261557.89</v>
          </cell>
          <cell r="BK1623">
            <v>319427.97000000003</v>
          </cell>
          <cell r="BL1623">
            <v>306219.11015999998</v>
          </cell>
          <cell r="BM1623">
            <v>1141286.0601599999</v>
          </cell>
          <cell r="BN1623">
            <v>790860.21328999999</v>
          </cell>
          <cell r="BO1623">
            <v>790860.21328999999</v>
          </cell>
          <cell r="BP1623">
            <v>197715.0533225</v>
          </cell>
          <cell r="BQ1623">
            <v>0</v>
          </cell>
          <cell r="BR1623">
            <v>2920721.5400624997</v>
          </cell>
          <cell r="BT1623">
            <v>0</v>
          </cell>
          <cell r="CA1623" t="str">
            <v>ASITC2 - REVTOT - Base</v>
          </cell>
          <cell r="CC1623" t="str">
            <v>ASITC2 - REVTOT - Base - IS4</v>
          </cell>
          <cell r="CD1623" t="str">
            <v/>
          </cell>
          <cell r="CF1623" t="str">
            <v>ASITC2 - Base - IS4</v>
          </cell>
        </row>
        <row r="1624">
          <cell r="D1624">
            <v>1610</v>
          </cell>
          <cell r="E1624">
            <v>1</v>
          </cell>
          <cell r="F1624">
            <v>2</v>
          </cell>
          <cell r="G1624" t="str">
            <v>ASITC2</v>
          </cell>
          <cell r="H1624" t="str">
            <v>ASIT C2 System</v>
          </cell>
          <cell r="I1624" t="str">
            <v>IS4</v>
          </cell>
          <cell r="J1624" t="str">
            <v>IS4 Spectrum &amp; Infrastructure Assurance</v>
          </cell>
          <cell r="K1624" t="str">
            <v>Navy</v>
          </cell>
          <cell r="L1624" t="str">
            <v>DOD</v>
          </cell>
          <cell r="M1624" t="str">
            <v>VA</v>
          </cell>
          <cell r="N1624" t="str">
            <v>CONUS</v>
          </cell>
          <cell r="O1624">
            <v>44562</v>
          </cell>
          <cell r="P1624">
            <v>46388</v>
          </cell>
          <cell r="Q1624" t="str">
            <v>Prime</v>
          </cell>
          <cell r="R1624" t="str">
            <v>CPFF</v>
          </cell>
          <cell r="S1624">
            <v>0</v>
          </cell>
          <cell r="T1624">
            <v>1</v>
          </cell>
          <cell r="U1624" t="str">
            <v>REVTOT</v>
          </cell>
          <cell r="V1624" t="str">
            <v>Identified - Recompete</v>
          </cell>
          <cell r="W1624" t="str">
            <v>01 Prospect</v>
          </cell>
          <cell r="X1624" t="str">
            <v>Priority 3</v>
          </cell>
          <cell r="Y1624">
            <v>0.6</v>
          </cell>
          <cell r="Z1624">
            <v>30000000</v>
          </cell>
          <cell r="AA1624">
            <v>0</v>
          </cell>
          <cell r="AB1624">
            <v>0</v>
          </cell>
          <cell r="AC1624">
            <v>0</v>
          </cell>
          <cell r="AD1624">
            <v>0</v>
          </cell>
          <cell r="AI1624">
            <v>0</v>
          </cell>
          <cell r="AJ1624">
            <v>0</v>
          </cell>
          <cell r="AK1624">
            <v>0</v>
          </cell>
          <cell r="BB1624">
            <v>6000000</v>
          </cell>
          <cell r="BC1624">
            <v>6000000</v>
          </cell>
          <cell r="BD1624">
            <v>6000000</v>
          </cell>
          <cell r="BE1624">
            <v>6000000</v>
          </cell>
          <cell r="BI1624">
            <v>0</v>
          </cell>
          <cell r="BJ1624">
            <v>0</v>
          </cell>
          <cell r="BK1624">
            <v>0</v>
          </cell>
          <cell r="BL1624">
            <v>0</v>
          </cell>
          <cell r="BM1624">
            <v>0</v>
          </cell>
          <cell r="BN1624">
            <v>0</v>
          </cell>
          <cell r="BO1624">
            <v>0</v>
          </cell>
          <cell r="BP1624">
            <v>2689999.9999999995</v>
          </cell>
          <cell r="BQ1624">
            <v>3600000</v>
          </cell>
          <cell r="BR1624">
            <v>6290000</v>
          </cell>
          <cell r="BT1624">
            <v>0</v>
          </cell>
          <cell r="CA1624" t="str">
            <v>ASITC2 - REVTOT - Identified - Recompete</v>
          </cell>
          <cell r="CC1624" t="str">
            <v>ASITC2 - REVTOT - Identified - Recompete - IS4</v>
          </cell>
          <cell r="CD1624" t="str">
            <v/>
          </cell>
          <cell r="CF1624" t="str">
            <v>ASITC2 - Identified - Recompete - IS4</v>
          </cell>
        </row>
        <row r="1625">
          <cell r="D1625">
            <v>1611</v>
          </cell>
          <cell r="E1625">
            <v>2</v>
          </cell>
          <cell r="F1625">
            <v>3</v>
          </cell>
          <cell r="G1625" t="str">
            <v>ASITC2</v>
          </cell>
          <cell r="H1625" t="str">
            <v>ASIT C2 System</v>
          </cell>
          <cell r="I1625" t="str">
            <v>IS4</v>
          </cell>
          <cell r="J1625" t="str">
            <v>IS4 Spectrum &amp; Infrastructure Assurance</v>
          </cell>
          <cell r="K1625" t="str">
            <v>Navy</v>
          </cell>
          <cell r="L1625" t="str">
            <v>DOD</v>
          </cell>
          <cell r="M1625" t="str">
            <v>VA</v>
          </cell>
          <cell r="N1625" t="str">
            <v>CONUS</v>
          </cell>
          <cell r="O1625">
            <v>42736</v>
          </cell>
          <cell r="P1625">
            <v>44561</v>
          </cell>
          <cell r="Q1625" t="str">
            <v>Prime</v>
          </cell>
          <cell r="R1625" t="str">
            <v>CPFF</v>
          </cell>
          <cell r="S1625">
            <v>0</v>
          </cell>
          <cell r="T1625">
            <v>1</v>
          </cell>
          <cell r="U1625" t="str">
            <v>CONTRACT</v>
          </cell>
          <cell r="V1625" t="str">
            <v>Base</v>
          </cell>
          <cell r="W1625" t="str">
            <v>05 Won</v>
          </cell>
          <cell r="X1625" t="str">
            <v>Active</v>
          </cell>
          <cell r="Y1625">
            <v>1</v>
          </cell>
          <cell r="Z1625">
            <v>0</v>
          </cell>
          <cell r="AA1625">
            <v>10251241.849840006</v>
          </cell>
          <cell r="AB1625">
            <v>8934009</v>
          </cell>
          <cell r="AC1625">
            <v>0</v>
          </cell>
          <cell r="AD1625">
            <v>19185250.849840008</v>
          </cell>
          <cell r="AL1625">
            <v>0</v>
          </cell>
          <cell r="AM1625">
            <v>0.10384595586041012</v>
          </cell>
          <cell r="AN1625">
            <v>0.10443160232051731</v>
          </cell>
          <cell r="AO1625">
            <v>0.11909600666247047</v>
          </cell>
          <cell r="AP1625">
            <v>0.16397888330354796</v>
          </cell>
          <cell r="AQ1625">
            <v>0.16397888330354796</v>
          </cell>
          <cell r="AR1625">
            <v>0.16397888330354796</v>
          </cell>
          <cell r="AS1625">
            <v>0.16397888330354796</v>
          </cell>
          <cell r="BF1625">
            <v>0</v>
          </cell>
          <cell r="BG1625">
            <v>95138.460000000021</v>
          </cell>
          <cell r="BH1625">
            <v>128753.63999999996</v>
          </cell>
          <cell r="BI1625">
            <v>31737.72</v>
          </cell>
          <cell r="BJ1625">
            <v>31760.339999999997</v>
          </cell>
          <cell r="BK1625">
            <v>35899.190000000017</v>
          </cell>
          <cell r="BL1625">
            <v>36525.362224600001</v>
          </cell>
          <cell r="BM1625">
            <v>135922.61222460002</v>
          </cell>
          <cell r="BN1625">
            <v>129684.37462449995</v>
          </cell>
          <cell r="BO1625">
            <v>129684.37462449995</v>
          </cell>
          <cell r="BP1625">
            <v>32421.093656124987</v>
          </cell>
          <cell r="BQ1625">
            <v>0</v>
          </cell>
          <cell r="BR1625">
            <v>427712.45512972493</v>
          </cell>
          <cell r="BT1625">
            <v>0</v>
          </cell>
          <cell r="CA1625" t="str">
            <v>ASITC2 - CONTRACT - Base</v>
          </cell>
          <cell r="CC1625" t="str">
            <v>ASITC2 - CONTRACT - Base - IS4</v>
          </cell>
          <cell r="CD1625" t="str">
            <v/>
          </cell>
          <cell r="CF1625" t="str">
            <v>ASITC2 - Base - IS4</v>
          </cell>
        </row>
        <row r="1626">
          <cell r="D1626">
            <v>1612</v>
          </cell>
          <cell r="E1626">
            <v>2</v>
          </cell>
          <cell r="F1626">
            <v>4</v>
          </cell>
          <cell r="G1626" t="str">
            <v>ASITC2</v>
          </cell>
          <cell r="H1626" t="str">
            <v>ASIT C2 System</v>
          </cell>
          <cell r="I1626" t="str">
            <v>IS4</v>
          </cell>
          <cell r="J1626" t="str">
            <v>IS4 Spectrum &amp; Infrastructure Assurance</v>
          </cell>
          <cell r="K1626" t="str">
            <v>Navy</v>
          </cell>
          <cell r="L1626" t="str">
            <v>DOD</v>
          </cell>
          <cell r="M1626" t="str">
            <v>VA</v>
          </cell>
          <cell r="N1626" t="str">
            <v>CONUS</v>
          </cell>
          <cell r="O1626">
            <v>44562</v>
          </cell>
          <cell r="P1626">
            <v>46388</v>
          </cell>
          <cell r="Q1626" t="str">
            <v>Prime</v>
          </cell>
          <cell r="R1626" t="str">
            <v>CPFF</v>
          </cell>
          <cell r="S1626">
            <v>0</v>
          </cell>
          <cell r="T1626">
            <v>1</v>
          </cell>
          <cell r="U1626" t="str">
            <v>CONTRACT</v>
          </cell>
          <cell r="V1626" t="str">
            <v>Identified - Recompete</v>
          </cell>
          <cell r="W1626" t="str">
            <v>01 Prospect</v>
          </cell>
          <cell r="X1626" t="str">
            <v>Priority 3</v>
          </cell>
          <cell r="Y1626">
            <v>0.6</v>
          </cell>
          <cell r="Z1626">
            <v>30000000</v>
          </cell>
          <cell r="AA1626">
            <v>0</v>
          </cell>
          <cell r="AB1626">
            <v>0</v>
          </cell>
          <cell r="AC1626">
            <v>0</v>
          </cell>
          <cell r="AD1626">
            <v>0</v>
          </cell>
          <cell r="AP1626">
            <v>0.16397888330354796</v>
          </cell>
          <cell r="AQ1626">
            <v>0.16397888330354796</v>
          </cell>
          <cell r="AR1626">
            <v>0.16397888330354796</v>
          </cell>
          <cell r="AS1626">
            <v>0.16397888330354796</v>
          </cell>
          <cell r="BI1626">
            <v>0</v>
          </cell>
          <cell r="BJ1626">
            <v>0</v>
          </cell>
          <cell r="BK1626">
            <v>0</v>
          </cell>
          <cell r="BL1626">
            <v>0</v>
          </cell>
          <cell r="BM1626">
            <v>0</v>
          </cell>
          <cell r="BN1626">
            <v>0</v>
          </cell>
          <cell r="BO1626">
            <v>0</v>
          </cell>
          <cell r="BP1626">
            <v>441103.1960865439</v>
          </cell>
          <cell r="BQ1626">
            <v>590323.97989277262</v>
          </cell>
          <cell r="BR1626">
            <v>1031427.1759793165</v>
          </cell>
          <cell r="BT1626">
            <v>0</v>
          </cell>
          <cell r="CA1626" t="str">
            <v>ASITC2 - CONTRACT - Identified - Recompete</v>
          </cell>
          <cell r="CC1626" t="str">
            <v>ASITC2 - CONTRACT - Identified - Recompete - IS4</v>
          </cell>
          <cell r="CD1626" t="str">
            <v/>
          </cell>
          <cell r="CF1626" t="str">
            <v>ASITC2 - Identified - Recompete - IS4</v>
          </cell>
        </row>
        <row r="1627">
          <cell r="D1627">
            <v>1613</v>
          </cell>
          <cell r="E1627">
            <v>0</v>
          </cell>
          <cell r="F1627">
            <v>5</v>
          </cell>
          <cell r="G1627" t="str">
            <v>ASITC2</v>
          </cell>
          <cell r="H1627" t="str">
            <v>ASIT C2 System</v>
          </cell>
          <cell r="I1627" t="str">
            <v>IS4</v>
          </cell>
          <cell r="J1627" t="str">
            <v>IS4 Spectrum &amp; Infrastructure Assurance</v>
          </cell>
          <cell r="K1627" t="str">
            <v>Navy</v>
          </cell>
          <cell r="L1627" t="str">
            <v>DOD</v>
          </cell>
          <cell r="M1627" t="str">
            <v>VA</v>
          </cell>
          <cell r="N1627" t="str">
            <v>CONUS</v>
          </cell>
          <cell r="O1627">
            <v>42736</v>
          </cell>
          <cell r="P1627">
            <v>44561</v>
          </cell>
          <cell r="Q1627" t="str">
            <v>Prime</v>
          </cell>
          <cell r="R1627" t="str">
            <v>CPFF</v>
          </cell>
          <cell r="S1627">
            <v>0</v>
          </cell>
          <cell r="T1627">
            <v>1</v>
          </cell>
          <cell r="U1627" t="str">
            <v>EBITA</v>
          </cell>
          <cell r="V1627" t="str">
            <v>Base</v>
          </cell>
          <cell r="W1627" t="str">
            <v>05 Won</v>
          </cell>
          <cell r="X1627" t="str">
            <v>Active</v>
          </cell>
          <cell r="Y1627">
            <v>1</v>
          </cell>
          <cell r="Z1627">
            <v>0</v>
          </cell>
          <cell r="AA1627">
            <v>10251241.849840006</v>
          </cell>
          <cell r="AB1627">
            <v>8934009</v>
          </cell>
          <cell r="AC1627">
            <v>0</v>
          </cell>
          <cell r="AD1627">
            <v>19185250.849840008</v>
          </cell>
          <cell r="AT1627">
            <v>0</v>
          </cell>
          <cell r="AU1627">
            <v>1.5191509930667695E-2</v>
          </cell>
          <cell r="AV1627">
            <v>1.4933653822359056E-2</v>
          </cell>
          <cell r="AW1627">
            <v>3.0791548056123084E-2</v>
          </cell>
          <cell r="AX1627">
            <v>4.1600263356797847E-2</v>
          </cell>
          <cell r="AY1627">
            <v>4.1600263356797847E-2</v>
          </cell>
          <cell r="AZ1627">
            <v>4.1600263356797847E-2</v>
          </cell>
          <cell r="BA1627">
            <v>4.1600263356797847E-2</v>
          </cell>
          <cell r="BF1627">
            <v>0</v>
          </cell>
          <cell r="BG1627">
            <v>13917.700000000015</v>
          </cell>
          <cell r="BH1627">
            <v>18411.689999999959</v>
          </cell>
          <cell r="BI1627">
            <v>7253.3300000000008</v>
          </cell>
          <cell r="BJ1627">
            <v>7175.7199999999966</v>
          </cell>
          <cell r="BK1627">
            <v>9549.2300000000141</v>
          </cell>
          <cell r="BL1627">
            <v>11163.684567200002</v>
          </cell>
          <cell r="BM1627">
            <v>35141.964567200019</v>
          </cell>
          <cell r="BN1627">
            <v>32899.993151277318</v>
          </cell>
          <cell r="BO1627">
            <v>32899.993151277318</v>
          </cell>
          <cell r="BP1627">
            <v>8224.9982878193296</v>
          </cell>
          <cell r="BQ1627">
            <v>0</v>
          </cell>
          <cell r="BR1627">
            <v>109166.94915757398</v>
          </cell>
          <cell r="BT1627">
            <v>0</v>
          </cell>
          <cell r="CA1627" t="str">
            <v>ASITC2 - EBITA - Base</v>
          </cell>
          <cell r="CC1627" t="str">
            <v>ASITC2 - EBITA - Base - IS4</v>
          </cell>
          <cell r="CD1627" t="str">
            <v/>
          </cell>
          <cell r="CF1627" t="str">
            <v>ASITC2 - Base - IS4</v>
          </cell>
        </row>
        <row r="1628">
          <cell r="D1628">
            <v>1614</v>
          </cell>
          <cell r="E1628">
            <v>0</v>
          </cell>
          <cell r="F1628">
            <v>0</v>
          </cell>
          <cell r="G1628" t="str">
            <v>ASITC2</v>
          </cell>
          <cell r="H1628" t="str">
            <v>ASIT C2 System</v>
          </cell>
          <cell r="I1628" t="str">
            <v>IS4</v>
          </cell>
          <cell r="J1628" t="str">
            <v>IS4 Spectrum &amp; Infrastructure Assurance</v>
          </cell>
          <cell r="K1628" t="str">
            <v>Navy</v>
          </cell>
          <cell r="L1628" t="str">
            <v>DOD</v>
          </cell>
          <cell r="M1628" t="str">
            <v>VA</v>
          </cell>
          <cell r="N1628" t="str">
            <v>CONUS</v>
          </cell>
          <cell r="O1628">
            <v>44562</v>
          </cell>
          <cell r="P1628">
            <v>46388</v>
          </cell>
          <cell r="Q1628" t="str">
            <v>Prime</v>
          </cell>
          <cell r="R1628" t="str">
            <v>CPFF</v>
          </cell>
          <cell r="S1628">
            <v>0</v>
          </cell>
          <cell r="T1628">
            <v>1</v>
          </cell>
          <cell r="U1628" t="str">
            <v>EBITA</v>
          </cell>
          <cell r="V1628" t="str">
            <v>Identified - Recompete</v>
          </cell>
          <cell r="W1628" t="str">
            <v>01 Prospect</v>
          </cell>
          <cell r="X1628" t="str">
            <v>Priority 3</v>
          </cell>
          <cell r="Y1628">
            <v>0.6</v>
          </cell>
          <cell r="Z1628">
            <v>30000000</v>
          </cell>
          <cell r="AA1628">
            <v>0</v>
          </cell>
          <cell r="AB1628">
            <v>0</v>
          </cell>
          <cell r="AC1628">
            <v>0</v>
          </cell>
          <cell r="AD1628">
            <v>0</v>
          </cell>
          <cell r="AX1628">
            <v>4.1600263356797847E-2</v>
          </cell>
          <cell r="AY1628">
            <v>4.1600263356797847E-2</v>
          </cell>
          <cell r="AZ1628">
            <v>4.1600263356797847E-2</v>
          </cell>
          <cell r="BA1628">
            <v>4.1600263356797847E-2</v>
          </cell>
          <cell r="BI1628">
            <v>0</v>
          </cell>
          <cell r="BJ1628">
            <v>0</v>
          </cell>
          <cell r="BK1628">
            <v>0</v>
          </cell>
          <cell r="BL1628">
            <v>0</v>
          </cell>
          <cell r="BM1628">
            <v>0</v>
          </cell>
          <cell r="BN1628">
            <v>0</v>
          </cell>
          <cell r="BO1628">
            <v>0</v>
          </cell>
          <cell r="BP1628">
            <v>111904.70842978619</v>
          </cell>
          <cell r="BQ1628">
            <v>149760.94808447224</v>
          </cell>
          <cell r="BR1628">
            <v>261665.65651425841</v>
          </cell>
          <cell r="BT1628">
            <v>0</v>
          </cell>
          <cell r="CA1628" t="str">
            <v>ASITC2 - EBITA - Identified - Recompete</v>
          </cell>
          <cell r="CC1628" t="str">
            <v>ASITC2 - EBITA - Identified - Recompete - IS4</v>
          </cell>
          <cell r="CD1628" t="str">
            <v/>
          </cell>
          <cell r="CF1628" t="str">
            <v>ASITC2 - Identified - Recompete - IS4</v>
          </cell>
        </row>
        <row r="1629">
          <cell r="D1629">
            <v>1615</v>
          </cell>
          <cell r="E1629">
            <v>1</v>
          </cell>
          <cell r="F1629">
            <v>1</v>
          </cell>
          <cell r="G1629" t="str">
            <v>PMSWAR</v>
          </cell>
          <cell r="H1629" t="str">
            <v>PM Soldier Warrior (PMSWAR)</v>
          </cell>
          <cell r="I1629" t="str">
            <v>IS4</v>
          </cell>
          <cell r="J1629" t="str">
            <v>IS4 Spectrum &amp; Infrastructure Assurance</v>
          </cell>
          <cell r="K1629" t="str">
            <v>Army</v>
          </cell>
          <cell r="L1629" t="str">
            <v>DOD</v>
          </cell>
          <cell r="M1629" t="str">
            <v>VA</v>
          </cell>
          <cell r="N1629" t="str">
            <v>CONUS</v>
          </cell>
          <cell r="O1629">
            <v>43641</v>
          </cell>
          <cell r="P1629">
            <v>45467</v>
          </cell>
          <cell r="Q1629" t="str">
            <v>Prime</v>
          </cell>
          <cell r="R1629" t="str">
            <v>CPFF</v>
          </cell>
          <cell r="S1629">
            <v>0</v>
          </cell>
          <cell r="T1629">
            <v>1</v>
          </cell>
          <cell r="U1629" t="str">
            <v>REVTOT</v>
          </cell>
          <cell r="V1629" t="str">
            <v>Base</v>
          </cell>
          <cell r="W1629" t="str">
            <v>05 Won</v>
          </cell>
          <cell r="X1629" t="str">
            <v>Active</v>
          </cell>
          <cell r="Y1629">
            <v>1</v>
          </cell>
          <cell r="Z1629">
            <v>0</v>
          </cell>
          <cell r="AA1629">
            <v>13023118.189999999</v>
          </cell>
          <cell r="AB1629">
            <v>65550433.82</v>
          </cell>
          <cell r="AC1629">
            <v>0</v>
          </cell>
          <cell r="AD1629">
            <v>78573552.010000005</v>
          </cell>
          <cell r="AE1629">
            <v>0</v>
          </cell>
          <cell r="AF1629">
            <v>0</v>
          </cell>
          <cell r="AG1629">
            <v>0</v>
          </cell>
          <cell r="AH1629">
            <v>-1</v>
          </cell>
          <cell r="AI1629">
            <v>0</v>
          </cell>
          <cell r="AJ1629">
            <v>0</v>
          </cell>
          <cell r="AK1629">
            <v>0</v>
          </cell>
          <cell r="BB1629">
            <v>0</v>
          </cell>
          <cell r="BC1629">
            <v>0</v>
          </cell>
          <cell r="BD1629">
            <v>0</v>
          </cell>
          <cell r="BE1629">
            <v>0</v>
          </cell>
          <cell r="BF1629">
            <v>0</v>
          </cell>
          <cell r="BG1629">
            <v>0</v>
          </cell>
          <cell r="BH1629">
            <v>0</v>
          </cell>
          <cell r="BI1629">
            <v>0</v>
          </cell>
          <cell r="BJ1629">
            <v>0</v>
          </cell>
          <cell r="BK1629">
            <v>0</v>
          </cell>
          <cell r="BL1629">
            <v>1931882.24</v>
          </cell>
          <cell r="BM1629">
            <v>1931882.24</v>
          </cell>
          <cell r="BN1629">
            <v>0</v>
          </cell>
          <cell r="BO1629">
            <v>0</v>
          </cell>
          <cell r="BP1629">
            <v>0</v>
          </cell>
          <cell r="BQ1629">
            <v>0</v>
          </cell>
          <cell r="BR1629">
            <v>1931882.24</v>
          </cell>
          <cell r="BT1629">
            <v>0</v>
          </cell>
          <cell r="CA1629" t="str">
            <v>PMSWAR - REVTOT - Base</v>
          </cell>
          <cell r="CC1629" t="str">
            <v>PMSWAR - REVTOT - Base - IS4</v>
          </cell>
          <cell r="CD1629" t="str">
            <v/>
          </cell>
          <cell r="CF1629" t="str">
            <v>PMSWAR - Base - IS4</v>
          </cell>
        </row>
        <row r="1630">
          <cell r="D1630">
            <v>1616</v>
          </cell>
          <cell r="E1630">
            <v>1</v>
          </cell>
          <cell r="F1630">
            <v>2</v>
          </cell>
          <cell r="G1630" t="str">
            <v>PMSWAR</v>
          </cell>
          <cell r="H1630" t="str">
            <v>PM Soldier Warrior (PMSWAR)</v>
          </cell>
          <cell r="I1630" t="str">
            <v>IS4</v>
          </cell>
          <cell r="J1630" t="str">
            <v>IS4 Spectrum &amp; Infrastructure Assurance</v>
          </cell>
          <cell r="K1630" t="str">
            <v>Army</v>
          </cell>
          <cell r="L1630" t="str">
            <v>DOD</v>
          </cell>
          <cell r="M1630" t="str">
            <v>VA</v>
          </cell>
          <cell r="N1630" t="str">
            <v>CONUS</v>
          </cell>
          <cell r="O1630">
            <v>0</v>
          </cell>
          <cell r="P1630">
            <v>0</v>
          </cell>
          <cell r="Q1630">
            <v>0</v>
          </cell>
          <cell r="R1630" t="str">
            <v>CPFF</v>
          </cell>
          <cell r="S1630">
            <v>0</v>
          </cell>
          <cell r="T1630">
            <v>1</v>
          </cell>
          <cell r="U1630" t="str">
            <v>REVTOT</v>
          </cell>
          <cell r="V1630" t="str">
            <v>Identified - Recompete</v>
          </cell>
          <cell r="W1630">
            <v>0</v>
          </cell>
          <cell r="X1630">
            <v>0</v>
          </cell>
          <cell r="Y1630">
            <v>0</v>
          </cell>
          <cell r="Z1630">
            <v>0</v>
          </cell>
          <cell r="AA1630">
            <v>0</v>
          </cell>
          <cell r="AB1630">
            <v>0</v>
          </cell>
          <cell r="AC1630">
            <v>0</v>
          </cell>
          <cell r="AD1630">
            <v>0</v>
          </cell>
          <cell r="AI1630">
            <v>0</v>
          </cell>
          <cell r="AJ1630">
            <v>0</v>
          </cell>
          <cell r="AK1630">
            <v>0</v>
          </cell>
          <cell r="BB1630">
            <v>0</v>
          </cell>
          <cell r="BC1630">
            <v>0</v>
          </cell>
          <cell r="BD1630">
            <v>0</v>
          </cell>
          <cell r="BE1630">
            <v>0</v>
          </cell>
          <cell r="BI1630">
            <v>0</v>
          </cell>
          <cell r="BJ1630">
            <v>0</v>
          </cell>
          <cell r="BK1630">
            <v>0</v>
          </cell>
          <cell r="BL1630">
            <v>0</v>
          </cell>
          <cell r="BM1630">
            <v>0</v>
          </cell>
          <cell r="BN1630">
            <v>0</v>
          </cell>
          <cell r="BO1630">
            <v>0</v>
          </cell>
          <cell r="BP1630">
            <v>0</v>
          </cell>
          <cell r="BQ1630">
            <v>0</v>
          </cell>
          <cell r="BR1630">
            <v>0</v>
          </cell>
          <cell r="BT1630">
            <v>0</v>
          </cell>
          <cell r="CA1630" t="str">
            <v>PMSWAR - REVTOT - Identified - Recompete</v>
          </cell>
          <cell r="CC1630" t="str">
            <v>PMSWAR - REVTOT - Identified - Recompete - IS4</v>
          </cell>
          <cell r="CD1630" t="str">
            <v/>
          </cell>
          <cell r="CF1630" t="str">
            <v>PMSWAR - Identified - Recompete - IS4</v>
          </cell>
        </row>
        <row r="1631">
          <cell r="D1631">
            <v>1617</v>
          </cell>
          <cell r="E1631">
            <v>2</v>
          </cell>
          <cell r="F1631">
            <v>3</v>
          </cell>
          <cell r="G1631" t="str">
            <v>PMSWAR</v>
          </cell>
          <cell r="H1631" t="str">
            <v>PM Soldier Warrior (PMSWAR)</v>
          </cell>
          <cell r="I1631" t="str">
            <v>IS4</v>
          </cell>
          <cell r="J1631" t="str">
            <v>IS4 Spectrum &amp; Infrastructure Assurance</v>
          </cell>
          <cell r="K1631" t="str">
            <v>Army</v>
          </cell>
          <cell r="L1631" t="str">
            <v>DOD</v>
          </cell>
          <cell r="M1631" t="str">
            <v>VA</v>
          </cell>
          <cell r="N1631" t="str">
            <v>CONUS</v>
          </cell>
          <cell r="O1631">
            <v>43641</v>
          </cell>
          <cell r="P1631">
            <v>45467</v>
          </cell>
          <cell r="Q1631" t="str">
            <v>Prime</v>
          </cell>
          <cell r="R1631" t="str">
            <v>CPFF</v>
          </cell>
          <cell r="S1631">
            <v>0</v>
          </cell>
          <cell r="T1631">
            <v>1</v>
          </cell>
          <cell r="U1631" t="str">
            <v>CONTRACT</v>
          </cell>
          <cell r="V1631" t="str">
            <v>Base</v>
          </cell>
          <cell r="W1631" t="str">
            <v>05 Won</v>
          </cell>
          <cell r="X1631" t="str">
            <v>Active</v>
          </cell>
          <cell r="Y1631">
            <v>1</v>
          </cell>
          <cell r="Z1631">
            <v>0</v>
          </cell>
          <cell r="AA1631">
            <v>13023118.189999999</v>
          </cell>
          <cell r="AB1631">
            <v>65550433.82</v>
          </cell>
          <cell r="AC1631">
            <v>0</v>
          </cell>
          <cell r="AD1631">
            <v>78573552.010000005</v>
          </cell>
          <cell r="AL1631">
            <v>0</v>
          </cell>
          <cell r="AM1631">
            <v>0</v>
          </cell>
          <cell r="AN1631">
            <v>0</v>
          </cell>
          <cell r="AO1631">
            <v>2.8964804811291267E-2</v>
          </cell>
          <cell r="AP1631">
            <v>2.8964804811291267E-2</v>
          </cell>
          <cell r="AQ1631">
            <v>2.8964804811291267E-2</v>
          </cell>
          <cell r="AR1631">
            <v>2.8964804811291267E-2</v>
          </cell>
          <cell r="AS1631">
            <v>2.8964804811291267E-2</v>
          </cell>
          <cell r="BF1631">
            <v>0</v>
          </cell>
          <cell r="BG1631">
            <v>0</v>
          </cell>
          <cell r="BH1631">
            <v>0</v>
          </cell>
          <cell r="BI1631">
            <v>0</v>
          </cell>
          <cell r="BJ1631">
            <v>0</v>
          </cell>
          <cell r="BK1631">
            <v>0</v>
          </cell>
          <cell r="BL1631">
            <v>55956.59200000015</v>
          </cell>
          <cell r="BM1631">
            <v>55956.59200000015</v>
          </cell>
          <cell r="BN1631">
            <v>0</v>
          </cell>
          <cell r="BO1631">
            <v>0</v>
          </cell>
          <cell r="BP1631">
            <v>0</v>
          </cell>
          <cell r="BQ1631">
            <v>0</v>
          </cell>
          <cell r="BR1631">
            <v>55956.59200000015</v>
          </cell>
          <cell r="BT1631">
            <v>0</v>
          </cell>
          <cell r="CA1631" t="str">
            <v>PMSWAR - CONTRACT - Base</v>
          </cell>
          <cell r="CC1631" t="str">
            <v>PMSWAR - CONTRACT - Base - IS4</v>
          </cell>
          <cell r="CD1631" t="str">
            <v/>
          </cell>
          <cell r="CF1631" t="str">
            <v>PMSWAR - Base - IS4</v>
          </cell>
        </row>
        <row r="1632">
          <cell r="D1632">
            <v>1618</v>
          </cell>
          <cell r="E1632">
            <v>2</v>
          </cell>
          <cell r="F1632">
            <v>4</v>
          </cell>
          <cell r="G1632" t="str">
            <v>PMSWAR</v>
          </cell>
          <cell r="H1632" t="str">
            <v>PM Soldier Warrior (PMSWAR)</v>
          </cell>
          <cell r="I1632" t="str">
            <v>IS4</v>
          </cell>
          <cell r="J1632" t="str">
            <v>IS4 Spectrum &amp; Infrastructure Assurance</v>
          </cell>
          <cell r="K1632" t="str">
            <v>Army</v>
          </cell>
          <cell r="L1632" t="str">
            <v>DOD</v>
          </cell>
          <cell r="M1632" t="str">
            <v>VA</v>
          </cell>
          <cell r="N1632" t="str">
            <v>CONUS</v>
          </cell>
          <cell r="O1632">
            <v>0</v>
          </cell>
          <cell r="P1632">
            <v>0</v>
          </cell>
          <cell r="Q1632">
            <v>0</v>
          </cell>
          <cell r="R1632" t="str">
            <v>CPFF</v>
          </cell>
          <cell r="S1632">
            <v>0</v>
          </cell>
          <cell r="T1632">
            <v>1</v>
          </cell>
          <cell r="U1632" t="str">
            <v>CONTRACT</v>
          </cell>
          <cell r="V1632" t="str">
            <v>Identified - Recompete</v>
          </cell>
          <cell r="W1632">
            <v>0</v>
          </cell>
          <cell r="X1632">
            <v>0</v>
          </cell>
          <cell r="Y1632">
            <v>0</v>
          </cell>
          <cell r="Z1632">
            <v>0</v>
          </cell>
          <cell r="AA1632">
            <v>0</v>
          </cell>
          <cell r="AB1632">
            <v>0</v>
          </cell>
          <cell r="AC1632">
            <v>0</v>
          </cell>
          <cell r="AD1632">
            <v>0</v>
          </cell>
          <cell r="AP1632">
            <v>0</v>
          </cell>
          <cell r="AQ1632">
            <v>0</v>
          </cell>
          <cell r="AR1632">
            <v>0</v>
          </cell>
          <cell r="AS1632">
            <v>0</v>
          </cell>
          <cell r="BI1632">
            <v>0</v>
          </cell>
          <cell r="BJ1632">
            <v>0</v>
          </cell>
          <cell r="BK1632">
            <v>0</v>
          </cell>
          <cell r="BL1632">
            <v>0</v>
          </cell>
          <cell r="BM1632">
            <v>0</v>
          </cell>
          <cell r="BN1632">
            <v>0</v>
          </cell>
          <cell r="BO1632">
            <v>0</v>
          </cell>
          <cell r="BP1632">
            <v>0</v>
          </cell>
          <cell r="BQ1632">
            <v>0</v>
          </cell>
          <cell r="BR1632">
            <v>0</v>
          </cell>
          <cell r="BT1632">
            <v>0</v>
          </cell>
          <cell r="CA1632" t="str">
            <v>PMSWAR - CONTRACT - Identified - Recompete</v>
          </cell>
          <cell r="CC1632" t="str">
            <v>PMSWAR - CONTRACT - Identified - Recompete - IS4</v>
          </cell>
          <cell r="CD1632" t="str">
            <v/>
          </cell>
          <cell r="CF1632" t="str">
            <v>PMSWAR - Identified - Recompete - IS4</v>
          </cell>
        </row>
        <row r="1633">
          <cell r="D1633">
            <v>1619</v>
          </cell>
          <cell r="E1633">
            <v>0</v>
          </cell>
          <cell r="F1633">
            <v>5</v>
          </cell>
          <cell r="G1633" t="str">
            <v>PMSWAR</v>
          </cell>
          <cell r="H1633" t="str">
            <v>PM Soldier Warrior (PMSWAR)</v>
          </cell>
          <cell r="I1633" t="str">
            <v>IS4</v>
          </cell>
          <cell r="J1633" t="str">
            <v>IS4 Spectrum &amp; Infrastructure Assurance</v>
          </cell>
          <cell r="K1633" t="str">
            <v>Army</v>
          </cell>
          <cell r="L1633" t="str">
            <v>DOD</v>
          </cell>
          <cell r="M1633" t="str">
            <v>VA</v>
          </cell>
          <cell r="N1633" t="str">
            <v>CONUS</v>
          </cell>
          <cell r="O1633">
            <v>43641</v>
          </cell>
          <cell r="P1633">
            <v>45467</v>
          </cell>
          <cell r="Q1633" t="str">
            <v>Prime</v>
          </cell>
          <cell r="R1633" t="str">
            <v>CPFF</v>
          </cell>
          <cell r="S1633">
            <v>0</v>
          </cell>
          <cell r="T1633">
            <v>1</v>
          </cell>
          <cell r="U1633" t="str">
            <v>EBITA</v>
          </cell>
          <cell r="V1633" t="str">
            <v>Base</v>
          </cell>
          <cell r="W1633" t="str">
            <v>05 Won</v>
          </cell>
          <cell r="X1633" t="str">
            <v>Active</v>
          </cell>
          <cell r="Y1633">
            <v>1</v>
          </cell>
          <cell r="Z1633">
            <v>0</v>
          </cell>
          <cell r="AA1633">
            <v>13023118.189999999</v>
          </cell>
          <cell r="AB1633">
            <v>65550433.82</v>
          </cell>
          <cell r="AC1633">
            <v>0</v>
          </cell>
          <cell r="AD1633">
            <v>78573552.010000005</v>
          </cell>
          <cell r="AT1633">
            <v>0</v>
          </cell>
          <cell r="AU1633">
            <v>0</v>
          </cell>
          <cell r="AV1633">
            <v>0</v>
          </cell>
          <cell r="AW1633">
            <v>2.8964804811291267E-2</v>
          </cell>
          <cell r="AX1633">
            <v>2.8964804811291267E-2</v>
          </cell>
          <cell r="AY1633">
            <v>2.8964804811291267E-2</v>
          </cell>
          <cell r="AZ1633">
            <v>2.8964804811291267E-2</v>
          </cell>
          <cell r="BA1633">
            <v>2.8964804811291267E-2</v>
          </cell>
          <cell r="BF1633">
            <v>0</v>
          </cell>
          <cell r="BG1633">
            <v>0</v>
          </cell>
          <cell r="BH1633">
            <v>0</v>
          </cell>
          <cell r="BI1633">
            <v>0</v>
          </cell>
          <cell r="BJ1633">
            <v>0</v>
          </cell>
          <cell r="BK1633">
            <v>0</v>
          </cell>
          <cell r="BL1633">
            <v>55956.59200000015</v>
          </cell>
          <cell r="BM1633">
            <v>55956.59200000015</v>
          </cell>
          <cell r="BN1633">
            <v>0</v>
          </cell>
          <cell r="BO1633">
            <v>0</v>
          </cell>
          <cell r="BP1633">
            <v>0</v>
          </cell>
          <cell r="BQ1633">
            <v>0</v>
          </cell>
          <cell r="BR1633">
            <v>55956.59200000015</v>
          </cell>
          <cell r="BT1633">
            <v>0</v>
          </cell>
          <cell r="CA1633" t="str">
            <v>PMSWAR - EBITA - Base</v>
          </cell>
          <cell r="CC1633" t="str">
            <v>PMSWAR - EBITA - Base - IS4</v>
          </cell>
          <cell r="CD1633" t="str">
            <v/>
          </cell>
          <cell r="CF1633" t="str">
            <v>PMSWAR - Base - IS4</v>
          </cell>
        </row>
        <row r="1634">
          <cell r="D1634">
            <v>1620</v>
          </cell>
          <cell r="E1634">
            <v>0</v>
          </cell>
          <cell r="F1634">
            <v>0</v>
          </cell>
          <cell r="G1634" t="str">
            <v>PMSWAR</v>
          </cell>
          <cell r="H1634" t="str">
            <v>PM Soldier Warrior (PMSWAR)</v>
          </cell>
          <cell r="I1634" t="str">
            <v>IS4</v>
          </cell>
          <cell r="J1634" t="str">
            <v>IS4 Spectrum &amp; Infrastructure Assurance</v>
          </cell>
          <cell r="K1634" t="str">
            <v>Army</v>
          </cell>
          <cell r="L1634" t="str">
            <v>DOD</v>
          </cell>
          <cell r="M1634" t="str">
            <v>VA</v>
          </cell>
          <cell r="N1634" t="str">
            <v>CONUS</v>
          </cell>
          <cell r="O1634">
            <v>0</v>
          </cell>
          <cell r="P1634">
            <v>0</v>
          </cell>
          <cell r="Q1634">
            <v>0</v>
          </cell>
          <cell r="R1634" t="str">
            <v>CPFF</v>
          </cell>
          <cell r="S1634">
            <v>0</v>
          </cell>
          <cell r="T1634">
            <v>1</v>
          </cell>
          <cell r="U1634" t="str">
            <v>EBITA</v>
          </cell>
          <cell r="V1634" t="str">
            <v>Identified - Recompete</v>
          </cell>
          <cell r="W1634">
            <v>0</v>
          </cell>
          <cell r="X1634">
            <v>0</v>
          </cell>
          <cell r="Y1634">
            <v>0</v>
          </cell>
          <cell r="Z1634">
            <v>0</v>
          </cell>
          <cell r="AA1634">
            <v>0</v>
          </cell>
          <cell r="AB1634">
            <v>0</v>
          </cell>
          <cell r="AC1634">
            <v>0</v>
          </cell>
          <cell r="AD1634">
            <v>0</v>
          </cell>
          <cell r="AX1634">
            <v>0</v>
          </cell>
          <cell r="AY1634">
            <v>0</v>
          </cell>
          <cell r="AZ1634">
            <v>0</v>
          </cell>
          <cell r="BA1634">
            <v>0</v>
          </cell>
          <cell r="BI1634">
            <v>0</v>
          </cell>
          <cell r="BJ1634">
            <v>0</v>
          </cell>
          <cell r="BK1634">
            <v>0</v>
          </cell>
          <cell r="BL1634">
            <v>0</v>
          </cell>
          <cell r="BM1634">
            <v>0</v>
          </cell>
          <cell r="BN1634">
            <v>0</v>
          </cell>
          <cell r="BO1634">
            <v>0</v>
          </cell>
          <cell r="BP1634">
            <v>0</v>
          </cell>
          <cell r="BQ1634">
            <v>0</v>
          </cell>
          <cell r="BR1634">
            <v>0</v>
          </cell>
          <cell r="BT1634">
            <v>0</v>
          </cell>
          <cell r="CA1634" t="str">
            <v>PMSWAR - EBITA - Identified - Recompete</v>
          </cell>
          <cell r="CC1634" t="str">
            <v>PMSWAR - EBITA - Identified - Recompete - IS4</v>
          </cell>
          <cell r="CD1634" t="str">
            <v/>
          </cell>
          <cell r="CF1634" t="str">
            <v>PMSWAR - Identified - Recompete - IS4</v>
          </cell>
        </row>
        <row r="1635">
          <cell r="D1635">
            <v>1621</v>
          </cell>
          <cell r="E1635">
            <v>1</v>
          </cell>
          <cell r="F1635">
            <v>1</v>
          </cell>
          <cell r="G1635" t="str">
            <v>915F81</v>
          </cell>
          <cell r="H1635" t="str">
            <v>MARMC Combat System</v>
          </cell>
          <cell r="I1635" t="str">
            <v>IS4</v>
          </cell>
          <cell r="J1635" t="str">
            <v>IS4 Sustainment Engineering and Acquisition</v>
          </cell>
          <cell r="K1635" t="str">
            <v>Navy</v>
          </cell>
          <cell r="L1635" t="str">
            <v>DOD</v>
          </cell>
          <cell r="M1635" t="str">
            <v>VA</v>
          </cell>
          <cell r="N1635" t="str">
            <v>CONUS</v>
          </cell>
          <cell r="O1635">
            <v>43206</v>
          </cell>
          <cell r="P1635">
            <v>45214</v>
          </cell>
          <cell r="Q1635" t="str">
            <v>Prime</v>
          </cell>
          <cell r="R1635" t="str">
            <v>CPFF</v>
          </cell>
          <cell r="S1635">
            <v>0</v>
          </cell>
          <cell r="T1635">
            <v>1</v>
          </cell>
          <cell r="U1635" t="str">
            <v>REVTOT</v>
          </cell>
          <cell r="V1635" t="str">
            <v>Base</v>
          </cell>
          <cell r="W1635" t="str">
            <v>05 Won</v>
          </cell>
          <cell r="X1635" t="str">
            <v>Active</v>
          </cell>
          <cell r="Y1635">
            <v>1</v>
          </cell>
          <cell r="Z1635">
            <v>0</v>
          </cell>
          <cell r="AA1635">
            <v>1267341.25</v>
          </cell>
          <cell r="AB1635">
            <v>4260875.1599999992</v>
          </cell>
          <cell r="AC1635">
            <v>0</v>
          </cell>
          <cell r="AD1635">
            <v>5528216.4099999992</v>
          </cell>
          <cell r="AE1635">
            <v>0</v>
          </cell>
          <cell r="AF1635">
            <v>0</v>
          </cell>
          <cell r="AG1635">
            <v>1.3748341368791572</v>
          </cell>
          <cell r="AH1635">
            <v>4.6066284826197901E-2</v>
          </cell>
          <cell r="AI1635">
            <v>0</v>
          </cell>
          <cell r="AJ1635">
            <v>0</v>
          </cell>
          <cell r="AK1635">
            <v>0</v>
          </cell>
          <cell r="BB1635">
            <v>815231.57000000007</v>
          </cell>
          <cell r="BC1635">
            <v>815231.57000000007</v>
          </cell>
          <cell r="BD1635">
            <v>815231.57000000007</v>
          </cell>
          <cell r="BE1635">
            <v>815231.57000000007</v>
          </cell>
          <cell r="BF1635">
            <v>0</v>
          </cell>
          <cell r="BG1635">
            <v>0</v>
          </cell>
          <cell r="BH1635">
            <v>328162.16000000003</v>
          </cell>
          <cell r="BI1635">
            <v>164752.81</v>
          </cell>
          <cell r="BJ1635">
            <v>211304.12</v>
          </cell>
          <cell r="BK1635">
            <v>199578.49</v>
          </cell>
          <cell r="BL1635">
            <v>203695.27999999997</v>
          </cell>
          <cell r="BM1635">
            <v>779330.7</v>
          </cell>
          <cell r="BN1635">
            <v>815231.57000000007</v>
          </cell>
          <cell r="BO1635">
            <v>815231.57000000007</v>
          </cell>
          <cell r="BP1635">
            <v>815231.57000000007</v>
          </cell>
          <cell r="BQ1635">
            <v>815231.57000000007</v>
          </cell>
          <cell r="BR1635">
            <v>4040256.9800000004</v>
          </cell>
          <cell r="BT1635">
            <v>0</v>
          </cell>
          <cell r="CA1635" t="str">
            <v>915F81 - REVTOT - Base</v>
          </cell>
          <cell r="CC1635" t="str">
            <v>915F81 - REVTOT - Base - IS4</v>
          </cell>
          <cell r="CD1635" t="str">
            <v/>
          </cell>
          <cell r="CF1635" t="str">
            <v>915F81 - Base - IS4</v>
          </cell>
        </row>
        <row r="1636">
          <cell r="D1636">
            <v>1622</v>
          </cell>
          <cell r="E1636">
            <v>1</v>
          </cell>
          <cell r="F1636">
            <v>2</v>
          </cell>
          <cell r="G1636" t="str">
            <v>915F81</v>
          </cell>
          <cell r="H1636" t="str">
            <v>MARMC Combat System</v>
          </cell>
          <cell r="I1636" t="str">
            <v>IS4</v>
          </cell>
          <cell r="J1636" t="str">
            <v>IS4 Sustainment Engineering and Acquisition</v>
          </cell>
          <cell r="K1636" t="str">
            <v>Navy</v>
          </cell>
          <cell r="L1636" t="str">
            <v>DOD</v>
          </cell>
          <cell r="M1636" t="str">
            <v>VA</v>
          </cell>
          <cell r="N1636" t="str">
            <v>CONUS</v>
          </cell>
          <cell r="O1636">
            <v>0</v>
          </cell>
          <cell r="P1636">
            <v>0</v>
          </cell>
          <cell r="Q1636">
            <v>0</v>
          </cell>
          <cell r="R1636" t="str">
            <v>CPFF</v>
          </cell>
          <cell r="S1636">
            <v>0</v>
          </cell>
          <cell r="T1636">
            <v>1</v>
          </cell>
          <cell r="U1636" t="str">
            <v>REVTOT</v>
          </cell>
          <cell r="V1636" t="str">
            <v>Identified - Recompete</v>
          </cell>
          <cell r="W1636">
            <v>0</v>
          </cell>
          <cell r="X1636">
            <v>0</v>
          </cell>
          <cell r="Y1636">
            <v>0</v>
          </cell>
          <cell r="Z1636">
            <v>0</v>
          </cell>
          <cell r="AA1636">
            <v>0</v>
          </cell>
          <cell r="AB1636">
            <v>0</v>
          </cell>
          <cell r="AC1636">
            <v>0</v>
          </cell>
          <cell r="AD1636">
            <v>0</v>
          </cell>
          <cell r="AI1636">
            <v>0</v>
          </cell>
          <cell r="AJ1636">
            <v>0</v>
          </cell>
          <cell r="AK1636">
            <v>0</v>
          </cell>
          <cell r="BB1636">
            <v>0</v>
          </cell>
          <cell r="BC1636">
            <v>0</v>
          </cell>
          <cell r="BD1636">
            <v>0</v>
          </cell>
          <cell r="BE1636">
            <v>0</v>
          </cell>
          <cell r="BI1636">
            <v>0</v>
          </cell>
          <cell r="BJ1636">
            <v>0</v>
          </cell>
          <cell r="BK1636">
            <v>0</v>
          </cell>
          <cell r="BL1636">
            <v>0</v>
          </cell>
          <cell r="BM1636">
            <v>0</v>
          </cell>
          <cell r="BN1636">
            <v>0</v>
          </cell>
          <cell r="BO1636">
            <v>0</v>
          </cell>
          <cell r="BP1636">
            <v>0</v>
          </cell>
          <cell r="BQ1636">
            <v>0</v>
          </cell>
          <cell r="BR1636">
            <v>0</v>
          </cell>
          <cell r="BT1636">
            <v>0</v>
          </cell>
          <cell r="CA1636" t="str">
            <v>915F81 - REVTOT - Identified - Recompete</v>
          </cell>
          <cell r="CC1636" t="str">
            <v>915F81 - REVTOT - Identified - Recompete - IS4</v>
          </cell>
          <cell r="CD1636" t="str">
            <v/>
          </cell>
          <cell r="CF1636" t="str">
            <v>915F81 - Identified - Recompete - IS4</v>
          </cell>
        </row>
        <row r="1637">
          <cell r="D1637">
            <v>1623</v>
          </cell>
          <cell r="E1637">
            <v>2</v>
          </cell>
          <cell r="F1637">
            <v>3</v>
          </cell>
          <cell r="G1637" t="str">
            <v>915F81</v>
          </cell>
          <cell r="H1637" t="str">
            <v>MARMC Combat System</v>
          </cell>
          <cell r="I1637" t="str">
            <v>IS4</v>
          </cell>
          <cell r="J1637" t="str">
            <v>IS4 Sustainment Engineering and Acquisition</v>
          </cell>
          <cell r="K1637" t="str">
            <v>Navy</v>
          </cell>
          <cell r="L1637" t="str">
            <v>DOD</v>
          </cell>
          <cell r="M1637" t="str">
            <v>VA</v>
          </cell>
          <cell r="N1637" t="str">
            <v>CONUS</v>
          </cell>
          <cell r="O1637">
            <v>43206</v>
          </cell>
          <cell r="P1637">
            <v>45214</v>
          </cell>
          <cell r="Q1637" t="str">
            <v>Prime</v>
          </cell>
          <cell r="R1637" t="str">
            <v>CPFF</v>
          </cell>
          <cell r="S1637">
            <v>0</v>
          </cell>
          <cell r="T1637">
            <v>1</v>
          </cell>
          <cell r="U1637" t="str">
            <v>CONTRACT</v>
          </cell>
          <cell r="V1637" t="str">
            <v>Base</v>
          </cell>
          <cell r="W1637" t="str">
            <v>05 Won</v>
          </cell>
          <cell r="X1637" t="str">
            <v>Active</v>
          </cell>
          <cell r="Y1637">
            <v>1</v>
          </cell>
          <cell r="Z1637">
            <v>0</v>
          </cell>
          <cell r="AA1637">
            <v>1267341.25</v>
          </cell>
          <cell r="AB1637">
            <v>4260875.1599999992</v>
          </cell>
          <cell r="AC1637">
            <v>0</v>
          </cell>
          <cell r="AD1637">
            <v>5528216.4099999992</v>
          </cell>
          <cell r="AL1637">
            <v>0</v>
          </cell>
          <cell r="AM1637">
            <v>0</v>
          </cell>
          <cell r="AN1637">
            <v>0.16592028770166553</v>
          </cell>
          <cell r="AO1637">
            <v>0.18231460904000776</v>
          </cell>
          <cell r="AP1637">
            <v>0.20732703244061068</v>
          </cell>
          <cell r="AQ1637">
            <v>0.20732703244061068</v>
          </cell>
          <cell r="AR1637">
            <v>0.20732703244061068</v>
          </cell>
          <cell r="AS1637">
            <v>0.20732703244061068</v>
          </cell>
          <cell r="BF1637">
            <v>0</v>
          </cell>
          <cell r="BG1637">
            <v>0</v>
          </cell>
          <cell r="BH1637">
            <v>54448.76</v>
          </cell>
          <cell r="BI1637">
            <v>33320.06</v>
          </cell>
          <cell r="BJ1637">
            <v>41019.68</v>
          </cell>
          <cell r="BK1637">
            <v>40013.829999999994</v>
          </cell>
          <cell r="BL1637">
            <v>27729.801883375585</v>
          </cell>
          <cell r="BM1637">
            <v>142083.37188337557</v>
          </cell>
          <cell r="BN1637">
            <v>169019.54215999998</v>
          </cell>
          <cell r="BO1637">
            <v>169019.54215999998</v>
          </cell>
          <cell r="BP1637">
            <v>169019.54215999998</v>
          </cell>
          <cell r="BQ1637">
            <v>169019.54215999998</v>
          </cell>
          <cell r="BR1637">
            <v>818161.54052337538</v>
          </cell>
          <cell r="BT1637">
            <v>0</v>
          </cell>
          <cell r="CA1637" t="str">
            <v>915F81 - CONTRACT - Base</v>
          </cell>
          <cell r="CC1637" t="str">
            <v>915F81 - CONTRACT - Base - IS4</v>
          </cell>
          <cell r="CD1637" t="str">
            <v/>
          </cell>
          <cell r="CF1637" t="str">
            <v>915F81 - Base - IS4</v>
          </cell>
        </row>
        <row r="1638">
          <cell r="D1638">
            <v>1624</v>
          </cell>
          <cell r="E1638">
            <v>2</v>
          </cell>
          <cell r="F1638">
            <v>4</v>
          </cell>
          <cell r="G1638" t="str">
            <v>915F81</v>
          </cell>
          <cell r="H1638" t="str">
            <v>MARMC Combat System</v>
          </cell>
          <cell r="I1638" t="str">
            <v>IS4</v>
          </cell>
          <cell r="J1638" t="str">
            <v>IS4 Sustainment Engineering and Acquisition</v>
          </cell>
          <cell r="K1638" t="str">
            <v>Navy</v>
          </cell>
          <cell r="L1638" t="str">
            <v>DOD</v>
          </cell>
          <cell r="M1638" t="str">
            <v>VA</v>
          </cell>
          <cell r="N1638" t="str">
            <v>CONUS</v>
          </cell>
          <cell r="O1638">
            <v>0</v>
          </cell>
          <cell r="P1638">
            <v>0</v>
          </cell>
          <cell r="Q1638">
            <v>0</v>
          </cell>
          <cell r="R1638" t="str">
            <v>CPFF</v>
          </cell>
          <cell r="S1638">
            <v>0</v>
          </cell>
          <cell r="T1638">
            <v>1</v>
          </cell>
          <cell r="U1638" t="str">
            <v>CONTRACT</v>
          </cell>
          <cell r="V1638" t="str">
            <v>Identified - Recompete</v>
          </cell>
          <cell r="W1638">
            <v>0</v>
          </cell>
          <cell r="X1638">
            <v>0</v>
          </cell>
          <cell r="Y1638">
            <v>0</v>
          </cell>
          <cell r="Z1638">
            <v>0</v>
          </cell>
          <cell r="AA1638">
            <v>0</v>
          </cell>
          <cell r="AB1638">
            <v>0</v>
          </cell>
          <cell r="AC1638">
            <v>0</v>
          </cell>
          <cell r="AD1638">
            <v>0</v>
          </cell>
          <cell r="AP1638">
            <v>0</v>
          </cell>
          <cell r="AQ1638">
            <v>0</v>
          </cell>
          <cell r="AR1638">
            <v>0</v>
          </cell>
          <cell r="AS1638">
            <v>0</v>
          </cell>
          <cell r="BI1638">
            <v>0</v>
          </cell>
          <cell r="BJ1638">
            <v>0</v>
          </cell>
          <cell r="BK1638">
            <v>0</v>
          </cell>
          <cell r="BL1638">
            <v>0</v>
          </cell>
          <cell r="BM1638">
            <v>0</v>
          </cell>
          <cell r="BN1638">
            <v>0</v>
          </cell>
          <cell r="BO1638">
            <v>0</v>
          </cell>
          <cell r="BP1638">
            <v>0</v>
          </cell>
          <cell r="BQ1638">
            <v>0</v>
          </cell>
          <cell r="BR1638">
            <v>0</v>
          </cell>
          <cell r="BT1638">
            <v>0</v>
          </cell>
          <cell r="CA1638" t="str">
            <v>915F81 - CONTRACT - Identified - Recompete</v>
          </cell>
          <cell r="CC1638" t="str">
            <v>915F81 - CONTRACT - Identified - Recompete - IS4</v>
          </cell>
          <cell r="CD1638" t="str">
            <v/>
          </cell>
          <cell r="CF1638" t="str">
            <v>915F81 - Identified - Recompete - IS4</v>
          </cell>
        </row>
        <row r="1639">
          <cell r="D1639">
            <v>1625</v>
          </cell>
          <cell r="E1639">
            <v>0</v>
          </cell>
          <cell r="F1639">
            <v>5</v>
          </cell>
          <cell r="G1639" t="str">
            <v>915F81</v>
          </cell>
          <cell r="H1639" t="str">
            <v>MARMC Combat System</v>
          </cell>
          <cell r="I1639" t="str">
            <v>IS4</v>
          </cell>
          <cell r="J1639" t="str">
            <v>IS4 Sustainment Engineering and Acquisition</v>
          </cell>
          <cell r="K1639" t="str">
            <v>Navy</v>
          </cell>
          <cell r="L1639" t="str">
            <v>DOD</v>
          </cell>
          <cell r="M1639" t="str">
            <v>VA</v>
          </cell>
          <cell r="N1639" t="str">
            <v>CONUS</v>
          </cell>
          <cell r="O1639">
            <v>43206</v>
          </cell>
          <cell r="P1639">
            <v>45214</v>
          </cell>
          <cell r="Q1639" t="str">
            <v>Prime</v>
          </cell>
          <cell r="R1639" t="str">
            <v>CPFF</v>
          </cell>
          <cell r="S1639">
            <v>0</v>
          </cell>
          <cell r="T1639">
            <v>1</v>
          </cell>
          <cell r="U1639" t="str">
            <v>EBITA</v>
          </cell>
          <cell r="V1639" t="str">
            <v>Base</v>
          </cell>
          <cell r="W1639" t="str">
            <v>05 Won</v>
          </cell>
          <cell r="X1639" t="str">
            <v>Active</v>
          </cell>
          <cell r="Y1639">
            <v>1</v>
          </cell>
          <cell r="Z1639">
            <v>0</v>
          </cell>
          <cell r="AA1639">
            <v>1267341.25</v>
          </cell>
          <cell r="AB1639">
            <v>4260875.1599999992</v>
          </cell>
          <cell r="AC1639">
            <v>0</v>
          </cell>
          <cell r="AD1639">
            <v>5528216.4099999992</v>
          </cell>
          <cell r="AT1639">
            <v>0</v>
          </cell>
          <cell r="AU1639">
            <v>0</v>
          </cell>
          <cell r="AV1639">
            <v>5.8532921650686354E-2</v>
          </cell>
          <cell r="AW1639">
            <v>5.88800960534464E-2</v>
          </cell>
          <cell r="AX1639">
            <v>6.198996406494256E-2</v>
          </cell>
          <cell r="AY1639">
            <v>6.198996406494256E-2</v>
          </cell>
          <cell r="AZ1639">
            <v>6.198996406494256E-2</v>
          </cell>
          <cell r="BA1639">
            <v>6.198996406494256E-2</v>
          </cell>
          <cell r="BF1639">
            <v>0</v>
          </cell>
          <cell r="BG1639">
            <v>0</v>
          </cell>
          <cell r="BH1639">
            <v>19208.29</v>
          </cell>
          <cell r="BI1639">
            <v>9438.4599999999991</v>
          </cell>
          <cell r="BJ1639">
            <v>12410.810000000001</v>
          </cell>
          <cell r="BK1639">
            <v>11473.939999999999</v>
          </cell>
          <cell r="BL1639">
            <v>12563.856473399617</v>
          </cell>
          <cell r="BM1639">
            <v>45887.066473399616</v>
          </cell>
          <cell r="BN1639">
            <v>50536.17572890671</v>
          </cell>
          <cell r="BO1639">
            <v>50536.17572890671</v>
          </cell>
          <cell r="BP1639">
            <v>50536.17572890671</v>
          </cell>
          <cell r="BQ1639">
            <v>50536.17572890671</v>
          </cell>
          <cell r="BR1639">
            <v>248031.76938902645</v>
          </cell>
          <cell r="BT1639">
            <v>0</v>
          </cell>
          <cell r="CA1639" t="str">
            <v>915F81 - EBITA - Base</v>
          </cell>
          <cell r="CC1639" t="str">
            <v>915F81 - EBITA - Base - IS4</v>
          </cell>
          <cell r="CD1639" t="str">
            <v/>
          </cell>
          <cell r="CF1639" t="str">
            <v>915F81 - Base - IS4</v>
          </cell>
        </row>
        <row r="1640">
          <cell r="D1640">
            <v>1626</v>
          </cell>
          <cell r="E1640">
            <v>0</v>
          </cell>
          <cell r="F1640">
            <v>0</v>
          </cell>
          <cell r="G1640" t="str">
            <v>915F81</v>
          </cell>
          <cell r="H1640" t="str">
            <v>MARMC Combat System</v>
          </cell>
          <cell r="I1640" t="str">
            <v>IS4</v>
          </cell>
          <cell r="J1640" t="str">
            <v>IS4 Sustainment Engineering and Acquisition</v>
          </cell>
          <cell r="K1640" t="str">
            <v>Navy</v>
          </cell>
          <cell r="L1640" t="str">
            <v>DOD</v>
          </cell>
          <cell r="M1640" t="str">
            <v>VA</v>
          </cell>
          <cell r="N1640" t="str">
            <v>CONUS</v>
          </cell>
          <cell r="O1640">
            <v>0</v>
          </cell>
          <cell r="P1640">
            <v>0</v>
          </cell>
          <cell r="Q1640">
            <v>0</v>
          </cell>
          <cell r="R1640" t="str">
            <v>CPFF</v>
          </cell>
          <cell r="S1640">
            <v>0</v>
          </cell>
          <cell r="T1640">
            <v>1</v>
          </cell>
          <cell r="U1640" t="str">
            <v>EBITA</v>
          </cell>
          <cell r="V1640" t="str">
            <v>Identified - Recompete</v>
          </cell>
          <cell r="W1640">
            <v>0</v>
          </cell>
          <cell r="X1640">
            <v>0</v>
          </cell>
          <cell r="Y1640">
            <v>0</v>
          </cell>
          <cell r="Z1640">
            <v>0</v>
          </cell>
          <cell r="AA1640">
            <v>0</v>
          </cell>
          <cell r="AB1640">
            <v>0</v>
          </cell>
          <cell r="AC1640">
            <v>0</v>
          </cell>
          <cell r="AD1640">
            <v>0</v>
          </cell>
          <cell r="AX1640">
            <v>0</v>
          </cell>
          <cell r="AY1640">
            <v>0</v>
          </cell>
          <cell r="AZ1640">
            <v>0</v>
          </cell>
          <cell r="BA1640">
            <v>0</v>
          </cell>
          <cell r="BI1640">
            <v>0</v>
          </cell>
          <cell r="BJ1640">
            <v>0</v>
          </cell>
          <cell r="BK1640">
            <v>0</v>
          </cell>
          <cell r="BL1640">
            <v>0</v>
          </cell>
          <cell r="BM1640">
            <v>0</v>
          </cell>
          <cell r="BN1640">
            <v>0</v>
          </cell>
          <cell r="BO1640">
            <v>0</v>
          </cell>
          <cell r="BP1640">
            <v>0</v>
          </cell>
          <cell r="BQ1640">
            <v>0</v>
          </cell>
          <cell r="BR1640">
            <v>0</v>
          </cell>
          <cell r="BT1640">
            <v>0</v>
          </cell>
          <cell r="CA1640" t="str">
            <v>915F81 - EBITA - Identified - Recompete</v>
          </cell>
          <cell r="CC1640" t="str">
            <v>915F81 - EBITA - Identified - Recompete - IS4</v>
          </cell>
          <cell r="CD1640" t="str">
            <v/>
          </cell>
          <cell r="CF1640" t="str">
            <v>915F81 - Identified - Recompete - IS4</v>
          </cell>
        </row>
        <row r="1641">
          <cell r="D1641">
            <v>1627</v>
          </cell>
          <cell r="E1641">
            <v>1</v>
          </cell>
          <cell r="F1641">
            <v>1</v>
          </cell>
          <cell r="G1641" t="str">
            <v>003203</v>
          </cell>
          <cell r="H1641" t="str">
            <v>3203 NETC N7 NETPDTC</v>
          </cell>
          <cell r="I1641" t="str">
            <v>IS4</v>
          </cell>
          <cell r="J1641" t="str">
            <v>IS4 Sustainment Engineering and Acquisition</v>
          </cell>
          <cell r="K1641" t="str">
            <v>Navy</v>
          </cell>
          <cell r="L1641" t="str">
            <v>DOD</v>
          </cell>
          <cell r="M1641" t="str">
            <v>CT</v>
          </cell>
          <cell r="N1641" t="str">
            <v>CONUS</v>
          </cell>
          <cell r="O1641">
            <v>42675</v>
          </cell>
          <cell r="P1641">
            <v>44865</v>
          </cell>
          <cell r="Q1641" t="str">
            <v>Prime</v>
          </cell>
          <cell r="R1641" t="str">
            <v>CPFF</v>
          </cell>
          <cell r="S1641">
            <v>0</v>
          </cell>
          <cell r="T1641">
            <v>1</v>
          </cell>
          <cell r="U1641" t="str">
            <v>REVTOT</v>
          </cell>
          <cell r="V1641" t="str">
            <v>Base</v>
          </cell>
          <cell r="W1641" t="str">
            <v>05 Won</v>
          </cell>
          <cell r="X1641" t="str">
            <v>Active</v>
          </cell>
          <cell r="Y1641">
            <v>1</v>
          </cell>
          <cell r="Z1641">
            <v>0</v>
          </cell>
          <cell r="AA1641">
            <v>918229.63000000012</v>
          </cell>
          <cell r="AB1641">
            <v>0.71999999997206032</v>
          </cell>
          <cell r="AC1641">
            <v>0</v>
          </cell>
          <cell r="AD1641">
            <v>918230.35000000009</v>
          </cell>
          <cell r="AE1641">
            <v>0</v>
          </cell>
          <cell r="AF1641">
            <v>0</v>
          </cell>
          <cell r="AG1641">
            <v>1.9195301093827908</v>
          </cell>
          <cell r="AH1641">
            <v>-0.2043479162239924</v>
          </cell>
          <cell r="AI1641">
            <v>0</v>
          </cell>
          <cell r="AJ1641">
            <v>0</v>
          </cell>
          <cell r="AK1641">
            <v>0</v>
          </cell>
          <cell r="BB1641">
            <v>688133</v>
          </cell>
          <cell r="BC1641">
            <v>688133</v>
          </cell>
          <cell r="BD1641">
            <v>688133</v>
          </cell>
          <cell r="BE1641">
            <v>688133</v>
          </cell>
          <cell r="BF1641">
            <v>0</v>
          </cell>
          <cell r="BG1641">
            <v>0</v>
          </cell>
          <cell r="BH1641">
            <v>296234.89999999997</v>
          </cell>
          <cell r="BI1641">
            <v>145234.91</v>
          </cell>
          <cell r="BJ1641">
            <v>228475.72</v>
          </cell>
          <cell r="BK1641">
            <v>256879.08000000002</v>
          </cell>
          <cell r="BL1641">
            <v>234277</v>
          </cell>
          <cell r="BM1641">
            <v>864866.71</v>
          </cell>
          <cell r="BN1641">
            <v>688133</v>
          </cell>
          <cell r="BO1641">
            <v>230097.35000000009</v>
          </cell>
          <cell r="BP1641">
            <v>0</v>
          </cell>
          <cell r="BQ1641">
            <v>0</v>
          </cell>
          <cell r="BR1641">
            <v>1783097.06</v>
          </cell>
          <cell r="BT1641">
            <v>0</v>
          </cell>
          <cell r="CA1641" t="str">
            <v>003203 - REVTOT - Base</v>
          </cell>
          <cell r="CC1641" t="str">
            <v>003203 - REVTOT - Base - IS4</v>
          </cell>
          <cell r="CD1641" t="str">
            <v/>
          </cell>
          <cell r="CF1641" t="str">
            <v>003203 - Base - IS4</v>
          </cell>
        </row>
        <row r="1642">
          <cell r="D1642">
            <v>1628</v>
          </cell>
          <cell r="E1642">
            <v>1</v>
          </cell>
          <cell r="F1642">
            <v>2</v>
          </cell>
          <cell r="G1642" t="str">
            <v>003203</v>
          </cell>
          <cell r="H1642" t="str">
            <v>3203 NETC N7 NETPDTC</v>
          </cell>
          <cell r="I1642" t="str">
            <v>IS4</v>
          </cell>
          <cell r="J1642" t="str">
            <v>IS4 Sustainment Engineering and Acquisition</v>
          </cell>
          <cell r="K1642" t="str">
            <v>Navy</v>
          </cell>
          <cell r="L1642" t="str">
            <v>DOD</v>
          </cell>
          <cell r="M1642" t="str">
            <v>CT</v>
          </cell>
          <cell r="N1642" t="str">
            <v>CONUS</v>
          </cell>
          <cell r="O1642">
            <v>0</v>
          </cell>
          <cell r="P1642">
            <v>0</v>
          </cell>
          <cell r="Q1642">
            <v>0</v>
          </cell>
          <cell r="R1642" t="str">
            <v>CPFF</v>
          </cell>
          <cell r="S1642">
            <v>0</v>
          </cell>
          <cell r="T1642">
            <v>1</v>
          </cell>
          <cell r="U1642" t="str">
            <v>REVTOT</v>
          </cell>
          <cell r="V1642" t="str">
            <v>Identified - Recompete</v>
          </cell>
          <cell r="W1642">
            <v>0</v>
          </cell>
          <cell r="X1642">
            <v>0</v>
          </cell>
          <cell r="Y1642">
            <v>0</v>
          </cell>
          <cell r="Z1642">
            <v>0</v>
          </cell>
          <cell r="AA1642">
            <v>0</v>
          </cell>
          <cell r="AB1642">
            <v>0</v>
          </cell>
          <cell r="AC1642">
            <v>0</v>
          </cell>
          <cell r="AD1642">
            <v>0</v>
          </cell>
          <cell r="AI1642">
            <v>0</v>
          </cell>
          <cell r="AJ1642">
            <v>0</v>
          </cell>
          <cell r="AK1642">
            <v>0</v>
          </cell>
          <cell r="BB1642">
            <v>0</v>
          </cell>
          <cell r="BC1642">
            <v>0</v>
          </cell>
          <cell r="BD1642">
            <v>0</v>
          </cell>
          <cell r="BE1642">
            <v>0</v>
          </cell>
          <cell r="BI1642">
            <v>0</v>
          </cell>
          <cell r="BJ1642">
            <v>0</v>
          </cell>
          <cell r="BK1642">
            <v>0</v>
          </cell>
          <cell r="BL1642">
            <v>0</v>
          </cell>
          <cell r="BM1642">
            <v>0</v>
          </cell>
          <cell r="BN1642">
            <v>0</v>
          </cell>
          <cell r="BO1642">
            <v>0</v>
          </cell>
          <cell r="BP1642">
            <v>0</v>
          </cell>
          <cell r="BQ1642">
            <v>0</v>
          </cell>
          <cell r="BR1642">
            <v>0</v>
          </cell>
          <cell r="BT1642">
            <v>0</v>
          </cell>
          <cell r="CA1642" t="str">
            <v>003203 - REVTOT - Identified - Recompete</v>
          </cell>
          <cell r="CC1642" t="str">
            <v>003203 - REVTOT - Identified - Recompete - IS4</v>
          </cell>
          <cell r="CD1642" t="str">
            <v/>
          </cell>
          <cell r="CF1642" t="str">
            <v>003203 - Identified - Recompete - IS4</v>
          </cell>
        </row>
        <row r="1643">
          <cell r="D1643">
            <v>1629</v>
          </cell>
          <cell r="E1643">
            <v>2</v>
          </cell>
          <cell r="F1643">
            <v>3</v>
          </cell>
          <cell r="G1643" t="str">
            <v>003203</v>
          </cell>
          <cell r="H1643" t="str">
            <v>3203 NETC N7 NETPDTC</v>
          </cell>
          <cell r="I1643" t="str">
            <v>IS4</v>
          </cell>
          <cell r="J1643" t="str">
            <v>IS4 Sustainment Engineering and Acquisition</v>
          </cell>
          <cell r="K1643" t="str">
            <v>Navy</v>
          </cell>
          <cell r="L1643" t="str">
            <v>DOD</v>
          </cell>
          <cell r="M1643" t="str">
            <v>CT</v>
          </cell>
          <cell r="N1643" t="str">
            <v>CONUS</v>
          </cell>
          <cell r="O1643">
            <v>42675</v>
          </cell>
          <cell r="P1643">
            <v>44865</v>
          </cell>
          <cell r="Q1643" t="str">
            <v>Prime</v>
          </cell>
          <cell r="R1643" t="str">
            <v>CPFF</v>
          </cell>
          <cell r="S1643">
            <v>0</v>
          </cell>
          <cell r="T1643">
            <v>1</v>
          </cell>
          <cell r="U1643" t="str">
            <v>CONTRACT</v>
          </cell>
          <cell r="V1643" t="str">
            <v>Base</v>
          </cell>
          <cell r="W1643" t="str">
            <v>05 Won</v>
          </cell>
          <cell r="X1643" t="str">
            <v>Active</v>
          </cell>
          <cell r="Y1643">
            <v>1</v>
          </cell>
          <cell r="Z1643">
            <v>0</v>
          </cell>
          <cell r="AA1643">
            <v>918229.63000000012</v>
          </cell>
          <cell r="AB1643">
            <v>0.71999999997206032</v>
          </cell>
          <cell r="AC1643">
            <v>0</v>
          </cell>
          <cell r="AD1643">
            <v>918230.35000000009</v>
          </cell>
          <cell r="AL1643">
            <v>0</v>
          </cell>
          <cell r="AM1643">
            <v>0</v>
          </cell>
          <cell r="AN1643">
            <v>0.17351679359859354</v>
          </cell>
          <cell r="AO1643">
            <v>0.16843034691438175</v>
          </cell>
          <cell r="AP1643">
            <v>0.16663908750198</v>
          </cell>
          <cell r="AQ1643">
            <v>0.16663908750198</v>
          </cell>
          <cell r="AR1643">
            <v>0.16663908750198</v>
          </cell>
          <cell r="AS1643">
            <v>0.16663908750198</v>
          </cell>
          <cell r="BF1643">
            <v>0</v>
          </cell>
          <cell r="BG1643">
            <v>0</v>
          </cell>
          <cell r="BH1643">
            <v>51401.729999999989</v>
          </cell>
          <cell r="BI1643">
            <v>24692.81</v>
          </cell>
          <cell r="BJ1643">
            <v>38454.160000000003</v>
          </cell>
          <cell r="BK1643">
            <v>43381.83</v>
          </cell>
          <cell r="BL1643">
            <v>39141</v>
          </cell>
          <cell r="BM1643">
            <v>145669.79999999999</v>
          </cell>
          <cell r="BN1643">
            <v>114669.85520000001</v>
          </cell>
          <cell r="BO1643">
            <v>38343.212440623734</v>
          </cell>
          <cell r="BP1643">
            <v>0</v>
          </cell>
          <cell r="BQ1643">
            <v>0</v>
          </cell>
          <cell r="BR1643">
            <v>298682.86764062371</v>
          </cell>
          <cell r="BT1643">
            <v>0</v>
          </cell>
          <cell r="CA1643" t="str">
            <v>003203 - CONTRACT - Base</v>
          </cell>
          <cell r="CC1643" t="str">
            <v>003203 - CONTRACT - Base - IS4</v>
          </cell>
          <cell r="CD1643" t="str">
            <v/>
          </cell>
          <cell r="CF1643" t="str">
            <v>003203 - Base - IS4</v>
          </cell>
        </row>
        <row r="1644">
          <cell r="D1644">
            <v>1630</v>
          </cell>
          <cell r="E1644">
            <v>2</v>
          </cell>
          <cell r="F1644">
            <v>4</v>
          </cell>
          <cell r="G1644" t="str">
            <v>003203</v>
          </cell>
          <cell r="H1644" t="str">
            <v>3203 NETC N7 NETPDTC</v>
          </cell>
          <cell r="I1644" t="str">
            <v>IS4</v>
          </cell>
          <cell r="J1644" t="str">
            <v>IS4 Sustainment Engineering and Acquisition</v>
          </cell>
          <cell r="K1644" t="str">
            <v>Navy</v>
          </cell>
          <cell r="L1644" t="str">
            <v>DOD</v>
          </cell>
          <cell r="M1644" t="str">
            <v>CT</v>
          </cell>
          <cell r="N1644" t="str">
            <v>CONUS</v>
          </cell>
          <cell r="O1644">
            <v>0</v>
          </cell>
          <cell r="P1644">
            <v>0</v>
          </cell>
          <cell r="Q1644">
            <v>0</v>
          </cell>
          <cell r="R1644" t="str">
            <v>CPFF</v>
          </cell>
          <cell r="S1644">
            <v>0</v>
          </cell>
          <cell r="T1644">
            <v>1</v>
          </cell>
          <cell r="U1644" t="str">
            <v>CONTRACT</v>
          </cell>
          <cell r="V1644" t="str">
            <v>Identified - Recompete</v>
          </cell>
          <cell r="W1644">
            <v>0</v>
          </cell>
          <cell r="X1644">
            <v>0</v>
          </cell>
          <cell r="Y1644">
            <v>0</v>
          </cell>
          <cell r="Z1644">
            <v>0</v>
          </cell>
          <cell r="AA1644">
            <v>0</v>
          </cell>
          <cell r="AB1644">
            <v>0</v>
          </cell>
          <cell r="AC1644">
            <v>0</v>
          </cell>
          <cell r="AD1644">
            <v>0</v>
          </cell>
          <cell r="AP1644">
            <v>0</v>
          </cell>
          <cell r="AQ1644">
            <v>0</v>
          </cell>
          <cell r="AR1644">
            <v>0</v>
          </cell>
          <cell r="AS1644">
            <v>0</v>
          </cell>
          <cell r="BI1644">
            <v>0</v>
          </cell>
          <cell r="BJ1644">
            <v>0</v>
          </cell>
          <cell r="BK1644">
            <v>0</v>
          </cell>
          <cell r="BL1644">
            <v>0</v>
          </cell>
          <cell r="BM1644">
            <v>0</v>
          </cell>
          <cell r="BN1644">
            <v>0</v>
          </cell>
          <cell r="BO1644">
            <v>0</v>
          </cell>
          <cell r="BP1644">
            <v>0</v>
          </cell>
          <cell r="BQ1644">
            <v>0</v>
          </cell>
          <cell r="BR1644">
            <v>0</v>
          </cell>
          <cell r="BT1644">
            <v>0</v>
          </cell>
          <cell r="CA1644" t="str">
            <v>003203 - CONTRACT - Identified - Recompete</v>
          </cell>
          <cell r="CC1644" t="str">
            <v>003203 - CONTRACT - Identified - Recompete - IS4</v>
          </cell>
          <cell r="CD1644" t="str">
            <v/>
          </cell>
          <cell r="CF1644" t="str">
            <v>003203 - Identified - Recompete - IS4</v>
          </cell>
        </row>
        <row r="1645">
          <cell r="D1645">
            <v>1631</v>
          </cell>
          <cell r="E1645">
            <v>0</v>
          </cell>
          <cell r="F1645">
            <v>5</v>
          </cell>
          <cell r="G1645" t="str">
            <v>003203</v>
          </cell>
          <cell r="H1645" t="str">
            <v>3203 NETC N7 NETPDTC</v>
          </cell>
          <cell r="I1645" t="str">
            <v>IS4</v>
          </cell>
          <cell r="J1645" t="str">
            <v>IS4 Sustainment Engineering and Acquisition</v>
          </cell>
          <cell r="K1645" t="str">
            <v>Navy</v>
          </cell>
          <cell r="L1645" t="str">
            <v>DOD</v>
          </cell>
          <cell r="M1645" t="str">
            <v>CT</v>
          </cell>
          <cell r="N1645" t="str">
            <v>CONUS</v>
          </cell>
          <cell r="O1645">
            <v>42675</v>
          </cell>
          <cell r="P1645">
            <v>44865</v>
          </cell>
          <cell r="Q1645" t="str">
            <v>Prime</v>
          </cell>
          <cell r="R1645" t="str">
            <v>CPFF</v>
          </cell>
          <cell r="S1645">
            <v>0</v>
          </cell>
          <cell r="T1645">
            <v>1</v>
          </cell>
          <cell r="U1645" t="str">
            <v>EBITA</v>
          </cell>
          <cell r="V1645" t="str">
            <v>Base</v>
          </cell>
          <cell r="W1645" t="str">
            <v>05 Won</v>
          </cell>
          <cell r="X1645" t="str">
            <v>Active</v>
          </cell>
          <cell r="Y1645">
            <v>1</v>
          </cell>
          <cell r="Z1645">
            <v>0</v>
          </cell>
          <cell r="AA1645">
            <v>918229.63000000012</v>
          </cell>
          <cell r="AB1645">
            <v>0.71999999997206032</v>
          </cell>
          <cell r="AC1645">
            <v>0</v>
          </cell>
          <cell r="AD1645">
            <v>918230.35000000009</v>
          </cell>
          <cell r="AT1645">
            <v>0</v>
          </cell>
          <cell r="AU1645">
            <v>0</v>
          </cell>
          <cell r="AV1645">
            <v>5.8578783256125422E-2</v>
          </cell>
          <cell r="AW1645">
            <v>5.1838716280338745E-2</v>
          </cell>
          <cell r="AX1645">
            <v>4.7621315996468447E-2</v>
          </cell>
          <cell r="AY1645">
            <v>4.7621315996468447E-2</v>
          </cell>
          <cell r="AZ1645">
            <v>4.7621315996468447E-2</v>
          </cell>
          <cell r="BA1645">
            <v>4.7621315996468447E-2</v>
          </cell>
          <cell r="BF1645">
            <v>0</v>
          </cell>
          <cell r="BG1645">
            <v>0</v>
          </cell>
          <cell r="BH1645">
            <v>17353.079999999987</v>
          </cell>
          <cell r="BI1645">
            <v>7626.4600000000009</v>
          </cell>
          <cell r="BJ1645">
            <v>11860.470000000005</v>
          </cell>
          <cell r="BK1645">
            <v>13130.650000000003</v>
          </cell>
          <cell r="BL1645">
            <v>12216</v>
          </cell>
          <cell r="BM1645">
            <v>44833.580000000009</v>
          </cell>
          <cell r="BN1645">
            <v>32769.79904059782</v>
          </cell>
          <cell r="BO1645">
            <v>10957.538614300003</v>
          </cell>
          <cell r="BP1645">
            <v>0</v>
          </cell>
          <cell r="BQ1645">
            <v>0</v>
          </cell>
          <cell r="BR1645">
            <v>88560.917654897828</v>
          </cell>
          <cell r="BT1645">
            <v>0</v>
          </cell>
          <cell r="CA1645" t="str">
            <v>003203 - EBITA - Base</v>
          </cell>
          <cell r="CC1645" t="str">
            <v>003203 - EBITA - Base - IS4</v>
          </cell>
          <cell r="CD1645" t="str">
            <v/>
          </cell>
          <cell r="CF1645" t="str">
            <v>003203 - Base - IS4</v>
          </cell>
        </row>
        <row r="1646">
          <cell r="D1646">
            <v>1632</v>
          </cell>
          <cell r="E1646">
            <v>0</v>
          </cell>
          <cell r="F1646">
            <v>0</v>
          </cell>
          <cell r="G1646" t="str">
            <v>003203</v>
          </cell>
          <cell r="H1646" t="str">
            <v>3203 NETC N7 NETPDTC</v>
          </cell>
          <cell r="I1646" t="str">
            <v>IS4</v>
          </cell>
          <cell r="J1646" t="str">
            <v>IS4 Sustainment Engineering and Acquisition</v>
          </cell>
          <cell r="K1646" t="str">
            <v>Navy</v>
          </cell>
          <cell r="L1646" t="str">
            <v>DOD</v>
          </cell>
          <cell r="M1646" t="str">
            <v>CT</v>
          </cell>
          <cell r="N1646" t="str">
            <v>CONUS</v>
          </cell>
          <cell r="O1646">
            <v>0</v>
          </cell>
          <cell r="P1646">
            <v>0</v>
          </cell>
          <cell r="Q1646">
            <v>0</v>
          </cell>
          <cell r="R1646" t="str">
            <v>CPFF</v>
          </cell>
          <cell r="S1646">
            <v>0</v>
          </cell>
          <cell r="T1646">
            <v>1</v>
          </cell>
          <cell r="U1646" t="str">
            <v>EBITA</v>
          </cell>
          <cell r="V1646" t="str">
            <v>Identified - Recompete</v>
          </cell>
          <cell r="W1646">
            <v>0</v>
          </cell>
          <cell r="X1646">
            <v>0</v>
          </cell>
          <cell r="Y1646">
            <v>0</v>
          </cell>
          <cell r="Z1646">
            <v>0</v>
          </cell>
          <cell r="AA1646">
            <v>0</v>
          </cell>
          <cell r="AB1646">
            <v>0</v>
          </cell>
          <cell r="AC1646">
            <v>0</v>
          </cell>
          <cell r="AD1646">
            <v>0</v>
          </cell>
          <cell r="AX1646">
            <v>0</v>
          </cell>
          <cell r="AY1646">
            <v>0</v>
          </cell>
          <cell r="AZ1646">
            <v>0</v>
          </cell>
          <cell r="BA1646">
            <v>0</v>
          </cell>
          <cell r="BI1646">
            <v>0</v>
          </cell>
          <cell r="BJ1646">
            <v>0</v>
          </cell>
          <cell r="BK1646">
            <v>0</v>
          </cell>
          <cell r="BL1646">
            <v>0</v>
          </cell>
          <cell r="BM1646">
            <v>0</v>
          </cell>
          <cell r="BN1646">
            <v>0</v>
          </cell>
          <cell r="BO1646">
            <v>0</v>
          </cell>
          <cell r="BP1646">
            <v>0</v>
          </cell>
          <cell r="BQ1646">
            <v>0</v>
          </cell>
          <cell r="BR1646">
            <v>0</v>
          </cell>
          <cell r="BT1646">
            <v>0</v>
          </cell>
          <cell r="CA1646" t="str">
            <v>003203 - EBITA - Identified - Recompete</v>
          </cell>
          <cell r="CC1646" t="str">
            <v>003203 - EBITA - Identified - Recompete - IS4</v>
          </cell>
          <cell r="CD1646" t="str">
            <v/>
          </cell>
          <cell r="CF1646" t="str">
            <v>003203 - Identified - Recompete - IS4</v>
          </cell>
        </row>
        <row r="1647">
          <cell r="D1647">
            <v>1633</v>
          </cell>
          <cell r="E1647">
            <v>1</v>
          </cell>
          <cell r="F1647">
            <v>1</v>
          </cell>
          <cell r="G1647" t="str">
            <v>003358</v>
          </cell>
          <cell r="H1647" t="str">
            <v>3358 SeaCorp Combat Sys</v>
          </cell>
          <cell r="I1647" t="str">
            <v>IS4</v>
          </cell>
          <cell r="J1647" t="str">
            <v>IS4 Sustainment Engineering and Acquisition</v>
          </cell>
          <cell r="K1647" t="str">
            <v>Navy</v>
          </cell>
          <cell r="L1647" t="str">
            <v>DOD</v>
          </cell>
          <cell r="M1647" t="str">
            <v>CT</v>
          </cell>
          <cell r="N1647" t="str">
            <v>CONUS</v>
          </cell>
          <cell r="O1647">
            <v>42936</v>
          </cell>
          <cell r="P1647">
            <v>44761</v>
          </cell>
          <cell r="Q1647" t="str">
            <v>Sub</v>
          </cell>
          <cell r="R1647" t="str">
            <v>CPFF</v>
          </cell>
          <cell r="S1647">
            <v>0</v>
          </cell>
          <cell r="T1647">
            <v>1</v>
          </cell>
          <cell r="U1647" t="str">
            <v>REVTOT</v>
          </cell>
          <cell r="V1647" t="str">
            <v>Base</v>
          </cell>
          <cell r="W1647" t="str">
            <v>05 Won</v>
          </cell>
          <cell r="X1647" t="str">
            <v>Active</v>
          </cell>
          <cell r="Y1647">
            <v>1</v>
          </cell>
          <cell r="Z1647">
            <v>0</v>
          </cell>
          <cell r="AA1647">
            <v>336115.45000000007</v>
          </cell>
          <cell r="AB1647">
            <v>500000</v>
          </cell>
          <cell r="AC1647">
            <v>0</v>
          </cell>
          <cell r="AD1647">
            <v>836115.45000000007</v>
          </cell>
          <cell r="AE1647">
            <v>0</v>
          </cell>
          <cell r="AF1647">
            <v>0</v>
          </cell>
          <cell r="AG1647">
            <v>0.33860984324363108</v>
          </cell>
          <cell r="AH1647">
            <v>-0.12433888288184769</v>
          </cell>
          <cell r="AI1647">
            <v>0</v>
          </cell>
          <cell r="AJ1647">
            <v>0</v>
          </cell>
          <cell r="AK1647">
            <v>0</v>
          </cell>
          <cell r="BB1647">
            <v>701125</v>
          </cell>
          <cell r="BC1647">
            <v>701125</v>
          </cell>
          <cell r="BD1647">
            <v>701125</v>
          </cell>
          <cell r="BE1647">
            <v>701125</v>
          </cell>
          <cell r="BF1647">
            <v>0</v>
          </cell>
          <cell r="BG1647">
            <v>0</v>
          </cell>
          <cell r="BH1647">
            <v>598143.48</v>
          </cell>
          <cell r="BI1647">
            <v>171930.71000000002</v>
          </cell>
          <cell r="BJ1647">
            <v>202362.80000000002</v>
          </cell>
          <cell r="BK1647">
            <v>210566.24</v>
          </cell>
          <cell r="BL1647">
            <v>215821</v>
          </cell>
          <cell r="BM1647">
            <v>800680.75</v>
          </cell>
          <cell r="BN1647">
            <v>701125</v>
          </cell>
          <cell r="BO1647">
            <v>134990.45000000007</v>
          </cell>
          <cell r="BP1647">
            <v>0</v>
          </cell>
          <cell r="BQ1647">
            <v>0</v>
          </cell>
          <cell r="BR1647">
            <v>1636796.2000000002</v>
          </cell>
          <cell r="BT1647">
            <v>0</v>
          </cell>
          <cell r="CA1647" t="str">
            <v>003358 - REVTOT - Base</v>
          </cell>
          <cell r="CC1647" t="str">
            <v>003358 - REVTOT - Base - IS4</v>
          </cell>
          <cell r="CD1647" t="str">
            <v/>
          </cell>
          <cell r="CF1647" t="str">
            <v>003358 - Base - IS4</v>
          </cell>
        </row>
        <row r="1648">
          <cell r="D1648">
            <v>1634</v>
          </cell>
          <cell r="E1648">
            <v>1</v>
          </cell>
          <cell r="F1648">
            <v>2</v>
          </cell>
          <cell r="G1648" t="str">
            <v>003358</v>
          </cell>
          <cell r="H1648" t="str">
            <v>3358 SeaCorp Combat Sys</v>
          </cell>
          <cell r="I1648" t="str">
            <v>IS4</v>
          </cell>
          <cell r="J1648" t="str">
            <v>IS4 Sustainment Engineering and Acquisition</v>
          </cell>
          <cell r="K1648" t="str">
            <v>Navy</v>
          </cell>
          <cell r="L1648" t="str">
            <v>DOD</v>
          </cell>
          <cell r="M1648" t="str">
            <v>CT</v>
          </cell>
          <cell r="N1648" t="str">
            <v>CONUS</v>
          </cell>
          <cell r="O1648">
            <v>0</v>
          </cell>
          <cell r="P1648">
            <v>0</v>
          </cell>
          <cell r="Q1648">
            <v>0</v>
          </cell>
          <cell r="R1648" t="str">
            <v>CPFF</v>
          </cell>
          <cell r="S1648">
            <v>0</v>
          </cell>
          <cell r="T1648">
            <v>1</v>
          </cell>
          <cell r="U1648" t="str">
            <v>REVTOT</v>
          </cell>
          <cell r="V1648" t="str">
            <v>Identified - Recompete</v>
          </cell>
          <cell r="W1648">
            <v>0</v>
          </cell>
          <cell r="X1648">
            <v>0</v>
          </cell>
          <cell r="Y1648">
            <v>0</v>
          </cell>
          <cell r="Z1648">
            <v>0</v>
          </cell>
          <cell r="AA1648">
            <v>0</v>
          </cell>
          <cell r="AB1648">
            <v>0</v>
          </cell>
          <cell r="AC1648">
            <v>0</v>
          </cell>
          <cell r="AD1648">
            <v>0</v>
          </cell>
          <cell r="AI1648">
            <v>0</v>
          </cell>
          <cell r="AJ1648">
            <v>0</v>
          </cell>
          <cell r="AK1648">
            <v>0</v>
          </cell>
          <cell r="BB1648">
            <v>0</v>
          </cell>
          <cell r="BC1648">
            <v>0</v>
          </cell>
          <cell r="BD1648">
            <v>0</v>
          </cell>
          <cell r="BE1648">
            <v>0</v>
          </cell>
          <cell r="BI1648">
            <v>0</v>
          </cell>
          <cell r="BJ1648">
            <v>0</v>
          </cell>
          <cell r="BK1648">
            <v>0</v>
          </cell>
          <cell r="BL1648">
            <v>0</v>
          </cell>
          <cell r="BM1648">
            <v>0</v>
          </cell>
          <cell r="BN1648">
            <v>0</v>
          </cell>
          <cell r="BO1648">
            <v>0</v>
          </cell>
          <cell r="BP1648">
            <v>0</v>
          </cell>
          <cell r="BQ1648">
            <v>0</v>
          </cell>
          <cell r="BR1648">
            <v>0</v>
          </cell>
          <cell r="BT1648">
            <v>0</v>
          </cell>
          <cell r="CA1648" t="str">
            <v>003358 - REVTOT - Identified - Recompete</v>
          </cell>
          <cell r="CC1648" t="str">
            <v>003358 - REVTOT - Identified - Recompete - IS4</v>
          </cell>
          <cell r="CD1648" t="str">
            <v/>
          </cell>
          <cell r="CF1648" t="str">
            <v>003358 - Identified - Recompete - IS4</v>
          </cell>
        </row>
        <row r="1649">
          <cell r="D1649">
            <v>1635</v>
          </cell>
          <cell r="E1649">
            <v>2</v>
          </cell>
          <cell r="F1649">
            <v>3</v>
          </cell>
          <cell r="G1649" t="str">
            <v>003358</v>
          </cell>
          <cell r="H1649" t="str">
            <v>3358 SeaCorp Combat Sys</v>
          </cell>
          <cell r="I1649" t="str">
            <v>IS4</v>
          </cell>
          <cell r="J1649" t="str">
            <v>IS4 Sustainment Engineering and Acquisition</v>
          </cell>
          <cell r="K1649" t="str">
            <v>Navy</v>
          </cell>
          <cell r="L1649" t="str">
            <v>DOD</v>
          </cell>
          <cell r="M1649" t="str">
            <v>CT</v>
          </cell>
          <cell r="N1649" t="str">
            <v>CONUS</v>
          </cell>
          <cell r="O1649">
            <v>42936</v>
          </cell>
          <cell r="P1649">
            <v>44761</v>
          </cell>
          <cell r="Q1649" t="str">
            <v>Sub</v>
          </cell>
          <cell r="R1649" t="str">
            <v>CPFF</v>
          </cell>
          <cell r="S1649">
            <v>0</v>
          </cell>
          <cell r="T1649">
            <v>1</v>
          </cell>
          <cell r="U1649" t="str">
            <v>CONTRACT</v>
          </cell>
          <cell r="V1649" t="str">
            <v>Base</v>
          </cell>
          <cell r="W1649" t="str">
            <v>05 Won</v>
          </cell>
          <cell r="X1649" t="str">
            <v>Active</v>
          </cell>
          <cell r="Y1649">
            <v>1</v>
          </cell>
          <cell r="Z1649">
            <v>0</v>
          </cell>
          <cell r="AA1649">
            <v>336115.45000000007</v>
          </cell>
          <cell r="AB1649">
            <v>500000</v>
          </cell>
          <cell r="AC1649">
            <v>0</v>
          </cell>
          <cell r="AD1649">
            <v>836115.45000000007</v>
          </cell>
          <cell r="AL1649">
            <v>0</v>
          </cell>
          <cell r="AM1649">
            <v>0</v>
          </cell>
          <cell r="AN1649">
            <v>0.20696330251731579</v>
          </cell>
          <cell r="AO1649">
            <v>0.18095110941533191</v>
          </cell>
          <cell r="AP1649">
            <v>0.16773172011039403</v>
          </cell>
          <cell r="AQ1649">
            <v>0.16773172011039403</v>
          </cell>
          <cell r="AR1649">
            <v>0.16773172011039403</v>
          </cell>
          <cell r="AS1649">
            <v>0.16773172011039403</v>
          </cell>
          <cell r="BF1649">
            <v>0</v>
          </cell>
          <cell r="BG1649">
            <v>0</v>
          </cell>
          <cell r="BH1649">
            <v>123793.75000000001</v>
          </cell>
          <cell r="BI1649">
            <v>30886.399999999994</v>
          </cell>
          <cell r="BJ1649">
            <v>36289.350000000013</v>
          </cell>
          <cell r="BK1649">
            <v>38284.319999999992</v>
          </cell>
          <cell r="BL1649">
            <v>39424</v>
          </cell>
          <cell r="BM1649">
            <v>144884.07</v>
          </cell>
          <cell r="BN1649">
            <v>117600.90226240001</v>
          </cell>
          <cell r="BO1649">
            <v>22642.18037697615</v>
          </cell>
          <cell r="BP1649">
            <v>0</v>
          </cell>
          <cell r="BQ1649">
            <v>0</v>
          </cell>
          <cell r="BR1649">
            <v>285127.15263937617</v>
          </cell>
          <cell r="BT1649">
            <v>0</v>
          </cell>
          <cell r="CA1649" t="str">
            <v>003358 - CONTRACT - Base</v>
          </cell>
          <cell r="CC1649" t="str">
            <v>003358 - CONTRACT - Base - IS4</v>
          </cell>
          <cell r="CD1649" t="str">
            <v/>
          </cell>
          <cell r="CF1649" t="str">
            <v>003358 - Base - IS4</v>
          </cell>
        </row>
        <row r="1650">
          <cell r="D1650">
            <v>1636</v>
          </cell>
          <cell r="E1650">
            <v>2</v>
          </cell>
          <cell r="F1650">
            <v>4</v>
          </cell>
          <cell r="G1650" t="str">
            <v>003358</v>
          </cell>
          <cell r="H1650" t="str">
            <v>3358 SeaCorp Combat Sys</v>
          </cell>
          <cell r="I1650" t="str">
            <v>IS4</v>
          </cell>
          <cell r="J1650" t="str">
            <v>IS4 Sustainment Engineering and Acquisition</v>
          </cell>
          <cell r="K1650" t="str">
            <v>Navy</v>
          </cell>
          <cell r="L1650" t="str">
            <v>DOD</v>
          </cell>
          <cell r="M1650" t="str">
            <v>CT</v>
          </cell>
          <cell r="N1650" t="str">
            <v>CONUS</v>
          </cell>
          <cell r="O1650">
            <v>0</v>
          </cell>
          <cell r="P1650">
            <v>0</v>
          </cell>
          <cell r="Q1650">
            <v>0</v>
          </cell>
          <cell r="R1650" t="str">
            <v>CPFF</v>
          </cell>
          <cell r="S1650">
            <v>0</v>
          </cell>
          <cell r="T1650">
            <v>1</v>
          </cell>
          <cell r="U1650" t="str">
            <v>CONTRACT</v>
          </cell>
          <cell r="V1650" t="str">
            <v>Identified - Recompete</v>
          </cell>
          <cell r="W1650">
            <v>0</v>
          </cell>
          <cell r="X1650">
            <v>0</v>
          </cell>
          <cell r="Y1650">
            <v>0</v>
          </cell>
          <cell r="Z1650">
            <v>0</v>
          </cell>
          <cell r="AA1650">
            <v>0</v>
          </cell>
          <cell r="AB1650">
            <v>0</v>
          </cell>
          <cell r="AC1650">
            <v>0</v>
          </cell>
          <cell r="AD1650">
            <v>0</v>
          </cell>
          <cell r="AP1650">
            <v>0</v>
          </cell>
          <cell r="AQ1650">
            <v>0</v>
          </cell>
          <cell r="AR1650">
            <v>0</v>
          </cell>
          <cell r="AS1650">
            <v>0</v>
          </cell>
          <cell r="BI1650">
            <v>0</v>
          </cell>
          <cell r="BJ1650">
            <v>0</v>
          </cell>
          <cell r="BK1650">
            <v>0</v>
          </cell>
          <cell r="BL1650">
            <v>0</v>
          </cell>
          <cell r="BM1650">
            <v>0</v>
          </cell>
          <cell r="BN1650">
            <v>0</v>
          </cell>
          <cell r="BO1650">
            <v>0</v>
          </cell>
          <cell r="BP1650">
            <v>0</v>
          </cell>
          <cell r="BQ1650">
            <v>0</v>
          </cell>
          <cell r="BR1650">
            <v>0</v>
          </cell>
          <cell r="BT1650">
            <v>0</v>
          </cell>
          <cell r="CA1650" t="str">
            <v>003358 - CONTRACT - Identified - Recompete</v>
          </cell>
          <cell r="CC1650" t="str">
            <v>003358 - CONTRACT - Identified - Recompete - IS4</v>
          </cell>
          <cell r="CD1650" t="str">
            <v/>
          </cell>
          <cell r="CF1650" t="str">
            <v>003358 - Identified - Recompete - IS4</v>
          </cell>
        </row>
        <row r="1651">
          <cell r="D1651">
            <v>1637</v>
          </cell>
          <cell r="E1651">
            <v>0</v>
          </cell>
          <cell r="F1651">
            <v>5</v>
          </cell>
          <cell r="G1651" t="str">
            <v>003358</v>
          </cell>
          <cell r="H1651" t="str">
            <v>3358 SeaCorp Combat Sys</v>
          </cell>
          <cell r="I1651" t="str">
            <v>IS4</v>
          </cell>
          <cell r="J1651" t="str">
            <v>IS4 Sustainment Engineering and Acquisition</v>
          </cell>
          <cell r="K1651" t="str">
            <v>Navy</v>
          </cell>
          <cell r="L1651" t="str">
            <v>DOD</v>
          </cell>
          <cell r="M1651" t="str">
            <v>CT</v>
          </cell>
          <cell r="N1651" t="str">
            <v>CONUS</v>
          </cell>
          <cell r="O1651">
            <v>42936</v>
          </cell>
          <cell r="P1651">
            <v>44761</v>
          </cell>
          <cell r="Q1651" t="str">
            <v>Sub</v>
          </cell>
          <cell r="R1651" t="str">
            <v>CPFF</v>
          </cell>
          <cell r="S1651">
            <v>0</v>
          </cell>
          <cell r="T1651">
            <v>1</v>
          </cell>
          <cell r="U1651" t="str">
            <v>EBITA</v>
          </cell>
          <cell r="V1651" t="str">
            <v>Base</v>
          </cell>
          <cell r="W1651" t="str">
            <v>05 Won</v>
          </cell>
          <cell r="X1651" t="str">
            <v>Active</v>
          </cell>
          <cell r="Y1651">
            <v>1</v>
          </cell>
          <cell r="Z1651">
            <v>0</v>
          </cell>
          <cell r="AA1651">
            <v>336115.45000000007</v>
          </cell>
          <cell r="AB1651">
            <v>500000</v>
          </cell>
          <cell r="AC1651">
            <v>0</v>
          </cell>
          <cell r="AD1651">
            <v>836115.45000000007</v>
          </cell>
          <cell r="AT1651">
            <v>0</v>
          </cell>
          <cell r="AU1651">
            <v>0</v>
          </cell>
          <cell r="AV1651">
            <v>4.4517128231507296E-2</v>
          </cell>
          <cell r="AW1651">
            <v>4.6973266186304589E-2</v>
          </cell>
          <cell r="AX1651">
            <v>4.5081466520635841E-2</v>
          </cell>
          <cell r="AY1651">
            <v>4.5081466520635841E-2</v>
          </cell>
          <cell r="AZ1651">
            <v>4.5081466520635841E-2</v>
          </cell>
          <cell r="BA1651">
            <v>4.5081466520635841E-2</v>
          </cell>
          <cell r="BF1651">
            <v>0</v>
          </cell>
          <cell r="BG1651">
            <v>0</v>
          </cell>
          <cell r="BH1651">
            <v>26627.630000000019</v>
          </cell>
          <cell r="BI1651">
            <v>7981.2799999999952</v>
          </cell>
          <cell r="BJ1651">
            <v>9602.8700000000135</v>
          </cell>
          <cell r="BK1651">
            <v>9818.4399999999896</v>
          </cell>
          <cell r="BL1651">
            <v>10208</v>
          </cell>
          <cell r="BM1651">
            <v>37610.589999999997</v>
          </cell>
          <cell r="BN1651">
            <v>31607.743214280803</v>
          </cell>
          <cell r="BO1651">
            <v>6085.5674522805693</v>
          </cell>
          <cell r="BP1651">
            <v>0</v>
          </cell>
          <cell r="BQ1651">
            <v>0</v>
          </cell>
          <cell r="BR1651">
            <v>75303.900666561371</v>
          </cell>
          <cell r="BT1651">
            <v>0</v>
          </cell>
          <cell r="CA1651" t="str">
            <v>003358 - EBITA - Base</v>
          </cell>
          <cell r="CC1651" t="str">
            <v>003358 - EBITA - Base - IS4</v>
          </cell>
          <cell r="CD1651" t="str">
            <v/>
          </cell>
          <cell r="CF1651" t="str">
            <v>003358 - Base - IS4</v>
          </cell>
        </row>
        <row r="1652">
          <cell r="D1652">
            <v>1638</v>
          </cell>
          <cell r="E1652">
            <v>0</v>
          </cell>
          <cell r="F1652">
            <v>0</v>
          </cell>
          <cell r="G1652" t="str">
            <v>003358</v>
          </cell>
          <cell r="H1652" t="str">
            <v>3358 SeaCorp Combat Sys</v>
          </cell>
          <cell r="I1652" t="str">
            <v>IS4</v>
          </cell>
          <cell r="J1652" t="str">
            <v>IS4 Sustainment Engineering and Acquisition</v>
          </cell>
          <cell r="K1652" t="str">
            <v>Navy</v>
          </cell>
          <cell r="L1652" t="str">
            <v>DOD</v>
          </cell>
          <cell r="M1652" t="str">
            <v>CT</v>
          </cell>
          <cell r="N1652" t="str">
            <v>CONUS</v>
          </cell>
          <cell r="O1652">
            <v>0</v>
          </cell>
          <cell r="P1652">
            <v>0</v>
          </cell>
          <cell r="Q1652">
            <v>0</v>
          </cell>
          <cell r="R1652" t="str">
            <v>CPFF</v>
          </cell>
          <cell r="S1652">
            <v>0</v>
          </cell>
          <cell r="T1652">
            <v>1</v>
          </cell>
          <cell r="U1652" t="str">
            <v>EBITA</v>
          </cell>
          <cell r="V1652" t="str">
            <v>Identified - Recompete</v>
          </cell>
          <cell r="W1652">
            <v>0</v>
          </cell>
          <cell r="X1652">
            <v>0</v>
          </cell>
          <cell r="Y1652">
            <v>0</v>
          </cell>
          <cell r="Z1652">
            <v>0</v>
          </cell>
          <cell r="AA1652">
            <v>0</v>
          </cell>
          <cell r="AB1652">
            <v>0</v>
          </cell>
          <cell r="AC1652">
            <v>0</v>
          </cell>
          <cell r="AD1652">
            <v>0</v>
          </cell>
          <cell r="AX1652">
            <v>0</v>
          </cell>
          <cell r="AY1652">
            <v>0</v>
          </cell>
          <cell r="AZ1652">
            <v>0</v>
          </cell>
          <cell r="BA1652">
            <v>0</v>
          </cell>
          <cell r="BI1652">
            <v>0</v>
          </cell>
          <cell r="BJ1652">
            <v>0</v>
          </cell>
          <cell r="BK1652">
            <v>0</v>
          </cell>
          <cell r="BL1652">
            <v>0</v>
          </cell>
          <cell r="BM1652">
            <v>0</v>
          </cell>
          <cell r="BN1652">
            <v>0</v>
          </cell>
          <cell r="BO1652">
            <v>0</v>
          </cell>
          <cell r="BP1652">
            <v>0</v>
          </cell>
          <cell r="BQ1652">
            <v>0</v>
          </cell>
          <cell r="BR1652">
            <v>0</v>
          </cell>
          <cell r="BT1652">
            <v>0</v>
          </cell>
          <cell r="CA1652" t="str">
            <v>003358 - EBITA - Identified - Recompete</v>
          </cell>
          <cell r="CC1652" t="str">
            <v>003358 - EBITA - Identified - Recompete - IS4</v>
          </cell>
          <cell r="CD1652" t="str">
            <v/>
          </cell>
          <cell r="CF1652" t="str">
            <v>003358 - Identified - Recompete - IS4</v>
          </cell>
        </row>
        <row r="1653">
          <cell r="D1653">
            <v>1639</v>
          </cell>
          <cell r="E1653">
            <v>1</v>
          </cell>
          <cell r="F1653">
            <v>1</v>
          </cell>
          <cell r="G1653" t="str">
            <v>003044</v>
          </cell>
          <cell r="H1653" t="str">
            <v>Sys Admin Sup (GeoNorth)</v>
          </cell>
          <cell r="I1653" t="str">
            <v>IS4</v>
          </cell>
          <cell r="J1653" t="str">
            <v>IS4 Spectrum &amp; Infrastructure Assurance</v>
          </cell>
          <cell r="K1653" t="str">
            <v>Navy</v>
          </cell>
          <cell r="L1653" t="str">
            <v>DOD</v>
          </cell>
          <cell r="M1653" t="str">
            <v>VA</v>
          </cell>
          <cell r="N1653" t="str">
            <v>CONUS</v>
          </cell>
          <cell r="O1653">
            <v>42275</v>
          </cell>
          <cell r="P1653">
            <v>44101</v>
          </cell>
          <cell r="Q1653" t="str">
            <v>Sub</v>
          </cell>
          <cell r="R1653" t="str">
            <v>CPFF</v>
          </cell>
          <cell r="S1653">
            <v>0</v>
          </cell>
          <cell r="T1653">
            <v>1</v>
          </cell>
          <cell r="U1653" t="str">
            <v>REVTOT</v>
          </cell>
          <cell r="V1653" t="str">
            <v>Base</v>
          </cell>
          <cell r="W1653" t="str">
            <v>05 Won</v>
          </cell>
          <cell r="X1653" t="str">
            <v>Active</v>
          </cell>
          <cell r="Y1653">
            <v>1</v>
          </cell>
          <cell r="Z1653">
            <v>0</v>
          </cell>
          <cell r="AA1653">
            <v>779455.55</v>
          </cell>
          <cell r="AB1653">
            <v>37620</v>
          </cell>
          <cell r="AC1653">
            <v>0</v>
          </cell>
          <cell r="AD1653">
            <v>817075.55</v>
          </cell>
          <cell r="AE1653">
            <v>0.27663621935253158</v>
          </cell>
          <cell r="AF1653">
            <v>-0.20765110199462922</v>
          </cell>
          <cell r="AG1653">
            <v>0.16370895101059935</v>
          </cell>
          <cell r="AH1653">
            <v>4.4917768853783846E-2</v>
          </cell>
          <cell r="AI1653">
            <v>0</v>
          </cell>
          <cell r="AJ1653">
            <v>0</v>
          </cell>
          <cell r="AK1653">
            <v>0</v>
          </cell>
          <cell r="BB1653">
            <v>711501.06031000009</v>
          </cell>
          <cell r="BC1653">
            <v>711501.06031000009</v>
          </cell>
          <cell r="BD1653">
            <v>711501.06031000009</v>
          </cell>
          <cell r="BE1653">
            <v>711501.06031000009</v>
          </cell>
          <cell r="BF1653">
            <v>578449.49</v>
          </cell>
          <cell r="BG1653">
            <v>738469.57000000007</v>
          </cell>
          <cell r="BH1653">
            <v>585125.55000000005</v>
          </cell>
          <cell r="BI1653">
            <v>165716.75</v>
          </cell>
          <cell r="BJ1653">
            <v>151181.77000000002</v>
          </cell>
          <cell r="BK1653">
            <v>186078.32</v>
          </cell>
          <cell r="BL1653">
            <v>177939</v>
          </cell>
          <cell r="BM1653">
            <v>680915.84000000008</v>
          </cell>
          <cell r="BN1653">
            <v>711501.06031000009</v>
          </cell>
          <cell r="BO1653">
            <v>105574.48968999996</v>
          </cell>
          <cell r="BP1653">
            <v>0</v>
          </cell>
          <cell r="BQ1653">
            <v>0</v>
          </cell>
          <cell r="BR1653">
            <v>1497991.3900000001</v>
          </cell>
          <cell r="BT1653">
            <v>0</v>
          </cell>
          <cell r="CA1653" t="str">
            <v>003044 - REVTOT - Base</v>
          </cell>
          <cell r="CC1653" t="str">
            <v>003044 - REVTOT - Base - IS4</v>
          </cell>
          <cell r="CD1653" t="str">
            <v/>
          </cell>
          <cell r="CF1653" t="str">
            <v>003044 - Base - IS4</v>
          </cell>
        </row>
        <row r="1654">
          <cell r="D1654">
            <v>1640</v>
          </cell>
          <cell r="E1654">
            <v>1</v>
          </cell>
          <cell r="F1654">
            <v>2</v>
          </cell>
          <cell r="G1654" t="str">
            <v>003044</v>
          </cell>
          <cell r="H1654" t="str">
            <v>Sys Admin Sup (GeoNorth)</v>
          </cell>
          <cell r="I1654" t="str">
            <v>IS4</v>
          </cell>
          <cell r="J1654" t="str">
            <v>IS4 Spectrum &amp; Infrastructure Assurance</v>
          </cell>
          <cell r="K1654" t="str">
            <v>Navy</v>
          </cell>
          <cell r="L1654" t="str">
            <v>DOD</v>
          </cell>
          <cell r="M1654" t="str">
            <v>VA</v>
          </cell>
          <cell r="N1654" t="str">
            <v>CONUS</v>
          </cell>
          <cell r="O1654">
            <v>44180</v>
          </cell>
          <cell r="P1654">
            <v>46006</v>
          </cell>
          <cell r="Q1654" t="str">
            <v>Sub</v>
          </cell>
          <cell r="R1654" t="str">
            <v>CPFF</v>
          </cell>
          <cell r="S1654">
            <v>0</v>
          </cell>
          <cell r="T1654">
            <v>1</v>
          </cell>
          <cell r="U1654" t="str">
            <v>REVTOT</v>
          </cell>
          <cell r="V1654" t="str">
            <v>Identified - Recompete</v>
          </cell>
          <cell r="W1654" t="str">
            <v>02 Capture</v>
          </cell>
          <cell r="X1654" t="str">
            <v>Priority 3</v>
          </cell>
          <cell r="Y1654">
            <v>0.5</v>
          </cell>
          <cell r="Z1654">
            <v>8700000</v>
          </cell>
          <cell r="AA1654">
            <v>0</v>
          </cell>
          <cell r="AB1654">
            <v>0</v>
          </cell>
          <cell r="AC1654">
            <v>0</v>
          </cell>
          <cell r="AD1654">
            <v>0</v>
          </cell>
          <cell r="AI1654">
            <v>0</v>
          </cell>
          <cell r="AJ1654">
            <v>0</v>
          </cell>
          <cell r="AK1654">
            <v>0</v>
          </cell>
          <cell r="BB1654">
            <v>1740000</v>
          </cell>
          <cell r="BC1654">
            <v>1740000</v>
          </cell>
          <cell r="BD1654">
            <v>1740000</v>
          </cell>
          <cell r="BE1654">
            <v>1740000</v>
          </cell>
          <cell r="BI1654">
            <v>0</v>
          </cell>
          <cell r="BJ1654">
            <v>0</v>
          </cell>
          <cell r="BK1654">
            <v>0</v>
          </cell>
          <cell r="BL1654">
            <v>0</v>
          </cell>
          <cell r="BM1654">
            <v>0</v>
          </cell>
          <cell r="BN1654">
            <v>0</v>
          </cell>
          <cell r="BO1654">
            <v>870000</v>
          </cell>
          <cell r="BP1654">
            <v>870000</v>
          </cell>
          <cell r="BQ1654">
            <v>870000</v>
          </cell>
          <cell r="BR1654">
            <v>2610000</v>
          </cell>
          <cell r="BT1654">
            <v>0</v>
          </cell>
          <cell r="CA1654" t="str">
            <v>003044 - REVTOT - Identified - Recompete</v>
          </cell>
          <cell r="CC1654" t="str">
            <v>003044 - REVTOT - Identified - Recompete - IS4</v>
          </cell>
          <cell r="CD1654" t="str">
            <v/>
          </cell>
          <cell r="CF1654" t="str">
            <v>003044 - Identified - Recompete - IS4</v>
          </cell>
        </row>
        <row r="1655">
          <cell r="D1655">
            <v>1641</v>
          </cell>
          <cell r="E1655">
            <v>2</v>
          </cell>
          <cell r="F1655">
            <v>3</v>
          </cell>
          <cell r="G1655" t="str">
            <v>003044</v>
          </cell>
          <cell r="H1655" t="str">
            <v>Sys Admin Sup (GeoNorth)</v>
          </cell>
          <cell r="I1655" t="str">
            <v>IS4</v>
          </cell>
          <cell r="J1655" t="str">
            <v>IS4 Spectrum &amp; Infrastructure Assurance</v>
          </cell>
          <cell r="K1655" t="str">
            <v>Navy</v>
          </cell>
          <cell r="L1655" t="str">
            <v>DOD</v>
          </cell>
          <cell r="M1655" t="str">
            <v>VA</v>
          </cell>
          <cell r="N1655" t="str">
            <v>CONUS</v>
          </cell>
          <cell r="O1655">
            <v>42275</v>
          </cell>
          <cell r="P1655">
            <v>44101</v>
          </cell>
          <cell r="Q1655" t="str">
            <v>Sub</v>
          </cell>
          <cell r="R1655" t="str">
            <v>CPFF</v>
          </cell>
          <cell r="S1655">
            <v>0</v>
          </cell>
          <cell r="T1655">
            <v>1</v>
          </cell>
          <cell r="U1655" t="str">
            <v>CONTRACT</v>
          </cell>
          <cell r="V1655" t="str">
            <v>Base</v>
          </cell>
          <cell r="W1655" t="str">
            <v>05 Won</v>
          </cell>
          <cell r="X1655" t="str">
            <v>Active</v>
          </cell>
          <cell r="Y1655">
            <v>1</v>
          </cell>
          <cell r="Z1655">
            <v>0</v>
          </cell>
          <cell r="AA1655">
            <v>779455.55</v>
          </cell>
          <cell r="AB1655">
            <v>37620</v>
          </cell>
          <cell r="AC1655">
            <v>0</v>
          </cell>
          <cell r="AD1655">
            <v>817075.55</v>
          </cell>
          <cell r="AL1655">
            <v>0.19981926166103112</v>
          </cell>
          <cell r="AM1655">
            <v>0.16476420280933177</v>
          </cell>
          <cell r="AN1655">
            <v>0.15266043330358761</v>
          </cell>
          <cell r="AO1655">
            <v>0.16344312095897195</v>
          </cell>
          <cell r="AP1655">
            <v>0.16273792955916494</v>
          </cell>
          <cell r="AQ1655">
            <v>0.16273792955916494</v>
          </cell>
          <cell r="AR1655">
            <v>0.16273792955916494</v>
          </cell>
          <cell r="AS1655">
            <v>0.16273792955916494</v>
          </cell>
          <cell r="BF1655">
            <v>115585.35</v>
          </cell>
          <cell r="BG1655">
            <v>121673.35000000003</v>
          </cell>
          <cell r="BH1655">
            <v>89325.520000000019</v>
          </cell>
          <cell r="BI1655">
            <v>27699.689999999988</v>
          </cell>
          <cell r="BJ1655">
            <v>24910.86</v>
          </cell>
          <cell r="BK1655">
            <v>30700.460000000014</v>
          </cell>
          <cell r="BL1655">
            <v>27980</v>
          </cell>
          <cell r="BM1655">
            <v>111291.01000000001</v>
          </cell>
          <cell r="BN1655">
            <v>115788.20943399996</v>
          </cell>
          <cell r="BO1655">
            <v>17180.973866416</v>
          </cell>
          <cell r="BP1655">
            <v>0</v>
          </cell>
          <cell r="BQ1655">
            <v>0</v>
          </cell>
          <cell r="BR1655">
            <v>244260.19330041597</v>
          </cell>
          <cell r="BT1655">
            <v>0</v>
          </cell>
          <cell r="CA1655" t="str">
            <v>003044 - CONTRACT - Base</v>
          </cell>
          <cell r="CC1655" t="str">
            <v>003044 - CONTRACT - Base - IS4</v>
          </cell>
          <cell r="CD1655" t="str">
            <v/>
          </cell>
          <cell r="CF1655" t="str">
            <v>003044 - Base - IS4</v>
          </cell>
        </row>
        <row r="1656">
          <cell r="D1656">
            <v>1642</v>
          </cell>
          <cell r="E1656">
            <v>2</v>
          </cell>
          <cell r="F1656">
            <v>4</v>
          </cell>
          <cell r="G1656" t="str">
            <v>003044</v>
          </cell>
          <cell r="H1656" t="str">
            <v>Sys Admin Sup (GeoNorth)</v>
          </cell>
          <cell r="I1656" t="str">
            <v>IS4</v>
          </cell>
          <cell r="J1656" t="str">
            <v>IS4 Spectrum &amp; Infrastructure Assurance</v>
          </cell>
          <cell r="K1656" t="str">
            <v>Navy</v>
          </cell>
          <cell r="L1656" t="str">
            <v>DOD</v>
          </cell>
          <cell r="M1656" t="str">
            <v>VA</v>
          </cell>
          <cell r="N1656" t="str">
            <v>CONUS</v>
          </cell>
          <cell r="O1656">
            <v>44180</v>
          </cell>
          <cell r="P1656">
            <v>46006</v>
          </cell>
          <cell r="Q1656" t="str">
            <v>Sub</v>
          </cell>
          <cell r="R1656" t="str">
            <v>CPFF</v>
          </cell>
          <cell r="S1656">
            <v>0</v>
          </cell>
          <cell r="T1656">
            <v>1</v>
          </cell>
          <cell r="U1656" t="str">
            <v>CONTRACT</v>
          </cell>
          <cell r="V1656" t="str">
            <v>Identified - Recompete</v>
          </cell>
          <cell r="W1656" t="str">
            <v>02 Capture</v>
          </cell>
          <cell r="X1656" t="str">
            <v>Priority 3</v>
          </cell>
          <cell r="Y1656">
            <v>0.5</v>
          </cell>
          <cell r="Z1656">
            <v>8700000</v>
          </cell>
          <cell r="AA1656">
            <v>0</v>
          </cell>
          <cell r="AB1656">
            <v>0</v>
          </cell>
          <cell r="AC1656">
            <v>0</v>
          </cell>
          <cell r="AD1656">
            <v>0</v>
          </cell>
          <cell r="AP1656">
            <v>0.16273792955916494</v>
          </cell>
          <cell r="AQ1656">
            <v>0.16273792955916494</v>
          </cell>
          <cell r="AR1656">
            <v>0.16273792955916494</v>
          </cell>
          <cell r="AS1656">
            <v>0.16273792955916494</v>
          </cell>
          <cell r="BI1656">
            <v>0</v>
          </cell>
          <cell r="BJ1656">
            <v>0</v>
          </cell>
          <cell r="BK1656">
            <v>0</v>
          </cell>
          <cell r="BL1656">
            <v>0</v>
          </cell>
          <cell r="BM1656">
            <v>0</v>
          </cell>
          <cell r="BN1656">
            <v>0</v>
          </cell>
          <cell r="BO1656">
            <v>141581.99871647349</v>
          </cell>
          <cell r="BP1656">
            <v>141581.99871647349</v>
          </cell>
          <cell r="BQ1656">
            <v>141581.99871647349</v>
          </cell>
          <cell r="BR1656">
            <v>424745.99614942051</v>
          </cell>
          <cell r="BT1656">
            <v>0</v>
          </cell>
          <cell r="CA1656" t="str">
            <v>003044 - CONTRACT - Identified - Recompete</v>
          </cell>
          <cell r="CC1656" t="str">
            <v>003044 - CONTRACT - Identified - Recompete - IS4</v>
          </cell>
          <cell r="CD1656" t="str">
            <v/>
          </cell>
          <cell r="CF1656" t="str">
            <v>003044 - Identified - Recompete - IS4</v>
          </cell>
        </row>
        <row r="1657">
          <cell r="D1657">
            <v>1643</v>
          </cell>
          <cell r="E1657">
            <v>0</v>
          </cell>
          <cell r="F1657">
            <v>5</v>
          </cell>
          <cell r="G1657" t="str">
            <v>003044</v>
          </cell>
          <cell r="H1657" t="str">
            <v>Sys Admin Sup (GeoNorth)</v>
          </cell>
          <cell r="I1657" t="str">
            <v>IS4</v>
          </cell>
          <cell r="J1657" t="str">
            <v>IS4 Spectrum &amp; Infrastructure Assurance</v>
          </cell>
          <cell r="K1657" t="str">
            <v>Navy</v>
          </cell>
          <cell r="L1657" t="str">
            <v>DOD</v>
          </cell>
          <cell r="M1657" t="str">
            <v>VA</v>
          </cell>
          <cell r="N1657" t="str">
            <v>CONUS</v>
          </cell>
          <cell r="O1657">
            <v>42275</v>
          </cell>
          <cell r="P1657">
            <v>44101</v>
          </cell>
          <cell r="Q1657" t="str">
            <v>Sub</v>
          </cell>
          <cell r="R1657" t="str">
            <v>CPFF</v>
          </cell>
          <cell r="S1657">
            <v>0</v>
          </cell>
          <cell r="T1657">
            <v>1</v>
          </cell>
          <cell r="U1657" t="str">
            <v>EBITA</v>
          </cell>
          <cell r="V1657" t="str">
            <v>Base</v>
          </cell>
          <cell r="W1657" t="str">
            <v>05 Won</v>
          </cell>
          <cell r="X1657" t="str">
            <v>Active</v>
          </cell>
          <cell r="Y1657">
            <v>1</v>
          </cell>
          <cell r="Z1657">
            <v>0</v>
          </cell>
          <cell r="AA1657">
            <v>779455.55</v>
          </cell>
          <cell r="AB1657">
            <v>37620</v>
          </cell>
          <cell r="AC1657">
            <v>0</v>
          </cell>
          <cell r="AD1657">
            <v>817075.55</v>
          </cell>
          <cell r="AT1657">
            <v>2.8183376909883685E-2</v>
          </cell>
          <cell r="AU1657">
            <v>3.7274941471183466E-2</v>
          </cell>
          <cell r="AV1657">
            <v>2.9643364573637261E-2</v>
          </cell>
          <cell r="AW1657">
            <v>3.7719052034389446E-2</v>
          </cell>
          <cell r="AX1657">
            <v>3.7435641979552237E-2</v>
          </cell>
          <cell r="AY1657">
            <v>3.7435641979552237E-2</v>
          </cell>
          <cell r="AZ1657">
            <v>3.7435641979552237E-2</v>
          </cell>
          <cell r="BA1657">
            <v>3.7435641979552237E-2</v>
          </cell>
          <cell r="BF1657">
            <v>16302.659999999993</v>
          </cell>
          <cell r="BG1657">
            <v>27526.410000000025</v>
          </cell>
          <cell r="BH1657">
            <v>17345.090000000018</v>
          </cell>
          <cell r="BI1657">
            <v>6694.4999999999882</v>
          </cell>
          <cell r="BJ1657">
            <v>6280.5800000000008</v>
          </cell>
          <cell r="BK1657">
            <v>7380.4200000000146</v>
          </cell>
          <cell r="BL1657">
            <v>5328</v>
          </cell>
          <cell r="BM1657">
            <v>25683.500000000004</v>
          </cell>
          <cell r="BN1657">
            <v>26635.498961836965</v>
          </cell>
          <cell r="BO1657">
            <v>3952.2487982087673</v>
          </cell>
          <cell r="BP1657">
            <v>0</v>
          </cell>
          <cell r="BQ1657">
            <v>0</v>
          </cell>
          <cell r="BR1657">
            <v>56271.247760045742</v>
          </cell>
          <cell r="BT1657">
            <v>0</v>
          </cell>
          <cell r="CA1657" t="str">
            <v>003044 - EBITA - Base</v>
          </cell>
          <cell r="CC1657" t="str">
            <v>003044 - EBITA - Base - IS4</v>
          </cell>
          <cell r="CD1657" t="str">
            <v/>
          </cell>
          <cell r="CF1657" t="str">
            <v>003044 - Base - IS4</v>
          </cell>
        </row>
        <row r="1658">
          <cell r="D1658">
            <v>1644</v>
          </cell>
          <cell r="E1658">
            <v>0</v>
          </cell>
          <cell r="F1658">
            <v>0</v>
          </cell>
          <cell r="G1658" t="str">
            <v>003044</v>
          </cell>
          <cell r="H1658" t="str">
            <v>Sys Admin Sup (GeoNorth)</v>
          </cell>
          <cell r="I1658" t="str">
            <v>IS4</v>
          </cell>
          <cell r="J1658" t="str">
            <v>IS4 Spectrum &amp; Infrastructure Assurance</v>
          </cell>
          <cell r="K1658" t="str">
            <v>Navy</v>
          </cell>
          <cell r="L1658" t="str">
            <v>DOD</v>
          </cell>
          <cell r="M1658" t="str">
            <v>VA</v>
          </cell>
          <cell r="N1658" t="str">
            <v>CONUS</v>
          </cell>
          <cell r="O1658">
            <v>44180</v>
          </cell>
          <cell r="P1658">
            <v>46006</v>
          </cell>
          <cell r="Q1658" t="str">
            <v>Sub</v>
          </cell>
          <cell r="R1658" t="str">
            <v>CPFF</v>
          </cell>
          <cell r="S1658">
            <v>0</v>
          </cell>
          <cell r="T1658">
            <v>1</v>
          </cell>
          <cell r="U1658" t="str">
            <v>EBITA</v>
          </cell>
          <cell r="V1658" t="str">
            <v>Identified - Recompete</v>
          </cell>
          <cell r="W1658" t="str">
            <v>02 Capture</v>
          </cell>
          <cell r="X1658" t="str">
            <v>Priority 3</v>
          </cell>
          <cell r="Y1658">
            <v>0.5</v>
          </cell>
          <cell r="Z1658">
            <v>8700000</v>
          </cell>
          <cell r="AA1658">
            <v>0</v>
          </cell>
          <cell r="AB1658">
            <v>0</v>
          </cell>
          <cell r="AC1658">
            <v>0</v>
          </cell>
          <cell r="AD1658">
            <v>0</v>
          </cell>
          <cell r="AX1658">
            <v>3.7435641979552237E-2</v>
          </cell>
          <cell r="AY1658">
            <v>3.7435641979552237E-2</v>
          </cell>
          <cell r="AZ1658">
            <v>3.7435641979552237E-2</v>
          </cell>
          <cell r="BA1658">
            <v>3.7435641979552237E-2</v>
          </cell>
          <cell r="BI1658">
            <v>0</v>
          </cell>
          <cell r="BJ1658">
            <v>0</v>
          </cell>
          <cell r="BK1658">
            <v>0</v>
          </cell>
          <cell r="BL1658">
            <v>0</v>
          </cell>
          <cell r="BM1658">
            <v>0</v>
          </cell>
          <cell r="BN1658">
            <v>0</v>
          </cell>
          <cell r="BO1658">
            <v>32569.008522210446</v>
          </cell>
          <cell r="BP1658">
            <v>32569.008522210446</v>
          </cell>
          <cell r="BQ1658">
            <v>32569.008522210446</v>
          </cell>
          <cell r="BR1658">
            <v>97707.025566631346</v>
          </cell>
          <cell r="BT1658">
            <v>0</v>
          </cell>
          <cell r="CA1658" t="str">
            <v>003044 - EBITA - Identified - Recompete</v>
          </cell>
          <cell r="CC1658" t="str">
            <v>003044 - EBITA - Identified - Recompete - IS4</v>
          </cell>
          <cell r="CD1658" t="str">
            <v/>
          </cell>
          <cell r="CF1658" t="str">
            <v>003044 - Identified - Recompete - IS4</v>
          </cell>
        </row>
        <row r="1659">
          <cell r="D1659">
            <v>1645</v>
          </cell>
          <cell r="E1659">
            <v>1</v>
          </cell>
          <cell r="F1659">
            <v>1</v>
          </cell>
          <cell r="G1659" t="str">
            <v>915FD8</v>
          </cell>
          <cell r="H1659" t="str">
            <v>Magnetic Silencing Fac.</v>
          </cell>
          <cell r="I1659" t="str">
            <v>IS4</v>
          </cell>
          <cell r="J1659" t="str">
            <v>IS4 Sustainment Engineering and Acquisition</v>
          </cell>
          <cell r="K1659" t="str">
            <v>Navy</v>
          </cell>
          <cell r="L1659" t="str">
            <v>DOD</v>
          </cell>
          <cell r="M1659" t="str">
            <v>MO</v>
          </cell>
          <cell r="N1659" t="str">
            <v>CONUS</v>
          </cell>
          <cell r="O1659">
            <v>41906</v>
          </cell>
          <cell r="P1659">
            <v>43695</v>
          </cell>
          <cell r="Q1659" t="str">
            <v>Prime</v>
          </cell>
          <cell r="R1659" t="str">
            <v>CPFF</v>
          </cell>
          <cell r="S1659">
            <v>0</v>
          </cell>
          <cell r="T1659">
            <v>1</v>
          </cell>
          <cell r="U1659" t="str">
            <v>REVTOT</v>
          </cell>
          <cell r="V1659" t="str">
            <v>Base</v>
          </cell>
          <cell r="W1659" t="str">
            <v>05 Won</v>
          </cell>
          <cell r="X1659" t="str">
            <v>Active</v>
          </cell>
          <cell r="Y1659">
            <v>1</v>
          </cell>
          <cell r="Z1659">
            <v>0</v>
          </cell>
          <cell r="AA1659">
            <v>914834.90000000014</v>
          </cell>
          <cell r="AB1659">
            <v>0</v>
          </cell>
          <cell r="AC1659">
            <v>0</v>
          </cell>
          <cell r="AD1659">
            <v>914834.90000000014</v>
          </cell>
          <cell r="AE1659">
            <v>-0.38825907494489897</v>
          </cell>
          <cell r="AF1659">
            <v>-0.2519790078099019</v>
          </cell>
          <cell r="AG1659">
            <v>0.18165891601608308</v>
          </cell>
          <cell r="AH1659">
            <v>-1</v>
          </cell>
          <cell r="AI1659">
            <v>0</v>
          </cell>
          <cell r="AJ1659">
            <v>0</v>
          </cell>
          <cell r="AK1659">
            <v>0</v>
          </cell>
          <cell r="BB1659">
            <v>588532</v>
          </cell>
          <cell r="BC1659">
            <v>588532</v>
          </cell>
          <cell r="BD1659">
            <v>588532</v>
          </cell>
          <cell r="BE1659">
            <v>588532</v>
          </cell>
          <cell r="BF1659">
            <v>1463254.8900000001</v>
          </cell>
          <cell r="BG1659">
            <v>895132.90000000014</v>
          </cell>
          <cell r="BH1659">
            <v>669578.19999999995</v>
          </cell>
          <cell r="BI1659">
            <v>323830.69</v>
          </cell>
          <cell r="BJ1659">
            <v>136577.22</v>
          </cell>
          <cell r="BK1659">
            <v>200285.13999999998</v>
          </cell>
          <cell r="BL1659">
            <v>130520</v>
          </cell>
          <cell r="BM1659">
            <v>791213.05</v>
          </cell>
          <cell r="BN1659">
            <v>0</v>
          </cell>
          <cell r="BO1659">
            <v>0</v>
          </cell>
          <cell r="BP1659">
            <v>0</v>
          </cell>
          <cell r="BQ1659">
            <v>0</v>
          </cell>
          <cell r="BR1659">
            <v>791213.05</v>
          </cell>
          <cell r="BT1659">
            <v>0</v>
          </cell>
          <cell r="CA1659" t="str">
            <v>915FD8 - REVTOT - Base</v>
          </cell>
          <cell r="CC1659" t="str">
            <v>915FD8 - REVTOT - Base - IS4</v>
          </cell>
          <cell r="CD1659" t="str">
            <v/>
          </cell>
          <cell r="CF1659" t="str">
            <v>915FD8 - Base - IS4</v>
          </cell>
        </row>
        <row r="1660">
          <cell r="D1660">
            <v>1646</v>
          </cell>
          <cell r="E1660">
            <v>1</v>
          </cell>
          <cell r="F1660">
            <v>2</v>
          </cell>
          <cell r="G1660" t="str">
            <v>915FD8</v>
          </cell>
          <cell r="H1660" t="str">
            <v>Magnetic Silencing Fac.</v>
          </cell>
          <cell r="I1660" t="str">
            <v>IS4</v>
          </cell>
          <cell r="J1660" t="str">
            <v>IS4 Sustainment Engineering and Acquisition</v>
          </cell>
          <cell r="K1660" t="str">
            <v>Navy</v>
          </cell>
          <cell r="L1660" t="str">
            <v>DOD</v>
          </cell>
          <cell r="M1660" t="str">
            <v>MO</v>
          </cell>
          <cell r="N1660" t="str">
            <v>CONUS</v>
          </cell>
          <cell r="O1660">
            <v>43696</v>
          </cell>
          <cell r="P1660">
            <v>44792</v>
          </cell>
          <cell r="Q1660" t="str">
            <v>Prime</v>
          </cell>
          <cell r="R1660" t="str">
            <v>CPFF</v>
          </cell>
          <cell r="S1660">
            <v>0</v>
          </cell>
          <cell r="T1660">
            <v>1</v>
          </cell>
          <cell r="U1660" t="str">
            <v>REVTOT</v>
          </cell>
          <cell r="V1660" t="str">
            <v>Identified - Recompete</v>
          </cell>
          <cell r="W1660" t="str">
            <v>04 Submitted</v>
          </cell>
          <cell r="X1660" t="str">
            <v>Priority 3</v>
          </cell>
          <cell r="Y1660">
            <v>1</v>
          </cell>
          <cell r="Z1660">
            <v>10180000</v>
          </cell>
          <cell r="AA1660">
            <v>0</v>
          </cell>
          <cell r="AB1660">
            <v>0</v>
          </cell>
          <cell r="AC1660">
            <v>0</v>
          </cell>
          <cell r="AD1660">
            <v>0</v>
          </cell>
          <cell r="AI1660">
            <v>0</v>
          </cell>
          <cell r="AJ1660">
            <v>0</v>
          </cell>
          <cell r="AK1660">
            <v>0</v>
          </cell>
          <cell r="BB1660">
            <v>3393333.3333333335</v>
          </cell>
          <cell r="BC1660">
            <v>3393333.3333333335</v>
          </cell>
          <cell r="BD1660">
            <v>3393333.3333333335</v>
          </cell>
          <cell r="BE1660">
            <v>3393333.3333333335</v>
          </cell>
          <cell r="BI1660">
            <v>0</v>
          </cell>
          <cell r="BJ1660">
            <v>0</v>
          </cell>
          <cell r="BK1660">
            <v>0</v>
          </cell>
          <cell r="BL1660">
            <v>0</v>
          </cell>
          <cell r="BM1660">
            <v>0</v>
          </cell>
          <cell r="BN1660">
            <v>3393333.3333333335</v>
          </cell>
          <cell r="BO1660">
            <v>3393333.3333333335</v>
          </cell>
          <cell r="BP1660">
            <v>3393333.333333333</v>
          </cell>
          <cell r="BQ1660">
            <v>0</v>
          </cell>
          <cell r="BR1660">
            <v>10180000</v>
          </cell>
          <cell r="BT1660">
            <v>0</v>
          </cell>
          <cell r="CA1660" t="str">
            <v>915FD8 - REVTOT - Identified - Recompete</v>
          </cell>
          <cell r="CC1660" t="str">
            <v>915FD8 - REVTOT - Identified - Recompete - IS4</v>
          </cell>
          <cell r="CD1660" t="str">
            <v/>
          </cell>
          <cell r="CF1660" t="str">
            <v>915FD8 - Identified - Recompete - IS4</v>
          </cell>
        </row>
        <row r="1661">
          <cell r="D1661">
            <v>1647</v>
          </cell>
          <cell r="E1661">
            <v>2</v>
          </cell>
          <cell r="F1661">
            <v>3</v>
          </cell>
          <cell r="G1661" t="str">
            <v>915FD8</v>
          </cell>
          <cell r="H1661" t="str">
            <v>Magnetic Silencing Fac.</v>
          </cell>
          <cell r="I1661" t="str">
            <v>IS4</v>
          </cell>
          <cell r="J1661" t="str">
            <v>IS4 Sustainment Engineering and Acquisition</v>
          </cell>
          <cell r="K1661" t="str">
            <v>Navy</v>
          </cell>
          <cell r="L1661" t="str">
            <v>DOD</v>
          </cell>
          <cell r="M1661" t="str">
            <v>MO</v>
          </cell>
          <cell r="N1661" t="str">
            <v>CONUS</v>
          </cell>
          <cell r="O1661">
            <v>41906</v>
          </cell>
          <cell r="P1661">
            <v>43695</v>
          </cell>
          <cell r="Q1661" t="str">
            <v>Prime</v>
          </cell>
          <cell r="R1661" t="str">
            <v>CPFF</v>
          </cell>
          <cell r="S1661">
            <v>0</v>
          </cell>
          <cell r="T1661">
            <v>1</v>
          </cell>
          <cell r="U1661" t="str">
            <v>CONTRACT</v>
          </cell>
          <cell r="V1661" t="str">
            <v>Base</v>
          </cell>
          <cell r="W1661" t="str">
            <v>05 Won</v>
          </cell>
          <cell r="X1661" t="str">
            <v>Active</v>
          </cell>
          <cell r="Y1661">
            <v>1</v>
          </cell>
          <cell r="Z1661">
            <v>0</v>
          </cell>
          <cell r="AA1661">
            <v>914834.90000000014</v>
          </cell>
          <cell r="AB1661">
            <v>0</v>
          </cell>
          <cell r="AC1661">
            <v>0</v>
          </cell>
          <cell r="AD1661">
            <v>914834.90000000014</v>
          </cell>
          <cell r="AL1661">
            <v>0.21775972332475851</v>
          </cell>
          <cell r="AM1661">
            <v>0.1886089205301246</v>
          </cell>
          <cell r="AN1661">
            <v>0.18220309442571456</v>
          </cell>
          <cell r="AO1661">
            <v>0.14661953566109659</v>
          </cell>
          <cell r="AP1661">
            <v>0.17458305852527983</v>
          </cell>
          <cell r="AQ1661">
            <v>0.17458305852527983</v>
          </cell>
          <cell r="AR1661">
            <v>0.17458305852527983</v>
          </cell>
          <cell r="AS1661">
            <v>0.17458305852527983</v>
          </cell>
          <cell r="BF1661">
            <v>318637.98</v>
          </cell>
          <cell r="BG1661">
            <v>168830.05</v>
          </cell>
          <cell r="BH1661">
            <v>121999.21999999997</v>
          </cell>
          <cell r="BI1661">
            <v>25096.559999999998</v>
          </cell>
          <cell r="BJ1661">
            <v>27404.020000000008</v>
          </cell>
          <cell r="BK1661">
            <v>42272.71</v>
          </cell>
          <cell r="BL1661">
            <v>21234</v>
          </cell>
          <cell r="BM1661">
            <v>116007.29000000001</v>
          </cell>
          <cell r="BN1661">
            <v>0</v>
          </cell>
          <cell r="BO1661">
            <v>0</v>
          </cell>
          <cell r="BP1661">
            <v>0</v>
          </cell>
          <cell r="BQ1661">
            <v>0</v>
          </cell>
          <cell r="BR1661">
            <v>116007.29000000001</v>
          </cell>
          <cell r="BT1661">
            <v>0</v>
          </cell>
          <cell r="CA1661" t="str">
            <v>915FD8 - CONTRACT - Base</v>
          </cell>
          <cell r="CC1661" t="str">
            <v>915FD8 - CONTRACT - Base - IS4</v>
          </cell>
          <cell r="CD1661" t="str">
            <v/>
          </cell>
          <cell r="CF1661" t="str">
            <v>915FD8 - Base - IS4</v>
          </cell>
        </row>
        <row r="1662">
          <cell r="D1662">
            <v>1648</v>
          </cell>
          <cell r="E1662">
            <v>2</v>
          </cell>
          <cell r="F1662">
            <v>4</v>
          </cell>
          <cell r="G1662" t="str">
            <v>915FD8</v>
          </cell>
          <cell r="H1662" t="str">
            <v>Magnetic Silencing Fac.</v>
          </cell>
          <cell r="I1662" t="str">
            <v>IS4</v>
          </cell>
          <cell r="J1662" t="str">
            <v>IS4 Sustainment Engineering and Acquisition</v>
          </cell>
          <cell r="K1662" t="str">
            <v>Navy</v>
          </cell>
          <cell r="L1662" t="str">
            <v>DOD</v>
          </cell>
          <cell r="M1662" t="str">
            <v>MO</v>
          </cell>
          <cell r="N1662" t="str">
            <v>CONUS</v>
          </cell>
          <cell r="O1662">
            <v>43696</v>
          </cell>
          <cell r="P1662">
            <v>44792</v>
          </cell>
          <cell r="Q1662" t="str">
            <v>Prime</v>
          </cell>
          <cell r="R1662" t="str">
            <v>CPFF</v>
          </cell>
          <cell r="S1662">
            <v>0</v>
          </cell>
          <cell r="T1662">
            <v>1</v>
          </cell>
          <cell r="U1662" t="str">
            <v>CONTRACT</v>
          </cell>
          <cell r="V1662" t="str">
            <v>Identified - Recompete</v>
          </cell>
          <cell r="W1662" t="str">
            <v>04 Submitted</v>
          </cell>
          <cell r="X1662" t="str">
            <v>Priority 3</v>
          </cell>
          <cell r="Y1662">
            <v>1</v>
          </cell>
          <cell r="Z1662">
            <v>10180000</v>
          </cell>
          <cell r="AA1662">
            <v>0</v>
          </cell>
          <cell r="AB1662">
            <v>0</v>
          </cell>
          <cell r="AC1662">
            <v>0</v>
          </cell>
          <cell r="AD1662">
            <v>0</v>
          </cell>
          <cell r="AP1662">
            <v>0.17458305852527983</v>
          </cell>
          <cell r="AQ1662">
            <v>0.17458305852527983</v>
          </cell>
          <cell r="AR1662">
            <v>0.17458305852527983</v>
          </cell>
          <cell r="AS1662">
            <v>0.17458305852527983</v>
          </cell>
          <cell r="BI1662">
            <v>0</v>
          </cell>
          <cell r="BJ1662">
            <v>0</v>
          </cell>
          <cell r="BK1662">
            <v>0</v>
          </cell>
          <cell r="BL1662">
            <v>0</v>
          </cell>
          <cell r="BM1662">
            <v>0</v>
          </cell>
          <cell r="BN1662">
            <v>592418.51192911621</v>
          </cell>
          <cell r="BO1662">
            <v>592418.51192911621</v>
          </cell>
          <cell r="BP1662">
            <v>592418.51192911621</v>
          </cell>
          <cell r="BQ1662">
            <v>0</v>
          </cell>
          <cell r="BR1662">
            <v>1777255.5357873486</v>
          </cell>
          <cell r="BT1662">
            <v>0</v>
          </cell>
          <cell r="CA1662" t="str">
            <v>915FD8 - CONTRACT - Identified - Recompete</v>
          </cell>
          <cell r="CC1662" t="str">
            <v>915FD8 - CONTRACT - Identified - Recompete - IS4</v>
          </cell>
          <cell r="CD1662" t="str">
            <v/>
          </cell>
          <cell r="CF1662" t="str">
            <v>915FD8 - Identified - Recompete - IS4</v>
          </cell>
        </row>
        <row r="1663">
          <cell r="D1663">
            <v>1649</v>
          </cell>
          <cell r="E1663">
            <v>0</v>
          </cell>
          <cell r="F1663">
            <v>5</v>
          </cell>
          <cell r="G1663" t="str">
            <v>915FD8</v>
          </cell>
          <cell r="H1663" t="str">
            <v>Magnetic Silencing Fac.</v>
          </cell>
          <cell r="I1663" t="str">
            <v>IS4</v>
          </cell>
          <cell r="J1663" t="str">
            <v>IS4 Sustainment Engineering and Acquisition</v>
          </cell>
          <cell r="K1663" t="str">
            <v>Navy</v>
          </cell>
          <cell r="L1663" t="str">
            <v>DOD</v>
          </cell>
          <cell r="M1663" t="str">
            <v>MO</v>
          </cell>
          <cell r="N1663" t="str">
            <v>CONUS</v>
          </cell>
          <cell r="O1663">
            <v>41906</v>
          </cell>
          <cell r="P1663">
            <v>43695</v>
          </cell>
          <cell r="Q1663" t="str">
            <v>Prime</v>
          </cell>
          <cell r="R1663" t="str">
            <v>CPFF</v>
          </cell>
          <cell r="S1663">
            <v>0</v>
          </cell>
          <cell r="T1663">
            <v>1</v>
          </cell>
          <cell r="U1663" t="str">
            <v>EBITA</v>
          </cell>
          <cell r="V1663" t="str">
            <v>Base</v>
          </cell>
          <cell r="W1663" t="str">
            <v>05 Won</v>
          </cell>
          <cell r="X1663" t="str">
            <v>Active</v>
          </cell>
          <cell r="Y1663">
            <v>1</v>
          </cell>
          <cell r="Z1663">
            <v>0</v>
          </cell>
          <cell r="AA1663">
            <v>914834.90000000014</v>
          </cell>
          <cell r="AB1663">
            <v>0</v>
          </cell>
          <cell r="AC1663">
            <v>0</v>
          </cell>
          <cell r="AD1663">
            <v>914834.90000000014</v>
          </cell>
          <cell r="AT1663">
            <v>3.5901038403500569E-2</v>
          </cell>
          <cell r="AU1663">
            <v>4.3304273588871546E-2</v>
          </cell>
          <cell r="AV1663">
            <v>2.5951726026922601E-2</v>
          </cell>
          <cell r="AW1663">
            <v>3.491788968849794E-2</v>
          </cell>
          <cell r="AX1663">
            <v>3.1574517676392938E-2</v>
          </cell>
          <cell r="AY1663">
            <v>3.1574517676392938E-2</v>
          </cell>
          <cell r="AZ1663">
            <v>3.1574517676392938E-2</v>
          </cell>
          <cell r="BA1663">
            <v>3.1574517676392938E-2</v>
          </cell>
          <cell r="BF1663">
            <v>52532.37</v>
          </cell>
          <cell r="BG1663">
            <v>38763.08</v>
          </cell>
          <cell r="BH1663">
            <v>17376.709999999985</v>
          </cell>
          <cell r="BI1663">
            <v>3212.2099999999982</v>
          </cell>
          <cell r="BJ1663">
            <v>12824.220000000008</v>
          </cell>
          <cell r="BK1663">
            <v>7802.0599999999995</v>
          </cell>
          <cell r="BL1663">
            <v>3789</v>
          </cell>
          <cell r="BM1663">
            <v>27627.490000000005</v>
          </cell>
          <cell r="BN1663">
            <v>0</v>
          </cell>
          <cell r="BO1663">
            <v>0</v>
          </cell>
          <cell r="BP1663">
            <v>0</v>
          </cell>
          <cell r="BQ1663">
            <v>0</v>
          </cell>
          <cell r="BR1663">
            <v>27627.490000000005</v>
          </cell>
          <cell r="BT1663">
            <v>0</v>
          </cell>
          <cell r="CA1663" t="str">
            <v>915FD8 - EBITA - Base</v>
          </cell>
          <cell r="CC1663" t="str">
            <v>915FD8 - EBITA - Base - IS4</v>
          </cell>
          <cell r="CD1663" t="str">
            <v/>
          </cell>
          <cell r="CF1663" t="str">
            <v>915FD8 - Base - IS4</v>
          </cell>
        </row>
        <row r="1664">
          <cell r="D1664">
            <v>1650</v>
          </cell>
          <cell r="E1664">
            <v>0</v>
          </cell>
          <cell r="F1664">
            <v>0</v>
          </cell>
          <cell r="G1664" t="str">
            <v>915FD8</v>
          </cell>
          <cell r="H1664" t="str">
            <v>Magnetic Silencing Fac.</v>
          </cell>
          <cell r="I1664" t="str">
            <v>IS4</v>
          </cell>
          <cell r="J1664" t="str">
            <v>IS4 Sustainment Engineering and Acquisition</v>
          </cell>
          <cell r="K1664" t="str">
            <v>Navy</v>
          </cell>
          <cell r="L1664" t="str">
            <v>DOD</v>
          </cell>
          <cell r="M1664" t="str">
            <v>MO</v>
          </cell>
          <cell r="N1664" t="str">
            <v>CONUS</v>
          </cell>
          <cell r="O1664">
            <v>43696</v>
          </cell>
          <cell r="P1664">
            <v>44792</v>
          </cell>
          <cell r="Q1664" t="str">
            <v>Prime</v>
          </cell>
          <cell r="R1664" t="str">
            <v>CPFF</v>
          </cell>
          <cell r="S1664">
            <v>0</v>
          </cell>
          <cell r="T1664">
            <v>1</v>
          </cell>
          <cell r="U1664" t="str">
            <v>EBITA</v>
          </cell>
          <cell r="V1664" t="str">
            <v>Identified - Recompete</v>
          </cell>
          <cell r="W1664" t="str">
            <v>04 Submitted</v>
          </cell>
          <cell r="X1664" t="str">
            <v>Priority 3</v>
          </cell>
          <cell r="Y1664">
            <v>1</v>
          </cell>
          <cell r="Z1664">
            <v>10180000</v>
          </cell>
          <cell r="AA1664">
            <v>0</v>
          </cell>
          <cell r="AB1664">
            <v>0</v>
          </cell>
          <cell r="AC1664">
            <v>0</v>
          </cell>
          <cell r="AD1664">
            <v>0</v>
          </cell>
          <cell r="AX1664">
            <v>3.1574517676392938E-2</v>
          </cell>
          <cell r="AY1664">
            <v>3.1574517676392938E-2</v>
          </cell>
          <cell r="AZ1664">
            <v>3.1574517676392938E-2</v>
          </cell>
          <cell r="BA1664">
            <v>3.1574517676392938E-2</v>
          </cell>
          <cell r="BI1664">
            <v>0</v>
          </cell>
          <cell r="BJ1664">
            <v>0</v>
          </cell>
          <cell r="BK1664">
            <v>0</v>
          </cell>
          <cell r="BL1664">
            <v>0</v>
          </cell>
          <cell r="BM1664">
            <v>0</v>
          </cell>
          <cell r="BN1664">
            <v>107142.86331522671</v>
          </cell>
          <cell r="BO1664">
            <v>107142.86331522671</v>
          </cell>
          <cell r="BP1664">
            <v>107142.8633152267</v>
          </cell>
          <cell r="BQ1664">
            <v>0</v>
          </cell>
          <cell r="BR1664">
            <v>321428.58994568011</v>
          </cell>
          <cell r="BT1664">
            <v>0</v>
          </cell>
          <cell r="CA1664" t="str">
            <v>915FD8 - EBITA - Identified - Recompete</v>
          </cell>
          <cell r="CC1664" t="str">
            <v>915FD8 - EBITA - Identified - Recompete - IS4</v>
          </cell>
          <cell r="CD1664" t="str">
            <v/>
          </cell>
          <cell r="CF1664" t="str">
            <v>915FD8 - Identified - Recompete - IS4</v>
          </cell>
        </row>
        <row r="1665">
          <cell r="D1665">
            <v>1651</v>
          </cell>
          <cell r="E1665">
            <v>1</v>
          </cell>
          <cell r="F1665">
            <v>1</v>
          </cell>
          <cell r="G1665" t="str">
            <v>003312</v>
          </cell>
          <cell r="H1665" t="str">
            <v>Navy Program Office Supp</v>
          </cell>
          <cell r="I1665" t="str">
            <v>IS4</v>
          </cell>
          <cell r="J1665" t="str">
            <v>IS4 Spectrum &amp; Infrastructure Assurance</v>
          </cell>
          <cell r="K1665" t="str">
            <v>Navy</v>
          </cell>
          <cell r="L1665" t="str">
            <v>DOD</v>
          </cell>
          <cell r="M1665" t="str">
            <v>VA</v>
          </cell>
          <cell r="N1665" t="str">
            <v>CONUS</v>
          </cell>
          <cell r="O1665">
            <v>42930</v>
          </cell>
          <cell r="P1665">
            <v>44650</v>
          </cell>
          <cell r="Q1665" t="str">
            <v>Sub</v>
          </cell>
          <cell r="R1665" t="str">
            <v>CPFF</v>
          </cell>
          <cell r="S1665">
            <v>0</v>
          </cell>
          <cell r="T1665">
            <v>1</v>
          </cell>
          <cell r="U1665" t="str">
            <v>REVTOT</v>
          </cell>
          <cell r="V1665" t="str">
            <v>Base</v>
          </cell>
          <cell r="W1665" t="str">
            <v>05 Won</v>
          </cell>
          <cell r="X1665" t="str">
            <v>Active</v>
          </cell>
          <cell r="Y1665">
            <v>1</v>
          </cell>
          <cell r="Z1665">
            <v>0</v>
          </cell>
          <cell r="AA1665">
            <v>668985.79584999965</v>
          </cell>
          <cell r="AB1665">
            <v>1455090</v>
          </cell>
          <cell r="AC1665">
            <v>0</v>
          </cell>
          <cell r="AD1665">
            <v>2124075.7958499994</v>
          </cell>
          <cell r="AE1665">
            <v>0</v>
          </cell>
          <cell r="AF1665">
            <v>4.1050509819250331</v>
          </cell>
          <cell r="AG1665">
            <v>1.7337074301881916E-3</v>
          </cell>
          <cell r="AH1665">
            <v>6.0891695801966739E-2</v>
          </cell>
          <cell r="AI1665">
            <v>0</v>
          </cell>
          <cell r="AJ1665">
            <v>0</v>
          </cell>
          <cell r="AK1665">
            <v>0</v>
          </cell>
          <cell r="BB1665">
            <v>641236.59682999994</v>
          </cell>
          <cell r="BC1665">
            <v>641236.59682999994</v>
          </cell>
          <cell r="BD1665">
            <v>641236.59682999994</v>
          </cell>
          <cell r="BE1665">
            <v>641236.59682999994</v>
          </cell>
          <cell r="BF1665">
            <v>0</v>
          </cell>
          <cell r="BG1665">
            <v>118193.85</v>
          </cell>
          <cell r="BH1665">
            <v>603385.63000000012</v>
          </cell>
          <cell r="BI1665">
            <v>134067.19999999998</v>
          </cell>
          <cell r="BJ1665">
            <v>163991.54</v>
          </cell>
          <cell r="BK1665">
            <v>143726.56</v>
          </cell>
          <cell r="BL1665">
            <v>162646.42414999998</v>
          </cell>
          <cell r="BM1665">
            <v>604431.72414999991</v>
          </cell>
          <cell r="BN1665">
            <v>641236.59682999994</v>
          </cell>
          <cell r="BO1665">
            <v>641236.59682999994</v>
          </cell>
          <cell r="BP1665">
            <v>641236.59682999994</v>
          </cell>
          <cell r="BQ1665">
            <v>200366.0053599996</v>
          </cell>
          <cell r="BR1665">
            <v>2728507.5199999996</v>
          </cell>
          <cell r="BT1665">
            <v>0</v>
          </cell>
          <cell r="CA1665" t="str">
            <v>003312 - REVTOT - Base</v>
          </cell>
          <cell r="CC1665" t="str">
            <v>003312 - REVTOT - Base - IS4</v>
          </cell>
          <cell r="CD1665" t="str">
            <v/>
          </cell>
          <cell r="CF1665" t="str">
            <v>003312 - Base - IS4</v>
          </cell>
        </row>
        <row r="1666">
          <cell r="D1666">
            <v>1652</v>
          </cell>
          <cell r="E1666">
            <v>1</v>
          </cell>
          <cell r="F1666">
            <v>2</v>
          </cell>
          <cell r="G1666" t="str">
            <v>003312</v>
          </cell>
          <cell r="H1666" t="str">
            <v>Navy Program Office Supp</v>
          </cell>
          <cell r="I1666" t="str">
            <v>IS4</v>
          </cell>
          <cell r="J1666" t="str">
            <v>IS4 Spectrum &amp; Infrastructure Assurance</v>
          </cell>
          <cell r="K1666" t="str">
            <v>Navy</v>
          </cell>
          <cell r="L1666" t="str">
            <v>DOD</v>
          </cell>
          <cell r="M1666" t="str">
            <v>VA</v>
          </cell>
          <cell r="N1666" t="str">
            <v>CONUS</v>
          </cell>
          <cell r="O1666">
            <v>0</v>
          </cell>
          <cell r="P1666">
            <v>0</v>
          </cell>
          <cell r="Q1666">
            <v>0</v>
          </cell>
          <cell r="R1666" t="str">
            <v>CPFF</v>
          </cell>
          <cell r="S1666">
            <v>0</v>
          </cell>
          <cell r="T1666">
            <v>1</v>
          </cell>
          <cell r="U1666" t="str">
            <v>REVTOT</v>
          </cell>
          <cell r="V1666" t="str">
            <v>Identified - Recompete</v>
          </cell>
          <cell r="W1666">
            <v>0</v>
          </cell>
          <cell r="X1666">
            <v>0</v>
          </cell>
          <cell r="Y1666">
            <v>0</v>
          </cell>
          <cell r="Z1666">
            <v>0</v>
          </cell>
          <cell r="AA1666">
            <v>0</v>
          </cell>
          <cell r="AB1666">
            <v>0</v>
          </cell>
          <cell r="AC1666">
            <v>0</v>
          </cell>
          <cell r="AD1666">
            <v>0</v>
          </cell>
          <cell r="AI1666">
            <v>0</v>
          </cell>
          <cell r="AJ1666">
            <v>0</v>
          </cell>
          <cell r="AK1666">
            <v>0</v>
          </cell>
          <cell r="BB1666">
            <v>0</v>
          </cell>
          <cell r="BC1666">
            <v>0</v>
          </cell>
          <cell r="BD1666">
            <v>0</v>
          </cell>
          <cell r="BE1666">
            <v>0</v>
          </cell>
          <cell r="BI1666">
            <v>0</v>
          </cell>
          <cell r="BJ1666">
            <v>0</v>
          </cell>
          <cell r="BK1666">
            <v>0</v>
          </cell>
          <cell r="BL1666">
            <v>0</v>
          </cell>
          <cell r="BM1666">
            <v>0</v>
          </cell>
          <cell r="BN1666">
            <v>0</v>
          </cell>
          <cell r="BO1666">
            <v>0</v>
          </cell>
          <cell r="BP1666">
            <v>0</v>
          </cell>
          <cell r="BQ1666">
            <v>0</v>
          </cell>
          <cell r="BR1666">
            <v>0</v>
          </cell>
          <cell r="BT1666">
            <v>0</v>
          </cell>
          <cell r="CA1666" t="str">
            <v>003312 - REVTOT - Identified - Recompete</v>
          </cell>
          <cell r="CC1666" t="str">
            <v>003312 - REVTOT - Identified - Recompete - IS4</v>
          </cell>
          <cell r="CD1666" t="str">
            <v/>
          </cell>
          <cell r="CF1666" t="str">
            <v>003312 - Identified - Recompete - IS4</v>
          </cell>
        </row>
        <row r="1667">
          <cell r="D1667">
            <v>1653</v>
          </cell>
          <cell r="E1667">
            <v>2</v>
          </cell>
          <cell r="F1667">
            <v>3</v>
          </cell>
          <cell r="G1667" t="str">
            <v>003312</v>
          </cell>
          <cell r="H1667" t="str">
            <v>Navy Program Office Supp</v>
          </cell>
          <cell r="I1667" t="str">
            <v>IS4</v>
          </cell>
          <cell r="J1667" t="str">
            <v>IS4 Spectrum &amp; Infrastructure Assurance</v>
          </cell>
          <cell r="K1667" t="str">
            <v>Navy</v>
          </cell>
          <cell r="L1667" t="str">
            <v>DOD</v>
          </cell>
          <cell r="M1667" t="str">
            <v>VA</v>
          </cell>
          <cell r="N1667" t="str">
            <v>CONUS</v>
          </cell>
          <cell r="O1667">
            <v>42930</v>
          </cell>
          <cell r="P1667">
            <v>44650</v>
          </cell>
          <cell r="Q1667" t="str">
            <v>Sub</v>
          </cell>
          <cell r="R1667" t="str">
            <v>CPFF</v>
          </cell>
          <cell r="S1667">
            <v>0</v>
          </cell>
          <cell r="T1667">
            <v>1</v>
          </cell>
          <cell r="U1667" t="str">
            <v>CONTRACT</v>
          </cell>
          <cell r="V1667" t="str">
            <v>Base</v>
          </cell>
          <cell r="W1667" t="str">
            <v>05 Won</v>
          </cell>
          <cell r="X1667" t="str">
            <v>Active</v>
          </cell>
          <cell r="Y1667">
            <v>1</v>
          </cell>
          <cell r="Z1667">
            <v>0</v>
          </cell>
          <cell r="AA1667">
            <v>668985.79584999965</v>
          </cell>
          <cell r="AB1667">
            <v>1455090</v>
          </cell>
          <cell r="AC1667">
            <v>0</v>
          </cell>
          <cell r="AD1667">
            <v>2124075.7958499994</v>
          </cell>
          <cell r="AL1667">
            <v>0</v>
          </cell>
          <cell r="AM1667">
            <v>0.18667722559168687</v>
          </cell>
          <cell r="AN1667">
            <v>0.17867664498407088</v>
          </cell>
          <cell r="AO1667">
            <v>0.17441915281888337</v>
          </cell>
          <cell r="AP1667">
            <v>0.17453292353404384</v>
          </cell>
          <cell r="AQ1667">
            <v>0.17453292353404384</v>
          </cell>
          <cell r="AR1667">
            <v>0.17453292353404384</v>
          </cell>
          <cell r="AS1667">
            <v>0.17453292353404384</v>
          </cell>
          <cell r="BF1667">
            <v>0</v>
          </cell>
          <cell r="BG1667">
            <v>22064.1</v>
          </cell>
          <cell r="BH1667">
            <v>107810.91999999997</v>
          </cell>
          <cell r="BI1667">
            <v>23862.640000000003</v>
          </cell>
          <cell r="BJ1667">
            <v>28552.060000000005</v>
          </cell>
          <cell r="BK1667">
            <v>24932.919999999991</v>
          </cell>
          <cell r="BL1667">
            <v>28076.849263099997</v>
          </cell>
          <cell r="BM1667">
            <v>105424.46926309999</v>
          </cell>
          <cell r="BN1667">
            <v>111916.89792176089</v>
          </cell>
          <cell r="BO1667">
            <v>111916.89792176089</v>
          </cell>
          <cell r="BP1667">
            <v>111916.89792176089</v>
          </cell>
          <cell r="BQ1667">
            <v>34970.46469231863</v>
          </cell>
          <cell r="BR1667">
            <v>476145.62772070133</v>
          </cell>
          <cell r="BT1667">
            <v>0</v>
          </cell>
          <cell r="CA1667" t="str">
            <v>003312 - CONTRACT - Base</v>
          </cell>
          <cell r="CC1667" t="str">
            <v>003312 - CONTRACT - Base - IS4</v>
          </cell>
          <cell r="CD1667" t="str">
            <v/>
          </cell>
          <cell r="CF1667" t="str">
            <v>003312 - Base - IS4</v>
          </cell>
        </row>
        <row r="1668">
          <cell r="D1668">
            <v>1654</v>
          </cell>
          <cell r="E1668">
            <v>2</v>
          </cell>
          <cell r="F1668">
            <v>4</v>
          </cell>
          <cell r="G1668" t="str">
            <v>003312</v>
          </cell>
          <cell r="H1668" t="str">
            <v>Navy Program Office Supp</v>
          </cell>
          <cell r="I1668" t="str">
            <v>IS4</v>
          </cell>
          <cell r="J1668" t="str">
            <v>IS4 Spectrum &amp; Infrastructure Assurance</v>
          </cell>
          <cell r="K1668" t="str">
            <v>Navy</v>
          </cell>
          <cell r="L1668" t="str">
            <v>DOD</v>
          </cell>
          <cell r="M1668" t="str">
            <v>VA</v>
          </cell>
          <cell r="N1668" t="str">
            <v>CONUS</v>
          </cell>
          <cell r="O1668">
            <v>0</v>
          </cell>
          <cell r="P1668">
            <v>0</v>
          </cell>
          <cell r="Q1668">
            <v>0</v>
          </cell>
          <cell r="R1668" t="str">
            <v>CPFF</v>
          </cell>
          <cell r="S1668">
            <v>0</v>
          </cell>
          <cell r="T1668">
            <v>1</v>
          </cell>
          <cell r="U1668" t="str">
            <v>CONTRACT</v>
          </cell>
          <cell r="V1668" t="str">
            <v>Identified - Recompete</v>
          </cell>
          <cell r="W1668">
            <v>0</v>
          </cell>
          <cell r="X1668">
            <v>0</v>
          </cell>
          <cell r="Y1668">
            <v>0</v>
          </cell>
          <cell r="Z1668">
            <v>0</v>
          </cell>
          <cell r="AA1668">
            <v>0</v>
          </cell>
          <cell r="AB1668">
            <v>0</v>
          </cell>
          <cell r="AC1668">
            <v>0</v>
          </cell>
          <cell r="AD1668">
            <v>0</v>
          </cell>
          <cell r="AP1668">
            <v>0</v>
          </cell>
          <cell r="AQ1668">
            <v>0</v>
          </cell>
          <cell r="AR1668">
            <v>0</v>
          </cell>
          <cell r="AS1668">
            <v>0</v>
          </cell>
          <cell r="BI1668">
            <v>0</v>
          </cell>
          <cell r="BJ1668">
            <v>0</v>
          </cell>
          <cell r="BK1668">
            <v>0</v>
          </cell>
          <cell r="BL1668">
            <v>0</v>
          </cell>
          <cell r="BM1668">
            <v>0</v>
          </cell>
          <cell r="BN1668">
            <v>0</v>
          </cell>
          <cell r="BO1668">
            <v>0</v>
          </cell>
          <cell r="BP1668">
            <v>0</v>
          </cell>
          <cell r="BQ1668">
            <v>0</v>
          </cell>
          <cell r="BR1668">
            <v>0</v>
          </cell>
          <cell r="BT1668">
            <v>0</v>
          </cell>
          <cell r="CA1668" t="str">
            <v>003312 - CONTRACT - Identified - Recompete</v>
          </cell>
          <cell r="CC1668" t="str">
            <v>003312 - CONTRACT - Identified - Recompete - IS4</v>
          </cell>
          <cell r="CD1668" t="str">
            <v/>
          </cell>
          <cell r="CF1668" t="str">
            <v>003312 - Identified - Recompete - IS4</v>
          </cell>
        </row>
        <row r="1669">
          <cell r="D1669">
            <v>1655</v>
          </cell>
          <cell r="E1669">
            <v>0</v>
          </cell>
          <cell r="F1669">
            <v>5</v>
          </cell>
          <cell r="G1669" t="str">
            <v>003312</v>
          </cell>
          <cell r="H1669" t="str">
            <v>Navy Program Office Supp</v>
          </cell>
          <cell r="I1669" t="str">
            <v>IS4</v>
          </cell>
          <cell r="J1669" t="str">
            <v>IS4 Spectrum &amp; Infrastructure Assurance</v>
          </cell>
          <cell r="K1669" t="str">
            <v>Navy</v>
          </cell>
          <cell r="L1669" t="str">
            <v>DOD</v>
          </cell>
          <cell r="M1669" t="str">
            <v>VA</v>
          </cell>
          <cell r="N1669" t="str">
            <v>CONUS</v>
          </cell>
          <cell r="O1669">
            <v>42930</v>
          </cell>
          <cell r="P1669">
            <v>44650</v>
          </cell>
          <cell r="Q1669" t="str">
            <v>Sub</v>
          </cell>
          <cell r="R1669" t="str">
            <v>CPFF</v>
          </cell>
          <cell r="S1669">
            <v>0</v>
          </cell>
          <cell r="T1669">
            <v>1</v>
          </cell>
          <cell r="U1669" t="str">
            <v>EBITA</v>
          </cell>
          <cell r="V1669" t="str">
            <v>Base</v>
          </cell>
          <cell r="W1669" t="str">
            <v>05 Won</v>
          </cell>
          <cell r="X1669" t="str">
            <v>Active</v>
          </cell>
          <cell r="Y1669">
            <v>1</v>
          </cell>
          <cell r="Z1669">
            <v>0</v>
          </cell>
          <cell r="AA1669">
            <v>668985.79584999965</v>
          </cell>
          <cell r="AB1669">
            <v>1455090</v>
          </cell>
          <cell r="AC1669">
            <v>0</v>
          </cell>
          <cell r="AD1669">
            <v>2124075.7958499994</v>
          </cell>
          <cell r="AT1669">
            <v>0</v>
          </cell>
          <cell r="AU1669">
            <v>6.4967762705081492E-2</v>
          </cell>
          <cell r="AV1669">
            <v>6.1935382849604773E-2</v>
          </cell>
          <cell r="AW1669">
            <v>5.3165804629283712E-2</v>
          </cell>
          <cell r="AX1669">
            <v>5.307217023228359E-2</v>
          </cell>
          <cell r="AY1669">
            <v>5.307217023228359E-2</v>
          </cell>
          <cell r="AZ1669">
            <v>5.307217023228359E-2</v>
          </cell>
          <cell r="BA1669">
            <v>5.307217023228359E-2</v>
          </cell>
          <cell r="BF1669">
            <v>0</v>
          </cell>
          <cell r="BG1669">
            <v>7678.7899999999972</v>
          </cell>
          <cell r="BH1669">
            <v>37370.919999999976</v>
          </cell>
          <cell r="BI1669">
            <v>7495.8000000000038</v>
          </cell>
          <cell r="BJ1669">
            <v>8792.5000000000055</v>
          </cell>
          <cell r="BK1669">
            <v>7362.6399999999903</v>
          </cell>
          <cell r="BL1669">
            <v>8484.1589578999974</v>
          </cell>
          <cell r="BM1669">
            <v>32135.098957900002</v>
          </cell>
          <cell r="BN1669">
            <v>34031.817826131955</v>
          </cell>
          <cell r="BO1669">
            <v>34031.817826131955</v>
          </cell>
          <cell r="BP1669">
            <v>34031.817826131955</v>
          </cell>
          <cell r="BQ1669">
            <v>10633.858745228545</v>
          </cell>
          <cell r="BR1669">
            <v>144864.41118152443</v>
          </cell>
          <cell r="BT1669">
            <v>0</v>
          </cell>
          <cell r="CA1669" t="str">
            <v>003312 - EBITA - Base</v>
          </cell>
          <cell r="CC1669" t="str">
            <v>003312 - EBITA - Base - IS4</v>
          </cell>
          <cell r="CD1669" t="str">
            <v/>
          </cell>
          <cell r="CF1669" t="str">
            <v>003312 - Base - IS4</v>
          </cell>
        </row>
        <row r="1670">
          <cell r="D1670">
            <v>1656</v>
          </cell>
          <cell r="E1670">
            <v>0</v>
          </cell>
          <cell r="F1670">
            <v>0</v>
          </cell>
          <cell r="G1670" t="str">
            <v>003312</v>
          </cell>
          <cell r="H1670" t="str">
            <v>Navy Program Office Supp</v>
          </cell>
          <cell r="I1670" t="str">
            <v>IS4</v>
          </cell>
          <cell r="J1670" t="str">
            <v>IS4 Spectrum &amp; Infrastructure Assurance</v>
          </cell>
          <cell r="K1670" t="str">
            <v>Navy</v>
          </cell>
          <cell r="L1670" t="str">
            <v>DOD</v>
          </cell>
          <cell r="M1670" t="str">
            <v>VA</v>
          </cell>
          <cell r="N1670" t="str">
            <v>CONUS</v>
          </cell>
          <cell r="O1670">
            <v>0</v>
          </cell>
          <cell r="P1670">
            <v>0</v>
          </cell>
          <cell r="Q1670">
            <v>0</v>
          </cell>
          <cell r="R1670" t="str">
            <v>CPFF</v>
          </cell>
          <cell r="S1670">
            <v>0</v>
          </cell>
          <cell r="T1670">
            <v>1</v>
          </cell>
          <cell r="U1670" t="str">
            <v>EBITA</v>
          </cell>
          <cell r="V1670" t="str">
            <v>Identified - Recompete</v>
          </cell>
          <cell r="W1670">
            <v>0</v>
          </cell>
          <cell r="X1670">
            <v>0</v>
          </cell>
          <cell r="Y1670">
            <v>0</v>
          </cell>
          <cell r="Z1670">
            <v>0</v>
          </cell>
          <cell r="AA1670">
            <v>0</v>
          </cell>
          <cell r="AB1670">
            <v>0</v>
          </cell>
          <cell r="AC1670">
            <v>0</v>
          </cell>
          <cell r="AD1670">
            <v>0</v>
          </cell>
          <cell r="AX1670">
            <v>0</v>
          </cell>
          <cell r="AY1670">
            <v>0</v>
          </cell>
          <cell r="AZ1670">
            <v>0</v>
          </cell>
          <cell r="BA1670">
            <v>0</v>
          </cell>
          <cell r="BI1670">
            <v>0</v>
          </cell>
          <cell r="BJ1670">
            <v>0</v>
          </cell>
          <cell r="BK1670">
            <v>0</v>
          </cell>
          <cell r="BL1670">
            <v>0</v>
          </cell>
          <cell r="BM1670">
            <v>0</v>
          </cell>
          <cell r="BN1670">
            <v>0</v>
          </cell>
          <cell r="BO1670">
            <v>0</v>
          </cell>
          <cell r="BP1670">
            <v>0</v>
          </cell>
          <cell r="BQ1670">
            <v>0</v>
          </cell>
          <cell r="BR1670">
            <v>0</v>
          </cell>
          <cell r="BT1670">
            <v>0</v>
          </cell>
          <cell r="CA1670" t="str">
            <v>003312 - EBITA - Identified - Recompete</v>
          </cell>
          <cell r="CC1670" t="str">
            <v>003312 - EBITA - Identified - Recompete - IS4</v>
          </cell>
          <cell r="CD1670" t="str">
            <v/>
          </cell>
          <cell r="CF1670" t="str">
            <v>003312 - Identified - Recompete - IS4</v>
          </cell>
        </row>
        <row r="1671">
          <cell r="D1671">
            <v>1657</v>
          </cell>
          <cell r="E1671">
            <v>1</v>
          </cell>
          <cell r="F1671">
            <v>1</v>
          </cell>
          <cell r="G1671" t="str">
            <v>003258</v>
          </cell>
          <cell r="H1671" t="str">
            <v>H40 Platform Integration</v>
          </cell>
          <cell r="I1671" t="str">
            <v>IS4</v>
          </cell>
          <cell r="J1671" t="str">
            <v>IS4 Spectrum &amp; Infrastructure Assurance</v>
          </cell>
          <cell r="K1671" t="str">
            <v>Navy</v>
          </cell>
          <cell r="L1671" t="str">
            <v>DOD</v>
          </cell>
          <cell r="M1671" t="str">
            <v>VA</v>
          </cell>
          <cell r="N1671" t="str">
            <v>CONUS</v>
          </cell>
          <cell r="O1671">
            <v>42795</v>
          </cell>
          <cell r="P1671">
            <v>44620</v>
          </cell>
          <cell r="Q1671" t="str">
            <v>Sub</v>
          </cell>
          <cell r="R1671" t="str">
            <v>CPFF</v>
          </cell>
          <cell r="S1671">
            <v>0</v>
          </cell>
          <cell r="T1671">
            <v>1</v>
          </cell>
          <cell r="U1671" t="str">
            <v>REVTOT</v>
          </cell>
          <cell r="V1671" t="str">
            <v>Base</v>
          </cell>
          <cell r="W1671" t="str">
            <v>05 Won</v>
          </cell>
          <cell r="X1671" t="str">
            <v>Active</v>
          </cell>
          <cell r="Y1671">
            <v>1</v>
          </cell>
          <cell r="Z1671">
            <v>0</v>
          </cell>
          <cell r="AA1671">
            <v>2379393.5699999998</v>
          </cell>
          <cell r="AB1671">
            <v>3541785</v>
          </cell>
          <cell r="AC1671">
            <v>0</v>
          </cell>
          <cell r="AD1671">
            <v>5921178.5700000003</v>
          </cell>
          <cell r="AE1671">
            <v>0</v>
          </cell>
          <cell r="AF1671">
            <v>0.83190649208170142</v>
          </cell>
          <cell r="AG1671">
            <v>-5.4203075164261372E-2</v>
          </cell>
          <cell r="AH1671">
            <v>4.3170167539382742E-2</v>
          </cell>
          <cell r="AI1671">
            <v>0</v>
          </cell>
          <cell r="AJ1671">
            <v>0</v>
          </cell>
          <cell r="AK1671">
            <v>0</v>
          </cell>
          <cell r="BB1671">
            <v>599279</v>
          </cell>
          <cell r="BC1671">
            <v>599279</v>
          </cell>
          <cell r="BD1671">
            <v>599279</v>
          </cell>
          <cell r="BE1671">
            <v>599279</v>
          </cell>
          <cell r="BF1671">
            <v>0</v>
          </cell>
          <cell r="BG1671">
            <v>331568.07</v>
          </cell>
          <cell r="BH1671">
            <v>607401.70000000007</v>
          </cell>
          <cell r="BI1671">
            <v>149081.31</v>
          </cell>
          <cell r="BJ1671">
            <v>172759.41</v>
          </cell>
          <cell r="BK1671">
            <v>129951.94</v>
          </cell>
          <cell r="BL1671">
            <v>122686</v>
          </cell>
          <cell r="BM1671">
            <v>574478.65999999992</v>
          </cell>
          <cell r="BN1671">
            <v>599279</v>
          </cell>
          <cell r="BO1671">
            <v>599279</v>
          </cell>
          <cell r="BP1671">
            <v>599279</v>
          </cell>
          <cell r="BQ1671">
            <v>599279</v>
          </cell>
          <cell r="BR1671">
            <v>2971594.66</v>
          </cell>
          <cell r="BT1671">
            <v>0</v>
          </cell>
          <cell r="CA1671" t="str">
            <v>003258 - REVTOT - Base</v>
          </cell>
          <cell r="CC1671" t="str">
            <v>003258 - REVTOT - Base - IS4</v>
          </cell>
          <cell r="CD1671" t="str">
            <v/>
          </cell>
          <cell r="CF1671" t="str">
            <v>003258 - Base - IS4</v>
          </cell>
        </row>
        <row r="1672">
          <cell r="D1672">
            <v>1658</v>
          </cell>
          <cell r="E1672">
            <v>1</v>
          </cell>
          <cell r="F1672">
            <v>2</v>
          </cell>
          <cell r="G1672" t="str">
            <v>003258</v>
          </cell>
          <cell r="H1672" t="str">
            <v>H40 Platform Integration</v>
          </cell>
          <cell r="I1672" t="str">
            <v>IS4</v>
          </cell>
          <cell r="J1672" t="str">
            <v>IS4 Spectrum &amp; Infrastructure Assurance</v>
          </cell>
          <cell r="K1672" t="str">
            <v>Navy</v>
          </cell>
          <cell r="L1672" t="str">
            <v>DOD</v>
          </cell>
          <cell r="M1672" t="str">
            <v>VA</v>
          </cell>
          <cell r="N1672" t="str">
            <v>CONUS</v>
          </cell>
          <cell r="O1672">
            <v>0</v>
          </cell>
          <cell r="P1672">
            <v>0</v>
          </cell>
          <cell r="Q1672">
            <v>0</v>
          </cell>
          <cell r="R1672" t="str">
            <v>CPFF</v>
          </cell>
          <cell r="S1672">
            <v>0</v>
          </cell>
          <cell r="T1672">
            <v>1</v>
          </cell>
          <cell r="U1672" t="str">
            <v>REVTOT</v>
          </cell>
          <cell r="V1672" t="str">
            <v>Identified - Recompete</v>
          </cell>
          <cell r="W1672">
            <v>0</v>
          </cell>
          <cell r="X1672">
            <v>0</v>
          </cell>
          <cell r="Y1672">
            <v>0</v>
          </cell>
          <cell r="Z1672">
            <v>0</v>
          </cell>
          <cell r="AA1672">
            <v>0</v>
          </cell>
          <cell r="AB1672">
            <v>0</v>
          </cell>
          <cell r="AC1672">
            <v>0</v>
          </cell>
          <cell r="AD1672">
            <v>0</v>
          </cell>
          <cell r="AI1672">
            <v>0</v>
          </cell>
          <cell r="AJ1672">
            <v>0</v>
          </cell>
          <cell r="AK1672">
            <v>0</v>
          </cell>
          <cell r="BB1672">
            <v>0</v>
          </cell>
          <cell r="BC1672">
            <v>0</v>
          </cell>
          <cell r="BD1672">
            <v>0</v>
          </cell>
          <cell r="BE1672">
            <v>0</v>
          </cell>
          <cell r="BI1672">
            <v>0</v>
          </cell>
          <cell r="BJ1672">
            <v>0</v>
          </cell>
          <cell r="BK1672">
            <v>0</v>
          </cell>
          <cell r="BL1672">
            <v>0</v>
          </cell>
          <cell r="BM1672">
            <v>0</v>
          </cell>
          <cell r="BN1672">
            <v>0</v>
          </cell>
          <cell r="BO1672">
            <v>0</v>
          </cell>
          <cell r="BP1672">
            <v>0</v>
          </cell>
          <cell r="BQ1672">
            <v>0</v>
          </cell>
          <cell r="BR1672">
            <v>0</v>
          </cell>
          <cell r="BT1672">
            <v>0</v>
          </cell>
          <cell r="CA1672" t="str">
            <v>003258 - REVTOT - Identified - Recompete</v>
          </cell>
          <cell r="CC1672" t="str">
            <v>003258 - REVTOT - Identified - Recompete - IS4</v>
          </cell>
          <cell r="CD1672" t="str">
            <v/>
          </cell>
          <cell r="CF1672" t="str">
            <v>003258 - Identified - Recompete - IS4</v>
          </cell>
        </row>
        <row r="1673">
          <cell r="D1673">
            <v>1659</v>
          </cell>
          <cell r="E1673">
            <v>2</v>
          </cell>
          <cell r="F1673">
            <v>3</v>
          </cell>
          <cell r="G1673" t="str">
            <v>003258</v>
          </cell>
          <cell r="H1673" t="str">
            <v>H40 Platform Integration</v>
          </cell>
          <cell r="I1673" t="str">
            <v>IS4</v>
          </cell>
          <cell r="J1673" t="str">
            <v>IS4 Spectrum &amp; Infrastructure Assurance</v>
          </cell>
          <cell r="K1673" t="str">
            <v>Navy</v>
          </cell>
          <cell r="L1673" t="str">
            <v>DOD</v>
          </cell>
          <cell r="M1673" t="str">
            <v>VA</v>
          </cell>
          <cell r="N1673" t="str">
            <v>CONUS</v>
          </cell>
          <cell r="O1673">
            <v>42795</v>
          </cell>
          <cell r="P1673">
            <v>44620</v>
          </cell>
          <cell r="Q1673" t="str">
            <v>Sub</v>
          </cell>
          <cell r="R1673" t="str">
            <v>CPFF</v>
          </cell>
          <cell r="S1673">
            <v>0</v>
          </cell>
          <cell r="T1673">
            <v>1</v>
          </cell>
          <cell r="U1673" t="str">
            <v>CONTRACT</v>
          </cell>
          <cell r="V1673" t="str">
            <v>Base</v>
          </cell>
          <cell r="W1673" t="str">
            <v>05 Won</v>
          </cell>
          <cell r="X1673" t="str">
            <v>Active</v>
          </cell>
          <cell r="Y1673">
            <v>1</v>
          </cell>
          <cell r="Z1673">
            <v>0</v>
          </cell>
          <cell r="AA1673">
            <v>2379393.5699999998</v>
          </cell>
          <cell r="AB1673">
            <v>3541785</v>
          </cell>
          <cell r="AC1673">
            <v>0</v>
          </cell>
          <cell r="AD1673">
            <v>5921178.5700000003</v>
          </cell>
          <cell r="AL1673">
            <v>0</v>
          </cell>
          <cell r="AM1673">
            <v>0.17325118187646957</v>
          </cell>
          <cell r="AN1673">
            <v>0.15949148644134514</v>
          </cell>
          <cell r="AO1673">
            <v>0.17418093476265947</v>
          </cell>
          <cell r="AP1673">
            <v>0.17038538910924625</v>
          </cell>
          <cell r="AQ1673">
            <v>0.17038538910924625</v>
          </cell>
          <cell r="AR1673">
            <v>0.17038538910924625</v>
          </cell>
          <cell r="AS1673">
            <v>0.17038538910924625</v>
          </cell>
          <cell r="BF1673">
            <v>0</v>
          </cell>
          <cell r="BG1673">
            <v>57444.56</v>
          </cell>
          <cell r="BH1673">
            <v>96875.400000000009</v>
          </cell>
          <cell r="BI1673">
            <v>24797.309999999998</v>
          </cell>
          <cell r="BJ1673">
            <v>28097.450000000004</v>
          </cell>
          <cell r="BK1673">
            <v>24526.47</v>
          </cell>
          <cell r="BL1673">
            <v>22642</v>
          </cell>
          <cell r="BM1673">
            <v>100063.23000000001</v>
          </cell>
          <cell r="BN1673">
            <v>102108.38559999998</v>
          </cell>
          <cell r="BO1673">
            <v>102108.38559999998</v>
          </cell>
          <cell r="BP1673">
            <v>102108.38559999998</v>
          </cell>
          <cell r="BQ1673">
            <v>102108.38559999998</v>
          </cell>
          <cell r="BR1673">
            <v>508496.7723999999</v>
          </cell>
          <cell r="BT1673">
            <v>0</v>
          </cell>
          <cell r="CA1673" t="str">
            <v>003258 - CONTRACT - Base</v>
          </cell>
          <cell r="CC1673" t="str">
            <v>003258 - CONTRACT - Base - IS4</v>
          </cell>
          <cell r="CD1673" t="str">
            <v/>
          </cell>
          <cell r="CF1673" t="str">
            <v>003258 - Base - IS4</v>
          </cell>
        </row>
        <row r="1674">
          <cell r="D1674">
            <v>1660</v>
          </cell>
          <cell r="E1674">
            <v>2</v>
          </cell>
          <cell r="F1674">
            <v>4</v>
          </cell>
          <cell r="G1674" t="str">
            <v>003258</v>
          </cell>
          <cell r="H1674" t="str">
            <v>H40 Platform Integration</v>
          </cell>
          <cell r="I1674" t="str">
            <v>IS4</v>
          </cell>
          <cell r="J1674" t="str">
            <v>IS4 Spectrum &amp; Infrastructure Assurance</v>
          </cell>
          <cell r="K1674" t="str">
            <v>Navy</v>
          </cell>
          <cell r="L1674" t="str">
            <v>DOD</v>
          </cell>
          <cell r="M1674" t="str">
            <v>VA</v>
          </cell>
          <cell r="N1674" t="str">
            <v>CONUS</v>
          </cell>
          <cell r="O1674">
            <v>0</v>
          </cell>
          <cell r="P1674">
            <v>0</v>
          </cell>
          <cell r="Q1674">
            <v>0</v>
          </cell>
          <cell r="R1674" t="str">
            <v>CPFF</v>
          </cell>
          <cell r="S1674">
            <v>0</v>
          </cell>
          <cell r="T1674">
            <v>1</v>
          </cell>
          <cell r="U1674" t="str">
            <v>CONTRACT</v>
          </cell>
          <cell r="V1674" t="str">
            <v>Identified - Recompete</v>
          </cell>
          <cell r="W1674">
            <v>0</v>
          </cell>
          <cell r="X1674">
            <v>0</v>
          </cell>
          <cell r="Y1674">
            <v>0</v>
          </cell>
          <cell r="Z1674">
            <v>0</v>
          </cell>
          <cell r="AA1674">
            <v>0</v>
          </cell>
          <cell r="AB1674">
            <v>0</v>
          </cell>
          <cell r="AC1674">
            <v>0</v>
          </cell>
          <cell r="AD1674">
            <v>0</v>
          </cell>
          <cell r="AP1674">
            <v>0</v>
          </cell>
          <cell r="AQ1674">
            <v>0</v>
          </cell>
          <cell r="AR1674">
            <v>0</v>
          </cell>
          <cell r="AS1674">
            <v>0</v>
          </cell>
          <cell r="BI1674">
            <v>0</v>
          </cell>
          <cell r="BJ1674">
            <v>0</v>
          </cell>
          <cell r="BK1674">
            <v>0</v>
          </cell>
          <cell r="BL1674">
            <v>0</v>
          </cell>
          <cell r="BM1674">
            <v>0</v>
          </cell>
          <cell r="BN1674">
            <v>0</v>
          </cell>
          <cell r="BO1674">
            <v>0</v>
          </cell>
          <cell r="BP1674">
            <v>0</v>
          </cell>
          <cell r="BQ1674">
            <v>0</v>
          </cell>
          <cell r="BR1674">
            <v>0</v>
          </cell>
          <cell r="BT1674">
            <v>0</v>
          </cell>
          <cell r="CA1674" t="str">
            <v>003258 - CONTRACT - Identified - Recompete</v>
          </cell>
          <cell r="CC1674" t="str">
            <v>003258 - CONTRACT - Identified - Recompete - IS4</v>
          </cell>
          <cell r="CD1674" t="str">
            <v/>
          </cell>
          <cell r="CF1674" t="str">
            <v>003258 - Identified - Recompete - IS4</v>
          </cell>
        </row>
        <row r="1675">
          <cell r="D1675">
            <v>1661</v>
          </cell>
          <cell r="E1675">
            <v>0</v>
          </cell>
          <cell r="F1675">
            <v>5</v>
          </cell>
          <cell r="G1675" t="str">
            <v>003258</v>
          </cell>
          <cell r="H1675" t="str">
            <v>H40 Platform Integration</v>
          </cell>
          <cell r="I1675" t="str">
            <v>IS4</v>
          </cell>
          <cell r="J1675" t="str">
            <v>IS4 Spectrum &amp; Infrastructure Assurance</v>
          </cell>
          <cell r="K1675" t="str">
            <v>Navy</v>
          </cell>
          <cell r="L1675" t="str">
            <v>DOD</v>
          </cell>
          <cell r="M1675" t="str">
            <v>VA</v>
          </cell>
          <cell r="N1675" t="str">
            <v>CONUS</v>
          </cell>
          <cell r="O1675">
            <v>42795</v>
          </cell>
          <cell r="P1675">
            <v>44620</v>
          </cell>
          <cell r="Q1675" t="str">
            <v>Sub</v>
          </cell>
          <cell r="R1675" t="str">
            <v>CPFF</v>
          </cell>
          <cell r="S1675">
            <v>0</v>
          </cell>
          <cell r="T1675">
            <v>1</v>
          </cell>
          <cell r="U1675" t="str">
            <v>EBITA</v>
          </cell>
          <cell r="V1675" t="str">
            <v>Base</v>
          </cell>
          <cell r="W1675" t="str">
            <v>05 Won</v>
          </cell>
          <cell r="X1675" t="str">
            <v>Active</v>
          </cell>
          <cell r="Y1675">
            <v>1</v>
          </cell>
          <cell r="Z1675">
            <v>0</v>
          </cell>
          <cell r="AA1675">
            <v>2379393.5699999998</v>
          </cell>
          <cell r="AB1675">
            <v>3541785</v>
          </cell>
          <cell r="AC1675">
            <v>0</v>
          </cell>
          <cell r="AD1675">
            <v>5921178.5700000003</v>
          </cell>
          <cell r="AT1675">
            <v>0</v>
          </cell>
          <cell r="AU1675">
            <v>4.738776565548062E-2</v>
          </cell>
          <cell r="AV1675">
            <v>3.7416490602512308E-2</v>
          </cell>
          <cell r="AW1675">
            <v>5.0885301814344169E-2</v>
          </cell>
          <cell r="AX1675">
            <v>5.0117979370094129E-2</v>
          </cell>
          <cell r="AY1675">
            <v>5.0117979370094129E-2</v>
          </cell>
          <cell r="AZ1675">
            <v>5.0117979370094129E-2</v>
          </cell>
          <cell r="BA1675">
            <v>5.0117979370094129E-2</v>
          </cell>
          <cell r="BF1675">
            <v>0</v>
          </cell>
          <cell r="BG1675">
            <v>15712.269999999995</v>
          </cell>
          <cell r="BH1675">
            <v>22726.840000000004</v>
          </cell>
          <cell r="BI1675">
            <v>5927.0099999999984</v>
          </cell>
          <cell r="BJ1675">
            <v>6827.6700000000037</v>
          </cell>
          <cell r="BK1675">
            <v>8750.84</v>
          </cell>
          <cell r="BL1675">
            <v>7727</v>
          </cell>
          <cell r="BM1675">
            <v>29232.520000000004</v>
          </cell>
          <cell r="BN1675">
            <v>30034.65255893064</v>
          </cell>
          <cell r="BO1675">
            <v>30034.65255893064</v>
          </cell>
          <cell r="BP1675">
            <v>30034.65255893064</v>
          </cell>
          <cell r="BQ1675">
            <v>30034.65255893064</v>
          </cell>
          <cell r="BR1675">
            <v>149371.13023572258</v>
          </cell>
          <cell r="BT1675">
            <v>0</v>
          </cell>
          <cell r="CA1675" t="str">
            <v>003258 - EBITA - Base</v>
          </cell>
          <cell r="CC1675" t="str">
            <v>003258 - EBITA - Base - IS4</v>
          </cell>
          <cell r="CD1675" t="str">
            <v/>
          </cell>
          <cell r="CF1675" t="str">
            <v>003258 - Base - IS4</v>
          </cell>
        </row>
        <row r="1676">
          <cell r="D1676">
            <v>1662</v>
          </cell>
          <cell r="E1676">
            <v>0</v>
          </cell>
          <cell r="F1676">
            <v>0</v>
          </cell>
          <cell r="G1676" t="str">
            <v>003258</v>
          </cell>
          <cell r="H1676" t="str">
            <v>H40 Platform Integration</v>
          </cell>
          <cell r="I1676" t="str">
            <v>IS4</v>
          </cell>
          <cell r="J1676" t="str">
            <v>IS4 Spectrum &amp; Infrastructure Assurance</v>
          </cell>
          <cell r="K1676" t="str">
            <v>Navy</v>
          </cell>
          <cell r="L1676" t="str">
            <v>DOD</v>
          </cell>
          <cell r="M1676" t="str">
            <v>VA</v>
          </cell>
          <cell r="N1676" t="str">
            <v>CONUS</v>
          </cell>
          <cell r="O1676">
            <v>0</v>
          </cell>
          <cell r="P1676">
            <v>0</v>
          </cell>
          <cell r="Q1676">
            <v>0</v>
          </cell>
          <cell r="R1676" t="str">
            <v>CPFF</v>
          </cell>
          <cell r="S1676">
            <v>0</v>
          </cell>
          <cell r="T1676">
            <v>1</v>
          </cell>
          <cell r="U1676" t="str">
            <v>EBITA</v>
          </cell>
          <cell r="V1676" t="str">
            <v>Identified - Recompete</v>
          </cell>
          <cell r="W1676">
            <v>0</v>
          </cell>
          <cell r="X1676">
            <v>0</v>
          </cell>
          <cell r="Y1676">
            <v>0</v>
          </cell>
          <cell r="Z1676">
            <v>0</v>
          </cell>
          <cell r="AA1676">
            <v>0</v>
          </cell>
          <cell r="AB1676">
            <v>0</v>
          </cell>
          <cell r="AC1676">
            <v>0</v>
          </cell>
          <cell r="AD1676">
            <v>0</v>
          </cell>
          <cell r="AX1676">
            <v>0</v>
          </cell>
          <cell r="AY1676">
            <v>0</v>
          </cell>
          <cell r="AZ1676">
            <v>0</v>
          </cell>
          <cell r="BA1676">
            <v>0</v>
          </cell>
          <cell r="BI1676">
            <v>0</v>
          </cell>
          <cell r="BJ1676">
            <v>0</v>
          </cell>
          <cell r="BK1676">
            <v>0</v>
          </cell>
          <cell r="BL1676">
            <v>0</v>
          </cell>
          <cell r="BM1676">
            <v>0</v>
          </cell>
          <cell r="BN1676">
            <v>0</v>
          </cell>
          <cell r="BO1676">
            <v>0</v>
          </cell>
          <cell r="BP1676">
            <v>0</v>
          </cell>
          <cell r="BQ1676">
            <v>0</v>
          </cell>
          <cell r="BR1676">
            <v>0</v>
          </cell>
          <cell r="BT1676">
            <v>0</v>
          </cell>
          <cell r="CA1676" t="str">
            <v>003258 - EBITA - Identified - Recompete</v>
          </cell>
          <cell r="CC1676" t="str">
            <v>003258 - EBITA - Identified - Recompete - IS4</v>
          </cell>
          <cell r="CD1676" t="str">
            <v/>
          </cell>
          <cell r="CF1676" t="str">
            <v>003258 - Identified - Recompete - IS4</v>
          </cell>
        </row>
        <row r="1677">
          <cell r="D1677">
            <v>1663</v>
          </cell>
          <cell r="E1677">
            <v>1</v>
          </cell>
          <cell r="F1677">
            <v>1</v>
          </cell>
          <cell r="G1677" t="str">
            <v>1517TC</v>
          </cell>
          <cell r="H1677" t="str">
            <v>TCS Linux</v>
          </cell>
          <cell r="I1677" t="str">
            <v>IS4</v>
          </cell>
          <cell r="J1677" t="str">
            <v>IS4 Spectrum &amp; Infrastructure Assurance</v>
          </cell>
          <cell r="K1677" t="str">
            <v>Navy</v>
          </cell>
          <cell r="L1677" t="str">
            <v>DOD</v>
          </cell>
          <cell r="M1677" t="str">
            <v>US_State</v>
          </cell>
          <cell r="N1677" t="str">
            <v>CONUS</v>
          </cell>
          <cell r="O1677">
            <v>42612</v>
          </cell>
          <cell r="P1677">
            <v>43798</v>
          </cell>
          <cell r="Q1677" t="str">
            <v>Sub</v>
          </cell>
          <cell r="R1677" t="str">
            <v>CPFF</v>
          </cell>
          <cell r="S1677">
            <v>0</v>
          </cell>
          <cell r="T1677">
            <v>1</v>
          </cell>
          <cell r="U1677" t="str">
            <v>REVTOT</v>
          </cell>
          <cell r="V1677" t="str">
            <v>Base</v>
          </cell>
          <cell r="W1677" t="str">
            <v>05 Won</v>
          </cell>
          <cell r="X1677" t="str">
            <v>Active</v>
          </cell>
          <cell r="Y1677">
            <v>1</v>
          </cell>
          <cell r="Z1677">
            <v>0</v>
          </cell>
          <cell r="AA1677">
            <v>661241.70704000129</v>
          </cell>
          <cell r="AB1677">
            <v>90305</v>
          </cell>
          <cell r="AC1677">
            <v>0</v>
          </cell>
          <cell r="AD1677">
            <v>751546.70704000129</v>
          </cell>
          <cell r="AE1677">
            <v>-9.5444900147847789E-2</v>
          </cell>
          <cell r="AF1677">
            <v>-4.9419388521581564E-2</v>
          </cell>
          <cell r="AG1677">
            <v>2.2362456640401485E-2</v>
          </cell>
          <cell r="AH1677">
            <v>-0.19195001311533755</v>
          </cell>
          <cell r="AI1677">
            <v>0</v>
          </cell>
          <cell r="AJ1677">
            <v>0</v>
          </cell>
          <cell r="AK1677">
            <v>0</v>
          </cell>
          <cell r="BB1677">
            <v>485269</v>
          </cell>
          <cell r="BC1677">
            <v>485269</v>
          </cell>
          <cell r="BD1677">
            <v>485269</v>
          </cell>
          <cell r="BE1677">
            <v>485269</v>
          </cell>
          <cell r="BF1677">
            <v>683149.02</v>
          </cell>
          <cell r="BG1677">
            <v>617945.92999999993</v>
          </cell>
          <cell r="BH1677">
            <v>587407.41999999993</v>
          </cell>
          <cell r="BI1677">
            <v>153736.9</v>
          </cell>
          <cell r="BJ1677">
            <v>152135.02000000002</v>
          </cell>
          <cell r="BK1677">
            <v>172613.53999999998</v>
          </cell>
          <cell r="BL1677">
            <v>122057.83296</v>
          </cell>
          <cell r="BM1677">
            <v>600543.29295999999</v>
          </cell>
          <cell r="BN1677">
            <v>485269</v>
          </cell>
          <cell r="BO1677">
            <v>266277.70704000129</v>
          </cell>
          <cell r="BP1677">
            <v>0</v>
          </cell>
          <cell r="BQ1677">
            <v>0</v>
          </cell>
          <cell r="BR1677">
            <v>1352090.0000000014</v>
          </cell>
          <cell r="BT1677">
            <v>0</v>
          </cell>
          <cell r="CA1677" t="str">
            <v>1517TC - REVTOT - Base</v>
          </cell>
          <cell r="CC1677" t="str">
            <v>1517TC - REVTOT - Base - IS4</v>
          </cell>
          <cell r="CD1677" t="str">
            <v/>
          </cell>
          <cell r="CF1677" t="str">
            <v>1517TC - Base - IS4</v>
          </cell>
        </row>
        <row r="1678">
          <cell r="D1678">
            <v>1664</v>
          </cell>
          <cell r="E1678">
            <v>1</v>
          </cell>
          <cell r="F1678">
            <v>2</v>
          </cell>
          <cell r="G1678" t="str">
            <v>1517TC</v>
          </cell>
          <cell r="H1678" t="str">
            <v>TCS Linux</v>
          </cell>
          <cell r="I1678" t="str">
            <v>IS4</v>
          </cell>
          <cell r="J1678" t="str">
            <v>IS4 Spectrum &amp; Infrastructure Assurance</v>
          </cell>
          <cell r="K1678" t="str">
            <v>Navy</v>
          </cell>
          <cell r="L1678" t="str">
            <v>DOD</v>
          </cell>
          <cell r="M1678" t="str">
            <v>US_State</v>
          </cell>
          <cell r="N1678" t="str">
            <v>CONUS</v>
          </cell>
          <cell r="O1678">
            <v>0</v>
          </cell>
          <cell r="P1678">
            <v>0</v>
          </cell>
          <cell r="Q1678">
            <v>0</v>
          </cell>
          <cell r="R1678" t="str">
            <v>CPFF</v>
          </cell>
          <cell r="S1678">
            <v>0</v>
          </cell>
          <cell r="T1678">
            <v>1</v>
          </cell>
          <cell r="U1678" t="str">
            <v>REVTOT</v>
          </cell>
          <cell r="V1678" t="str">
            <v>Identified - Recompete</v>
          </cell>
          <cell r="W1678">
            <v>0</v>
          </cell>
          <cell r="X1678">
            <v>0</v>
          </cell>
          <cell r="Y1678">
            <v>0</v>
          </cell>
          <cell r="Z1678">
            <v>0</v>
          </cell>
          <cell r="AA1678">
            <v>0</v>
          </cell>
          <cell r="AB1678">
            <v>0</v>
          </cell>
          <cell r="AC1678">
            <v>0</v>
          </cell>
          <cell r="AD1678">
            <v>0</v>
          </cell>
          <cell r="AI1678">
            <v>0</v>
          </cell>
          <cell r="AJ1678">
            <v>0</v>
          </cell>
          <cell r="AK1678">
            <v>0</v>
          </cell>
          <cell r="BB1678">
            <v>0</v>
          </cell>
          <cell r="BC1678">
            <v>0</v>
          </cell>
          <cell r="BD1678">
            <v>0</v>
          </cell>
          <cell r="BE1678">
            <v>0</v>
          </cell>
          <cell r="BI1678">
            <v>0</v>
          </cell>
          <cell r="BJ1678">
            <v>0</v>
          </cell>
          <cell r="BK1678">
            <v>0</v>
          </cell>
          <cell r="BL1678">
            <v>0</v>
          </cell>
          <cell r="BM1678">
            <v>0</v>
          </cell>
          <cell r="BN1678">
            <v>0</v>
          </cell>
          <cell r="BO1678">
            <v>0</v>
          </cell>
          <cell r="BP1678">
            <v>0</v>
          </cell>
          <cell r="BQ1678">
            <v>0</v>
          </cell>
          <cell r="BR1678">
            <v>0</v>
          </cell>
          <cell r="BT1678">
            <v>0</v>
          </cell>
          <cell r="CA1678" t="str">
            <v>1517TC - REVTOT - Identified - Recompete</v>
          </cell>
          <cell r="CC1678" t="str">
            <v>1517TC - REVTOT - Identified - Recompete - IS4</v>
          </cell>
          <cell r="CD1678" t="str">
            <v/>
          </cell>
          <cell r="CF1678" t="str">
            <v>1517TC - Identified - Recompete - IS4</v>
          </cell>
        </row>
        <row r="1679">
          <cell r="D1679">
            <v>1665</v>
          </cell>
          <cell r="E1679">
            <v>2</v>
          </cell>
          <cell r="F1679">
            <v>3</v>
          </cell>
          <cell r="G1679" t="str">
            <v>1517TC</v>
          </cell>
          <cell r="H1679" t="str">
            <v>TCS Linux</v>
          </cell>
          <cell r="I1679" t="str">
            <v>IS4</v>
          </cell>
          <cell r="J1679" t="str">
            <v>IS4 Spectrum &amp; Infrastructure Assurance</v>
          </cell>
          <cell r="K1679" t="str">
            <v>Navy</v>
          </cell>
          <cell r="L1679" t="str">
            <v>DOD</v>
          </cell>
          <cell r="M1679" t="str">
            <v>US_State</v>
          </cell>
          <cell r="N1679" t="str">
            <v>CONUS</v>
          </cell>
          <cell r="O1679">
            <v>42612</v>
          </cell>
          <cell r="P1679">
            <v>43798</v>
          </cell>
          <cell r="Q1679" t="str">
            <v>Sub</v>
          </cell>
          <cell r="R1679" t="str">
            <v>CPFF</v>
          </cell>
          <cell r="S1679">
            <v>0</v>
          </cell>
          <cell r="T1679">
            <v>1</v>
          </cell>
          <cell r="U1679" t="str">
            <v>CONTRACT</v>
          </cell>
          <cell r="V1679" t="str">
            <v>Base</v>
          </cell>
          <cell r="W1679" t="str">
            <v>05 Won</v>
          </cell>
          <cell r="X1679" t="str">
            <v>Active</v>
          </cell>
          <cell r="Y1679">
            <v>1</v>
          </cell>
          <cell r="Z1679">
            <v>0</v>
          </cell>
          <cell r="AA1679">
            <v>661241.70704000129</v>
          </cell>
          <cell r="AB1679">
            <v>90305</v>
          </cell>
          <cell r="AC1679">
            <v>0</v>
          </cell>
          <cell r="AD1679">
            <v>751546.70704000129</v>
          </cell>
          <cell r="AL1679">
            <v>0.20999229421422574</v>
          </cell>
          <cell r="AM1679">
            <v>0.24483214898753367</v>
          </cell>
          <cell r="AN1679">
            <v>0.18167293494522083</v>
          </cell>
          <cell r="AO1679">
            <v>0.18555450771343837</v>
          </cell>
          <cell r="AP1679">
            <v>0.18331938471239664</v>
          </cell>
          <cell r="AQ1679">
            <v>0.18331938471239664</v>
          </cell>
          <cell r="AR1679">
            <v>0.18331938471239664</v>
          </cell>
          <cell r="AS1679">
            <v>0.18331938471239664</v>
          </cell>
          <cell r="BF1679">
            <v>143456.03</v>
          </cell>
          <cell r="BG1679">
            <v>151293.03000000003</v>
          </cell>
          <cell r="BH1679">
            <v>106716.03</v>
          </cell>
          <cell r="BI1679">
            <v>28688.369999999995</v>
          </cell>
          <cell r="BJ1679">
            <v>27906.950000000004</v>
          </cell>
          <cell r="BK1679">
            <v>32909.639999999985</v>
          </cell>
          <cell r="BL1679">
            <v>21928.555085799999</v>
          </cell>
          <cell r="BM1679">
            <v>111433.5150858</v>
          </cell>
          <cell r="BN1679">
            <v>88959.214500000002</v>
          </cell>
          <cell r="BO1679">
            <v>48813.865417200846</v>
          </cell>
          <cell r="BP1679">
            <v>0</v>
          </cell>
          <cell r="BQ1679">
            <v>0</v>
          </cell>
          <cell r="BR1679">
            <v>249206.59500300084</v>
          </cell>
          <cell r="BT1679">
            <v>0</v>
          </cell>
          <cell r="CA1679" t="str">
            <v>1517TC - CONTRACT - Base</v>
          </cell>
          <cell r="CC1679" t="str">
            <v>1517TC - CONTRACT - Base - IS4</v>
          </cell>
          <cell r="CD1679" t="str">
            <v/>
          </cell>
          <cell r="CF1679" t="str">
            <v>1517TC - Base - IS4</v>
          </cell>
        </row>
        <row r="1680">
          <cell r="D1680">
            <v>1666</v>
          </cell>
          <cell r="E1680">
            <v>2</v>
          </cell>
          <cell r="F1680">
            <v>4</v>
          </cell>
          <cell r="G1680" t="str">
            <v>1517TC</v>
          </cell>
          <cell r="H1680" t="str">
            <v>TCS Linux</v>
          </cell>
          <cell r="I1680" t="str">
            <v>IS4</v>
          </cell>
          <cell r="J1680" t="str">
            <v>IS4 Spectrum &amp; Infrastructure Assurance</v>
          </cell>
          <cell r="K1680" t="str">
            <v>Navy</v>
          </cell>
          <cell r="L1680" t="str">
            <v>DOD</v>
          </cell>
          <cell r="M1680" t="str">
            <v>US_State</v>
          </cell>
          <cell r="N1680" t="str">
            <v>CONUS</v>
          </cell>
          <cell r="O1680">
            <v>0</v>
          </cell>
          <cell r="P1680">
            <v>0</v>
          </cell>
          <cell r="Q1680">
            <v>0</v>
          </cell>
          <cell r="R1680" t="str">
            <v>CPFF</v>
          </cell>
          <cell r="S1680">
            <v>0</v>
          </cell>
          <cell r="T1680">
            <v>1</v>
          </cell>
          <cell r="U1680" t="str">
            <v>CONTRACT</v>
          </cell>
          <cell r="V1680" t="str">
            <v>Identified - Recompete</v>
          </cell>
          <cell r="W1680">
            <v>0</v>
          </cell>
          <cell r="X1680">
            <v>0</v>
          </cell>
          <cell r="Y1680">
            <v>0</v>
          </cell>
          <cell r="Z1680">
            <v>0</v>
          </cell>
          <cell r="AA1680">
            <v>0</v>
          </cell>
          <cell r="AB1680">
            <v>0</v>
          </cell>
          <cell r="AC1680">
            <v>0</v>
          </cell>
          <cell r="AD1680">
            <v>0</v>
          </cell>
          <cell r="AP1680">
            <v>0</v>
          </cell>
          <cell r="AQ1680">
            <v>0</v>
          </cell>
          <cell r="AR1680">
            <v>0</v>
          </cell>
          <cell r="AS1680">
            <v>0</v>
          </cell>
          <cell r="BI1680">
            <v>0</v>
          </cell>
          <cell r="BJ1680">
            <v>0</v>
          </cell>
          <cell r="BK1680">
            <v>0</v>
          </cell>
          <cell r="BL1680">
            <v>0</v>
          </cell>
          <cell r="BM1680">
            <v>0</v>
          </cell>
          <cell r="BN1680">
            <v>0</v>
          </cell>
          <cell r="BO1680">
            <v>0</v>
          </cell>
          <cell r="BP1680">
            <v>0</v>
          </cell>
          <cell r="BQ1680">
            <v>0</v>
          </cell>
          <cell r="BR1680">
            <v>0</v>
          </cell>
          <cell r="BT1680">
            <v>0</v>
          </cell>
          <cell r="CA1680" t="str">
            <v>1517TC - CONTRACT - Identified - Recompete</v>
          </cell>
          <cell r="CC1680" t="str">
            <v>1517TC - CONTRACT - Identified - Recompete - IS4</v>
          </cell>
          <cell r="CD1680" t="str">
            <v/>
          </cell>
          <cell r="CF1680" t="str">
            <v>1517TC - Identified - Recompete - IS4</v>
          </cell>
        </row>
        <row r="1681">
          <cell r="D1681">
            <v>1667</v>
          </cell>
          <cell r="E1681">
            <v>0</v>
          </cell>
          <cell r="F1681">
            <v>5</v>
          </cell>
          <cell r="G1681" t="str">
            <v>1517TC</v>
          </cell>
          <cell r="H1681" t="str">
            <v>TCS Linux</v>
          </cell>
          <cell r="I1681" t="str">
            <v>IS4</v>
          </cell>
          <cell r="J1681" t="str">
            <v>IS4 Spectrum &amp; Infrastructure Assurance</v>
          </cell>
          <cell r="K1681" t="str">
            <v>Navy</v>
          </cell>
          <cell r="L1681" t="str">
            <v>DOD</v>
          </cell>
          <cell r="M1681" t="str">
            <v>US_State</v>
          </cell>
          <cell r="N1681" t="str">
            <v>CONUS</v>
          </cell>
          <cell r="O1681">
            <v>42612</v>
          </cell>
          <cell r="P1681">
            <v>43798</v>
          </cell>
          <cell r="Q1681" t="str">
            <v>Sub</v>
          </cell>
          <cell r="R1681" t="str">
            <v>CPFF</v>
          </cell>
          <cell r="S1681">
            <v>0</v>
          </cell>
          <cell r="T1681">
            <v>1</v>
          </cell>
          <cell r="U1681" t="str">
            <v>EBITA</v>
          </cell>
          <cell r="V1681" t="str">
            <v>Base</v>
          </cell>
          <cell r="W1681" t="str">
            <v>05 Won</v>
          </cell>
          <cell r="X1681" t="str">
            <v>Active</v>
          </cell>
          <cell r="Y1681">
            <v>1</v>
          </cell>
          <cell r="Z1681">
            <v>0</v>
          </cell>
          <cell r="AA1681">
            <v>661241.70704000129</v>
          </cell>
          <cell r="AB1681">
            <v>90305</v>
          </cell>
          <cell r="AC1681">
            <v>0</v>
          </cell>
          <cell r="AD1681">
            <v>751546.70704000129</v>
          </cell>
          <cell r="AT1681">
            <v>4.5920815344212891E-2</v>
          </cell>
          <cell r="AU1681">
            <v>0.13057844721139275</v>
          </cell>
          <cell r="AV1681">
            <v>6.5120406548490675E-2</v>
          </cell>
          <cell r="AW1681">
            <v>6.5189031205244941E-2</v>
          </cell>
          <cell r="AX1681">
            <v>6.5092912265870398E-2</v>
          </cell>
          <cell r="AY1681">
            <v>6.5092912265870398E-2</v>
          </cell>
          <cell r="AZ1681">
            <v>6.5092912265870398E-2</v>
          </cell>
          <cell r="BA1681">
            <v>6.5092912265870398E-2</v>
          </cell>
          <cell r="BF1681">
            <v>31370.760000000002</v>
          </cell>
          <cell r="BG1681">
            <v>80690.419999999984</v>
          </cell>
          <cell r="BH1681">
            <v>38252.210000000006</v>
          </cell>
          <cell r="BI1681">
            <v>10039.699999999995</v>
          </cell>
          <cell r="BJ1681">
            <v>9944.2100000000064</v>
          </cell>
          <cell r="BK1681">
            <v>11281.349999999986</v>
          </cell>
          <cell r="BL1681">
            <v>7883.5754648699995</v>
          </cell>
          <cell r="BM1681">
            <v>39148.83546486999</v>
          </cell>
          <cell r="BN1681">
            <v>31587.572442346664</v>
          </cell>
          <cell r="BO1681">
            <v>17332.791422711944</v>
          </cell>
          <cell r="BP1681">
            <v>0</v>
          </cell>
          <cell r="BQ1681">
            <v>0</v>
          </cell>
          <cell r="BR1681">
            <v>88069.199329928597</v>
          </cell>
          <cell r="BT1681">
            <v>0</v>
          </cell>
          <cell r="CA1681" t="str">
            <v>1517TC - EBITA - Base</v>
          </cell>
          <cell r="CC1681" t="str">
            <v>1517TC - EBITA - Base - IS4</v>
          </cell>
          <cell r="CD1681" t="str">
            <v/>
          </cell>
          <cell r="CF1681" t="str">
            <v>1517TC - Base - IS4</v>
          </cell>
        </row>
        <row r="1682">
          <cell r="D1682">
            <v>1668</v>
          </cell>
          <cell r="E1682">
            <v>0</v>
          </cell>
          <cell r="F1682">
            <v>0</v>
          </cell>
          <cell r="G1682" t="str">
            <v>1517TC</v>
          </cell>
          <cell r="H1682" t="str">
            <v>TCS Linux</v>
          </cell>
          <cell r="I1682" t="str">
            <v>IS4</v>
          </cell>
          <cell r="J1682" t="str">
            <v>IS4 Spectrum &amp; Infrastructure Assurance</v>
          </cell>
          <cell r="K1682" t="str">
            <v>Navy</v>
          </cell>
          <cell r="L1682" t="str">
            <v>DOD</v>
          </cell>
          <cell r="M1682" t="str">
            <v>US_State</v>
          </cell>
          <cell r="N1682" t="str">
            <v>CONUS</v>
          </cell>
          <cell r="O1682">
            <v>0</v>
          </cell>
          <cell r="P1682">
            <v>0</v>
          </cell>
          <cell r="Q1682">
            <v>0</v>
          </cell>
          <cell r="R1682" t="str">
            <v>CPFF</v>
          </cell>
          <cell r="S1682">
            <v>0</v>
          </cell>
          <cell r="T1682">
            <v>1</v>
          </cell>
          <cell r="U1682" t="str">
            <v>EBITA</v>
          </cell>
          <cell r="V1682" t="str">
            <v>Identified - Recompete</v>
          </cell>
          <cell r="W1682">
            <v>0</v>
          </cell>
          <cell r="X1682">
            <v>0</v>
          </cell>
          <cell r="Y1682">
            <v>0</v>
          </cell>
          <cell r="Z1682">
            <v>0</v>
          </cell>
          <cell r="AA1682">
            <v>0</v>
          </cell>
          <cell r="AB1682">
            <v>0</v>
          </cell>
          <cell r="AC1682">
            <v>0</v>
          </cell>
          <cell r="AD1682">
            <v>0</v>
          </cell>
          <cell r="AX1682">
            <v>0</v>
          </cell>
          <cell r="AY1682">
            <v>0</v>
          </cell>
          <cell r="AZ1682">
            <v>0</v>
          </cell>
          <cell r="BA1682">
            <v>0</v>
          </cell>
          <cell r="BI1682">
            <v>0</v>
          </cell>
          <cell r="BJ1682">
            <v>0</v>
          </cell>
          <cell r="BK1682">
            <v>0</v>
          </cell>
          <cell r="BL1682">
            <v>0</v>
          </cell>
          <cell r="BM1682">
            <v>0</v>
          </cell>
          <cell r="BN1682">
            <v>0</v>
          </cell>
          <cell r="BO1682">
            <v>0</v>
          </cell>
          <cell r="BP1682">
            <v>0</v>
          </cell>
          <cell r="BQ1682">
            <v>0</v>
          </cell>
          <cell r="BR1682">
            <v>0</v>
          </cell>
          <cell r="BT1682">
            <v>0</v>
          </cell>
          <cell r="CA1682" t="str">
            <v>1517TC - EBITA - Identified - Recompete</v>
          </cell>
          <cell r="CC1682" t="str">
            <v>1517TC - EBITA - Identified - Recompete - IS4</v>
          </cell>
          <cell r="CD1682" t="str">
            <v/>
          </cell>
          <cell r="CF1682" t="str">
            <v>1517TC - Identified - Recompete - IS4</v>
          </cell>
        </row>
        <row r="1683">
          <cell r="D1683">
            <v>1669</v>
          </cell>
          <cell r="E1683">
            <v>1</v>
          </cell>
          <cell r="F1683">
            <v>1</v>
          </cell>
          <cell r="G1683" t="str">
            <v>003426</v>
          </cell>
          <cell r="H1683" t="str">
            <v>E30 GWS</v>
          </cell>
          <cell r="I1683" t="str">
            <v>IS4</v>
          </cell>
          <cell r="J1683" t="str">
            <v>IS4 Spectrum &amp; Infrastructure Assurance</v>
          </cell>
          <cell r="K1683" t="str">
            <v>Navy</v>
          </cell>
          <cell r="L1683" t="str">
            <v>DOD</v>
          </cell>
          <cell r="M1683" t="str">
            <v>VA</v>
          </cell>
          <cell r="N1683" t="str">
            <v>CONUS</v>
          </cell>
          <cell r="O1683">
            <v>43191</v>
          </cell>
          <cell r="P1683">
            <v>45016</v>
          </cell>
          <cell r="Q1683" t="str">
            <v>Sub</v>
          </cell>
          <cell r="R1683" t="str">
            <v>CPFF</v>
          </cell>
          <cell r="S1683">
            <v>0</v>
          </cell>
          <cell r="T1683">
            <v>1</v>
          </cell>
          <cell r="U1683" t="str">
            <v>REVTOT</v>
          </cell>
          <cell r="V1683" t="str">
            <v>Base</v>
          </cell>
          <cell r="W1683" t="str">
            <v>05 Won</v>
          </cell>
          <cell r="X1683" t="str">
            <v>Active</v>
          </cell>
          <cell r="Y1683">
            <v>1</v>
          </cell>
          <cell r="Z1683">
            <v>0</v>
          </cell>
          <cell r="AA1683">
            <v>216825.43</v>
          </cell>
          <cell r="AB1683">
            <v>1496116</v>
          </cell>
          <cell r="AC1683">
            <v>0</v>
          </cell>
          <cell r="AD1683">
            <v>1712941.43</v>
          </cell>
          <cell r="AE1683">
            <v>0</v>
          </cell>
          <cell r="AF1683">
            <v>0</v>
          </cell>
          <cell r="AG1683">
            <v>1.9564383896187976</v>
          </cell>
          <cell r="AH1683">
            <v>-7.9296379583159271E-2</v>
          </cell>
          <cell r="AI1683">
            <v>0</v>
          </cell>
          <cell r="AJ1683">
            <v>0</v>
          </cell>
          <cell r="AK1683">
            <v>0</v>
          </cell>
          <cell r="BB1683">
            <v>491754</v>
          </cell>
          <cell r="BC1683">
            <v>491754</v>
          </cell>
          <cell r="BD1683">
            <v>491754</v>
          </cell>
          <cell r="BE1683">
            <v>491754</v>
          </cell>
          <cell r="BF1683">
            <v>0</v>
          </cell>
          <cell r="BG1683">
            <v>0</v>
          </cell>
          <cell r="BH1683">
            <v>180658.84</v>
          </cell>
          <cell r="BI1683">
            <v>149296.73000000001</v>
          </cell>
          <cell r="BJ1683">
            <v>120662.2</v>
          </cell>
          <cell r="BK1683">
            <v>124067.8</v>
          </cell>
          <cell r="BL1683">
            <v>140080</v>
          </cell>
          <cell r="BM1683">
            <v>534106.73</v>
          </cell>
          <cell r="BN1683">
            <v>491754</v>
          </cell>
          <cell r="BO1683">
            <v>491754</v>
          </cell>
          <cell r="BP1683">
            <v>491754</v>
          </cell>
          <cell r="BQ1683">
            <v>237679.42999999993</v>
          </cell>
          <cell r="BR1683">
            <v>2247048.16</v>
          </cell>
          <cell r="BT1683">
            <v>0</v>
          </cell>
          <cell r="CA1683" t="str">
            <v>003426 - REVTOT - Base</v>
          </cell>
          <cell r="CC1683" t="str">
            <v>003426 - REVTOT - Base - IS4</v>
          </cell>
          <cell r="CD1683" t="str">
            <v/>
          </cell>
          <cell r="CF1683" t="str">
            <v>003426 - Base - IS4</v>
          </cell>
        </row>
        <row r="1684">
          <cell r="D1684">
            <v>1670</v>
          </cell>
          <cell r="E1684">
            <v>1</v>
          </cell>
          <cell r="F1684">
            <v>2</v>
          </cell>
          <cell r="G1684" t="str">
            <v>003426</v>
          </cell>
          <cell r="H1684" t="str">
            <v>E30 GWS</v>
          </cell>
          <cell r="I1684" t="str">
            <v>IS4</v>
          </cell>
          <cell r="J1684" t="str">
            <v>IS4 Spectrum &amp; Infrastructure Assurance</v>
          </cell>
          <cell r="K1684" t="str">
            <v>Navy</v>
          </cell>
          <cell r="L1684" t="str">
            <v>DOD</v>
          </cell>
          <cell r="M1684" t="str">
            <v>VA</v>
          </cell>
          <cell r="N1684" t="str">
            <v>CONUS</v>
          </cell>
          <cell r="O1684">
            <v>0</v>
          </cell>
          <cell r="P1684">
            <v>0</v>
          </cell>
          <cell r="Q1684">
            <v>0</v>
          </cell>
          <cell r="R1684" t="str">
            <v>CPFF</v>
          </cell>
          <cell r="S1684">
            <v>0</v>
          </cell>
          <cell r="T1684">
            <v>1</v>
          </cell>
          <cell r="U1684" t="str">
            <v>REVTOT</v>
          </cell>
          <cell r="V1684" t="str">
            <v>Identified - Recompete</v>
          </cell>
          <cell r="W1684">
            <v>0</v>
          </cell>
          <cell r="X1684">
            <v>0</v>
          </cell>
          <cell r="Y1684">
            <v>0</v>
          </cell>
          <cell r="Z1684">
            <v>0</v>
          </cell>
          <cell r="AA1684">
            <v>0</v>
          </cell>
          <cell r="AB1684">
            <v>0</v>
          </cell>
          <cell r="AC1684">
            <v>0</v>
          </cell>
          <cell r="AD1684">
            <v>0</v>
          </cell>
          <cell r="AI1684">
            <v>0</v>
          </cell>
          <cell r="AJ1684">
            <v>0</v>
          </cell>
          <cell r="AK1684">
            <v>0</v>
          </cell>
          <cell r="BB1684">
            <v>0</v>
          </cell>
          <cell r="BC1684">
            <v>0</v>
          </cell>
          <cell r="BD1684">
            <v>0</v>
          </cell>
          <cell r="BE1684">
            <v>0</v>
          </cell>
          <cell r="BI1684">
            <v>0</v>
          </cell>
          <cell r="BJ1684">
            <v>0</v>
          </cell>
          <cell r="BK1684">
            <v>0</v>
          </cell>
          <cell r="BL1684">
            <v>0</v>
          </cell>
          <cell r="BM1684">
            <v>0</v>
          </cell>
          <cell r="BN1684">
            <v>0</v>
          </cell>
          <cell r="BO1684">
            <v>0</v>
          </cell>
          <cell r="BP1684">
            <v>0</v>
          </cell>
          <cell r="BQ1684">
            <v>0</v>
          </cell>
          <cell r="BR1684">
            <v>0</v>
          </cell>
          <cell r="BT1684">
            <v>0</v>
          </cell>
          <cell r="CA1684" t="str">
            <v>003426 - REVTOT - Identified - Recompete</v>
          </cell>
          <cell r="CC1684" t="str">
            <v>003426 - REVTOT - Identified - Recompete - IS4</v>
          </cell>
          <cell r="CD1684" t="str">
            <v/>
          </cell>
          <cell r="CF1684" t="str">
            <v>003426 - Identified - Recompete - IS4</v>
          </cell>
        </row>
        <row r="1685">
          <cell r="D1685">
            <v>1671</v>
          </cell>
          <cell r="E1685">
            <v>2</v>
          </cell>
          <cell r="F1685">
            <v>3</v>
          </cell>
          <cell r="G1685" t="str">
            <v>003426</v>
          </cell>
          <cell r="H1685" t="str">
            <v>E30 GWS</v>
          </cell>
          <cell r="I1685" t="str">
            <v>IS4</v>
          </cell>
          <cell r="J1685" t="str">
            <v>IS4 Spectrum &amp; Infrastructure Assurance</v>
          </cell>
          <cell r="K1685" t="str">
            <v>Navy</v>
          </cell>
          <cell r="L1685" t="str">
            <v>DOD</v>
          </cell>
          <cell r="M1685" t="str">
            <v>VA</v>
          </cell>
          <cell r="N1685" t="str">
            <v>CONUS</v>
          </cell>
          <cell r="O1685">
            <v>43191</v>
          </cell>
          <cell r="P1685">
            <v>45016</v>
          </cell>
          <cell r="Q1685" t="str">
            <v>Sub</v>
          </cell>
          <cell r="R1685" t="str">
            <v>CPFF</v>
          </cell>
          <cell r="S1685">
            <v>0</v>
          </cell>
          <cell r="T1685">
            <v>1</v>
          </cell>
          <cell r="U1685" t="str">
            <v>CONTRACT</v>
          </cell>
          <cell r="V1685" t="str">
            <v>Base</v>
          </cell>
          <cell r="W1685" t="str">
            <v>05 Won</v>
          </cell>
          <cell r="X1685" t="str">
            <v>Active</v>
          </cell>
          <cell r="Y1685">
            <v>1</v>
          </cell>
          <cell r="Z1685">
            <v>0</v>
          </cell>
          <cell r="AA1685">
            <v>216825.43</v>
          </cell>
          <cell r="AB1685">
            <v>1496116</v>
          </cell>
          <cell r="AC1685">
            <v>0</v>
          </cell>
          <cell r="AD1685">
            <v>1712941.43</v>
          </cell>
          <cell r="AL1685">
            <v>0</v>
          </cell>
          <cell r="AM1685">
            <v>0</v>
          </cell>
          <cell r="AN1685">
            <v>0.18109935832644558</v>
          </cell>
          <cell r="AO1685">
            <v>0.18315159593663985</v>
          </cell>
          <cell r="AP1685">
            <v>0.17662828243389986</v>
          </cell>
          <cell r="AQ1685">
            <v>0.17662828243389986</v>
          </cell>
          <cell r="AR1685">
            <v>0.17662828243389986</v>
          </cell>
          <cell r="AS1685">
            <v>0.17662828243389986</v>
          </cell>
          <cell r="BF1685">
            <v>0</v>
          </cell>
          <cell r="BG1685">
            <v>0</v>
          </cell>
          <cell r="BH1685">
            <v>32717.200000000001</v>
          </cell>
          <cell r="BI1685">
            <v>28782.289999999994</v>
          </cell>
          <cell r="BJ1685">
            <v>19898.449999999997</v>
          </cell>
          <cell r="BK1685">
            <v>22650.760000000009</v>
          </cell>
          <cell r="BL1685">
            <v>26491</v>
          </cell>
          <cell r="BM1685">
            <v>97822.5</v>
          </cell>
          <cell r="BN1685">
            <v>86857.664399999994</v>
          </cell>
          <cell r="BO1685">
            <v>86857.664399999994</v>
          </cell>
          <cell r="BP1685">
            <v>86857.664399999994</v>
          </cell>
          <cell r="BQ1685">
            <v>41980.909490768317</v>
          </cell>
          <cell r="BR1685">
            <v>400376.40269076836</v>
          </cell>
          <cell r="BT1685">
            <v>0</v>
          </cell>
          <cell r="CA1685" t="str">
            <v>003426 - CONTRACT - Base</v>
          </cell>
          <cell r="CC1685" t="str">
            <v>003426 - CONTRACT - Base - IS4</v>
          </cell>
          <cell r="CD1685" t="str">
            <v/>
          </cell>
          <cell r="CF1685" t="str">
            <v>003426 - Base - IS4</v>
          </cell>
        </row>
        <row r="1686">
          <cell r="D1686">
            <v>1672</v>
          </cell>
          <cell r="E1686">
            <v>2</v>
          </cell>
          <cell r="F1686">
            <v>4</v>
          </cell>
          <cell r="G1686" t="str">
            <v>003426</v>
          </cell>
          <cell r="H1686" t="str">
            <v>E30 GWS</v>
          </cell>
          <cell r="I1686" t="str">
            <v>IS4</v>
          </cell>
          <cell r="J1686" t="str">
            <v>IS4 Spectrum &amp; Infrastructure Assurance</v>
          </cell>
          <cell r="K1686" t="str">
            <v>Navy</v>
          </cell>
          <cell r="L1686" t="str">
            <v>DOD</v>
          </cell>
          <cell r="M1686" t="str">
            <v>VA</v>
          </cell>
          <cell r="N1686" t="str">
            <v>CONUS</v>
          </cell>
          <cell r="O1686">
            <v>0</v>
          </cell>
          <cell r="P1686">
            <v>0</v>
          </cell>
          <cell r="Q1686">
            <v>0</v>
          </cell>
          <cell r="R1686" t="str">
            <v>CPFF</v>
          </cell>
          <cell r="S1686">
            <v>0</v>
          </cell>
          <cell r="T1686">
            <v>1</v>
          </cell>
          <cell r="U1686" t="str">
            <v>CONTRACT</v>
          </cell>
          <cell r="V1686" t="str">
            <v>Identified - Recompete</v>
          </cell>
          <cell r="W1686">
            <v>0</v>
          </cell>
          <cell r="X1686">
            <v>0</v>
          </cell>
          <cell r="Y1686">
            <v>0</v>
          </cell>
          <cell r="Z1686">
            <v>0</v>
          </cell>
          <cell r="AA1686">
            <v>0</v>
          </cell>
          <cell r="AB1686">
            <v>0</v>
          </cell>
          <cell r="AC1686">
            <v>0</v>
          </cell>
          <cell r="AD1686">
            <v>0</v>
          </cell>
          <cell r="AP1686">
            <v>0</v>
          </cell>
          <cell r="AQ1686">
            <v>0</v>
          </cell>
          <cell r="AR1686">
            <v>0</v>
          </cell>
          <cell r="AS1686">
            <v>0</v>
          </cell>
          <cell r="BI1686">
            <v>0</v>
          </cell>
          <cell r="BJ1686">
            <v>0</v>
          </cell>
          <cell r="BK1686">
            <v>0</v>
          </cell>
          <cell r="BL1686">
            <v>0</v>
          </cell>
          <cell r="BM1686">
            <v>0</v>
          </cell>
          <cell r="BN1686">
            <v>0</v>
          </cell>
          <cell r="BO1686">
            <v>0</v>
          </cell>
          <cell r="BP1686">
            <v>0</v>
          </cell>
          <cell r="BQ1686">
            <v>0</v>
          </cell>
          <cell r="BR1686">
            <v>0</v>
          </cell>
          <cell r="BT1686">
            <v>0</v>
          </cell>
          <cell r="CA1686" t="str">
            <v>003426 - CONTRACT - Identified - Recompete</v>
          </cell>
          <cell r="CC1686" t="str">
            <v>003426 - CONTRACT - Identified - Recompete - IS4</v>
          </cell>
          <cell r="CD1686" t="str">
            <v/>
          </cell>
          <cell r="CF1686" t="str">
            <v>003426 - Identified - Recompete - IS4</v>
          </cell>
        </row>
        <row r="1687">
          <cell r="D1687">
            <v>1673</v>
          </cell>
          <cell r="E1687">
            <v>0</v>
          </cell>
          <cell r="F1687">
            <v>5</v>
          </cell>
          <cell r="G1687" t="str">
            <v>003426</v>
          </cell>
          <cell r="H1687" t="str">
            <v>E30 GWS</v>
          </cell>
          <cell r="I1687" t="str">
            <v>IS4</v>
          </cell>
          <cell r="J1687" t="str">
            <v>IS4 Spectrum &amp; Infrastructure Assurance</v>
          </cell>
          <cell r="K1687" t="str">
            <v>Navy</v>
          </cell>
          <cell r="L1687" t="str">
            <v>DOD</v>
          </cell>
          <cell r="M1687" t="str">
            <v>VA</v>
          </cell>
          <cell r="N1687" t="str">
            <v>CONUS</v>
          </cell>
          <cell r="O1687">
            <v>43191</v>
          </cell>
          <cell r="P1687">
            <v>45016</v>
          </cell>
          <cell r="Q1687" t="str">
            <v>Sub</v>
          </cell>
          <cell r="R1687" t="str">
            <v>CPFF</v>
          </cell>
          <cell r="S1687">
            <v>0</v>
          </cell>
          <cell r="T1687">
            <v>1</v>
          </cell>
          <cell r="U1687" t="str">
            <v>EBITA</v>
          </cell>
          <cell r="V1687" t="str">
            <v>Base</v>
          </cell>
          <cell r="W1687" t="str">
            <v>05 Won</v>
          </cell>
          <cell r="X1687" t="str">
            <v>Active</v>
          </cell>
          <cell r="Y1687">
            <v>1</v>
          </cell>
          <cell r="Z1687">
            <v>0</v>
          </cell>
          <cell r="AA1687">
            <v>216825.43</v>
          </cell>
          <cell r="AB1687">
            <v>1496116</v>
          </cell>
          <cell r="AC1687">
            <v>0</v>
          </cell>
          <cell r="AD1687">
            <v>1712941.43</v>
          </cell>
          <cell r="AT1687">
            <v>0</v>
          </cell>
          <cell r="AU1687">
            <v>0</v>
          </cell>
          <cell r="AV1687">
            <v>3.8043031827282851E-2</v>
          </cell>
          <cell r="AW1687">
            <v>4.2186118868039725E-2</v>
          </cell>
          <cell r="AX1687">
            <v>5.6003189031294198E-2</v>
          </cell>
          <cell r="AY1687">
            <v>5.6003189031294198E-2</v>
          </cell>
          <cell r="AZ1687">
            <v>5.6003189031294198E-2</v>
          </cell>
          <cell r="BA1687">
            <v>5.6003189031294198E-2</v>
          </cell>
          <cell r="BF1687">
            <v>0</v>
          </cell>
          <cell r="BG1687">
            <v>0</v>
          </cell>
          <cell r="BH1687">
            <v>6872.81</v>
          </cell>
          <cell r="BI1687">
            <v>7034.799999999992</v>
          </cell>
          <cell r="BJ1687">
            <v>3064.0099999999975</v>
          </cell>
          <cell r="BK1687">
            <v>5282.080000000009</v>
          </cell>
          <cell r="BL1687">
            <v>7151</v>
          </cell>
          <cell r="BM1687">
            <v>22531.89</v>
          </cell>
          <cell r="BN1687">
            <v>27539.792218895047</v>
          </cell>
          <cell r="BO1687">
            <v>27539.792218895047</v>
          </cell>
          <cell r="BP1687">
            <v>27539.792218895047</v>
          </cell>
          <cell r="BQ1687">
            <v>13310.806047140253</v>
          </cell>
          <cell r="BR1687">
            <v>118462.0727038254</v>
          </cell>
          <cell r="BT1687">
            <v>0</v>
          </cell>
          <cell r="CA1687" t="str">
            <v>003426 - EBITA - Base</v>
          </cell>
          <cell r="CC1687" t="str">
            <v>003426 - EBITA - Base - IS4</v>
          </cell>
          <cell r="CD1687" t="str">
            <v/>
          </cell>
          <cell r="CF1687" t="str">
            <v>003426 - Base - IS4</v>
          </cell>
        </row>
        <row r="1688">
          <cell r="D1688">
            <v>1674</v>
          </cell>
          <cell r="E1688">
            <v>0</v>
          </cell>
          <cell r="F1688">
            <v>0</v>
          </cell>
          <cell r="G1688" t="str">
            <v>003426</v>
          </cell>
          <cell r="H1688" t="str">
            <v>E30 GWS</v>
          </cell>
          <cell r="I1688" t="str">
            <v>IS4</v>
          </cell>
          <cell r="J1688" t="str">
            <v>IS4 Spectrum &amp; Infrastructure Assurance</v>
          </cell>
          <cell r="K1688" t="str">
            <v>Navy</v>
          </cell>
          <cell r="L1688" t="str">
            <v>DOD</v>
          </cell>
          <cell r="M1688" t="str">
            <v>VA</v>
          </cell>
          <cell r="N1688" t="str">
            <v>CONUS</v>
          </cell>
          <cell r="O1688">
            <v>0</v>
          </cell>
          <cell r="P1688">
            <v>0</v>
          </cell>
          <cell r="Q1688">
            <v>0</v>
          </cell>
          <cell r="R1688" t="str">
            <v>CPFF</v>
          </cell>
          <cell r="S1688">
            <v>0</v>
          </cell>
          <cell r="T1688">
            <v>1</v>
          </cell>
          <cell r="U1688" t="str">
            <v>EBITA</v>
          </cell>
          <cell r="V1688" t="str">
            <v>Identified - Recompete</v>
          </cell>
          <cell r="W1688">
            <v>0</v>
          </cell>
          <cell r="X1688">
            <v>0</v>
          </cell>
          <cell r="Y1688">
            <v>0</v>
          </cell>
          <cell r="Z1688">
            <v>0</v>
          </cell>
          <cell r="AA1688">
            <v>0</v>
          </cell>
          <cell r="AB1688">
            <v>0</v>
          </cell>
          <cell r="AC1688">
            <v>0</v>
          </cell>
          <cell r="AD1688">
            <v>0</v>
          </cell>
          <cell r="AX1688">
            <v>0</v>
          </cell>
          <cell r="AY1688">
            <v>0</v>
          </cell>
          <cell r="AZ1688">
            <v>0</v>
          </cell>
          <cell r="BA1688">
            <v>0</v>
          </cell>
          <cell r="BI1688">
            <v>0</v>
          </cell>
          <cell r="BJ1688">
            <v>0</v>
          </cell>
          <cell r="BK1688">
            <v>0</v>
          </cell>
          <cell r="BL1688">
            <v>0</v>
          </cell>
          <cell r="BM1688">
            <v>0</v>
          </cell>
          <cell r="BN1688">
            <v>0</v>
          </cell>
          <cell r="BO1688">
            <v>0</v>
          </cell>
          <cell r="BP1688">
            <v>0</v>
          </cell>
          <cell r="BQ1688">
            <v>0</v>
          </cell>
          <cell r="BR1688">
            <v>0</v>
          </cell>
          <cell r="BT1688">
            <v>0</v>
          </cell>
          <cell r="CA1688" t="str">
            <v>003426 - EBITA - Identified - Recompete</v>
          </cell>
          <cell r="CC1688" t="str">
            <v>003426 - EBITA - Identified - Recompete - IS4</v>
          </cell>
          <cell r="CD1688" t="str">
            <v/>
          </cell>
          <cell r="CF1688" t="str">
            <v>003426 - Identified - Recompete - IS4</v>
          </cell>
        </row>
        <row r="1689">
          <cell r="D1689">
            <v>1675</v>
          </cell>
          <cell r="E1689">
            <v>1</v>
          </cell>
          <cell r="F1689">
            <v>1</v>
          </cell>
          <cell r="G1689" t="str">
            <v>003384</v>
          </cell>
          <cell r="H1689" t="str">
            <v>V20 Engineering Certification</v>
          </cell>
          <cell r="I1689" t="str">
            <v>IS4</v>
          </cell>
          <cell r="J1689" t="str">
            <v>IS4 Spectrum &amp; Infrastructure Assurance</v>
          </cell>
          <cell r="K1689" t="str">
            <v>Navy</v>
          </cell>
          <cell r="L1689" t="str">
            <v>DOD</v>
          </cell>
          <cell r="M1689" t="str">
            <v>VA</v>
          </cell>
          <cell r="N1689" t="str">
            <v>CONUS</v>
          </cell>
          <cell r="O1689">
            <v>43131</v>
          </cell>
          <cell r="P1689">
            <v>44956</v>
          </cell>
          <cell r="Q1689" t="str">
            <v>Sub</v>
          </cell>
          <cell r="R1689" t="str">
            <v>CPFF</v>
          </cell>
          <cell r="S1689">
            <v>0</v>
          </cell>
          <cell r="T1689">
            <v>1</v>
          </cell>
          <cell r="U1689" t="str">
            <v>REVTOT</v>
          </cell>
          <cell r="V1689" t="str">
            <v>Base</v>
          </cell>
          <cell r="W1689" t="str">
            <v>05 Won</v>
          </cell>
          <cell r="X1689" t="str">
            <v>Active</v>
          </cell>
          <cell r="Y1689">
            <v>1</v>
          </cell>
          <cell r="Z1689">
            <v>0</v>
          </cell>
          <cell r="AA1689">
            <v>2178525.0599999991</v>
          </cell>
          <cell r="AB1689">
            <v>4417924</v>
          </cell>
          <cell r="AC1689">
            <v>0</v>
          </cell>
          <cell r="AD1689">
            <v>6596449.0599999987</v>
          </cell>
          <cell r="AE1689">
            <v>0</v>
          </cell>
          <cell r="AF1689">
            <v>0</v>
          </cell>
          <cell r="AG1689">
            <v>1.8322734529109348</v>
          </cell>
          <cell r="AH1689">
            <v>0.14124386885979767</v>
          </cell>
          <cell r="AI1689">
            <v>0</v>
          </cell>
          <cell r="AJ1689">
            <v>0</v>
          </cell>
          <cell r="AK1689">
            <v>0</v>
          </cell>
          <cell r="BB1689">
            <v>532711</v>
          </cell>
          <cell r="BC1689">
            <v>532711</v>
          </cell>
          <cell r="BD1689">
            <v>532711</v>
          </cell>
          <cell r="BE1689">
            <v>532711</v>
          </cell>
          <cell r="BF1689">
            <v>0</v>
          </cell>
          <cell r="BG1689">
            <v>0</v>
          </cell>
          <cell r="BH1689">
            <v>164807.9</v>
          </cell>
          <cell r="BI1689">
            <v>111864.41</v>
          </cell>
          <cell r="BJ1689">
            <v>113503.45000000001</v>
          </cell>
          <cell r="BK1689">
            <v>136305.58000000002</v>
          </cell>
          <cell r="BL1689">
            <v>105107.6</v>
          </cell>
          <cell r="BM1689">
            <v>466781.04000000004</v>
          </cell>
          <cell r="BN1689">
            <v>532711</v>
          </cell>
          <cell r="BO1689">
            <v>532711</v>
          </cell>
          <cell r="BP1689">
            <v>532711</v>
          </cell>
          <cell r="BQ1689">
            <v>532711</v>
          </cell>
          <cell r="BR1689">
            <v>2597625.04</v>
          </cell>
          <cell r="BT1689">
            <v>0</v>
          </cell>
          <cell r="CA1689" t="str">
            <v>003384 - REVTOT - Base</v>
          </cell>
          <cell r="CC1689" t="str">
            <v>003384 - REVTOT - Base - IS4</v>
          </cell>
          <cell r="CD1689" t="str">
            <v/>
          </cell>
          <cell r="CF1689" t="str">
            <v>003384 - Base - IS4</v>
          </cell>
        </row>
        <row r="1690">
          <cell r="D1690">
            <v>1676</v>
          </cell>
          <cell r="E1690">
            <v>1</v>
          </cell>
          <cell r="F1690">
            <v>2</v>
          </cell>
          <cell r="G1690" t="str">
            <v>003384</v>
          </cell>
          <cell r="H1690" t="str">
            <v>V20 Engineering Certification</v>
          </cell>
          <cell r="I1690" t="str">
            <v>IS4</v>
          </cell>
          <cell r="J1690" t="str">
            <v>IS4 Spectrum &amp; Infrastructure Assurance</v>
          </cell>
          <cell r="K1690" t="str">
            <v>Navy</v>
          </cell>
          <cell r="L1690" t="str">
            <v>DOD</v>
          </cell>
          <cell r="M1690" t="str">
            <v>VA</v>
          </cell>
          <cell r="N1690" t="str">
            <v>CONUS</v>
          </cell>
          <cell r="O1690">
            <v>0</v>
          </cell>
          <cell r="P1690">
            <v>0</v>
          </cell>
          <cell r="Q1690">
            <v>0</v>
          </cell>
          <cell r="R1690" t="str">
            <v>CPFF</v>
          </cell>
          <cell r="S1690">
            <v>0</v>
          </cell>
          <cell r="T1690">
            <v>1</v>
          </cell>
          <cell r="U1690" t="str">
            <v>REVTOT</v>
          </cell>
          <cell r="V1690" t="str">
            <v>Identified - Recompete</v>
          </cell>
          <cell r="W1690">
            <v>0</v>
          </cell>
          <cell r="X1690">
            <v>0</v>
          </cell>
          <cell r="Y1690">
            <v>0</v>
          </cell>
          <cell r="Z1690">
            <v>0</v>
          </cell>
          <cell r="AA1690">
            <v>0</v>
          </cell>
          <cell r="AB1690">
            <v>0</v>
          </cell>
          <cell r="AC1690">
            <v>0</v>
          </cell>
          <cell r="AD1690">
            <v>0</v>
          </cell>
          <cell r="AI1690">
            <v>0</v>
          </cell>
          <cell r="AJ1690">
            <v>0</v>
          </cell>
          <cell r="AK1690">
            <v>0</v>
          </cell>
          <cell r="BB1690">
            <v>0</v>
          </cell>
          <cell r="BC1690">
            <v>0</v>
          </cell>
          <cell r="BD1690">
            <v>0</v>
          </cell>
          <cell r="BE1690">
            <v>0</v>
          </cell>
          <cell r="BI1690">
            <v>0</v>
          </cell>
          <cell r="BJ1690">
            <v>0</v>
          </cell>
          <cell r="BK1690">
            <v>0</v>
          </cell>
          <cell r="BL1690">
            <v>0</v>
          </cell>
          <cell r="BM1690">
            <v>0</v>
          </cell>
          <cell r="BN1690">
            <v>0</v>
          </cell>
          <cell r="BO1690">
            <v>0</v>
          </cell>
          <cell r="BP1690">
            <v>0</v>
          </cell>
          <cell r="BQ1690">
            <v>0</v>
          </cell>
          <cell r="BR1690">
            <v>0</v>
          </cell>
          <cell r="BT1690">
            <v>0</v>
          </cell>
          <cell r="CA1690" t="str">
            <v>003384 - REVTOT - Identified - Recompete</v>
          </cell>
          <cell r="CC1690" t="str">
            <v>003384 - REVTOT - Identified - Recompete - IS4</v>
          </cell>
          <cell r="CD1690" t="str">
            <v/>
          </cell>
          <cell r="CF1690" t="str">
            <v>003384 - Identified - Recompete - IS4</v>
          </cell>
        </row>
        <row r="1691">
          <cell r="D1691">
            <v>1677</v>
          </cell>
          <cell r="E1691">
            <v>2</v>
          </cell>
          <cell r="F1691">
            <v>3</v>
          </cell>
          <cell r="G1691" t="str">
            <v>003384</v>
          </cell>
          <cell r="H1691" t="str">
            <v>V20 Engineering Certification</v>
          </cell>
          <cell r="I1691" t="str">
            <v>IS4</v>
          </cell>
          <cell r="J1691" t="str">
            <v>IS4 Spectrum &amp; Infrastructure Assurance</v>
          </cell>
          <cell r="K1691" t="str">
            <v>Navy</v>
          </cell>
          <cell r="L1691" t="str">
            <v>DOD</v>
          </cell>
          <cell r="M1691" t="str">
            <v>VA</v>
          </cell>
          <cell r="N1691" t="str">
            <v>CONUS</v>
          </cell>
          <cell r="O1691">
            <v>43131</v>
          </cell>
          <cell r="P1691">
            <v>44956</v>
          </cell>
          <cell r="Q1691" t="str">
            <v>Sub</v>
          </cell>
          <cell r="R1691" t="str">
            <v>CPFF</v>
          </cell>
          <cell r="S1691">
            <v>0</v>
          </cell>
          <cell r="T1691">
            <v>1</v>
          </cell>
          <cell r="U1691" t="str">
            <v>CONTRACT</v>
          </cell>
          <cell r="V1691" t="str">
            <v>Base</v>
          </cell>
          <cell r="W1691" t="str">
            <v>05 Won</v>
          </cell>
          <cell r="X1691" t="str">
            <v>Active</v>
          </cell>
          <cell r="Y1691">
            <v>1</v>
          </cell>
          <cell r="Z1691">
            <v>0</v>
          </cell>
          <cell r="AA1691">
            <v>2178525.0599999991</v>
          </cell>
          <cell r="AB1691">
            <v>4417924</v>
          </cell>
          <cell r="AC1691">
            <v>0</v>
          </cell>
          <cell r="AD1691">
            <v>6596449.0599999987</v>
          </cell>
          <cell r="AL1691">
            <v>0</v>
          </cell>
          <cell r="AM1691">
            <v>0</v>
          </cell>
          <cell r="AN1691">
            <v>0.16597299037242752</v>
          </cell>
          <cell r="AO1691">
            <v>0.16941512877215406</v>
          </cell>
          <cell r="AP1691">
            <v>0.16878257291476995</v>
          </cell>
          <cell r="AQ1691">
            <v>0.16878257291476995</v>
          </cell>
          <cell r="AR1691">
            <v>0.16878257291476995</v>
          </cell>
          <cell r="AS1691">
            <v>0.16878257291476995</v>
          </cell>
          <cell r="BF1691">
            <v>0</v>
          </cell>
          <cell r="BG1691">
            <v>0</v>
          </cell>
          <cell r="BH1691">
            <v>27353.659999999996</v>
          </cell>
          <cell r="BI1691">
            <v>18946.680000000008</v>
          </cell>
          <cell r="BJ1691">
            <v>19073.080000000002</v>
          </cell>
          <cell r="BK1691">
            <v>22994.980000000003</v>
          </cell>
          <cell r="BL1691">
            <v>18065.029999999992</v>
          </cell>
          <cell r="BM1691">
            <v>79079.77</v>
          </cell>
          <cell r="BN1691">
            <v>89912.333200000008</v>
          </cell>
          <cell r="BO1691">
            <v>89912.333200000008</v>
          </cell>
          <cell r="BP1691">
            <v>89912.333200000008</v>
          </cell>
          <cell r="BQ1691">
            <v>89912.333200000008</v>
          </cell>
          <cell r="BR1691">
            <v>438729.10279999999</v>
          </cell>
          <cell r="BT1691">
            <v>0</v>
          </cell>
          <cell r="CA1691" t="str">
            <v>003384 - CONTRACT - Base</v>
          </cell>
          <cell r="CC1691" t="str">
            <v>003384 - CONTRACT - Base - IS4</v>
          </cell>
          <cell r="CD1691" t="str">
            <v/>
          </cell>
          <cell r="CF1691" t="str">
            <v>003384 - Base - IS4</v>
          </cell>
        </row>
        <row r="1692">
          <cell r="D1692">
            <v>1678</v>
          </cell>
          <cell r="E1692">
            <v>2</v>
          </cell>
          <cell r="F1692">
            <v>4</v>
          </cell>
          <cell r="G1692" t="str">
            <v>003384</v>
          </cell>
          <cell r="H1692" t="str">
            <v>V20 Engineering Certification</v>
          </cell>
          <cell r="I1692" t="str">
            <v>IS4</v>
          </cell>
          <cell r="J1692" t="str">
            <v>IS4 Spectrum &amp; Infrastructure Assurance</v>
          </cell>
          <cell r="K1692" t="str">
            <v>Navy</v>
          </cell>
          <cell r="L1692" t="str">
            <v>DOD</v>
          </cell>
          <cell r="M1692" t="str">
            <v>VA</v>
          </cell>
          <cell r="N1692" t="str">
            <v>CONUS</v>
          </cell>
          <cell r="O1692">
            <v>0</v>
          </cell>
          <cell r="P1692">
            <v>0</v>
          </cell>
          <cell r="Q1692">
            <v>0</v>
          </cell>
          <cell r="R1692" t="str">
            <v>CPFF</v>
          </cell>
          <cell r="S1692">
            <v>0</v>
          </cell>
          <cell r="T1692">
            <v>1</v>
          </cell>
          <cell r="U1692" t="str">
            <v>CONTRACT</v>
          </cell>
          <cell r="V1692" t="str">
            <v>Identified - Recompete</v>
          </cell>
          <cell r="W1692">
            <v>0</v>
          </cell>
          <cell r="X1692">
            <v>0</v>
          </cell>
          <cell r="Y1692">
            <v>0</v>
          </cell>
          <cell r="Z1692">
            <v>0</v>
          </cell>
          <cell r="AA1692">
            <v>0</v>
          </cell>
          <cell r="AB1692">
            <v>0</v>
          </cell>
          <cell r="AC1692">
            <v>0</v>
          </cell>
          <cell r="AD1692">
            <v>0</v>
          </cell>
          <cell r="AP1692">
            <v>0</v>
          </cell>
          <cell r="AQ1692">
            <v>0</v>
          </cell>
          <cell r="AR1692">
            <v>0</v>
          </cell>
          <cell r="AS1692">
            <v>0</v>
          </cell>
          <cell r="BI1692">
            <v>0</v>
          </cell>
          <cell r="BJ1692">
            <v>0</v>
          </cell>
          <cell r="BK1692">
            <v>0</v>
          </cell>
          <cell r="BL1692">
            <v>0</v>
          </cell>
          <cell r="BM1692">
            <v>0</v>
          </cell>
          <cell r="BN1692">
            <v>0</v>
          </cell>
          <cell r="BO1692">
            <v>0</v>
          </cell>
          <cell r="BP1692">
            <v>0</v>
          </cell>
          <cell r="BQ1692">
            <v>0</v>
          </cell>
          <cell r="BR1692">
            <v>0</v>
          </cell>
          <cell r="BT1692">
            <v>0</v>
          </cell>
          <cell r="CA1692" t="str">
            <v>003384 - CONTRACT - Identified - Recompete</v>
          </cell>
          <cell r="CC1692" t="str">
            <v>003384 - CONTRACT - Identified - Recompete - IS4</v>
          </cell>
          <cell r="CD1692" t="str">
            <v/>
          </cell>
          <cell r="CF1692" t="str">
            <v>003384 - Identified - Recompete - IS4</v>
          </cell>
        </row>
        <row r="1693">
          <cell r="D1693">
            <v>1679</v>
          </cell>
          <cell r="E1693">
            <v>0</v>
          </cell>
          <cell r="F1693">
            <v>5</v>
          </cell>
          <cell r="G1693" t="str">
            <v>003384</v>
          </cell>
          <cell r="H1693" t="str">
            <v>V20 Engineering Certification</v>
          </cell>
          <cell r="I1693" t="str">
            <v>IS4</v>
          </cell>
          <cell r="J1693" t="str">
            <v>IS4 Spectrum &amp; Infrastructure Assurance</v>
          </cell>
          <cell r="K1693" t="str">
            <v>Navy</v>
          </cell>
          <cell r="L1693" t="str">
            <v>DOD</v>
          </cell>
          <cell r="M1693" t="str">
            <v>VA</v>
          </cell>
          <cell r="N1693" t="str">
            <v>CONUS</v>
          </cell>
          <cell r="O1693">
            <v>43131</v>
          </cell>
          <cell r="P1693">
            <v>44956</v>
          </cell>
          <cell r="Q1693" t="str">
            <v>Sub</v>
          </cell>
          <cell r="R1693" t="str">
            <v>CPFF</v>
          </cell>
          <cell r="S1693">
            <v>0</v>
          </cell>
          <cell r="T1693">
            <v>1</v>
          </cell>
          <cell r="U1693" t="str">
            <v>EBITA</v>
          </cell>
          <cell r="V1693" t="str">
            <v>Base</v>
          </cell>
          <cell r="W1693" t="str">
            <v>05 Won</v>
          </cell>
          <cell r="X1693" t="str">
            <v>Active</v>
          </cell>
          <cell r="Y1693">
            <v>1</v>
          </cell>
          <cell r="Z1693">
            <v>0</v>
          </cell>
          <cell r="AA1693">
            <v>2178525.0599999991</v>
          </cell>
          <cell r="AB1693">
            <v>4417924</v>
          </cell>
          <cell r="AC1693">
            <v>0</v>
          </cell>
          <cell r="AD1693">
            <v>6596449.0599999987</v>
          </cell>
          <cell r="AT1693">
            <v>0</v>
          </cell>
          <cell r="AU1693">
            <v>0</v>
          </cell>
          <cell r="AV1693">
            <v>4.7074806486824938E-2</v>
          </cell>
          <cell r="AW1693">
            <v>4.7359721380285713E-2</v>
          </cell>
          <cell r="AX1693">
            <v>4.7559557076958588E-2</v>
          </cell>
          <cell r="AY1693">
            <v>4.7559557076958588E-2</v>
          </cell>
          <cell r="AZ1693">
            <v>4.7559557076958588E-2</v>
          </cell>
          <cell r="BA1693">
            <v>4.7559557076958588E-2</v>
          </cell>
          <cell r="BF1693">
            <v>0</v>
          </cell>
          <cell r="BG1693">
            <v>0</v>
          </cell>
          <cell r="BH1693">
            <v>7758.2999999999956</v>
          </cell>
          <cell r="BI1693">
            <v>5212.9600000000082</v>
          </cell>
          <cell r="BJ1693">
            <v>5397.8300000000008</v>
          </cell>
          <cell r="BK1693">
            <v>6490.720000000003</v>
          </cell>
          <cell r="BL1693">
            <v>5005.1099999999915</v>
          </cell>
          <cell r="BM1693">
            <v>22106.620000000003</v>
          </cell>
          <cell r="BN1693">
            <v>25335.499210023685</v>
          </cell>
          <cell r="BO1693">
            <v>25335.499210023685</v>
          </cell>
          <cell r="BP1693">
            <v>25335.499210023685</v>
          </cell>
          <cell r="BQ1693">
            <v>25335.499210023685</v>
          </cell>
          <cell r="BR1693">
            <v>123448.61684009474</v>
          </cell>
          <cell r="BT1693">
            <v>0</v>
          </cell>
          <cell r="CA1693" t="str">
            <v>003384 - EBITA - Base</v>
          </cell>
          <cell r="CC1693" t="str">
            <v>003384 - EBITA - Base - IS4</v>
          </cell>
          <cell r="CD1693" t="str">
            <v/>
          </cell>
          <cell r="CF1693" t="str">
            <v>003384 - Base - IS4</v>
          </cell>
        </row>
        <row r="1694">
          <cell r="D1694">
            <v>1680</v>
          </cell>
          <cell r="E1694">
            <v>0</v>
          </cell>
          <cell r="F1694">
            <v>0</v>
          </cell>
          <cell r="G1694" t="str">
            <v>003384</v>
          </cell>
          <cell r="H1694" t="str">
            <v>V20 Engineering Certification</v>
          </cell>
          <cell r="I1694" t="str">
            <v>IS4</v>
          </cell>
          <cell r="J1694" t="str">
            <v>IS4 Spectrum &amp; Infrastructure Assurance</v>
          </cell>
          <cell r="K1694" t="str">
            <v>Navy</v>
          </cell>
          <cell r="L1694" t="str">
            <v>DOD</v>
          </cell>
          <cell r="M1694" t="str">
            <v>VA</v>
          </cell>
          <cell r="N1694" t="str">
            <v>CONUS</v>
          </cell>
          <cell r="O1694">
            <v>0</v>
          </cell>
          <cell r="P1694">
            <v>0</v>
          </cell>
          <cell r="Q1694">
            <v>0</v>
          </cell>
          <cell r="R1694" t="str">
            <v>CPFF</v>
          </cell>
          <cell r="S1694">
            <v>0</v>
          </cell>
          <cell r="T1694">
            <v>1</v>
          </cell>
          <cell r="U1694" t="str">
            <v>EBITA</v>
          </cell>
          <cell r="V1694" t="str">
            <v>Identified - Recompete</v>
          </cell>
          <cell r="W1694">
            <v>0</v>
          </cell>
          <cell r="X1694">
            <v>0</v>
          </cell>
          <cell r="Y1694">
            <v>0</v>
          </cell>
          <cell r="Z1694">
            <v>0</v>
          </cell>
          <cell r="AA1694">
            <v>0</v>
          </cell>
          <cell r="AB1694">
            <v>0</v>
          </cell>
          <cell r="AC1694">
            <v>0</v>
          </cell>
          <cell r="AD1694">
            <v>0</v>
          </cell>
          <cell r="AX1694">
            <v>0</v>
          </cell>
          <cell r="AY1694">
            <v>0</v>
          </cell>
          <cell r="AZ1694">
            <v>0</v>
          </cell>
          <cell r="BA1694">
            <v>0</v>
          </cell>
          <cell r="BI1694">
            <v>0</v>
          </cell>
          <cell r="BJ1694">
            <v>0</v>
          </cell>
          <cell r="BK1694">
            <v>0</v>
          </cell>
          <cell r="BL1694">
            <v>0</v>
          </cell>
          <cell r="BM1694">
            <v>0</v>
          </cell>
          <cell r="BN1694">
            <v>0</v>
          </cell>
          <cell r="BO1694">
            <v>0</v>
          </cell>
          <cell r="BP1694">
            <v>0</v>
          </cell>
          <cell r="BQ1694">
            <v>0</v>
          </cell>
          <cell r="BR1694">
            <v>0</v>
          </cell>
          <cell r="BT1694">
            <v>0</v>
          </cell>
          <cell r="CA1694" t="str">
            <v>003384 - EBITA - Identified - Recompete</v>
          </cell>
          <cell r="CC1694" t="str">
            <v>003384 - EBITA - Identified - Recompete - IS4</v>
          </cell>
          <cell r="CD1694" t="str">
            <v/>
          </cell>
          <cell r="CF1694" t="str">
            <v>003384 - Identified - Recompete - IS4</v>
          </cell>
        </row>
        <row r="1695">
          <cell r="D1695">
            <v>1681</v>
          </cell>
          <cell r="E1695">
            <v>1</v>
          </cell>
          <cell r="F1695">
            <v>1</v>
          </cell>
          <cell r="G1695" t="str">
            <v>HQDS</v>
          </cell>
          <cell r="H1695" t="str">
            <v>HQ Dave Swindle</v>
          </cell>
          <cell r="I1695" t="str">
            <v>IS4</v>
          </cell>
          <cell r="J1695" t="str">
            <v>IS4 Other</v>
          </cell>
          <cell r="K1695" t="str">
            <v>DOE</v>
          </cell>
          <cell r="L1695" t="str">
            <v>DOE</v>
          </cell>
          <cell r="M1695" t="str">
            <v>AL</v>
          </cell>
          <cell r="N1695" t="str">
            <v>CONUS</v>
          </cell>
          <cell r="O1695">
            <v>41913</v>
          </cell>
          <cell r="P1695">
            <v>43830</v>
          </cell>
          <cell r="Q1695" t="str">
            <v>Prime</v>
          </cell>
          <cell r="R1695" t="str">
            <v>CPFF</v>
          </cell>
          <cell r="S1695">
            <v>0</v>
          </cell>
          <cell r="T1695">
            <v>1</v>
          </cell>
          <cell r="U1695" t="str">
            <v>REVTOT</v>
          </cell>
          <cell r="V1695" t="str">
            <v>Base</v>
          </cell>
          <cell r="W1695" t="str">
            <v>05 Won</v>
          </cell>
          <cell r="X1695" t="str">
            <v>Active</v>
          </cell>
          <cell r="Y1695">
            <v>1</v>
          </cell>
          <cell r="Z1695">
            <v>0</v>
          </cell>
          <cell r="AA1695">
            <v>-214959.93000000025</v>
          </cell>
          <cell r="AB1695">
            <v>0</v>
          </cell>
          <cell r="AC1695">
            <v>0</v>
          </cell>
          <cell r="AD1695">
            <v>-214959.93000000025</v>
          </cell>
          <cell r="AE1695">
            <v>-4.6437421130084533E-2</v>
          </cell>
          <cell r="AF1695">
            <v>-0.34314121570935241</v>
          </cell>
          <cell r="AG1695">
            <v>-2.680088205638631E-2</v>
          </cell>
          <cell r="AH1695">
            <v>-1</v>
          </cell>
          <cell r="AI1695">
            <v>0</v>
          </cell>
          <cell r="AJ1695">
            <v>0</v>
          </cell>
          <cell r="AK1695">
            <v>0</v>
          </cell>
          <cell r="BB1695">
            <v>204721.5</v>
          </cell>
          <cell r="BC1695">
            <v>204721.5</v>
          </cell>
          <cell r="BD1695">
            <v>204721.5</v>
          </cell>
          <cell r="BE1695">
            <v>204721.5</v>
          </cell>
          <cell r="BF1695">
            <v>911350.35</v>
          </cell>
          <cell r="BG1695">
            <v>869029.59000000008</v>
          </cell>
          <cell r="BH1695">
            <v>570829.72</v>
          </cell>
          <cell r="BI1695">
            <v>141185.71999999997</v>
          </cell>
          <cell r="BJ1695">
            <v>83464.429999999993</v>
          </cell>
          <cell r="BK1695">
            <v>135547.82999999999</v>
          </cell>
          <cell r="BL1695">
            <v>195333</v>
          </cell>
          <cell r="BM1695">
            <v>555530.98</v>
          </cell>
          <cell r="BN1695">
            <v>0</v>
          </cell>
          <cell r="BO1695">
            <v>0</v>
          </cell>
          <cell r="BP1695">
            <v>0</v>
          </cell>
          <cell r="BQ1695">
            <v>0</v>
          </cell>
          <cell r="BR1695">
            <v>555530.98</v>
          </cell>
          <cell r="BT1695">
            <v>0</v>
          </cell>
          <cell r="CA1695" t="str">
            <v>HQDS - REVTOT - Base</v>
          </cell>
          <cell r="CC1695" t="str">
            <v>HQDS - REVTOT - Base - IS4</v>
          </cell>
          <cell r="CD1695" t="str">
            <v/>
          </cell>
          <cell r="CF1695" t="str">
            <v>HQDS - Base - IS4</v>
          </cell>
        </row>
        <row r="1696">
          <cell r="D1696">
            <v>1682</v>
          </cell>
          <cell r="E1696">
            <v>1</v>
          </cell>
          <cell r="F1696">
            <v>2</v>
          </cell>
          <cell r="G1696" t="str">
            <v>HQDS</v>
          </cell>
          <cell r="H1696" t="str">
            <v>HQ Dave Swindle</v>
          </cell>
          <cell r="I1696" t="str">
            <v>IS4</v>
          </cell>
          <cell r="J1696" t="str">
            <v>IS4 Other</v>
          </cell>
          <cell r="K1696" t="str">
            <v>DOE</v>
          </cell>
          <cell r="L1696" t="str">
            <v>DOE</v>
          </cell>
          <cell r="M1696" t="str">
            <v>AL</v>
          </cell>
          <cell r="N1696" t="str">
            <v>CONUS</v>
          </cell>
          <cell r="O1696">
            <v>0</v>
          </cell>
          <cell r="P1696">
            <v>0</v>
          </cell>
          <cell r="Q1696">
            <v>0</v>
          </cell>
          <cell r="R1696" t="str">
            <v>CPFF</v>
          </cell>
          <cell r="S1696">
            <v>0</v>
          </cell>
          <cell r="T1696">
            <v>1</v>
          </cell>
          <cell r="U1696" t="str">
            <v>REVTOT</v>
          </cell>
          <cell r="V1696" t="str">
            <v>Identified - Recompete</v>
          </cell>
          <cell r="W1696">
            <v>0</v>
          </cell>
          <cell r="X1696">
            <v>0</v>
          </cell>
          <cell r="Y1696">
            <v>0</v>
          </cell>
          <cell r="Z1696">
            <v>0</v>
          </cell>
          <cell r="AA1696">
            <v>0</v>
          </cell>
          <cell r="AB1696">
            <v>0</v>
          </cell>
          <cell r="AC1696">
            <v>0</v>
          </cell>
          <cell r="AD1696">
            <v>0</v>
          </cell>
          <cell r="AI1696">
            <v>0</v>
          </cell>
          <cell r="AJ1696">
            <v>0</v>
          </cell>
          <cell r="AK1696">
            <v>0</v>
          </cell>
          <cell r="BB1696">
            <v>0</v>
          </cell>
          <cell r="BC1696">
            <v>0</v>
          </cell>
          <cell r="BD1696">
            <v>0</v>
          </cell>
          <cell r="BE1696">
            <v>0</v>
          </cell>
          <cell r="BI1696">
            <v>0</v>
          </cell>
          <cell r="BJ1696">
            <v>0</v>
          </cell>
          <cell r="BK1696">
            <v>0</v>
          </cell>
          <cell r="BL1696">
            <v>0</v>
          </cell>
          <cell r="BM1696">
            <v>0</v>
          </cell>
          <cell r="BN1696">
            <v>0</v>
          </cell>
          <cell r="BO1696">
            <v>0</v>
          </cell>
          <cell r="BP1696">
            <v>0</v>
          </cell>
          <cell r="BQ1696">
            <v>0</v>
          </cell>
          <cell r="BR1696">
            <v>0</v>
          </cell>
          <cell r="BT1696">
            <v>0</v>
          </cell>
          <cell r="CA1696" t="str">
            <v>HQDS - REVTOT - Identified - Recompete</v>
          </cell>
          <cell r="CC1696" t="str">
            <v>HQDS - REVTOT - Identified - Recompete - IS4</v>
          </cell>
          <cell r="CD1696" t="str">
            <v/>
          </cell>
          <cell r="CF1696" t="str">
            <v>HQDS - Identified - Recompete - IS4</v>
          </cell>
        </row>
        <row r="1697">
          <cell r="D1697">
            <v>1683</v>
          </cell>
          <cell r="E1697">
            <v>2</v>
          </cell>
          <cell r="F1697">
            <v>3</v>
          </cell>
          <cell r="G1697" t="str">
            <v>HQDS</v>
          </cell>
          <cell r="H1697" t="str">
            <v>HQ Dave Swindle</v>
          </cell>
          <cell r="I1697" t="str">
            <v>IS4</v>
          </cell>
          <cell r="J1697" t="str">
            <v>IS4 Other</v>
          </cell>
          <cell r="K1697" t="str">
            <v>DOE</v>
          </cell>
          <cell r="L1697" t="str">
            <v>DOE</v>
          </cell>
          <cell r="M1697" t="str">
            <v>AL</v>
          </cell>
          <cell r="N1697" t="str">
            <v>CONUS</v>
          </cell>
          <cell r="O1697">
            <v>41913</v>
          </cell>
          <cell r="P1697">
            <v>43830</v>
          </cell>
          <cell r="Q1697" t="str">
            <v>Prime</v>
          </cell>
          <cell r="R1697" t="str">
            <v>CPFF</v>
          </cell>
          <cell r="S1697">
            <v>0</v>
          </cell>
          <cell r="T1697">
            <v>1</v>
          </cell>
          <cell r="U1697" t="str">
            <v>CONTRACT</v>
          </cell>
          <cell r="V1697" t="str">
            <v>Base</v>
          </cell>
          <cell r="W1697" t="str">
            <v>05 Won</v>
          </cell>
          <cell r="X1697" t="str">
            <v>Active</v>
          </cell>
          <cell r="Y1697">
            <v>1</v>
          </cell>
          <cell r="Z1697">
            <v>0</v>
          </cell>
          <cell r="AA1697">
            <v>-214959.93000000025</v>
          </cell>
          <cell r="AB1697">
            <v>0</v>
          </cell>
          <cell r="AC1697">
            <v>0</v>
          </cell>
          <cell r="AD1697">
            <v>-214959.93000000025</v>
          </cell>
          <cell r="AL1697">
            <v>0.13122793007102049</v>
          </cell>
          <cell r="AM1697">
            <v>8.6203900145678566E-2</v>
          </cell>
          <cell r="AN1697">
            <v>2.8946075197346009E-2</v>
          </cell>
          <cell r="AO1697">
            <v>0.16149434186370665</v>
          </cell>
          <cell r="AP1697">
            <v>0.14239725676101439</v>
          </cell>
          <cell r="AQ1697">
            <v>0.14239725676101439</v>
          </cell>
          <cell r="AR1697">
            <v>0.14239725676101439</v>
          </cell>
          <cell r="AS1697">
            <v>0.14239725676101439</v>
          </cell>
          <cell r="BF1697">
            <v>119594.62000000004</v>
          </cell>
          <cell r="BG1697">
            <v>74913.739999999991</v>
          </cell>
          <cell r="BH1697">
            <v>16523.279999999966</v>
          </cell>
          <cell r="BI1697">
            <v>18568.739999999998</v>
          </cell>
          <cell r="BJ1697">
            <v>-5355.43</v>
          </cell>
          <cell r="BK1697">
            <v>34373.789999999979</v>
          </cell>
          <cell r="BL1697">
            <v>42128.009999999995</v>
          </cell>
          <cell r="BM1697">
            <v>89715.109999999971</v>
          </cell>
          <cell r="BN1697">
            <v>0</v>
          </cell>
          <cell r="BO1697">
            <v>0</v>
          </cell>
          <cell r="BP1697">
            <v>0</v>
          </cell>
          <cell r="BQ1697">
            <v>0</v>
          </cell>
          <cell r="BR1697">
            <v>89715.109999999971</v>
          </cell>
          <cell r="BT1697">
            <v>0</v>
          </cell>
          <cell r="CA1697" t="str">
            <v>HQDS - CONTRACT - Base</v>
          </cell>
          <cell r="CC1697" t="str">
            <v>HQDS - CONTRACT - Base - IS4</v>
          </cell>
          <cell r="CD1697" t="str">
            <v/>
          </cell>
          <cell r="CF1697" t="str">
            <v>HQDS - Base - IS4</v>
          </cell>
        </row>
        <row r="1698">
          <cell r="D1698">
            <v>1684</v>
          </cell>
          <cell r="E1698">
            <v>2</v>
          </cell>
          <cell r="F1698">
            <v>4</v>
          </cell>
          <cell r="G1698" t="str">
            <v>HQDS</v>
          </cell>
          <cell r="H1698" t="str">
            <v>HQ Dave Swindle</v>
          </cell>
          <cell r="I1698" t="str">
            <v>IS4</v>
          </cell>
          <cell r="J1698" t="str">
            <v>IS4 Other</v>
          </cell>
          <cell r="K1698" t="str">
            <v>DOE</v>
          </cell>
          <cell r="L1698" t="str">
            <v>DOE</v>
          </cell>
          <cell r="M1698" t="str">
            <v>AL</v>
          </cell>
          <cell r="N1698" t="str">
            <v>CONUS</v>
          </cell>
          <cell r="O1698">
            <v>0</v>
          </cell>
          <cell r="P1698">
            <v>0</v>
          </cell>
          <cell r="Q1698">
            <v>0</v>
          </cell>
          <cell r="R1698" t="str">
            <v>CPFF</v>
          </cell>
          <cell r="S1698">
            <v>0</v>
          </cell>
          <cell r="T1698">
            <v>1</v>
          </cell>
          <cell r="U1698" t="str">
            <v>CONTRACT</v>
          </cell>
          <cell r="V1698" t="str">
            <v>Identified - Recompete</v>
          </cell>
          <cell r="W1698">
            <v>0</v>
          </cell>
          <cell r="X1698">
            <v>0</v>
          </cell>
          <cell r="Y1698">
            <v>0</v>
          </cell>
          <cell r="Z1698">
            <v>0</v>
          </cell>
          <cell r="AA1698">
            <v>0</v>
          </cell>
          <cell r="AB1698">
            <v>0</v>
          </cell>
          <cell r="AC1698">
            <v>0</v>
          </cell>
          <cell r="AD1698">
            <v>0</v>
          </cell>
          <cell r="AP1698">
            <v>0</v>
          </cell>
          <cell r="AQ1698">
            <v>0</v>
          </cell>
          <cell r="AR1698">
            <v>0</v>
          </cell>
          <cell r="AS1698">
            <v>0</v>
          </cell>
          <cell r="BI1698">
            <v>0</v>
          </cell>
          <cell r="BJ1698">
            <v>0</v>
          </cell>
          <cell r="BK1698">
            <v>0</v>
          </cell>
          <cell r="BL1698">
            <v>0</v>
          </cell>
          <cell r="BM1698">
            <v>0</v>
          </cell>
          <cell r="BN1698">
            <v>0</v>
          </cell>
          <cell r="BO1698">
            <v>0</v>
          </cell>
          <cell r="BP1698">
            <v>0</v>
          </cell>
          <cell r="BQ1698">
            <v>0</v>
          </cell>
          <cell r="BR1698">
            <v>0</v>
          </cell>
          <cell r="BT1698">
            <v>0</v>
          </cell>
          <cell r="CA1698" t="str">
            <v>HQDS - CONTRACT - Identified - Recompete</v>
          </cell>
          <cell r="CC1698" t="str">
            <v>HQDS - CONTRACT - Identified - Recompete - IS4</v>
          </cell>
          <cell r="CD1698" t="str">
            <v/>
          </cell>
          <cell r="CF1698" t="str">
            <v>HQDS - Identified - Recompete - IS4</v>
          </cell>
        </row>
        <row r="1699">
          <cell r="D1699">
            <v>1685</v>
          </cell>
          <cell r="E1699">
            <v>0</v>
          </cell>
          <cell r="F1699">
            <v>5</v>
          </cell>
          <cell r="G1699" t="str">
            <v>HQDS</v>
          </cell>
          <cell r="H1699" t="str">
            <v>HQ Dave Swindle</v>
          </cell>
          <cell r="I1699" t="str">
            <v>IS4</v>
          </cell>
          <cell r="J1699" t="str">
            <v>IS4 Other</v>
          </cell>
          <cell r="K1699" t="str">
            <v>DOE</v>
          </cell>
          <cell r="L1699" t="str">
            <v>DOE</v>
          </cell>
          <cell r="M1699" t="str">
            <v>AL</v>
          </cell>
          <cell r="N1699" t="str">
            <v>CONUS</v>
          </cell>
          <cell r="O1699">
            <v>41913</v>
          </cell>
          <cell r="P1699">
            <v>43830</v>
          </cell>
          <cell r="Q1699" t="str">
            <v>Prime</v>
          </cell>
          <cell r="R1699" t="str">
            <v>CPFF</v>
          </cell>
          <cell r="S1699">
            <v>0</v>
          </cell>
          <cell r="T1699">
            <v>1</v>
          </cell>
          <cell r="U1699" t="str">
            <v>EBITA</v>
          </cell>
          <cell r="V1699" t="str">
            <v>Base</v>
          </cell>
          <cell r="W1699" t="str">
            <v>05 Won</v>
          </cell>
          <cell r="X1699" t="str">
            <v>Active</v>
          </cell>
          <cell r="Y1699">
            <v>1</v>
          </cell>
          <cell r="Z1699">
            <v>0</v>
          </cell>
          <cell r="AA1699">
            <v>-214959.93000000025</v>
          </cell>
          <cell r="AB1699">
            <v>0</v>
          </cell>
          <cell r="AC1699">
            <v>0</v>
          </cell>
          <cell r="AD1699">
            <v>-214959.93000000025</v>
          </cell>
          <cell r="AT1699">
            <v>7.4109687893355217E-2</v>
          </cell>
          <cell r="AU1699">
            <v>3.7585751251577065E-2</v>
          </cell>
          <cell r="AV1699">
            <v>-2.7051306999222171E-2</v>
          </cell>
          <cell r="AW1699">
            <v>0.10316815402446139</v>
          </cell>
          <cell r="AX1699">
            <v>9.8059194935558827E-2</v>
          </cell>
          <cell r="AY1699">
            <v>9.8059194935558827E-2</v>
          </cell>
          <cell r="AZ1699">
            <v>9.8059194935558827E-2</v>
          </cell>
          <cell r="BA1699">
            <v>9.8059194935558827E-2</v>
          </cell>
          <cell r="BF1699">
            <v>67539.890000000043</v>
          </cell>
          <cell r="BG1699">
            <v>32663.130000000005</v>
          </cell>
          <cell r="BH1699">
            <v>-15441.690000000031</v>
          </cell>
          <cell r="BI1699">
            <v>11357.199999999997</v>
          </cell>
          <cell r="BJ1699">
            <v>-9902.2100000000009</v>
          </cell>
          <cell r="BK1699">
            <v>24607.659999999982</v>
          </cell>
          <cell r="BL1699">
            <v>31250.455709999998</v>
          </cell>
          <cell r="BM1699">
            <v>57313.105709999974</v>
          </cell>
          <cell r="BN1699">
            <v>0</v>
          </cell>
          <cell r="BO1699">
            <v>0</v>
          </cell>
          <cell r="BP1699">
            <v>0</v>
          </cell>
          <cell r="BQ1699">
            <v>0</v>
          </cell>
          <cell r="BR1699">
            <v>57313.105709999974</v>
          </cell>
          <cell r="BT1699">
            <v>0</v>
          </cell>
          <cell r="CA1699" t="str">
            <v>HQDS - EBITA - Base</v>
          </cell>
          <cell r="CC1699" t="str">
            <v>HQDS - EBITA - Base - IS4</v>
          </cell>
          <cell r="CD1699" t="str">
            <v/>
          </cell>
          <cell r="CF1699" t="str">
            <v>HQDS - Base - IS4</v>
          </cell>
        </row>
        <row r="1700">
          <cell r="D1700">
            <v>1686</v>
          </cell>
          <cell r="E1700">
            <v>0</v>
          </cell>
          <cell r="F1700">
            <v>0</v>
          </cell>
          <cell r="G1700" t="str">
            <v>HQDS</v>
          </cell>
          <cell r="H1700" t="str">
            <v>HQ Dave Swindle</v>
          </cell>
          <cell r="I1700" t="str">
            <v>IS4</v>
          </cell>
          <cell r="J1700" t="str">
            <v>IS4 Other</v>
          </cell>
          <cell r="K1700" t="str">
            <v>DOE</v>
          </cell>
          <cell r="L1700" t="str">
            <v>DOE</v>
          </cell>
          <cell r="M1700" t="str">
            <v>AL</v>
          </cell>
          <cell r="N1700" t="str">
            <v>CONUS</v>
          </cell>
          <cell r="O1700">
            <v>0</v>
          </cell>
          <cell r="P1700">
            <v>0</v>
          </cell>
          <cell r="Q1700">
            <v>0</v>
          </cell>
          <cell r="R1700" t="str">
            <v>CPFF</v>
          </cell>
          <cell r="S1700">
            <v>0</v>
          </cell>
          <cell r="T1700">
            <v>1</v>
          </cell>
          <cell r="U1700" t="str">
            <v>EBITA</v>
          </cell>
          <cell r="V1700" t="str">
            <v>Identified - Recompete</v>
          </cell>
          <cell r="W1700">
            <v>0</v>
          </cell>
          <cell r="X1700">
            <v>0</v>
          </cell>
          <cell r="Y1700">
            <v>0</v>
          </cell>
          <cell r="Z1700">
            <v>0</v>
          </cell>
          <cell r="AA1700">
            <v>0</v>
          </cell>
          <cell r="AB1700">
            <v>0</v>
          </cell>
          <cell r="AC1700">
            <v>0</v>
          </cell>
          <cell r="AD1700">
            <v>0</v>
          </cell>
          <cell r="AX1700">
            <v>0</v>
          </cell>
          <cell r="AY1700">
            <v>0</v>
          </cell>
          <cell r="AZ1700">
            <v>0</v>
          </cell>
          <cell r="BA1700">
            <v>0</v>
          </cell>
          <cell r="BI1700">
            <v>0</v>
          </cell>
          <cell r="BJ1700">
            <v>0</v>
          </cell>
          <cell r="BK1700">
            <v>0</v>
          </cell>
          <cell r="BL1700">
            <v>0</v>
          </cell>
          <cell r="BM1700">
            <v>0</v>
          </cell>
          <cell r="BN1700">
            <v>0</v>
          </cell>
          <cell r="BO1700">
            <v>0</v>
          </cell>
          <cell r="BP1700">
            <v>0</v>
          </cell>
          <cell r="BQ1700">
            <v>0</v>
          </cell>
          <cell r="BR1700">
            <v>0</v>
          </cell>
          <cell r="BT1700">
            <v>0</v>
          </cell>
          <cell r="CA1700" t="str">
            <v>HQDS - EBITA - Identified - Recompete</v>
          </cell>
          <cell r="CC1700" t="str">
            <v>HQDS - EBITA - Identified - Recompete - IS4</v>
          </cell>
          <cell r="CD1700" t="str">
            <v/>
          </cell>
          <cell r="CF1700" t="str">
            <v>HQDS - Identified - Recompete - IS4</v>
          </cell>
        </row>
        <row r="1701">
          <cell r="D1701">
            <v>1687</v>
          </cell>
          <cell r="E1701">
            <v>1</v>
          </cell>
          <cell r="F1701">
            <v>1</v>
          </cell>
          <cell r="G1701" t="str">
            <v>003444</v>
          </cell>
          <cell r="H1701" t="str">
            <v>H40 BMS</v>
          </cell>
          <cell r="I1701" t="str">
            <v>IS4</v>
          </cell>
          <cell r="J1701" t="str">
            <v>IS4 Spectrum &amp; Infrastructure Assurance</v>
          </cell>
          <cell r="K1701" t="str">
            <v>Navy</v>
          </cell>
          <cell r="L1701" t="str">
            <v>DOD</v>
          </cell>
          <cell r="M1701" t="str">
            <v>VA</v>
          </cell>
          <cell r="N1701" t="str">
            <v>CONUS</v>
          </cell>
          <cell r="O1701">
            <v>43230</v>
          </cell>
          <cell r="P1701">
            <v>45055</v>
          </cell>
          <cell r="Q1701" t="str">
            <v>Sub</v>
          </cell>
          <cell r="R1701" t="str">
            <v>CPFF</v>
          </cell>
          <cell r="S1701">
            <v>0</v>
          </cell>
          <cell r="T1701">
            <v>1</v>
          </cell>
          <cell r="U1701" t="str">
            <v>REVTOT</v>
          </cell>
          <cell r="V1701" t="str">
            <v>Base</v>
          </cell>
          <cell r="W1701" t="str">
            <v>05 Won</v>
          </cell>
          <cell r="X1701" t="str">
            <v>Active</v>
          </cell>
          <cell r="Y1701">
            <v>1</v>
          </cell>
          <cell r="Z1701">
            <v>0</v>
          </cell>
          <cell r="AA1701">
            <v>176058.54</v>
          </cell>
          <cell r="AB1701">
            <v>2393907</v>
          </cell>
          <cell r="AC1701">
            <v>0</v>
          </cell>
          <cell r="AD1701">
            <v>2569965.54</v>
          </cell>
          <cell r="AE1701">
            <v>0</v>
          </cell>
          <cell r="AF1701">
            <v>0</v>
          </cell>
          <cell r="AG1701">
            <v>1.2742951939713532</v>
          </cell>
          <cell r="AH1701">
            <v>0.61954016866595341</v>
          </cell>
          <cell r="AI1701">
            <v>0</v>
          </cell>
          <cell r="AJ1701">
            <v>0</v>
          </cell>
          <cell r="AK1701">
            <v>0</v>
          </cell>
          <cell r="BB1701">
            <v>442434</v>
          </cell>
          <cell r="BC1701">
            <v>442434</v>
          </cell>
          <cell r="BD1701">
            <v>442434</v>
          </cell>
          <cell r="BE1701">
            <v>442434</v>
          </cell>
          <cell r="BF1701">
            <v>0</v>
          </cell>
          <cell r="BG1701">
            <v>0</v>
          </cell>
          <cell r="BH1701">
            <v>120118.51000000001</v>
          </cell>
          <cell r="BI1701">
            <v>64435.87999999999</v>
          </cell>
          <cell r="BJ1701">
            <v>71185.919999999998</v>
          </cell>
          <cell r="BK1701">
            <v>66538.149999999994</v>
          </cell>
          <cell r="BL1701">
            <v>71025</v>
          </cell>
          <cell r="BM1701">
            <v>273184.94999999995</v>
          </cell>
          <cell r="BN1701">
            <v>442434</v>
          </cell>
          <cell r="BO1701">
            <v>442434</v>
          </cell>
          <cell r="BP1701">
            <v>442434</v>
          </cell>
          <cell r="BQ1701">
            <v>442434</v>
          </cell>
          <cell r="BR1701">
            <v>2042920.95</v>
          </cell>
          <cell r="BT1701">
            <v>0</v>
          </cell>
          <cell r="CA1701" t="str">
            <v>003444 - REVTOT - Base</v>
          </cell>
          <cell r="CC1701" t="str">
            <v>003444 - REVTOT - Base - IS4</v>
          </cell>
          <cell r="CD1701" t="str">
            <v/>
          </cell>
          <cell r="CF1701" t="str">
            <v>003444 - Base - IS4</v>
          </cell>
        </row>
        <row r="1702">
          <cell r="D1702">
            <v>1688</v>
          </cell>
          <cell r="E1702">
            <v>1</v>
          </cell>
          <cell r="F1702">
            <v>2</v>
          </cell>
          <cell r="G1702" t="str">
            <v>003444</v>
          </cell>
          <cell r="H1702" t="str">
            <v>H40 BMS</v>
          </cell>
          <cell r="I1702" t="str">
            <v>IS4</v>
          </cell>
          <cell r="J1702" t="str">
            <v>IS4 Spectrum &amp; Infrastructure Assurance</v>
          </cell>
          <cell r="K1702" t="str">
            <v>Navy</v>
          </cell>
          <cell r="L1702" t="str">
            <v>DOD</v>
          </cell>
          <cell r="M1702" t="str">
            <v>VA</v>
          </cell>
          <cell r="N1702" t="str">
            <v>CONUS</v>
          </cell>
          <cell r="O1702">
            <v>0</v>
          </cell>
          <cell r="P1702">
            <v>0</v>
          </cell>
          <cell r="Q1702">
            <v>0</v>
          </cell>
          <cell r="R1702" t="str">
            <v>CPFF</v>
          </cell>
          <cell r="S1702">
            <v>0</v>
          </cell>
          <cell r="T1702">
            <v>1</v>
          </cell>
          <cell r="U1702" t="str">
            <v>REVTOT</v>
          </cell>
          <cell r="V1702" t="str">
            <v>Identified - Recompete</v>
          </cell>
          <cell r="W1702">
            <v>0</v>
          </cell>
          <cell r="X1702">
            <v>0</v>
          </cell>
          <cell r="Y1702">
            <v>0</v>
          </cell>
          <cell r="Z1702">
            <v>0</v>
          </cell>
          <cell r="AA1702">
            <v>0</v>
          </cell>
          <cell r="AB1702">
            <v>0</v>
          </cell>
          <cell r="AC1702">
            <v>0</v>
          </cell>
          <cell r="AD1702">
            <v>0</v>
          </cell>
          <cell r="AI1702">
            <v>0</v>
          </cell>
          <cell r="AJ1702">
            <v>0</v>
          </cell>
          <cell r="AK1702">
            <v>0</v>
          </cell>
          <cell r="BB1702">
            <v>0</v>
          </cell>
          <cell r="BC1702">
            <v>0</v>
          </cell>
          <cell r="BD1702">
            <v>0</v>
          </cell>
          <cell r="BE1702">
            <v>0</v>
          </cell>
          <cell r="BI1702">
            <v>0</v>
          </cell>
          <cell r="BJ1702">
            <v>0</v>
          </cell>
          <cell r="BK1702">
            <v>0</v>
          </cell>
          <cell r="BL1702">
            <v>0</v>
          </cell>
          <cell r="BM1702">
            <v>0</v>
          </cell>
          <cell r="BN1702">
            <v>0</v>
          </cell>
          <cell r="BO1702">
            <v>0</v>
          </cell>
          <cell r="BP1702">
            <v>0</v>
          </cell>
          <cell r="BQ1702">
            <v>0</v>
          </cell>
          <cell r="BR1702">
            <v>0</v>
          </cell>
          <cell r="BT1702">
            <v>0</v>
          </cell>
          <cell r="CA1702" t="str">
            <v>003444 - REVTOT - Identified - Recompete</v>
          </cell>
          <cell r="CC1702" t="str">
            <v>003444 - REVTOT - Identified - Recompete - IS4</v>
          </cell>
          <cell r="CD1702" t="str">
            <v/>
          </cell>
          <cell r="CF1702" t="str">
            <v>003444 - Identified - Recompete - IS4</v>
          </cell>
        </row>
        <row r="1703">
          <cell r="D1703">
            <v>1689</v>
          </cell>
          <cell r="E1703">
            <v>2</v>
          </cell>
          <cell r="F1703">
            <v>3</v>
          </cell>
          <cell r="G1703" t="str">
            <v>003444</v>
          </cell>
          <cell r="H1703" t="str">
            <v>H40 BMS</v>
          </cell>
          <cell r="I1703" t="str">
            <v>IS4</v>
          </cell>
          <cell r="J1703" t="str">
            <v>IS4 Spectrum &amp; Infrastructure Assurance</v>
          </cell>
          <cell r="K1703" t="str">
            <v>Navy</v>
          </cell>
          <cell r="L1703" t="str">
            <v>DOD</v>
          </cell>
          <cell r="M1703" t="str">
            <v>VA</v>
          </cell>
          <cell r="N1703" t="str">
            <v>CONUS</v>
          </cell>
          <cell r="O1703">
            <v>43230</v>
          </cell>
          <cell r="P1703">
            <v>45055</v>
          </cell>
          <cell r="Q1703" t="str">
            <v>Sub</v>
          </cell>
          <cell r="R1703" t="str">
            <v>CPFF</v>
          </cell>
          <cell r="S1703">
            <v>0</v>
          </cell>
          <cell r="T1703">
            <v>1</v>
          </cell>
          <cell r="U1703" t="str">
            <v>CONTRACT</v>
          </cell>
          <cell r="V1703" t="str">
            <v>Base</v>
          </cell>
          <cell r="W1703" t="str">
            <v>05 Won</v>
          </cell>
          <cell r="X1703" t="str">
            <v>Active</v>
          </cell>
          <cell r="Y1703">
            <v>1</v>
          </cell>
          <cell r="Z1703">
            <v>0</v>
          </cell>
          <cell r="AA1703">
            <v>176058.54</v>
          </cell>
          <cell r="AB1703">
            <v>2393907</v>
          </cell>
          <cell r="AC1703">
            <v>0</v>
          </cell>
          <cell r="AD1703">
            <v>2569965.54</v>
          </cell>
          <cell r="AL1703">
            <v>0</v>
          </cell>
          <cell r="AM1703">
            <v>0</v>
          </cell>
          <cell r="AN1703">
            <v>0.17115330518169097</v>
          </cell>
          <cell r="AO1703">
            <v>0.16022288197062101</v>
          </cell>
          <cell r="AP1703">
            <v>0.18156593751836431</v>
          </cell>
          <cell r="AQ1703">
            <v>0.18156593751836431</v>
          </cell>
          <cell r="AR1703">
            <v>0.18156593751836431</v>
          </cell>
          <cell r="AS1703">
            <v>0.18156593751836431</v>
          </cell>
          <cell r="BF1703">
            <v>0</v>
          </cell>
          <cell r="BG1703">
            <v>0</v>
          </cell>
          <cell r="BH1703">
            <v>20558.68</v>
          </cell>
          <cell r="BI1703">
            <v>10727.57</v>
          </cell>
          <cell r="BJ1703">
            <v>10617.939999999995</v>
          </cell>
          <cell r="BK1703">
            <v>10624.969999999998</v>
          </cell>
          <cell r="BL1703">
            <v>11800</v>
          </cell>
          <cell r="BM1703">
            <v>43770.479999999996</v>
          </cell>
          <cell r="BN1703">
            <v>80330.943999999989</v>
          </cell>
          <cell r="BO1703">
            <v>80330.943999999989</v>
          </cell>
          <cell r="BP1703">
            <v>80330.943999999989</v>
          </cell>
          <cell r="BQ1703">
            <v>80330.943999999989</v>
          </cell>
          <cell r="BR1703">
            <v>365094.25599999994</v>
          </cell>
          <cell r="BT1703">
            <v>0</v>
          </cell>
          <cell r="CA1703" t="str">
            <v>003444 - CONTRACT - Base</v>
          </cell>
          <cell r="CC1703" t="str">
            <v>003444 - CONTRACT - Base - IS4</v>
          </cell>
          <cell r="CD1703" t="str">
            <v/>
          </cell>
          <cell r="CF1703" t="str">
            <v>003444 - Base - IS4</v>
          </cell>
        </row>
        <row r="1704">
          <cell r="D1704">
            <v>1690</v>
          </cell>
          <cell r="E1704">
            <v>2</v>
          </cell>
          <cell r="F1704">
            <v>4</v>
          </cell>
          <cell r="G1704" t="str">
            <v>003444</v>
          </cell>
          <cell r="H1704" t="str">
            <v>H40 BMS</v>
          </cell>
          <cell r="I1704" t="str">
            <v>IS4</v>
          </cell>
          <cell r="J1704" t="str">
            <v>IS4 Spectrum &amp; Infrastructure Assurance</v>
          </cell>
          <cell r="K1704" t="str">
            <v>Navy</v>
          </cell>
          <cell r="L1704" t="str">
            <v>DOD</v>
          </cell>
          <cell r="M1704" t="str">
            <v>VA</v>
          </cell>
          <cell r="N1704" t="str">
            <v>CONUS</v>
          </cell>
          <cell r="O1704">
            <v>0</v>
          </cell>
          <cell r="P1704">
            <v>0</v>
          </cell>
          <cell r="Q1704">
            <v>0</v>
          </cell>
          <cell r="R1704" t="str">
            <v>CPFF</v>
          </cell>
          <cell r="S1704">
            <v>0</v>
          </cell>
          <cell r="T1704">
            <v>1</v>
          </cell>
          <cell r="U1704" t="str">
            <v>CONTRACT</v>
          </cell>
          <cell r="V1704" t="str">
            <v>Identified - Recompete</v>
          </cell>
          <cell r="W1704">
            <v>0</v>
          </cell>
          <cell r="X1704">
            <v>0</v>
          </cell>
          <cell r="Y1704">
            <v>0</v>
          </cell>
          <cell r="Z1704">
            <v>0</v>
          </cell>
          <cell r="AA1704">
            <v>0</v>
          </cell>
          <cell r="AB1704">
            <v>0</v>
          </cell>
          <cell r="AC1704">
            <v>0</v>
          </cell>
          <cell r="AD1704">
            <v>0</v>
          </cell>
          <cell r="AP1704">
            <v>0</v>
          </cell>
          <cell r="AQ1704">
            <v>0</v>
          </cell>
          <cell r="AR1704">
            <v>0</v>
          </cell>
          <cell r="AS1704">
            <v>0</v>
          </cell>
          <cell r="BI1704">
            <v>0</v>
          </cell>
          <cell r="BJ1704">
            <v>0</v>
          </cell>
          <cell r="BK1704">
            <v>0</v>
          </cell>
          <cell r="BL1704">
            <v>0</v>
          </cell>
          <cell r="BM1704">
            <v>0</v>
          </cell>
          <cell r="BN1704">
            <v>0</v>
          </cell>
          <cell r="BO1704">
            <v>0</v>
          </cell>
          <cell r="BP1704">
            <v>0</v>
          </cell>
          <cell r="BQ1704">
            <v>0</v>
          </cell>
          <cell r="BR1704">
            <v>0</v>
          </cell>
          <cell r="BT1704">
            <v>0</v>
          </cell>
          <cell r="CA1704" t="str">
            <v>003444 - CONTRACT - Identified - Recompete</v>
          </cell>
          <cell r="CC1704" t="str">
            <v>003444 - CONTRACT - Identified - Recompete - IS4</v>
          </cell>
          <cell r="CD1704" t="str">
            <v/>
          </cell>
          <cell r="CF1704" t="str">
            <v>003444 - Identified - Recompete - IS4</v>
          </cell>
        </row>
        <row r="1705">
          <cell r="D1705">
            <v>1691</v>
          </cell>
          <cell r="E1705">
            <v>0</v>
          </cell>
          <cell r="F1705">
            <v>5</v>
          </cell>
          <cell r="G1705" t="str">
            <v>003444</v>
          </cell>
          <cell r="H1705" t="str">
            <v>H40 BMS</v>
          </cell>
          <cell r="I1705" t="str">
            <v>IS4</v>
          </cell>
          <cell r="J1705" t="str">
            <v>IS4 Spectrum &amp; Infrastructure Assurance</v>
          </cell>
          <cell r="K1705" t="str">
            <v>Navy</v>
          </cell>
          <cell r="L1705" t="str">
            <v>DOD</v>
          </cell>
          <cell r="M1705" t="str">
            <v>VA</v>
          </cell>
          <cell r="N1705" t="str">
            <v>CONUS</v>
          </cell>
          <cell r="O1705">
            <v>43230</v>
          </cell>
          <cell r="P1705">
            <v>45055</v>
          </cell>
          <cell r="Q1705" t="str">
            <v>Sub</v>
          </cell>
          <cell r="R1705" t="str">
            <v>CPFF</v>
          </cell>
          <cell r="S1705">
            <v>0</v>
          </cell>
          <cell r="T1705">
            <v>1</v>
          </cell>
          <cell r="U1705" t="str">
            <v>EBITA</v>
          </cell>
          <cell r="V1705" t="str">
            <v>Base</v>
          </cell>
          <cell r="W1705" t="str">
            <v>05 Won</v>
          </cell>
          <cell r="X1705" t="str">
            <v>Active</v>
          </cell>
          <cell r="Y1705">
            <v>1</v>
          </cell>
          <cell r="Z1705">
            <v>0</v>
          </cell>
          <cell r="AA1705">
            <v>176058.54</v>
          </cell>
          <cell r="AB1705">
            <v>2393907</v>
          </cell>
          <cell r="AC1705">
            <v>0</v>
          </cell>
          <cell r="AD1705">
            <v>2569965.54</v>
          </cell>
          <cell r="AT1705">
            <v>0</v>
          </cell>
          <cell r="AU1705">
            <v>0</v>
          </cell>
          <cell r="AV1705">
            <v>3.9681228147102399E-2</v>
          </cell>
          <cell r="AW1705">
            <v>3.4580089422934876E-2</v>
          </cell>
          <cell r="AX1705">
            <v>5.3786719892528118E-2</v>
          </cell>
          <cell r="AY1705">
            <v>5.3786719892528118E-2</v>
          </cell>
          <cell r="AZ1705">
            <v>5.3786719892528118E-2</v>
          </cell>
          <cell r="BA1705">
            <v>5.3786719892528118E-2</v>
          </cell>
          <cell r="BF1705">
            <v>0</v>
          </cell>
          <cell r="BG1705">
            <v>0</v>
          </cell>
          <cell r="BH1705">
            <v>4766.4500000000016</v>
          </cell>
          <cell r="BI1705">
            <v>2560.3299999999995</v>
          </cell>
          <cell r="BJ1705">
            <v>1627.0999999999945</v>
          </cell>
          <cell r="BK1705">
            <v>2355.3299999999981</v>
          </cell>
          <cell r="BL1705">
            <v>2904</v>
          </cell>
          <cell r="BM1705">
            <v>9446.7599999999911</v>
          </cell>
          <cell r="BN1705">
            <v>23797.073628930786</v>
          </cell>
          <cell r="BO1705">
            <v>23797.073628930786</v>
          </cell>
          <cell r="BP1705">
            <v>23797.073628930786</v>
          </cell>
          <cell r="BQ1705">
            <v>23797.073628930786</v>
          </cell>
          <cell r="BR1705">
            <v>104635.05451572312</v>
          </cell>
          <cell r="BT1705">
            <v>0</v>
          </cell>
          <cell r="CA1705" t="str">
            <v>003444 - EBITA - Base</v>
          </cell>
          <cell r="CC1705" t="str">
            <v>003444 - EBITA - Base - IS4</v>
          </cell>
          <cell r="CD1705" t="str">
            <v/>
          </cell>
          <cell r="CF1705" t="str">
            <v>003444 - Base - IS4</v>
          </cell>
        </row>
        <row r="1706">
          <cell r="D1706">
            <v>1692</v>
          </cell>
          <cell r="E1706">
            <v>0</v>
          </cell>
          <cell r="F1706">
            <v>0</v>
          </cell>
          <cell r="G1706" t="str">
            <v>003444</v>
          </cell>
          <cell r="H1706" t="str">
            <v>H40 BMS</v>
          </cell>
          <cell r="I1706" t="str">
            <v>IS4</v>
          </cell>
          <cell r="J1706" t="str">
            <v>IS4 Spectrum &amp; Infrastructure Assurance</v>
          </cell>
          <cell r="K1706" t="str">
            <v>Navy</v>
          </cell>
          <cell r="L1706" t="str">
            <v>DOD</v>
          </cell>
          <cell r="M1706" t="str">
            <v>VA</v>
          </cell>
          <cell r="N1706" t="str">
            <v>CONUS</v>
          </cell>
          <cell r="O1706">
            <v>0</v>
          </cell>
          <cell r="P1706">
            <v>0</v>
          </cell>
          <cell r="Q1706">
            <v>0</v>
          </cell>
          <cell r="R1706" t="str">
            <v>CPFF</v>
          </cell>
          <cell r="S1706">
            <v>0</v>
          </cell>
          <cell r="T1706">
            <v>1</v>
          </cell>
          <cell r="U1706" t="str">
            <v>EBITA</v>
          </cell>
          <cell r="V1706" t="str">
            <v>Identified - Recompete</v>
          </cell>
          <cell r="W1706">
            <v>0</v>
          </cell>
          <cell r="X1706">
            <v>0</v>
          </cell>
          <cell r="Y1706">
            <v>0</v>
          </cell>
          <cell r="Z1706">
            <v>0</v>
          </cell>
          <cell r="AA1706">
            <v>0</v>
          </cell>
          <cell r="AB1706">
            <v>0</v>
          </cell>
          <cell r="AC1706">
            <v>0</v>
          </cell>
          <cell r="AD1706">
            <v>0</v>
          </cell>
          <cell r="AX1706">
            <v>0</v>
          </cell>
          <cell r="AY1706">
            <v>0</v>
          </cell>
          <cell r="AZ1706">
            <v>0</v>
          </cell>
          <cell r="BA1706">
            <v>0</v>
          </cell>
          <cell r="BI1706">
            <v>0</v>
          </cell>
          <cell r="BJ1706">
            <v>0</v>
          </cell>
          <cell r="BK1706">
            <v>0</v>
          </cell>
          <cell r="BL1706">
            <v>0</v>
          </cell>
          <cell r="BM1706">
            <v>0</v>
          </cell>
          <cell r="BN1706">
            <v>0</v>
          </cell>
          <cell r="BO1706">
            <v>0</v>
          </cell>
          <cell r="BP1706">
            <v>0</v>
          </cell>
          <cell r="BQ1706">
            <v>0</v>
          </cell>
          <cell r="BR1706">
            <v>0</v>
          </cell>
          <cell r="BT1706">
            <v>0</v>
          </cell>
          <cell r="CA1706" t="str">
            <v>003444 - EBITA - Identified - Recompete</v>
          </cell>
          <cell r="CC1706" t="str">
            <v>003444 - EBITA - Identified - Recompete - IS4</v>
          </cell>
          <cell r="CD1706" t="str">
            <v/>
          </cell>
          <cell r="CF1706" t="str">
            <v>003444 - Identified - Recompete - IS4</v>
          </cell>
        </row>
        <row r="1707">
          <cell r="D1707">
            <v>1693</v>
          </cell>
          <cell r="E1707">
            <v>1</v>
          </cell>
          <cell r="F1707">
            <v>1</v>
          </cell>
          <cell r="G1707" t="str">
            <v>003249</v>
          </cell>
          <cell r="H1707" t="str">
            <v>H20 USW T&amp;E</v>
          </cell>
          <cell r="I1707" t="str">
            <v>IS4</v>
          </cell>
          <cell r="J1707" t="str">
            <v>IS4 Spectrum &amp; Infrastructure Assurance</v>
          </cell>
          <cell r="K1707" t="str">
            <v>Navy</v>
          </cell>
          <cell r="L1707" t="str">
            <v>DOD</v>
          </cell>
          <cell r="M1707" t="str">
            <v>VA</v>
          </cell>
          <cell r="N1707" t="str">
            <v>CONUS</v>
          </cell>
          <cell r="O1707">
            <v>42767</v>
          </cell>
          <cell r="P1707">
            <v>43861</v>
          </cell>
          <cell r="Q1707" t="str">
            <v>Sub</v>
          </cell>
          <cell r="R1707" t="str">
            <v>CPFF</v>
          </cell>
          <cell r="S1707">
            <v>0</v>
          </cell>
          <cell r="T1707">
            <v>1</v>
          </cell>
          <cell r="U1707" t="str">
            <v>REVTOT</v>
          </cell>
          <cell r="V1707" t="str">
            <v>Base</v>
          </cell>
          <cell r="W1707" t="str">
            <v>05 Won</v>
          </cell>
          <cell r="X1707" t="str">
            <v>Active</v>
          </cell>
          <cell r="Y1707">
            <v>1</v>
          </cell>
          <cell r="Z1707">
            <v>0</v>
          </cell>
          <cell r="AA1707">
            <v>968233.10819000006</v>
          </cell>
          <cell r="AB1707">
            <v>1343800</v>
          </cell>
          <cell r="AC1707">
            <v>0</v>
          </cell>
          <cell r="AD1707">
            <v>2312033.1081900001</v>
          </cell>
          <cell r="AE1707">
            <v>0</v>
          </cell>
          <cell r="AF1707">
            <v>0.62126943656888822</v>
          </cell>
          <cell r="AG1707">
            <v>0.10614317336719092</v>
          </cell>
          <cell r="AH1707">
            <v>-0.67249413636076527</v>
          </cell>
          <cell r="AI1707">
            <v>0</v>
          </cell>
          <cell r="AJ1707">
            <v>0</v>
          </cell>
          <cell r="AK1707">
            <v>0</v>
          </cell>
          <cell r="BB1707">
            <v>325211.25126000005</v>
          </cell>
          <cell r="BC1707">
            <v>325211.25126000005</v>
          </cell>
          <cell r="BD1707">
            <v>325211.25126000005</v>
          </cell>
          <cell r="BE1707">
            <v>325211.25126000005</v>
          </cell>
          <cell r="BF1707">
            <v>0</v>
          </cell>
          <cell r="BG1707">
            <v>184568.97</v>
          </cell>
          <cell r="BH1707">
            <v>299236.03000000003</v>
          </cell>
          <cell r="BI1707">
            <v>74414.260000000009</v>
          </cell>
          <cell r="BJ1707">
            <v>87021.59</v>
          </cell>
          <cell r="BK1707">
            <v>84341.65</v>
          </cell>
          <cell r="BL1707">
            <v>85220.391810000001</v>
          </cell>
          <cell r="BM1707">
            <v>330997.89181</v>
          </cell>
          <cell r="BN1707">
            <v>108403.75042000001</v>
          </cell>
          <cell r="BO1707">
            <v>0</v>
          </cell>
          <cell r="BP1707">
            <v>0</v>
          </cell>
          <cell r="BQ1707">
            <v>0</v>
          </cell>
          <cell r="BR1707">
            <v>439401.64223</v>
          </cell>
          <cell r="BT1707">
            <v>0</v>
          </cell>
          <cell r="CA1707" t="str">
            <v>003249 - REVTOT - Base</v>
          </cell>
          <cell r="CC1707" t="str">
            <v>003249 - REVTOT - Base - IS4</v>
          </cell>
          <cell r="CD1707" t="str">
            <v/>
          </cell>
          <cell r="CF1707" t="str">
            <v>003249 - Base - IS4</v>
          </cell>
        </row>
        <row r="1708">
          <cell r="D1708">
            <v>1694</v>
          </cell>
          <cell r="E1708">
            <v>1</v>
          </cell>
          <cell r="F1708">
            <v>2</v>
          </cell>
          <cell r="G1708" t="str">
            <v>003249</v>
          </cell>
          <cell r="H1708" t="str">
            <v>H20 USW T&amp;E</v>
          </cell>
          <cell r="I1708" t="str">
            <v>IS4</v>
          </cell>
          <cell r="J1708" t="str">
            <v>IS4 Spectrum &amp; Infrastructure Assurance</v>
          </cell>
          <cell r="K1708" t="str">
            <v>Navy</v>
          </cell>
          <cell r="L1708" t="str">
            <v>DOD</v>
          </cell>
          <cell r="M1708" t="str">
            <v>VA</v>
          </cell>
          <cell r="N1708" t="str">
            <v>CONUS</v>
          </cell>
          <cell r="O1708">
            <v>43862</v>
          </cell>
          <cell r="P1708">
            <v>45687</v>
          </cell>
          <cell r="Q1708" t="str">
            <v>Sub</v>
          </cell>
          <cell r="R1708" t="str">
            <v>CPFF</v>
          </cell>
          <cell r="S1708">
            <v>0</v>
          </cell>
          <cell r="T1708">
            <v>1</v>
          </cell>
          <cell r="U1708" t="str">
            <v>REVTOT</v>
          </cell>
          <cell r="V1708" t="str">
            <v>Identified - Recompete</v>
          </cell>
          <cell r="W1708" t="str">
            <v>00 Investigate</v>
          </cell>
          <cell r="X1708" t="str">
            <v>Priority 3</v>
          </cell>
          <cell r="Y1708">
            <v>0.5</v>
          </cell>
          <cell r="Z1708">
            <v>1750000</v>
          </cell>
          <cell r="AA1708">
            <v>0</v>
          </cell>
          <cell r="AB1708">
            <v>0</v>
          </cell>
          <cell r="AC1708">
            <v>0</v>
          </cell>
          <cell r="AD1708">
            <v>0</v>
          </cell>
          <cell r="AI1708">
            <v>0</v>
          </cell>
          <cell r="AJ1708">
            <v>0</v>
          </cell>
          <cell r="AK1708">
            <v>0</v>
          </cell>
          <cell r="BB1708">
            <v>350000</v>
          </cell>
          <cell r="BC1708">
            <v>350000</v>
          </cell>
          <cell r="BD1708">
            <v>350000</v>
          </cell>
          <cell r="BE1708">
            <v>350000</v>
          </cell>
          <cell r="BI1708">
            <v>0</v>
          </cell>
          <cell r="BJ1708">
            <v>0</v>
          </cell>
          <cell r="BK1708">
            <v>0</v>
          </cell>
          <cell r="BL1708">
            <v>0</v>
          </cell>
          <cell r="BM1708">
            <v>0</v>
          </cell>
          <cell r="BN1708">
            <v>116180.55555555555</v>
          </cell>
          <cell r="BO1708">
            <v>175000</v>
          </cell>
          <cell r="BP1708">
            <v>175000</v>
          </cell>
          <cell r="BQ1708">
            <v>175000</v>
          </cell>
          <cell r="BR1708">
            <v>641180.5555555555</v>
          </cell>
          <cell r="BT1708">
            <v>0</v>
          </cell>
          <cell r="CA1708" t="str">
            <v>003249 - REVTOT - Identified - Recompete</v>
          </cell>
          <cell r="CC1708" t="str">
            <v>003249 - REVTOT - Identified - Recompete - IS4</v>
          </cell>
          <cell r="CD1708" t="str">
            <v/>
          </cell>
          <cell r="CF1708" t="str">
            <v>003249 - Identified - Recompete - IS4</v>
          </cell>
        </row>
        <row r="1709">
          <cell r="D1709">
            <v>1695</v>
          </cell>
          <cell r="E1709">
            <v>2</v>
          </cell>
          <cell r="F1709">
            <v>3</v>
          </cell>
          <cell r="G1709" t="str">
            <v>003249</v>
          </cell>
          <cell r="H1709" t="str">
            <v>H20 USW T&amp;E</v>
          </cell>
          <cell r="I1709" t="str">
            <v>IS4</v>
          </cell>
          <cell r="J1709" t="str">
            <v>IS4 Spectrum &amp; Infrastructure Assurance</v>
          </cell>
          <cell r="K1709" t="str">
            <v>Navy</v>
          </cell>
          <cell r="L1709" t="str">
            <v>DOD</v>
          </cell>
          <cell r="M1709" t="str">
            <v>VA</v>
          </cell>
          <cell r="N1709" t="str">
            <v>CONUS</v>
          </cell>
          <cell r="O1709">
            <v>42767</v>
          </cell>
          <cell r="P1709">
            <v>43861</v>
          </cell>
          <cell r="Q1709" t="str">
            <v>Sub</v>
          </cell>
          <cell r="R1709" t="str">
            <v>CPFF</v>
          </cell>
          <cell r="S1709">
            <v>0</v>
          </cell>
          <cell r="T1709">
            <v>1</v>
          </cell>
          <cell r="U1709" t="str">
            <v>CONTRACT</v>
          </cell>
          <cell r="V1709" t="str">
            <v>Base</v>
          </cell>
          <cell r="W1709" t="str">
            <v>05 Won</v>
          </cell>
          <cell r="X1709" t="str">
            <v>Active</v>
          </cell>
          <cell r="Y1709">
            <v>1</v>
          </cell>
          <cell r="Z1709">
            <v>0</v>
          </cell>
          <cell r="AA1709">
            <v>968233.10819000006</v>
          </cell>
          <cell r="AB1709">
            <v>1343800</v>
          </cell>
          <cell r="AC1709">
            <v>0</v>
          </cell>
          <cell r="AD1709">
            <v>2312033.1081900001</v>
          </cell>
          <cell r="AL1709">
            <v>0</v>
          </cell>
          <cell r="AM1709">
            <v>0.16813259563620045</v>
          </cell>
          <cell r="AN1709">
            <v>0.16832170912038899</v>
          </cell>
          <cell r="AO1709">
            <v>0.16791667139470534</v>
          </cell>
          <cell r="AP1709">
            <v>0.17090893633801024</v>
          </cell>
          <cell r="AQ1709">
            <v>0.17090893633801024</v>
          </cell>
          <cell r="AR1709">
            <v>0.17090893633801024</v>
          </cell>
          <cell r="AS1709">
            <v>0.17090893633801024</v>
          </cell>
          <cell r="BF1709">
            <v>0</v>
          </cell>
          <cell r="BG1709">
            <v>31032.060000000012</v>
          </cell>
          <cell r="BH1709">
            <v>50367.92</v>
          </cell>
          <cell r="BI1709">
            <v>12798.630000000001</v>
          </cell>
          <cell r="BJ1709">
            <v>14353.370000000003</v>
          </cell>
          <cell r="BK1709">
            <v>14172.859999999997</v>
          </cell>
          <cell r="BL1709">
            <v>14255.204231399995</v>
          </cell>
          <cell r="BM1709">
            <v>55580.0642314</v>
          </cell>
          <cell r="BN1709">
            <v>18527.169679333332</v>
          </cell>
          <cell r="BO1709">
            <v>0</v>
          </cell>
          <cell r="BP1709">
            <v>0</v>
          </cell>
          <cell r="BQ1709">
            <v>0</v>
          </cell>
          <cell r="BR1709">
            <v>74107.233910733339</v>
          </cell>
          <cell r="BT1709">
            <v>0</v>
          </cell>
          <cell r="CA1709" t="str">
            <v>003249 - CONTRACT - Base</v>
          </cell>
          <cell r="CC1709" t="str">
            <v>003249 - CONTRACT - Base - IS4</v>
          </cell>
          <cell r="CD1709" t="str">
            <v/>
          </cell>
          <cell r="CF1709" t="str">
            <v>003249 - Base - IS4</v>
          </cell>
        </row>
        <row r="1710">
          <cell r="D1710">
            <v>1696</v>
          </cell>
          <cell r="E1710">
            <v>2</v>
          </cell>
          <cell r="F1710">
            <v>4</v>
          </cell>
          <cell r="G1710" t="str">
            <v>003249</v>
          </cell>
          <cell r="H1710" t="str">
            <v>H20 USW T&amp;E</v>
          </cell>
          <cell r="I1710" t="str">
            <v>IS4</v>
          </cell>
          <cell r="J1710" t="str">
            <v>IS4 Spectrum &amp; Infrastructure Assurance</v>
          </cell>
          <cell r="K1710" t="str">
            <v>Navy</v>
          </cell>
          <cell r="L1710" t="str">
            <v>DOD</v>
          </cell>
          <cell r="M1710" t="str">
            <v>VA</v>
          </cell>
          <cell r="N1710" t="str">
            <v>CONUS</v>
          </cell>
          <cell r="O1710">
            <v>43862</v>
          </cell>
          <cell r="P1710">
            <v>45687</v>
          </cell>
          <cell r="Q1710" t="str">
            <v>Sub</v>
          </cell>
          <cell r="R1710" t="str">
            <v>CPFF</v>
          </cell>
          <cell r="S1710">
            <v>0</v>
          </cell>
          <cell r="T1710">
            <v>1</v>
          </cell>
          <cell r="U1710" t="str">
            <v>CONTRACT</v>
          </cell>
          <cell r="V1710" t="str">
            <v>Identified - Recompete</v>
          </cell>
          <cell r="W1710" t="str">
            <v>00 Investigate</v>
          </cell>
          <cell r="X1710" t="str">
            <v>Priority 3</v>
          </cell>
          <cell r="Y1710">
            <v>0.5</v>
          </cell>
          <cell r="Z1710">
            <v>1750000</v>
          </cell>
          <cell r="AA1710">
            <v>0</v>
          </cell>
          <cell r="AB1710">
            <v>0</v>
          </cell>
          <cell r="AC1710">
            <v>0</v>
          </cell>
          <cell r="AD1710">
            <v>0</v>
          </cell>
          <cell r="AP1710">
            <v>0.17090893633801024</v>
          </cell>
          <cell r="AQ1710">
            <v>0.17090893633801024</v>
          </cell>
          <cell r="AR1710">
            <v>0.17090893633801024</v>
          </cell>
          <cell r="AS1710">
            <v>0.17090893633801024</v>
          </cell>
          <cell r="BI1710">
            <v>0</v>
          </cell>
          <cell r="BJ1710">
            <v>0</v>
          </cell>
          <cell r="BK1710">
            <v>0</v>
          </cell>
          <cell r="BL1710">
            <v>0</v>
          </cell>
          <cell r="BM1710">
            <v>0</v>
          </cell>
          <cell r="BN1710">
            <v>19856.295173159106</v>
          </cell>
          <cell r="BO1710">
            <v>29909.063859151793</v>
          </cell>
          <cell r="BP1710">
            <v>29909.063859151793</v>
          </cell>
          <cell r="BQ1710">
            <v>29909.063859151793</v>
          </cell>
          <cell r="BR1710">
            <v>109583.48675061448</v>
          </cell>
          <cell r="BT1710">
            <v>0</v>
          </cell>
          <cell r="CA1710" t="str">
            <v>003249 - CONTRACT - Identified - Recompete</v>
          </cell>
          <cell r="CC1710" t="str">
            <v>003249 - CONTRACT - Identified - Recompete - IS4</v>
          </cell>
          <cell r="CD1710" t="str">
            <v/>
          </cell>
          <cell r="CF1710" t="str">
            <v>003249 - Identified - Recompete - IS4</v>
          </cell>
        </row>
        <row r="1711">
          <cell r="D1711">
            <v>1697</v>
          </cell>
          <cell r="E1711">
            <v>0</v>
          </cell>
          <cell r="F1711">
            <v>5</v>
          </cell>
          <cell r="G1711" t="str">
            <v>003249</v>
          </cell>
          <cell r="H1711" t="str">
            <v>H20 USW T&amp;E</v>
          </cell>
          <cell r="I1711" t="str">
            <v>IS4</v>
          </cell>
          <cell r="J1711" t="str">
            <v>IS4 Spectrum &amp; Infrastructure Assurance</v>
          </cell>
          <cell r="K1711" t="str">
            <v>Navy</v>
          </cell>
          <cell r="L1711" t="str">
            <v>DOD</v>
          </cell>
          <cell r="M1711" t="str">
            <v>VA</v>
          </cell>
          <cell r="N1711" t="str">
            <v>CONUS</v>
          </cell>
          <cell r="O1711">
            <v>42767</v>
          </cell>
          <cell r="P1711">
            <v>43861</v>
          </cell>
          <cell r="Q1711" t="str">
            <v>Sub</v>
          </cell>
          <cell r="R1711" t="str">
            <v>CPFF</v>
          </cell>
          <cell r="S1711">
            <v>0</v>
          </cell>
          <cell r="T1711">
            <v>1</v>
          </cell>
          <cell r="U1711" t="str">
            <v>EBITA</v>
          </cell>
          <cell r="V1711" t="str">
            <v>Base</v>
          </cell>
          <cell r="W1711" t="str">
            <v>05 Won</v>
          </cell>
          <cell r="X1711" t="str">
            <v>Active</v>
          </cell>
          <cell r="Y1711">
            <v>1</v>
          </cell>
          <cell r="Z1711">
            <v>0</v>
          </cell>
          <cell r="AA1711">
            <v>968233.10819000006</v>
          </cell>
          <cell r="AB1711">
            <v>1343800</v>
          </cell>
          <cell r="AC1711">
            <v>0</v>
          </cell>
          <cell r="AD1711">
            <v>2312033.1081900001</v>
          </cell>
          <cell r="AT1711">
            <v>0</v>
          </cell>
          <cell r="AU1711">
            <v>4.3251473961197322E-2</v>
          </cell>
          <cell r="AV1711">
            <v>5.2779539950453154E-2</v>
          </cell>
          <cell r="AW1711">
            <v>5.0255218936404854E-2</v>
          </cell>
          <cell r="AX1711">
            <v>5.1867993750864705E-2</v>
          </cell>
          <cell r="AY1711">
            <v>5.1867993750864705E-2</v>
          </cell>
          <cell r="AZ1711">
            <v>5.1867993750864705E-2</v>
          </cell>
          <cell r="BA1711">
            <v>5.1867993750864705E-2</v>
          </cell>
          <cell r="BF1711">
            <v>0</v>
          </cell>
          <cell r="BG1711">
            <v>7982.8800000000101</v>
          </cell>
          <cell r="BH1711">
            <v>15793.539999999999</v>
          </cell>
          <cell r="BI1711">
            <v>3753.2300000000014</v>
          </cell>
          <cell r="BJ1711">
            <v>4135.7000000000025</v>
          </cell>
          <cell r="BK1711">
            <v>4007.8499999999976</v>
          </cell>
          <cell r="BL1711">
            <v>4737.5915203999957</v>
          </cell>
          <cell r="BM1711">
            <v>16634.371520399996</v>
          </cell>
          <cell r="BN1711">
            <v>5622.6850493548573</v>
          </cell>
          <cell r="BO1711">
            <v>0</v>
          </cell>
          <cell r="BP1711">
            <v>0</v>
          </cell>
          <cell r="BQ1711">
            <v>0</v>
          </cell>
          <cell r="BR1711">
            <v>22257.056569754852</v>
          </cell>
          <cell r="BT1711">
            <v>0</v>
          </cell>
          <cell r="CA1711" t="str">
            <v>003249 - EBITA - Base</v>
          </cell>
          <cell r="CC1711" t="str">
            <v>003249 - EBITA - Base - IS4</v>
          </cell>
          <cell r="CD1711" t="str">
            <v/>
          </cell>
          <cell r="CF1711" t="str">
            <v>003249 - Base - IS4</v>
          </cell>
        </row>
        <row r="1712">
          <cell r="D1712">
            <v>1698</v>
          </cell>
          <cell r="E1712">
            <v>0</v>
          </cell>
          <cell r="F1712">
            <v>0</v>
          </cell>
          <cell r="G1712" t="str">
            <v>003249</v>
          </cell>
          <cell r="H1712" t="str">
            <v>H20 USW T&amp;E</v>
          </cell>
          <cell r="I1712" t="str">
            <v>IS4</v>
          </cell>
          <cell r="J1712" t="str">
            <v>IS4 Spectrum &amp; Infrastructure Assurance</v>
          </cell>
          <cell r="K1712" t="str">
            <v>Navy</v>
          </cell>
          <cell r="L1712" t="str">
            <v>DOD</v>
          </cell>
          <cell r="M1712" t="str">
            <v>VA</v>
          </cell>
          <cell r="N1712" t="str">
            <v>CONUS</v>
          </cell>
          <cell r="O1712">
            <v>43862</v>
          </cell>
          <cell r="P1712">
            <v>45687</v>
          </cell>
          <cell r="Q1712" t="str">
            <v>Sub</v>
          </cell>
          <cell r="R1712" t="str">
            <v>CPFF</v>
          </cell>
          <cell r="S1712">
            <v>0</v>
          </cell>
          <cell r="T1712">
            <v>1</v>
          </cell>
          <cell r="U1712" t="str">
            <v>EBITA</v>
          </cell>
          <cell r="V1712" t="str">
            <v>Identified - Recompete</v>
          </cell>
          <cell r="W1712" t="str">
            <v>00 Investigate</v>
          </cell>
          <cell r="X1712" t="str">
            <v>Priority 3</v>
          </cell>
          <cell r="Y1712">
            <v>0.5</v>
          </cell>
          <cell r="Z1712">
            <v>1750000</v>
          </cell>
          <cell r="AA1712">
            <v>0</v>
          </cell>
          <cell r="AB1712">
            <v>0</v>
          </cell>
          <cell r="AC1712">
            <v>0</v>
          </cell>
          <cell r="AD1712">
            <v>0</v>
          </cell>
          <cell r="AX1712">
            <v>5.1867993750864705E-2</v>
          </cell>
          <cell r="AY1712">
            <v>5.1867993750864705E-2</v>
          </cell>
          <cell r="AZ1712">
            <v>5.1867993750864705E-2</v>
          </cell>
          <cell r="BA1712">
            <v>5.1867993750864705E-2</v>
          </cell>
          <cell r="BI1712">
            <v>0</v>
          </cell>
          <cell r="BJ1712">
            <v>0</v>
          </cell>
          <cell r="BK1712">
            <v>0</v>
          </cell>
          <cell r="BL1712">
            <v>0</v>
          </cell>
          <cell r="BM1712">
            <v>0</v>
          </cell>
          <cell r="BN1712">
            <v>6026.0523295275452</v>
          </cell>
          <cell r="BO1712">
            <v>9076.898906401324</v>
          </cell>
          <cell r="BP1712">
            <v>9076.898906401324</v>
          </cell>
          <cell r="BQ1712">
            <v>9076.898906401324</v>
          </cell>
          <cell r="BR1712">
            <v>33256.749048731515</v>
          </cell>
          <cell r="BT1712">
            <v>0</v>
          </cell>
          <cell r="CA1712" t="str">
            <v>003249 - EBITA - Identified - Recompete</v>
          </cell>
          <cell r="CC1712" t="str">
            <v>003249 - EBITA - Identified - Recompete - IS4</v>
          </cell>
          <cell r="CD1712" t="str">
            <v/>
          </cell>
          <cell r="CF1712" t="str">
            <v>003249 - Identified - Recompete - IS4</v>
          </cell>
        </row>
        <row r="1713">
          <cell r="D1713">
            <v>1699</v>
          </cell>
          <cell r="E1713">
            <v>1</v>
          </cell>
          <cell r="F1713">
            <v>1</v>
          </cell>
          <cell r="G1713" t="str">
            <v>E3EMPX</v>
          </cell>
          <cell r="H1713" t="str">
            <v>E3 EMP Support</v>
          </cell>
          <cell r="I1713" t="str">
            <v>IS4</v>
          </cell>
          <cell r="J1713" t="str">
            <v>IS4 Spectrum &amp; Infrastructure Assurance</v>
          </cell>
          <cell r="K1713" t="str">
            <v>Navy</v>
          </cell>
          <cell r="L1713" t="str">
            <v>DOD</v>
          </cell>
          <cell r="M1713" t="str">
            <v>VA</v>
          </cell>
          <cell r="N1713" t="str">
            <v>CONUS</v>
          </cell>
          <cell r="O1713">
            <v>43282</v>
          </cell>
          <cell r="P1713">
            <v>45107</v>
          </cell>
          <cell r="Q1713" t="str">
            <v>Sub</v>
          </cell>
          <cell r="R1713" t="str">
            <v>CPFF</v>
          </cell>
          <cell r="S1713">
            <v>0</v>
          </cell>
          <cell r="T1713">
            <v>1</v>
          </cell>
          <cell r="U1713" t="str">
            <v>REVTOT</v>
          </cell>
          <cell r="V1713" t="str">
            <v>Base</v>
          </cell>
          <cell r="W1713" t="str">
            <v>05 Won</v>
          </cell>
          <cell r="X1713" t="str">
            <v>Active</v>
          </cell>
          <cell r="Y1713">
            <v>1</v>
          </cell>
          <cell r="Z1713">
            <v>0</v>
          </cell>
          <cell r="AA1713">
            <v>275675.40999999997</v>
          </cell>
          <cell r="AB1713">
            <v>1106822.3999999999</v>
          </cell>
          <cell r="AC1713">
            <v>0</v>
          </cell>
          <cell r="AD1713">
            <v>1382497.8099999998</v>
          </cell>
          <cell r="AE1713">
            <v>0</v>
          </cell>
          <cell r="AF1713">
            <v>0</v>
          </cell>
          <cell r="AG1713">
            <v>3.1499348397043825</v>
          </cell>
          <cell r="AH1713">
            <v>1.3358895816101501E-2</v>
          </cell>
          <cell r="AI1713">
            <v>0</v>
          </cell>
          <cell r="AJ1713">
            <v>0</v>
          </cell>
          <cell r="AK1713">
            <v>0</v>
          </cell>
          <cell r="BB1713">
            <v>326082.76</v>
          </cell>
          <cell r="BC1713">
            <v>326082.76</v>
          </cell>
          <cell r="BD1713">
            <v>326082.76</v>
          </cell>
          <cell r="BE1713">
            <v>326082.76</v>
          </cell>
          <cell r="BF1713">
            <v>0</v>
          </cell>
          <cell r="BG1713">
            <v>0</v>
          </cell>
          <cell r="BH1713">
            <v>77539.55</v>
          </cell>
          <cell r="BI1713">
            <v>74131.34</v>
          </cell>
          <cell r="BJ1713">
            <v>83204.799999999988</v>
          </cell>
          <cell r="BK1713">
            <v>83901.5</v>
          </cell>
          <cell r="BL1713">
            <v>80546.44</v>
          </cell>
          <cell r="BM1713">
            <v>321784.07999999996</v>
          </cell>
          <cell r="BN1713">
            <v>326082.76</v>
          </cell>
          <cell r="BO1713">
            <v>326082.76</v>
          </cell>
          <cell r="BP1713">
            <v>326082.76</v>
          </cell>
          <cell r="BQ1713">
            <v>326082.76</v>
          </cell>
          <cell r="BR1713">
            <v>1626115.1199999999</v>
          </cell>
          <cell r="BT1713">
            <v>0</v>
          </cell>
          <cell r="CA1713" t="str">
            <v>E3EMPX - REVTOT - Base</v>
          </cell>
          <cell r="CC1713" t="str">
            <v>E3EMPX - REVTOT - Base - IS4</v>
          </cell>
          <cell r="CD1713" t="str">
            <v/>
          </cell>
          <cell r="CF1713" t="str">
            <v>E3EMPX - Base - IS4</v>
          </cell>
        </row>
        <row r="1714">
          <cell r="D1714">
            <v>1700</v>
          </cell>
          <cell r="E1714">
            <v>1</v>
          </cell>
          <cell r="F1714">
            <v>2</v>
          </cell>
          <cell r="G1714" t="str">
            <v>E3EMPX</v>
          </cell>
          <cell r="H1714" t="str">
            <v>E3 EMP Support</v>
          </cell>
          <cell r="I1714" t="str">
            <v>IS4</v>
          </cell>
          <cell r="J1714" t="str">
            <v>IS4 Spectrum &amp; Infrastructure Assurance</v>
          </cell>
          <cell r="K1714" t="str">
            <v>Navy</v>
          </cell>
          <cell r="L1714" t="str">
            <v>DOD</v>
          </cell>
          <cell r="M1714" t="str">
            <v>VA</v>
          </cell>
          <cell r="N1714" t="str">
            <v>CONUS</v>
          </cell>
          <cell r="O1714">
            <v>0</v>
          </cell>
          <cell r="P1714">
            <v>0</v>
          </cell>
          <cell r="Q1714">
            <v>0</v>
          </cell>
          <cell r="R1714" t="str">
            <v>CPFF</v>
          </cell>
          <cell r="S1714">
            <v>0</v>
          </cell>
          <cell r="T1714">
            <v>1</v>
          </cell>
          <cell r="U1714" t="str">
            <v>REVTOT</v>
          </cell>
          <cell r="V1714" t="str">
            <v>Identified - Recompete</v>
          </cell>
          <cell r="W1714">
            <v>0</v>
          </cell>
          <cell r="X1714">
            <v>0</v>
          </cell>
          <cell r="Y1714">
            <v>0</v>
          </cell>
          <cell r="Z1714">
            <v>0</v>
          </cell>
          <cell r="AA1714">
            <v>0</v>
          </cell>
          <cell r="AB1714">
            <v>0</v>
          </cell>
          <cell r="AC1714">
            <v>0</v>
          </cell>
          <cell r="AD1714">
            <v>0</v>
          </cell>
          <cell r="AI1714">
            <v>0</v>
          </cell>
          <cell r="AJ1714">
            <v>0</v>
          </cell>
          <cell r="AK1714">
            <v>0</v>
          </cell>
          <cell r="BB1714">
            <v>0</v>
          </cell>
          <cell r="BC1714">
            <v>0</v>
          </cell>
          <cell r="BD1714">
            <v>0</v>
          </cell>
          <cell r="BE1714">
            <v>0</v>
          </cell>
          <cell r="BI1714">
            <v>0</v>
          </cell>
          <cell r="BJ1714">
            <v>0</v>
          </cell>
          <cell r="BK1714">
            <v>0</v>
          </cell>
          <cell r="BL1714">
            <v>0</v>
          </cell>
          <cell r="BM1714">
            <v>0</v>
          </cell>
          <cell r="BN1714">
            <v>0</v>
          </cell>
          <cell r="BO1714">
            <v>0</v>
          </cell>
          <cell r="BP1714">
            <v>0</v>
          </cell>
          <cell r="BQ1714">
            <v>0</v>
          </cell>
          <cell r="BR1714">
            <v>0</v>
          </cell>
          <cell r="BT1714">
            <v>0</v>
          </cell>
          <cell r="CA1714" t="str">
            <v>E3EMPX - REVTOT - Identified - Recompete</v>
          </cell>
          <cell r="CC1714" t="str">
            <v>E3EMPX - REVTOT - Identified - Recompete - IS4</v>
          </cell>
          <cell r="CD1714" t="str">
            <v/>
          </cell>
          <cell r="CF1714" t="str">
            <v>E3EMPX - Identified - Recompete - IS4</v>
          </cell>
        </row>
        <row r="1715">
          <cell r="D1715">
            <v>1701</v>
          </cell>
          <cell r="E1715">
            <v>2</v>
          </cell>
          <cell r="F1715">
            <v>3</v>
          </cell>
          <cell r="G1715" t="str">
            <v>E3EMPX</v>
          </cell>
          <cell r="H1715" t="str">
            <v>E3 EMP Support</v>
          </cell>
          <cell r="I1715" t="str">
            <v>IS4</v>
          </cell>
          <cell r="J1715" t="str">
            <v>IS4 Spectrum &amp; Infrastructure Assurance</v>
          </cell>
          <cell r="K1715" t="str">
            <v>Navy</v>
          </cell>
          <cell r="L1715" t="str">
            <v>DOD</v>
          </cell>
          <cell r="M1715" t="str">
            <v>VA</v>
          </cell>
          <cell r="N1715" t="str">
            <v>CONUS</v>
          </cell>
          <cell r="O1715">
            <v>43282</v>
          </cell>
          <cell r="P1715">
            <v>45107</v>
          </cell>
          <cell r="Q1715" t="str">
            <v>Sub</v>
          </cell>
          <cell r="R1715" t="str">
            <v>CPFF</v>
          </cell>
          <cell r="S1715">
            <v>0</v>
          </cell>
          <cell r="T1715">
            <v>1</v>
          </cell>
          <cell r="U1715" t="str">
            <v>CONTRACT</v>
          </cell>
          <cell r="V1715" t="str">
            <v>Base</v>
          </cell>
          <cell r="W1715" t="str">
            <v>05 Won</v>
          </cell>
          <cell r="X1715" t="str">
            <v>Active</v>
          </cell>
          <cell r="Y1715">
            <v>1</v>
          </cell>
          <cell r="Z1715">
            <v>0</v>
          </cell>
          <cell r="AA1715">
            <v>275675.40999999997</v>
          </cell>
          <cell r="AB1715">
            <v>1106822.3999999999</v>
          </cell>
          <cell r="AC1715">
            <v>0</v>
          </cell>
          <cell r="AD1715">
            <v>1382497.8099999998</v>
          </cell>
          <cell r="AL1715">
            <v>0</v>
          </cell>
          <cell r="AM1715">
            <v>0</v>
          </cell>
          <cell r="AN1715">
            <v>0.1695748814637176</v>
          </cell>
          <cell r="AO1715">
            <v>0.17603841681664303</v>
          </cell>
          <cell r="AP1715">
            <v>0.1739821404848266</v>
          </cell>
          <cell r="AQ1715">
            <v>0.1739821404848266</v>
          </cell>
          <cell r="AR1715">
            <v>0.1739821404848266</v>
          </cell>
          <cell r="AS1715">
            <v>0.1739821404848266</v>
          </cell>
          <cell r="BF1715">
            <v>0</v>
          </cell>
          <cell r="BG1715">
            <v>0</v>
          </cell>
          <cell r="BH1715">
            <v>13148.760000000006</v>
          </cell>
          <cell r="BI1715">
            <v>12921.68</v>
          </cell>
          <cell r="BJ1715">
            <v>14599.29</v>
          </cell>
          <cell r="BK1715">
            <v>14863.43</v>
          </cell>
          <cell r="BL1715">
            <v>14261.960000000003</v>
          </cell>
          <cell r="BM1715">
            <v>56646.36</v>
          </cell>
          <cell r="BN1715">
            <v>56732.576560000001</v>
          </cell>
          <cell r="BO1715">
            <v>56732.576560000001</v>
          </cell>
          <cell r="BP1715">
            <v>56732.576560000001</v>
          </cell>
          <cell r="BQ1715">
            <v>56732.576560000001</v>
          </cell>
          <cell r="BR1715">
            <v>283576.66624000005</v>
          </cell>
          <cell r="BT1715">
            <v>0</v>
          </cell>
          <cell r="CA1715" t="str">
            <v>E3EMPX - CONTRACT - Base</v>
          </cell>
          <cell r="CC1715" t="str">
            <v>E3EMPX - CONTRACT - Base - IS4</v>
          </cell>
          <cell r="CD1715" t="str">
            <v/>
          </cell>
          <cell r="CF1715" t="str">
            <v>E3EMPX - Base - IS4</v>
          </cell>
        </row>
        <row r="1716">
          <cell r="D1716">
            <v>1702</v>
          </cell>
          <cell r="E1716">
            <v>2</v>
          </cell>
          <cell r="F1716">
            <v>4</v>
          </cell>
          <cell r="G1716" t="str">
            <v>E3EMPX</v>
          </cell>
          <cell r="H1716" t="str">
            <v>E3 EMP Support</v>
          </cell>
          <cell r="I1716" t="str">
            <v>IS4</v>
          </cell>
          <cell r="J1716" t="str">
            <v>IS4 Spectrum &amp; Infrastructure Assurance</v>
          </cell>
          <cell r="K1716" t="str">
            <v>Navy</v>
          </cell>
          <cell r="L1716" t="str">
            <v>DOD</v>
          </cell>
          <cell r="M1716" t="str">
            <v>VA</v>
          </cell>
          <cell r="N1716" t="str">
            <v>CONUS</v>
          </cell>
          <cell r="O1716">
            <v>0</v>
          </cell>
          <cell r="P1716">
            <v>0</v>
          </cell>
          <cell r="Q1716">
            <v>0</v>
          </cell>
          <cell r="R1716" t="str">
            <v>CPFF</v>
          </cell>
          <cell r="S1716">
            <v>0</v>
          </cell>
          <cell r="T1716">
            <v>1</v>
          </cell>
          <cell r="U1716" t="str">
            <v>CONTRACT</v>
          </cell>
          <cell r="V1716" t="str">
            <v>Identified - Recompete</v>
          </cell>
          <cell r="W1716">
            <v>0</v>
          </cell>
          <cell r="X1716">
            <v>0</v>
          </cell>
          <cell r="Y1716">
            <v>0</v>
          </cell>
          <cell r="Z1716">
            <v>0</v>
          </cell>
          <cell r="AA1716">
            <v>0</v>
          </cell>
          <cell r="AB1716">
            <v>0</v>
          </cell>
          <cell r="AC1716">
            <v>0</v>
          </cell>
          <cell r="AD1716">
            <v>0</v>
          </cell>
          <cell r="AP1716">
            <v>0</v>
          </cell>
          <cell r="AQ1716">
            <v>0</v>
          </cell>
          <cell r="AR1716">
            <v>0</v>
          </cell>
          <cell r="AS1716">
            <v>0</v>
          </cell>
          <cell r="BI1716">
            <v>0</v>
          </cell>
          <cell r="BJ1716">
            <v>0</v>
          </cell>
          <cell r="BK1716">
            <v>0</v>
          </cell>
          <cell r="BL1716">
            <v>0</v>
          </cell>
          <cell r="BM1716">
            <v>0</v>
          </cell>
          <cell r="BN1716">
            <v>0</v>
          </cell>
          <cell r="BO1716">
            <v>0</v>
          </cell>
          <cell r="BP1716">
            <v>0</v>
          </cell>
          <cell r="BQ1716">
            <v>0</v>
          </cell>
          <cell r="BR1716">
            <v>0</v>
          </cell>
          <cell r="BT1716">
            <v>0</v>
          </cell>
          <cell r="CA1716" t="str">
            <v>E3EMPX - CONTRACT - Identified - Recompete</v>
          </cell>
          <cell r="CC1716" t="str">
            <v>E3EMPX - CONTRACT - Identified - Recompete - IS4</v>
          </cell>
          <cell r="CD1716" t="str">
            <v/>
          </cell>
          <cell r="CF1716" t="str">
            <v>E3EMPX - Identified - Recompete - IS4</v>
          </cell>
        </row>
        <row r="1717">
          <cell r="D1717">
            <v>1703</v>
          </cell>
          <cell r="E1717">
            <v>0</v>
          </cell>
          <cell r="F1717">
            <v>5</v>
          </cell>
          <cell r="G1717" t="str">
            <v>E3EMPX</v>
          </cell>
          <cell r="H1717" t="str">
            <v>E3 EMP Support</v>
          </cell>
          <cell r="I1717" t="str">
            <v>IS4</v>
          </cell>
          <cell r="J1717" t="str">
            <v>IS4 Spectrum &amp; Infrastructure Assurance</v>
          </cell>
          <cell r="K1717" t="str">
            <v>Navy</v>
          </cell>
          <cell r="L1717" t="str">
            <v>DOD</v>
          </cell>
          <cell r="M1717" t="str">
            <v>VA</v>
          </cell>
          <cell r="N1717" t="str">
            <v>CONUS</v>
          </cell>
          <cell r="O1717">
            <v>43282</v>
          </cell>
          <cell r="P1717">
            <v>45107</v>
          </cell>
          <cell r="Q1717" t="str">
            <v>Sub</v>
          </cell>
          <cell r="R1717" t="str">
            <v>CPFF</v>
          </cell>
          <cell r="S1717">
            <v>0</v>
          </cell>
          <cell r="T1717">
            <v>1</v>
          </cell>
          <cell r="U1717" t="str">
            <v>EBITA</v>
          </cell>
          <cell r="V1717" t="str">
            <v>Base</v>
          </cell>
          <cell r="W1717" t="str">
            <v>05 Won</v>
          </cell>
          <cell r="X1717" t="str">
            <v>Active</v>
          </cell>
          <cell r="Y1717">
            <v>1</v>
          </cell>
          <cell r="Z1717">
            <v>0</v>
          </cell>
          <cell r="AA1717">
            <v>275675.40999999997</v>
          </cell>
          <cell r="AB1717">
            <v>1106822.3999999999</v>
          </cell>
          <cell r="AC1717">
            <v>0</v>
          </cell>
          <cell r="AD1717">
            <v>1382497.8099999998</v>
          </cell>
          <cell r="AT1717">
            <v>0</v>
          </cell>
          <cell r="AU1717">
            <v>0</v>
          </cell>
          <cell r="AV1717">
            <v>4.8874800021408503E-2</v>
          </cell>
          <cell r="AW1717">
            <v>5.1995642543907095E-2</v>
          </cell>
          <cell r="AX1717">
            <v>5.0366159703770022E-2</v>
          </cell>
          <cell r="AY1717">
            <v>5.0366159703770022E-2</v>
          </cell>
          <cell r="AZ1717">
            <v>5.0366159703770022E-2</v>
          </cell>
          <cell r="BA1717">
            <v>5.0366159703770022E-2</v>
          </cell>
          <cell r="BF1717">
            <v>0</v>
          </cell>
          <cell r="BG1717">
            <v>0</v>
          </cell>
          <cell r="BH1717">
            <v>3789.7300000000059</v>
          </cell>
          <cell r="BI1717">
            <v>3605.5299999999993</v>
          </cell>
          <cell r="BJ1717">
            <v>4437.6900000000005</v>
          </cell>
          <cell r="BK1717">
            <v>4503.6100000000006</v>
          </cell>
          <cell r="BL1717">
            <v>4184.5400000000027</v>
          </cell>
          <cell r="BM1717">
            <v>16731.370000000003</v>
          </cell>
          <cell r="BN1717">
            <v>16423.536366806111</v>
          </cell>
          <cell r="BO1717">
            <v>16423.536366806111</v>
          </cell>
          <cell r="BP1717">
            <v>16423.536366806111</v>
          </cell>
          <cell r="BQ1717">
            <v>16423.536366806111</v>
          </cell>
          <cell r="BR1717">
            <v>82425.515467224439</v>
          </cell>
          <cell r="BT1717">
            <v>0</v>
          </cell>
          <cell r="CA1717" t="str">
            <v>E3EMPX - EBITA - Base</v>
          </cell>
          <cell r="CC1717" t="str">
            <v>E3EMPX - EBITA - Base - IS4</v>
          </cell>
          <cell r="CD1717" t="str">
            <v/>
          </cell>
          <cell r="CF1717" t="str">
            <v>E3EMPX - Base - IS4</v>
          </cell>
        </row>
        <row r="1718">
          <cell r="D1718">
            <v>1704</v>
          </cell>
          <cell r="E1718">
            <v>0</v>
          </cell>
          <cell r="F1718">
            <v>0</v>
          </cell>
          <cell r="G1718" t="str">
            <v>E3EMPX</v>
          </cell>
          <cell r="H1718" t="str">
            <v>E3 EMP Support</v>
          </cell>
          <cell r="I1718" t="str">
            <v>IS4</v>
          </cell>
          <cell r="J1718" t="str">
            <v>IS4 Spectrum &amp; Infrastructure Assurance</v>
          </cell>
          <cell r="K1718" t="str">
            <v>Navy</v>
          </cell>
          <cell r="L1718" t="str">
            <v>DOD</v>
          </cell>
          <cell r="M1718" t="str">
            <v>VA</v>
          </cell>
          <cell r="N1718" t="str">
            <v>CONUS</v>
          </cell>
          <cell r="O1718">
            <v>0</v>
          </cell>
          <cell r="P1718">
            <v>0</v>
          </cell>
          <cell r="Q1718">
            <v>0</v>
          </cell>
          <cell r="R1718" t="str">
            <v>CPFF</v>
          </cell>
          <cell r="S1718">
            <v>0</v>
          </cell>
          <cell r="T1718">
            <v>1</v>
          </cell>
          <cell r="U1718" t="str">
            <v>EBITA</v>
          </cell>
          <cell r="V1718" t="str">
            <v>Identified - Recompete</v>
          </cell>
          <cell r="W1718">
            <v>0</v>
          </cell>
          <cell r="X1718">
            <v>0</v>
          </cell>
          <cell r="Y1718">
            <v>0</v>
          </cell>
          <cell r="Z1718">
            <v>0</v>
          </cell>
          <cell r="AA1718">
            <v>0</v>
          </cell>
          <cell r="AB1718">
            <v>0</v>
          </cell>
          <cell r="AC1718">
            <v>0</v>
          </cell>
          <cell r="AD1718">
            <v>0</v>
          </cell>
          <cell r="AX1718">
            <v>0</v>
          </cell>
          <cell r="AY1718">
            <v>0</v>
          </cell>
          <cell r="AZ1718">
            <v>0</v>
          </cell>
          <cell r="BA1718">
            <v>0</v>
          </cell>
          <cell r="BI1718">
            <v>0</v>
          </cell>
          <cell r="BJ1718">
            <v>0</v>
          </cell>
          <cell r="BK1718">
            <v>0</v>
          </cell>
          <cell r="BL1718">
            <v>0</v>
          </cell>
          <cell r="BM1718">
            <v>0</v>
          </cell>
          <cell r="BN1718">
            <v>0</v>
          </cell>
          <cell r="BO1718">
            <v>0</v>
          </cell>
          <cell r="BP1718">
            <v>0</v>
          </cell>
          <cell r="BQ1718">
            <v>0</v>
          </cell>
          <cell r="BR1718">
            <v>0</v>
          </cell>
          <cell r="BT1718">
            <v>0</v>
          </cell>
          <cell r="CA1718" t="str">
            <v>E3EMPX - EBITA - Identified - Recompete</v>
          </cell>
          <cell r="CC1718" t="str">
            <v>E3EMPX - EBITA - Identified - Recompete - IS4</v>
          </cell>
          <cell r="CD1718" t="str">
            <v/>
          </cell>
          <cell r="CF1718" t="str">
            <v>E3EMPX - Identified - Recompete - IS4</v>
          </cell>
        </row>
        <row r="1719">
          <cell r="D1719">
            <v>1705</v>
          </cell>
          <cell r="E1719">
            <v>1</v>
          </cell>
          <cell r="F1719">
            <v>1</v>
          </cell>
          <cell r="G1719" t="str">
            <v>0SERMC</v>
          </cell>
          <cell r="H1719" t="str">
            <v>SERMC HM&amp;E</v>
          </cell>
          <cell r="I1719" t="str">
            <v>IS4</v>
          </cell>
          <cell r="J1719" t="str">
            <v>IS4 Sustainment Engineering and Acquisition</v>
          </cell>
          <cell r="K1719" t="str">
            <v>Navy</v>
          </cell>
          <cell r="L1719" t="str">
            <v>DOD</v>
          </cell>
          <cell r="M1719" t="str">
            <v>VA</v>
          </cell>
          <cell r="N1719" t="str">
            <v>CONUS</v>
          </cell>
          <cell r="O1719">
            <v>42529</v>
          </cell>
          <cell r="P1719">
            <v>43623</v>
          </cell>
          <cell r="Q1719" t="str">
            <v>Prime</v>
          </cell>
          <cell r="R1719" t="str">
            <v>CPFF</v>
          </cell>
          <cell r="S1719">
            <v>0</v>
          </cell>
          <cell r="T1719">
            <v>1</v>
          </cell>
          <cell r="U1719" t="str">
            <v>REVTOT</v>
          </cell>
          <cell r="V1719" t="str">
            <v>Base</v>
          </cell>
          <cell r="W1719" t="str">
            <v>05 Won</v>
          </cell>
          <cell r="X1719" t="str">
            <v>Active</v>
          </cell>
          <cell r="Y1719">
            <v>1</v>
          </cell>
          <cell r="Z1719">
            <v>0</v>
          </cell>
          <cell r="AA1719">
            <v>1114717.4700000002</v>
          </cell>
          <cell r="AB1719">
            <v>0</v>
          </cell>
          <cell r="AC1719">
            <v>0</v>
          </cell>
          <cell r="AD1719">
            <v>1114717.4700000002</v>
          </cell>
          <cell r="AE1719">
            <v>2.1638626453852967</v>
          </cell>
          <cell r="AF1719">
            <v>-6.2067293158784009E-2</v>
          </cell>
          <cell r="AG1719">
            <v>-0.46660373481475759</v>
          </cell>
          <cell r="AH1719">
            <v>-1</v>
          </cell>
          <cell r="AI1719">
            <v>0</v>
          </cell>
          <cell r="AJ1719">
            <v>0</v>
          </cell>
          <cell r="AK1719">
            <v>0</v>
          </cell>
          <cell r="BB1719">
            <v>0</v>
          </cell>
          <cell r="BC1719">
            <v>0</v>
          </cell>
          <cell r="BD1719">
            <v>0</v>
          </cell>
          <cell r="BE1719">
            <v>0</v>
          </cell>
          <cell r="BF1719">
            <v>413601.83</v>
          </cell>
          <cell r="BG1719">
            <v>1308579.3799999999</v>
          </cell>
          <cell r="BH1719">
            <v>1227359.4000000001</v>
          </cell>
          <cell r="BI1719">
            <v>260557.71000000002</v>
          </cell>
          <cell r="BJ1719">
            <v>193972.43</v>
          </cell>
          <cell r="BK1719">
            <v>200138.78</v>
          </cell>
          <cell r="BL1719">
            <v>0</v>
          </cell>
          <cell r="BM1719">
            <v>654668.92000000004</v>
          </cell>
          <cell r="BN1719">
            <v>0</v>
          </cell>
          <cell r="BO1719">
            <v>0</v>
          </cell>
          <cell r="BP1719">
            <v>0</v>
          </cell>
          <cell r="BQ1719">
            <v>0</v>
          </cell>
          <cell r="BR1719">
            <v>654668.92000000004</v>
          </cell>
          <cell r="BT1719">
            <v>0</v>
          </cell>
          <cell r="CA1719" t="str">
            <v>0SERMC - REVTOT - Base</v>
          </cell>
          <cell r="CC1719" t="str">
            <v>0SERMC - REVTOT - Base - IS4</v>
          </cell>
          <cell r="CD1719" t="str">
            <v/>
          </cell>
          <cell r="CF1719" t="str">
            <v>0SERMC - Base - IS4</v>
          </cell>
        </row>
        <row r="1720">
          <cell r="D1720">
            <v>1706</v>
          </cell>
          <cell r="E1720">
            <v>1</v>
          </cell>
          <cell r="F1720">
            <v>2</v>
          </cell>
          <cell r="G1720" t="str">
            <v>0SERMC</v>
          </cell>
          <cell r="H1720" t="str">
            <v>SERMC HM&amp;E</v>
          </cell>
          <cell r="I1720" t="str">
            <v>IS4</v>
          </cell>
          <cell r="J1720" t="str">
            <v>IS4 Sustainment Engineering and Acquisition</v>
          </cell>
          <cell r="K1720" t="str">
            <v>Navy</v>
          </cell>
          <cell r="L1720" t="str">
            <v>DOD</v>
          </cell>
          <cell r="M1720" t="str">
            <v>VA</v>
          </cell>
          <cell r="N1720" t="str">
            <v>CONUS</v>
          </cell>
          <cell r="O1720">
            <v>0</v>
          </cell>
          <cell r="P1720">
            <v>0</v>
          </cell>
          <cell r="Q1720">
            <v>0</v>
          </cell>
          <cell r="R1720" t="str">
            <v>CPFF</v>
          </cell>
          <cell r="S1720">
            <v>0</v>
          </cell>
          <cell r="T1720">
            <v>1</v>
          </cell>
          <cell r="U1720" t="str">
            <v>REVTOT</v>
          </cell>
          <cell r="V1720" t="str">
            <v>Identified - Recompete</v>
          </cell>
          <cell r="W1720">
            <v>0</v>
          </cell>
          <cell r="X1720">
            <v>0</v>
          </cell>
          <cell r="Y1720">
            <v>0</v>
          </cell>
          <cell r="Z1720">
            <v>0</v>
          </cell>
          <cell r="AA1720">
            <v>0</v>
          </cell>
          <cell r="AB1720">
            <v>0</v>
          </cell>
          <cell r="AC1720">
            <v>0</v>
          </cell>
          <cell r="AD1720">
            <v>0</v>
          </cell>
          <cell r="AI1720">
            <v>0</v>
          </cell>
          <cell r="AJ1720">
            <v>0</v>
          </cell>
          <cell r="AK1720">
            <v>0</v>
          </cell>
          <cell r="BB1720">
            <v>0</v>
          </cell>
          <cell r="BC1720">
            <v>0</v>
          </cell>
          <cell r="BD1720">
            <v>0</v>
          </cell>
          <cell r="BE1720">
            <v>0</v>
          </cell>
          <cell r="BI1720">
            <v>0</v>
          </cell>
          <cell r="BJ1720">
            <v>0</v>
          </cell>
          <cell r="BK1720">
            <v>0</v>
          </cell>
          <cell r="BL1720">
            <v>0</v>
          </cell>
          <cell r="BM1720">
            <v>0</v>
          </cell>
          <cell r="BN1720">
            <v>0</v>
          </cell>
          <cell r="BO1720">
            <v>0</v>
          </cell>
          <cell r="BP1720">
            <v>0</v>
          </cell>
          <cell r="BQ1720">
            <v>0</v>
          </cell>
          <cell r="BR1720">
            <v>0</v>
          </cell>
          <cell r="BT1720">
            <v>0</v>
          </cell>
          <cell r="CA1720" t="str">
            <v>0SERMC - REVTOT - Identified - Recompete</v>
          </cell>
          <cell r="CC1720" t="str">
            <v>0SERMC - REVTOT - Identified - Recompete - IS4</v>
          </cell>
          <cell r="CD1720" t="str">
            <v/>
          </cell>
          <cell r="CF1720" t="str">
            <v>0SERMC - Identified - Recompete - IS4</v>
          </cell>
        </row>
        <row r="1721">
          <cell r="D1721">
            <v>1707</v>
          </cell>
          <cell r="E1721">
            <v>2</v>
          </cell>
          <cell r="F1721">
            <v>3</v>
          </cell>
          <cell r="G1721" t="str">
            <v>0SERMC</v>
          </cell>
          <cell r="H1721" t="str">
            <v>SERMC HM&amp;E</v>
          </cell>
          <cell r="I1721" t="str">
            <v>IS4</v>
          </cell>
          <cell r="J1721" t="str">
            <v>IS4 Sustainment Engineering and Acquisition</v>
          </cell>
          <cell r="K1721" t="str">
            <v>Navy</v>
          </cell>
          <cell r="L1721" t="str">
            <v>DOD</v>
          </cell>
          <cell r="M1721" t="str">
            <v>VA</v>
          </cell>
          <cell r="N1721" t="str">
            <v>CONUS</v>
          </cell>
          <cell r="O1721">
            <v>42529</v>
          </cell>
          <cell r="P1721">
            <v>43623</v>
          </cell>
          <cell r="Q1721" t="str">
            <v>Prime</v>
          </cell>
          <cell r="R1721" t="str">
            <v>CPFF</v>
          </cell>
          <cell r="S1721">
            <v>0</v>
          </cell>
          <cell r="T1721">
            <v>1</v>
          </cell>
          <cell r="U1721" t="str">
            <v>CONTRACT</v>
          </cell>
          <cell r="V1721" t="str">
            <v>Base</v>
          </cell>
          <cell r="W1721" t="str">
            <v>05 Won</v>
          </cell>
          <cell r="X1721" t="str">
            <v>Active</v>
          </cell>
          <cell r="Y1721">
            <v>1</v>
          </cell>
          <cell r="Z1721">
            <v>0</v>
          </cell>
          <cell r="AA1721">
            <v>1114717.4700000002</v>
          </cell>
          <cell r="AB1721">
            <v>0</v>
          </cell>
          <cell r="AC1721">
            <v>0</v>
          </cell>
          <cell r="AD1721">
            <v>1114717.4700000002</v>
          </cell>
          <cell r="AL1721">
            <v>9.4507270434465898E-2</v>
          </cell>
          <cell r="AM1721">
            <v>9.6043909846722481E-2</v>
          </cell>
          <cell r="AN1721">
            <v>0.12554869421295833</v>
          </cell>
          <cell r="AO1721">
            <v>5.6865491644234413E-2</v>
          </cell>
          <cell r="AP1721">
            <v>9.8798612299324309E-2</v>
          </cell>
          <cell r="AQ1721">
            <v>9.8798612299324309E-2</v>
          </cell>
          <cell r="AR1721">
            <v>9.8798612299324309E-2</v>
          </cell>
          <cell r="AS1721">
            <v>9.8798612299324309E-2</v>
          </cell>
          <cell r="BF1721">
            <v>39088.37999999999</v>
          </cell>
          <cell r="BG1721">
            <v>125681.07999999999</v>
          </cell>
          <cell r="BH1721">
            <v>154093.37000000002</v>
          </cell>
          <cell r="BI1721">
            <v>32174.459999999992</v>
          </cell>
          <cell r="BJ1721">
            <v>-14882.450000000026</v>
          </cell>
          <cell r="BK1721">
            <v>19936.060000000005</v>
          </cell>
          <cell r="BL1721">
            <v>0</v>
          </cell>
          <cell r="BM1721">
            <v>37228.069999999971</v>
          </cell>
          <cell r="BN1721">
            <v>0</v>
          </cell>
          <cell r="BO1721">
            <v>0</v>
          </cell>
          <cell r="BP1721">
            <v>0</v>
          </cell>
          <cell r="BQ1721">
            <v>0</v>
          </cell>
          <cell r="BR1721">
            <v>37228.069999999971</v>
          </cell>
          <cell r="BT1721">
            <v>0</v>
          </cell>
          <cell r="CA1721" t="str">
            <v>0SERMC - CONTRACT - Base</v>
          </cell>
          <cell r="CC1721" t="str">
            <v>0SERMC - CONTRACT - Base - IS4</v>
          </cell>
          <cell r="CD1721" t="str">
            <v/>
          </cell>
          <cell r="CF1721" t="str">
            <v>0SERMC - Base - IS4</v>
          </cell>
        </row>
        <row r="1722">
          <cell r="D1722">
            <v>1708</v>
          </cell>
          <cell r="E1722">
            <v>2</v>
          </cell>
          <cell r="F1722">
            <v>4</v>
          </cell>
          <cell r="G1722" t="str">
            <v>0SERMC</v>
          </cell>
          <cell r="H1722" t="str">
            <v>SERMC HM&amp;E</v>
          </cell>
          <cell r="I1722" t="str">
            <v>IS4</v>
          </cell>
          <cell r="J1722" t="str">
            <v>IS4 Sustainment Engineering and Acquisition</v>
          </cell>
          <cell r="K1722" t="str">
            <v>Navy</v>
          </cell>
          <cell r="L1722" t="str">
            <v>DOD</v>
          </cell>
          <cell r="M1722" t="str">
            <v>VA</v>
          </cell>
          <cell r="N1722" t="str">
            <v>CONUS</v>
          </cell>
          <cell r="O1722">
            <v>0</v>
          </cell>
          <cell r="P1722">
            <v>0</v>
          </cell>
          <cell r="Q1722">
            <v>0</v>
          </cell>
          <cell r="R1722" t="str">
            <v>CPFF</v>
          </cell>
          <cell r="S1722">
            <v>0</v>
          </cell>
          <cell r="T1722">
            <v>1</v>
          </cell>
          <cell r="U1722" t="str">
            <v>CONTRACT</v>
          </cell>
          <cell r="V1722" t="str">
            <v>Identified - Recompete</v>
          </cell>
          <cell r="W1722">
            <v>0</v>
          </cell>
          <cell r="X1722">
            <v>0</v>
          </cell>
          <cell r="Y1722">
            <v>0</v>
          </cell>
          <cell r="Z1722">
            <v>0</v>
          </cell>
          <cell r="AA1722">
            <v>0</v>
          </cell>
          <cell r="AB1722">
            <v>0</v>
          </cell>
          <cell r="AC1722">
            <v>0</v>
          </cell>
          <cell r="AD1722">
            <v>0</v>
          </cell>
          <cell r="AP1722">
            <v>0</v>
          </cell>
          <cell r="AQ1722">
            <v>0</v>
          </cell>
          <cell r="AR1722">
            <v>0</v>
          </cell>
          <cell r="AS1722">
            <v>0</v>
          </cell>
          <cell r="BI1722">
            <v>0</v>
          </cell>
          <cell r="BJ1722">
            <v>0</v>
          </cell>
          <cell r="BK1722">
            <v>0</v>
          </cell>
          <cell r="BL1722">
            <v>0</v>
          </cell>
          <cell r="BM1722">
            <v>0</v>
          </cell>
          <cell r="BN1722">
            <v>0</v>
          </cell>
          <cell r="BO1722">
            <v>0</v>
          </cell>
          <cell r="BP1722">
            <v>0</v>
          </cell>
          <cell r="BQ1722">
            <v>0</v>
          </cell>
          <cell r="BR1722">
            <v>0</v>
          </cell>
          <cell r="BT1722">
            <v>0</v>
          </cell>
          <cell r="CA1722" t="str">
            <v>0SERMC - CONTRACT - Identified - Recompete</v>
          </cell>
          <cell r="CC1722" t="str">
            <v>0SERMC - CONTRACT - Identified - Recompete - IS4</v>
          </cell>
          <cell r="CD1722" t="str">
            <v/>
          </cell>
          <cell r="CF1722" t="str">
            <v>0SERMC - Identified - Recompete - IS4</v>
          </cell>
        </row>
        <row r="1723">
          <cell r="D1723">
            <v>1709</v>
          </cell>
          <cell r="E1723">
            <v>0</v>
          </cell>
          <cell r="F1723">
            <v>5</v>
          </cell>
          <cell r="G1723" t="str">
            <v>0SERMC</v>
          </cell>
          <cell r="H1723" t="str">
            <v>SERMC HM&amp;E</v>
          </cell>
          <cell r="I1723" t="str">
            <v>IS4</v>
          </cell>
          <cell r="J1723" t="str">
            <v>IS4 Sustainment Engineering and Acquisition</v>
          </cell>
          <cell r="K1723" t="str">
            <v>Navy</v>
          </cell>
          <cell r="L1723" t="str">
            <v>DOD</v>
          </cell>
          <cell r="M1723" t="str">
            <v>VA</v>
          </cell>
          <cell r="N1723" t="str">
            <v>CONUS</v>
          </cell>
          <cell r="O1723">
            <v>42529</v>
          </cell>
          <cell r="P1723">
            <v>43623</v>
          </cell>
          <cell r="Q1723" t="str">
            <v>Prime</v>
          </cell>
          <cell r="R1723" t="str">
            <v>CPFF</v>
          </cell>
          <cell r="S1723">
            <v>0</v>
          </cell>
          <cell r="T1723">
            <v>1</v>
          </cell>
          <cell r="U1723" t="str">
            <v>EBITA</v>
          </cell>
          <cell r="V1723" t="str">
            <v>Base</v>
          </cell>
          <cell r="W1723" t="str">
            <v>05 Won</v>
          </cell>
          <cell r="X1723" t="str">
            <v>Active</v>
          </cell>
          <cell r="Y1723">
            <v>1</v>
          </cell>
          <cell r="Z1723">
            <v>0</v>
          </cell>
          <cell r="AA1723">
            <v>1114717.4700000002</v>
          </cell>
          <cell r="AB1723">
            <v>0</v>
          </cell>
          <cell r="AC1723">
            <v>0</v>
          </cell>
          <cell r="AD1723">
            <v>1114717.4700000002</v>
          </cell>
          <cell r="AT1723">
            <v>2.0385814056963894E-2</v>
          </cell>
          <cell r="AU1723">
            <v>2.845186204905659E-2</v>
          </cell>
          <cell r="AV1723">
            <v>3.0289098694318884E-2</v>
          </cell>
          <cell r="AW1723">
            <v>2.1691193160658935E-2</v>
          </cell>
          <cell r="AX1723">
            <v>2.6923875871334255E-2</v>
          </cell>
          <cell r="AY1723">
            <v>2.6923875871334255E-2</v>
          </cell>
          <cell r="AZ1723">
            <v>2.6923875871334255E-2</v>
          </cell>
          <cell r="BA1723">
            <v>2.6923875871334255E-2</v>
          </cell>
          <cell r="BF1723">
            <v>8431.6099999999915</v>
          </cell>
          <cell r="BG1723">
            <v>37231.519999999997</v>
          </cell>
          <cell r="BH1723">
            <v>37175.610000000015</v>
          </cell>
          <cell r="BI1723">
            <v>5235.1599999999926</v>
          </cell>
          <cell r="BJ1723">
            <v>4925.7499999999764</v>
          </cell>
          <cell r="BK1723">
            <v>4039.6400000000035</v>
          </cell>
          <cell r="BL1723">
            <v>0</v>
          </cell>
          <cell r="BM1723">
            <v>14200.549999999972</v>
          </cell>
          <cell r="BN1723">
            <v>0</v>
          </cell>
          <cell r="BO1723">
            <v>0</v>
          </cell>
          <cell r="BP1723">
            <v>0</v>
          </cell>
          <cell r="BQ1723">
            <v>0</v>
          </cell>
          <cell r="BR1723">
            <v>14200.549999999972</v>
          </cell>
          <cell r="BT1723">
            <v>0</v>
          </cell>
          <cell r="CA1723" t="str">
            <v>0SERMC - EBITA - Base</v>
          </cell>
          <cell r="CC1723" t="str">
            <v>0SERMC - EBITA - Base - IS4</v>
          </cell>
          <cell r="CD1723" t="str">
            <v/>
          </cell>
          <cell r="CF1723" t="str">
            <v>0SERMC - Base - IS4</v>
          </cell>
        </row>
        <row r="1724">
          <cell r="D1724">
            <v>1710</v>
          </cell>
          <cell r="E1724">
            <v>0</v>
          </cell>
          <cell r="F1724">
            <v>0</v>
          </cell>
          <cell r="G1724" t="str">
            <v>0SERMC</v>
          </cell>
          <cell r="H1724" t="str">
            <v>SERMC HM&amp;E</v>
          </cell>
          <cell r="I1724" t="str">
            <v>IS4</v>
          </cell>
          <cell r="J1724" t="str">
            <v>IS4 Sustainment Engineering and Acquisition</v>
          </cell>
          <cell r="K1724" t="str">
            <v>Navy</v>
          </cell>
          <cell r="L1724" t="str">
            <v>DOD</v>
          </cell>
          <cell r="M1724" t="str">
            <v>VA</v>
          </cell>
          <cell r="N1724" t="str">
            <v>CONUS</v>
          </cell>
          <cell r="O1724">
            <v>0</v>
          </cell>
          <cell r="P1724">
            <v>0</v>
          </cell>
          <cell r="Q1724">
            <v>0</v>
          </cell>
          <cell r="R1724" t="str">
            <v>CPFF</v>
          </cell>
          <cell r="S1724">
            <v>0</v>
          </cell>
          <cell r="T1724">
            <v>1</v>
          </cell>
          <cell r="U1724" t="str">
            <v>EBITA</v>
          </cell>
          <cell r="V1724" t="str">
            <v>Identified - Recompete</v>
          </cell>
          <cell r="W1724">
            <v>0</v>
          </cell>
          <cell r="X1724">
            <v>0</v>
          </cell>
          <cell r="Y1724">
            <v>0</v>
          </cell>
          <cell r="Z1724">
            <v>0</v>
          </cell>
          <cell r="AA1724">
            <v>0</v>
          </cell>
          <cell r="AB1724">
            <v>0</v>
          </cell>
          <cell r="AC1724">
            <v>0</v>
          </cell>
          <cell r="AD1724">
            <v>0</v>
          </cell>
          <cell r="AX1724">
            <v>0</v>
          </cell>
          <cell r="AY1724">
            <v>0</v>
          </cell>
          <cell r="AZ1724">
            <v>0</v>
          </cell>
          <cell r="BA1724">
            <v>0</v>
          </cell>
          <cell r="BI1724">
            <v>0</v>
          </cell>
          <cell r="BJ1724">
            <v>0</v>
          </cell>
          <cell r="BK1724">
            <v>0</v>
          </cell>
          <cell r="BL1724">
            <v>0</v>
          </cell>
          <cell r="BM1724">
            <v>0</v>
          </cell>
          <cell r="BN1724">
            <v>0</v>
          </cell>
          <cell r="BO1724">
            <v>0</v>
          </cell>
          <cell r="BP1724">
            <v>0</v>
          </cell>
          <cell r="BQ1724">
            <v>0</v>
          </cell>
          <cell r="BR1724">
            <v>0</v>
          </cell>
          <cell r="BT1724">
            <v>0</v>
          </cell>
          <cell r="CA1724" t="str">
            <v>0SERMC - EBITA - Identified - Recompete</v>
          </cell>
          <cell r="CC1724" t="str">
            <v>0SERMC - EBITA - Identified - Recompete - IS4</v>
          </cell>
          <cell r="CD1724" t="str">
            <v/>
          </cell>
          <cell r="CF1724" t="str">
            <v>0SERMC - Identified - Recompete - IS4</v>
          </cell>
        </row>
        <row r="1725">
          <cell r="D1725">
            <v>1711</v>
          </cell>
          <cell r="E1725">
            <v>1</v>
          </cell>
          <cell r="F1725">
            <v>1</v>
          </cell>
          <cell r="G1725" t="str">
            <v>002607</v>
          </cell>
          <cell r="H1725" t="str">
            <v>NAV Expeditionary Prgms</v>
          </cell>
          <cell r="I1725" t="str">
            <v>IS4</v>
          </cell>
          <cell r="J1725" t="str">
            <v>IS4 Sustainment Engineering and Acquisition</v>
          </cell>
          <cell r="K1725" t="str">
            <v>Navy</v>
          </cell>
          <cell r="L1725" t="str">
            <v>DOD</v>
          </cell>
          <cell r="M1725" t="str">
            <v>VA</v>
          </cell>
          <cell r="N1725" t="str">
            <v>CONUS</v>
          </cell>
          <cell r="O1725">
            <v>41911</v>
          </cell>
          <cell r="P1725">
            <v>43736</v>
          </cell>
          <cell r="Q1725" t="str">
            <v>Sub</v>
          </cell>
          <cell r="R1725" t="str">
            <v>CPFF</v>
          </cell>
          <cell r="S1725">
            <v>0</v>
          </cell>
          <cell r="T1725">
            <v>1</v>
          </cell>
          <cell r="U1725" t="str">
            <v>REVTOT</v>
          </cell>
          <cell r="V1725" t="str">
            <v>Base</v>
          </cell>
          <cell r="W1725" t="str">
            <v>05 Won</v>
          </cell>
          <cell r="X1725" t="str">
            <v>Active</v>
          </cell>
          <cell r="Y1725">
            <v>1</v>
          </cell>
          <cell r="Z1725">
            <v>0</v>
          </cell>
          <cell r="AA1725">
            <v>260847.23999999985</v>
          </cell>
          <cell r="AB1725">
            <v>0</v>
          </cell>
          <cell r="AC1725">
            <v>0</v>
          </cell>
          <cell r="AD1725">
            <v>260847.23999999985</v>
          </cell>
          <cell r="AE1725">
            <v>-9.5179176596969728E-2</v>
          </cell>
          <cell r="AF1725">
            <v>2.3043738012836545E-2</v>
          </cell>
          <cell r="AG1725">
            <v>-0.20510379019421121</v>
          </cell>
          <cell r="AH1725">
            <v>-0.10827306748661569</v>
          </cell>
          <cell r="AI1725">
            <v>0</v>
          </cell>
          <cell r="AJ1725">
            <v>0</v>
          </cell>
          <cell r="AK1725">
            <v>0</v>
          </cell>
          <cell r="BB1725">
            <v>291868.02437967458</v>
          </cell>
          <cell r="BC1725">
            <v>291868.02437967458</v>
          </cell>
          <cell r="BD1725">
            <v>291868.02437967458</v>
          </cell>
          <cell r="BE1725">
            <v>291868.02437967458</v>
          </cell>
          <cell r="BF1725">
            <v>397545.78</v>
          </cell>
          <cell r="BG1725">
            <v>359707.69999999995</v>
          </cell>
          <cell r="BH1725">
            <v>367996.70999999996</v>
          </cell>
          <cell r="BI1725">
            <v>91649.3</v>
          </cell>
          <cell r="BJ1725">
            <v>68955.899999999994</v>
          </cell>
          <cell r="BK1725">
            <v>62050.43</v>
          </cell>
          <cell r="BL1725">
            <v>69863.56</v>
          </cell>
          <cell r="BM1725">
            <v>292519.19</v>
          </cell>
          <cell r="BN1725">
            <v>260847.23999999985</v>
          </cell>
          <cell r="BO1725">
            <v>0</v>
          </cell>
          <cell r="BP1725">
            <v>0</v>
          </cell>
          <cell r="BQ1725">
            <v>0</v>
          </cell>
          <cell r="BR1725">
            <v>553366.42999999982</v>
          </cell>
          <cell r="BT1725">
            <v>0</v>
          </cell>
          <cell r="CA1725" t="str">
            <v>002607 - REVTOT - Base</v>
          </cell>
          <cell r="CC1725" t="str">
            <v>002607 - REVTOT - Base - IS4</v>
          </cell>
          <cell r="CD1725" t="str">
            <v/>
          </cell>
          <cell r="CF1725" t="str">
            <v>002607 - Base - IS4</v>
          </cell>
        </row>
        <row r="1726">
          <cell r="D1726">
            <v>1712</v>
          </cell>
          <cell r="E1726">
            <v>1</v>
          </cell>
          <cell r="F1726">
            <v>2</v>
          </cell>
          <cell r="G1726" t="str">
            <v>002607</v>
          </cell>
          <cell r="H1726" t="str">
            <v>NAV Expeditionary Prgms</v>
          </cell>
          <cell r="I1726" t="str">
            <v>IS4</v>
          </cell>
          <cell r="J1726" t="str">
            <v>IS4 Sustainment Engineering and Acquisition</v>
          </cell>
          <cell r="K1726" t="str">
            <v>Navy</v>
          </cell>
          <cell r="L1726" t="str">
            <v>DOD</v>
          </cell>
          <cell r="M1726" t="str">
            <v>VA</v>
          </cell>
          <cell r="N1726" t="str">
            <v>CONUS</v>
          </cell>
          <cell r="O1726">
            <v>44032</v>
          </cell>
          <cell r="P1726">
            <v>45858</v>
          </cell>
          <cell r="Q1726" t="str">
            <v>Sub</v>
          </cell>
          <cell r="R1726" t="str">
            <v>CPFF</v>
          </cell>
          <cell r="S1726">
            <v>0</v>
          </cell>
          <cell r="T1726">
            <v>1</v>
          </cell>
          <cell r="U1726" t="str">
            <v>REVTOT</v>
          </cell>
          <cell r="V1726" t="str">
            <v>Identified - Recompete</v>
          </cell>
          <cell r="W1726" t="str">
            <v>04 Submitted</v>
          </cell>
          <cell r="X1726" t="str">
            <v>Priority 3</v>
          </cell>
          <cell r="Y1726">
            <v>0.6</v>
          </cell>
          <cell r="Z1726">
            <v>2000000</v>
          </cell>
          <cell r="AA1726">
            <v>0</v>
          </cell>
          <cell r="AB1726">
            <v>0</v>
          </cell>
          <cell r="AC1726">
            <v>0</v>
          </cell>
          <cell r="AD1726">
            <v>0</v>
          </cell>
          <cell r="AI1726">
            <v>0</v>
          </cell>
          <cell r="AJ1726">
            <v>0</v>
          </cell>
          <cell r="AK1726">
            <v>0</v>
          </cell>
          <cell r="BB1726">
            <v>400000</v>
          </cell>
          <cell r="BC1726">
            <v>400000</v>
          </cell>
          <cell r="BD1726">
            <v>400000</v>
          </cell>
          <cell r="BE1726">
            <v>400000</v>
          </cell>
          <cell r="BI1726">
            <v>0</v>
          </cell>
          <cell r="BJ1726">
            <v>0</v>
          </cell>
          <cell r="BK1726">
            <v>0</v>
          </cell>
          <cell r="BL1726">
            <v>0</v>
          </cell>
          <cell r="BM1726">
            <v>0</v>
          </cell>
          <cell r="BN1726">
            <v>46666.666666666664</v>
          </cell>
          <cell r="BO1726">
            <v>240000</v>
          </cell>
          <cell r="BP1726">
            <v>240000</v>
          </cell>
          <cell r="BQ1726">
            <v>240000</v>
          </cell>
          <cell r="BR1726">
            <v>766666.66666666674</v>
          </cell>
          <cell r="BT1726">
            <v>0</v>
          </cell>
          <cell r="CA1726" t="str">
            <v>002607 - REVTOT - Identified - Recompete</v>
          </cell>
          <cell r="CC1726" t="str">
            <v>002607 - REVTOT - Identified - Recompete - IS4</v>
          </cell>
          <cell r="CD1726" t="str">
            <v/>
          </cell>
          <cell r="CF1726" t="str">
            <v>002607 - Identified - Recompete - IS4</v>
          </cell>
        </row>
        <row r="1727">
          <cell r="D1727">
            <v>1713</v>
          </cell>
          <cell r="E1727">
            <v>2</v>
          </cell>
          <cell r="F1727">
            <v>3</v>
          </cell>
          <cell r="G1727" t="str">
            <v>002607</v>
          </cell>
          <cell r="H1727" t="str">
            <v>NAV Expeditionary Prgms</v>
          </cell>
          <cell r="I1727" t="str">
            <v>IS4</v>
          </cell>
          <cell r="J1727" t="str">
            <v>IS4 Sustainment Engineering and Acquisition</v>
          </cell>
          <cell r="K1727" t="str">
            <v>Navy</v>
          </cell>
          <cell r="L1727" t="str">
            <v>DOD</v>
          </cell>
          <cell r="M1727" t="str">
            <v>VA</v>
          </cell>
          <cell r="N1727" t="str">
            <v>CONUS</v>
          </cell>
          <cell r="O1727">
            <v>41911</v>
          </cell>
          <cell r="P1727">
            <v>43736</v>
          </cell>
          <cell r="Q1727" t="str">
            <v>Sub</v>
          </cell>
          <cell r="R1727" t="str">
            <v>CPFF</v>
          </cell>
          <cell r="S1727">
            <v>0</v>
          </cell>
          <cell r="T1727">
            <v>1</v>
          </cell>
          <cell r="U1727" t="str">
            <v>CONTRACT</v>
          </cell>
          <cell r="V1727" t="str">
            <v>Base</v>
          </cell>
          <cell r="W1727" t="str">
            <v>05 Won</v>
          </cell>
          <cell r="X1727" t="str">
            <v>Active</v>
          </cell>
          <cell r="Y1727">
            <v>1</v>
          </cell>
          <cell r="Z1727">
            <v>0</v>
          </cell>
          <cell r="AA1727">
            <v>260847.23999999985</v>
          </cell>
          <cell r="AB1727">
            <v>0</v>
          </cell>
          <cell r="AC1727">
            <v>0</v>
          </cell>
          <cell r="AD1727">
            <v>260847.23999999985</v>
          </cell>
          <cell r="AL1727">
            <v>0.24223522131212155</v>
          </cell>
          <cell r="AM1727">
            <v>0.16243925275994928</v>
          </cell>
          <cell r="AN1727">
            <v>0.16496658353277127</v>
          </cell>
          <cell r="AO1727">
            <v>0.17014928148816491</v>
          </cell>
          <cell r="AP1727">
            <v>0.1657586973297227</v>
          </cell>
          <cell r="AQ1727">
            <v>0.1657586973297227</v>
          </cell>
          <cell r="AR1727">
            <v>0.1657586973297227</v>
          </cell>
          <cell r="AS1727">
            <v>0.1657586973297227</v>
          </cell>
          <cell r="BF1727">
            <v>96299.59</v>
          </cell>
          <cell r="BG1727">
            <v>58430.649999999994</v>
          </cell>
          <cell r="BH1727">
            <v>60707.16</v>
          </cell>
          <cell r="BI1727">
            <v>15339.89</v>
          </cell>
          <cell r="BJ1727">
            <v>11287.300000000003</v>
          </cell>
          <cell r="BK1727">
            <v>10287.5</v>
          </cell>
          <cell r="BL1727">
            <v>12857.239999999994</v>
          </cell>
          <cell r="BM1727">
            <v>49771.929999999993</v>
          </cell>
          <cell r="BN1727">
            <v>43237.698704453513</v>
          </cell>
          <cell r="BO1727">
            <v>0</v>
          </cell>
          <cell r="BP1727">
            <v>0</v>
          </cell>
          <cell r="BQ1727">
            <v>0</v>
          </cell>
          <cell r="BR1727">
            <v>93009.628704453498</v>
          </cell>
          <cell r="BT1727">
            <v>0</v>
          </cell>
          <cell r="CA1727" t="str">
            <v>002607 - CONTRACT - Base</v>
          </cell>
          <cell r="CC1727" t="str">
            <v>002607 - CONTRACT - Base - IS4</v>
          </cell>
          <cell r="CD1727" t="str">
            <v/>
          </cell>
          <cell r="CF1727" t="str">
            <v>002607 - Base - IS4</v>
          </cell>
        </row>
        <row r="1728">
          <cell r="D1728">
            <v>1714</v>
          </cell>
          <cell r="E1728">
            <v>2</v>
          </cell>
          <cell r="F1728">
            <v>4</v>
          </cell>
          <cell r="G1728" t="str">
            <v>002607</v>
          </cell>
          <cell r="H1728" t="str">
            <v>NAV Expeditionary Prgms</v>
          </cell>
          <cell r="I1728" t="str">
            <v>IS4</v>
          </cell>
          <cell r="J1728" t="str">
            <v>IS4 Sustainment Engineering and Acquisition</v>
          </cell>
          <cell r="K1728" t="str">
            <v>Navy</v>
          </cell>
          <cell r="L1728" t="str">
            <v>DOD</v>
          </cell>
          <cell r="M1728" t="str">
            <v>VA</v>
          </cell>
          <cell r="N1728" t="str">
            <v>CONUS</v>
          </cell>
          <cell r="O1728">
            <v>44032</v>
          </cell>
          <cell r="P1728">
            <v>45858</v>
          </cell>
          <cell r="Q1728" t="str">
            <v>Sub</v>
          </cell>
          <cell r="R1728" t="str">
            <v>CPFF</v>
          </cell>
          <cell r="S1728">
            <v>0</v>
          </cell>
          <cell r="T1728">
            <v>1</v>
          </cell>
          <cell r="U1728" t="str">
            <v>CONTRACT</v>
          </cell>
          <cell r="V1728" t="str">
            <v>Identified - Recompete</v>
          </cell>
          <cell r="W1728" t="str">
            <v>04 Submitted</v>
          </cell>
          <cell r="X1728" t="str">
            <v>Priority 3</v>
          </cell>
          <cell r="Y1728">
            <v>0.6</v>
          </cell>
          <cell r="Z1728">
            <v>2000000</v>
          </cell>
          <cell r="AA1728">
            <v>0</v>
          </cell>
          <cell r="AB1728">
            <v>0</v>
          </cell>
          <cell r="AC1728">
            <v>0</v>
          </cell>
          <cell r="AD1728">
            <v>0</v>
          </cell>
          <cell r="AP1728">
            <v>0.1657586973297227</v>
          </cell>
          <cell r="AQ1728">
            <v>0.1657586973297227</v>
          </cell>
          <cell r="AR1728">
            <v>0.1657586973297227</v>
          </cell>
          <cell r="AS1728">
            <v>0.1657586973297227</v>
          </cell>
          <cell r="BI1728">
            <v>0</v>
          </cell>
          <cell r="BJ1728">
            <v>0</v>
          </cell>
          <cell r="BK1728">
            <v>0</v>
          </cell>
          <cell r="BL1728">
            <v>0</v>
          </cell>
          <cell r="BM1728">
            <v>0</v>
          </cell>
          <cell r="BN1728">
            <v>7735.4058753870595</v>
          </cell>
          <cell r="BO1728">
            <v>39782.087359133446</v>
          </cell>
          <cell r="BP1728">
            <v>39782.087359133446</v>
          </cell>
          <cell r="BQ1728">
            <v>39782.087359133446</v>
          </cell>
          <cell r="BR1728">
            <v>127081.66795278739</v>
          </cell>
          <cell r="BT1728">
            <v>0</v>
          </cell>
          <cell r="CA1728" t="str">
            <v>002607 - CONTRACT - Identified - Recompete</v>
          </cell>
          <cell r="CC1728" t="str">
            <v>002607 - CONTRACT - Identified - Recompete - IS4</v>
          </cell>
          <cell r="CD1728" t="str">
            <v/>
          </cell>
          <cell r="CF1728" t="str">
            <v>002607 - Identified - Recompete - IS4</v>
          </cell>
        </row>
        <row r="1729">
          <cell r="D1729">
            <v>1715</v>
          </cell>
          <cell r="E1729">
            <v>0</v>
          </cell>
          <cell r="F1729">
            <v>5</v>
          </cell>
          <cell r="G1729" t="str">
            <v>002607</v>
          </cell>
          <cell r="H1729" t="str">
            <v>NAV Expeditionary Prgms</v>
          </cell>
          <cell r="I1729" t="str">
            <v>IS4</v>
          </cell>
          <cell r="J1729" t="str">
            <v>IS4 Sustainment Engineering and Acquisition</v>
          </cell>
          <cell r="K1729" t="str">
            <v>Navy</v>
          </cell>
          <cell r="L1729" t="str">
            <v>DOD</v>
          </cell>
          <cell r="M1729" t="str">
            <v>VA</v>
          </cell>
          <cell r="N1729" t="str">
            <v>CONUS</v>
          </cell>
          <cell r="O1729">
            <v>41911</v>
          </cell>
          <cell r="P1729">
            <v>43736</v>
          </cell>
          <cell r="Q1729" t="str">
            <v>Sub</v>
          </cell>
          <cell r="R1729" t="str">
            <v>CPFF</v>
          </cell>
          <cell r="S1729">
            <v>0</v>
          </cell>
          <cell r="T1729">
            <v>1</v>
          </cell>
          <cell r="U1729" t="str">
            <v>EBITA</v>
          </cell>
          <cell r="V1729" t="str">
            <v>Base</v>
          </cell>
          <cell r="W1729" t="str">
            <v>05 Won</v>
          </cell>
          <cell r="X1729" t="str">
            <v>Active</v>
          </cell>
          <cell r="Y1729">
            <v>1</v>
          </cell>
          <cell r="Z1729">
            <v>0</v>
          </cell>
          <cell r="AA1729">
            <v>260847.23999999985</v>
          </cell>
          <cell r="AB1729">
            <v>0</v>
          </cell>
          <cell r="AC1729">
            <v>0</v>
          </cell>
          <cell r="AD1729">
            <v>260847.23999999985</v>
          </cell>
          <cell r="AT1729">
            <v>5.6609379679492498E-2</v>
          </cell>
          <cell r="AU1729">
            <v>2.9135573133408029E-2</v>
          </cell>
          <cell r="AV1729">
            <v>3.8304880497437056E-2</v>
          </cell>
          <cell r="AW1729">
            <v>4.1880124172366251E-2</v>
          </cell>
          <cell r="AX1729">
            <v>3.6593684771911536E-2</v>
          </cell>
          <cell r="AY1729">
            <v>3.6593684771911536E-2</v>
          </cell>
          <cell r="AZ1729">
            <v>3.6593684771911536E-2</v>
          </cell>
          <cell r="BA1729">
            <v>3.6593684771911536E-2</v>
          </cell>
          <cell r="BF1729">
            <v>22504.819999999996</v>
          </cell>
          <cell r="BG1729">
            <v>10480.289999999994</v>
          </cell>
          <cell r="BH1729">
            <v>14096.07</v>
          </cell>
          <cell r="BI1729">
            <v>3524.9699999999989</v>
          </cell>
          <cell r="BJ1729">
            <v>2652.1700000000028</v>
          </cell>
          <cell r="BK1729">
            <v>2386.5299999999997</v>
          </cell>
          <cell r="BL1729">
            <v>3687.0699999999938</v>
          </cell>
          <cell r="BM1729">
            <v>12250.739999999996</v>
          </cell>
          <cell r="BN1729">
            <v>9545.3616741831484</v>
          </cell>
          <cell r="BO1729">
            <v>0</v>
          </cell>
          <cell r="BP1729">
            <v>0</v>
          </cell>
          <cell r="BQ1729">
            <v>0</v>
          </cell>
          <cell r="BR1729">
            <v>21796.101674183144</v>
          </cell>
          <cell r="BT1729">
            <v>0</v>
          </cell>
          <cell r="CA1729" t="str">
            <v>002607 - EBITA - Base</v>
          </cell>
          <cell r="CC1729" t="str">
            <v>002607 - EBITA - Base - IS4</v>
          </cell>
          <cell r="CD1729" t="str">
            <v/>
          </cell>
          <cell r="CF1729" t="str">
            <v>002607 - Base - IS4</v>
          </cell>
        </row>
        <row r="1730">
          <cell r="D1730">
            <v>1716</v>
          </cell>
          <cell r="E1730">
            <v>0</v>
          </cell>
          <cell r="F1730">
            <v>0</v>
          </cell>
          <cell r="G1730" t="str">
            <v>002607</v>
          </cell>
          <cell r="H1730" t="str">
            <v>NAV Expeditionary Prgms</v>
          </cell>
          <cell r="I1730" t="str">
            <v>IS4</v>
          </cell>
          <cell r="J1730" t="str">
            <v>IS4 Sustainment Engineering and Acquisition</v>
          </cell>
          <cell r="K1730" t="str">
            <v>Navy</v>
          </cell>
          <cell r="L1730" t="str">
            <v>DOD</v>
          </cell>
          <cell r="M1730" t="str">
            <v>VA</v>
          </cell>
          <cell r="N1730" t="str">
            <v>CONUS</v>
          </cell>
          <cell r="O1730">
            <v>44032</v>
          </cell>
          <cell r="P1730">
            <v>45858</v>
          </cell>
          <cell r="Q1730" t="str">
            <v>Sub</v>
          </cell>
          <cell r="R1730" t="str">
            <v>CPFF</v>
          </cell>
          <cell r="S1730">
            <v>0</v>
          </cell>
          <cell r="T1730">
            <v>1</v>
          </cell>
          <cell r="U1730" t="str">
            <v>EBITA</v>
          </cell>
          <cell r="V1730" t="str">
            <v>Identified - Recompete</v>
          </cell>
          <cell r="W1730" t="str">
            <v>04 Submitted</v>
          </cell>
          <cell r="X1730" t="str">
            <v>Priority 3</v>
          </cell>
          <cell r="Y1730">
            <v>0.6</v>
          </cell>
          <cell r="Z1730">
            <v>2000000</v>
          </cell>
          <cell r="AA1730">
            <v>0</v>
          </cell>
          <cell r="AB1730">
            <v>0</v>
          </cell>
          <cell r="AC1730">
            <v>0</v>
          </cell>
          <cell r="AD1730">
            <v>0</v>
          </cell>
          <cell r="AX1730">
            <v>3.6593684771911536E-2</v>
          </cell>
          <cell r="AY1730">
            <v>3.6593684771911536E-2</v>
          </cell>
          <cell r="AZ1730">
            <v>3.6593684771911536E-2</v>
          </cell>
          <cell r="BA1730">
            <v>3.6593684771911536E-2</v>
          </cell>
          <cell r="BI1730">
            <v>0</v>
          </cell>
          <cell r="BJ1730">
            <v>0</v>
          </cell>
          <cell r="BK1730">
            <v>0</v>
          </cell>
          <cell r="BL1730">
            <v>0</v>
          </cell>
          <cell r="BM1730">
            <v>0</v>
          </cell>
          <cell r="BN1730">
            <v>1707.7052893558716</v>
          </cell>
          <cell r="BO1730">
            <v>8782.4843452587684</v>
          </cell>
          <cell r="BP1730">
            <v>8782.4843452587684</v>
          </cell>
          <cell r="BQ1730">
            <v>8782.4843452587684</v>
          </cell>
          <cell r="BR1730">
            <v>28055.158325132179</v>
          </cell>
          <cell r="BT1730">
            <v>0</v>
          </cell>
          <cell r="CA1730" t="str">
            <v>002607 - EBITA - Identified - Recompete</v>
          </cell>
          <cell r="CC1730" t="str">
            <v>002607 - EBITA - Identified - Recompete - IS4</v>
          </cell>
          <cell r="CD1730" t="str">
            <v/>
          </cell>
          <cell r="CF1730" t="str">
            <v>002607 - Identified - Recompete - IS4</v>
          </cell>
        </row>
        <row r="1731">
          <cell r="D1731">
            <v>1717</v>
          </cell>
          <cell r="E1731">
            <v>1</v>
          </cell>
          <cell r="F1731">
            <v>1</v>
          </cell>
          <cell r="G1731" t="str">
            <v>002983</v>
          </cell>
          <cell r="H1731" t="str">
            <v>2983 - ONR FNC Support</v>
          </cell>
          <cell r="I1731" t="str">
            <v>IS4</v>
          </cell>
          <cell r="J1731" t="str">
            <v>IS4 Sustainment Engineering and Acquisition</v>
          </cell>
          <cell r="K1731" t="str">
            <v>Navy</v>
          </cell>
          <cell r="L1731" t="str">
            <v>DOD</v>
          </cell>
          <cell r="M1731" t="str">
            <v>US_State</v>
          </cell>
          <cell r="N1731" t="str">
            <v>CONUS</v>
          </cell>
          <cell r="O1731">
            <v>42160</v>
          </cell>
          <cell r="P1731">
            <v>44169</v>
          </cell>
          <cell r="Q1731" t="str">
            <v>Sub</v>
          </cell>
          <cell r="R1731" t="str">
            <v>CPFF</v>
          </cell>
          <cell r="S1731">
            <v>0</v>
          </cell>
          <cell r="T1731">
            <v>1</v>
          </cell>
          <cell r="U1731" t="str">
            <v>REVTOT</v>
          </cell>
          <cell r="V1731" t="str">
            <v>Base</v>
          </cell>
          <cell r="W1731" t="str">
            <v>05 Won</v>
          </cell>
          <cell r="X1731" t="str">
            <v>Active</v>
          </cell>
          <cell r="Y1731">
            <v>1</v>
          </cell>
          <cell r="Z1731">
            <v>0</v>
          </cell>
          <cell r="AA1731">
            <v>105410.59999999986</v>
          </cell>
          <cell r="AB1731">
            <v>2062096.22</v>
          </cell>
          <cell r="AC1731">
            <v>0</v>
          </cell>
          <cell r="AD1731">
            <v>2167506.8199999998</v>
          </cell>
          <cell r="AE1731">
            <v>-0.40502680454395346</v>
          </cell>
          <cell r="AF1731">
            <v>-0.11800029035890702</v>
          </cell>
          <cell r="AG1731">
            <v>1.75591413897076E-2</v>
          </cell>
          <cell r="AH1731">
            <v>3.656763494039672E-2</v>
          </cell>
          <cell r="AI1731">
            <v>0</v>
          </cell>
          <cell r="AJ1731">
            <v>0</v>
          </cell>
          <cell r="AK1731">
            <v>0</v>
          </cell>
          <cell r="BB1731">
            <v>225240.20753999997</v>
          </cell>
          <cell r="BC1731">
            <v>225240.20753999997</v>
          </cell>
          <cell r="BD1731">
            <v>225240.20753999997</v>
          </cell>
          <cell r="BE1731">
            <v>225240.20753999997</v>
          </cell>
          <cell r="BF1731">
            <v>406932.87</v>
          </cell>
          <cell r="BG1731">
            <v>242114.15</v>
          </cell>
          <cell r="BH1731">
            <v>213544.61000000002</v>
          </cell>
          <cell r="BI1731">
            <v>50368.09</v>
          </cell>
          <cell r="BJ1731">
            <v>54221.89</v>
          </cell>
          <cell r="BK1731">
            <v>57186.67</v>
          </cell>
          <cell r="BL1731">
            <v>55517.62</v>
          </cell>
          <cell r="BM1731">
            <v>217294.27</v>
          </cell>
          <cell r="BN1731">
            <v>225240.20753999997</v>
          </cell>
          <cell r="BO1731">
            <v>225240.20753999997</v>
          </cell>
          <cell r="BP1731">
            <v>225240.20753999997</v>
          </cell>
          <cell r="BQ1731">
            <v>225240.20753999997</v>
          </cell>
          <cell r="BR1731">
            <v>1118255.1001599999</v>
          </cell>
          <cell r="BT1731">
            <v>0</v>
          </cell>
          <cell r="CA1731" t="str">
            <v>002983 - REVTOT - Base</v>
          </cell>
          <cell r="CC1731" t="str">
            <v>002983 - REVTOT - Base - IS4</v>
          </cell>
          <cell r="CD1731" t="str">
            <v/>
          </cell>
          <cell r="CF1731" t="str">
            <v>002983 - Base - IS4</v>
          </cell>
        </row>
        <row r="1732">
          <cell r="D1732">
            <v>1718</v>
          </cell>
          <cell r="E1732">
            <v>1</v>
          </cell>
          <cell r="F1732">
            <v>2</v>
          </cell>
          <cell r="G1732" t="str">
            <v>002983</v>
          </cell>
          <cell r="H1732" t="str">
            <v>2983 - ONR FNC Support</v>
          </cell>
          <cell r="I1732" t="str">
            <v>IS4</v>
          </cell>
          <cell r="J1732" t="str">
            <v>IS4 Sustainment Engineering and Acquisition</v>
          </cell>
          <cell r="K1732" t="str">
            <v>Navy</v>
          </cell>
          <cell r="L1732" t="str">
            <v>DOD</v>
          </cell>
          <cell r="M1732" t="str">
            <v>US_State</v>
          </cell>
          <cell r="N1732" t="str">
            <v>CONUS</v>
          </cell>
          <cell r="O1732">
            <v>0</v>
          </cell>
          <cell r="P1732">
            <v>0</v>
          </cell>
          <cell r="Q1732">
            <v>0</v>
          </cell>
          <cell r="R1732" t="str">
            <v>CPFF</v>
          </cell>
          <cell r="S1732">
            <v>0</v>
          </cell>
          <cell r="T1732">
            <v>1</v>
          </cell>
          <cell r="U1732" t="str">
            <v>REVTOT</v>
          </cell>
          <cell r="V1732" t="str">
            <v>Identified - Recompete</v>
          </cell>
          <cell r="W1732">
            <v>0</v>
          </cell>
          <cell r="X1732">
            <v>0</v>
          </cell>
          <cell r="Y1732">
            <v>0</v>
          </cell>
          <cell r="Z1732">
            <v>0</v>
          </cell>
          <cell r="AA1732">
            <v>0</v>
          </cell>
          <cell r="AB1732">
            <v>0</v>
          </cell>
          <cell r="AC1732">
            <v>0</v>
          </cell>
          <cell r="AD1732">
            <v>0</v>
          </cell>
          <cell r="AI1732">
            <v>0</v>
          </cell>
          <cell r="AJ1732">
            <v>0</v>
          </cell>
          <cell r="AK1732">
            <v>0</v>
          </cell>
          <cell r="BB1732">
            <v>0</v>
          </cell>
          <cell r="BC1732">
            <v>0</v>
          </cell>
          <cell r="BD1732">
            <v>0</v>
          </cell>
          <cell r="BE1732">
            <v>0</v>
          </cell>
          <cell r="BI1732">
            <v>0</v>
          </cell>
          <cell r="BJ1732">
            <v>0</v>
          </cell>
          <cell r="BK1732">
            <v>0</v>
          </cell>
          <cell r="BL1732">
            <v>0</v>
          </cell>
          <cell r="BM1732">
            <v>0</v>
          </cell>
          <cell r="BN1732">
            <v>0</v>
          </cell>
          <cell r="BO1732">
            <v>0</v>
          </cell>
          <cell r="BP1732">
            <v>0</v>
          </cell>
          <cell r="BQ1732">
            <v>0</v>
          </cell>
          <cell r="BR1732">
            <v>0</v>
          </cell>
          <cell r="BT1732">
            <v>0</v>
          </cell>
          <cell r="CA1732" t="str">
            <v>002983 - REVTOT - Identified - Recompete</v>
          </cell>
          <cell r="CC1732" t="str">
            <v>002983 - REVTOT - Identified - Recompete - IS4</v>
          </cell>
          <cell r="CD1732" t="str">
            <v/>
          </cell>
          <cell r="CF1732" t="str">
            <v>002983 - Identified - Recompete - IS4</v>
          </cell>
        </row>
        <row r="1733">
          <cell r="D1733">
            <v>1719</v>
          </cell>
          <cell r="E1733">
            <v>2</v>
          </cell>
          <cell r="F1733">
            <v>3</v>
          </cell>
          <cell r="G1733" t="str">
            <v>002983</v>
          </cell>
          <cell r="H1733" t="str">
            <v>2983 - ONR FNC Support</v>
          </cell>
          <cell r="I1733" t="str">
            <v>IS4</v>
          </cell>
          <cell r="J1733" t="str">
            <v>IS4 Sustainment Engineering and Acquisition</v>
          </cell>
          <cell r="K1733" t="str">
            <v>Navy</v>
          </cell>
          <cell r="L1733" t="str">
            <v>DOD</v>
          </cell>
          <cell r="M1733" t="str">
            <v>US_State</v>
          </cell>
          <cell r="N1733" t="str">
            <v>CONUS</v>
          </cell>
          <cell r="O1733">
            <v>42160</v>
          </cell>
          <cell r="P1733">
            <v>44169</v>
          </cell>
          <cell r="Q1733" t="str">
            <v>Sub</v>
          </cell>
          <cell r="R1733" t="str">
            <v>CPFF</v>
          </cell>
          <cell r="S1733">
            <v>0</v>
          </cell>
          <cell r="T1733">
            <v>1</v>
          </cell>
          <cell r="U1733" t="str">
            <v>CONTRACT</v>
          </cell>
          <cell r="V1733" t="str">
            <v>Base</v>
          </cell>
          <cell r="W1733" t="str">
            <v>05 Won</v>
          </cell>
          <cell r="X1733" t="str">
            <v>Active</v>
          </cell>
          <cell r="Y1733">
            <v>1</v>
          </cell>
          <cell r="Z1733">
            <v>0</v>
          </cell>
          <cell r="AA1733">
            <v>105410.59999999986</v>
          </cell>
          <cell r="AB1733">
            <v>2062096.22</v>
          </cell>
          <cell r="AC1733">
            <v>0</v>
          </cell>
          <cell r="AD1733">
            <v>2167506.8199999998</v>
          </cell>
          <cell r="AL1733">
            <v>0.20370195211804837</v>
          </cell>
          <cell r="AM1733">
            <v>0.17947179047569092</v>
          </cell>
          <cell r="AN1733">
            <v>0.17198326850769027</v>
          </cell>
          <cell r="AO1733">
            <v>0.17445080351175393</v>
          </cell>
          <cell r="AP1733">
            <v>0.1739633150913249</v>
          </cell>
          <cell r="AQ1733">
            <v>0.1739633150913249</v>
          </cell>
          <cell r="AR1733">
            <v>0.1739633150913249</v>
          </cell>
          <cell r="AS1733">
            <v>0.1739633150913249</v>
          </cell>
          <cell r="BF1733">
            <v>82893.02</v>
          </cell>
          <cell r="BG1733">
            <v>43452.66</v>
          </cell>
          <cell r="BH1733">
            <v>36726.100000000006</v>
          </cell>
          <cell r="BI1733">
            <v>8840.9599999999973</v>
          </cell>
          <cell r="BJ1733">
            <v>9353.4100000000017</v>
          </cell>
          <cell r="BK1733">
            <v>9948.1400000000049</v>
          </cell>
          <cell r="BL1733">
            <v>9764.6500000000051</v>
          </cell>
          <cell r="BM1733">
            <v>37907.160000000003</v>
          </cell>
          <cell r="BN1733">
            <v>39183.533195516429</v>
          </cell>
          <cell r="BO1733">
            <v>39183.533195516429</v>
          </cell>
          <cell r="BP1733">
            <v>39183.533195516429</v>
          </cell>
          <cell r="BQ1733">
            <v>39183.533195516429</v>
          </cell>
          <cell r="BR1733">
            <v>194641.29278206575</v>
          </cell>
          <cell r="BT1733">
            <v>0</v>
          </cell>
          <cell r="CA1733" t="str">
            <v>002983 - CONTRACT - Base</v>
          </cell>
          <cell r="CC1733" t="str">
            <v>002983 - CONTRACT - Base - IS4</v>
          </cell>
          <cell r="CD1733" t="str">
            <v/>
          </cell>
          <cell r="CF1733" t="str">
            <v>002983 - Base - IS4</v>
          </cell>
        </row>
        <row r="1734">
          <cell r="D1734">
            <v>1720</v>
          </cell>
          <cell r="E1734">
            <v>2</v>
          </cell>
          <cell r="F1734">
            <v>4</v>
          </cell>
          <cell r="G1734" t="str">
            <v>002983</v>
          </cell>
          <cell r="H1734" t="str">
            <v>2983 - ONR FNC Support</v>
          </cell>
          <cell r="I1734" t="str">
            <v>IS4</v>
          </cell>
          <cell r="J1734" t="str">
            <v>IS4 Sustainment Engineering and Acquisition</v>
          </cell>
          <cell r="K1734" t="str">
            <v>Navy</v>
          </cell>
          <cell r="L1734" t="str">
            <v>DOD</v>
          </cell>
          <cell r="M1734" t="str">
            <v>US_State</v>
          </cell>
          <cell r="N1734" t="str">
            <v>CONUS</v>
          </cell>
          <cell r="O1734">
            <v>0</v>
          </cell>
          <cell r="P1734">
            <v>0</v>
          </cell>
          <cell r="Q1734">
            <v>0</v>
          </cell>
          <cell r="R1734" t="str">
            <v>CPFF</v>
          </cell>
          <cell r="S1734">
            <v>0</v>
          </cell>
          <cell r="T1734">
            <v>1</v>
          </cell>
          <cell r="U1734" t="str">
            <v>CONTRACT</v>
          </cell>
          <cell r="V1734" t="str">
            <v>Identified - Recompete</v>
          </cell>
          <cell r="W1734">
            <v>0</v>
          </cell>
          <cell r="X1734">
            <v>0</v>
          </cell>
          <cell r="Y1734">
            <v>0</v>
          </cell>
          <cell r="Z1734">
            <v>0</v>
          </cell>
          <cell r="AA1734">
            <v>0</v>
          </cell>
          <cell r="AB1734">
            <v>0</v>
          </cell>
          <cell r="AC1734">
            <v>0</v>
          </cell>
          <cell r="AD1734">
            <v>0</v>
          </cell>
          <cell r="AP1734">
            <v>0</v>
          </cell>
          <cell r="AQ1734">
            <v>0</v>
          </cell>
          <cell r="AR1734">
            <v>0</v>
          </cell>
          <cell r="AS1734">
            <v>0</v>
          </cell>
          <cell r="BI1734">
            <v>0</v>
          </cell>
          <cell r="BJ1734">
            <v>0</v>
          </cell>
          <cell r="BK1734">
            <v>0</v>
          </cell>
          <cell r="BL1734">
            <v>0</v>
          </cell>
          <cell r="BM1734">
            <v>0</v>
          </cell>
          <cell r="BN1734">
            <v>0</v>
          </cell>
          <cell r="BO1734">
            <v>0</v>
          </cell>
          <cell r="BP1734">
            <v>0</v>
          </cell>
          <cell r="BQ1734">
            <v>0</v>
          </cell>
          <cell r="BR1734">
            <v>0</v>
          </cell>
          <cell r="BT1734">
            <v>0</v>
          </cell>
          <cell r="CA1734" t="str">
            <v>002983 - CONTRACT - Identified - Recompete</v>
          </cell>
          <cell r="CC1734" t="str">
            <v>002983 - CONTRACT - Identified - Recompete - IS4</v>
          </cell>
          <cell r="CD1734" t="str">
            <v/>
          </cell>
          <cell r="CF1734" t="str">
            <v>002983 - Identified - Recompete - IS4</v>
          </cell>
        </row>
        <row r="1735">
          <cell r="D1735">
            <v>1721</v>
          </cell>
          <cell r="E1735">
            <v>0</v>
          </cell>
          <cell r="F1735">
            <v>5</v>
          </cell>
          <cell r="G1735" t="str">
            <v>002983</v>
          </cell>
          <cell r="H1735" t="str">
            <v>2983 - ONR FNC Support</v>
          </cell>
          <cell r="I1735" t="str">
            <v>IS4</v>
          </cell>
          <cell r="J1735" t="str">
            <v>IS4 Sustainment Engineering and Acquisition</v>
          </cell>
          <cell r="K1735" t="str">
            <v>Navy</v>
          </cell>
          <cell r="L1735" t="str">
            <v>DOD</v>
          </cell>
          <cell r="M1735" t="str">
            <v>US_State</v>
          </cell>
          <cell r="N1735" t="str">
            <v>CONUS</v>
          </cell>
          <cell r="O1735">
            <v>42160</v>
          </cell>
          <cell r="P1735">
            <v>44169</v>
          </cell>
          <cell r="Q1735" t="str">
            <v>Sub</v>
          </cell>
          <cell r="R1735" t="str">
            <v>CPFF</v>
          </cell>
          <cell r="S1735">
            <v>0</v>
          </cell>
          <cell r="T1735">
            <v>1</v>
          </cell>
          <cell r="U1735" t="str">
            <v>EBITA</v>
          </cell>
          <cell r="V1735" t="str">
            <v>Base</v>
          </cell>
          <cell r="W1735" t="str">
            <v>05 Won</v>
          </cell>
          <cell r="X1735" t="str">
            <v>Active</v>
          </cell>
          <cell r="Y1735">
            <v>1</v>
          </cell>
          <cell r="Z1735">
            <v>0</v>
          </cell>
          <cell r="AA1735">
            <v>105410.59999999986</v>
          </cell>
          <cell r="AB1735">
            <v>2062096.22</v>
          </cell>
          <cell r="AC1735">
            <v>0</v>
          </cell>
          <cell r="AD1735">
            <v>2167506.8199999998</v>
          </cell>
          <cell r="AT1735">
            <v>4.0296007545421439E-2</v>
          </cell>
          <cell r="AU1735">
            <v>4.0307020469476922E-2</v>
          </cell>
          <cell r="AV1735">
            <v>4.030717516119936E-2</v>
          </cell>
          <cell r="AW1735">
            <v>4.0307091392699904E-2</v>
          </cell>
          <cell r="AX1735">
            <v>4.0307101222559885E-2</v>
          </cell>
          <cell r="AY1735">
            <v>4.0307101222559885E-2</v>
          </cell>
          <cell r="AZ1735">
            <v>4.0307101222559885E-2</v>
          </cell>
          <cell r="BA1735">
            <v>4.0307101222559885E-2</v>
          </cell>
          <cell r="BF1735">
            <v>16397.77</v>
          </cell>
          <cell r="BG1735">
            <v>9758.9000000000051</v>
          </cell>
          <cell r="BH1735">
            <v>8607.3800000000047</v>
          </cell>
          <cell r="BI1735">
            <v>2030.1999999999975</v>
          </cell>
          <cell r="BJ1735">
            <v>2185.510000000002</v>
          </cell>
          <cell r="BK1735">
            <v>2305.0500000000052</v>
          </cell>
          <cell r="BL1735">
            <v>2237.7400000000052</v>
          </cell>
          <cell r="BM1735">
            <v>8758.5000000000091</v>
          </cell>
          <cell r="BN1735">
            <v>9078.7798447051755</v>
          </cell>
          <cell r="BO1735">
            <v>9078.7798447051755</v>
          </cell>
          <cell r="BP1735">
            <v>9078.7798447051755</v>
          </cell>
          <cell r="BQ1735">
            <v>9078.7798447051755</v>
          </cell>
          <cell r="BR1735">
            <v>45073.619378820709</v>
          </cell>
          <cell r="BT1735">
            <v>0</v>
          </cell>
          <cell r="CA1735" t="str">
            <v>002983 - EBITA - Base</v>
          </cell>
          <cell r="CC1735" t="str">
            <v>002983 - EBITA - Base - IS4</v>
          </cell>
          <cell r="CD1735" t="str">
            <v/>
          </cell>
          <cell r="CF1735" t="str">
            <v>002983 - Base - IS4</v>
          </cell>
        </row>
        <row r="1736">
          <cell r="D1736">
            <v>1722</v>
          </cell>
          <cell r="E1736">
            <v>0</v>
          </cell>
          <cell r="F1736">
            <v>0</v>
          </cell>
          <cell r="G1736" t="str">
            <v>002983</v>
          </cell>
          <cell r="H1736" t="str">
            <v>2983 - ONR FNC Support</v>
          </cell>
          <cell r="I1736" t="str">
            <v>IS4</v>
          </cell>
          <cell r="J1736" t="str">
            <v>IS4 Sustainment Engineering and Acquisition</v>
          </cell>
          <cell r="K1736" t="str">
            <v>Navy</v>
          </cell>
          <cell r="L1736" t="str">
            <v>DOD</v>
          </cell>
          <cell r="M1736" t="str">
            <v>US_State</v>
          </cell>
          <cell r="N1736" t="str">
            <v>CONUS</v>
          </cell>
          <cell r="O1736">
            <v>0</v>
          </cell>
          <cell r="P1736">
            <v>0</v>
          </cell>
          <cell r="Q1736">
            <v>0</v>
          </cell>
          <cell r="R1736" t="str">
            <v>CPFF</v>
          </cell>
          <cell r="S1736">
            <v>0</v>
          </cell>
          <cell r="T1736">
            <v>1</v>
          </cell>
          <cell r="U1736" t="str">
            <v>EBITA</v>
          </cell>
          <cell r="V1736" t="str">
            <v>Identified - Recompete</v>
          </cell>
          <cell r="W1736">
            <v>0</v>
          </cell>
          <cell r="X1736">
            <v>0</v>
          </cell>
          <cell r="Y1736">
            <v>0</v>
          </cell>
          <cell r="Z1736">
            <v>0</v>
          </cell>
          <cell r="AA1736">
            <v>0</v>
          </cell>
          <cell r="AB1736">
            <v>0</v>
          </cell>
          <cell r="AC1736">
            <v>0</v>
          </cell>
          <cell r="AD1736">
            <v>0</v>
          </cell>
          <cell r="AX1736">
            <v>0</v>
          </cell>
          <cell r="AY1736">
            <v>0</v>
          </cell>
          <cell r="AZ1736">
            <v>0</v>
          </cell>
          <cell r="BA1736">
            <v>0</v>
          </cell>
          <cell r="BI1736">
            <v>0</v>
          </cell>
          <cell r="BJ1736">
            <v>0</v>
          </cell>
          <cell r="BK1736">
            <v>0</v>
          </cell>
          <cell r="BL1736">
            <v>0</v>
          </cell>
          <cell r="BM1736">
            <v>0</v>
          </cell>
          <cell r="BN1736">
            <v>0</v>
          </cell>
          <cell r="BO1736">
            <v>0</v>
          </cell>
          <cell r="BP1736">
            <v>0</v>
          </cell>
          <cell r="BQ1736">
            <v>0</v>
          </cell>
          <cell r="BR1736">
            <v>0</v>
          </cell>
          <cell r="BT1736">
            <v>0</v>
          </cell>
          <cell r="CA1736" t="str">
            <v>002983 - EBITA - Identified - Recompete</v>
          </cell>
          <cell r="CC1736" t="str">
            <v>002983 - EBITA - Identified - Recompete - IS4</v>
          </cell>
          <cell r="CD1736" t="str">
            <v/>
          </cell>
          <cell r="CF1736" t="str">
            <v>002983 - Identified - Recompete - IS4</v>
          </cell>
        </row>
        <row r="1737">
          <cell r="D1737">
            <v>1723</v>
          </cell>
          <cell r="E1737">
            <v>1</v>
          </cell>
          <cell r="F1737">
            <v>1</v>
          </cell>
          <cell r="G1737" t="str">
            <v>004409</v>
          </cell>
          <cell r="H1737" t="str">
            <v>HSI Programs FY19</v>
          </cell>
          <cell r="I1737" t="str">
            <v>IS4</v>
          </cell>
          <cell r="J1737" t="str">
            <v>IS4 Spectrum &amp; Infrastructure Assurance</v>
          </cell>
          <cell r="K1737" t="str">
            <v>Navy</v>
          </cell>
          <cell r="L1737" t="str">
            <v>DOD</v>
          </cell>
          <cell r="M1737" t="str">
            <v>VA</v>
          </cell>
          <cell r="N1737" t="str">
            <v>CONUS</v>
          </cell>
          <cell r="O1737">
            <v>43496</v>
          </cell>
          <cell r="P1737">
            <v>45321</v>
          </cell>
          <cell r="Q1737" t="str">
            <v>Sub</v>
          </cell>
          <cell r="R1737" t="str">
            <v>CPFF</v>
          </cell>
          <cell r="S1737">
            <v>0</v>
          </cell>
          <cell r="T1737">
            <v>1</v>
          </cell>
          <cell r="U1737" t="str">
            <v>REVTOT</v>
          </cell>
          <cell r="V1737" t="str">
            <v>Base</v>
          </cell>
          <cell r="W1737" t="str">
            <v>05 Won</v>
          </cell>
          <cell r="X1737" t="str">
            <v>Active</v>
          </cell>
          <cell r="Y1737">
            <v>1</v>
          </cell>
          <cell r="Z1737">
            <v>0</v>
          </cell>
          <cell r="AA1737">
            <v>10270.762069999993</v>
          </cell>
          <cell r="AB1737">
            <v>712099</v>
          </cell>
          <cell r="AC1737">
            <v>0</v>
          </cell>
          <cell r="AD1737">
            <v>722369.76206999994</v>
          </cell>
          <cell r="AE1737">
            <v>0</v>
          </cell>
          <cell r="AF1737">
            <v>0</v>
          </cell>
          <cell r="AG1737">
            <v>0</v>
          </cell>
          <cell r="AH1737">
            <v>0.68541176299995077</v>
          </cell>
          <cell r="AI1737">
            <v>0</v>
          </cell>
          <cell r="AJ1737">
            <v>0</v>
          </cell>
          <cell r="AK1737">
            <v>0</v>
          </cell>
          <cell r="BB1737">
            <v>265029.71533000004</v>
          </cell>
          <cell r="BC1737">
            <v>265029.71533000004</v>
          </cell>
          <cell r="BD1737">
            <v>265029.71533000004</v>
          </cell>
          <cell r="BE1737">
            <v>265029.71533000004</v>
          </cell>
          <cell r="BF1737">
            <v>0</v>
          </cell>
          <cell r="BG1737">
            <v>0</v>
          </cell>
          <cell r="BH1737">
            <v>0</v>
          </cell>
          <cell r="BI1737">
            <v>0</v>
          </cell>
          <cell r="BJ1737">
            <v>18145.690000000002</v>
          </cell>
          <cell r="BK1737">
            <v>73495.05</v>
          </cell>
          <cell r="BL1737">
            <v>65608.497929999998</v>
          </cell>
          <cell r="BM1737">
            <v>157249.23793</v>
          </cell>
          <cell r="BN1737">
            <v>265029.71533000004</v>
          </cell>
          <cell r="BO1737">
            <v>265029.71533000004</v>
          </cell>
          <cell r="BP1737">
            <v>192310.33140999987</v>
          </cell>
          <cell r="BQ1737">
            <v>0</v>
          </cell>
          <cell r="BR1737">
            <v>879619</v>
          </cell>
          <cell r="BT1737">
            <v>0</v>
          </cell>
          <cell r="CA1737" t="str">
            <v>004409 - REVTOT - Base</v>
          </cell>
          <cell r="CC1737" t="str">
            <v>004409 - REVTOT - Base - IS4</v>
          </cell>
          <cell r="CD1737" t="str">
            <v/>
          </cell>
          <cell r="CF1737" t="str">
            <v>004409 - Base - IS4</v>
          </cell>
        </row>
        <row r="1738">
          <cell r="D1738">
            <v>1724</v>
          </cell>
          <cell r="E1738">
            <v>1</v>
          </cell>
          <cell r="F1738">
            <v>2</v>
          </cell>
          <cell r="G1738" t="str">
            <v>004409</v>
          </cell>
          <cell r="H1738" t="str">
            <v>HSI Programs FY19</v>
          </cell>
          <cell r="I1738" t="str">
            <v>IS4</v>
          </cell>
          <cell r="J1738" t="str">
            <v>IS4 Spectrum &amp; Infrastructure Assurance</v>
          </cell>
          <cell r="K1738" t="str">
            <v>Navy</v>
          </cell>
          <cell r="L1738" t="str">
            <v>DOD</v>
          </cell>
          <cell r="M1738" t="str">
            <v>VA</v>
          </cell>
          <cell r="N1738" t="str">
            <v>CONUS</v>
          </cell>
          <cell r="O1738">
            <v>45303</v>
          </cell>
          <cell r="P1738">
            <v>47130</v>
          </cell>
          <cell r="Q1738" t="str">
            <v>Sub</v>
          </cell>
          <cell r="R1738" t="str">
            <v>CPFF</v>
          </cell>
          <cell r="S1738">
            <v>0</v>
          </cell>
          <cell r="T1738">
            <v>1</v>
          </cell>
          <cell r="U1738" t="str">
            <v>REVTOT</v>
          </cell>
          <cell r="V1738" t="str">
            <v>Identified - Recompete</v>
          </cell>
          <cell r="W1738" t="str">
            <v>00 Investigate</v>
          </cell>
          <cell r="X1738" t="str">
            <v>Priority 3</v>
          </cell>
          <cell r="Y1738">
            <v>0.5</v>
          </cell>
          <cell r="Z1738">
            <v>5000000</v>
          </cell>
          <cell r="AA1738">
            <v>0</v>
          </cell>
          <cell r="AB1738">
            <v>0</v>
          </cell>
          <cell r="AC1738">
            <v>0</v>
          </cell>
          <cell r="AD1738">
            <v>0</v>
          </cell>
          <cell r="AI1738">
            <v>0</v>
          </cell>
          <cell r="AJ1738">
            <v>0</v>
          </cell>
          <cell r="AK1738">
            <v>0</v>
          </cell>
          <cell r="BB1738">
            <v>1000000</v>
          </cell>
          <cell r="BC1738">
            <v>1000000</v>
          </cell>
          <cell r="BD1738">
            <v>1000000</v>
          </cell>
          <cell r="BE1738">
            <v>1000000</v>
          </cell>
          <cell r="BI1738">
            <v>0</v>
          </cell>
          <cell r="BJ1738">
            <v>0</v>
          </cell>
          <cell r="BK1738">
            <v>0</v>
          </cell>
          <cell r="BL1738">
            <v>0</v>
          </cell>
          <cell r="BM1738">
            <v>0</v>
          </cell>
          <cell r="BN1738">
            <v>0</v>
          </cell>
          <cell r="BO1738">
            <v>0</v>
          </cell>
          <cell r="BP1738">
            <v>0</v>
          </cell>
          <cell r="BQ1738">
            <v>0</v>
          </cell>
          <cell r="BR1738">
            <v>0</v>
          </cell>
          <cell r="BT1738">
            <v>0</v>
          </cell>
          <cell r="CA1738" t="str">
            <v>004409 - REVTOT - Identified - Recompete</v>
          </cell>
          <cell r="CC1738" t="str">
            <v>004409 - REVTOT - Identified - Recompete - IS4</v>
          </cell>
          <cell r="CD1738" t="str">
            <v/>
          </cell>
          <cell r="CF1738" t="str">
            <v>004409 - Identified - Recompete - IS4</v>
          </cell>
        </row>
        <row r="1739">
          <cell r="D1739">
            <v>1725</v>
          </cell>
          <cell r="E1739">
            <v>2</v>
          </cell>
          <cell r="F1739">
            <v>3</v>
          </cell>
          <cell r="G1739" t="str">
            <v>004409</v>
          </cell>
          <cell r="H1739" t="str">
            <v>HSI Programs FY19</v>
          </cell>
          <cell r="I1739" t="str">
            <v>IS4</v>
          </cell>
          <cell r="J1739" t="str">
            <v>IS4 Spectrum &amp; Infrastructure Assurance</v>
          </cell>
          <cell r="K1739" t="str">
            <v>Navy</v>
          </cell>
          <cell r="L1739" t="str">
            <v>DOD</v>
          </cell>
          <cell r="M1739" t="str">
            <v>VA</v>
          </cell>
          <cell r="N1739" t="str">
            <v>CONUS</v>
          </cell>
          <cell r="O1739">
            <v>43496</v>
          </cell>
          <cell r="P1739">
            <v>45321</v>
          </cell>
          <cell r="Q1739" t="str">
            <v>Sub</v>
          </cell>
          <cell r="R1739" t="str">
            <v>CPFF</v>
          </cell>
          <cell r="S1739">
            <v>0</v>
          </cell>
          <cell r="T1739">
            <v>1</v>
          </cell>
          <cell r="U1739" t="str">
            <v>CONTRACT</v>
          </cell>
          <cell r="V1739" t="str">
            <v>Base</v>
          </cell>
          <cell r="W1739" t="str">
            <v>05 Won</v>
          </cell>
          <cell r="X1739" t="str">
            <v>Active</v>
          </cell>
          <cell r="Y1739">
            <v>1</v>
          </cell>
          <cell r="Z1739">
            <v>0</v>
          </cell>
          <cell r="AA1739">
            <v>10270.762069999993</v>
          </cell>
          <cell r="AB1739">
            <v>712099</v>
          </cell>
          <cell r="AC1739">
            <v>0</v>
          </cell>
          <cell r="AD1739">
            <v>722369.76206999994</v>
          </cell>
          <cell r="AL1739">
            <v>0</v>
          </cell>
          <cell r="AM1739">
            <v>0</v>
          </cell>
          <cell r="AN1739">
            <v>0</v>
          </cell>
          <cell r="AO1739">
            <v>0.20965050367032964</v>
          </cell>
          <cell r="AP1739">
            <v>0.214443354018751</v>
          </cell>
          <cell r="AQ1739">
            <v>0.214443354018751</v>
          </cell>
          <cell r="AR1739">
            <v>0.214443354018751</v>
          </cell>
          <cell r="AS1739">
            <v>0.214443354018751</v>
          </cell>
          <cell r="BF1739">
            <v>0</v>
          </cell>
          <cell r="BG1739">
            <v>0</v>
          </cell>
          <cell r="BH1739">
            <v>0</v>
          </cell>
          <cell r="BI1739">
            <v>0</v>
          </cell>
          <cell r="BJ1739">
            <v>3595.4399999999996</v>
          </cell>
          <cell r="BK1739">
            <v>15017.440000000002</v>
          </cell>
          <cell r="BL1739">
            <v>14354.5019338</v>
          </cell>
          <cell r="BM1739">
            <v>32967.381933800003</v>
          </cell>
          <cell r="BN1739">
            <v>56833.861069999999</v>
          </cell>
          <cell r="BO1739">
            <v>56833.861069999999</v>
          </cell>
          <cell r="BP1739">
            <v>41239.672480017929</v>
          </cell>
          <cell r="BQ1739">
            <v>0</v>
          </cell>
          <cell r="BR1739">
            <v>187874.77655381794</v>
          </cell>
          <cell r="BT1739">
            <v>0</v>
          </cell>
          <cell r="CA1739" t="str">
            <v>004409 - CONTRACT - Base</v>
          </cell>
          <cell r="CC1739" t="str">
            <v>004409 - CONTRACT - Base - IS4</v>
          </cell>
          <cell r="CD1739" t="str">
            <v/>
          </cell>
          <cell r="CF1739" t="str">
            <v>004409 - Base - IS4</v>
          </cell>
        </row>
        <row r="1740">
          <cell r="D1740">
            <v>1726</v>
          </cell>
          <cell r="E1740">
            <v>2</v>
          </cell>
          <cell r="F1740">
            <v>4</v>
          </cell>
          <cell r="G1740" t="str">
            <v>004409</v>
          </cell>
          <cell r="H1740" t="str">
            <v>HSI Programs FY19</v>
          </cell>
          <cell r="I1740" t="str">
            <v>IS4</v>
          </cell>
          <cell r="J1740" t="str">
            <v>IS4 Spectrum &amp; Infrastructure Assurance</v>
          </cell>
          <cell r="K1740" t="str">
            <v>Navy</v>
          </cell>
          <cell r="L1740" t="str">
            <v>DOD</v>
          </cell>
          <cell r="M1740" t="str">
            <v>VA</v>
          </cell>
          <cell r="N1740" t="str">
            <v>CONUS</v>
          </cell>
          <cell r="O1740">
            <v>45303</v>
          </cell>
          <cell r="P1740">
            <v>47130</v>
          </cell>
          <cell r="Q1740" t="str">
            <v>Sub</v>
          </cell>
          <cell r="R1740" t="str">
            <v>CPFF</v>
          </cell>
          <cell r="S1740">
            <v>0</v>
          </cell>
          <cell r="T1740">
            <v>1</v>
          </cell>
          <cell r="U1740" t="str">
            <v>CONTRACT</v>
          </cell>
          <cell r="V1740" t="str">
            <v>Identified - Recompete</v>
          </cell>
          <cell r="W1740" t="str">
            <v>00 Investigate</v>
          </cell>
          <cell r="X1740" t="str">
            <v>Priority 3</v>
          </cell>
          <cell r="Y1740">
            <v>0.5</v>
          </cell>
          <cell r="Z1740">
            <v>5000000</v>
          </cell>
          <cell r="AA1740">
            <v>0</v>
          </cell>
          <cell r="AB1740">
            <v>0</v>
          </cell>
          <cell r="AC1740">
            <v>0</v>
          </cell>
          <cell r="AD1740">
            <v>0</v>
          </cell>
          <cell r="AP1740">
            <v>0</v>
          </cell>
          <cell r="AQ1740">
            <v>0</v>
          </cell>
          <cell r="AR1740">
            <v>0</v>
          </cell>
          <cell r="AS1740">
            <v>0</v>
          </cell>
          <cell r="BI1740">
            <v>0</v>
          </cell>
          <cell r="BJ1740">
            <v>0</v>
          </cell>
          <cell r="BK1740">
            <v>0</v>
          </cell>
          <cell r="BL1740">
            <v>0</v>
          </cell>
          <cell r="BM1740">
            <v>0</v>
          </cell>
          <cell r="BN1740">
            <v>0</v>
          </cell>
          <cell r="BO1740">
            <v>0</v>
          </cell>
          <cell r="BP1740">
            <v>0</v>
          </cell>
          <cell r="BQ1740">
            <v>0</v>
          </cell>
          <cell r="BR1740">
            <v>0</v>
          </cell>
          <cell r="BT1740">
            <v>0</v>
          </cell>
          <cell r="CA1740" t="str">
            <v>004409 - CONTRACT - Identified - Recompete</v>
          </cell>
          <cell r="CC1740" t="str">
            <v>004409 - CONTRACT - Identified - Recompete - IS4</v>
          </cell>
          <cell r="CD1740" t="str">
            <v/>
          </cell>
          <cell r="CF1740" t="str">
            <v>004409 - Identified - Recompete - IS4</v>
          </cell>
        </row>
        <row r="1741">
          <cell r="D1741">
            <v>1727</v>
          </cell>
          <cell r="E1741">
            <v>0</v>
          </cell>
          <cell r="F1741">
            <v>5</v>
          </cell>
          <cell r="G1741" t="str">
            <v>004409</v>
          </cell>
          <cell r="H1741" t="str">
            <v>HSI Programs FY19</v>
          </cell>
          <cell r="I1741" t="str">
            <v>IS4</v>
          </cell>
          <cell r="J1741" t="str">
            <v>IS4 Spectrum &amp; Infrastructure Assurance</v>
          </cell>
          <cell r="K1741" t="str">
            <v>Navy</v>
          </cell>
          <cell r="L1741" t="str">
            <v>DOD</v>
          </cell>
          <cell r="M1741" t="str">
            <v>VA</v>
          </cell>
          <cell r="N1741" t="str">
            <v>CONUS</v>
          </cell>
          <cell r="O1741">
            <v>43496</v>
          </cell>
          <cell r="P1741">
            <v>45321</v>
          </cell>
          <cell r="Q1741" t="str">
            <v>Sub</v>
          </cell>
          <cell r="R1741" t="str">
            <v>CPFF</v>
          </cell>
          <cell r="S1741">
            <v>0</v>
          </cell>
          <cell r="T1741">
            <v>1</v>
          </cell>
          <cell r="U1741" t="str">
            <v>EBITA</v>
          </cell>
          <cell r="V1741" t="str">
            <v>Base</v>
          </cell>
          <cell r="W1741" t="str">
            <v>05 Won</v>
          </cell>
          <cell r="X1741" t="str">
            <v>Active</v>
          </cell>
          <cell r="Y1741">
            <v>1</v>
          </cell>
          <cell r="Z1741">
            <v>0</v>
          </cell>
          <cell r="AA1741">
            <v>10270.762069999993</v>
          </cell>
          <cell r="AB1741">
            <v>712099</v>
          </cell>
          <cell r="AC1741">
            <v>0</v>
          </cell>
          <cell r="AD1741">
            <v>722369.76206999994</v>
          </cell>
          <cell r="AT1741">
            <v>0</v>
          </cell>
          <cell r="AU1741">
            <v>0</v>
          </cell>
          <cell r="AV1741">
            <v>0</v>
          </cell>
          <cell r="AW1741">
            <v>5.3250216682306069E-2</v>
          </cell>
          <cell r="AX1741">
            <v>5.5451417782915617E-2</v>
          </cell>
          <cell r="AY1741">
            <v>5.5451417782915617E-2</v>
          </cell>
          <cell r="AZ1741">
            <v>5.5451417782915617E-2</v>
          </cell>
          <cell r="BA1741">
            <v>5.5451417782915617E-2</v>
          </cell>
          <cell r="BF1741">
            <v>0</v>
          </cell>
          <cell r="BG1741">
            <v>0</v>
          </cell>
          <cell r="BH1741">
            <v>0</v>
          </cell>
          <cell r="BI1741">
            <v>0</v>
          </cell>
          <cell r="BJ1741">
            <v>629.4599999999997</v>
          </cell>
          <cell r="BK1741">
            <v>4023.8200000000024</v>
          </cell>
          <cell r="BL1741">
            <v>3720.2759929000008</v>
          </cell>
          <cell r="BM1741">
            <v>8373.5559929000028</v>
          </cell>
          <cell r="BN1741">
            <v>14696.273469651027</v>
          </cell>
          <cell r="BO1741">
            <v>14696.273469651027</v>
          </cell>
          <cell r="BP1741">
            <v>10663.880530986862</v>
          </cell>
          <cell r="BQ1741">
            <v>0</v>
          </cell>
          <cell r="BR1741">
            <v>48429.983463188924</v>
          </cell>
          <cell r="BT1741">
            <v>0</v>
          </cell>
          <cell r="CA1741" t="str">
            <v>004409 - EBITA - Base</v>
          </cell>
          <cell r="CC1741" t="str">
            <v>004409 - EBITA - Base - IS4</v>
          </cell>
          <cell r="CD1741" t="str">
            <v/>
          </cell>
          <cell r="CF1741" t="str">
            <v>004409 - Base - IS4</v>
          </cell>
        </row>
        <row r="1742">
          <cell r="D1742">
            <v>1728</v>
          </cell>
          <cell r="E1742">
            <v>0</v>
          </cell>
          <cell r="F1742">
            <v>0</v>
          </cell>
          <cell r="G1742" t="str">
            <v>004409</v>
          </cell>
          <cell r="H1742" t="str">
            <v>HSI Programs FY19</v>
          </cell>
          <cell r="I1742" t="str">
            <v>IS4</v>
          </cell>
          <cell r="J1742" t="str">
            <v>IS4 Spectrum &amp; Infrastructure Assurance</v>
          </cell>
          <cell r="K1742" t="str">
            <v>Navy</v>
          </cell>
          <cell r="L1742" t="str">
            <v>DOD</v>
          </cell>
          <cell r="M1742" t="str">
            <v>VA</v>
          </cell>
          <cell r="N1742" t="str">
            <v>CONUS</v>
          </cell>
          <cell r="O1742">
            <v>45303</v>
          </cell>
          <cell r="P1742">
            <v>47130</v>
          </cell>
          <cell r="Q1742" t="str">
            <v>Sub</v>
          </cell>
          <cell r="R1742" t="str">
            <v>CPFF</v>
          </cell>
          <cell r="S1742">
            <v>0</v>
          </cell>
          <cell r="T1742">
            <v>1</v>
          </cell>
          <cell r="U1742" t="str">
            <v>EBITA</v>
          </cell>
          <cell r="V1742" t="str">
            <v>Identified - Recompete</v>
          </cell>
          <cell r="W1742" t="str">
            <v>00 Investigate</v>
          </cell>
          <cell r="X1742" t="str">
            <v>Priority 3</v>
          </cell>
          <cell r="Y1742">
            <v>0.5</v>
          </cell>
          <cell r="Z1742">
            <v>5000000</v>
          </cell>
          <cell r="AA1742">
            <v>0</v>
          </cell>
          <cell r="AB1742">
            <v>0</v>
          </cell>
          <cell r="AC1742">
            <v>0</v>
          </cell>
          <cell r="AD1742">
            <v>0</v>
          </cell>
          <cell r="AX1742">
            <v>0</v>
          </cell>
          <cell r="AY1742">
            <v>0</v>
          </cell>
          <cell r="AZ1742">
            <v>0</v>
          </cell>
          <cell r="BA1742">
            <v>0</v>
          </cell>
          <cell r="BI1742">
            <v>0</v>
          </cell>
          <cell r="BJ1742">
            <v>0</v>
          </cell>
          <cell r="BK1742">
            <v>0</v>
          </cell>
          <cell r="BL1742">
            <v>0</v>
          </cell>
          <cell r="BM1742">
            <v>0</v>
          </cell>
          <cell r="BN1742">
            <v>0</v>
          </cell>
          <cell r="BO1742">
            <v>0</v>
          </cell>
          <cell r="BP1742">
            <v>0</v>
          </cell>
          <cell r="BQ1742">
            <v>0</v>
          </cell>
          <cell r="BR1742">
            <v>0</v>
          </cell>
          <cell r="BT1742">
            <v>0</v>
          </cell>
          <cell r="CA1742" t="str">
            <v>004409 - EBITA - Identified - Recompete</v>
          </cell>
          <cell r="CC1742" t="str">
            <v>004409 - EBITA - Identified - Recompete - IS4</v>
          </cell>
          <cell r="CD1742" t="str">
            <v/>
          </cell>
          <cell r="CF1742" t="str">
            <v>004409 - Identified - Recompete - IS4</v>
          </cell>
        </row>
        <row r="1743">
          <cell r="D1743">
            <v>1729</v>
          </cell>
          <cell r="E1743">
            <v>1</v>
          </cell>
          <cell r="F1743">
            <v>1</v>
          </cell>
          <cell r="G1743" t="str">
            <v>VSME19</v>
          </cell>
          <cell r="H1743" t="str">
            <v>V Dept SME FY19</v>
          </cell>
          <cell r="I1743" t="str">
            <v>IS4</v>
          </cell>
          <cell r="J1743" t="str">
            <v>IS4 Spectrum &amp; Infrastructure Assurance</v>
          </cell>
          <cell r="K1743" t="str">
            <v>Navy</v>
          </cell>
          <cell r="L1743" t="str">
            <v>DOD</v>
          </cell>
          <cell r="M1743" t="str">
            <v>VA</v>
          </cell>
          <cell r="N1743" t="str">
            <v>CONUS</v>
          </cell>
          <cell r="O1743">
            <v>43617</v>
          </cell>
          <cell r="P1743">
            <v>43951</v>
          </cell>
          <cell r="Q1743" t="str">
            <v>Sub</v>
          </cell>
          <cell r="R1743" t="str">
            <v>CPFF</v>
          </cell>
          <cell r="S1743">
            <v>0</v>
          </cell>
          <cell r="T1743">
            <v>1</v>
          </cell>
          <cell r="U1743" t="str">
            <v>REVTOT</v>
          </cell>
          <cell r="V1743" t="str">
            <v>Base</v>
          </cell>
          <cell r="W1743" t="str">
            <v>05 Won</v>
          </cell>
          <cell r="X1743" t="str">
            <v>Active</v>
          </cell>
          <cell r="Y1743">
            <v>1</v>
          </cell>
          <cell r="Z1743">
            <v>0</v>
          </cell>
          <cell r="AA1743">
            <v>56247.630000000005</v>
          </cell>
          <cell r="AB1743">
            <v>567110</v>
          </cell>
          <cell r="AC1743">
            <v>0</v>
          </cell>
          <cell r="AD1743">
            <v>623357.63</v>
          </cell>
          <cell r="AE1743">
            <v>0</v>
          </cell>
          <cell r="AF1743">
            <v>0</v>
          </cell>
          <cell r="AG1743">
            <v>0</v>
          </cell>
          <cell r="AH1743">
            <v>1.8614742979732481</v>
          </cell>
          <cell r="AI1743">
            <v>0</v>
          </cell>
          <cell r="AJ1743">
            <v>0</v>
          </cell>
          <cell r="AK1743">
            <v>0</v>
          </cell>
          <cell r="BB1743">
            <v>220801</v>
          </cell>
          <cell r="BC1743">
            <v>220801</v>
          </cell>
          <cell r="BD1743">
            <v>220801</v>
          </cell>
          <cell r="BE1743">
            <v>220801</v>
          </cell>
          <cell r="BF1743">
            <v>0</v>
          </cell>
          <cell r="BG1743">
            <v>0</v>
          </cell>
          <cell r="BH1743">
            <v>0</v>
          </cell>
          <cell r="BI1743">
            <v>0</v>
          </cell>
          <cell r="BJ1743">
            <v>0</v>
          </cell>
          <cell r="BK1743">
            <v>27046.370000000003</v>
          </cell>
          <cell r="BL1743">
            <v>50117</v>
          </cell>
          <cell r="BM1743">
            <v>77163.37</v>
          </cell>
          <cell r="BN1743">
            <v>220801</v>
          </cell>
          <cell r="BO1743">
            <v>220801</v>
          </cell>
          <cell r="BP1743">
            <v>181755.63</v>
          </cell>
          <cell r="BQ1743">
            <v>0</v>
          </cell>
          <cell r="BR1743">
            <v>700521</v>
          </cell>
          <cell r="BT1743">
            <v>0</v>
          </cell>
          <cell r="CA1743" t="str">
            <v>VSME19 - REVTOT - Base</v>
          </cell>
          <cell r="CC1743" t="str">
            <v>VSME19 - REVTOT - Base - IS4</v>
          </cell>
          <cell r="CD1743" t="str">
            <v/>
          </cell>
          <cell r="CF1743" t="str">
            <v>VSME19 - Base - IS4</v>
          </cell>
        </row>
        <row r="1744">
          <cell r="D1744">
            <v>1730</v>
          </cell>
          <cell r="E1744">
            <v>1</v>
          </cell>
          <cell r="F1744">
            <v>2</v>
          </cell>
          <cell r="G1744" t="str">
            <v>VSME19</v>
          </cell>
          <cell r="H1744" t="str">
            <v>V Dept SME FY19</v>
          </cell>
          <cell r="I1744" t="str">
            <v>IS4</v>
          </cell>
          <cell r="J1744" t="str">
            <v>IS4 Spectrum &amp; Infrastructure Assurance</v>
          </cell>
          <cell r="K1744" t="str">
            <v>Navy</v>
          </cell>
          <cell r="L1744" t="str">
            <v>DOD</v>
          </cell>
          <cell r="M1744" t="str">
            <v>VA</v>
          </cell>
          <cell r="N1744" t="str">
            <v>CONUS</v>
          </cell>
          <cell r="O1744">
            <v>0</v>
          </cell>
          <cell r="P1744">
            <v>0</v>
          </cell>
          <cell r="Q1744">
            <v>0</v>
          </cell>
          <cell r="R1744" t="str">
            <v>CPFF</v>
          </cell>
          <cell r="S1744">
            <v>0</v>
          </cell>
          <cell r="T1744">
            <v>1</v>
          </cell>
          <cell r="U1744" t="str">
            <v>REVTOT</v>
          </cell>
          <cell r="V1744" t="str">
            <v>Identified - Recompete</v>
          </cell>
          <cell r="W1744">
            <v>0</v>
          </cell>
          <cell r="X1744">
            <v>0</v>
          </cell>
          <cell r="Y1744">
            <v>0</v>
          </cell>
          <cell r="Z1744">
            <v>0</v>
          </cell>
          <cell r="AA1744">
            <v>0</v>
          </cell>
          <cell r="AB1744">
            <v>0</v>
          </cell>
          <cell r="AC1744">
            <v>0</v>
          </cell>
          <cell r="AD1744">
            <v>0</v>
          </cell>
          <cell r="AI1744">
            <v>0</v>
          </cell>
          <cell r="AJ1744">
            <v>0</v>
          </cell>
          <cell r="AK1744">
            <v>0</v>
          </cell>
          <cell r="BB1744">
            <v>0</v>
          </cell>
          <cell r="BC1744">
            <v>0</v>
          </cell>
          <cell r="BD1744">
            <v>0</v>
          </cell>
          <cell r="BE1744">
            <v>0</v>
          </cell>
          <cell r="BI1744">
            <v>0</v>
          </cell>
          <cell r="BJ1744">
            <v>0</v>
          </cell>
          <cell r="BK1744">
            <v>0</v>
          </cell>
          <cell r="BL1744">
            <v>0</v>
          </cell>
          <cell r="BM1744">
            <v>0</v>
          </cell>
          <cell r="BN1744">
            <v>0</v>
          </cell>
          <cell r="BO1744">
            <v>0</v>
          </cell>
          <cell r="BP1744">
            <v>0</v>
          </cell>
          <cell r="BQ1744">
            <v>0</v>
          </cell>
          <cell r="BR1744">
            <v>0</v>
          </cell>
          <cell r="BT1744">
            <v>0</v>
          </cell>
          <cell r="CA1744" t="str">
            <v>VSME19 - REVTOT - Identified - Recompete</v>
          </cell>
          <cell r="CC1744" t="str">
            <v>VSME19 - REVTOT - Identified - Recompete - IS4</v>
          </cell>
          <cell r="CD1744" t="str">
            <v/>
          </cell>
          <cell r="CF1744" t="str">
            <v>VSME19 - Identified - Recompete - IS4</v>
          </cell>
        </row>
        <row r="1745">
          <cell r="D1745">
            <v>1731</v>
          </cell>
          <cell r="E1745">
            <v>2</v>
          </cell>
          <cell r="F1745">
            <v>3</v>
          </cell>
          <cell r="G1745" t="str">
            <v>VSME19</v>
          </cell>
          <cell r="H1745" t="str">
            <v>V Dept SME FY19</v>
          </cell>
          <cell r="I1745" t="str">
            <v>IS4</v>
          </cell>
          <cell r="J1745" t="str">
            <v>IS4 Spectrum &amp; Infrastructure Assurance</v>
          </cell>
          <cell r="K1745" t="str">
            <v>Navy</v>
          </cell>
          <cell r="L1745" t="str">
            <v>DOD</v>
          </cell>
          <cell r="M1745" t="str">
            <v>VA</v>
          </cell>
          <cell r="N1745" t="str">
            <v>CONUS</v>
          </cell>
          <cell r="O1745">
            <v>43617</v>
          </cell>
          <cell r="P1745">
            <v>43951</v>
          </cell>
          <cell r="Q1745" t="str">
            <v>Sub</v>
          </cell>
          <cell r="R1745" t="str">
            <v>CPFF</v>
          </cell>
          <cell r="S1745">
            <v>0</v>
          </cell>
          <cell r="T1745">
            <v>1</v>
          </cell>
          <cell r="U1745" t="str">
            <v>CONTRACT</v>
          </cell>
          <cell r="V1745" t="str">
            <v>Base</v>
          </cell>
          <cell r="W1745" t="str">
            <v>05 Won</v>
          </cell>
          <cell r="X1745" t="str">
            <v>Active</v>
          </cell>
          <cell r="Y1745">
            <v>1</v>
          </cell>
          <cell r="Z1745">
            <v>0</v>
          </cell>
          <cell r="AA1745">
            <v>56247.630000000005</v>
          </cell>
          <cell r="AB1745">
            <v>567110</v>
          </cell>
          <cell r="AC1745">
            <v>0</v>
          </cell>
          <cell r="AD1745">
            <v>623357.63</v>
          </cell>
          <cell r="AL1745">
            <v>0</v>
          </cell>
          <cell r="AM1745">
            <v>0</v>
          </cell>
          <cell r="AN1745">
            <v>0</v>
          </cell>
          <cell r="AO1745">
            <v>0.15743830265578093</v>
          </cell>
          <cell r="AP1745">
            <v>0.15846078006893086</v>
          </cell>
          <cell r="AQ1745">
            <v>0.15846078006893086</v>
          </cell>
          <cell r="AR1745">
            <v>0.15846078006893086</v>
          </cell>
          <cell r="AS1745">
            <v>0.15846078006893086</v>
          </cell>
          <cell r="BF1745">
            <v>0</v>
          </cell>
          <cell r="BG1745">
            <v>0</v>
          </cell>
          <cell r="BH1745">
            <v>0</v>
          </cell>
          <cell r="BI1745">
            <v>0</v>
          </cell>
          <cell r="BJ1745">
            <v>0</v>
          </cell>
          <cell r="BK1745">
            <v>4396.1300000000047</v>
          </cell>
          <cell r="BL1745">
            <v>7752.340000000002</v>
          </cell>
          <cell r="BM1745">
            <v>12148.470000000007</v>
          </cell>
          <cell r="BN1745">
            <v>34988.298699999999</v>
          </cell>
          <cell r="BO1745">
            <v>34988.298699999999</v>
          </cell>
          <cell r="BP1745">
            <v>28801.138911719972</v>
          </cell>
          <cell r="BQ1745">
            <v>0</v>
          </cell>
          <cell r="BR1745">
            <v>110926.20631171997</v>
          </cell>
          <cell r="BT1745">
            <v>0</v>
          </cell>
          <cell r="CA1745" t="str">
            <v>VSME19 - CONTRACT - Base</v>
          </cell>
          <cell r="CC1745" t="str">
            <v>VSME19 - CONTRACT - Base - IS4</v>
          </cell>
          <cell r="CD1745" t="str">
            <v/>
          </cell>
          <cell r="CF1745" t="str">
            <v>VSME19 - Base - IS4</v>
          </cell>
        </row>
        <row r="1746">
          <cell r="D1746">
            <v>1732</v>
          </cell>
          <cell r="E1746">
            <v>2</v>
          </cell>
          <cell r="F1746">
            <v>4</v>
          </cell>
          <cell r="G1746" t="str">
            <v>VSME19</v>
          </cell>
          <cell r="H1746" t="str">
            <v>V Dept SME FY19</v>
          </cell>
          <cell r="I1746" t="str">
            <v>IS4</v>
          </cell>
          <cell r="J1746" t="str">
            <v>IS4 Spectrum &amp; Infrastructure Assurance</v>
          </cell>
          <cell r="K1746" t="str">
            <v>Navy</v>
          </cell>
          <cell r="L1746" t="str">
            <v>DOD</v>
          </cell>
          <cell r="M1746" t="str">
            <v>VA</v>
          </cell>
          <cell r="N1746" t="str">
            <v>CONUS</v>
          </cell>
          <cell r="O1746">
            <v>0</v>
          </cell>
          <cell r="P1746">
            <v>0</v>
          </cell>
          <cell r="Q1746">
            <v>0</v>
          </cell>
          <cell r="R1746" t="str">
            <v>CPFF</v>
          </cell>
          <cell r="S1746">
            <v>0</v>
          </cell>
          <cell r="T1746">
            <v>1</v>
          </cell>
          <cell r="U1746" t="str">
            <v>CONTRACT</v>
          </cell>
          <cell r="V1746" t="str">
            <v>Identified - Recompete</v>
          </cell>
          <cell r="W1746">
            <v>0</v>
          </cell>
          <cell r="X1746">
            <v>0</v>
          </cell>
          <cell r="Y1746">
            <v>0</v>
          </cell>
          <cell r="Z1746">
            <v>0</v>
          </cell>
          <cell r="AA1746">
            <v>0</v>
          </cell>
          <cell r="AB1746">
            <v>0</v>
          </cell>
          <cell r="AC1746">
            <v>0</v>
          </cell>
          <cell r="AD1746">
            <v>0</v>
          </cell>
          <cell r="AP1746">
            <v>0</v>
          </cell>
          <cell r="AQ1746">
            <v>0</v>
          </cell>
          <cell r="AR1746">
            <v>0</v>
          </cell>
          <cell r="AS1746">
            <v>0</v>
          </cell>
          <cell r="BI1746">
            <v>0</v>
          </cell>
          <cell r="BJ1746">
            <v>0</v>
          </cell>
          <cell r="BK1746">
            <v>0</v>
          </cell>
          <cell r="BL1746">
            <v>0</v>
          </cell>
          <cell r="BM1746">
            <v>0</v>
          </cell>
          <cell r="BN1746">
            <v>0</v>
          </cell>
          <cell r="BO1746">
            <v>0</v>
          </cell>
          <cell r="BP1746">
            <v>0</v>
          </cell>
          <cell r="BQ1746">
            <v>0</v>
          </cell>
          <cell r="BR1746">
            <v>0</v>
          </cell>
          <cell r="BT1746">
            <v>0</v>
          </cell>
          <cell r="CA1746" t="str">
            <v>VSME19 - CONTRACT - Identified - Recompete</v>
          </cell>
          <cell r="CC1746" t="str">
            <v>VSME19 - CONTRACT - Identified - Recompete - IS4</v>
          </cell>
          <cell r="CD1746" t="str">
            <v/>
          </cell>
          <cell r="CF1746" t="str">
            <v>VSME19 - Identified - Recompete - IS4</v>
          </cell>
        </row>
        <row r="1747">
          <cell r="D1747">
            <v>1733</v>
          </cell>
          <cell r="E1747">
            <v>0</v>
          </cell>
          <cell r="F1747">
            <v>5</v>
          </cell>
          <cell r="G1747" t="str">
            <v>VSME19</v>
          </cell>
          <cell r="H1747" t="str">
            <v>V Dept SME FY19</v>
          </cell>
          <cell r="I1747" t="str">
            <v>IS4</v>
          </cell>
          <cell r="J1747" t="str">
            <v>IS4 Spectrum &amp; Infrastructure Assurance</v>
          </cell>
          <cell r="K1747" t="str">
            <v>Navy</v>
          </cell>
          <cell r="L1747" t="str">
            <v>DOD</v>
          </cell>
          <cell r="M1747" t="str">
            <v>VA</v>
          </cell>
          <cell r="N1747" t="str">
            <v>CONUS</v>
          </cell>
          <cell r="O1747">
            <v>43617</v>
          </cell>
          <cell r="P1747">
            <v>43951</v>
          </cell>
          <cell r="Q1747" t="str">
            <v>Sub</v>
          </cell>
          <cell r="R1747" t="str">
            <v>CPFF</v>
          </cell>
          <cell r="S1747">
            <v>0</v>
          </cell>
          <cell r="T1747">
            <v>1</v>
          </cell>
          <cell r="U1747" t="str">
            <v>EBITA</v>
          </cell>
          <cell r="V1747" t="str">
            <v>Base</v>
          </cell>
          <cell r="W1747" t="str">
            <v>05 Won</v>
          </cell>
          <cell r="X1747" t="str">
            <v>Active</v>
          </cell>
          <cell r="Y1747">
            <v>1</v>
          </cell>
          <cell r="Z1747">
            <v>0</v>
          </cell>
          <cell r="AA1747">
            <v>56247.630000000005</v>
          </cell>
          <cell r="AB1747">
            <v>567110</v>
          </cell>
          <cell r="AC1747">
            <v>0</v>
          </cell>
          <cell r="AD1747">
            <v>623357.63</v>
          </cell>
          <cell r="AT1747">
            <v>0</v>
          </cell>
          <cell r="AU1747">
            <v>0</v>
          </cell>
          <cell r="AV1747">
            <v>0</v>
          </cell>
          <cell r="AW1747">
            <v>2.4148634254828511E-2</v>
          </cell>
          <cell r="AX1747">
            <v>3.617305274976873E-2</v>
          </cell>
          <cell r="AY1747">
            <v>3.617305274976873E-2</v>
          </cell>
          <cell r="AZ1747">
            <v>3.617305274976873E-2</v>
          </cell>
          <cell r="BA1747">
            <v>3.617305274976873E-2</v>
          </cell>
          <cell r="BF1747">
            <v>0</v>
          </cell>
          <cell r="BG1747">
            <v>0</v>
          </cell>
          <cell r="BH1747">
            <v>0</v>
          </cell>
          <cell r="BI1747">
            <v>0</v>
          </cell>
          <cell r="BJ1747">
            <v>0</v>
          </cell>
          <cell r="BK1747">
            <v>1082.2400000000048</v>
          </cell>
          <cell r="BL1747">
            <v>781.15000000000191</v>
          </cell>
          <cell r="BM1747">
            <v>1863.3900000000067</v>
          </cell>
          <cell r="BN1747">
            <v>7987.0462202016852</v>
          </cell>
          <cell r="BO1747">
            <v>7987.0462202016852</v>
          </cell>
          <cell r="BP1747">
            <v>6574.655991557448</v>
          </cell>
          <cell r="BQ1747">
            <v>0</v>
          </cell>
          <cell r="BR1747">
            <v>24412.138431960826</v>
          </cell>
          <cell r="BT1747">
            <v>0</v>
          </cell>
          <cell r="CA1747" t="str">
            <v>VSME19 - EBITA - Base</v>
          </cell>
          <cell r="CC1747" t="str">
            <v>VSME19 - EBITA - Base - IS4</v>
          </cell>
          <cell r="CD1747" t="str">
            <v/>
          </cell>
          <cell r="CF1747" t="str">
            <v>VSME19 - Base - IS4</v>
          </cell>
        </row>
        <row r="1748">
          <cell r="D1748">
            <v>1734</v>
          </cell>
          <cell r="E1748">
            <v>0</v>
          </cell>
          <cell r="F1748">
            <v>0</v>
          </cell>
          <cell r="G1748" t="str">
            <v>VSME19</v>
          </cell>
          <cell r="H1748" t="str">
            <v>V Dept SME FY19</v>
          </cell>
          <cell r="I1748" t="str">
            <v>IS4</v>
          </cell>
          <cell r="J1748" t="str">
            <v>IS4 Spectrum &amp; Infrastructure Assurance</v>
          </cell>
          <cell r="K1748" t="str">
            <v>Navy</v>
          </cell>
          <cell r="L1748" t="str">
            <v>DOD</v>
          </cell>
          <cell r="M1748" t="str">
            <v>VA</v>
          </cell>
          <cell r="N1748" t="str">
            <v>CONUS</v>
          </cell>
          <cell r="O1748">
            <v>0</v>
          </cell>
          <cell r="P1748">
            <v>0</v>
          </cell>
          <cell r="Q1748">
            <v>0</v>
          </cell>
          <cell r="R1748" t="str">
            <v>CPFF</v>
          </cell>
          <cell r="S1748">
            <v>0</v>
          </cell>
          <cell r="T1748">
            <v>1</v>
          </cell>
          <cell r="U1748" t="str">
            <v>EBITA</v>
          </cell>
          <cell r="V1748" t="str">
            <v>Identified - Recompete</v>
          </cell>
          <cell r="W1748">
            <v>0</v>
          </cell>
          <cell r="X1748">
            <v>0</v>
          </cell>
          <cell r="Y1748">
            <v>0</v>
          </cell>
          <cell r="Z1748">
            <v>0</v>
          </cell>
          <cell r="AA1748">
            <v>0</v>
          </cell>
          <cell r="AB1748">
            <v>0</v>
          </cell>
          <cell r="AC1748">
            <v>0</v>
          </cell>
          <cell r="AD1748">
            <v>0</v>
          </cell>
          <cell r="AX1748">
            <v>0</v>
          </cell>
          <cell r="AY1748">
            <v>0</v>
          </cell>
          <cell r="AZ1748">
            <v>0</v>
          </cell>
          <cell r="BA1748">
            <v>0</v>
          </cell>
          <cell r="BI1748">
            <v>0</v>
          </cell>
          <cell r="BJ1748">
            <v>0</v>
          </cell>
          <cell r="BK1748">
            <v>0</v>
          </cell>
          <cell r="BL1748">
            <v>0</v>
          </cell>
          <cell r="BM1748">
            <v>0</v>
          </cell>
          <cell r="BN1748">
            <v>0</v>
          </cell>
          <cell r="BO1748">
            <v>0</v>
          </cell>
          <cell r="BP1748">
            <v>0</v>
          </cell>
          <cell r="BQ1748">
            <v>0</v>
          </cell>
          <cell r="BR1748">
            <v>0</v>
          </cell>
          <cell r="BT1748">
            <v>0</v>
          </cell>
          <cell r="CA1748" t="str">
            <v>VSME19 - EBITA - Identified - Recompete</v>
          </cell>
          <cell r="CC1748" t="str">
            <v>VSME19 - EBITA - Identified - Recompete - IS4</v>
          </cell>
          <cell r="CD1748" t="str">
            <v/>
          </cell>
          <cell r="CF1748" t="str">
            <v>VSME19 - Identified - Recompete - IS4</v>
          </cell>
        </row>
        <row r="1749">
          <cell r="D1749">
            <v>1735</v>
          </cell>
          <cell r="E1749">
            <v>1</v>
          </cell>
          <cell r="F1749">
            <v>1</v>
          </cell>
          <cell r="G1749" t="str">
            <v>2300XX</v>
          </cell>
          <cell r="H1749" t="str">
            <v>GSM ETI Task Order 19</v>
          </cell>
          <cell r="I1749" t="str">
            <v>IS4</v>
          </cell>
          <cell r="J1749" t="str">
            <v>IS4 Engineering and Technology Services</v>
          </cell>
          <cell r="K1749" t="str">
            <v>Navy</v>
          </cell>
          <cell r="L1749" t="str">
            <v>DOD</v>
          </cell>
          <cell r="M1749" t="str">
            <v>MD</v>
          </cell>
          <cell r="N1749" t="str">
            <v>CONUS</v>
          </cell>
          <cell r="O1749">
            <v>41576</v>
          </cell>
          <cell r="P1749">
            <v>43583</v>
          </cell>
          <cell r="Q1749" t="str">
            <v>Sub</v>
          </cell>
          <cell r="R1749" t="str">
            <v>CPFF</v>
          </cell>
          <cell r="S1749">
            <v>0</v>
          </cell>
          <cell r="T1749">
            <v>1</v>
          </cell>
          <cell r="U1749" t="str">
            <v>REVTOT</v>
          </cell>
          <cell r="V1749" t="str">
            <v>Base</v>
          </cell>
          <cell r="W1749" t="str">
            <v>05 Won</v>
          </cell>
          <cell r="X1749" t="str">
            <v>Active</v>
          </cell>
          <cell r="Y1749">
            <v>1</v>
          </cell>
          <cell r="Z1749">
            <v>0</v>
          </cell>
          <cell r="AA1749">
            <v>-8.000000003085006E-2</v>
          </cell>
          <cell r="AB1749">
            <v>0</v>
          </cell>
          <cell r="AC1749">
            <v>0</v>
          </cell>
          <cell r="AD1749">
            <v>-8.000000003085006E-2</v>
          </cell>
          <cell r="AE1749">
            <v>-4.5317139932775197E-2</v>
          </cell>
          <cell r="AF1749">
            <v>0.22436204890574807</v>
          </cell>
          <cell r="AG1749">
            <v>-0.48388893909586983</v>
          </cell>
          <cell r="AH1749">
            <v>-1</v>
          </cell>
          <cell r="AI1749">
            <v>0</v>
          </cell>
          <cell r="AJ1749">
            <v>0</v>
          </cell>
          <cell r="AK1749">
            <v>0</v>
          </cell>
          <cell r="BB1749">
            <v>0</v>
          </cell>
          <cell r="BC1749">
            <v>0</v>
          </cell>
          <cell r="BD1749">
            <v>0</v>
          </cell>
          <cell r="BE1749">
            <v>0</v>
          </cell>
          <cell r="BF1749">
            <v>484217.01</v>
          </cell>
          <cell r="BG1749">
            <v>462273.68</v>
          </cell>
          <cell r="BH1749">
            <v>565990.35000000009</v>
          </cell>
          <cell r="BI1749">
            <v>113172.16</v>
          </cell>
          <cell r="BJ1749">
            <v>139087.32</v>
          </cell>
          <cell r="BK1749">
            <v>39854.400000000001</v>
          </cell>
          <cell r="BL1749">
            <v>0</v>
          </cell>
          <cell r="BM1749">
            <v>292113.88</v>
          </cell>
          <cell r="BN1749">
            <v>0</v>
          </cell>
          <cell r="BO1749">
            <v>0</v>
          </cell>
          <cell r="BP1749">
            <v>0</v>
          </cell>
          <cell r="BQ1749">
            <v>0</v>
          </cell>
          <cell r="BR1749">
            <v>292113.88</v>
          </cell>
          <cell r="BT1749">
            <v>0</v>
          </cell>
          <cell r="CA1749" t="str">
            <v>2300XX - REVTOT - Base</v>
          </cell>
          <cell r="CC1749" t="str">
            <v>2300XX - REVTOT - Base - IS4</v>
          </cell>
          <cell r="CD1749" t="str">
            <v/>
          </cell>
          <cell r="CF1749" t="str">
            <v>2300XX - Base - IS4</v>
          </cell>
        </row>
        <row r="1750">
          <cell r="D1750">
            <v>1736</v>
          </cell>
          <cell r="E1750">
            <v>1</v>
          </cell>
          <cell r="F1750">
            <v>2</v>
          </cell>
          <cell r="G1750" t="str">
            <v>2300XX</v>
          </cell>
          <cell r="H1750" t="str">
            <v>GSM ETI Task Order 19</v>
          </cell>
          <cell r="I1750" t="str">
            <v>IS4</v>
          </cell>
          <cell r="J1750" t="str">
            <v>IS4 Engineering and Technology Services</v>
          </cell>
          <cell r="K1750" t="str">
            <v>Navy</v>
          </cell>
          <cell r="L1750" t="str">
            <v>DOD</v>
          </cell>
          <cell r="M1750" t="str">
            <v>MD</v>
          </cell>
          <cell r="N1750" t="str">
            <v>CONUS</v>
          </cell>
          <cell r="O1750">
            <v>0</v>
          </cell>
          <cell r="P1750">
            <v>0</v>
          </cell>
          <cell r="Q1750">
            <v>0</v>
          </cell>
          <cell r="R1750" t="str">
            <v>CPFF</v>
          </cell>
          <cell r="S1750">
            <v>0</v>
          </cell>
          <cell r="T1750">
            <v>1</v>
          </cell>
          <cell r="U1750" t="str">
            <v>REVTOT</v>
          </cell>
          <cell r="V1750" t="str">
            <v>Identified - Recompete</v>
          </cell>
          <cell r="W1750">
            <v>0</v>
          </cell>
          <cell r="X1750">
            <v>0</v>
          </cell>
          <cell r="Y1750">
            <v>0</v>
          </cell>
          <cell r="Z1750">
            <v>0</v>
          </cell>
          <cell r="AA1750">
            <v>0</v>
          </cell>
          <cell r="AB1750">
            <v>0</v>
          </cell>
          <cell r="AC1750">
            <v>0</v>
          </cell>
          <cell r="AD1750">
            <v>0</v>
          </cell>
          <cell r="AI1750">
            <v>0</v>
          </cell>
          <cell r="AJ1750">
            <v>0</v>
          </cell>
          <cell r="AK1750">
            <v>0</v>
          </cell>
          <cell r="BB1750">
            <v>0</v>
          </cell>
          <cell r="BC1750">
            <v>0</v>
          </cell>
          <cell r="BD1750">
            <v>0</v>
          </cell>
          <cell r="BE1750">
            <v>0</v>
          </cell>
          <cell r="BI1750">
            <v>0</v>
          </cell>
          <cell r="BJ1750">
            <v>0</v>
          </cell>
          <cell r="BK1750">
            <v>0</v>
          </cell>
          <cell r="BL1750">
            <v>0</v>
          </cell>
          <cell r="BM1750">
            <v>0</v>
          </cell>
          <cell r="BN1750">
            <v>0</v>
          </cell>
          <cell r="BO1750">
            <v>0</v>
          </cell>
          <cell r="BP1750">
            <v>0</v>
          </cell>
          <cell r="BQ1750">
            <v>0</v>
          </cell>
          <cell r="BR1750">
            <v>0</v>
          </cell>
          <cell r="BT1750">
            <v>0</v>
          </cell>
          <cell r="CA1750" t="str">
            <v>2300XX - REVTOT - Identified - Recompete</v>
          </cell>
          <cell r="CC1750" t="str">
            <v>2300XX - REVTOT - Identified - Recompete - IS4</v>
          </cell>
          <cell r="CD1750" t="str">
            <v/>
          </cell>
          <cell r="CF1750" t="str">
            <v>2300XX - Identified - Recompete - IS4</v>
          </cell>
        </row>
        <row r="1751">
          <cell r="D1751">
            <v>1737</v>
          </cell>
          <cell r="E1751">
            <v>2</v>
          </cell>
          <cell r="F1751">
            <v>3</v>
          </cell>
          <cell r="G1751" t="str">
            <v>2300XX</v>
          </cell>
          <cell r="H1751" t="str">
            <v>GSM ETI Task Order 19</v>
          </cell>
          <cell r="I1751" t="str">
            <v>IS4</v>
          </cell>
          <cell r="J1751" t="str">
            <v>IS4 Engineering and Technology Services</v>
          </cell>
          <cell r="K1751" t="str">
            <v>Navy</v>
          </cell>
          <cell r="L1751" t="str">
            <v>DOD</v>
          </cell>
          <cell r="M1751" t="str">
            <v>MD</v>
          </cell>
          <cell r="N1751" t="str">
            <v>CONUS</v>
          </cell>
          <cell r="O1751">
            <v>41576</v>
          </cell>
          <cell r="P1751">
            <v>43583</v>
          </cell>
          <cell r="Q1751" t="str">
            <v>Sub</v>
          </cell>
          <cell r="R1751" t="str">
            <v>CPFF</v>
          </cell>
          <cell r="S1751">
            <v>0</v>
          </cell>
          <cell r="T1751">
            <v>1</v>
          </cell>
          <cell r="U1751" t="str">
            <v>CONTRACT</v>
          </cell>
          <cell r="V1751" t="str">
            <v>Base</v>
          </cell>
          <cell r="W1751" t="str">
            <v>05 Won</v>
          </cell>
          <cell r="X1751" t="str">
            <v>Active</v>
          </cell>
          <cell r="Y1751">
            <v>1</v>
          </cell>
          <cell r="Z1751">
            <v>0</v>
          </cell>
          <cell r="AA1751">
            <v>-8.000000003085006E-2</v>
          </cell>
          <cell r="AB1751">
            <v>0</v>
          </cell>
          <cell r="AC1751">
            <v>0</v>
          </cell>
          <cell r="AD1751">
            <v>-8.000000003085006E-2</v>
          </cell>
          <cell r="AL1751">
            <v>0.27381268576252621</v>
          </cell>
          <cell r="AM1751">
            <v>0.22304267896022112</v>
          </cell>
          <cell r="AN1751">
            <v>0.17718558275772722</v>
          </cell>
          <cell r="AO1751">
            <v>0.14007995785753141</v>
          </cell>
          <cell r="AP1751">
            <v>0.20885360244724618</v>
          </cell>
          <cell r="AQ1751">
            <v>0.20885360244724618</v>
          </cell>
          <cell r="AR1751">
            <v>0.20885360244724618</v>
          </cell>
          <cell r="AS1751">
            <v>0.20885360244724618</v>
          </cell>
          <cell r="BF1751">
            <v>132584.76</v>
          </cell>
          <cell r="BG1751">
            <v>103106.76</v>
          </cell>
          <cell r="BH1751">
            <v>100285.33000000002</v>
          </cell>
          <cell r="BI1751">
            <v>20064.039999999997</v>
          </cell>
          <cell r="BJ1751">
            <v>15935.599999999991</v>
          </cell>
          <cell r="BK1751">
            <v>4919.6600000000026</v>
          </cell>
          <cell r="BL1751">
            <v>0</v>
          </cell>
          <cell r="BM1751">
            <v>40919.299999999988</v>
          </cell>
          <cell r="BN1751">
            <v>0</v>
          </cell>
          <cell r="BO1751">
            <v>0</v>
          </cell>
          <cell r="BP1751">
            <v>0</v>
          </cell>
          <cell r="BQ1751">
            <v>0</v>
          </cell>
          <cell r="BR1751">
            <v>40919.299999999988</v>
          </cell>
          <cell r="BT1751">
            <v>0</v>
          </cell>
          <cell r="CA1751" t="str">
            <v>2300XX - CONTRACT - Base</v>
          </cell>
          <cell r="CC1751" t="str">
            <v>2300XX - CONTRACT - Base - IS4</v>
          </cell>
          <cell r="CD1751" t="str">
            <v/>
          </cell>
          <cell r="CF1751" t="str">
            <v>2300XX - Base - IS4</v>
          </cell>
        </row>
        <row r="1752">
          <cell r="D1752">
            <v>1738</v>
          </cell>
          <cell r="E1752">
            <v>2</v>
          </cell>
          <cell r="F1752">
            <v>4</v>
          </cell>
          <cell r="G1752" t="str">
            <v>2300XX</v>
          </cell>
          <cell r="H1752" t="str">
            <v>GSM ETI Task Order 19</v>
          </cell>
          <cell r="I1752" t="str">
            <v>IS4</v>
          </cell>
          <cell r="J1752" t="str">
            <v>IS4 Engineering and Technology Services</v>
          </cell>
          <cell r="K1752" t="str">
            <v>Navy</v>
          </cell>
          <cell r="L1752" t="str">
            <v>DOD</v>
          </cell>
          <cell r="M1752" t="str">
            <v>MD</v>
          </cell>
          <cell r="N1752" t="str">
            <v>CONUS</v>
          </cell>
          <cell r="O1752">
            <v>0</v>
          </cell>
          <cell r="P1752">
            <v>0</v>
          </cell>
          <cell r="Q1752">
            <v>0</v>
          </cell>
          <cell r="R1752" t="str">
            <v>CPFF</v>
          </cell>
          <cell r="S1752">
            <v>0</v>
          </cell>
          <cell r="T1752">
            <v>1</v>
          </cell>
          <cell r="U1752" t="str">
            <v>CONTRACT</v>
          </cell>
          <cell r="V1752" t="str">
            <v>Identified - Recompete</v>
          </cell>
          <cell r="W1752">
            <v>0</v>
          </cell>
          <cell r="X1752">
            <v>0</v>
          </cell>
          <cell r="Y1752">
            <v>0</v>
          </cell>
          <cell r="Z1752">
            <v>0</v>
          </cell>
          <cell r="AA1752">
            <v>0</v>
          </cell>
          <cell r="AB1752">
            <v>0</v>
          </cell>
          <cell r="AC1752">
            <v>0</v>
          </cell>
          <cell r="AD1752">
            <v>0</v>
          </cell>
          <cell r="AP1752">
            <v>0</v>
          </cell>
          <cell r="AQ1752">
            <v>0</v>
          </cell>
          <cell r="AR1752">
            <v>0</v>
          </cell>
          <cell r="AS1752">
            <v>0</v>
          </cell>
          <cell r="BI1752">
            <v>0</v>
          </cell>
          <cell r="BJ1752">
            <v>0</v>
          </cell>
          <cell r="BK1752">
            <v>0</v>
          </cell>
          <cell r="BL1752">
            <v>0</v>
          </cell>
          <cell r="BM1752">
            <v>0</v>
          </cell>
          <cell r="BN1752">
            <v>0</v>
          </cell>
          <cell r="BO1752">
            <v>0</v>
          </cell>
          <cell r="BP1752">
            <v>0</v>
          </cell>
          <cell r="BQ1752">
            <v>0</v>
          </cell>
          <cell r="BR1752">
            <v>0</v>
          </cell>
          <cell r="BT1752">
            <v>0</v>
          </cell>
          <cell r="CA1752" t="str">
            <v>2300XX - CONTRACT - Identified - Recompete</v>
          </cell>
          <cell r="CC1752" t="str">
            <v>2300XX - CONTRACT - Identified - Recompete - IS4</v>
          </cell>
          <cell r="CD1752" t="str">
            <v/>
          </cell>
          <cell r="CF1752" t="str">
            <v>2300XX - Identified - Recompete - IS4</v>
          </cell>
        </row>
        <row r="1753">
          <cell r="D1753">
            <v>1739</v>
          </cell>
          <cell r="E1753">
            <v>0</v>
          </cell>
          <cell r="F1753">
            <v>5</v>
          </cell>
          <cell r="G1753" t="str">
            <v>2300XX</v>
          </cell>
          <cell r="H1753" t="str">
            <v>GSM ETI Task Order 19</v>
          </cell>
          <cell r="I1753" t="str">
            <v>IS4</v>
          </cell>
          <cell r="J1753" t="str">
            <v>IS4 Engineering and Technology Services</v>
          </cell>
          <cell r="K1753" t="str">
            <v>Navy</v>
          </cell>
          <cell r="L1753" t="str">
            <v>DOD</v>
          </cell>
          <cell r="M1753" t="str">
            <v>MD</v>
          </cell>
          <cell r="N1753" t="str">
            <v>CONUS</v>
          </cell>
          <cell r="O1753">
            <v>41576</v>
          </cell>
          <cell r="P1753">
            <v>43583</v>
          </cell>
          <cell r="Q1753" t="str">
            <v>Sub</v>
          </cell>
          <cell r="R1753" t="str">
            <v>CPFF</v>
          </cell>
          <cell r="S1753">
            <v>0</v>
          </cell>
          <cell r="T1753">
            <v>1</v>
          </cell>
          <cell r="U1753" t="str">
            <v>EBITA</v>
          </cell>
          <cell r="V1753" t="str">
            <v>Base</v>
          </cell>
          <cell r="W1753" t="str">
            <v>05 Won</v>
          </cell>
          <cell r="X1753" t="str">
            <v>Active</v>
          </cell>
          <cell r="Y1753">
            <v>1</v>
          </cell>
          <cell r="Z1753">
            <v>0</v>
          </cell>
          <cell r="AA1753">
            <v>-8.000000003085006E-2</v>
          </cell>
          <cell r="AB1753">
            <v>0</v>
          </cell>
          <cell r="AC1753">
            <v>0</v>
          </cell>
          <cell r="AD1753">
            <v>-8.000000003085006E-2</v>
          </cell>
          <cell r="AT1753">
            <v>9.6713971283247574E-2</v>
          </cell>
          <cell r="AU1753">
            <v>0.1049682949719309</v>
          </cell>
          <cell r="AV1753">
            <v>5.1841449240256507E-2</v>
          </cell>
          <cell r="AW1753">
            <v>1.7498244177921264E-2</v>
          </cell>
          <cell r="AX1753">
            <v>7.1931860475369189E-2</v>
          </cell>
          <cell r="AY1753">
            <v>7.1931860475369189E-2</v>
          </cell>
          <cell r="AZ1753">
            <v>7.1931860475369189E-2</v>
          </cell>
          <cell r="BA1753">
            <v>7.1931860475369189E-2</v>
          </cell>
          <cell r="BF1753">
            <v>46830.55</v>
          </cell>
          <cell r="BG1753">
            <v>48524.079999999994</v>
          </cell>
          <cell r="BH1753">
            <v>29341.76000000002</v>
          </cell>
          <cell r="BI1753">
            <v>4948.5699999999979</v>
          </cell>
          <cell r="BJ1753">
            <v>-167.79000000000815</v>
          </cell>
          <cell r="BK1753">
            <v>330.70000000000175</v>
          </cell>
          <cell r="BL1753">
            <v>0</v>
          </cell>
          <cell r="BM1753">
            <v>5111.4799999999914</v>
          </cell>
          <cell r="BN1753">
            <v>0</v>
          </cell>
          <cell r="BO1753">
            <v>0</v>
          </cell>
          <cell r="BP1753">
            <v>0</v>
          </cell>
          <cell r="BQ1753">
            <v>0</v>
          </cell>
          <cell r="BR1753">
            <v>5111.4799999999914</v>
          </cell>
          <cell r="BT1753">
            <v>0</v>
          </cell>
          <cell r="CA1753" t="str">
            <v>2300XX - EBITA - Base</v>
          </cell>
          <cell r="CC1753" t="str">
            <v>2300XX - EBITA - Base - IS4</v>
          </cell>
          <cell r="CD1753" t="str">
            <v/>
          </cell>
          <cell r="CF1753" t="str">
            <v>2300XX - Base - IS4</v>
          </cell>
        </row>
        <row r="1754">
          <cell r="D1754">
            <v>1740</v>
          </cell>
          <cell r="E1754">
            <v>0</v>
          </cell>
          <cell r="F1754">
            <v>0</v>
          </cell>
          <cell r="G1754" t="str">
            <v>2300XX</v>
          </cell>
          <cell r="H1754" t="str">
            <v>GSM ETI Task Order 19</v>
          </cell>
          <cell r="I1754" t="str">
            <v>IS4</v>
          </cell>
          <cell r="J1754" t="str">
            <v>IS4 Engineering and Technology Services</v>
          </cell>
          <cell r="K1754" t="str">
            <v>Navy</v>
          </cell>
          <cell r="L1754" t="str">
            <v>DOD</v>
          </cell>
          <cell r="M1754" t="str">
            <v>MD</v>
          </cell>
          <cell r="N1754" t="str">
            <v>CONUS</v>
          </cell>
          <cell r="O1754">
            <v>0</v>
          </cell>
          <cell r="P1754">
            <v>0</v>
          </cell>
          <cell r="Q1754">
            <v>0</v>
          </cell>
          <cell r="R1754" t="str">
            <v>CPFF</v>
          </cell>
          <cell r="S1754">
            <v>0</v>
          </cell>
          <cell r="T1754">
            <v>1</v>
          </cell>
          <cell r="U1754" t="str">
            <v>EBITA</v>
          </cell>
          <cell r="V1754" t="str">
            <v>Identified - Recompete</v>
          </cell>
          <cell r="W1754">
            <v>0</v>
          </cell>
          <cell r="X1754">
            <v>0</v>
          </cell>
          <cell r="Y1754">
            <v>0</v>
          </cell>
          <cell r="Z1754">
            <v>0</v>
          </cell>
          <cell r="AA1754">
            <v>0</v>
          </cell>
          <cell r="AB1754">
            <v>0</v>
          </cell>
          <cell r="AC1754">
            <v>0</v>
          </cell>
          <cell r="AD1754">
            <v>0</v>
          </cell>
          <cell r="AX1754">
            <v>0</v>
          </cell>
          <cell r="AY1754">
            <v>0</v>
          </cell>
          <cell r="AZ1754">
            <v>0</v>
          </cell>
          <cell r="BA1754">
            <v>0</v>
          </cell>
          <cell r="BI1754">
            <v>0</v>
          </cell>
          <cell r="BJ1754">
            <v>0</v>
          </cell>
          <cell r="BK1754">
            <v>0</v>
          </cell>
          <cell r="BL1754">
            <v>0</v>
          </cell>
          <cell r="BM1754">
            <v>0</v>
          </cell>
          <cell r="BN1754">
            <v>0</v>
          </cell>
          <cell r="BO1754">
            <v>0</v>
          </cell>
          <cell r="BP1754">
            <v>0</v>
          </cell>
          <cell r="BQ1754">
            <v>0</v>
          </cell>
          <cell r="BR1754">
            <v>0</v>
          </cell>
          <cell r="BT1754">
            <v>0</v>
          </cell>
          <cell r="CA1754" t="str">
            <v>2300XX - EBITA - Identified - Recompete</v>
          </cell>
          <cell r="CC1754" t="str">
            <v>2300XX - EBITA - Identified - Recompete - IS4</v>
          </cell>
          <cell r="CD1754" t="str">
            <v/>
          </cell>
          <cell r="CF1754" t="str">
            <v>2300XX - Identified - Recompete - IS4</v>
          </cell>
        </row>
        <row r="1755">
          <cell r="D1755">
            <v>1741</v>
          </cell>
          <cell r="E1755">
            <v>1</v>
          </cell>
          <cell r="F1755">
            <v>1</v>
          </cell>
          <cell r="G1755" t="str">
            <v>003589</v>
          </cell>
          <cell r="H1755" t="str">
            <v>PMS317 Gibbs &amp; Cox (3589)</v>
          </cell>
          <cell r="I1755" t="str">
            <v>IS4</v>
          </cell>
          <cell r="J1755" t="str">
            <v>IS4 Sustainment Engineering and Acquisition</v>
          </cell>
          <cell r="K1755" t="str">
            <v>Navy</v>
          </cell>
          <cell r="L1755" t="str">
            <v>DOD</v>
          </cell>
          <cell r="M1755" t="str">
            <v>US_State</v>
          </cell>
          <cell r="N1755" t="str">
            <v>CONUS</v>
          </cell>
          <cell r="O1755">
            <v>43332</v>
          </cell>
          <cell r="P1755">
            <v>43918</v>
          </cell>
          <cell r="Q1755" t="str">
            <v>Sub</v>
          </cell>
          <cell r="R1755" t="str">
            <v>CPFF</v>
          </cell>
          <cell r="S1755">
            <v>0</v>
          </cell>
          <cell r="T1755">
            <v>1</v>
          </cell>
          <cell r="U1755" t="str">
            <v>REVTOT</v>
          </cell>
          <cell r="V1755" t="str">
            <v>Base</v>
          </cell>
          <cell r="W1755" t="str">
            <v>05 Won</v>
          </cell>
          <cell r="X1755" t="str">
            <v>Active</v>
          </cell>
          <cell r="Y1755">
            <v>1</v>
          </cell>
          <cell r="Z1755">
            <v>0</v>
          </cell>
          <cell r="AA1755">
            <v>123526.11999999997</v>
          </cell>
          <cell r="AB1755">
            <v>0</v>
          </cell>
          <cell r="AC1755">
            <v>0</v>
          </cell>
          <cell r="AD1755">
            <v>123526.11999999997</v>
          </cell>
          <cell r="AE1755">
            <v>0</v>
          </cell>
          <cell r="AF1755">
            <v>0</v>
          </cell>
          <cell r="AG1755">
            <v>22.594712114376389</v>
          </cell>
          <cell r="AH1755">
            <v>-3.9635991327009457E-2</v>
          </cell>
          <cell r="AI1755">
            <v>0</v>
          </cell>
          <cell r="AJ1755">
            <v>0</v>
          </cell>
          <cell r="AK1755">
            <v>0</v>
          </cell>
          <cell r="BB1755">
            <v>116522.46334014747</v>
          </cell>
          <cell r="BC1755">
            <v>116522.46334014747</v>
          </cell>
          <cell r="BD1755">
            <v>116522.46334014747</v>
          </cell>
          <cell r="BE1755">
            <v>116522.46334014747</v>
          </cell>
          <cell r="BF1755">
            <v>0</v>
          </cell>
          <cell r="BG1755">
            <v>0</v>
          </cell>
          <cell r="BH1755">
            <v>5142.3200000000006</v>
          </cell>
          <cell r="BI1755">
            <v>40374.399999999994</v>
          </cell>
          <cell r="BJ1755">
            <v>29539.380000000005</v>
          </cell>
          <cell r="BK1755">
            <v>20961.620000000003</v>
          </cell>
          <cell r="BL1755">
            <v>30456.160000000003</v>
          </cell>
          <cell r="BM1755">
            <v>121331.56</v>
          </cell>
          <cell r="BN1755">
            <v>116522.46334014747</v>
          </cell>
          <cell r="BO1755">
            <v>7003.6566598524951</v>
          </cell>
          <cell r="BP1755">
            <v>0</v>
          </cell>
          <cell r="BQ1755">
            <v>0</v>
          </cell>
          <cell r="BR1755">
            <v>244857.67999999993</v>
          </cell>
          <cell r="BT1755">
            <v>0</v>
          </cell>
          <cell r="CA1755" t="str">
            <v>003589 - REVTOT - Base</v>
          </cell>
          <cell r="CC1755" t="str">
            <v>003589 - REVTOT - Base - IS4</v>
          </cell>
          <cell r="CD1755" t="str">
            <v/>
          </cell>
          <cell r="CF1755" t="str">
            <v>003589 - Base - IS4</v>
          </cell>
        </row>
        <row r="1756">
          <cell r="D1756">
            <v>1742</v>
          </cell>
          <cell r="E1756">
            <v>1</v>
          </cell>
          <cell r="F1756">
            <v>2</v>
          </cell>
          <cell r="G1756" t="str">
            <v>003589</v>
          </cell>
          <cell r="H1756" t="str">
            <v>PMS317 Gibbs &amp; Cox (3589)</v>
          </cell>
          <cell r="I1756" t="str">
            <v>IS4</v>
          </cell>
          <cell r="J1756" t="str">
            <v>IS4 Sustainment Engineering and Acquisition</v>
          </cell>
          <cell r="K1756" t="str">
            <v>Navy</v>
          </cell>
          <cell r="L1756" t="str">
            <v>DOD</v>
          </cell>
          <cell r="M1756" t="str">
            <v>US_State</v>
          </cell>
          <cell r="N1756" t="str">
            <v>CONUS</v>
          </cell>
          <cell r="O1756">
            <v>0</v>
          </cell>
          <cell r="P1756">
            <v>0</v>
          </cell>
          <cell r="Q1756">
            <v>0</v>
          </cell>
          <cell r="R1756" t="str">
            <v>CPFF</v>
          </cell>
          <cell r="S1756">
            <v>0</v>
          </cell>
          <cell r="T1756">
            <v>1</v>
          </cell>
          <cell r="U1756" t="str">
            <v>REVTOT</v>
          </cell>
          <cell r="V1756" t="str">
            <v>Identified - Recompete</v>
          </cell>
          <cell r="W1756">
            <v>0</v>
          </cell>
          <cell r="X1756">
            <v>0</v>
          </cell>
          <cell r="Y1756">
            <v>0</v>
          </cell>
          <cell r="Z1756">
            <v>0</v>
          </cell>
          <cell r="AA1756">
            <v>0</v>
          </cell>
          <cell r="AB1756">
            <v>0</v>
          </cell>
          <cell r="AC1756">
            <v>0</v>
          </cell>
          <cell r="AD1756">
            <v>0</v>
          </cell>
          <cell r="AI1756">
            <v>0</v>
          </cell>
          <cell r="AJ1756">
            <v>0</v>
          </cell>
          <cell r="AK1756">
            <v>0</v>
          </cell>
          <cell r="BB1756">
            <v>0</v>
          </cell>
          <cell r="BC1756">
            <v>0</v>
          </cell>
          <cell r="BD1756">
            <v>0</v>
          </cell>
          <cell r="BE1756">
            <v>0</v>
          </cell>
          <cell r="BI1756">
            <v>0</v>
          </cell>
          <cell r="BJ1756">
            <v>0</v>
          </cell>
          <cell r="BK1756">
            <v>0</v>
          </cell>
          <cell r="BL1756">
            <v>0</v>
          </cell>
          <cell r="BM1756">
            <v>0</v>
          </cell>
          <cell r="BN1756">
            <v>0</v>
          </cell>
          <cell r="BO1756">
            <v>0</v>
          </cell>
          <cell r="BP1756">
            <v>0</v>
          </cell>
          <cell r="BQ1756">
            <v>0</v>
          </cell>
          <cell r="BR1756">
            <v>0</v>
          </cell>
          <cell r="BT1756">
            <v>0</v>
          </cell>
          <cell r="CA1756" t="str">
            <v>003589 - REVTOT - Identified - Recompete</v>
          </cell>
          <cell r="CC1756" t="str">
            <v>003589 - REVTOT - Identified - Recompete - IS4</v>
          </cell>
          <cell r="CD1756" t="str">
            <v/>
          </cell>
          <cell r="CF1756" t="str">
            <v>003589 - Identified - Recompete - IS4</v>
          </cell>
        </row>
        <row r="1757">
          <cell r="D1757">
            <v>1743</v>
          </cell>
          <cell r="E1757">
            <v>2</v>
          </cell>
          <cell r="F1757">
            <v>3</v>
          </cell>
          <cell r="G1757" t="str">
            <v>003589</v>
          </cell>
          <cell r="H1757" t="str">
            <v>PMS317 Gibbs &amp; Cox (3589)</v>
          </cell>
          <cell r="I1757" t="str">
            <v>IS4</v>
          </cell>
          <cell r="J1757" t="str">
            <v>IS4 Sustainment Engineering and Acquisition</v>
          </cell>
          <cell r="K1757" t="str">
            <v>Navy</v>
          </cell>
          <cell r="L1757" t="str">
            <v>DOD</v>
          </cell>
          <cell r="M1757" t="str">
            <v>US_State</v>
          </cell>
          <cell r="N1757" t="str">
            <v>CONUS</v>
          </cell>
          <cell r="O1757">
            <v>43332</v>
          </cell>
          <cell r="P1757">
            <v>43918</v>
          </cell>
          <cell r="Q1757" t="str">
            <v>Sub</v>
          </cell>
          <cell r="R1757" t="str">
            <v>CPFF</v>
          </cell>
          <cell r="S1757">
            <v>0</v>
          </cell>
          <cell r="T1757">
            <v>1</v>
          </cell>
          <cell r="U1757" t="str">
            <v>CONTRACT</v>
          </cell>
          <cell r="V1757" t="str">
            <v>Base</v>
          </cell>
          <cell r="W1757" t="str">
            <v>05 Won</v>
          </cell>
          <cell r="X1757" t="str">
            <v>Active</v>
          </cell>
          <cell r="Y1757">
            <v>1</v>
          </cell>
          <cell r="Z1757">
            <v>0</v>
          </cell>
          <cell r="AA1757">
            <v>123526.11999999997</v>
          </cell>
          <cell r="AB1757">
            <v>0</v>
          </cell>
          <cell r="AC1757">
            <v>0</v>
          </cell>
          <cell r="AD1757">
            <v>123526.11999999997</v>
          </cell>
          <cell r="AL1757">
            <v>0</v>
          </cell>
          <cell r="AM1757">
            <v>0</v>
          </cell>
          <cell r="AN1757">
            <v>0.13027388416123475</v>
          </cell>
          <cell r="AO1757">
            <v>0.17407573099694759</v>
          </cell>
          <cell r="AP1757">
            <v>0.1723593729761777</v>
          </cell>
          <cell r="AQ1757">
            <v>0.1723593729761777</v>
          </cell>
          <cell r="AR1757">
            <v>0.1723593729761777</v>
          </cell>
          <cell r="AS1757">
            <v>0.1723593729761777</v>
          </cell>
          <cell r="BF1757">
            <v>0</v>
          </cell>
          <cell r="BG1757">
            <v>0</v>
          </cell>
          <cell r="BH1757">
            <v>669.91000000000076</v>
          </cell>
          <cell r="BI1757">
            <v>6650.3700000000008</v>
          </cell>
          <cell r="BJ1757">
            <v>4753.1200000000026</v>
          </cell>
          <cell r="BK1757">
            <v>4419.8100000000022</v>
          </cell>
          <cell r="BL1757">
            <v>5297.58</v>
          </cell>
          <cell r="BM1757">
            <v>21120.880000000005</v>
          </cell>
          <cell r="BN1757">
            <v>20083.738718947472</v>
          </cell>
          <cell r="BO1757">
            <v>1207.1458704326071</v>
          </cell>
          <cell r="BP1757">
            <v>0</v>
          </cell>
          <cell r="BQ1757">
            <v>0</v>
          </cell>
          <cell r="BR1757">
            <v>42411.76458938008</v>
          </cell>
          <cell r="BT1757">
            <v>0</v>
          </cell>
          <cell r="CA1757" t="str">
            <v>003589 - CONTRACT - Base</v>
          </cell>
          <cell r="CC1757" t="str">
            <v>003589 - CONTRACT - Base - IS4</v>
          </cell>
          <cell r="CD1757" t="str">
            <v/>
          </cell>
          <cell r="CF1757" t="str">
            <v>003589 - Base - IS4</v>
          </cell>
        </row>
        <row r="1758">
          <cell r="D1758">
            <v>1744</v>
          </cell>
          <cell r="E1758">
            <v>2</v>
          </cell>
          <cell r="F1758">
            <v>4</v>
          </cell>
          <cell r="G1758" t="str">
            <v>003589</v>
          </cell>
          <cell r="H1758" t="str">
            <v>PMS317 Gibbs &amp; Cox (3589)</v>
          </cell>
          <cell r="I1758" t="str">
            <v>IS4</v>
          </cell>
          <cell r="J1758" t="str">
            <v>IS4 Sustainment Engineering and Acquisition</v>
          </cell>
          <cell r="K1758" t="str">
            <v>Navy</v>
          </cell>
          <cell r="L1758" t="str">
            <v>DOD</v>
          </cell>
          <cell r="M1758" t="str">
            <v>US_State</v>
          </cell>
          <cell r="N1758" t="str">
            <v>CONUS</v>
          </cell>
          <cell r="O1758">
            <v>0</v>
          </cell>
          <cell r="P1758">
            <v>0</v>
          </cell>
          <cell r="Q1758">
            <v>0</v>
          </cell>
          <cell r="R1758" t="str">
            <v>CPFF</v>
          </cell>
          <cell r="S1758">
            <v>0</v>
          </cell>
          <cell r="T1758">
            <v>1</v>
          </cell>
          <cell r="U1758" t="str">
            <v>CONTRACT</v>
          </cell>
          <cell r="V1758" t="str">
            <v>Identified - Recompete</v>
          </cell>
          <cell r="W1758">
            <v>0</v>
          </cell>
          <cell r="X1758">
            <v>0</v>
          </cell>
          <cell r="Y1758">
            <v>0</v>
          </cell>
          <cell r="Z1758">
            <v>0</v>
          </cell>
          <cell r="AA1758">
            <v>0</v>
          </cell>
          <cell r="AB1758">
            <v>0</v>
          </cell>
          <cell r="AC1758">
            <v>0</v>
          </cell>
          <cell r="AD1758">
            <v>0</v>
          </cell>
          <cell r="AP1758">
            <v>0</v>
          </cell>
          <cell r="AQ1758">
            <v>0</v>
          </cell>
          <cell r="AR1758">
            <v>0</v>
          </cell>
          <cell r="AS1758">
            <v>0</v>
          </cell>
          <cell r="BI1758">
            <v>0</v>
          </cell>
          <cell r="BJ1758">
            <v>0</v>
          </cell>
          <cell r="BK1758">
            <v>0</v>
          </cell>
          <cell r="BL1758">
            <v>0</v>
          </cell>
          <cell r="BM1758">
            <v>0</v>
          </cell>
          <cell r="BN1758">
            <v>0</v>
          </cell>
          <cell r="BO1758">
            <v>0</v>
          </cell>
          <cell r="BP1758">
            <v>0</v>
          </cell>
          <cell r="BQ1758">
            <v>0</v>
          </cell>
          <cell r="BR1758">
            <v>0</v>
          </cell>
          <cell r="BT1758">
            <v>0</v>
          </cell>
          <cell r="CA1758" t="str">
            <v>003589 - CONTRACT - Identified - Recompete</v>
          </cell>
          <cell r="CC1758" t="str">
            <v>003589 - CONTRACT - Identified - Recompete - IS4</v>
          </cell>
          <cell r="CD1758" t="str">
            <v/>
          </cell>
          <cell r="CF1758" t="str">
            <v>003589 - Identified - Recompete - IS4</v>
          </cell>
        </row>
        <row r="1759">
          <cell r="D1759">
            <v>1745</v>
          </cell>
          <cell r="E1759">
            <v>0</v>
          </cell>
          <cell r="F1759">
            <v>5</v>
          </cell>
          <cell r="G1759" t="str">
            <v>003589</v>
          </cell>
          <cell r="H1759" t="str">
            <v>PMS317 Gibbs &amp; Cox (3589)</v>
          </cell>
          <cell r="I1759" t="str">
            <v>IS4</v>
          </cell>
          <cell r="J1759" t="str">
            <v>IS4 Sustainment Engineering and Acquisition</v>
          </cell>
          <cell r="K1759" t="str">
            <v>Navy</v>
          </cell>
          <cell r="L1759" t="str">
            <v>DOD</v>
          </cell>
          <cell r="M1759" t="str">
            <v>US_State</v>
          </cell>
          <cell r="N1759" t="str">
            <v>CONUS</v>
          </cell>
          <cell r="O1759">
            <v>43332</v>
          </cell>
          <cell r="P1759">
            <v>43918</v>
          </cell>
          <cell r="Q1759" t="str">
            <v>Sub</v>
          </cell>
          <cell r="R1759" t="str">
            <v>CPFF</v>
          </cell>
          <cell r="S1759">
            <v>0</v>
          </cell>
          <cell r="T1759">
            <v>1</v>
          </cell>
          <cell r="U1759" t="str">
            <v>EBITA</v>
          </cell>
          <cell r="V1759" t="str">
            <v>Base</v>
          </cell>
          <cell r="W1759" t="str">
            <v>05 Won</v>
          </cell>
          <cell r="X1759" t="str">
            <v>Active</v>
          </cell>
          <cell r="Y1759">
            <v>1</v>
          </cell>
          <cell r="Z1759">
            <v>0</v>
          </cell>
          <cell r="AA1759">
            <v>123526.11999999997</v>
          </cell>
          <cell r="AB1759">
            <v>0</v>
          </cell>
          <cell r="AC1759">
            <v>0</v>
          </cell>
          <cell r="AD1759">
            <v>123526.11999999997</v>
          </cell>
          <cell r="AT1759">
            <v>0</v>
          </cell>
          <cell r="AU1759">
            <v>0</v>
          </cell>
          <cell r="AV1759">
            <v>0</v>
          </cell>
          <cell r="AW1759">
            <v>3.9740443459228628E-2</v>
          </cell>
          <cell r="AX1759">
            <v>3.6620097193948029E-2</v>
          </cell>
          <cell r="AY1759">
            <v>3.6620097193948029E-2</v>
          </cell>
          <cell r="AZ1759">
            <v>3.6620097193948029E-2</v>
          </cell>
          <cell r="BA1759">
            <v>3.6620097193948029E-2</v>
          </cell>
          <cell r="BF1759">
            <v>0</v>
          </cell>
          <cell r="BG1759">
            <v>0</v>
          </cell>
          <cell r="BH1759">
            <v>0</v>
          </cell>
          <cell r="BI1759">
            <v>1438.7700000000009</v>
          </cell>
          <cell r="BJ1759">
            <v>1043.7200000000025</v>
          </cell>
          <cell r="BK1759">
            <v>1167.9000000000019</v>
          </cell>
          <cell r="BL1759">
            <v>1171.3800000000001</v>
          </cell>
          <cell r="BM1759">
            <v>4821.7700000000059</v>
          </cell>
          <cell r="BN1759">
            <v>4267.0639327944464</v>
          </cell>
          <cell r="BO1759">
            <v>256.4745875968398</v>
          </cell>
          <cell r="BP1759">
            <v>0</v>
          </cell>
          <cell r="BQ1759">
            <v>0</v>
          </cell>
          <cell r="BR1759">
            <v>9345.3085203912924</v>
          </cell>
          <cell r="BT1759">
            <v>0</v>
          </cell>
          <cell r="CA1759" t="str">
            <v>003589 - EBITA - Base</v>
          </cell>
          <cell r="CC1759" t="str">
            <v>003589 - EBITA - Base - IS4</v>
          </cell>
          <cell r="CD1759" t="str">
            <v/>
          </cell>
          <cell r="CF1759" t="str">
            <v>003589 - Base - IS4</v>
          </cell>
        </row>
        <row r="1760">
          <cell r="D1760">
            <v>1746</v>
          </cell>
          <cell r="E1760">
            <v>0</v>
          </cell>
          <cell r="F1760">
            <v>0</v>
          </cell>
          <cell r="G1760" t="str">
            <v>003589</v>
          </cell>
          <cell r="H1760" t="str">
            <v>PMS317 Gibbs &amp; Cox (3589)</v>
          </cell>
          <cell r="I1760" t="str">
            <v>IS4</v>
          </cell>
          <cell r="J1760" t="str">
            <v>IS4 Sustainment Engineering and Acquisition</v>
          </cell>
          <cell r="K1760" t="str">
            <v>Navy</v>
          </cell>
          <cell r="L1760" t="str">
            <v>DOD</v>
          </cell>
          <cell r="M1760" t="str">
            <v>US_State</v>
          </cell>
          <cell r="N1760" t="str">
            <v>CONUS</v>
          </cell>
          <cell r="O1760">
            <v>0</v>
          </cell>
          <cell r="P1760">
            <v>0</v>
          </cell>
          <cell r="Q1760">
            <v>0</v>
          </cell>
          <cell r="R1760" t="str">
            <v>CPFF</v>
          </cell>
          <cell r="S1760">
            <v>0</v>
          </cell>
          <cell r="T1760">
            <v>1</v>
          </cell>
          <cell r="U1760" t="str">
            <v>EBITA</v>
          </cell>
          <cell r="V1760" t="str">
            <v>Identified - Recompete</v>
          </cell>
          <cell r="W1760">
            <v>0</v>
          </cell>
          <cell r="X1760">
            <v>0</v>
          </cell>
          <cell r="Y1760">
            <v>0</v>
          </cell>
          <cell r="Z1760">
            <v>0</v>
          </cell>
          <cell r="AA1760">
            <v>0</v>
          </cell>
          <cell r="AB1760">
            <v>0</v>
          </cell>
          <cell r="AC1760">
            <v>0</v>
          </cell>
          <cell r="AD1760">
            <v>0</v>
          </cell>
          <cell r="AX1760">
            <v>0</v>
          </cell>
          <cell r="AY1760">
            <v>0</v>
          </cell>
          <cell r="AZ1760">
            <v>0</v>
          </cell>
          <cell r="BA1760">
            <v>0</v>
          </cell>
          <cell r="BI1760">
            <v>0</v>
          </cell>
          <cell r="BJ1760">
            <v>0</v>
          </cell>
          <cell r="BK1760">
            <v>0</v>
          </cell>
          <cell r="BL1760">
            <v>0</v>
          </cell>
          <cell r="BM1760">
            <v>0</v>
          </cell>
          <cell r="BN1760">
            <v>0</v>
          </cell>
          <cell r="BO1760">
            <v>0</v>
          </cell>
          <cell r="BP1760">
            <v>0</v>
          </cell>
          <cell r="BQ1760">
            <v>0</v>
          </cell>
          <cell r="BR1760">
            <v>0</v>
          </cell>
          <cell r="BT1760">
            <v>0</v>
          </cell>
          <cell r="CA1760" t="str">
            <v>003589 - EBITA - Identified - Recompete</v>
          </cell>
          <cell r="CC1760" t="str">
            <v>003589 - EBITA - Identified - Recompete - IS4</v>
          </cell>
          <cell r="CD1760" t="str">
            <v/>
          </cell>
          <cell r="CF1760" t="str">
            <v>003589 - Identified - Recompete - IS4</v>
          </cell>
        </row>
        <row r="1761">
          <cell r="D1761">
            <v>1747</v>
          </cell>
          <cell r="E1761">
            <v>1</v>
          </cell>
          <cell r="F1761">
            <v>1</v>
          </cell>
          <cell r="G1761" t="str">
            <v>003040</v>
          </cell>
          <cell r="H1761" t="str">
            <v>Z Dept Support (SDC)</v>
          </cell>
          <cell r="I1761" t="str">
            <v>IS4</v>
          </cell>
          <cell r="J1761" t="str">
            <v>IS4 Spectrum &amp; Infrastructure Assurance</v>
          </cell>
          <cell r="K1761" t="str">
            <v>Navy</v>
          </cell>
          <cell r="L1761" t="str">
            <v>DOD</v>
          </cell>
          <cell r="M1761" t="str">
            <v>VA</v>
          </cell>
          <cell r="N1761" t="str">
            <v>CONUS</v>
          </cell>
          <cell r="O1761">
            <v>42219</v>
          </cell>
          <cell r="P1761">
            <v>44045</v>
          </cell>
          <cell r="Q1761" t="str">
            <v>Sub</v>
          </cell>
          <cell r="R1761" t="str">
            <v>CPFF</v>
          </cell>
          <cell r="S1761">
            <v>0</v>
          </cell>
          <cell r="T1761">
            <v>1</v>
          </cell>
          <cell r="U1761" t="str">
            <v>REVTOT</v>
          </cell>
          <cell r="V1761" t="str">
            <v>Base</v>
          </cell>
          <cell r="W1761" t="str">
            <v>05 Won</v>
          </cell>
          <cell r="X1761" t="str">
            <v>Active</v>
          </cell>
          <cell r="Y1761">
            <v>1</v>
          </cell>
          <cell r="Z1761">
            <v>0</v>
          </cell>
          <cell r="AA1761">
            <v>147538.99372800003</v>
          </cell>
          <cell r="AB1761">
            <v>374399</v>
          </cell>
          <cell r="AC1761">
            <v>0</v>
          </cell>
          <cell r="AD1761">
            <v>521937.99372800003</v>
          </cell>
          <cell r="AE1761">
            <v>0</v>
          </cell>
          <cell r="AF1761">
            <v>0.71317963150680486</v>
          </cell>
          <cell r="AG1761">
            <v>-5.692269765477076E-2</v>
          </cell>
          <cell r="AH1761">
            <v>-0.11254622923121926</v>
          </cell>
          <cell r="AI1761">
            <v>0</v>
          </cell>
          <cell r="AJ1761">
            <v>0</v>
          </cell>
          <cell r="AK1761">
            <v>0</v>
          </cell>
          <cell r="BB1761">
            <v>92365.670429999998</v>
          </cell>
          <cell r="BC1761">
            <v>92365.670429999998</v>
          </cell>
          <cell r="BD1761">
            <v>92365.670429999998</v>
          </cell>
          <cell r="BE1761">
            <v>92365.670429999998</v>
          </cell>
          <cell r="BF1761">
            <v>0</v>
          </cell>
          <cell r="BG1761">
            <v>64419.1</v>
          </cell>
          <cell r="BH1761">
            <v>110361.49</v>
          </cell>
          <cell r="BI1761">
            <v>25174.82</v>
          </cell>
          <cell r="BJ1761">
            <v>26953.5</v>
          </cell>
          <cell r="BK1761">
            <v>27248.14</v>
          </cell>
          <cell r="BL1761">
            <v>24702.956272000003</v>
          </cell>
          <cell r="BM1761">
            <v>104079.416272</v>
          </cell>
          <cell r="BN1761">
            <v>92365.670429999998</v>
          </cell>
          <cell r="BO1761">
            <v>92365.670429999998</v>
          </cell>
          <cell r="BP1761">
            <v>92365.670429999998</v>
          </cell>
          <cell r="BQ1761">
            <v>92365.670429999998</v>
          </cell>
          <cell r="BR1761">
            <v>473542.097992</v>
          </cell>
          <cell r="BT1761">
            <v>0</v>
          </cell>
          <cell r="CA1761" t="str">
            <v>003040 - REVTOT - Base</v>
          </cell>
          <cell r="CC1761" t="str">
            <v>003040 - REVTOT - Base - IS4</v>
          </cell>
          <cell r="CD1761" t="str">
            <v/>
          </cell>
          <cell r="CF1761" t="str">
            <v>003040 - Base - IS4</v>
          </cell>
        </row>
        <row r="1762">
          <cell r="D1762">
            <v>1748</v>
          </cell>
          <cell r="E1762">
            <v>1</v>
          </cell>
          <cell r="F1762">
            <v>2</v>
          </cell>
          <cell r="G1762" t="str">
            <v>003040</v>
          </cell>
          <cell r="H1762" t="str">
            <v>Z Dept Support (SDC)</v>
          </cell>
          <cell r="I1762" t="str">
            <v>IS4</v>
          </cell>
          <cell r="J1762" t="str">
            <v>IS4 Spectrum &amp; Infrastructure Assurance</v>
          </cell>
          <cell r="K1762" t="str">
            <v>Navy</v>
          </cell>
          <cell r="L1762" t="str">
            <v>DOD</v>
          </cell>
          <cell r="M1762" t="str">
            <v>VA</v>
          </cell>
          <cell r="N1762" t="str">
            <v>CONUS</v>
          </cell>
          <cell r="O1762">
            <v>0</v>
          </cell>
          <cell r="P1762">
            <v>0</v>
          </cell>
          <cell r="Q1762">
            <v>0</v>
          </cell>
          <cell r="R1762" t="str">
            <v>CPFF</v>
          </cell>
          <cell r="S1762">
            <v>0</v>
          </cell>
          <cell r="T1762">
            <v>1</v>
          </cell>
          <cell r="U1762" t="str">
            <v>REVTOT</v>
          </cell>
          <cell r="V1762" t="str">
            <v>Identified - Recompete</v>
          </cell>
          <cell r="W1762">
            <v>0</v>
          </cell>
          <cell r="X1762">
            <v>0</v>
          </cell>
          <cell r="Y1762">
            <v>0</v>
          </cell>
          <cell r="Z1762">
            <v>0</v>
          </cell>
          <cell r="AA1762">
            <v>0</v>
          </cell>
          <cell r="AB1762">
            <v>0</v>
          </cell>
          <cell r="AC1762">
            <v>0</v>
          </cell>
          <cell r="AD1762">
            <v>0</v>
          </cell>
          <cell r="AI1762">
            <v>0</v>
          </cell>
          <cell r="AJ1762">
            <v>0</v>
          </cell>
          <cell r="AK1762">
            <v>0</v>
          </cell>
          <cell r="BB1762">
            <v>0</v>
          </cell>
          <cell r="BC1762">
            <v>0</v>
          </cell>
          <cell r="BD1762">
            <v>0</v>
          </cell>
          <cell r="BE1762">
            <v>0</v>
          </cell>
          <cell r="BI1762">
            <v>0</v>
          </cell>
          <cell r="BJ1762">
            <v>0</v>
          </cell>
          <cell r="BK1762">
            <v>0</v>
          </cell>
          <cell r="BL1762">
            <v>0</v>
          </cell>
          <cell r="BM1762">
            <v>0</v>
          </cell>
          <cell r="BN1762">
            <v>0</v>
          </cell>
          <cell r="BO1762">
            <v>0</v>
          </cell>
          <cell r="BP1762">
            <v>0</v>
          </cell>
          <cell r="BQ1762">
            <v>0</v>
          </cell>
          <cell r="BR1762">
            <v>0</v>
          </cell>
          <cell r="BT1762">
            <v>0</v>
          </cell>
          <cell r="CA1762" t="str">
            <v>003040 - REVTOT - Identified - Recompete</v>
          </cell>
          <cell r="CC1762" t="str">
            <v>003040 - REVTOT - Identified - Recompete - IS4</v>
          </cell>
          <cell r="CD1762" t="str">
            <v/>
          </cell>
          <cell r="CF1762" t="str">
            <v>003040 - Identified - Recompete - IS4</v>
          </cell>
        </row>
        <row r="1763">
          <cell r="D1763">
            <v>1749</v>
          </cell>
          <cell r="E1763">
            <v>2</v>
          </cell>
          <cell r="F1763">
            <v>3</v>
          </cell>
          <cell r="G1763" t="str">
            <v>003040</v>
          </cell>
          <cell r="H1763" t="str">
            <v>Z Dept Support (SDC)</v>
          </cell>
          <cell r="I1763" t="str">
            <v>IS4</v>
          </cell>
          <cell r="J1763" t="str">
            <v>IS4 Spectrum &amp; Infrastructure Assurance</v>
          </cell>
          <cell r="K1763" t="str">
            <v>Navy</v>
          </cell>
          <cell r="L1763" t="str">
            <v>DOD</v>
          </cell>
          <cell r="M1763" t="str">
            <v>VA</v>
          </cell>
          <cell r="N1763" t="str">
            <v>CONUS</v>
          </cell>
          <cell r="O1763">
            <v>42219</v>
          </cell>
          <cell r="P1763">
            <v>44045</v>
          </cell>
          <cell r="Q1763" t="str">
            <v>Sub</v>
          </cell>
          <cell r="R1763" t="str">
            <v>CPFF</v>
          </cell>
          <cell r="S1763">
            <v>0</v>
          </cell>
          <cell r="T1763">
            <v>1</v>
          </cell>
          <cell r="U1763" t="str">
            <v>CONTRACT</v>
          </cell>
          <cell r="V1763" t="str">
            <v>Base</v>
          </cell>
          <cell r="W1763" t="str">
            <v>05 Won</v>
          </cell>
          <cell r="X1763" t="str">
            <v>Active</v>
          </cell>
          <cell r="Y1763">
            <v>1</v>
          </cell>
          <cell r="Z1763">
            <v>0</v>
          </cell>
          <cell r="AA1763">
            <v>147538.99372800003</v>
          </cell>
          <cell r="AB1763">
            <v>374399</v>
          </cell>
          <cell r="AC1763">
            <v>0</v>
          </cell>
          <cell r="AD1763">
            <v>521937.99372800003</v>
          </cell>
          <cell r="AL1763">
            <v>0</v>
          </cell>
          <cell r="AM1763">
            <v>0.12973931644496742</v>
          </cell>
          <cell r="AN1763">
            <v>0.12817152069983831</v>
          </cell>
          <cell r="AO1763">
            <v>0.13445167314763901</v>
          </cell>
          <cell r="AP1763">
            <v>0.1448308267533028</v>
          </cell>
          <cell r="AQ1763">
            <v>0.1448308267533028</v>
          </cell>
          <cell r="AR1763">
            <v>0.1448308267533028</v>
          </cell>
          <cell r="AS1763">
            <v>0.1448308267533028</v>
          </cell>
          <cell r="BF1763">
            <v>0</v>
          </cell>
          <cell r="BG1763">
            <v>8357.69</v>
          </cell>
          <cell r="BH1763">
            <v>14145.2</v>
          </cell>
          <cell r="BI1763">
            <v>3154.49</v>
          </cell>
          <cell r="BJ1763">
            <v>3464.2000000000016</v>
          </cell>
          <cell r="BK1763">
            <v>3751.0699999999997</v>
          </cell>
          <cell r="BL1763">
            <v>3623.8916580000023</v>
          </cell>
          <cell r="BM1763">
            <v>13993.651658000004</v>
          </cell>
          <cell r="BN1763">
            <v>13377.396411999993</v>
          </cell>
          <cell r="BO1763">
            <v>13377.396411999993</v>
          </cell>
          <cell r="BP1763">
            <v>13377.396411999993</v>
          </cell>
          <cell r="BQ1763">
            <v>13377.396411999993</v>
          </cell>
          <cell r="BR1763">
            <v>67503.237305999981</v>
          </cell>
          <cell r="BT1763">
            <v>0</v>
          </cell>
          <cell r="CA1763" t="str">
            <v>003040 - CONTRACT - Base</v>
          </cell>
          <cell r="CC1763" t="str">
            <v>003040 - CONTRACT - Base - IS4</v>
          </cell>
          <cell r="CD1763" t="str">
            <v/>
          </cell>
          <cell r="CF1763" t="str">
            <v>003040 - Base - IS4</v>
          </cell>
        </row>
        <row r="1764">
          <cell r="D1764">
            <v>1750</v>
          </cell>
          <cell r="E1764">
            <v>2</v>
          </cell>
          <cell r="F1764">
            <v>4</v>
          </cell>
          <cell r="G1764" t="str">
            <v>003040</v>
          </cell>
          <cell r="H1764" t="str">
            <v>Z Dept Support (SDC)</v>
          </cell>
          <cell r="I1764" t="str">
            <v>IS4</v>
          </cell>
          <cell r="J1764" t="str">
            <v>IS4 Spectrum &amp; Infrastructure Assurance</v>
          </cell>
          <cell r="K1764" t="str">
            <v>Navy</v>
          </cell>
          <cell r="L1764" t="str">
            <v>DOD</v>
          </cell>
          <cell r="M1764" t="str">
            <v>VA</v>
          </cell>
          <cell r="N1764" t="str">
            <v>CONUS</v>
          </cell>
          <cell r="O1764">
            <v>0</v>
          </cell>
          <cell r="P1764">
            <v>0</v>
          </cell>
          <cell r="Q1764">
            <v>0</v>
          </cell>
          <cell r="R1764" t="str">
            <v>CPFF</v>
          </cell>
          <cell r="S1764">
            <v>0</v>
          </cell>
          <cell r="T1764">
            <v>1</v>
          </cell>
          <cell r="U1764" t="str">
            <v>CONTRACT</v>
          </cell>
          <cell r="V1764" t="str">
            <v>Identified - Recompete</v>
          </cell>
          <cell r="W1764">
            <v>0</v>
          </cell>
          <cell r="X1764">
            <v>0</v>
          </cell>
          <cell r="Y1764">
            <v>0</v>
          </cell>
          <cell r="Z1764">
            <v>0</v>
          </cell>
          <cell r="AA1764">
            <v>0</v>
          </cell>
          <cell r="AB1764">
            <v>0</v>
          </cell>
          <cell r="AC1764">
            <v>0</v>
          </cell>
          <cell r="AD1764">
            <v>0</v>
          </cell>
          <cell r="AP1764">
            <v>0</v>
          </cell>
          <cell r="AQ1764">
            <v>0</v>
          </cell>
          <cell r="AR1764">
            <v>0</v>
          </cell>
          <cell r="AS1764">
            <v>0</v>
          </cell>
          <cell r="BI1764">
            <v>0</v>
          </cell>
          <cell r="BJ1764">
            <v>0</v>
          </cell>
          <cell r="BK1764">
            <v>0</v>
          </cell>
          <cell r="BL1764">
            <v>0</v>
          </cell>
          <cell r="BM1764">
            <v>0</v>
          </cell>
          <cell r="BN1764">
            <v>0</v>
          </cell>
          <cell r="BO1764">
            <v>0</v>
          </cell>
          <cell r="BP1764">
            <v>0</v>
          </cell>
          <cell r="BQ1764">
            <v>0</v>
          </cell>
          <cell r="BR1764">
            <v>0</v>
          </cell>
          <cell r="BT1764">
            <v>0</v>
          </cell>
          <cell r="CA1764" t="str">
            <v>003040 - CONTRACT - Identified - Recompete</v>
          </cell>
          <cell r="CC1764" t="str">
            <v>003040 - CONTRACT - Identified - Recompete - IS4</v>
          </cell>
          <cell r="CD1764" t="str">
            <v/>
          </cell>
          <cell r="CF1764" t="str">
            <v>003040 - Identified - Recompete - IS4</v>
          </cell>
        </row>
        <row r="1765">
          <cell r="D1765">
            <v>1751</v>
          </cell>
          <cell r="E1765">
            <v>0</v>
          </cell>
          <cell r="F1765">
            <v>5</v>
          </cell>
          <cell r="G1765" t="str">
            <v>003040</v>
          </cell>
          <cell r="H1765" t="str">
            <v>Z Dept Support (SDC)</v>
          </cell>
          <cell r="I1765" t="str">
            <v>IS4</v>
          </cell>
          <cell r="J1765" t="str">
            <v>IS4 Spectrum &amp; Infrastructure Assurance</v>
          </cell>
          <cell r="K1765" t="str">
            <v>Navy</v>
          </cell>
          <cell r="L1765" t="str">
            <v>DOD</v>
          </cell>
          <cell r="M1765" t="str">
            <v>VA</v>
          </cell>
          <cell r="N1765" t="str">
            <v>CONUS</v>
          </cell>
          <cell r="O1765">
            <v>42219</v>
          </cell>
          <cell r="P1765">
            <v>44045</v>
          </cell>
          <cell r="Q1765" t="str">
            <v>Sub</v>
          </cell>
          <cell r="R1765" t="str">
            <v>CPFF</v>
          </cell>
          <cell r="S1765">
            <v>0</v>
          </cell>
          <cell r="T1765">
            <v>1</v>
          </cell>
          <cell r="U1765" t="str">
            <v>EBITA</v>
          </cell>
          <cell r="V1765" t="str">
            <v>Base</v>
          </cell>
          <cell r="W1765" t="str">
            <v>05 Won</v>
          </cell>
          <cell r="X1765" t="str">
            <v>Active</v>
          </cell>
          <cell r="Y1765">
            <v>1</v>
          </cell>
          <cell r="Z1765">
            <v>0</v>
          </cell>
          <cell r="AA1765">
            <v>147538.99372800003</v>
          </cell>
          <cell r="AB1765">
            <v>374399</v>
          </cell>
          <cell r="AC1765">
            <v>0</v>
          </cell>
          <cell r="AD1765">
            <v>521937.99372800003</v>
          </cell>
          <cell r="AT1765">
            <v>0</v>
          </cell>
          <cell r="AU1765">
            <v>-3.9100204752938184E-3</v>
          </cell>
          <cell r="AV1765">
            <v>1.9971640469877657E-3</v>
          </cell>
          <cell r="AW1765">
            <v>4.5588270777768636E-3</v>
          </cell>
          <cell r="AX1765">
            <v>1.9823697606557143E-2</v>
          </cell>
          <cell r="AY1765">
            <v>1.9823697606557143E-2</v>
          </cell>
          <cell r="AZ1765">
            <v>1.9823697606557143E-2</v>
          </cell>
          <cell r="BA1765">
            <v>1.9823697606557143E-2</v>
          </cell>
          <cell r="BF1765">
            <v>0</v>
          </cell>
          <cell r="BG1765">
            <v>-251.88</v>
          </cell>
          <cell r="BH1765">
            <v>220.40999999999985</v>
          </cell>
          <cell r="BI1765">
            <v>-185.37000000000012</v>
          </cell>
          <cell r="BJ1765">
            <v>-0.90999999999826287</v>
          </cell>
          <cell r="BK1765">
            <v>235.24999999999977</v>
          </cell>
          <cell r="BL1765">
            <v>425.51006114000211</v>
          </cell>
          <cell r="BM1765">
            <v>474.4800611400035</v>
          </cell>
          <cell r="BN1765">
            <v>1831.0291198312368</v>
          </cell>
          <cell r="BO1765">
            <v>1831.0291198312368</v>
          </cell>
          <cell r="BP1765">
            <v>1831.0291198312368</v>
          </cell>
          <cell r="BQ1765">
            <v>1831.0291198312368</v>
          </cell>
          <cell r="BR1765">
            <v>7798.5965404649514</v>
          </cell>
          <cell r="BT1765">
            <v>0</v>
          </cell>
          <cell r="CA1765" t="str">
            <v>003040 - EBITA - Base</v>
          </cell>
          <cell r="CC1765" t="str">
            <v>003040 - EBITA - Base - IS4</v>
          </cell>
          <cell r="CD1765" t="str">
            <v/>
          </cell>
          <cell r="CF1765" t="str">
            <v>003040 - Base - IS4</v>
          </cell>
        </row>
        <row r="1766">
          <cell r="D1766">
            <v>1752</v>
          </cell>
          <cell r="E1766">
            <v>0</v>
          </cell>
          <cell r="F1766">
            <v>0</v>
          </cell>
          <cell r="G1766" t="str">
            <v>003040</v>
          </cell>
          <cell r="H1766" t="str">
            <v>Z Dept Support (SDC)</v>
          </cell>
          <cell r="I1766" t="str">
            <v>IS4</v>
          </cell>
          <cell r="J1766" t="str">
            <v>IS4 Spectrum &amp; Infrastructure Assurance</v>
          </cell>
          <cell r="K1766" t="str">
            <v>Navy</v>
          </cell>
          <cell r="L1766" t="str">
            <v>DOD</v>
          </cell>
          <cell r="M1766" t="str">
            <v>VA</v>
          </cell>
          <cell r="N1766" t="str">
            <v>CONUS</v>
          </cell>
          <cell r="O1766">
            <v>0</v>
          </cell>
          <cell r="P1766">
            <v>0</v>
          </cell>
          <cell r="Q1766">
            <v>0</v>
          </cell>
          <cell r="R1766" t="str">
            <v>CPFF</v>
          </cell>
          <cell r="S1766">
            <v>0</v>
          </cell>
          <cell r="T1766">
            <v>1</v>
          </cell>
          <cell r="U1766" t="str">
            <v>EBITA</v>
          </cell>
          <cell r="V1766" t="str">
            <v>Identified - Recompete</v>
          </cell>
          <cell r="W1766">
            <v>0</v>
          </cell>
          <cell r="X1766">
            <v>0</v>
          </cell>
          <cell r="Y1766">
            <v>0</v>
          </cell>
          <cell r="Z1766">
            <v>0</v>
          </cell>
          <cell r="AA1766">
            <v>0</v>
          </cell>
          <cell r="AB1766">
            <v>0</v>
          </cell>
          <cell r="AC1766">
            <v>0</v>
          </cell>
          <cell r="AD1766">
            <v>0</v>
          </cell>
          <cell r="AX1766">
            <v>0</v>
          </cell>
          <cell r="AY1766">
            <v>0</v>
          </cell>
          <cell r="AZ1766">
            <v>0</v>
          </cell>
          <cell r="BA1766">
            <v>0</v>
          </cell>
          <cell r="BI1766">
            <v>0</v>
          </cell>
          <cell r="BJ1766">
            <v>0</v>
          </cell>
          <cell r="BK1766">
            <v>0</v>
          </cell>
          <cell r="BL1766">
            <v>0</v>
          </cell>
          <cell r="BM1766">
            <v>0</v>
          </cell>
          <cell r="BN1766">
            <v>0</v>
          </cell>
          <cell r="BO1766">
            <v>0</v>
          </cell>
          <cell r="BP1766">
            <v>0</v>
          </cell>
          <cell r="BQ1766">
            <v>0</v>
          </cell>
          <cell r="BR1766">
            <v>0</v>
          </cell>
          <cell r="BT1766">
            <v>0</v>
          </cell>
          <cell r="CA1766" t="str">
            <v>003040 - EBITA - Identified - Recompete</v>
          </cell>
          <cell r="CC1766" t="str">
            <v>003040 - EBITA - Identified - Recompete - IS4</v>
          </cell>
          <cell r="CD1766" t="str">
            <v/>
          </cell>
          <cell r="CF1766" t="str">
            <v>003040 - Identified - Recompete - IS4</v>
          </cell>
        </row>
        <row r="1767">
          <cell r="D1767">
            <v>1753</v>
          </cell>
          <cell r="E1767">
            <v>1</v>
          </cell>
          <cell r="F1767">
            <v>1</v>
          </cell>
          <cell r="G1767" t="str">
            <v>002278</v>
          </cell>
          <cell r="H1767" t="str">
            <v>002278 Shelf Life</v>
          </cell>
          <cell r="I1767" t="str">
            <v>IS4</v>
          </cell>
          <cell r="J1767" t="str">
            <v>IS4 Spectrum &amp; Infrastructure Assurance</v>
          </cell>
          <cell r="K1767" t="str">
            <v>Navy</v>
          </cell>
          <cell r="L1767" t="str">
            <v>DOD</v>
          </cell>
          <cell r="M1767" t="str">
            <v>IN</v>
          </cell>
          <cell r="N1767" t="str">
            <v>CONUS</v>
          </cell>
          <cell r="O1767">
            <v>41544</v>
          </cell>
          <cell r="P1767">
            <v>43385</v>
          </cell>
          <cell r="Q1767" t="str">
            <v>Prime</v>
          </cell>
          <cell r="R1767" t="str">
            <v>CPFF</v>
          </cell>
          <cell r="S1767">
            <v>0</v>
          </cell>
          <cell r="T1767">
            <v>1</v>
          </cell>
          <cell r="U1767" t="str">
            <v>REVTOT</v>
          </cell>
          <cell r="V1767" t="str">
            <v>Base</v>
          </cell>
          <cell r="W1767" t="str">
            <v>05 Won</v>
          </cell>
          <cell r="X1767" t="str">
            <v>Active</v>
          </cell>
          <cell r="Y1767">
            <v>1</v>
          </cell>
          <cell r="Z1767">
            <v>0</v>
          </cell>
          <cell r="AA1767">
            <v>554866.04000000097</v>
          </cell>
          <cell r="AB1767">
            <v>0</v>
          </cell>
          <cell r="AC1767">
            <v>0</v>
          </cell>
          <cell r="AD1767">
            <v>554866.04000000097</v>
          </cell>
          <cell r="AE1767">
            <v>2.080062383738035E-3</v>
          </cell>
          <cell r="AF1767">
            <v>0.12596721448339676</v>
          </cell>
          <cell r="AG1767">
            <v>-0.82716247472734072</v>
          </cell>
          <cell r="AH1767">
            <v>-1</v>
          </cell>
          <cell r="AI1767">
            <v>0</v>
          </cell>
          <cell r="AJ1767">
            <v>0</v>
          </cell>
          <cell r="AK1767">
            <v>0</v>
          </cell>
          <cell r="BB1767">
            <v>0</v>
          </cell>
          <cell r="BC1767">
            <v>0</v>
          </cell>
          <cell r="BD1767">
            <v>0</v>
          </cell>
          <cell r="BE1767">
            <v>0</v>
          </cell>
          <cell r="BF1767">
            <v>1053300.1400000001</v>
          </cell>
          <cell r="BG1767">
            <v>1055491.07</v>
          </cell>
          <cell r="BH1767">
            <v>1188448.3400000001</v>
          </cell>
          <cell r="BI1767">
            <v>198311.44</v>
          </cell>
          <cell r="BJ1767">
            <v>4302.3199999999988</v>
          </cell>
          <cell r="BK1767">
            <v>2794.71</v>
          </cell>
          <cell r="BL1767">
            <v>0</v>
          </cell>
          <cell r="BM1767">
            <v>205408.47</v>
          </cell>
          <cell r="BN1767">
            <v>0</v>
          </cell>
          <cell r="BO1767">
            <v>0</v>
          </cell>
          <cell r="BP1767">
            <v>0</v>
          </cell>
          <cell r="BQ1767">
            <v>0</v>
          </cell>
          <cell r="BR1767">
            <v>205408.47</v>
          </cell>
          <cell r="BT1767">
            <v>0</v>
          </cell>
          <cell r="CA1767" t="str">
            <v>002278 - REVTOT - Base</v>
          </cell>
          <cell r="CC1767" t="str">
            <v>002278 - REVTOT - Base - IS4</v>
          </cell>
          <cell r="CD1767" t="str">
            <v/>
          </cell>
          <cell r="CF1767" t="str">
            <v>002278 - Base - IS4</v>
          </cell>
        </row>
        <row r="1768">
          <cell r="D1768">
            <v>1754</v>
          </cell>
          <cell r="E1768">
            <v>1</v>
          </cell>
          <cell r="F1768">
            <v>2</v>
          </cell>
          <cell r="G1768" t="str">
            <v>002278</v>
          </cell>
          <cell r="H1768" t="str">
            <v>002278 Shelf Life</v>
          </cell>
          <cell r="I1768" t="str">
            <v>IS4</v>
          </cell>
          <cell r="J1768" t="str">
            <v>IS4 Spectrum &amp; Infrastructure Assurance</v>
          </cell>
          <cell r="K1768" t="str">
            <v>Navy</v>
          </cell>
          <cell r="L1768" t="str">
            <v>DOD</v>
          </cell>
          <cell r="M1768" t="str">
            <v>IN</v>
          </cell>
          <cell r="N1768" t="str">
            <v>CONUS</v>
          </cell>
          <cell r="O1768">
            <v>0</v>
          </cell>
          <cell r="P1768">
            <v>0</v>
          </cell>
          <cell r="Q1768">
            <v>0</v>
          </cell>
          <cell r="R1768" t="str">
            <v>CPFF</v>
          </cell>
          <cell r="S1768">
            <v>0</v>
          </cell>
          <cell r="T1768">
            <v>1</v>
          </cell>
          <cell r="U1768" t="str">
            <v>REVTOT</v>
          </cell>
          <cell r="V1768" t="str">
            <v>Identified - Recompete</v>
          </cell>
          <cell r="W1768">
            <v>0</v>
          </cell>
          <cell r="X1768">
            <v>0</v>
          </cell>
          <cell r="Y1768">
            <v>0</v>
          </cell>
          <cell r="Z1768">
            <v>0</v>
          </cell>
          <cell r="AA1768">
            <v>0</v>
          </cell>
          <cell r="AB1768">
            <v>0</v>
          </cell>
          <cell r="AC1768">
            <v>0</v>
          </cell>
          <cell r="AD1768">
            <v>0</v>
          </cell>
          <cell r="AI1768">
            <v>0</v>
          </cell>
          <cell r="AJ1768">
            <v>0</v>
          </cell>
          <cell r="AK1768">
            <v>0</v>
          </cell>
          <cell r="BB1768">
            <v>0</v>
          </cell>
          <cell r="BC1768">
            <v>0</v>
          </cell>
          <cell r="BD1768">
            <v>0</v>
          </cell>
          <cell r="BE1768">
            <v>0</v>
          </cell>
          <cell r="BI1768">
            <v>0</v>
          </cell>
          <cell r="BJ1768">
            <v>0</v>
          </cell>
          <cell r="BK1768">
            <v>0</v>
          </cell>
          <cell r="BL1768">
            <v>0</v>
          </cell>
          <cell r="BM1768">
            <v>0</v>
          </cell>
          <cell r="BN1768">
            <v>0</v>
          </cell>
          <cell r="BO1768">
            <v>0</v>
          </cell>
          <cell r="BP1768">
            <v>0</v>
          </cell>
          <cell r="BQ1768">
            <v>0</v>
          </cell>
          <cell r="BR1768">
            <v>0</v>
          </cell>
          <cell r="BT1768">
            <v>0</v>
          </cell>
          <cell r="CA1768" t="str">
            <v>002278 - REVTOT - Identified - Recompete</v>
          </cell>
          <cell r="CC1768" t="str">
            <v>002278 - REVTOT - Identified - Recompete - IS4</v>
          </cell>
          <cell r="CD1768" t="str">
            <v/>
          </cell>
          <cell r="CF1768" t="str">
            <v>002278 - Identified - Recompete - IS4</v>
          </cell>
        </row>
        <row r="1769">
          <cell r="D1769">
            <v>1755</v>
          </cell>
          <cell r="E1769">
            <v>2</v>
          </cell>
          <cell r="F1769">
            <v>3</v>
          </cell>
          <cell r="G1769" t="str">
            <v>002278</v>
          </cell>
          <cell r="H1769" t="str">
            <v>002278 Shelf Life</v>
          </cell>
          <cell r="I1769" t="str">
            <v>IS4</v>
          </cell>
          <cell r="J1769" t="str">
            <v>IS4 Spectrum &amp; Infrastructure Assurance</v>
          </cell>
          <cell r="K1769" t="str">
            <v>Navy</v>
          </cell>
          <cell r="L1769" t="str">
            <v>DOD</v>
          </cell>
          <cell r="M1769" t="str">
            <v>IN</v>
          </cell>
          <cell r="N1769" t="str">
            <v>CONUS</v>
          </cell>
          <cell r="O1769">
            <v>41544</v>
          </cell>
          <cell r="P1769">
            <v>43385</v>
          </cell>
          <cell r="Q1769" t="str">
            <v>Prime</v>
          </cell>
          <cell r="R1769" t="str">
            <v>CPFF</v>
          </cell>
          <cell r="S1769">
            <v>0</v>
          </cell>
          <cell r="T1769">
            <v>1</v>
          </cell>
          <cell r="U1769" t="str">
            <v>CONTRACT</v>
          </cell>
          <cell r="V1769" t="str">
            <v>Base</v>
          </cell>
          <cell r="W1769" t="str">
            <v>05 Won</v>
          </cell>
          <cell r="X1769" t="str">
            <v>Active</v>
          </cell>
          <cell r="Y1769">
            <v>1</v>
          </cell>
          <cell r="Z1769">
            <v>0</v>
          </cell>
          <cell r="AA1769">
            <v>554866.04000000097</v>
          </cell>
          <cell r="AB1769">
            <v>0</v>
          </cell>
          <cell r="AC1769">
            <v>0</v>
          </cell>
          <cell r="AD1769">
            <v>554866.04000000097</v>
          </cell>
          <cell r="AL1769">
            <v>0.11020619440912632</v>
          </cell>
          <cell r="AM1769">
            <v>0.12708712921654561</v>
          </cell>
          <cell r="AN1769">
            <v>9.9575030749758917E-2</v>
          </cell>
          <cell r="AO1769">
            <v>1.4461234242190727E-2</v>
          </cell>
          <cell r="AP1769">
            <v>0.10607111187837823</v>
          </cell>
          <cell r="AQ1769">
            <v>0.10607111187837823</v>
          </cell>
          <cell r="AR1769">
            <v>0.10607111187837823</v>
          </cell>
          <cell r="AS1769">
            <v>0.10607111187837823</v>
          </cell>
          <cell r="BF1769">
            <v>116080.19999999998</v>
          </cell>
          <cell r="BG1769">
            <v>134139.32999999999</v>
          </cell>
          <cell r="BH1769">
            <v>118339.77999999994</v>
          </cell>
          <cell r="BI1769">
            <v>11162.730000000007</v>
          </cell>
          <cell r="BJ1769">
            <v>-8274.42</v>
          </cell>
          <cell r="BK1769">
            <v>82.150000000000091</v>
          </cell>
          <cell r="BL1769">
            <v>0</v>
          </cell>
          <cell r="BM1769">
            <v>2970.4600000000069</v>
          </cell>
          <cell r="BN1769">
            <v>0</v>
          </cell>
          <cell r="BO1769">
            <v>0</v>
          </cell>
          <cell r="BP1769">
            <v>0</v>
          </cell>
          <cell r="BQ1769">
            <v>0</v>
          </cell>
          <cell r="BR1769">
            <v>2970.4600000000069</v>
          </cell>
          <cell r="BT1769">
            <v>0</v>
          </cell>
          <cell r="CA1769" t="str">
            <v>002278 - CONTRACT - Base</v>
          </cell>
          <cell r="CC1769" t="str">
            <v>002278 - CONTRACT - Base - IS4</v>
          </cell>
          <cell r="CD1769" t="str">
            <v/>
          </cell>
          <cell r="CF1769" t="str">
            <v>002278 - Base - IS4</v>
          </cell>
        </row>
        <row r="1770">
          <cell r="D1770">
            <v>1756</v>
          </cell>
          <cell r="E1770">
            <v>2</v>
          </cell>
          <cell r="F1770">
            <v>4</v>
          </cell>
          <cell r="G1770" t="str">
            <v>002278</v>
          </cell>
          <cell r="H1770" t="str">
            <v>002278 Shelf Life</v>
          </cell>
          <cell r="I1770" t="str">
            <v>IS4</v>
          </cell>
          <cell r="J1770" t="str">
            <v>IS4 Spectrum &amp; Infrastructure Assurance</v>
          </cell>
          <cell r="K1770" t="str">
            <v>Navy</v>
          </cell>
          <cell r="L1770" t="str">
            <v>DOD</v>
          </cell>
          <cell r="M1770" t="str">
            <v>IN</v>
          </cell>
          <cell r="N1770" t="str">
            <v>CONUS</v>
          </cell>
          <cell r="O1770">
            <v>0</v>
          </cell>
          <cell r="P1770">
            <v>0</v>
          </cell>
          <cell r="Q1770">
            <v>0</v>
          </cell>
          <cell r="R1770" t="str">
            <v>CPFF</v>
          </cell>
          <cell r="S1770">
            <v>0</v>
          </cell>
          <cell r="T1770">
            <v>1</v>
          </cell>
          <cell r="U1770" t="str">
            <v>CONTRACT</v>
          </cell>
          <cell r="V1770" t="str">
            <v>Identified - Recompete</v>
          </cell>
          <cell r="W1770">
            <v>0</v>
          </cell>
          <cell r="X1770">
            <v>0</v>
          </cell>
          <cell r="Y1770">
            <v>0</v>
          </cell>
          <cell r="Z1770">
            <v>0</v>
          </cell>
          <cell r="AA1770">
            <v>0</v>
          </cell>
          <cell r="AB1770">
            <v>0</v>
          </cell>
          <cell r="AC1770">
            <v>0</v>
          </cell>
          <cell r="AD1770">
            <v>0</v>
          </cell>
          <cell r="AP1770">
            <v>0</v>
          </cell>
          <cell r="AQ1770">
            <v>0</v>
          </cell>
          <cell r="AR1770">
            <v>0</v>
          </cell>
          <cell r="AS1770">
            <v>0</v>
          </cell>
          <cell r="BI1770">
            <v>0</v>
          </cell>
          <cell r="BJ1770">
            <v>0</v>
          </cell>
          <cell r="BK1770">
            <v>0</v>
          </cell>
          <cell r="BL1770">
            <v>0</v>
          </cell>
          <cell r="BM1770">
            <v>0</v>
          </cell>
          <cell r="BN1770">
            <v>0</v>
          </cell>
          <cell r="BO1770">
            <v>0</v>
          </cell>
          <cell r="BP1770">
            <v>0</v>
          </cell>
          <cell r="BQ1770">
            <v>0</v>
          </cell>
          <cell r="BR1770">
            <v>0</v>
          </cell>
          <cell r="BT1770">
            <v>0</v>
          </cell>
          <cell r="CA1770" t="str">
            <v>002278 - CONTRACT - Identified - Recompete</v>
          </cell>
          <cell r="CC1770" t="str">
            <v>002278 - CONTRACT - Identified - Recompete - IS4</v>
          </cell>
          <cell r="CD1770" t="str">
            <v/>
          </cell>
          <cell r="CF1770" t="str">
            <v>002278 - Identified - Recompete - IS4</v>
          </cell>
        </row>
        <row r="1771">
          <cell r="D1771">
            <v>1757</v>
          </cell>
          <cell r="E1771">
            <v>0</v>
          </cell>
          <cell r="F1771">
            <v>5</v>
          </cell>
          <cell r="G1771" t="str">
            <v>002278</v>
          </cell>
          <cell r="H1771" t="str">
            <v>002278 Shelf Life</v>
          </cell>
          <cell r="I1771" t="str">
            <v>IS4</v>
          </cell>
          <cell r="J1771" t="str">
            <v>IS4 Spectrum &amp; Infrastructure Assurance</v>
          </cell>
          <cell r="K1771" t="str">
            <v>Navy</v>
          </cell>
          <cell r="L1771" t="str">
            <v>DOD</v>
          </cell>
          <cell r="M1771" t="str">
            <v>IN</v>
          </cell>
          <cell r="N1771" t="str">
            <v>CONUS</v>
          </cell>
          <cell r="O1771">
            <v>41544</v>
          </cell>
          <cell r="P1771">
            <v>43385</v>
          </cell>
          <cell r="Q1771" t="str">
            <v>Prime</v>
          </cell>
          <cell r="R1771" t="str">
            <v>CPFF</v>
          </cell>
          <cell r="S1771">
            <v>0</v>
          </cell>
          <cell r="T1771">
            <v>1</v>
          </cell>
          <cell r="U1771" t="str">
            <v>EBITA</v>
          </cell>
          <cell r="V1771" t="str">
            <v>Base</v>
          </cell>
          <cell r="W1771" t="str">
            <v>05 Won</v>
          </cell>
          <cell r="X1771" t="str">
            <v>Active</v>
          </cell>
          <cell r="Y1771">
            <v>1</v>
          </cell>
          <cell r="Z1771">
            <v>0</v>
          </cell>
          <cell r="AA1771">
            <v>554866.04000000097</v>
          </cell>
          <cell r="AB1771">
            <v>0</v>
          </cell>
          <cell r="AC1771">
            <v>0</v>
          </cell>
          <cell r="AD1771">
            <v>554866.04000000097</v>
          </cell>
          <cell r="AT1771">
            <v>1.7828697905613096E-2</v>
          </cell>
          <cell r="AU1771">
            <v>3.5666384178882717E-2</v>
          </cell>
          <cell r="AV1771">
            <v>2.7828504518757586E-2</v>
          </cell>
          <cell r="AW1771">
            <v>-2.3674340206126816E-2</v>
          </cell>
          <cell r="AX1771">
            <v>2.4162961712607348E-2</v>
          </cell>
          <cell r="AY1771">
            <v>2.4162961712607348E-2</v>
          </cell>
          <cell r="AZ1771">
            <v>2.4162961712607348E-2</v>
          </cell>
          <cell r="BA1771">
            <v>2.4162961712607348E-2</v>
          </cell>
          <cell r="BF1771">
            <v>18778.969999999983</v>
          </cell>
          <cell r="BG1771">
            <v>37645.549999999996</v>
          </cell>
          <cell r="BH1771">
            <v>33072.739999999954</v>
          </cell>
          <cell r="BI1771">
            <v>3877.9900000000071</v>
          </cell>
          <cell r="BJ1771">
            <v>-8795.69</v>
          </cell>
          <cell r="BK1771">
            <v>54.790000000000084</v>
          </cell>
          <cell r="BL1771">
            <v>0</v>
          </cell>
          <cell r="BM1771">
            <v>-4862.9099999999935</v>
          </cell>
          <cell r="BN1771">
            <v>0</v>
          </cell>
          <cell r="BO1771">
            <v>0</v>
          </cell>
          <cell r="BP1771">
            <v>0</v>
          </cell>
          <cell r="BQ1771">
            <v>0</v>
          </cell>
          <cell r="BR1771">
            <v>-4862.9099999999935</v>
          </cell>
          <cell r="BT1771">
            <v>0</v>
          </cell>
          <cell r="CA1771" t="str">
            <v>002278 - EBITA - Base</v>
          </cell>
          <cell r="CC1771" t="str">
            <v>002278 - EBITA - Base - IS4</v>
          </cell>
          <cell r="CD1771" t="str">
            <v/>
          </cell>
          <cell r="CF1771" t="str">
            <v>002278 - Base - IS4</v>
          </cell>
        </row>
        <row r="1772">
          <cell r="D1772">
            <v>1758</v>
          </cell>
          <cell r="E1772">
            <v>0</v>
          </cell>
          <cell r="F1772">
            <v>0</v>
          </cell>
          <cell r="G1772" t="str">
            <v>002278</v>
          </cell>
          <cell r="H1772" t="str">
            <v>002278 Shelf Life</v>
          </cell>
          <cell r="I1772" t="str">
            <v>IS4</v>
          </cell>
          <cell r="J1772" t="str">
            <v>IS4 Spectrum &amp; Infrastructure Assurance</v>
          </cell>
          <cell r="K1772" t="str">
            <v>Navy</v>
          </cell>
          <cell r="L1772" t="str">
            <v>DOD</v>
          </cell>
          <cell r="M1772" t="str">
            <v>IN</v>
          </cell>
          <cell r="N1772" t="str">
            <v>CONUS</v>
          </cell>
          <cell r="O1772">
            <v>0</v>
          </cell>
          <cell r="P1772">
            <v>0</v>
          </cell>
          <cell r="Q1772">
            <v>0</v>
          </cell>
          <cell r="R1772" t="str">
            <v>CPFF</v>
          </cell>
          <cell r="S1772">
            <v>0</v>
          </cell>
          <cell r="T1772">
            <v>1</v>
          </cell>
          <cell r="U1772" t="str">
            <v>EBITA</v>
          </cell>
          <cell r="V1772" t="str">
            <v>Identified - Recompete</v>
          </cell>
          <cell r="W1772">
            <v>0</v>
          </cell>
          <cell r="X1772">
            <v>0</v>
          </cell>
          <cell r="Y1772">
            <v>0</v>
          </cell>
          <cell r="Z1772">
            <v>0</v>
          </cell>
          <cell r="AA1772">
            <v>0</v>
          </cell>
          <cell r="AB1772">
            <v>0</v>
          </cell>
          <cell r="AC1772">
            <v>0</v>
          </cell>
          <cell r="AD1772">
            <v>0</v>
          </cell>
          <cell r="AX1772">
            <v>0</v>
          </cell>
          <cell r="AY1772">
            <v>0</v>
          </cell>
          <cell r="AZ1772">
            <v>0</v>
          </cell>
          <cell r="BA1772">
            <v>0</v>
          </cell>
          <cell r="BI1772">
            <v>0</v>
          </cell>
          <cell r="BJ1772">
            <v>0</v>
          </cell>
          <cell r="BK1772">
            <v>0</v>
          </cell>
          <cell r="BL1772">
            <v>0</v>
          </cell>
          <cell r="BM1772">
            <v>0</v>
          </cell>
          <cell r="BN1772">
            <v>0</v>
          </cell>
          <cell r="BO1772">
            <v>0</v>
          </cell>
          <cell r="BP1772">
            <v>0</v>
          </cell>
          <cell r="BQ1772">
            <v>0</v>
          </cell>
          <cell r="BR1772">
            <v>0</v>
          </cell>
          <cell r="BT1772">
            <v>0</v>
          </cell>
          <cell r="CA1772" t="str">
            <v>002278 - EBITA - Identified - Recompete</v>
          </cell>
          <cell r="CC1772" t="str">
            <v>002278 - EBITA - Identified - Recompete - IS4</v>
          </cell>
          <cell r="CD1772" t="str">
            <v/>
          </cell>
          <cell r="CF1772" t="str">
            <v>002278 - Identified - Recompete - IS4</v>
          </cell>
        </row>
        <row r="1773">
          <cell r="D1773">
            <v>1759</v>
          </cell>
          <cell r="E1773">
            <v>1</v>
          </cell>
          <cell r="F1773">
            <v>1</v>
          </cell>
          <cell r="G1773" t="str">
            <v>CSCSOP</v>
          </cell>
          <cell r="H1773" t="str">
            <v>CSCS Operations Support Services</v>
          </cell>
          <cell r="I1773" t="str">
            <v>IS4</v>
          </cell>
          <cell r="J1773" t="str">
            <v>IS4 Spectrum &amp; Infrastructure Assurance</v>
          </cell>
          <cell r="K1773" t="str">
            <v>Navy</v>
          </cell>
          <cell r="L1773" t="str">
            <v>DOD</v>
          </cell>
          <cell r="M1773" t="str">
            <v>VA</v>
          </cell>
          <cell r="N1773" t="str">
            <v>CONUS</v>
          </cell>
          <cell r="O1773">
            <v>41960</v>
          </cell>
          <cell r="P1773">
            <v>43785</v>
          </cell>
          <cell r="Q1773" t="str">
            <v>Sub</v>
          </cell>
          <cell r="R1773" t="str">
            <v>CPFF</v>
          </cell>
          <cell r="S1773">
            <v>0</v>
          </cell>
          <cell r="T1773">
            <v>1</v>
          </cell>
          <cell r="U1773" t="str">
            <v>REVTOT</v>
          </cell>
          <cell r="V1773" t="str">
            <v>Base</v>
          </cell>
          <cell r="W1773" t="str">
            <v>05 Won</v>
          </cell>
          <cell r="X1773" t="str">
            <v>Active</v>
          </cell>
          <cell r="Y1773">
            <v>1</v>
          </cell>
          <cell r="Z1773">
            <v>0</v>
          </cell>
          <cell r="AA1773">
            <v>65843.230000000069</v>
          </cell>
          <cell r="AB1773">
            <v>515374</v>
          </cell>
          <cell r="AC1773">
            <v>0</v>
          </cell>
          <cell r="AD1773">
            <v>581217.2300000001</v>
          </cell>
          <cell r="AE1773">
            <v>-9.6242118301902435E-2</v>
          </cell>
          <cell r="AF1773">
            <v>-0.10410203980346433</v>
          </cell>
          <cell r="AG1773">
            <v>5.6397322438251907E-2</v>
          </cell>
          <cell r="AH1773">
            <v>-0.84042330489886607</v>
          </cell>
          <cell r="AI1773">
            <v>0</v>
          </cell>
          <cell r="AJ1773">
            <v>0</v>
          </cell>
          <cell r="AK1773">
            <v>0</v>
          </cell>
          <cell r="BB1773">
            <v>22822.86</v>
          </cell>
          <cell r="BC1773">
            <v>22822.86</v>
          </cell>
          <cell r="BD1773">
            <v>22822.86</v>
          </cell>
          <cell r="BE1773">
            <v>22822.86</v>
          </cell>
          <cell r="BF1773">
            <v>167210.16000000003</v>
          </cell>
          <cell r="BG1773">
            <v>151117.5</v>
          </cell>
          <cell r="BH1773">
            <v>135385.85999999999</v>
          </cell>
          <cell r="BI1773">
            <v>36649.74</v>
          </cell>
          <cell r="BJ1773">
            <v>33962.840000000004</v>
          </cell>
          <cell r="BK1773">
            <v>43223.62</v>
          </cell>
          <cell r="BL1773">
            <v>29185.059999999998</v>
          </cell>
          <cell r="BM1773">
            <v>143021.26</v>
          </cell>
          <cell r="BN1773">
            <v>22822.86</v>
          </cell>
          <cell r="BO1773">
            <v>22822.86</v>
          </cell>
          <cell r="BP1773">
            <v>22822.86</v>
          </cell>
          <cell r="BQ1773">
            <v>22822.86</v>
          </cell>
          <cell r="BR1773">
            <v>234312.69999999995</v>
          </cell>
          <cell r="BT1773">
            <v>0</v>
          </cell>
          <cell r="CA1773" t="str">
            <v>CSCSOP - REVTOT - Base</v>
          </cell>
          <cell r="CC1773" t="str">
            <v>CSCSOP - REVTOT - Base - IS4</v>
          </cell>
          <cell r="CD1773" t="str">
            <v/>
          </cell>
          <cell r="CF1773" t="str">
            <v>CSCSOP - Base - IS4</v>
          </cell>
        </row>
        <row r="1774">
          <cell r="D1774">
            <v>1760</v>
          </cell>
          <cell r="E1774">
            <v>1</v>
          </cell>
          <cell r="F1774">
            <v>2</v>
          </cell>
          <cell r="G1774" t="str">
            <v>CSCSOP</v>
          </cell>
          <cell r="H1774" t="str">
            <v>CSCS Operations Support Services</v>
          </cell>
          <cell r="I1774" t="str">
            <v>IS4</v>
          </cell>
          <cell r="J1774" t="str">
            <v>IS4 Spectrum &amp; Infrastructure Assurance</v>
          </cell>
          <cell r="K1774" t="str">
            <v>Navy</v>
          </cell>
          <cell r="L1774" t="str">
            <v>DOD</v>
          </cell>
          <cell r="M1774" t="str">
            <v>VA</v>
          </cell>
          <cell r="N1774" t="str">
            <v>CONUS</v>
          </cell>
          <cell r="O1774">
            <v>0</v>
          </cell>
          <cell r="P1774">
            <v>0</v>
          </cell>
          <cell r="Q1774">
            <v>0</v>
          </cell>
          <cell r="R1774" t="str">
            <v>CPFF</v>
          </cell>
          <cell r="S1774">
            <v>0</v>
          </cell>
          <cell r="T1774">
            <v>1</v>
          </cell>
          <cell r="U1774" t="str">
            <v>REVTOT</v>
          </cell>
          <cell r="V1774" t="str">
            <v>Identified - Recompete</v>
          </cell>
          <cell r="W1774">
            <v>0</v>
          </cell>
          <cell r="X1774">
            <v>0</v>
          </cell>
          <cell r="Y1774">
            <v>0</v>
          </cell>
          <cell r="Z1774">
            <v>0</v>
          </cell>
          <cell r="AA1774">
            <v>0</v>
          </cell>
          <cell r="AB1774">
            <v>0</v>
          </cell>
          <cell r="AC1774">
            <v>0</v>
          </cell>
          <cell r="AD1774">
            <v>0</v>
          </cell>
          <cell r="AI1774">
            <v>0</v>
          </cell>
          <cell r="AJ1774">
            <v>0</v>
          </cell>
          <cell r="AK1774">
            <v>0</v>
          </cell>
          <cell r="BB1774">
            <v>0</v>
          </cell>
          <cell r="BC1774">
            <v>0</v>
          </cell>
          <cell r="BD1774">
            <v>0</v>
          </cell>
          <cell r="BE1774">
            <v>0</v>
          </cell>
          <cell r="BI1774">
            <v>0</v>
          </cell>
          <cell r="BJ1774">
            <v>0</v>
          </cell>
          <cell r="BK1774">
            <v>0</v>
          </cell>
          <cell r="BL1774">
            <v>0</v>
          </cell>
          <cell r="BM1774">
            <v>0</v>
          </cell>
          <cell r="BN1774">
            <v>0</v>
          </cell>
          <cell r="BO1774">
            <v>0</v>
          </cell>
          <cell r="BP1774">
            <v>0</v>
          </cell>
          <cell r="BQ1774">
            <v>0</v>
          </cell>
          <cell r="BR1774">
            <v>0</v>
          </cell>
          <cell r="BT1774">
            <v>0</v>
          </cell>
          <cell r="CA1774" t="str">
            <v>CSCSOP - REVTOT - Identified - Recompete</v>
          </cell>
          <cell r="CC1774" t="str">
            <v>CSCSOP - REVTOT - Identified - Recompete - IS4</v>
          </cell>
          <cell r="CD1774" t="str">
            <v/>
          </cell>
          <cell r="CF1774" t="str">
            <v>CSCSOP - Identified - Recompete - IS4</v>
          </cell>
        </row>
        <row r="1775">
          <cell r="D1775">
            <v>1761</v>
          </cell>
          <cell r="E1775">
            <v>2</v>
          </cell>
          <cell r="F1775">
            <v>3</v>
          </cell>
          <cell r="G1775" t="str">
            <v>CSCSOP</v>
          </cell>
          <cell r="H1775" t="str">
            <v>CSCS Operations Support Services</v>
          </cell>
          <cell r="I1775" t="str">
            <v>IS4</v>
          </cell>
          <cell r="J1775" t="str">
            <v>IS4 Spectrum &amp; Infrastructure Assurance</v>
          </cell>
          <cell r="K1775" t="str">
            <v>Navy</v>
          </cell>
          <cell r="L1775" t="str">
            <v>DOD</v>
          </cell>
          <cell r="M1775" t="str">
            <v>VA</v>
          </cell>
          <cell r="N1775" t="str">
            <v>CONUS</v>
          </cell>
          <cell r="O1775">
            <v>41960</v>
          </cell>
          <cell r="P1775">
            <v>43785</v>
          </cell>
          <cell r="Q1775" t="str">
            <v>Sub</v>
          </cell>
          <cell r="R1775" t="str">
            <v>CPFF</v>
          </cell>
          <cell r="S1775">
            <v>0</v>
          </cell>
          <cell r="T1775">
            <v>1</v>
          </cell>
          <cell r="U1775" t="str">
            <v>CONTRACT</v>
          </cell>
          <cell r="V1775" t="str">
            <v>Base</v>
          </cell>
          <cell r="W1775" t="str">
            <v>05 Won</v>
          </cell>
          <cell r="X1775" t="str">
            <v>Active</v>
          </cell>
          <cell r="Y1775">
            <v>1</v>
          </cell>
          <cell r="Z1775">
            <v>0</v>
          </cell>
          <cell r="AA1775">
            <v>65843.230000000069</v>
          </cell>
          <cell r="AB1775">
            <v>515374</v>
          </cell>
          <cell r="AC1775">
            <v>0</v>
          </cell>
          <cell r="AD1775">
            <v>581217.2300000001</v>
          </cell>
          <cell r="AL1775">
            <v>0.18616554161541379</v>
          </cell>
          <cell r="AM1775">
            <v>0.13633768425232015</v>
          </cell>
          <cell r="AN1775">
            <v>0.13762397343415331</v>
          </cell>
          <cell r="AO1775">
            <v>0.14057022011972203</v>
          </cell>
          <cell r="AP1775">
            <v>0.17762615526713124</v>
          </cell>
          <cell r="AQ1775">
            <v>0.17762615526713124</v>
          </cell>
          <cell r="AR1775">
            <v>0.17762615526713124</v>
          </cell>
          <cell r="AS1775">
            <v>0.17762615526713124</v>
          </cell>
          <cell r="BF1775">
            <v>31128.770000000004</v>
          </cell>
          <cell r="BG1775">
            <v>20603.009999999991</v>
          </cell>
          <cell r="BH1775">
            <v>18632.339999999997</v>
          </cell>
          <cell r="BI1775">
            <v>4971.4700000000012</v>
          </cell>
          <cell r="BJ1775">
            <v>4750.869999999999</v>
          </cell>
          <cell r="BK1775">
            <v>6526.85</v>
          </cell>
          <cell r="BL1775">
            <v>3855.3399999999992</v>
          </cell>
          <cell r="BM1775">
            <v>20104.53</v>
          </cell>
          <cell r="BN1775">
            <v>4053.9368739999991</v>
          </cell>
          <cell r="BO1775">
            <v>4053.9368739999991</v>
          </cell>
          <cell r="BP1775">
            <v>4053.9368739999991</v>
          </cell>
          <cell r="BQ1775">
            <v>4053.9368739999991</v>
          </cell>
          <cell r="BR1775">
            <v>36320.277495999995</v>
          </cell>
          <cell r="BT1775">
            <v>0</v>
          </cell>
          <cell r="CA1775" t="str">
            <v>CSCSOP - CONTRACT - Base</v>
          </cell>
          <cell r="CC1775" t="str">
            <v>CSCSOP - CONTRACT - Base - IS4</v>
          </cell>
          <cell r="CD1775" t="str">
            <v/>
          </cell>
          <cell r="CF1775" t="str">
            <v>CSCSOP - Base - IS4</v>
          </cell>
        </row>
        <row r="1776">
          <cell r="D1776">
            <v>1762</v>
          </cell>
          <cell r="E1776">
            <v>2</v>
          </cell>
          <cell r="F1776">
            <v>4</v>
          </cell>
          <cell r="G1776" t="str">
            <v>CSCSOP</v>
          </cell>
          <cell r="H1776" t="str">
            <v>CSCS Operations Support Services</v>
          </cell>
          <cell r="I1776" t="str">
            <v>IS4</v>
          </cell>
          <cell r="J1776" t="str">
            <v>IS4 Spectrum &amp; Infrastructure Assurance</v>
          </cell>
          <cell r="K1776" t="str">
            <v>Navy</v>
          </cell>
          <cell r="L1776" t="str">
            <v>DOD</v>
          </cell>
          <cell r="M1776" t="str">
            <v>VA</v>
          </cell>
          <cell r="N1776" t="str">
            <v>CONUS</v>
          </cell>
          <cell r="O1776">
            <v>0</v>
          </cell>
          <cell r="P1776">
            <v>0</v>
          </cell>
          <cell r="Q1776">
            <v>0</v>
          </cell>
          <cell r="R1776" t="str">
            <v>CPFF</v>
          </cell>
          <cell r="S1776">
            <v>0</v>
          </cell>
          <cell r="T1776">
            <v>1</v>
          </cell>
          <cell r="U1776" t="str">
            <v>CONTRACT</v>
          </cell>
          <cell r="V1776" t="str">
            <v>Identified - Recompete</v>
          </cell>
          <cell r="W1776">
            <v>0</v>
          </cell>
          <cell r="X1776">
            <v>0</v>
          </cell>
          <cell r="Y1776">
            <v>0</v>
          </cell>
          <cell r="Z1776">
            <v>0</v>
          </cell>
          <cell r="AA1776">
            <v>0</v>
          </cell>
          <cell r="AB1776">
            <v>0</v>
          </cell>
          <cell r="AC1776">
            <v>0</v>
          </cell>
          <cell r="AD1776">
            <v>0</v>
          </cell>
          <cell r="AP1776">
            <v>0</v>
          </cell>
          <cell r="AQ1776">
            <v>0</v>
          </cell>
          <cell r="AR1776">
            <v>0</v>
          </cell>
          <cell r="AS1776">
            <v>0</v>
          </cell>
          <cell r="BI1776">
            <v>0</v>
          </cell>
          <cell r="BJ1776">
            <v>0</v>
          </cell>
          <cell r="BK1776">
            <v>0</v>
          </cell>
          <cell r="BL1776">
            <v>0</v>
          </cell>
          <cell r="BM1776">
            <v>0</v>
          </cell>
          <cell r="BN1776">
            <v>0</v>
          </cell>
          <cell r="BO1776">
            <v>0</v>
          </cell>
          <cell r="BP1776">
            <v>0</v>
          </cell>
          <cell r="BQ1776">
            <v>0</v>
          </cell>
          <cell r="BR1776">
            <v>0</v>
          </cell>
          <cell r="BT1776">
            <v>0</v>
          </cell>
          <cell r="CA1776" t="str">
            <v>CSCSOP - CONTRACT - Identified - Recompete</v>
          </cell>
          <cell r="CC1776" t="str">
            <v>CSCSOP - CONTRACT - Identified - Recompete - IS4</v>
          </cell>
          <cell r="CD1776" t="str">
            <v/>
          </cell>
          <cell r="CF1776" t="str">
            <v>CSCSOP - Identified - Recompete - IS4</v>
          </cell>
        </row>
        <row r="1777">
          <cell r="D1777">
            <v>1763</v>
          </cell>
          <cell r="E1777">
            <v>0</v>
          </cell>
          <cell r="F1777">
            <v>5</v>
          </cell>
          <cell r="G1777" t="str">
            <v>CSCSOP</v>
          </cell>
          <cell r="H1777" t="str">
            <v>CSCS Operations Support Services</v>
          </cell>
          <cell r="I1777" t="str">
            <v>IS4</v>
          </cell>
          <cell r="J1777" t="str">
            <v>IS4 Spectrum &amp; Infrastructure Assurance</v>
          </cell>
          <cell r="K1777" t="str">
            <v>Navy</v>
          </cell>
          <cell r="L1777" t="str">
            <v>DOD</v>
          </cell>
          <cell r="M1777" t="str">
            <v>VA</v>
          </cell>
          <cell r="N1777" t="str">
            <v>CONUS</v>
          </cell>
          <cell r="O1777">
            <v>41960</v>
          </cell>
          <cell r="P1777">
            <v>43785</v>
          </cell>
          <cell r="Q1777" t="str">
            <v>Sub</v>
          </cell>
          <cell r="R1777" t="str">
            <v>CPFF</v>
          </cell>
          <cell r="S1777">
            <v>0</v>
          </cell>
          <cell r="T1777">
            <v>1</v>
          </cell>
          <cell r="U1777" t="str">
            <v>EBITA</v>
          </cell>
          <cell r="V1777" t="str">
            <v>Base</v>
          </cell>
          <cell r="W1777" t="str">
            <v>05 Won</v>
          </cell>
          <cell r="X1777" t="str">
            <v>Active</v>
          </cell>
          <cell r="Y1777">
            <v>1</v>
          </cell>
          <cell r="Z1777">
            <v>0</v>
          </cell>
          <cell r="AA1777">
            <v>65843.230000000069</v>
          </cell>
          <cell r="AB1777">
            <v>515374</v>
          </cell>
          <cell r="AC1777">
            <v>0</v>
          </cell>
          <cell r="AD1777">
            <v>581217.2300000001</v>
          </cell>
          <cell r="AT1777">
            <v>1.1667173812883149E-2</v>
          </cell>
          <cell r="AU1777">
            <v>2.6377487716511437E-3</v>
          </cell>
          <cell r="AV1777">
            <v>1.1548547241196366E-2</v>
          </cell>
          <cell r="AW1777">
            <v>7.9111315338712528E-3</v>
          </cell>
          <cell r="AX1777">
            <v>4.8236457042111401E-2</v>
          </cell>
          <cell r="AY1777">
            <v>4.8236457042111401E-2</v>
          </cell>
          <cell r="AZ1777">
            <v>4.8236457042111401E-2</v>
          </cell>
          <cell r="BA1777">
            <v>4.8236457042111401E-2</v>
          </cell>
          <cell r="BF1777">
            <v>1950.8700000000019</v>
          </cell>
          <cell r="BG1777">
            <v>398.60999999999171</v>
          </cell>
          <cell r="BH1777">
            <v>1563.5099999999973</v>
          </cell>
          <cell r="BI1777">
            <v>104.97000000000094</v>
          </cell>
          <cell r="BJ1777">
            <v>416.06999999999903</v>
          </cell>
          <cell r="BK1777">
            <v>1010.0900000000004</v>
          </cell>
          <cell r="BL1777">
            <v>-399.67000000000098</v>
          </cell>
          <cell r="BM1777">
            <v>1131.4599999999994</v>
          </cell>
          <cell r="BN1777">
            <v>1100.8939059681227</v>
          </cell>
          <cell r="BO1777">
            <v>1100.8939059681227</v>
          </cell>
          <cell r="BP1777">
            <v>1100.8939059681227</v>
          </cell>
          <cell r="BQ1777">
            <v>1100.8939059681227</v>
          </cell>
          <cell r="BR1777">
            <v>5535.0356238724899</v>
          </cell>
          <cell r="BT1777">
            <v>0</v>
          </cell>
          <cell r="CA1777" t="str">
            <v>CSCSOP - EBITA - Base</v>
          </cell>
          <cell r="CC1777" t="str">
            <v>CSCSOP - EBITA - Base - IS4</v>
          </cell>
          <cell r="CD1777" t="str">
            <v/>
          </cell>
          <cell r="CF1777" t="str">
            <v>CSCSOP - Base - IS4</v>
          </cell>
        </row>
        <row r="1778">
          <cell r="D1778">
            <v>1764</v>
          </cell>
          <cell r="E1778">
            <v>0</v>
          </cell>
          <cell r="F1778">
            <v>0</v>
          </cell>
          <cell r="G1778" t="str">
            <v>CSCSOP</v>
          </cell>
          <cell r="H1778" t="str">
            <v>CSCS Operations Support Services</v>
          </cell>
          <cell r="I1778" t="str">
            <v>IS4</v>
          </cell>
          <cell r="J1778" t="str">
            <v>IS4 Spectrum &amp; Infrastructure Assurance</v>
          </cell>
          <cell r="K1778" t="str">
            <v>Navy</v>
          </cell>
          <cell r="L1778" t="str">
            <v>DOD</v>
          </cell>
          <cell r="M1778" t="str">
            <v>VA</v>
          </cell>
          <cell r="N1778" t="str">
            <v>CONUS</v>
          </cell>
          <cell r="O1778">
            <v>0</v>
          </cell>
          <cell r="P1778">
            <v>0</v>
          </cell>
          <cell r="Q1778">
            <v>0</v>
          </cell>
          <cell r="R1778" t="str">
            <v>CPFF</v>
          </cell>
          <cell r="S1778">
            <v>0</v>
          </cell>
          <cell r="T1778">
            <v>1</v>
          </cell>
          <cell r="U1778" t="str">
            <v>EBITA</v>
          </cell>
          <cell r="V1778" t="str">
            <v>Identified - Recompete</v>
          </cell>
          <cell r="W1778">
            <v>0</v>
          </cell>
          <cell r="X1778">
            <v>0</v>
          </cell>
          <cell r="Y1778">
            <v>0</v>
          </cell>
          <cell r="Z1778">
            <v>0</v>
          </cell>
          <cell r="AA1778">
            <v>0</v>
          </cell>
          <cell r="AB1778">
            <v>0</v>
          </cell>
          <cell r="AC1778">
            <v>0</v>
          </cell>
          <cell r="AD1778">
            <v>0</v>
          </cell>
          <cell r="AX1778">
            <v>0</v>
          </cell>
          <cell r="AY1778">
            <v>0</v>
          </cell>
          <cell r="AZ1778">
            <v>0</v>
          </cell>
          <cell r="BA1778">
            <v>0</v>
          </cell>
          <cell r="BI1778">
            <v>0</v>
          </cell>
          <cell r="BJ1778">
            <v>0</v>
          </cell>
          <cell r="BK1778">
            <v>0</v>
          </cell>
          <cell r="BL1778">
            <v>0</v>
          </cell>
          <cell r="BM1778">
            <v>0</v>
          </cell>
          <cell r="BN1778">
            <v>0</v>
          </cell>
          <cell r="BO1778">
            <v>0</v>
          </cell>
          <cell r="BP1778">
            <v>0</v>
          </cell>
          <cell r="BQ1778">
            <v>0</v>
          </cell>
          <cell r="BR1778">
            <v>0</v>
          </cell>
          <cell r="BT1778">
            <v>0</v>
          </cell>
          <cell r="CA1778" t="str">
            <v>CSCSOP - EBITA - Identified - Recompete</v>
          </cell>
          <cell r="CC1778" t="str">
            <v>CSCSOP - EBITA - Identified - Recompete - IS4</v>
          </cell>
          <cell r="CD1778" t="str">
            <v/>
          </cell>
          <cell r="CF1778" t="str">
            <v>CSCSOP - Identified - Recompete - IS4</v>
          </cell>
        </row>
        <row r="1779">
          <cell r="D1779">
            <v>1765</v>
          </cell>
          <cell r="E1779">
            <v>1</v>
          </cell>
          <cell r="F1779">
            <v>1</v>
          </cell>
          <cell r="G1779" t="str">
            <v>003148</v>
          </cell>
          <cell r="H1779" t="str">
            <v>V Dept SME</v>
          </cell>
          <cell r="I1779" t="str">
            <v>IS4</v>
          </cell>
          <cell r="J1779" t="str">
            <v>IS4 Spectrum &amp; Infrastructure Assurance</v>
          </cell>
          <cell r="K1779" t="str">
            <v>Navy</v>
          </cell>
          <cell r="L1779" t="str">
            <v>DOD</v>
          </cell>
          <cell r="M1779" t="str">
            <v>VA</v>
          </cell>
          <cell r="N1779" t="str">
            <v>CONUS</v>
          </cell>
          <cell r="O1779">
            <v>42522</v>
          </cell>
          <cell r="P1779">
            <v>44347</v>
          </cell>
          <cell r="Q1779" t="str">
            <v>Sub</v>
          </cell>
          <cell r="R1779" t="str">
            <v>CPFF</v>
          </cell>
          <cell r="S1779">
            <v>0</v>
          </cell>
          <cell r="T1779">
            <v>1</v>
          </cell>
          <cell r="U1779" t="str">
            <v>REVTOT</v>
          </cell>
          <cell r="V1779" t="str">
            <v>Base</v>
          </cell>
          <cell r="W1779" t="str">
            <v>05 Won</v>
          </cell>
          <cell r="X1779" t="str">
            <v>Active</v>
          </cell>
          <cell r="Y1779">
            <v>1</v>
          </cell>
          <cell r="Z1779">
            <v>0</v>
          </cell>
          <cell r="AA1779">
            <v>554121.66</v>
          </cell>
          <cell r="AB1779">
            <v>608291.78</v>
          </cell>
          <cell r="AC1779">
            <v>0</v>
          </cell>
          <cell r="AD1779">
            <v>1162413.44</v>
          </cell>
          <cell r="AE1779">
            <v>7.578056480279491</v>
          </cell>
          <cell r="AF1779">
            <v>1.8888475938026561E-2</v>
          </cell>
          <cell r="AG1779">
            <v>-0.58600300502409541</v>
          </cell>
          <cell r="AH1779">
            <v>-1</v>
          </cell>
          <cell r="AI1779">
            <v>0</v>
          </cell>
          <cell r="AJ1779">
            <v>0</v>
          </cell>
          <cell r="AK1779">
            <v>0</v>
          </cell>
          <cell r="BB1779">
            <v>0</v>
          </cell>
          <cell r="BC1779">
            <v>0</v>
          </cell>
          <cell r="BD1779">
            <v>0</v>
          </cell>
          <cell r="BE1779">
            <v>0</v>
          </cell>
          <cell r="BF1779">
            <v>45557.14</v>
          </cell>
          <cell r="BG1779">
            <v>390791.72000000003</v>
          </cell>
          <cell r="BH1779">
            <v>398173.18000000005</v>
          </cell>
          <cell r="BI1779">
            <v>45509.04</v>
          </cell>
          <cell r="BJ1779">
            <v>50874.1</v>
          </cell>
          <cell r="BK1779">
            <v>68459.360000000001</v>
          </cell>
          <cell r="BL1779">
            <v>0</v>
          </cell>
          <cell r="BM1779">
            <v>164842.5</v>
          </cell>
          <cell r="BN1779">
            <v>0</v>
          </cell>
          <cell r="BO1779">
            <v>0</v>
          </cell>
          <cell r="BP1779">
            <v>0</v>
          </cell>
          <cell r="BQ1779">
            <v>0</v>
          </cell>
          <cell r="BR1779">
            <v>164842.5</v>
          </cell>
          <cell r="BT1779">
            <v>0</v>
          </cell>
          <cell r="CA1779" t="str">
            <v>003148 - REVTOT - Base</v>
          </cell>
          <cell r="CC1779" t="str">
            <v>003148 - REVTOT - Base - IS4</v>
          </cell>
          <cell r="CD1779" t="str">
            <v/>
          </cell>
          <cell r="CF1779" t="str">
            <v>003148 - Base - IS4</v>
          </cell>
        </row>
        <row r="1780">
          <cell r="D1780">
            <v>1766</v>
          </cell>
          <cell r="E1780">
            <v>1</v>
          </cell>
          <cell r="F1780">
            <v>2</v>
          </cell>
          <cell r="G1780" t="str">
            <v>003148</v>
          </cell>
          <cell r="H1780" t="str">
            <v>V Dept SME</v>
          </cell>
          <cell r="I1780" t="str">
            <v>IS4</v>
          </cell>
          <cell r="J1780" t="str">
            <v>IS4 Spectrum &amp; Infrastructure Assurance</v>
          </cell>
          <cell r="K1780" t="str">
            <v>Navy</v>
          </cell>
          <cell r="L1780" t="str">
            <v>DOD</v>
          </cell>
          <cell r="M1780" t="str">
            <v>VA</v>
          </cell>
          <cell r="N1780" t="str">
            <v>CONUS</v>
          </cell>
          <cell r="O1780">
            <v>0</v>
          </cell>
          <cell r="P1780">
            <v>0</v>
          </cell>
          <cell r="Q1780">
            <v>0</v>
          </cell>
          <cell r="R1780" t="str">
            <v>CPFF</v>
          </cell>
          <cell r="S1780">
            <v>0</v>
          </cell>
          <cell r="T1780">
            <v>1</v>
          </cell>
          <cell r="U1780" t="str">
            <v>REVTOT</v>
          </cell>
          <cell r="V1780" t="str">
            <v>Identified - Recompete</v>
          </cell>
          <cell r="W1780">
            <v>0</v>
          </cell>
          <cell r="X1780">
            <v>0</v>
          </cell>
          <cell r="Y1780">
            <v>0</v>
          </cell>
          <cell r="Z1780">
            <v>0</v>
          </cell>
          <cell r="AA1780">
            <v>0</v>
          </cell>
          <cell r="AB1780">
            <v>0</v>
          </cell>
          <cell r="AC1780">
            <v>0</v>
          </cell>
          <cell r="AD1780">
            <v>0</v>
          </cell>
          <cell r="AI1780">
            <v>0</v>
          </cell>
          <cell r="AJ1780">
            <v>0</v>
          </cell>
          <cell r="AK1780">
            <v>0</v>
          </cell>
          <cell r="BB1780">
            <v>0</v>
          </cell>
          <cell r="BC1780">
            <v>0</v>
          </cell>
          <cell r="BD1780">
            <v>0</v>
          </cell>
          <cell r="BE1780">
            <v>0</v>
          </cell>
          <cell r="BI1780">
            <v>0</v>
          </cell>
          <cell r="BJ1780">
            <v>0</v>
          </cell>
          <cell r="BK1780">
            <v>0</v>
          </cell>
          <cell r="BL1780">
            <v>0</v>
          </cell>
          <cell r="BM1780">
            <v>0</v>
          </cell>
          <cell r="BN1780">
            <v>0</v>
          </cell>
          <cell r="BO1780">
            <v>0</v>
          </cell>
          <cell r="BP1780">
            <v>0</v>
          </cell>
          <cell r="BQ1780">
            <v>0</v>
          </cell>
          <cell r="BR1780">
            <v>0</v>
          </cell>
          <cell r="BT1780">
            <v>0</v>
          </cell>
          <cell r="CA1780" t="str">
            <v>003148 - REVTOT - Identified - Recompete</v>
          </cell>
          <cell r="CC1780" t="str">
            <v>003148 - REVTOT - Identified - Recompete - IS4</v>
          </cell>
          <cell r="CD1780" t="str">
            <v/>
          </cell>
          <cell r="CF1780" t="str">
            <v>003148 - Identified - Recompete - IS4</v>
          </cell>
        </row>
        <row r="1781">
          <cell r="D1781">
            <v>1767</v>
          </cell>
          <cell r="E1781">
            <v>2</v>
          </cell>
          <cell r="F1781">
            <v>3</v>
          </cell>
          <cell r="G1781" t="str">
            <v>003148</v>
          </cell>
          <cell r="H1781" t="str">
            <v>V Dept SME</v>
          </cell>
          <cell r="I1781" t="str">
            <v>IS4</v>
          </cell>
          <cell r="J1781" t="str">
            <v>IS4 Spectrum &amp; Infrastructure Assurance</v>
          </cell>
          <cell r="K1781" t="str">
            <v>Navy</v>
          </cell>
          <cell r="L1781" t="str">
            <v>DOD</v>
          </cell>
          <cell r="M1781" t="str">
            <v>VA</v>
          </cell>
          <cell r="N1781" t="str">
            <v>CONUS</v>
          </cell>
          <cell r="O1781">
            <v>42522</v>
          </cell>
          <cell r="P1781">
            <v>44347</v>
          </cell>
          <cell r="Q1781" t="str">
            <v>Sub</v>
          </cell>
          <cell r="R1781" t="str">
            <v>CPFF</v>
          </cell>
          <cell r="S1781">
            <v>0</v>
          </cell>
          <cell r="T1781">
            <v>1</v>
          </cell>
          <cell r="U1781" t="str">
            <v>CONTRACT</v>
          </cell>
          <cell r="V1781" t="str">
            <v>Base</v>
          </cell>
          <cell r="W1781" t="str">
            <v>05 Won</v>
          </cell>
          <cell r="X1781" t="str">
            <v>Active</v>
          </cell>
          <cell r="Y1781">
            <v>1</v>
          </cell>
          <cell r="Z1781">
            <v>0</v>
          </cell>
          <cell r="AA1781">
            <v>554121.66</v>
          </cell>
          <cell r="AB1781">
            <v>608291.78</v>
          </cell>
          <cell r="AC1781">
            <v>0</v>
          </cell>
          <cell r="AD1781">
            <v>1162413.44</v>
          </cell>
          <cell r="AL1781">
            <v>0.18509744026951649</v>
          </cell>
          <cell r="AM1781">
            <v>0.13508715077177175</v>
          </cell>
          <cell r="AN1781">
            <v>0.13459552951306267</v>
          </cell>
          <cell r="AO1781">
            <v>0.1274387369762045</v>
          </cell>
          <cell r="AP1781">
            <v>0.13590946502864715</v>
          </cell>
          <cell r="AQ1781">
            <v>0.13590946502864715</v>
          </cell>
          <cell r="AR1781">
            <v>0.13590946502864715</v>
          </cell>
          <cell r="AS1781">
            <v>0.13590946502864715</v>
          </cell>
          <cell r="BF1781">
            <v>8432.51</v>
          </cell>
          <cell r="BG1781">
            <v>52790.940000000017</v>
          </cell>
          <cell r="BH1781">
            <v>53592.330000000016</v>
          </cell>
          <cell r="BI1781">
            <v>5197.380000000001</v>
          </cell>
          <cell r="BJ1781">
            <v>6121.1299999999901</v>
          </cell>
          <cell r="BK1781">
            <v>9688.8100000000031</v>
          </cell>
          <cell r="BL1781">
            <v>0</v>
          </cell>
          <cell r="BM1781">
            <v>21007.319999999992</v>
          </cell>
          <cell r="BN1781">
            <v>0</v>
          </cell>
          <cell r="BO1781">
            <v>0</v>
          </cell>
          <cell r="BP1781">
            <v>0</v>
          </cell>
          <cell r="BQ1781">
            <v>0</v>
          </cell>
          <cell r="BR1781">
            <v>21007.319999999992</v>
          </cell>
          <cell r="BT1781">
            <v>0</v>
          </cell>
          <cell r="CA1781" t="str">
            <v>003148 - CONTRACT - Base</v>
          </cell>
          <cell r="CC1781" t="str">
            <v>003148 - CONTRACT - Base - IS4</v>
          </cell>
          <cell r="CD1781" t="str">
            <v/>
          </cell>
          <cell r="CF1781" t="str">
            <v>003148 - Base - IS4</v>
          </cell>
        </row>
        <row r="1782">
          <cell r="D1782">
            <v>1768</v>
          </cell>
          <cell r="E1782">
            <v>2</v>
          </cell>
          <cell r="F1782">
            <v>4</v>
          </cell>
          <cell r="G1782" t="str">
            <v>003148</v>
          </cell>
          <cell r="H1782" t="str">
            <v>V Dept SME</v>
          </cell>
          <cell r="I1782" t="str">
            <v>IS4</v>
          </cell>
          <cell r="J1782" t="str">
            <v>IS4 Spectrum &amp; Infrastructure Assurance</v>
          </cell>
          <cell r="K1782" t="str">
            <v>Navy</v>
          </cell>
          <cell r="L1782" t="str">
            <v>DOD</v>
          </cell>
          <cell r="M1782" t="str">
            <v>VA</v>
          </cell>
          <cell r="N1782" t="str">
            <v>CONUS</v>
          </cell>
          <cell r="O1782">
            <v>0</v>
          </cell>
          <cell r="P1782">
            <v>0</v>
          </cell>
          <cell r="Q1782">
            <v>0</v>
          </cell>
          <cell r="R1782" t="str">
            <v>CPFF</v>
          </cell>
          <cell r="S1782">
            <v>0</v>
          </cell>
          <cell r="T1782">
            <v>1</v>
          </cell>
          <cell r="U1782" t="str">
            <v>CONTRACT</v>
          </cell>
          <cell r="V1782" t="str">
            <v>Identified - Recompete</v>
          </cell>
          <cell r="W1782">
            <v>0</v>
          </cell>
          <cell r="X1782">
            <v>0</v>
          </cell>
          <cell r="Y1782">
            <v>0</v>
          </cell>
          <cell r="Z1782">
            <v>0</v>
          </cell>
          <cell r="AA1782">
            <v>0</v>
          </cell>
          <cell r="AB1782">
            <v>0</v>
          </cell>
          <cell r="AC1782">
            <v>0</v>
          </cell>
          <cell r="AD1782">
            <v>0</v>
          </cell>
          <cell r="AP1782">
            <v>0</v>
          </cell>
          <cell r="AQ1782">
            <v>0</v>
          </cell>
          <cell r="AR1782">
            <v>0</v>
          </cell>
          <cell r="AS1782">
            <v>0</v>
          </cell>
          <cell r="BI1782">
            <v>0</v>
          </cell>
          <cell r="BJ1782">
            <v>0</v>
          </cell>
          <cell r="BK1782">
            <v>0</v>
          </cell>
          <cell r="BL1782">
            <v>0</v>
          </cell>
          <cell r="BM1782">
            <v>0</v>
          </cell>
          <cell r="BN1782">
            <v>0</v>
          </cell>
          <cell r="BO1782">
            <v>0</v>
          </cell>
          <cell r="BP1782">
            <v>0</v>
          </cell>
          <cell r="BQ1782">
            <v>0</v>
          </cell>
          <cell r="BR1782">
            <v>0</v>
          </cell>
          <cell r="BT1782">
            <v>0</v>
          </cell>
          <cell r="CA1782" t="str">
            <v>003148 - CONTRACT - Identified - Recompete</v>
          </cell>
          <cell r="CC1782" t="str">
            <v>003148 - CONTRACT - Identified - Recompete - IS4</v>
          </cell>
          <cell r="CD1782" t="str">
            <v/>
          </cell>
          <cell r="CF1782" t="str">
            <v>003148 - Identified - Recompete - IS4</v>
          </cell>
        </row>
        <row r="1783">
          <cell r="D1783">
            <v>1769</v>
          </cell>
          <cell r="E1783">
            <v>0</v>
          </cell>
          <cell r="F1783">
            <v>5</v>
          </cell>
          <cell r="G1783" t="str">
            <v>003148</v>
          </cell>
          <cell r="H1783" t="str">
            <v>V Dept SME</v>
          </cell>
          <cell r="I1783" t="str">
            <v>IS4</v>
          </cell>
          <cell r="J1783" t="str">
            <v>IS4 Spectrum &amp; Infrastructure Assurance</v>
          </cell>
          <cell r="K1783" t="str">
            <v>Navy</v>
          </cell>
          <cell r="L1783" t="str">
            <v>DOD</v>
          </cell>
          <cell r="M1783" t="str">
            <v>VA</v>
          </cell>
          <cell r="N1783" t="str">
            <v>CONUS</v>
          </cell>
          <cell r="O1783">
            <v>42522</v>
          </cell>
          <cell r="P1783">
            <v>44347</v>
          </cell>
          <cell r="Q1783" t="str">
            <v>Sub</v>
          </cell>
          <cell r="R1783" t="str">
            <v>CPFF</v>
          </cell>
          <cell r="S1783">
            <v>0</v>
          </cell>
          <cell r="T1783">
            <v>1</v>
          </cell>
          <cell r="U1783" t="str">
            <v>EBITA</v>
          </cell>
          <cell r="V1783" t="str">
            <v>Base</v>
          </cell>
          <cell r="W1783" t="str">
            <v>05 Won</v>
          </cell>
          <cell r="X1783" t="str">
            <v>Active</v>
          </cell>
          <cell r="Y1783">
            <v>1</v>
          </cell>
          <cell r="Z1783">
            <v>0</v>
          </cell>
          <cell r="AA1783">
            <v>554121.66</v>
          </cell>
          <cell r="AB1783">
            <v>608291.78</v>
          </cell>
          <cell r="AC1783">
            <v>0</v>
          </cell>
          <cell r="AD1783">
            <v>1162413.44</v>
          </cell>
          <cell r="AT1783">
            <v>1.2303230624222698E-2</v>
          </cell>
          <cell r="AU1783">
            <v>4.5827992466166163E-3</v>
          </cell>
          <cell r="AV1783">
            <v>1.2156519432072268E-2</v>
          </cell>
          <cell r="AW1783">
            <v>-5.7679299937823253E-4</v>
          </cell>
          <cell r="AX1783">
            <v>7.1012525619530342E-3</v>
          </cell>
          <cell r="AY1783">
            <v>7.1012525619530342E-3</v>
          </cell>
          <cell r="AZ1783">
            <v>7.1012525619530342E-3</v>
          </cell>
          <cell r="BA1783">
            <v>7.1012525619530342E-3</v>
          </cell>
          <cell r="BF1783">
            <v>560.5000000000008</v>
          </cell>
          <cell r="BG1783">
            <v>1790.9200000000119</v>
          </cell>
          <cell r="BH1783">
            <v>4840.4000000000096</v>
          </cell>
          <cell r="BI1783">
            <v>-831.76999999999907</v>
          </cell>
          <cell r="BJ1783">
            <v>-372.79000000000997</v>
          </cell>
          <cell r="BK1783">
            <v>1109.4800000000027</v>
          </cell>
          <cell r="BL1783">
            <v>0</v>
          </cell>
          <cell r="BM1783">
            <v>-95.080000000006294</v>
          </cell>
          <cell r="BN1783">
            <v>0</v>
          </cell>
          <cell r="BO1783">
            <v>0</v>
          </cell>
          <cell r="BP1783">
            <v>0</v>
          </cell>
          <cell r="BQ1783">
            <v>0</v>
          </cell>
          <cell r="BR1783">
            <v>-95.080000000006294</v>
          </cell>
          <cell r="BT1783">
            <v>0</v>
          </cell>
          <cell r="CA1783" t="str">
            <v>003148 - EBITA - Base</v>
          </cell>
          <cell r="CC1783" t="str">
            <v>003148 - EBITA - Base - IS4</v>
          </cell>
          <cell r="CD1783" t="str">
            <v/>
          </cell>
          <cell r="CF1783" t="str">
            <v>003148 - Base - IS4</v>
          </cell>
        </row>
        <row r="1784">
          <cell r="D1784">
            <v>1770</v>
          </cell>
          <cell r="E1784">
            <v>0</v>
          </cell>
          <cell r="F1784">
            <v>0</v>
          </cell>
          <cell r="G1784" t="str">
            <v>003148</v>
          </cell>
          <cell r="H1784" t="str">
            <v>V Dept SME</v>
          </cell>
          <cell r="I1784" t="str">
            <v>IS4</v>
          </cell>
          <cell r="J1784" t="str">
            <v>IS4 Spectrum &amp; Infrastructure Assurance</v>
          </cell>
          <cell r="K1784" t="str">
            <v>Navy</v>
          </cell>
          <cell r="L1784" t="str">
            <v>DOD</v>
          </cell>
          <cell r="M1784" t="str">
            <v>VA</v>
          </cell>
          <cell r="N1784" t="str">
            <v>CONUS</v>
          </cell>
          <cell r="O1784">
            <v>0</v>
          </cell>
          <cell r="P1784">
            <v>0</v>
          </cell>
          <cell r="Q1784">
            <v>0</v>
          </cell>
          <cell r="R1784" t="str">
            <v>CPFF</v>
          </cell>
          <cell r="S1784">
            <v>0</v>
          </cell>
          <cell r="T1784">
            <v>1</v>
          </cell>
          <cell r="U1784" t="str">
            <v>EBITA</v>
          </cell>
          <cell r="V1784" t="str">
            <v>Identified - Recompete</v>
          </cell>
          <cell r="W1784">
            <v>0</v>
          </cell>
          <cell r="X1784">
            <v>0</v>
          </cell>
          <cell r="Y1784">
            <v>0</v>
          </cell>
          <cell r="Z1784">
            <v>0</v>
          </cell>
          <cell r="AA1784">
            <v>0</v>
          </cell>
          <cell r="AB1784">
            <v>0</v>
          </cell>
          <cell r="AC1784">
            <v>0</v>
          </cell>
          <cell r="AD1784">
            <v>0</v>
          </cell>
          <cell r="AX1784">
            <v>0</v>
          </cell>
          <cell r="AY1784">
            <v>0</v>
          </cell>
          <cell r="AZ1784">
            <v>0</v>
          </cell>
          <cell r="BA1784">
            <v>0</v>
          </cell>
          <cell r="BI1784">
            <v>0</v>
          </cell>
          <cell r="BJ1784">
            <v>0</v>
          </cell>
          <cell r="BK1784">
            <v>0</v>
          </cell>
          <cell r="BL1784">
            <v>0</v>
          </cell>
          <cell r="BM1784">
            <v>0</v>
          </cell>
          <cell r="BN1784">
            <v>0</v>
          </cell>
          <cell r="BO1784">
            <v>0</v>
          </cell>
          <cell r="BP1784">
            <v>0</v>
          </cell>
          <cell r="BQ1784">
            <v>0</v>
          </cell>
          <cell r="BR1784">
            <v>0</v>
          </cell>
          <cell r="BT1784">
            <v>0</v>
          </cell>
          <cell r="CA1784" t="str">
            <v>003148 - EBITA - Identified - Recompete</v>
          </cell>
          <cell r="CC1784" t="str">
            <v>003148 - EBITA - Identified - Recompete - IS4</v>
          </cell>
          <cell r="CD1784" t="str">
            <v/>
          </cell>
          <cell r="CF1784" t="str">
            <v>003148 - Identified - Recompete - IS4</v>
          </cell>
        </row>
        <row r="1785">
          <cell r="D1785">
            <v>1771</v>
          </cell>
          <cell r="E1785">
            <v>1</v>
          </cell>
          <cell r="F1785">
            <v>1</v>
          </cell>
          <cell r="G1785" t="str">
            <v>12675X</v>
          </cell>
          <cell r="H1785" t="str">
            <v>DISA OSS (ID4N2)</v>
          </cell>
          <cell r="I1785" t="str">
            <v>IS4</v>
          </cell>
          <cell r="J1785" t="str">
            <v>IS4 Engineering and Technology Services</v>
          </cell>
          <cell r="K1785" t="str">
            <v>Army</v>
          </cell>
          <cell r="L1785" t="str">
            <v>DOD</v>
          </cell>
          <cell r="M1785" t="str">
            <v>MD</v>
          </cell>
          <cell r="N1785" t="str">
            <v>CONUS</v>
          </cell>
          <cell r="O1785">
            <v>41358</v>
          </cell>
          <cell r="P1785">
            <v>43599</v>
          </cell>
          <cell r="Q1785" t="str">
            <v>Sub</v>
          </cell>
          <cell r="R1785" t="str">
            <v>CPFF</v>
          </cell>
          <cell r="S1785">
            <v>0</v>
          </cell>
          <cell r="T1785">
            <v>1</v>
          </cell>
          <cell r="U1785" t="str">
            <v>REVTOT</v>
          </cell>
          <cell r="V1785" t="str">
            <v>Base</v>
          </cell>
          <cell r="W1785" t="str">
            <v>05 Won</v>
          </cell>
          <cell r="X1785" t="str">
            <v>Active</v>
          </cell>
          <cell r="Y1785">
            <v>1</v>
          </cell>
          <cell r="Z1785">
            <v>0</v>
          </cell>
          <cell r="AA1785">
            <v>52901.729999999938</v>
          </cell>
          <cell r="AB1785">
            <v>607864.71</v>
          </cell>
          <cell r="AC1785">
            <v>0</v>
          </cell>
          <cell r="AD1785">
            <v>660766.43999999994</v>
          </cell>
          <cell r="AE1785">
            <v>-0.38420046887025339</v>
          </cell>
          <cell r="AF1785">
            <v>-0.11746654909748522</v>
          </cell>
          <cell r="AG1785">
            <v>-0.52255420317939438</v>
          </cell>
          <cell r="AH1785">
            <v>-1</v>
          </cell>
          <cell r="AI1785">
            <v>0</v>
          </cell>
          <cell r="AJ1785">
            <v>0</v>
          </cell>
          <cell r="AK1785">
            <v>0</v>
          </cell>
          <cell r="BB1785">
            <v>0</v>
          </cell>
          <cell r="BC1785">
            <v>0</v>
          </cell>
          <cell r="BD1785">
            <v>0</v>
          </cell>
          <cell r="BE1785">
            <v>0</v>
          </cell>
          <cell r="BF1785">
            <v>538810.03999999992</v>
          </cell>
          <cell r="BG1785">
            <v>331798.96999999997</v>
          </cell>
          <cell r="BH1785">
            <v>292823.68999999994</v>
          </cell>
          <cell r="BI1785">
            <v>67348.58</v>
          </cell>
          <cell r="BJ1785">
            <v>44973</v>
          </cell>
          <cell r="BK1785">
            <v>27485.86</v>
          </cell>
          <cell r="BL1785">
            <v>0</v>
          </cell>
          <cell r="BM1785">
            <v>139807.44</v>
          </cell>
          <cell r="BN1785">
            <v>0</v>
          </cell>
          <cell r="BO1785">
            <v>0</v>
          </cell>
          <cell r="BP1785">
            <v>0</v>
          </cell>
          <cell r="BQ1785">
            <v>0</v>
          </cell>
          <cell r="BR1785">
            <v>139807.44</v>
          </cell>
          <cell r="BT1785">
            <v>0</v>
          </cell>
          <cell r="CA1785" t="str">
            <v>12675X - REVTOT - Base</v>
          </cell>
          <cell r="CC1785" t="str">
            <v>12675X - REVTOT - Base - IS4</v>
          </cell>
          <cell r="CD1785" t="str">
            <v/>
          </cell>
          <cell r="CF1785" t="str">
            <v>12675X - Base - IS4</v>
          </cell>
        </row>
        <row r="1786">
          <cell r="D1786">
            <v>1772</v>
          </cell>
          <cell r="E1786">
            <v>1</v>
          </cell>
          <cell r="F1786">
            <v>2</v>
          </cell>
          <cell r="G1786" t="str">
            <v>12675X</v>
          </cell>
          <cell r="H1786" t="str">
            <v>DISA OSS (ID4N2)</v>
          </cell>
          <cell r="I1786" t="str">
            <v>IS4</v>
          </cell>
          <cell r="J1786" t="str">
            <v>IS4 Engineering and Technology Services</v>
          </cell>
          <cell r="K1786" t="str">
            <v>Army</v>
          </cell>
          <cell r="L1786" t="str">
            <v>DOD</v>
          </cell>
          <cell r="M1786" t="str">
            <v>MD</v>
          </cell>
          <cell r="N1786" t="str">
            <v>CONUS</v>
          </cell>
          <cell r="O1786">
            <v>0</v>
          </cell>
          <cell r="P1786">
            <v>0</v>
          </cell>
          <cell r="Q1786">
            <v>0</v>
          </cell>
          <cell r="R1786" t="str">
            <v>CPFF</v>
          </cell>
          <cell r="S1786">
            <v>0</v>
          </cell>
          <cell r="T1786">
            <v>1</v>
          </cell>
          <cell r="U1786" t="str">
            <v>REVTOT</v>
          </cell>
          <cell r="V1786" t="str">
            <v>Identified - Recompete</v>
          </cell>
          <cell r="W1786">
            <v>0</v>
          </cell>
          <cell r="X1786">
            <v>0</v>
          </cell>
          <cell r="Y1786">
            <v>0</v>
          </cell>
          <cell r="Z1786">
            <v>0</v>
          </cell>
          <cell r="AA1786">
            <v>0</v>
          </cell>
          <cell r="AB1786">
            <v>0</v>
          </cell>
          <cell r="AC1786">
            <v>0</v>
          </cell>
          <cell r="AD1786">
            <v>0</v>
          </cell>
          <cell r="AI1786">
            <v>0</v>
          </cell>
          <cell r="AJ1786">
            <v>0</v>
          </cell>
          <cell r="AK1786">
            <v>0</v>
          </cell>
          <cell r="BB1786">
            <v>0</v>
          </cell>
          <cell r="BC1786">
            <v>0</v>
          </cell>
          <cell r="BD1786">
            <v>0</v>
          </cell>
          <cell r="BE1786">
            <v>0</v>
          </cell>
          <cell r="BI1786">
            <v>0</v>
          </cell>
          <cell r="BJ1786">
            <v>0</v>
          </cell>
          <cell r="BK1786">
            <v>0</v>
          </cell>
          <cell r="BL1786">
            <v>0</v>
          </cell>
          <cell r="BM1786">
            <v>0</v>
          </cell>
          <cell r="BN1786">
            <v>0</v>
          </cell>
          <cell r="BO1786">
            <v>0</v>
          </cell>
          <cell r="BP1786">
            <v>0</v>
          </cell>
          <cell r="BQ1786">
            <v>0</v>
          </cell>
          <cell r="BR1786">
            <v>0</v>
          </cell>
          <cell r="BT1786">
            <v>0</v>
          </cell>
          <cell r="CA1786" t="str">
            <v>12675X - REVTOT - Identified - Recompete</v>
          </cell>
          <cell r="CC1786" t="str">
            <v>12675X - REVTOT - Identified - Recompete - IS4</v>
          </cell>
          <cell r="CD1786" t="str">
            <v/>
          </cell>
          <cell r="CF1786" t="str">
            <v>12675X - Identified - Recompete - IS4</v>
          </cell>
        </row>
        <row r="1787">
          <cell r="D1787">
            <v>1773</v>
          </cell>
          <cell r="E1787">
            <v>2</v>
          </cell>
          <cell r="F1787">
            <v>3</v>
          </cell>
          <cell r="G1787" t="str">
            <v>12675X</v>
          </cell>
          <cell r="H1787" t="str">
            <v>DISA OSS (ID4N2)</v>
          </cell>
          <cell r="I1787" t="str">
            <v>IS4</v>
          </cell>
          <cell r="J1787" t="str">
            <v>IS4 Engineering and Technology Services</v>
          </cell>
          <cell r="K1787" t="str">
            <v>Army</v>
          </cell>
          <cell r="L1787" t="str">
            <v>DOD</v>
          </cell>
          <cell r="M1787" t="str">
            <v>MD</v>
          </cell>
          <cell r="N1787" t="str">
            <v>CONUS</v>
          </cell>
          <cell r="O1787">
            <v>41358</v>
          </cell>
          <cell r="P1787">
            <v>43599</v>
          </cell>
          <cell r="Q1787" t="str">
            <v>Sub</v>
          </cell>
          <cell r="R1787" t="str">
            <v>CPFF</v>
          </cell>
          <cell r="S1787">
            <v>0</v>
          </cell>
          <cell r="T1787">
            <v>1</v>
          </cell>
          <cell r="U1787" t="str">
            <v>CONTRACT</v>
          </cell>
          <cell r="V1787" t="str">
            <v>Base</v>
          </cell>
          <cell r="W1787" t="str">
            <v>05 Won</v>
          </cell>
          <cell r="X1787" t="str">
            <v>Active</v>
          </cell>
          <cell r="Y1787">
            <v>1</v>
          </cell>
          <cell r="Z1787">
            <v>0</v>
          </cell>
          <cell r="AA1787">
            <v>52901.729999999938</v>
          </cell>
          <cell r="AB1787">
            <v>607864.71</v>
          </cell>
          <cell r="AC1787">
            <v>0</v>
          </cell>
          <cell r="AD1787">
            <v>660766.43999999994</v>
          </cell>
          <cell r="AL1787">
            <v>0.22672777218479453</v>
          </cell>
          <cell r="AM1787">
            <v>0.11160085879712045</v>
          </cell>
          <cell r="AN1787">
            <v>0.12318368093783671</v>
          </cell>
          <cell r="AO1787">
            <v>0.13460535433593515</v>
          </cell>
          <cell r="AP1787">
            <v>0.16426917298603161</v>
          </cell>
          <cell r="AQ1787">
            <v>0.16426917298603161</v>
          </cell>
          <cell r="AR1787">
            <v>0.16426917298603161</v>
          </cell>
          <cell r="AS1787">
            <v>0.16426917298603161</v>
          </cell>
          <cell r="BF1787">
            <v>122163.20000000001</v>
          </cell>
          <cell r="BG1787">
            <v>37029.050000000003</v>
          </cell>
          <cell r="BH1787">
            <v>36071.1</v>
          </cell>
          <cell r="BI1787">
            <v>10642.080000000002</v>
          </cell>
          <cell r="BJ1787">
            <v>5420.0599999999959</v>
          </cell>
          <cell r="BK1787">
            <v>2756.6899999999987</v>
          </cell>
          <cell r="BL1787">
            <v>0</v>
          </cell>
          <cell r="BM1787">
            <v>18818.829999999994</v>
          </cell>
          <cell r="BN1787">
            <v>0</v>
          </cell>
          <cell r="BO1787">
            <v>0</v>
          </cell>
          <cell r="BP1787">
            <v>0</v>
          </cell>
          <cell r="BQ1787">
            <v>0</v>
          </cell>
          <cell r="BR1787">
            <v>18818.829999999994</v>
          </cell>
          <cell r="BT1787">
            <v>0</v>
          </cell>
          <cell r="CA1787" t="str">
            <v>12675X - CONTRACT - Base</v>
          </cell>
          <cell r="CC1787" t="str">
            <v>12675X - CONTRACT - Base - IS4</v>
          </cell>
          <cell r="CD1787" t="str">
            <v/>
          </cell>
          <cell r="CF1787" t="str">
            <v>12675X - Base - IS4</v>
          </cell>
        </row>
        <row r="1788">
          <cell r="D1788">
            <v>1774</v>
          </cell>
          <cell r="E1788">
            <v>2</v>
          </cell>
          <cell r="F1788">
            <v>4</v>
          </cell>
          <cell r="G1788" t="str">
            <v>12675X</v>
          </cell>
          <cell r="H1788" t="str">
            <v>DISA OSS (ID4N2)</v>
          </cell>
          <cell r="I1788" t="str">
            <v>IS4</v>
          </cell>
          <cell r="J1788" t="str">
            <v>IS4 Engineering and Technology Services</v>
          </cell>
          <cell r="K1788" t="str">
            <v>Army</v>
          </cell>
          <cell r="L1788" t="str">
            <v>DOD</v>
          </cell>
          <cell r="M1788" t="str">
            <v>MD</v>
          </cell>
          <cell r="N1788" t="str">
            <v>CONUS</v>
          </cell>
          <cell r="O1788">
            <v>0</v>
          </cell>
          <cell r="P1788">
            <v>0</v>
          </cell>
          <cell r="Q1788">
            <v>0</v>
          </cell>
          <cell r="R1788" t="str">
            <v>CPFF</v>
          </cell>
          <cell r="S1788">
            <v>0</v>
          </cell>
          <cell r="T1788">
            <v>1</v>
          </cell>
          <cell r="U1788" t="str">
            <v>CONTRACT</v>
          </cell>
          <cell r="V1788" t="str">
            <v>Identified - Recompete</v>
          </cell>
          <cell r="W1788">
            <v>0</v>
          </cell>
          <cell r="X1788">
            <v>0</v>
          </cell>
          <cell r="Y1788">
            <v>0</v>
          </cell>
          <cell r="Z1788">
            <v>0</v>
          </cell>
          <cell r="AA1788">
            <v>0</v>
          </cell>
          <cell r="AB1788">
            <v>0</v>
          </cell>
          <cell r="AC1788">
            <v>0</v>
          </cell>
          <cell r="AD1788">
            <v>0</v>
          </cell>
          <cell r="AP1788">
            <v>0</v>
          </cell>
          <cell r="AQ1788">
            <v>0</v>
          </cell>
          <cell r="AR1788">
            <v>0</v>
          </cell>
          <cell r="AS1788">
            <v>0</v>
          </cell>
          <cell r="BI1788">
            <v>0</v>
          </cell>
          <cell r="BJ1788">
            <v>0</v>
          </cell>
          <cell r="BK1788">
            <v>0</v>
          </cell>
          <cell r="BL1788">
            <v>0</v>
          </cell>
          <cell r="BM1788">
            <v>0</v>
          </cell>
          <cell r="BN1788">
            <v>0</v>
          </cell>
          <cell r="BO1788">
            <v>0</v>
          </cell>
          <cell r="BP1788">
            <v>0</v>
          </cell>
          <cell r="BQ1788">
            <v>0</v>
          </cell>
          <cell r="BR1788">
            <v>0</v>
          </cell>
          <cell r="BT1788">
            <v>0</v>
          </cell>
          <cell r="CA1788" t="str">
            <v>12675X - CONTRACT - Identified - Recompete</v>
          </cell>
          <cell r="CC1788" t="str">
            <v>12675X - CONTRACT - Identified - Recompete - IS4</v>
          </cell>
          <cell r="CD1788" t="str">
            <v/>
          </cell>
          <cell r="CF1788" t="str">
            <v>12675X - Identified - Recompete - IS4</v>
          </cell>
        </row>
        <row r="1789">
          <cell r="D1789">
            <v>1775</v>
          </cell>
          <cell r="E1789">
            <v>0</v>
          </cell>
          <cell r="F1789">
            <v>5</v>
          </cell>
          <cell r="G1789" t="str">
            <v>12675X</v>
          </cell>
          <cell r="H1789" t="str">
            <v>DISA OSS (ID4N2)</v>
          </cell>
          <cell r="I1789" t="str">
            <v>IS4</v>
          </cell>
          <cell r="J1789" t="str">
            <v>IS4 Engineering and Technology Services</v>
          </cell>
          <cell r="K1789" t="str">
            <v>Army</v>
          </cell>
          <cell r="L1789" t="str">
            <v>DOD</v>
          </cell>
          <cell r="M1789" t="str">
            <v>MD</v>
          </cell>
          <cell r="N1789" t="str">
            <v>CONUS</v>
          </cell>
          <cell r="O1789">
            <v>41358</v>
          </cell>
          <cell r="P1789">
            <v>43599</v>
          </cell>
          <cell r="Q1789" t="str">
            <v>Sub</v>
          </cell>
          <cell r="R1789" t="str">
            <v>CPFF</v>
          </cell>
          <cell r="S1789">
            <v>0</v>
          </cell>
          <cell r="T1789">
            <v>1</v>
          </cell>
          <cell r="U1789" t="str">
            <v>EBITA</v>
          </cell>
          <cell r="V1789" t="str">
            <v>Base</v>
          </cell>
          <cell r="W1789" t="str">
            <v>05 Won</v>
          </cell>
          <cell r="X1789" t="str">
            <v>Active</v>
          </cell>
          <cell r="Y1789">
            <v>1</v>
          </cell>
          <cell r="Z1789">
            <v>0</v>
          </cell>
          <cell r="AA1789">
            <v>52901.729999999938</v>
          </cell>
          <cell r="AB1789">
            <v>607864.71</v>
          </cell>
          <cell r="AC1789">
            <v>0</v>
          </cell>
          <cell r="AD1789">
            <v>660766.43999999994</v>
          </cell>
          <cell r="AT1789">
            <v>3.8511810210515023E-2</v>
          </cell>
          <cell r="AU1789">
            <v>-2.2846363869062032E-2</v>
          </cell>
          <cell r="AV1789">
            <v>-1.0004757470271623E-2</v>
          </cell>
          <cell r="AW1789">
            <v>9.886955944547705E-3</v>
          </cell>
          <cell r="AX1789">
            <v>8.9183793863193955E-3</v>
          </cell>
          <cell r="AY1789">
            <v>8.9183793863193955E-3</v>
          </cell>
          <cell r="AZ1789">
            <v>8.9183793863193955E-3</v>
          </cell>
          <cell r="BA1789">
            <v>8.9183793863193955E-3</v>
          </cell>
          <cell r="BF1789">
            <v>20750.550000000003</v>
          </cell>
          <cell r="BG1789">
            <v>-7580.3999999999969</v>
          </cell>
          <cell r="BH1789">
            <v>-2929.6300000000015</v>
          </cell>
          <cell r="BI1789">
            <v>1434.3800000000015</v>
          </cell>
          <cell r="BJ1789">
            <v>-220.7100000000039</v>
          </cell>
          <cell r="BK1789">
            <v>168.59999999999906</v>
          </cell>
          <cell r="BL1789">
            <v>0</v>
          </cell>
          <cell r="BM1789">
            <v>1382.2699999999966</v>
          </cell>
          <cell r="BN1789">
            <v>0</v>
          </cell>
          <cell r="BO1789">
            <v>0</v>
          </cell>
          <cell r="BP1789">
            <v>0</v>
          </cell>
          <cell r="BQ1789">
            <v>0</v>
          </cell>
          <cell r="BR1789">
            <v>1382.2699999999966</v>
          </cell>
          <cell r="BT1789">
            <v>0</v>
          </cell>
          <cell r="CA1789" t="str">
            <v>12675X - EBITA - Base</v>
          </cell>
          <cell r="CC1789" t="str">
            <v>12675X - EBITA - Base - IS4</v>
          </cell>
          <cell r="CD1789" t="str">
            <v/>
          </cell>
          <cell r="CF1789" t="str">
            <v>12675X - Base - IS4</v>
          </cell>
        </row>
        <row r="1790">
          <cell r="D1790">
            <v>1776</v>
          </cell>
          <cell r="E1790">
            <v>0</v>
          </cell>
          <cell r="F1790">
            <v>0</v>
          </cell>
          <cell r="G1790" t="str">
            <v>12675X</v>
          </cell>
          <cell r="H1790" t="str">
            <v>DISA OSS (ID4N2)</v>
          </cell>
          <cell r="I1790" t="str">
            <v>IS4</v>
          </cell>
          <cell r="J1790" t="str">
            <v>IS4 Engineering and Technology Services</v>
          </cell>
          <cell r="K1790" t="str">
            <v>Army</v>
          </cell>
          <cell r="L1790" t="str">
            <v>DOD</v>
          </cell>
          <cell r="M1790" t="str">
            <v>MD</v>
          </cell>
          <cell r="N1790" t="str">
            <v>CONUS</v>
          </cell>
          <cell r="O1790">
            <v>0</v>
          </cell>
          <cell r="P1790">
            <v>0</v>
          </cell>
          <cell r="Q1790">
            <v>0</v>
          </cell>
          <cell r="R1790" t="str">
            <v>CPFF</v>
          </cell>
          <cell r="S1790">
            <v>0</v>
          </cell>
          <cell r="T1790">
            <v>1</v>
          </cell>
          <cell r="U1790" t="str">
            <v>EBITA</v>
          </cell>
          <cell r="V1790" t="str">
            <v>Identified - Recompete</v>
          </cell>
          <cell r="W1790">
            <v>0</v>
          </cell>
          <cell r="X1790">
            <v>0</v>
          </cell>
          <cell r="Y1790">
            <v>0</v>
          </cell>
          <cell r="Z1790">
            <v>0</v>
          </cell>
          <cell r="AA1790">
            <v>0</v>
          </cell>
          <cell r="AB1790">
            <v>0</v>
          </cell>
          <cell r="AC1790">
            <v>0</v>
          </cell>
          <cell r="AD1790">
            <v>0</v>
          </cell>
          <cell r="AX1790">
            <v>0</v>
          </cell>
          <cell r="AY1790">
            <v>0</v>
          </cell>
          <cell r="AZ1790">
            <v>0</v>
          </cell>
          <cell r="BA1790">
            <v>0</v>
          </cell>
          <cell r="BI1790">
            <v>0</v>
          </cell>
          <cell r="BJ1790">
            <v>0</v>
          </cell>
          <cell r="BK1790">
            <v>0</v>
          </cell>
          <cell r="BL1790">
            <v>0</v>
          </cell>
          <cell r="BM1790">
            <v>0</v>
          </cell>
          <cell r="BN1790">
            <v>0</v>
          </cell>
          <cell r="BO1790">
            <v>0</v>
          </cell>
          <cell r="BP1790">
            <v>0</v>
          </cell>
          <cell r="BQ1790">
            <v>0</v>
          </cell>
          <cell r="BR1790">
            <v>0</v>
          </cell>
          <cell r="BT1790">
            <v>0</v>
          </cell>
          <cell r="CA1790" t="str">
            <v>12675X - EBITA - Identified - Recompete</v>
          </cell>
          <cell r="CC1790" t="str">
            <v>12675X - EBITA - Identified - Recompete - IS4</v>
          </cell>
          <cell r="CD1790" t="str">
            <v/>
          </cell>
          <cell r="CF1790" t="str">
            <v>12675X - Identified - Recompete - IS4</v>
          </cell>
        </row>
        <row r="1791">
          <cell r="D1791">
            <v>1777</v>
          </cell>
          <cell r="E1791">
            <v>1</v>
          </cell>
          <cell r="F1791">
            <v>1</v>
          </cell>
          <cell r="G1791" t="str">
            <v>12410I</v>
          </cell>
          <cell r="H1791" t="str">
            <v>ATO-T Management Support</v>
          </cell>
          <cell r="I1791" t="str">
            <v>IS4</v>
          </cell>
          <cell r="J1791" t="str">
            <v>IS4 Sustainment Engineering and Acquisition</v>
          </cell>
          <cell r="K1791" t="str">
            <v>Other Civilian</v>
          </cell>
          <cell r="L1791" t="str">
            <v>Other</v>
          </cell>
          <cell r="M1791" t="str">
            <v>US_State</v>
          </cell>
          <cell r="N1791" t="str">
            <v>CONUS</v>
          </cell>
          <cell r="O1791">
            <v>39933</v>
          </cell>
          <cell r="P1791">
            <v>41547</v>
          </cell>
          <cell r="Q1791" t="str">
            <v>Prime</v>
          </cell>
          <cell r="R1791" t="str">
            <v>CPFF</v>
          </cell>
          <cell r="S1791">
            <v>0</v>
          </cell>
          <cell r="T1791">
            <v>1</v>
          </cell>
          <cell r="U1791" t="str">
            <v>REVTOT</v>
          </cell>
          <cell r="V1791" t="str">
            <v>Base</v>
          </cell>
          <cell r="W1791" t="str">
            <v>05 Won</v>
          </cell>
          <cell r="X1791" t="str">
            <v>Active</v>
          </cell>
          <cell r="Y1791">
            <v>1</v>
          </cell>
          <cell r="Z1791">
            <v>0</v>
          </cell>
          <cell r="AA1791">
            <v>0</v>
          </cell>
          <cell r="AB1791">
            <v>0</v>
          </cell>
          <cell r="AC1791">
            <v>0</v>
          </cell>
          <cell r="AD1791">
            <v>0</v>
          </cell>
          <cell r="AE1791">
            <v>0</v>
          </cell>
          <cell r="AF1791">
            <v>0</v>
          </cell>
          <cell r="AG1791">
            <v>0</v>
          </cell>
          <cell r="AH1791">
            <v>0</v>
          </cell>
          <cell r="AI1791">
            <v>0</v>
          </cell>
          <cell r="AJ1791">
            <v>0</v>
          </cell>
          <cell r="AK1791">
            <v>0</v>
          </cell>
          <cell r="BB1791">
            <v>0</v>
          </cell>
          <cell r="BC1791">
            <v>0</v>
          </cell>
          <cell r="BD1791">
            <v>0</v>
          </cell>
          <cell r="BE1791">
            <v>0</v>
          </cell>
          <cell r="BF1791">
            <v>0</v>
          </cell>
          <cell r="BG1791">
            <v>0</v>
          </cell>
          <cell r="BH1791">
            <v>0</v>
          </cell>
          <cell r="BI1791">
            <v>0</v>
          </cell>
          <cell r="BJ1791">
            <v>0</v>
          </cell>
          <cell r="BK1791">
            <v>0</v>
          </cell>
          <cell r="BL1791">
            <v>0</v>
          </cell>
          <cell r="BM1791">
            <v>0</v>
          </cell>
          <cell r="BN1791">
            <v>0</v>
          </cell>
          <cell r="BO1791">
            <v>0</v>
          </cell>
          <cell r="BP1791">
            <v>0</v>
          </cell>
          <cell r="BQ1791">
            <v>0</v>
          </cell>
          <cell r="BR1791">
            <v>0</v>
          </cell>
          <cell r="BT1791">
            <v>0</v>
          </cell>
          <cell r="CA1791" t="str">
            <v>12410I - REVTOT - Base</v>
          </cell>
          <cell r="CC1791" t="str">
            <v>12410I - REVTOT - Base - IS4</v>
          </cell>
          <cell r="CD1791" t="str">
            <v/>
          </cell>
          <cell r="CF1791" t="str">
            <v>12410I - Base - IS4</v>
          </cell>
        </row>
        <row r="1792">
          <cell r="D1792">
            <v>1778</v>
          </cell>
          <cell r="E1792">
            <v>1</v>
          </cell>
          <cell r="F1792">
            <v>2</v>
          </cell>
          <cell r="G1792" t="str">
            <v>12410I</v>
          </cell>
          <cell r="H1792" t="str">
            <v>ATO-T Management Support</v>
          </cell>
          <cell r="I1792" t="str">
            <v>IS4</v>
          </cell>
          <cell r="J1792" t="str">
            <v>IS4 Sustainment Engineering and Acquisition</v>
          </cell>
          <cell r="K1792" t="str">
            <v>Other Civilian</v>
          </cell>
          <cell r="L1792" t="str">
            <v>Other</v>
          </cell>
          <cell r="M1792" t="str">
            <v>US_State</v>
          </cell>
          <cell r="N1792" t="str">
            <v>CONUS</v>
          </cell>
          <cell r="O1792">
            <v>0</v>
          </cell>
          <cell r="P1792">
            <v>0</v>
          </cell>
          <cell r="Q1792">
            <v>0</v>
          </cell>
          <cell r="R1792" t="str">
            <v>CPFF</v>
          </cell>
          <cell r="S1792">
            <v>0</v>
          </cell>
          <cell r="T1792">
            <v>1</v>
          </cell>
          <cell r="U1792" t="str">
            <v>REVTOT</v>
          </cell>
          <cell r="V1792" t="str">
            <v>Identified - Recompete</v>
          </cell>
          <cell r="W1792">
            <v>0</v>
          </cell>
          <cell r="X1792">
            <v>0</v>
          </cell>
          <cell r="Y1792">
            <v>0</v>
          </cell>
          <cell r="Z1792">
            <v>0</v>
          </cell>
          <cell r="AA1792">
            <v>0</v>
          </cell>
          <cell r="AB1792">
            <v>0</v>
          </cell>
          <cell r="AC1792">
            <v>0</v>
          </cell>
          <cell r="AD1792">
            <v>0</v>
          </cell>
          <cell r="AI1792">
            <v>0</v>
          </cell>
          <cell r="AJ1792">
            <v>0</v>
          </cell>
          <cell r="AK1792">
            <v>0</v>
          </cell>
          <cell r="BB1792">
            <v>0</v>
          </cell>
          <cell r="BC1792">
            <v>0</v>
          </cell>
          <cell r="BD1792">
            <v>0</v>
          </cell>
          <cell r="BE1792">
            <v>0</v>
          </cell>
          <cell r="BI1792">
            <v>0</v>
          </cell>
          <cell r="BJ1792">
            <v>0</v>
          </cell>
          <cell r="BK1792">
            <v>0</v>
          </cell>
          <cell r="BL1792">
            <v>0</v>
          </cell>
          <cell r="BM1792">
            <v>0</v>
          </cell>
          <cell r="BN1792">
            <v>0</v>
          </cell>
          <cell r="BO1792">
            <v>0</v>
          </cell>
          <cell r="BP1792">
            <v>0</v>
          </cell>
          <cell r="BQ1792">
            <v>0</v>
          </cell>
          <cell r="BR1792">
            <v>0</v>
          </cell>
          <cell r="BT1792">
            <v>0</v>
          </cell>
          <cell r="CA1792" t="str">
            <v>12410I - REVTOT - Identified - Recompete</v>
          </cell>
          <cell r="CC1792" t="str">
            <v>12410I - REVTOT - Identified - Recompete - IS4</v>
          </cell>
          <cell r="CD1792" t="str">
            <v/>
          </cell>
          <cell r="CF1792" t="str">
            <v>12410I - Identified - Recompete - IS4</v>
          </cell>
        </row>
        <row r="1793">
          <cell r="D1793">
            <v>1779</v>
          </cell>
          <cell r="E1793">
            <v>2</v>
          </cell>
          <cell r="F1793">
            <v>3</v>
          </cell>
          <cell r="G1793" t="str">
            <v>12410I</v>
          </cell>
          <cell r="H1793" t="str">
            <v>ATO-T Management Support</v>
          </cell>
          <cell r="I1793" t="str">
            <v>IS4</v>
          </cell>
          <cell r="J1793" t="str">
            <v>IS4 Sustainment Engineering and Acquisition</v>
          </cell>
          <cell r="K1793" t="str">
            <v>Other Civilian</v>
          </cell>
          <cell r="L1793" t="str">
            <v>Other</v>
          </cell>
          <cell r="M1793" t="str">
            <v>US_State</v>
          </cell>
          <cell r="N1793" t="str">
            <v>CONUS</v>
          </cell>
          <cell r="O1793">
            <v>39933</v>
          </cell>
          <cell r="P1793">
            <v>41547</v>
          </cell>
          <cell r="Q1793" t="str">
            <v>Prime</v>
          </cell>
          <cell r="R1793" t="str">
            <v>CPFF</v>
          </cell>
          <cell r="S1793">
            <v>0</v>
          </cell>
          <cell r="T1793">
            <v>1</v>
          </cell>
          <cell r="U1793" t="str">
            <v>CONTRACT</v>
          </cell>
          <cell r="V1793" t="str">
            <v>Base</v>
          </cell>
          <cell r="W1793" t="str">
            <v>05 Won</v>
          </cell>
          <cell r="X1793" t="str">
            <v>Active</v>
          </cell>
          <cell r="Y1793">
            <v>1</v>
          </cell>
          <cell r="Z1793">
            <v>0</v>
          </cell>
          <cell r="AA1793">
            <v>0</v>
          </cell>
          <cell r="AB1793">
            <v>0</v>
          </cell>
          <cell r="AC1793">
            <v>0</v>
          </cell>
          <cell r="AD1793">
            <v>0</v>
          </cell>
          <cell r="AL1793">
            <v>0</v>
          </cell>
          <cell r="AM1793">
            <v>0</v>
          </cell>
          <cell r="AN1793">
            <v>0</v>
          </cell>
          <cell r="AO1793">
            <v>0</v>
          </cell>
          <cell r="AP1793">
            <v>0</v>
          </cell>
          <cell r="AQ1793">
            <v>0</v>
          </cell>
          <cell r="AR1793">
            <v>0</v>
          </cell>
          <cell r="AS1793">
            <v>0</v>
          </cell>
          <cell r="BF1793">
            <v>0</v>
          </cell>
          <cell r="BG1793">
            <v>0</v>
          </cell>
          <cell r="BH1793">
            <v>0</v>
          </cell>
          <cell r="BI1793">
            <v>0</v>
          </cell>
          <cell r="BJ1793">
            <v>79071.95</v>
          </cell>
          <cell r="BK1793">
            <v>0</v>
          </cell>
          <cell r="BL1793">
            <v>0</v>
          </cell>
          <cell r="BM1793">
            <v>79071.95</v>
          </cell>
          <cell r="BN1793">
            <v>0</v>
          </cell>
          <cell r="BO1793">
            <v>0</v>
          </cell>
          <cell r="BP1793">
            <v>0</v>
          </cell>
          <cell r="BQ1793">
            <v>0</v>
          </cell>
          <cell r="BR1793">
            <v>79071.95</v>
          </cell>
          <cell r="BT1793">
            <v>0</v>
          </cell>
          <cell r="CA1793" t="str">
            <v>12410I - CONTRACT - Base</v>
          </cell>
          <cell r="CC1793" t="str">
            <v>12410I - CONTRACT - Base - IS4</v>
          </cell>
          <cell r="CD1793" t="str">
            <v/>
          </cell>
          <cell r="CF1793" t="str">
            <v>12410I - Base - IS4</v>
          </cell>
        </row>
        <row r="1794">
          <cell r="D1794">
            <v>1780</v>
          </cell>
          <cell r="E1794">
            <v>2</v>
          </cell>
          <cell r="F1794">
            <v>4</v>
          </cell>
          <cell r="G1794" t="str">
            <v>12410I</v>
          </cell>
          <cell r="H1794" t="str">
            <v>ATO-T Management Support</v>
          </cell>
          <cell r="I1794" t="str">
            <v>IS4</v>
          </cell>
          <cell r="J1794" t="str">
            <v>IS4 Sustainment Engineering and Acquisition</v>
          </cell>
          <cell r="K1794" t="str">
            <v>Other Civilian</v>
          </cell>
          <cell r="L1794" t="str">
            <v>Other</v>
          </cell>
          <cell r="M1794" t="str">
            <v>US_State</v>
          </cell>
          <cell r="N1794" t="str">
            <v>CONUS</v>
          </cell>
          <cell r="O1794">
            <v>0</v>
          </cell>
          <cell r="P1794">
            <v>0</v>
          </cell>
          <cell r="Q1794">
            <v>0</v>
          </cell>
          <cell r="R1794" t="str">
            <v>CPFF</v>
          </cell>
          <cell r="S1794">
            <v>0</v>
          </cell>
          <cell r="T1794">
            <v>1</v>
          </cell>
          <cell r="U1794" t="str">
            <v>CONTRACT</v>
          </cell>
          <cell r="V1794" t="str">
            <v>Identified - Recompete</v>
          </cell>
          <cell r="W1794">
            <v>0</v>
          </cell>
          <cell r="X1794">
            <v>0</v>
          </cell>
          <cell r="Y1794">
            <v>0</v>
          </cell>
          <cell r="Z1794">
            <v>0</v>
          </cell>
          <cell r="AA1794">
            <v>0</v>
          </cell>
          <cell r="AB1794">
            <v>0</v>
          </cell>
          <cell r="AC1794">
            <v>0</v>
          </cell>
          <cell r="AD1794">
            <v>0</v>
          </cell>
          <cell r="AP1794">
            <v>0</v>
          </cell>
          <cell r="AQ1794">
            <v>0</v>
          </cell>
          <cell r="AR1794">
            <v>0</v>
          </cell>
          <cell r="AS1794">
            <v>0</v>
          </cell>
          <cell r="BI1794">
            <v>0</v>
          </cell>
          <cell r="BJ1794">
            <v>0</v>
          </cell>
          <cell r="BK1794">
            <v>0</v>
          </cell>
          <cell r="BL1794">
            <v>0</v>
          </cell>
          <cell r="BM1794">
            <v>0</v>
          </cell>
          <cell r="BN1794">
            <v>0</v>
          </cell>
          <cell r="BO1794">
            <v>0</v>
          </cell>
          <cell r="BP1794">
            <v>0</v>
          </cell>
          <cell r="BQ1794">
            <v>0</v>
          </cell>
          <cell r="BR1794">
            <v>0</v>
          </cell>
          <cell r="BT1794">
            <v>0</v>
          </cell>
          <cell r="CA1794" t="str">
            <v>12410I - CONTRACT - Identified - Recompete</v>
          </cell>
          <cell r="CC1794" t="str">
            <v>12410I - CONTRACT - Identified - Recompete - IS4</v>
          </cell>
          <cell r="CD1794" t="str">
            <v/>
          </cell>
          <cell r="CF1794" t="str">
            <v>12410I - Identified - Recompete - IS4</v>
          </cell>
        </row>
        <row r="1795">
          <cell r="D1795">
            <v>1781</v>
          </cell>
          <cell r="E1795">
            <v>0</v>
          </cell>
          <cell r="F1795">
            <v>5</v>
          </cell>
          <cell r="G1795" t="str">
            <v>12410I</v>
          </cell>
          <cell r="H1795" t="str">
            <v>ATO-T Management Support</v>
          </cell>
          <cell r="I1795" t="str">
            <v>IS4</v>
          </cell>
          <cell r="J1795" t="str">
            <v>IS4 Sustainment Engineering and Acquisition</v>
          </cell>
          <cell r="K1795" t="str">
            <v>Other Civilian</v>
          </cell>
          <cell r="L1795" t="str">
            <v>Other</v>
          </cell>
          <cell r="M1795" t="str">
            <v>US_State</v>
          </cell>
          <cell r="N1795" t="str">
            <v>CONUS</v>
          </cell>
          <cell r="O1795">
            <v>39933</v>
          </cell>
          <cell r="P1795">
            <v>41547</v>
          </cell>
          <cell r="Q1795" t="str">
            <v>Prime</v>
          </cell>
          <cell r="R1795" t="str">
            <v>CPFF</v>
          </cell>
          <cell r="S1795">
            <v>0</v>
          </cell>
          <cell r="T1795">
            <v>1</v>
          </cell>
          <cell r="U1795" t="str">
            <v>EBITA</v>
          </cell>
          <cell r="V1795" t="str">
            <v>Base</v>
          </cell>
          <cell r="W1795" t="str">
            <v>05 Won</v>
          </cell>
          <cell r="X1795" t="str">
            <v>Active</v>
          </cell>
          <cell r="Y1795">
            <v>1</v>
          </cell>
          <cell r="Z1795">
            <v>0</v>
          </cell>
          <cell r="AA1795">
            <v>0</v>
          </cell>
          <cell r="AB1795">
            <v>0</v>
          </cell>
          <cell r="AC1795">
            <v>0</v>
          </cell>
          <cell r="AD1795">
            <v>0</v>
          </cell>
          <cell r="AT1795">
            <v>0</v>
          </cell>
          <cell r="AU1795">
            <v>0</v>
          </cell>
          <cell r="AV1795">
            <v>0</v>
          </cell>
          <cell r="AW1795">
            <v>0</v>
          </cell>
          <cell r="AX1795">
            <v>0</v>
          </cell>
          <cell r="AY1795">
            <v>0</v>
          </cell>
          <cell r="AZ1795">
            <v>0</v>
          </cell>
          <cell r="BA1795">
            <v>0</v>
          </cell>
          <cell r="BF1795">
            <v>0</v>
          </cell>
          <cell r="BG1795">
            <v>0</v>
          </cell>
          <cell r="BH1795">
            <v>0</v>
          </cell>
          <cell r="BI1795">
            <v>0</v>
          </cell>
          <cell r="BJ1795">
            <v>79071.95</v>
          </cell>
          <cell r="BK1795">
            <v>0</v>
          </cell>
          <cell r="BL1795">
            <v>0</v>
          </cell>
          <cell r="BM1795">
            <v>79071.95</v>
          </cell>
          <cell r="BN1795">
            <v>0</v>
          </cell>
          <cell r="BO1795">
            <v>0</v>
          </cell>
          <cell r="BP1795">
            <v>0</v>
          </cell>
          <cell r="BQ1795">
            <v>0</v>
          </cell>
          <cell r="BR1795">
            <v>79071.95</v>
          </cell>
          <cell r="BT1795">
            <v>0</v>
          </cell>
          <cell r="CA1795" t="str">
            <v>12410I - EBITA - Base</v>
          </cell>
          <cell r="CC1795" t="str">
            <v>12410I - EBITA - Base - IS4</v>
          </cell>
          <cell r="CD1795" t="str">
            <v/>
          </cell>
          <cell r="CF1795" t="str">
            <v>12410I - Base - IS4</v>
          </cell>
        </row>
        <row r="1796">
          <cell r="D1796">
            <v>1782</v>
          </cell>
          <cell r="E1796">
            <v>0</v>
          </cell>
          <cell r="F1796">
            <v>0</v>
          </cell>
          <cell r="G1796" t="str">
            <v>12410I</v>
          </cell>
          <cell r="H1796" t="str">
            <v>ATO-T Management Support</v>
          </cell>
          <cell r="I1796" t="str">
            <v>IS4</v>
          </cell>
          <cell r="J1796" t="str">
            <v>IS4 Sustainment Engineering and Acquisition</v>
          </cell>
          <cell r="K1796" t="str">
            <v>Other Civilian</v>
          </cell>
          <cell r="L1796" t="str">
            <v>Other</v>
          </cell>
          <cell r="M1796" t="str">
            <v>US_State</v>
          </cell>
          <cell r="N1796" t="str">
            <v>CONUS</v>
          </cell>
          <cell r="O1796">
            <v>0</v>
          </cell>
          <cell r="P1796">
            <v>0</v>
          </cell>
          <cell r="Q1796">
            <v>0</v>
          </cell>
          <cell r="R1796" t="str">
            <v>CPFF</v>
          </cell>
          <cell r="S1796">
            <v>0</v>
          </cell>
          <cell r="T1796">
            <v>1</v>
          </cell>
          <cell r="U1796" t="str">
            <v>EBITA</v>
          </cell>
          <cell r="V1796" t="str">
            <v>Identified - Recompete</v>
          </cell>
          <cell r="W1796">
            <v>0</v>
          </cell>
          <cell r="X1796">
            <v>0</v>
          </cell>
          <cell r="Y1796">
            <v>0</v>
          </cell>
          <cell r="Z1796">
            <v>0</v>
          </cell>
          <cell r="AA1796">
            <v>0</v>
          </cell>
          <cell r="AB1796">
            <v>0</v>
          </cell>
          <cell r="AC1796">
            <v>0</v>
          </cell>
          <cell r="AD1796">
            <v>0</v>
          </cell>
          <cell r="AX1796">
            <v>0</v>
          </cell>
          <cell r="AY1796">
            <v>0</v>
          </cell>
          <cell r="AZ1796">
            <v>0</v>
          </cell>
          <cell r="BA1796">
            <v>0</v>
          </cell>
          <cell r="BI1796">
            <v>0</v>
          </cell>
          <cell r="BJ1796">
            <v>0</v>
          </cell>
          <cell r="BK1796">
            <v>0</v>
          </cell>
          <cell r="BL1796">
            <v>0</v>
          </cell>
          <cell r="BM1796">
            <v>0</v>
          </cell>
          <cell r="BN1796">
            <v>0</v>
          </cell>
          <cell r="BO1796">
            <v>0</v>
          </cell>
          <cell r="BP1796">
            <v>0</v>
          </cell>
          <cell r="BQ1796">
            <v>0</v>
          </cell>
          <cell r="BR1796">
            <v>0</v>
          </cell>
          <cell r="BT1796">
            <v>0</v>
          </cell>
          <cell r="CA1796" t="str">
            <v>12410I - EBITA - Identified - Recompete</v>
          </cell>
          <cell r="CC1796" t="str">
            <v>12410I - EBITA - Identified - Recompete - IS4</v>
          </cell>
          <cell r="CD1796" t="str">
            <v/>
          </cell>
          <cell r="CF1796" t="str">
            <v>12410I - Identified - Recompete - IS4</v>
          </cell>
        </row>
        <row r="1797">
          <cell r="D1797">
            <v>1783</v>
          </cell>
          <cell r="E1797">
            <v>1</v>
          </cell>
          <cell r="F1797">
            <v>1</v>
          </cell>
          <cell r="G1797" t="str">
            <v>003259</v>
          </cell>
          <cell r="H1797" t="str">
            <v>H30 Missile Sys Integration</v>
          </cell>
          <cell r="I1797" t="str">
            <v>IS4</v>
          </cell>
          <cell r="J1797" t="str">
            <v>IS4 Spectrum &amp; Infrastructure Assurance</v>
          </cell>
          <cell r="K1797" t="str">
            <v>Navy</v>
          </cell>
          <cell r="L1797" t="str">
            <v>DOD</v>
          </cell>
          <cell r="M1797" t="str">
            <v>VA</v>
          </cell>
          <cell r="N1797" t="str">
            <v>CONUS</v>
          </cell>
          <cell r="O1797">
            <v>42783</v>
          </cell>
          <cell r="P1797">
            <v>44610</v>
          </cell>
          <cell r="Q1797" t="str">
            <v>Sub</v>
          </cell>
          <cell r="R1797" t="str">
            <v>CPFF</v>
          </cell>
          <cell r="S1797">
            <v>0</v>
          </cell>
          <cell r="T1797">
            <v>1</v>
          </cell>
          <cell r="U1797" t="str">
            <v>REVTOT</v>
          </cell>
          <cell r="V1797" t="str">
            <v>Base</v>
          </cell>
          <cell r="W1797" t="str">
            <v>05 Won</v>
          </cell>
          <cell r="X1797" t="str">
            <v>Active</v>
          </cell>
          <cell r="Y1797">
            <v>1</v>
          </cell>
          <cell r="Z1797">
            <v>0</v>
          </cell>
          <cell r="AA1797">
            <v>507805.59999999992</v>
          </cell>
          <cell r="AB1797">
            <v>0</v>
          </cell>
          <cell r="AC1797">
            <v>0</v>
          </cell>
          <cell r="AD1797">
            <v>507805.59999999992</v>
          </cell>
          <cell r="AE1797">
            <v>0</v>
          </cell>
          <cell r="AF1797">
            <v>1.3905006215833122</v>
          </cell>
          <cell r="AG1797">
            <v>-0.72631133331990005</v>
          </cell>
          <cell r="AH1797">
            <v>-1</v>
          </cell>
          <cell r="AI1797">
            <v>0</v>
          </cell>
          <cell r="AJ1797">
            <v>0</v>
          </cell>
          <cell r="AK1797">
            <v>0</v>
          </cell>
          <cell r="BB1797">
            <v>0</v>
          </cell>
          <cell r="BC1797">
            <v>0</v>
          </cell>
          <cell r="BD1797">
            <v>0</v>
          </cell>
          <cell r="BE1797">
            <v>0</v>
          </cell>
          <cell r="BF1797">
            <v>0</v>
          </cell>
          <cell r="BG1797">
            <v>89062.88</v>
          </cell>
          <cell r="BH1797">
            <v>212904.86999999997</v>
          </cell>
          <cell r="BI1797">
            <v>45864.14</v>
          </cell>
          <cell r="BJ1797">
            <v>12405.51</v>
          </cell>
          <cell r="BK1797">
            <v>0</v>
          </cell>
          <cell r="BL1797">
            <v>0</v>
          </cell>
          <cell r="BM1797">
            <v>58269.65</v>
          </cell>
          <cell r="BN1797">
            <v>0</v>
          </cell>
          <cell r="BO1797">
            <v>0</v>
          </cell>
          <cell r="BP1797">
            <v>0</v>
          </cell>
          <cell r="BQ1797">
            <v>0</v>
          </cell>
          <cell r="BR1797">
            <v>58269.65</v>
          </cell>
          <cell r="BT1797">
            <v>0</v>
          </cell>
          <cell r="CA1797" t="str">
            <v>003259 - REVTOT - Base</v>
          </cell>
          <cell r="CC1797" t="str">
            <v>003259 - REVTOT - Base - IS4</v>
          </cell>
          <cell r="CD1797" t="str">
            <v/>
          </cell>
          <cell r="CF1797" t="str">
            <v>003259 - Base - IS4</v>
          </cell>
        </row>
        <row r="1798">
          <cell r="D1798">
            <v>1784</v>
          </cell>
          <cell r="E1798">
            <v>1</v>
          </cell>
          <cell r="F1798">
            <v>2</v>
          </cell>
          <cell r="G1798" t="str">
            <v>003259</v>
          </cell>
          <cell r="H1798" t="str">
            <v>H30 Missile Sys Integration</v>
          </cell>
          <cell r="I1798" t="str">
            <v>IS4</v>
          </cell>
          <cell r="J1798" t="str">
            <v>IS4 Spectrum &amp; Infrastructure Assurance</v>
          </cell>
          <cell r="K1798" t="str">
            <v>Navy</v>
          </cell>
          <cell r="L1798" t="str">
            <v>DOD</v>
          </cell>
          <cell r="M1798" t="str">
            <v>VA</v>
          </cell>
          <cell r="N1798" t="str">
            <v>CONUS</v>
          </cell>
          <cell r="O1798">
            <v>0</v>
          </cell>
          <cell r="P1798">
            <v>0</v>
          </cell>
          <cell r="Q1798">
            <v>0</v>
          </cell>
          <cell r="R1798" t="str">
            <v>CPFF</v>
          </cell>
          <cell r="S1798">
            <v>0</v>
          </cell>
          <cell r="T1798">
            <v>1</v>
          </cell>
          <cell r="U1798" t="str">
            <v>REVTOT</v>
          </cell>
          <cell r="V1798" t="str">
            <v>Identified - Recompete</v>
          </cell>
          <cell r="W1798">
            <v>0</v>
          </cell>
          <cell r="X1798">
            <v>0</v>
          </cell>
          <cell r="Y1798">
            <v>0</v>
          </cell>
          <cell r="Z1798">
            <v>0</v>
          </cell>
          <cell r="AA1798">
            <v>0</v>
          </cell>
          <cell r="AB1798">
            <v>0</v>
          </cell>
          <cell r="AC1798">
            <v>0</v>
          </cell>
          <cell r="AD1798">
            <v>0</v>
          </cell>
          <cell r="AI1798">
            <v>0</v>
          </cell>
          <cell r="AJ1798">
            <v>0</v>
          </cell>
          <cell r="AK1798">
            <v>0</v>
          </cell>
          <cell r="BB1798">
            <v>0</v>
          </cell>
          <cell r="BC1798">
            <v>0</v>
          </cell>
          <cell r="BD1798">
            <v>0</v>
          </cell>
          <cell r="BE1798">
            <v>0</v>
          </cell>
          <cell r="BI1798">
            <v>0</v>
          </cell>
          <cell r="BJ1798">
            <v>0</v>
          </cell>
          <cell r="BK1798">
            <v>0</v>
          </cell>
          <cell r="BL1798">
            <v>0</v>
          </cell>
          <cell r="BM1798">
            <v>0</v>
          </cell>
          <cell r="BN1798">
            <v>0</v>
          </cell>
          <cell r="BO1798">
            <v>0</v>
          </cell>
          <cell r="BP1798">
            <v>0</v>
          </cell>
          <cell r="BQ1798">
            <v>0</v>
          </cell>
          <cell r="BR1798">
            <v>0</v>
          </cell>
          <cell r="BT1798">
            <v>0</v>
          </cell>
          <cell r="CA1798" t="str">
            <v>003259 - REVTOT - Identified - Recompete</v>
          </cell>
          <cell r="CC1798" t="str">
            <v>003259 - REVTOT - Identified - Recompete - IS4</v>
          </cell>
          <cell r="CD1798" t="str">
            <v/>
          </cell>
          <cell r="CF1798" t="str">
            <v>003259 - Identified - Recompete - IS4</v>
          </cell>
        </row>
        <row r="1799">
          <cell r="D1799">
            <v>1785</v>
          </cell>
          <cell r="E1799">
            <v>2</v>
          </cell>
          <cell r="F1799">
            <v>3</v>
          </cell>
          <cell r="G1799" t="str">
            <v>003259</v>
          </cell>
          <cell r="H1799" t="str">
            <v>H30 Missile Sys Integration</v>
          </cell>
          <cell r="I1799" t="str">
            <v>IS4</v>
          </cell>
          <cell r="J1799" t="str">
            <v>IS4 Spectrum &amp; Infrastructure Assurance</v>
          </cell>
          <cell r="K1799" t="str">
            <v>Navy</v>
          </cell>
          <cell r="L1799" t="str">
            <v>DOD</v>
          </cell>
          <cell r="M1799" t="str">
            <v>VA</v>
          </cell>
          <cell r="N1799" t="str">
            <v>CONUS</v>
          </cell>
          <cell r="O1799">
            <v>42783</v>
          </cell>
          <cell r="P1799">
            <v>44610</v>
          </cell>
          <cell r="Q1799" t="str">
            <v>Sub</v>
          </cell>
          <cell r="R1799" t="str">
            <v>CPFF</v>
          </cell>
          <cell r="S1799">
            <v>0</v>
          </cell>
          <cell r="T1799">
            <v>1</v>
          </cell>
          <cell r="U1799" t="str">
            <v>CONTRACT</v>
          </cell>
          <cell r="V1799" t="str">
            <v>Base</v>
          </cell>
          <cell r="W1799" t="str">
            <v>05 Won</v>
          </cell>
          <cell r="X1799" t="str">
            <v>Active</v>
          </cell>
          <cell r="Y1799">
            <v>1</v>
          </cell>
          <cell r="Z1799">
            <v>0</v>
          </cell>
          <cell r="AA1799">
            <v>507805.59999999992</v>
          </cell>
          <cell r="AB1799">
            <v>0</v>
          </cell>
          <cell r="AC1799">
            <v>0</v>
          </cell>
          <cell r="AD1799">
            <v>507805.59999999992</v>
          </cell>
          <cell r="AL1799">
            <v>0</v>
          </cell>
          <cell r="AM1799">
            <v>0.20433709307401698</v>
          </cell>
          <cell r="AN1799">
            <v>0.16714591826856762</v>
          </cell>
          <cell r="AO1799">
            <v>0.16425257402438487</v>
          </cell>
          <cell r="AP1799">
            <v>0.17587282719673197</v>
          </cell>
          <cell r="AQ1799">
            <v>0.17587282719673197</v>
          </cell>
          <cell r="AR1799">
            <v>0.17587282719673197</v>
          </cell>
          <cell r="AS1799">
            <v>0.17587282719673197</v>
          </cell>
          <cell r="BF1799">
            <v>0</v>
          </cell>
          <cell r="BG1799">
            <v>18198.850000000006</v>
          </cell>
          <cell r="BH1799">
            <v>35586.180000000008</v>
          </cell>
          <cell r="BI1799">
            <v>7608.4</v>
          </cell>
          <cell r="BJ1799">
            <v>1962.5399999999995</v>
          </cell>
          <cell r="BK1799">
            <v>0</v>
          </cell>
          <cell r="BL1799">
            <v>0</v>
          </cell>
          <cell r="BM1799">
            <v>9570.9399999999987</v>
          </cell>
          <cell r="BN1799">
            <v>0</v>
          </cell>
          <cell r="BO1799">
            <v>0</v>
          </cell>
          <cell r="BP1799">
            <v>0</v>
          </cell>
          <cell r="BQ1799">
            <v>0</v>
          </cell>
          <cell r="BR1799">
            <v>9570.9399999999987</v>
          </cell>
          <cell r="BT1799">
            <v>0</v>
          </cell>
          <cell r="CA1799" t="str">
            <v>003259 - CONTRACT - Base</v>
          </cell>
          <cell r="CC1799" t="str">
            <v>003259 - CONTRACT - Base - IS4</v>
          </cell>
          <cell r="CD1799" t="str">
            <v/>
          </cell>
          <cell r="CF1799" t="str">
            <v>003259 - Base - IS4</v>
          </cell>
        </row>
        <row r="1800">
          <cell r="D1800">
            <v>1786</v>
          </cell>
          <cell r="E1800">
            <v>2</v>
          </cell>
          <cell r="F1800">
            <v>4</v>
          </cell>
          <cell r="G1800" t="str">
            <v>003259</v>
          </cell>
          <cell r="H1800" t="str">
            <v>H30 Missile Sys Integration</v>
          </cell>
          <cell r="I1800" t="str">
            <v>IS4</v>
          </cell>
          <cell r="J1800" t="str">
            <v>IS4 Spectrum &amp; Infrastructure Assurance</v>
          </cell>
          <cell r="K1800" t="str">
            <v>Navy</v>
          </cell>
          <cell r="L1800" t="str">
            <v>DOD</v>
          </cell>
          <cell r="M1800" t="str">
            <v>VA</v>
          </cell>
          <cell r="N1800" t="str">
            <v>CONUS</v>
          </cell>
          <cell r="O1800">
            <v>0</v>
          </cell>
          <cell r="P1800">
            <v>0</v>
          </cell>
          <cell r="Q1800">
            <v>0</v>
          </cell>
          <cell r="R1800" t="str">
            <v>CPFF</v>
          </cell>
          <cell r="S1800">
            <v>0</v>
          </cell>
          <cell r="T1800">
            <v>1</v>
          </cell>
          <cell r="U1800" t="str">
            <v>CONTRACT</v>
          </cell>
          <cell r="V1800" t="str">
            <v>Identified - Recompete</v>
          </cell>
          <cell r="W1800">
            <v>0</v>
          </cell>
          <cell r="X1800">
            <v>0</v>
          </cell>
          <cell r="Y1800">
            <v>0</v>
          </cell>
          <cell r="Z1800">
            <v>0</v>
          </cell>
          <cell r="AA1800">
            <v>0</v>
          </cell>
          <cell r="AB1800">
            <v>0</v>
          </cell>
          <cell r="AC1800">
            <v>0</v>
          </cell>
          <cell r="AD1800">
            <v>0</v>
          </cell>
          <cell r="AP1800">
            <v>0</v>
          </cell>
          <cell r="AQ1800">
            <v>0</v>
          </cell>
          <cell r="AR1800">
            <v>0</v>
          </cell>
          <cell r="AS1800">
            <v>0</v>
          </cell>
          <cell r="BI1800">
            <v>0</v>
          </cell>
          <cell r="BJ1800">
            <v>0</v>
          </cell>
          <cell r="BK1800">
            <v>0</v>
          </cell>
          <cell r="BL1800">
            <v>0</v>
          </cell>
          <cell r="BM1800">
            <v>0</v>
          </cell>
          <cell r="BN1800">
            <v>0</v>
          </cell>
          <cell r="BO1800">
            <v>0</v>
          </cell>
          <cell r="BP1800">
            <v>0</v>
          </cell>
          <cell r="BQ1800">
            <v>0</v>
          </cell>
          <cell r="BR1800">
            <v>0</v>
          </cell>
          <cell r="BT1800">
            <v>0</v>
          </cell>
          <cell r="CA1800" t="str">
            <v>003259 - CONTRACT - Identified - Recompete</v>
          </cell>
          <cell r="CC1800" t="str">
            <v>003259 - CONTRACT - Identified - Recompete - IS4</v>
          </cell>
          <cell r="CD1800" t="str">
            <v/>
          </cell>
          <cell r="CF1800" t="str">
            <v>003259 - Identified - Recompete - IS4</v>
          </cell>
        </row>
        <row r="1801">
          <cell r="D1801">
            <v>1787</v>
          </cell>
          <cell r="E1801">
            <v>0</v>
          </cell>
          <cell r="F1801">
            <v>5</v>
          </cell>
          <cell r="G1801" t="str">
            <v>003259</v>
          </cell>
          <cell r="H1801" t="str">
            <v>H30 Missile Sys Integration</v>
          </cell>
          <cell r="I1801" t="str">
            <v>IS4</v>
          </cell>
          <cell r="J1801" t="str">
            <v>IS4 Spectrum &amp; Infrastructure Assurance</v>
          </cell>
          <cell r="K1801" t="str">
            <v>Navy</v>
          </cell>
          <cell r="L1801" t="str">
            <v>DOD</v>
          </cell>
          <cell r="M1801" t="str">
            <v>VA</v>
          </cell>
          <cell r="N1801" t="str">
            <v>CONUS</v>
          </cell>
          <cell r="O1801">
            <v>42783</v>
          </cell>
          <cell r="P1801">
            <v>44610</v>
          </cell>
          <cell r="Q1801" t="str">
            <v>Sub</v>
          </cell>
          <cell r="R1801" t="str">
            <v>CPFF</v>
          </cell>
          <cell r="S1801">
            <v>0</v>
          </cell>
          <cell r="T1801">
            <v>1</v>
          </cell>
          <cell r="U1801" t="str">
            <v>EBITA</v>
          </cell>
          <cell r="V1801" t="str">
            <v>Base</v>
          </cell>
          <cell r="W1801" t="str">
            <v>05 Won</v>
          </cell>
          <cell r="X1801" t="str">
            <v>Active</v>
          </cell>
          <cell r="Y1801">
            <v>1</v>
          </cell>
          <cell r="Z1801">
            <v>0</v>
          </cell>
          <cell r="AA1801">
            <v>507805.59999999992</v>
          </cell>
          <cell r="AB1801">
            <v>0</v>
          </cell>
          <cell r="AC1801">
            <v>0</v>
          </cell>
          <cell r="AD1801">
            <v>507805.59999999992</v>
          </cell>
          <cell r="AT1801">
            <v>0</v>
          </cell>
          <cell r="AU1801">
            <v>4.5970554736159498E-2</v>
          </cell>
          <cell r="AV1801">
            <v>3.345987341670488E-2</v>
          </cell>
          <cell r="AW1801">
            <v>4.1167400181741247E-2</v>
          </cell>
          <cell r="AX1801">
            <v>3.7799656559813086E-2</v>
          </cell>
          <cell r="AY1801">
            <v>3.7799656559813086E-2</v>
          </cell>
          <cell r="AZ1801">
            <v>3.7799656559813086E-2</v>
          </cell>
          <cell r="BA1801">
            <v>3.7799656559813086E-2</v>
          </cell>
          <cell r="BF1801">
            <v>0</v>
          </cell>
          <cell r="BG1801">
            <v>4094.270000000005</v>
          </cell>
          <cell r="BH1801">
            <v>7123.7700000000077</v>
          </cell>
          <cell r="BI1801">
            <v>1911.4199999999996</v>
          </cell>
          <cell r="BJ1801">
            <v>487.38999999999942</v>
          </cell>
          <cell r="BK1801">
            <v>0</v>
          </cell>
          <cell r="BL1801">
            <v>0</v>
          </cell>
          <cell r="BM1801">
            <v>2398.809999999999</v>
          </cell>
          <cell r="BN1801">
            <v>0</v>
          </cell>
          <cell r="BO1801">
            <v>0</v>
          </cell>
          <cell r="BP1801">
            <v>0</v>
          </cell>
          <cell r="BQ1801">
            <v>0</v>
          </cell>
          <cell r="BR1801">
            <v>2398.809999999999</v>
          </cell>
          <cell r="BT1801">
            <v>0</v>
          </cell>
          <cell r="CA1801" t="str">
            <v>003259 - EBITA - Base</v>
          </cell>
          <cell r="CC1801" t="str">
            <v>003259 - EBITA - Base - IS4</v>
          </cell>
          <cell r="CD1801" t="str">
            <v/>
          </cell>
          <cell r="CF1801" t="str">
            <v>003259 - Base - IS4</v>
          </cell>
        </row>
        <row r="1802">
          <cell r="D1802">
            <v>1788</v>
          </cell>
          <cell r="E1802">
            <v>0</v>
          </cell>
          <cell r="F1802">
            <v>0</v>
          </cell>
          <cell r="G1802" t="str">
            <v>003259</v>
          </cell>
          <cell r="H1802" t="str">
            <v>H30 Missile Sys Integration</v>
          </cell>
          <cell r="I1802" t="str">
            <v>IS4</v>
          </cell>
          <cell r="J1802" t="str">
            <v>IS4 Spectrum &amp; Infrastructure Assurance</v>
          </cell>
          <cell r="K1802" t="str">
            <v>Navy</v>
          </cell>
          <cell r="L1802" t="str">
            <v>DOD</v>
          </cell>
          <cell r="M1802" t="str">
            <v>VA</v>
          </cell>
          <cell r="N1802" t="str">
            <v>CONUS</v>
          </cell>
          <cell r="O1802">
            <v>0</v>
          </cell>
          <cell r="P1802">
            <v>0</v>
          </cell>
          <cell r="Q1802">
            <v>0</v>
          </cell>
          <cell r="R1802" t="str">
            <v>CPFF</v>
          </cell>
          <cell r="S1802">
            <v>0</v>
          </cell>
          <cell r="T1802">
            <v>1</v>
          </cell>
          <cell r="U1802" t="str">
            <v>EBITA</v>
          </cell>
          <cell r="V1802" t="str">
            <v>Identified - Recompete</v>
          </cell>
          <cell r="W1802">
            <v>0</v>
          </cell>
          <cell r="X1802">
            <v>0</v>
          </cell>
          <cell r="Y1802">
            <v>0</v>
          </cell>
          <cell r="Z1802">
            <v>0</v>
          </cell>
          <cell r="AA1802">
            <v>0</v>
          </cell>
          <cell r="AB1802">
            <v>0</v>
          </cell>
          <cell r="AC1802">
            <v>0</v>
          </cell>
          <cell r="AD1802">
            <v>0</v>
          </cell>
          <cell r="AX1802">
            <v>0</v>
          </cell>
          <cell r="AY1802">
            <v>0</v>
          </cell>
          <cell r="AZ1802">
            <v>0</v>
          </cell>
          <cell r="BA1802">
            <v>0</v>
          </cell>
          <cell r="BI1802">
            <v>0</v>
          </cell>
          <cell r="BJ1802">
            <v>0</v>
          </cell>
          <cell r="BK1802">
            <v>0</v>
          </cell>
          <cell r="BL1802">
            <v>0</v>
          </cell>
          <cell r="BM1802">
            <v>0</v>
          </cell>
          <cell r="BN1802">
            <v>0</v>
          </cell>
          <cell r="BO1802">
            <v>0</v>
          </cell>
          <cell r="BP1802">
            <v>0</v>
          </cell>
          <cell r="BQ1802">
            <v>0</v>
          </cell>
          <cell r="BR1802">
            <v>0</v>
          </cell>
          <cell r="BT1802">
            <v>0</v>
          </cell>
          <cell r="CA1802" t="str">
            <v>003259 - EBITA - Identified - Recompete</v>
          </cell>
          <cell r="CC1802" t="str">
            <v>003259 - EBITA - Identified - Recompete - IS4</v>
          </cell>
          <cell r="CD1802" t="str">
            <v/>
          </cell>
          <cell r="CF1802" t="str">
            <v>003259 - Identified - Recompete - IS4</v>
          </cell>
        </row>
        <row r="1803">
          <cell r="D1803">
            <v>1789</v>
          </cell>
          <cell r="E1803">
            <v>1</v>
          </cell>
          <cell r="F1803">
            <v>1</v>
          </cell>
          <cell r="G1803" t="str">
            <v>003092</v>
          </cell>
          <cell r="H1803" t="str">
            <v>HSI Programs</v>
          </cell>
          <cell r="I1803" t="str">
            <v>IS4</v>
          </cell>
          <cell r="J1803" t="str">
            <v>IS4 Spectrum &amp; Infrastructure Assurance</v>
          </cell>
          <cell r="K1803" t="str">
            <v>Navy</v>
          </cell>
          <cell r="L1803" t="str">
            <v>DOD</v>
          </cell>
          <cell r="M1803" t="str">
            <v>VA</v>
          </cell>
          <cell r="N1803" t="str">
            <v>CONUS</v>
          </cell>
          <cell r="O1803">
            <v>42401</v>
          </cell>
          <cell r="P1803">
            <v>43496</v>
          </cell>
          <cell r="Q1803" t="str">
            <v>Sub</v>
          </cell>
          <cell r="R1803" t="str">
            <v>CPFF</v>
          </cell>
          <cell r="S1803">
            <v>0</v>
          </cell>
          <cell r="T1803">
            <v>1</v>
          </cell>
          <cell r="U1803" t="str">
            <v>REVTOT</v>
          </cell>
          <cell r="V1803" t="str">
            <v>Base</v>
          </cell>
          <cell r="W1803" t="str">
            <v>05 Won</v>
          </cell>
          <cell r="X1803" t="str">
            <v>Active</v>
          </cell>
          <cell r="Y1803">
            <v>1</v>
          </cell>
          <cell r="Z1803">
            <v>0</v>
          </cell>
          <cell r="AA1803">
            <v>232084.15000000002</v>
          </cell>
          <cell r="AB1803">
            <v>98004</v>
          </cell>
          <cell r="AC1803">
            <v>0</v>
          </cell>
          <cell r="AD1803">
            <v>330088.15000000002</v>
          </cell>
          <cell r="AE1803">
            <v>-1.0108279063326291</v>
          </cell>
          <cell r="AF1803">
            <v>-404.01877878260041</v>
          </cell>
          <cell r="AG1803">
            <v>-0.65659095018541624</v>
          </cell>
          <cell r="AH1803">
            <v>-1</v>
          </cell>
          <cell r="AI1803">
            <v>0</v>
          </cell>
          <cell r="AJ1803">
            <v>0</v>
          </cell>
          <cell r="AK1803">
            <v>0</v>
          </cell>
          <cell r="BB1803">
            <v>0</v>
          </cell>
          <cell r="BC1803">
            <v>0</v>
          </cell>
          <cell r="BD1803">
            <v>0</v>
          </cell>
          <cell r="BE1803">
            <v>0</v>
          </cell>
          <cell r="BF1803">
            <v>38704.620000000003</v>
          </cell>
          <cell r="BG1803">
            <v>-419.09000000000003</v>
          </cell>
          <cell r="BH1803">
            <v>168901.14</v>
          </cell>
          <cell r="BI1803">
            <v>45315.77</v>
          </cell>
          <cell r="BJ1803">
            <v>12686.41</v>
          </cell>
          <cell r="BK1803">
            <v>0</v>
          </cell>
          <cell r="BL1803">
            <v>0</v>
          </cell>
          <cell r="BM1803">
            <v>58002.179999999993</v>
          </cell>
          <cell r="BN1803">
            <v>0</v>
          </cell>
          <cell r="BO1803">
            <v>0</v>
          </cell>
          <cell r="BP1803">
            <v>0</v>
          </cell>
          <cell r="BQ1803">
            <v>0</v>
          </cell>
          <cell r="BR1803">
            <v>58002.179999999993</v>
          </cell>
          <cell r="BT1803">
            <v>0</v>
          </cell>
          <cell r="CA1803" t="str">
            <v>003092 - REVTOT - Base</v>
          </cell>
          <cell r="CC1803" t="str">
            <v>003092 - REVTOT - Base - IS4</v>
          </cell>
          <cell r="CD1803" t="str">
            <v/>
          </cell>
          <cell r="CF1803" t="str">
            <v>003092 - Base - IS4</v>
          </cell>
        </row>
        <row r="1804">
          <cell r="D1804">
            <v>1790</v>
          </cell>
          <cell r="E1804">
            <v>1</v>
          </cell>
          <cell r="F1804">
            <v>2</v>
          </cell>
          <cell r="G1804" t="str">
            <v>003092</v>
          </cell>
          <cell r="H1804" t="str">
            <v>HSI Programs</v>
          </cell>
          <cell r="I1804" t="str">
            <v>IS4</v>
          </cell>
          <cell r="J1804" t="str">
            <v>IS4 Spectrum &amp; Infrastructure Assurance</v>
          </cell>
          <cell r="K1804" t="str">
            <v>Navy</v>
          </cell>
          <cell r="L1804" t="str">
            <v>DOD</v>
          </cell>
          <cell r="M1804" t="str">
            <v>VA</v>
          </cell>
          <cell r="N1804" t="str">
            <v>CONUS</v>
          </cell>
          <cell r="O1804">
            <v>0</v>
          </cell>
          <cell r="P1804">
            <v>0</v>
          </cell>
          <cell r="Q1804">
            <v>0</v>
          </cell>
          <cell r="R1804" t="str">
            <v>CPFF</v>
          </cell>
          <cell r="S1804">
            <v>0</v>
          </cell>
          <cell r="T1804">
            <v>1</v>
          </cell>
          <cell r="U1804" t="str">
            <v>REVTOT</v>
          </cell>
          <cell r="V1804" t="str">
            <v>Identified - Recompete</v>
          </cell>
          <cell r="W1804">
            <v>0</v>
          </cell>
          <cell r="X1804">
            <v>0</v>
          </cell>
          <cell r="Y1804">
            <v>0</v>
          </cell>
          <cell r="Z1804">
            <v>0</v>
          </cell>
          <cell r="AA1804">
            <v>0</v>
          </cell>
          <cell r="AB1804">
            <v>0</v>
          </cell>
          <cell r="AC1804">
            <v>0</v>
          </cell>
          <cell r="AD1804">
            <v>0</v>
          </cell>
          <cell r="AI1804">
            <v>0</v>
          </cell>
          <cell r="AJ1804">
            <v>0</v>
          </cell>
          <cell r="AK1804">
            <v>0</v>
          </cell>
          <cell r="BB1804">
            <v>0</v>
          </cell>
          <cell r="BC1804">
            <v>0</v>
          </cell>
          <cell r="BD1804">
            <v>0</v>
          </cell>
          <cell r="BE1804">
            <v>0</v>
          </cell>
          <cell r="BI1804">
            <v>0</v>
          </cell>
          <cell r="BJ1804">
            <v>0</v>
          </cell>
          <cell r="BK1804">
            <v>0</v>
          </cell>
          <cell r="BL1804">
            <v>0</v>
          </cell>
          <cell r="BM1804">
            <v>0</v>
          </cell>
          <cell r="BN1804">
            <v>0</v>
          </cell>
          <cell r="BO1804">
            <v>0</v>
          </cell>
          <cell r="BP1804">
            <v>0</v>
          </cell>
          <cell r="BQ1804">
            <v>0</v>
          </cell>
          <cell r="BR1804">
            <v>0</v>
          </cell>
          <cell r="BT1804">
            <v>0</v>
          </cell>
          <cell r="CA1804" t="str">
            <v>003092 - REVTOT - Identified - Recompete</v>
          </cell>
          <cell r="CC1804" t="str">
            <v>003092 - REVTOT - Identified - Recompete - IS4</v>
          </cell>
          <cell r="CD1804" t="str">
            <v/>
          </cell>
          <cell r="CF1804" t="str">
            <v>003092 - Identified - Recompete - IS4</v>
          </cell>
        </row>
        <row r="1805">
          <cell r="D1805">
            <v>1791</v>
          </cell>
          <cell r="E1805">
            <v>2</v>
          </cell>
          <cell r="F1805">
            <v>3</v>
          </cell>
          <cell r="G1805" t="str">
            <v>003092</v>
          </cell>
          <cell r="H1805" t="str">
            <v>HSI Programs</v>
          </cell>
          <cell r="I1805" t="str">
            <v>IS4</v>
          </cell>
          <cell r="J1805" t="str">
            <v>IS4 Spectrum &amp; Infrastructure Assurance</v>
          </cell>
          <cell r="K1805" t="str">
            <v>Navy</v>
          </cell>
          <cell r="L1805" t="str">
            <v>DOD</v>
          </cell>
          <cell r="M1805" t="str">
            <v>VA</v>
          </cell>
          <cell r="N1805" t="str">
            <v>CONUS</v>
          </cell>
          <cell r="O1805">
            <v>42401</v>
          </cell>
          <cell r="P1805">
            <v>43496</v>
          </cell>
          <cell r="Q1805" t="str">
            <v>Sub</v>
          </cell>
          <cell r="R1805" t="str">
            <v>CPFF</v>
          </cell>
          <cell r="S1805">
            <v>0</v>
          </cell>
          <cell r="T1805">
            <v>1</v>
          </cell>
          <cell r="U1805" t="str">
            <v>CONTRACT</v>
          </cell>
          <cell r="V1805" t="str">
            <v>Base</v>
          </cell>
          <cell r="W1805" t="str">
            <v>05 Won</v>
          </cell>
          <cell r="X1805" t="str">
            <v>Active</v>
          </cell>
          <cell r="Y1805">
            <v>1</v>
          </cell>
          <cell r="Z1805">
            <v>0</v>
          </cell>
          <cell r="AA1805">
            <v>232084.15000000002</v>
          </cell>
          <cell r="AB1805">
            <v>98004</v>
          </cell>
          <cell r="AC1805">
            <v>0</v>
          </cell>
          <cell r="AD1805">
            <v>330088.15000000002</v>
          </cell>
          <cell r="AL1805">
            <v>0.16910797729056634</v>
          </cell>
          <cell r="AM1805">
            <v>1.0621823474671312</v>
          </cell>
          <cell r="AN1805">
            <v>0.18448786076873133</v>
          </cell>
          <cell r="AO1805">
            <v>0.17087926695169045</v>
          </cell>
          <cell r="AP1805">
            <v>0.1778796129626114</v>
          </cell>
          <cell r="AQ1805">
            <v>0.1778796129626114</v>
          </cell>
          <cell r="AR1805">
            <v>0.1778796129626114</v>
          </cell>
          <cell r="AS1805">
            <v>0.1778796129626114</v>
          </cell>
          <cell r="BF1805">
            <v>6545.26</v>
          </cell>
          <cell r="BG1805">
            <v>-445.15000000000003</v>
          </cell>
          <cell r="BH1805">
            <v>31160.210000000003</v>
          </cell>
          <cell r="BI1805">
            <v>7924.3499999999985</v>
          </cell>
          <cell r="BJ1805">
            <v>1987.0200000000004</v>
          </cell>
          <cell r="BK1805">
            <v>0</v>
          </cell>
          <cell r="BL1805">
            <v>0</v>
          </cell>
          <cell r="BM1805">
            <v>9911.369999999999</v>
          </cell>
          <cell r="BN1805">
            <v>0</v>
          </cell>
          <cell r="BO1805">
            <v>0</v>
          </cell>
          <cell r="BP1805">
            <v>0</v>
          </cell>
          <cell r="BQ1805">
            <v>0</v>
          </cell>
          <cell r="BR1805">
            <v>9911.369999999999</v>
          </cell>
          <cell r="BT1805">
            <v>0</v>
          </cell>
          <cell r="CA1805" t="str">
            <v>003092 - CONTRACT - Base</v>
          </cell>
          <cell r="CC1805" t="str">
            <v>003092 - CONTRACT - Base - IS4</v>
          </cell>
          <cell r="CD1805" t="str">
            <v/>
          </cell>
          <cell r="CF1805" t="str">
            <v>003092 - Base - IS4</v>
          </cell>
        </row>
        <row r="1806">
          <cell r="D1806">
            <v>1792</v>
          </cell>
          <cell r="E1806">
            <v>2</v>
          </cell>
          <cell r="F1806">
            <v>4</v>
          </cell>
          <cell r="G1806" t="str">
            <v>003092</v>
          </cell>
          <cell r="H1806" t="str">
            <v>HSI Programs</v>
          </cell>
          <cell r="I1806" t="str">
            <v>IS4</v>
          </cell>
          <cell r="J1806" t="str">
            <v>IS4 Spectrum &amp; Infrastructure Assurance</v>
          </cell>
          <cell r="K1806" t="str">
            <v>Navy</v>
          </cell>
          <cell r="L1806" t="str">
            <v>DOD</v>
          </cell>
          <cell r="M1806" t="str">
            <v>VA</v>
          </cell>
          <cell r="N1806" t="str">
            <v>CONUS</v>
          </cell>
          <cell r="O1806">
            <v>0</v>
          </cell>
          <cell r="P1806">
            <v>0</v>
          </cell>
          <cell r="Q1806">
            <v>0</v>
          </cell>
          <cell r="R1806" t="str">
            <v>CPFF</v>
          </cell>
          <cell r="S1806">
            <v>0</v>
          </cell>
          <cell r="T1806">
            <v>1</v>
          </cell>
          <cell r="U1806" t="str">
            <v>CONTRACT</v>
          </cell>
          <cell r="V1806" t="str">
            <v>Identified - Recompete</v>
          </cell>
          <cell r="W1806">
            <v>0</v>
          </cell>
          <cell r="X1806">
            <v>0</v>
          </cell>
          <cell r="Y1806">
            <v>0</v>
          </cell>
          <cell r="Z1806">
            <v>0</v>
          </cell>
          <cell r="AA1806">
            <v>0</v>
          </cell>
          <cell r="AB1806">
            <v>0</v>
          </cell>
          <cell r="AC1806">
            <v>0</v>
          </cell>
          <cell r="AD1806">
            <v>0</v>
          </cell>
          <cell r="AP1806">
            <v>0</v>
          </cell>
          <cell r="AQ1806">
            <v>0</v>
          </cell>
          <cell r="AR1806">
            <v>0</v>
          </cell>
          <cell r="AS1806">
            <v>0</v>
          </cell>
          <cell r="BI1806">
            <v>0</v>
          </cell>
          <cell r="BJ1806">
            <v>0</v>
          </cell>
          <cell r="BK1806">
            <v>0</v>
          </cell>
          <cell r="BL1806">
            <v>0</v>
          </cell>
          <cell r="BM1806">
            <v>0</v>
          </cell>
          <cell r="BN1806">
            <v>0</v>
          </cell>
          <cell r="BO1806">
            <v>0</v>
          </cell>
          <cell r="BP1806">
            <v>0</v>
          </cell>
          <cell r="BQ1806">
            <v>0</v>
          </cell>
          <cell r="BR1806">
            <v>0</v>
          </cell>
          <cell r="BT1806">
            <v>0</v>
          </cell>
          <cell r="CA1806" t="str">
            <v>003092 - CONTRACT - Identified - Recompete</v>
          </cell>
          <cell r="CC1806" t="str">
            <v>003092 - CONTRACT - Identified - Recompete - IS4</v>
          </cell>
          <cell r="CD1806" t="str">
            <v/>
          </cell>
          <cell r="CF1806" t="str">
            <v>003092 - Identified - Recompete - IS4</v>
          </cell>
        </row>
        <row r="1807">
          <cell r="D1807">
            <v>1793</v>
          </cell>
          <cell r="E1807">
            <v>0</v>
          </cell>
          <cell r="F1807">
            <v>5</v>
          </cell>
          <cell r="G1807" t="str">
            <v>003092</v>
          </cell>
          <cell r="H1807" t="str">
            <v>HSI Programs</v>
          </cell>
          <cell r="I1807" t="str">
            <v>IS4</v>
          </cell>
          <cell r="J1807" t="str">
            <v>IS4 Spectrum &amp; Infrastructure Assurance</v>
          </cell>
          <cell r="K1807" t="str">
            <v>Navy</v>
          </cell>
          <cell r="L1807" t="str">
            <v>DOD</v>
          </cell>
          <cell r="M1807" t="str">
            <v>VA</v>
          </cell>
          <cell r="N1807" t="str">
            <v>CONUS</v>
          </cell>
          <cell r="O1807">
            <v>42401</v>
          </cell>
          <cell r="P1807">
            <v>43496</v>
          </cell>
          <cell r="Q1807" t="str">
            <v>Sub</v>
          </cell>
          <cell r="R1807" t="str">
            <v>CPFF</v>
          </cell>
          <cell r="S1807">
            <v>0</v>
          </cell>
          <cell r="T1807">
            <v>1</v>
          </cell>
          <cell r="U1807" t="str">
            <v>EBITA</v>
          </cell>
          <cell r="V1807" t="str">
            <v>Base</v>
          </cell>
          <cell r="W1807" t="str">
            <v>05 Won</v>
          </cell>
          <cell r="X1807" t="str">
            <v>Active</v>
          </cell>
          <cell r="Y1807">
            <v>1</v>
          </cell>
          <cell r="Z1807">
            <v>0</v>
          </cell>
          <cell r="AA1807">
            <v>232084.15000000002</v>
          </cell>
          <cell r="AB1807">
            <v>98004</v>
          </cell>
          <cell r="AC1807">
            <v>0</v>
          </cell>
          <cell r="AD1807">
            <v>330088.15000000002</v>
          </cell>
          <cell r="AT1807">
            <v>-1.0057972407428369E-2</v>
          </cell>
          <cell r="AU1807">
            <v>1.071392779593882</v>
          </cell>
          <cell r="AV1807">
            <v>2.4074615482169066E-2</v>
          </cell>
          <cell r="AW1807">
            <v>2.1852626918505312E-3</v>
          </cell>
          <cell r="AX1807">
            <v>1.2650154785919561E-2</v>
          </cell>
          <cell r="AY1807">
            <v>1.2650154785919561E-2</v>
          </cell>
          <cell r="AZ1807">
            <v>1.2650154785919561E-2</v>
          </cell>
          <cell r="BA1807">
            <v>1.2650154785919561E-2</v>
          </cell>
          <cell r="BF1807">
            <v>-389.29000000000019</v>
          </cell>
          <cell r="BG1807">
            <v>-449.01000000000005</v>
          </cell>
          <cell r="BH1807">
            <v>4066.2300000000055</v>
          </cell>
          <cell r="BI1807">
            <v>185.0699999999988</v>
          </cell>
          <cell r="BJ1807">
            <v>-58.319999999999766</v>
          </cell>
          <cell r="BK1807">
            <v>0</v>
          </cell>
          <cell r="BL1807">
            <v>0</v>
          </cell>
          <cell r="BM1807">
            <v>126.74999999999903</v>
          </cell>
          <cell r="BN1807">
            <v>0</v>
          </cell>
          <cell r="BO1807">
            <v>0</v>
          </cell>
          <cell r="BP1807">
            <v>0</v>
          </cell>
          <cell r="BQ1807">
            <v>0</v>
          </cell>
          <cell r="BR1807">
            <v>126.74999999999903</v>
          </cell>
          <cell r="BT1807">
            <v>0</v>
          </cell>
          <cell r="CA1807" t="str">
            <v>003092 - EBITA - Base</v>
          </cell>
          <cell r="CC1807" t="str">
            <v>003092 - EBITA - Base - IS4</v>
          </cell>
          <cell r="CD1807" t="str">
            <v/>
          </cell>
          <cell r="CF1807" t="str">
            <v>003092 - Base - IS4</v>
          </cell>
        </row>
        <row r="1808">
          <cell r="D1808">
            <v>1794</v>
          </cell>
          <cell r="E1808">
            <v>0</v>
          </cell>
          <cell r="F1808">
            <v>0</v>
          </cell>
          <cell r="G1808" t="str">
            <v>003092</v>
          </cell>
          <cell r="H1808" t="str">
            <v>HSI Programs</v>
          </cell>
          <cell r="I1808" t="str">
            <v>IS4</v>
          </cell>
          <cell r="J1808" t="str">
            <v>IS4 Spectrum &amp; Infrastructure Assurance</v>
          </cell>
          <cell r="K1808" t="str">
            <v>Navy</v>
          </cell>
          <cell r="L1808" t="str">
            <v>DOD</v>
          </cell>
          <cell r="M1808" t="str">
            <v>VA</v>
          </cell>
          <cell r="N1808" t="str">
            <v>CONUS</v>
          </cell>
          <cell r="O1808">
            <v>0</v>
          </cell>
          <cell r="P1808">
            <v>0</v>
          </cell>
          <cell r="Q1808">
            <v>0</v>
          </cell>
          <cell r="R1808" t="str">
            <v>CPFF</v>
          </cell>
          <cell r="S1808">
            <v>0</v>
          </cell>
          <cell r="T1808">
            <v>1</v>
          </cell>
          <cell r="U1808" t="str">
            <v>EBITA</v>
          </cell>
          <cell r="V1808" t="str">
            <v>Identified - Recompete</v>
          </cell>
          <cell r="W1808">
            <v>0</v>
          </cell>
          <cell r="X1808">
            <v>0</v>
          </cell>
          <cell r="Y1808">
            <v>0</v>
          </cell>
          <cell r="Z1808">
            <v>0</v>
          </cell>
          <cell r="AA1808">
            <v>0</v>
          </cell>
          <cell r="AB1808">
            <v>0</v>
          </cell>
          <cell r="AC1808">
            <v>0</v>
          </cell>
          <cell r="AD1808">
            <v>0</v>
          </cell>
          <cell r="AX1808">
            <v>0</v>
          </cell>
          <cell r="AY1808">
            <v>0</v>
          </cell>
          <cell r="AZ1808">
            <v>0</v>
          </cell>
          <cell r="BA1808">
            <v>0</v>
          </cell>
          <cell r="BI1808">
            <v>0</v>
          </cell>
          <cell r="BJ1808">
            <v>0</v>
          </cell>
          <cell r="BK1808">
            <v>0</v>
          </cell>
          <cell r="BL1808">
            <v>0</v>
          </cell>
          <cell r="BM1808">
            <v>0</v>
          </cell>
          <cell r="BN1808">
            <v>0</v>
          </cell>
          <cell r="BO1808">
            <v>0</v>
          </cell>
          <cell r="BP1808">
            <v>0</v>
          </cell>
          <cell r="BQ1808">
            <v>0</v>
          </cell>
          <cell r="BR1808">
            <v>0</v>
          </cell>
          <cell r="BT1808">
            <v>0</v>
          </cell>
          <cell r="CA1808" t="str">
            <v>003092 - EBITA - Identified - Recompete</v>
          </cell>
          <cell r="CC1808" t="str">
            <v>003092 - EBITA - Identified - Recompete - IS4</v>
          </cell>
          <cell r="CD1808" t="str">
            <v/>
          </cell>
          <cell r="CF1808" t="str">
            <v>003092 - Identified - Recompete - IS4</v>
          </cell>
        </row>
        <row r="1809">
          <cell r="D1809">
            <v>1795</v>
          </cell>
          <cell r="E1809">
            <v>1</v>
          </cell>
          <cell r="F1809">
            <v>1</v>
          </cell>
          <cell r="G1809" t="str">
            <v>DCIPXX</v>
          </cell>
          <cell r="H1809" t="str">
            <v>DCIP</v>
          </cell>
          <cell r="I1809" t="str">
            <v>IS4</v>
          </cell>
          <cell r="J1809" t="str">
            <v>IS4 Spectrum &amp; Infrastructure Assurance</v>
          </cell>
          <cell r="K1809" t="str">
            <v>Navy</v>
          </cell>
          <cell r="L1809" t="str">
            <v>DOD</v>
          </cell>
          <cell r="M1809" t="str">
            <v>VA</v>
          </cell>
          <cell r="N1809" t="str">
            <v>CONUS</v>
          </cell>
          <cell r="O1809">
            <v>42639</v>
          </cell>
          <cell r="P1809">
            <v>44439</v>
          </cell>
          <cell r="Q1809" t="str">
            <v>Sub</v>
          </cell>
          <cell r="R1809" t="str">
            <v>CPFF</v>
          </cell>
          <cell r="S1809">
            <v>0</v>
          </cell>
          <cell r="T1809">
            <v>1</v>
          </cell>
          <cell r="U1809" t="str">
            <v>REVTOT</v>
          </cell>
          <cell r="V1809" t="str">
            <v>Base</v>
          </cell>
          <cell r="W1809" t="str">
            <v>05 Won</v>
          </cell>
          <cell r="X1809" t="str">
            <v>Active</v>
          </cell>
          <cell r="Y1809">
            <v>1</v>
          </cell>
          <cell r="Z1809">
            <v>0</v>
          </cell>
          <cell r="AA1809">
            <v>904498.25999999989</v>
          </cell>
          <cell r="AB1809">
            <v>4770675</v>
          </cell>
          <cell r="AC1809">
            <v>0</v>
          </cell>
          <cell r="AD1809">
            <v>5675173.2599999998</v>
          </cell>
          <cell r="AE1809">
            <v>0</v>
          </cell>
          <cell r="AF1809">
            <v>0.73927249607642476</v>
          </cell>
          <cell r="AG1809">
            <v>-0.44289259022629013</v>
          </cell>
          <cell r="AH1809">
            <v>-1</v>
          </cell>
          <cell r="AI1809">
            <v>0</v>
          </cell>
          <cell r="AJ1809">
            <v>0</v>
          </cell>
          <cell r="AK1809">
            <v>0</v>
          </cell>
          <cell r="BB1809">
            <v>0</v>
          </cell>
          <cell r="BC1809">
            <v>0</v>
          </cell>
          <cell r="BD1809">
            <v>0</v>
          </cell>
          <cell r="BE1809">
            <v>0</v>
          </cell>
          <cell r="BF1809">
            <v>0</v>
          </cell>
          <cell r="BG1809">
            <v>60365.86</v>
          </cell>
          <cell r="BH1809">
            <v>104992.68000000001</v>
          </cell>
          <cell r="BI1809">
            <v>3654.95</v>
          </cell>
          <cell r="BJ1809">
            <v>46086.58</v>
          </cell>
          <cell r="BK1809">
            <v>8750.67</v>
          </cell>
          <cell r="BL1809">
            <v>0</v>
          </cell>
          <cell r="BM1809">
            <v>58492.2</v>
          </cell>
          <cell r="BN1809">
            <v>0</v>
          </cell>
          <cell r="BO1809">
            <v>0</v>
          </cell>
          <cell r="BP1809">
            <v>0</v>
          </cell>
          <cell r="BQ1809">
            <v>0</v>
          </cell>
          <cell r="BR1809">
            <v>58492.2</v>
          </cell>
          <cell r="BT1809">
            <v>0</v>
          </cell>
          <cell r="CA1809" t="str">
            <v>DCIPXX - REVTOT - Base</v>
          </cell>
          <cell r="CC1809" t="str">
            <v>DCIPXX - REVTOT - Base - IS4</v>
          </cell>
          <cell r="CD1809" t="str">
            <v/>
          </cell>
          <cell r="CF1809" t="str">
            <v>DCIPXX - Base - IS4</v>
          </cell>
        </row>
        <row r="1810">
          <cell r="D1810">
            <v>1796</v>
          </cell>
          <cell r="E1810">
            <v>1</v>
          </cell>
          <cell r="F1810">
            <v>2</v>
          </cell>
          <cell r="G1810" t="str">
            <v>DCIPXX</v>
          </cell>
          <cell r="H1810" t="str">
            <v>DCIP</v>
          </cell>
          <cell r="I1810" t="str">
            <v>IS4</v>
          </cell>
          <cell r="J1810" t="str">
            <v>IS4 Spectrum &amp; Infrastructure Assurance</v>
          </cell>
          <cell r="K1810" t="str">
            <v>Navy</v>
          </cell>
          <cell r="L1810" t="str">
            <v>DOD</v>
          </cell>
          <cell r="M1810" t="str">
            <v>VA</v>
          </cell>
          <cell r="N1810" t="str">
            <v>CONUS</v>
          </cell>
          <cell r="O1810">
            <v>0</v>
          </cell>
          <cell r="P1810">
            <v>0</v>
          </cell>
          <cell r="Q1810">
            <v>0</v>
          </cell>
          <cell r="R1810" t="str">
            <v>CPFF</v>
          </cell>
          <cell r="S1810">
            <v>0</v>
          </cell>
          <cell r="T1810">
            <v>1</v>
          </cell>
          <cell r="U1810" t="str">
            <v>REVTOT</v>
          </cell>
          <cell r="V1810" t="str">
            <v>Identified - Recompete</v>
          </cell>
          <cell r="W1810">
            <v>0</v>
          </cell>
          <cell r="X1810">
            <v>0</v>
          </cell>
          <cell r="Y1810">
            <v>0</v>
          </cell>
          <cell r="Z1810">
            <v>0</v>
          </cell>
          <cell r="AA1810">
            <v>0</v>
          </cell>
          <cell r="AB1810">
            <v>0</v>
          </cell>
          <cell r="AC1810">
            <v>0</v>
          </cell>
          <cell r="AD1810">
            <v>0</v>
          </cell>
          <cell r="AI1810">
            <v>0</v>
          </cell>
          <cell r="AJ1810">
            <v>0</v>
          </cell>
          <cell r="AK1810">
            <v>0</v>
          </cell>
          <cell r="BB1810">
            <v>0</v>
          </cell>
          <cell r="BC1810">
            <v>0</v>
          </cell>
          <cell r="BD1810">
            <v>0</v>
          </cell>
          <cell r="BE1810">
            <v>0</v>
          </cell>
          <cell r="BI1810">
            <v>0</v>
          </cell>
          <cell r="BJ1810">
            <v>0</v>
          </cell>
          <cell r="BK1810">
            <v>0</v>
          </cell>
          <cell r="BL1810">
            <v>0</v>
          </cell>
          <cell r="BM1810">
            <v>0</v>
          </cell>
          <cell r="BN1810">
            <v>0</v>
          </cell>
          <cell r="BO1810">
            <v>0</v>
          </cell>
          <cell r="BP1810">
            <v>0</v>
          </cell>
          <cell r="BQ1810">
            <v>0</v>
          </cell>
          <cell r="BR1810">
            <v>0</v>
          </cell>
          <cell r="BT1810">
            <v>0</v>
          </cell>
          <cell r="CA1810" t="str">
            <v>DCIPXX - REVTOT - Identified - Recompete</v>
          </cell>
          <cell r="CC1810" t="str">
            <v>DCIPXX - REVTOT - Identified - Recompete - IS4</v>
          </cell>
          <cell r="CD1810" t="str">
            <v/>
          </cell>
          <cell r="CF1810" t="str">
            <v>DCIPXX - Identified - Recompete - IS4</v>
          </cell>
        </row>
        <row r="1811">
          <cell r="D1811">
            <v>1797</v>
          </cell>
          <cell r="E1811">
            <v>2</v>
          </cell>
          <cell r="F1811">
            <v>3</v>
          </cell>
          <cell r="G1811" t="str">
            <v>DCIPXX</v>
          </cell>
          <cell r="H1811" t="str">
            <v>DCIP</v>
          </cell>
          <cell r="I1811" t="str">
            <v>IS4</v>
          </cell>
          <cell r="J1811" t="str">
            <v>IS4 Spectrum &amp; Infrastructure Assurance</v>
          </cell>
          <cell r="K1811" t="str">
            <v>Navy</v>
          </cell>
          <cell r="L1811" t="str">
            <v>DOD</v>
          </cell>
          <cell r="M1811" t="str">
            <v>VA</v>
          </cell>
          <cell r="N1811" t="str">
            <v>CONUS</v>
          </cell>
          <cell r="O1811">
            <v>42639</v>
          </cell>
          <cell r="P1811">
            <v>44439</v>
          </cell>
          <cell r="Q1811" t="str">
            <v>Sub</v>
          </cell>
          <cell r="R1811" t="str">
            <v>CPFF</v>
          </cell>
          <cell r="S1811">
            <v>0</v>
          </cell>
          <cell r="T1811">
            <v>1</v>
          </cell>
          <cell r="U1811" t="str">
            <v>CONTRACT</v>
          </cell>
          <cell r="V1811" t="str">
            <v>Base</v>
          </cell>
          <cell r="W1811" t="str">
            <v>05 Won</v>
          </cell>
          <cell r="X1811" t="str">
            <v>Active</v>
          </cell>
          <cell r="Y1811">
            <v>1</v>
          </cell>
          <cell r="Z1811">
            <v>0</v>
          </cell>
          <cell r="AA1811">
            <v>904498.25999999989</v>
          </cell>
          <cell r="AB1811">
            <v>4770675</v>
          </cell>
          <cell r="AC1811">
            <v>0</v>
          </cell>
          <cell r="AD1811">
            <v>5675173.2599999998</v>
          </cell>
          <cell r="AL1811">
            <v>0</v>
          </cell>
          <cell r="AM1811">
            <v>-0.21376138764526836</v>
          </cell>
          <cell r="AN1811">
            <v>-3.4862906633110043E-2</v>
          </cell>
          <cell r="AO1811">
            <v>5.0899094238206453E-3</v>
          </cell>
          <cell r="AP1811">
            <v>-7.2666813609818748E-2</v>
          </cell>
          <cell r="AQ1811">
            <v>-7.2666813609818748E-2</v>
          </cell>
          <cell r="AR1811">
            <v>-7.2666813609818748E-2</v>
          </cell>
          <cell r="AS1811">
            <v>-7.2666813609818748E-2</v>
          </cell>
          <cell r="BF1811">
            <v>0</v>
          </cell>
          <cell r="BG1811">
            <v>-12903.89</v>
          </cell>
          <cell r="BH1811">
            <v>-3660.3500000000004</v>
          </cell>
          <cell r="BI1811">
            <v>-69.349999999999824</v>
          </cell>
          <cell r="BJ1811">
            <v>722.52000000000135</v>
          </cell>
          <cell r="BK1811">
            <v>-355.44999999999959</v>
          </cell>
          <cell r="BL1811">
            <v>0</v>
          </cell>
          <cell r="BM1811">
            <v>297.72000000000196</v>
          </cell>
          <cell r="BN1811">
            <v>0</v>
          </cell>
          <cell r="BO1811">
            <v>0</v>
          </cell>
          <cell r="BP1811">
            <v>0</v>
          </cell>
          <cell r="BQ1811">
            <v>0</v>
          </cell>
          <cell r="BR1811">
            <v>297.72000000000196</v>
          </cell>
          <cell r="BT1811">
            <v>0</v>
          </cell>
          <cell r="CA1811" t="str">
            <v>DCIPXX - CONTRACT - Base</v>
          </cell>
          <cell r="CC1811" t="str">
            <v>DCIPXX - CONTRACT - Base - IS4</v>
          </cell>
          <cell r="CD1811" t="str">
            <v/>
          </cell>
          <cell r="CF1811" t="str">
            <v>DCIPXX - Base - IS4</v>
          </cell>
        </row>
        <row r="1812">
          <cell r="D1812">
            <v>1798</v>
          </cell>
          <cell r="E1812">
            <v>2</v>
          </cell>
          <cell r="F1812">
            <v>4</v>
          </cell>
          <cell r="G1812" t="str">
            <v>DCIPXX</v>
          </cell>
          <cell r="H1812" t="str">
            <v>DCIP</v>
          </cell>
          <cell r="I1812" t="str">
            <v>IS4</v>
          </cell>
          <cell r="J1812" t="str">
            <v>IS4 Spectrum &amp; Infrastructure Assurance</v>
          </cell>
          <cell r="K1812" t="str">
            <v>Navy</v>
          </cell>
          <cell r="L1812" t="str">
            <v>DOD</v>
          </cell>
          <cell r="M1812" t="str">
            <v>VA</v>
          </cell>
          <cell r="N1812" t="str">
            <v>CONUS</v>
          </cell>
          <cell r="O1812">
            <v>0</v>
          </cell>
          <cell r="P1812">
            <v>0</v>
          </cell>
          <cell r="Q1812">
            <v>0</v>
          </cell>
          <cell r="R1812" t="str">
            <v>CPFF</v>
          </cell>
          <cell r="S1812">
            <v>0</v>
          </cell>
          <cell r="T1812">
            <v>1</v>
          </cell>
          <cell r="U1812" t="str">
            <v>CONTRACT</v>
          </cell>
          <cell r="V1812" t="str">
            <v>Identified - Recompete</v>
          </cell>
          <cell r="W1812">
            <v>0</v>
          </cell>
          <cell r="X1812">
            <v>0</v>
          </cell>
          <cell r="Y1812">
            <v>0</v>
          </cell>
          <cell r="Z1812">
            <v>0</v>
          </cell>
          <cell r="AA1812">
            <v>0</v>
          </cell>
          <cell r="AB1812">
            <v>0</v>
          </cell>
          <cell r="AC1812">
            <v>0</v>
          </cell>
          <cell r="AD1812">
            <v>0</v>
          </cell>
          <cell r="AP1812">
            <v>0</v>
          </cell>
          <cell r="AQ1812">
            <v>0</v>
          </cell>
          <cell r="AR1812">
            <v>0</v>
          </cell>
          <cell r="AS1812">
            <v>0</v>
          </cell>
          <cell r="BI1812">
            <v>0</v>
          </cell>
          <cell r="BJ1812">
            <v>0</v>
          </cell>
          <cell r="BK1812">
            <v>0</v>
          </cell>
          <cell r="BL1812">
            <v>0</v>
          </cell>
          <cell r="BM1812">
            <v>0</v>
          </cell>
          <cell r="BN1812">
            <v>0</v>
          </cell>
          <cell r="BO1812">
            <v>0</v>
          </cell>
          <cell r="BP1812">
            <v>0</v>
          </cell>
          <cell r="BQ1812">
            <v>0</v>
          </cell>
          <cell r="BR1812">
            <v>0</v>
          </cell>
          <cell r="BT1812">
            <v>0</v>
          </cell>
          <cell r="CA1812" t="str">
            <v>DCIPXX - CONTRACT - Identified - Recompete</v>
          </cell>
          <cell r="CC1812" t="str">
            <v>DCIPXX - CONTRACT - Identified - Recompete - IS4</v>
          </cell>
          <cell r="CD1812" t="str">
            <v/>
          </cell>
          <cell r="CF1812" t="str">
            <v>DCIPXX - Identified - Recompete - IS4</v>
          </cell>
        </row>
        <row r="1813">
          <cell r="D1813">
            <v>1799</v>
          </cell>
          <cell r="E1813">
            <v>0</v>
          </cell>
          <cell r="F1813">
            <v>5</v>
          </cell>
          <cell r="G1813" t="str">
            <v>DCIPXX</v>
          </cell>
          <cell r="H1813" t="str">
            <v>DCIP</v>
          </cell>
          <cell r="I1813" t="str">
            <v>IS4</v>
          </cell>
          <cell r="J1813" t="str">
            <v>IS4 Spectrum &amp; Infrastructure Assurance</v>
          </cell>
          <cell r="K1813" t="str">
            <v>Navy</v>
          </cell>
          <cell r="L1813" t="str">
            <v>DOD</v>
          </cell>
          <cell r="M1813" t="str">
            <v>VA</v>
          </cell>
          <cell r="N1813" t="str">
            <v>CONUS</v>
          </cell>
          <cell r="O1813">
            <v>42639</v>
          </cell>
          <cell r="P1813">
            <v>44439</v>
          </cell>
          <cell r="Q1813" t="str">
            <v>Sub</v>
          </cell>
          <cell r="R1813" t="str">
            <v>CPFF</v>
          </cell>
          <cell r="S1813">
            <v>0</v>
          </cell>
          <cell r="T1813">
            <v>1</v>
          </cell>
          <cell r="U1813" t="str">
            <v>EBITA</v>
          </cell>
          <cell r="V1813" t="str">
            <v>Base</v>
          </cell>
          <cell r="W1813" t="str">
            <v>05 Won</v>
          </cell>
          <cell r="X1813" t="str">
            <v>Active</v>
          </cell>
          <cell r="Y1813">
            <v>1</v>
          </cell>
          <cell r="Z1813">
            <v>0</v>
          </cell>
          <cell r="AA1813">
            <v>904498.25999999989</v>
          </cell>
          <cell r="AB1813">
            <v>4770675</v>
          </cell>
          <cell r="AC1813">
            <v>0</v>
          </cell>
          <cell r="AD1813">
            <v>5675173.2599999998</v>
          </cell>
          <cell r="AT1813">
            <v>0</v>
          </cell>
          <cell r="AU1813">
            <v>-0.25488380352735801</v>
          </cell>
          <cell r="AV1813">
            <v>-5.0919264085839119E-2</v>
          </cell>
          <cell r="AW1813">
            <v>-1.6557934220289165E-2</v>
          </cell>
          <cell r="AX1813">
            <v>-9.694379388694449E-2</v>
          </cell>
          <cell r="AY1813">
            <v>-9.694379388694449E-2</v>
          </cell>
          <cell r="AZ1813">
            <v>-9.694379388694449E-2</v>
          </cell>
          <cell r="BA1813">
            <v>-9.694379388694449E-2</v>
          </cell>
          <cell r="BF1813">
            <v>0</v>
          </cell>
          <cell r="BG1813">
            <v>-15386.279999999999</v>
          </cell>
          <cell r="BH1813">
            <v>-5346.15</v>
          </cell>
          <cell r="BI1813">
            <v>-131.06999999999982</v>
          </cell>
          <cell r="BJ1813">
            <v>229.12000000000134</v>
          </cell>
          <cell r="BK1813">
            <v>-1066.5599999999995</v>
          </cell>
          <cell r="BL1813">
            <v>0</v>
          </cell>
          <cell r="BM1813">
            <v>-968.50999999999794</v>
          </cell>
          <cell r="BN1813">
            <v>0</v>
          </cell>
          <cell r="BO1813">
            <v>0</v>
          </cell>
          <cell r="BP1813">
            <v>0</v>
          </cell>
          <cell r="BQ1813">
            <v>0</v>
          </cell>
          <cell r="BR1813">
            <v>-968.50999999999794</v>
          </cell>
          <cell r="BT1813">
            <v>0</v>
          </cell>
          <cell r="CA1813" t="str">
            <v>DCIPXX - EBITA - Base</v>
          </cell>
          <cell r="CC1813" t="str">
            <v>DCIPXX - EBITA - Base - IS4</v>
          </cell>
          <cell r="CD1813" t="str">
            <v/>
          </cell>
          <cell r="CF1813" t="str">
            <v>DCIPXX - Base - IS4</v>
          </cell>
        </row>
        <row r="1814">
          <cell r="D1814">
            <v>1800</v>
          </cell>
          <cell r="E1814">
            <v>0</v>
          </cell>
          <cell r="F1814">
            <v>0</v>
          </cell>
          <cell r="G1814" t="str">
            <v>DCIPXX</v>
          </cell>
          <cell r="H1814" t="str">
            <v>DCIP</v>
          </cell>
          <cell r="I1814" t="str">
            <v>IS4</v>
          </cell>
          <cell r="J1814" t="str">
            <v>IS4 Spectrum &amp; Infrastructure Assurance</v>
          </cell>
          <cell r="K1814" t="str">
            <v>Navy</v>
          </cell>
          <cell r="L1814" t="str">
            <v>DOD</v>
          </cell>
          <cell r="M1814" t="str">
            <v>VA</v>
          </cell>
          <cell r="N1814" t="str">
            <v>CONUS</v>
          </cell>
          <cell r="O1814">
            <v>0</v>
          </cell>
          <cell r="P1814">
            <v>0</v>
          </cell>
          <cell r="Q1814">
            <v>0</v>
          </cell>
          <cell r="R1814" t="str">
            <v>CPFF</v>
          </cell>
          <cell r="S1814">
            <v>0</v>
          </cell>
          <cell r="T1814">
            <v>1</v>
          </cell>
          <cell r="U1814" t="str">
            <v>EBITA</v>
          </cell>
          <cell r="V1814" t="str">
            <v>Identified - Recompete</v>
          </cell>
          <cell r="W1814">
            <v>0</v>
          </cell>
          <cell r="X1814">
            <v>0</v>
          </cell>
          <cell r="Y1814">
            <v>0</v>
          </cell>
          <cell r="Z1814">
            <v>0</v>
          </cell>
          <cell r="AA1814">
            <v>0</v>
          </cell>
          <cell r="AB1814">
            <v>0</v>
          </cell>
          <cell r="AC1814">
            <v>0</v>
          </cell>
          <cell r="AD1814">
            <v>0</v>
          </cell>
          <cell r="AX1814">
            <v>0</v>
          </cell>
          <cell r="AY1814">
            <v>0</v>
          </cell>
          <cell r="AZ1814">
            <v>0</v>
          </cell>
          <cell r="BA1814">
            <v>0</v>
          </cell>
          <cell r="BI1814">
            <v>0</v>
          </cell>
          <cell r="BJ1814">
            <v>0</v>
          </cell>
          <cell r="BK1814">
            <v>0</v>
          </cell>
          <cell r="BL1814">
            <v>0</v>
          </cell>
          <cell r="BM1814">
            <v>0</v>
          </cell>
          <cell r="BN1814">
            <v>0</v>
          </cell>
          <cell r="BO1814">
            <v>0</v>
          </cell>
          <cell r="BP1814">
            <v>0</v>
          </cell>
          <cell r="BQ1814">
            <v>0</v>
          </cell>
          <cell r="BR1814">
            <v>0</v>
          </cell>
          <cell r="BT1814">
            <v>0</v>
          </cell>
          <cell r="CA1814" t="str">
            <v>DCIPXX - EBITA - Identified - Recompete</v>
          </cell>
          <cell r="CC1814" t="str">
            <v>DCIPXX - EBITA - Identified - Recompete - IS4</v>
          </cell>
          <cell r="CD1814" t="str">
            <v/>
          </cell>
          <cell r="CF1814" t="str">
            <v>DCIPXX - Identified - Recompete - IS4</v>
          </cell>
        </row>
        <row r="1815">
          <cell r="D1815">
            <v>1801</v>
          </cell>
          <cell r="E1815">
            <v>1</v>
          </cell>
          <cell r="F1815">
            <v>1</v>
          </cell>
          <cell r="G1815" t="str">
            <v>3GGISA</v>
          </cell>
          <cell r="H1815" t="str">
            <v>GISA-W C4ISR</v>
          </cell>
          <cell r="I1815" t="str">
            <v>IS4</v>
          </cell>
          <cell r="J1815" t="str">
            <v>IS4 Spectrum &amp; Infrastructure Assurance</v>
          </cell>
          <cell r="K1815" t="str">
            <v>Army</v>
          </cell>
          <cell r="L1815" t="str">
            <v>DOD</v>
          </cell>
          <cell r="M1815" t="str">
            <v>HI</v>
          </cell>
          <cell r="N1815" t="str">
            <v>CONUS</v>
          </cell>
          <cell r="O1815">
            <v>42275</v>
          </cell>
          <cell r="P1815">
            <v>43370</v>
          </cell>
          <cell r="Q1815" t="str">
            <v>Prime</v>
          </cell>
          <cell r="R1815" t="str">
            <v>CPFF</v>
          </cell>
          <cell r="S1815">
            <v>0</v>
          </cell>
          <cell r="T1815">
            <v>1</v>
          </cell>
          <cell r="U1815" t="str">
            <v>REVTOT</v>
          </cell>
          <cell r="V1815" t="str">
            <v>Base</v>
          </cell>
          <cell r="W1815" t="str">
            <v>05 Won</v>
          </cell>
          <cell r="X1815" t="str">
            <v>Active</v>
          </cell>
          <cell r="Y1815">
            <v>1</v>
          </cell>
          <cell r="Z1815">
            <v>0</v>
          </cell>
          <cell r="AA1815">
            <v>135846.56999999995</v>
          </cell>
          <cell r="AB1815">
            <v>0</v>
          </cell>
          <cell r="AC1815">
            <v>0</v>
          </cell>
          <cell r="AD1815">
            <v>135846.56999999995</v>
          </cell>
          <cell r="AE1815">
            <v>0.1722401779573699</v>
          </cell>
          <cell r="AF1815">
            <v>-0.37053734506953195</v>
          </cell>
          <cell r="AG1815">
            <v>-0.95572263155928394</v>
          </cell>
          <cell r="AH1815">
            <v>-1</v>
          </cell>
          <cell r="AI1815">
            <v>0</v>
          </cell>
          <cell r="AJ1815">
            <v>0</v>
          </cell>
          <cell r="AK1815">
            <v>0</v>
          </cell>
          <cell r="BB1815">
            <v>0</v>
          </cell>
          <cell r="BC1815">
            <v>0</v>
          </cell>
          <cell r="BD1815">
            <v>0</v>
          </cell>
          <cell r="BE1815">
            <v>0</v>
          </cell>
          <cell r="BF1815">
            <v>1412891.19</v>
          </cell>
          <cell r="BG1815">
            <v>1656247.82</v>
          </cell>
          <cell r="BH1815">
            <v>1042546.15</v>
          </cell>
          <cell r="BI1815">
            <v>33885.08</v>
          </cell>
          <cell r="BJ1815">
            <v>-64.31</v>
          </cell>
          <cell r="BK1815">
            <v>12340.43</v>
          </cell>
          <cell r="BL1815">
            <v>0</v>
          </cell>
          <cell r="BM1815">
            <v>46161.200000000004</v>
          </cell>
          <cell r="BN1815">
            <v>0</v>
          </cell>
          <cell r="BO1815">
            <v>0</v>
          </cell>
          <cell r="BP1815">
            <v>0</v>
          </cell>
          <cell r="BQ1815">
            <v>0</v>
          </cell>
          <cell r="BR1815">
            <v>46161.200000000004</v>
          </cell>
          <cell r="BT1815">
            <v>0</v>
          </cell>
          <cell r="CA1815" t="str">
            <v>3GGISA - REVTOT - Base</v>
          </cell>
          <cell r="CC1815" t="str">
            <v>3GGISA - REVTOT - Base - IS4</v>
          </cell>
          <cell r="CD1815" t="str">
            <v/>
          </cell>
          <cell r="CF1815" t="str">
            <v>3GGISA - Base - IS4</v>
          </cell>
        </row>
        <row r="1816">
          <cell r="D1816">
            <v>1802</v>
          </cell>
          <cell r="E1816">
            <v>1</v>
          </cell>
          <cell r="F1816">
            <v>2</v>
          </cell>
          <cell r="G1816" t="str">
            <v>3GGISA</v>
          </cell>
          <cell r="H1816" t="str">
            <v>GISA-W C4ISR</v>
          </cell>
          <cell r="I1816" t="str">
            <v>IS4</v>
          </cell>
          <cell r="J1816" t="str">
            <v>IS4 Spectrum &amp; Infrastructure Assurance</v>
          </cell>
          <cell r="K1816" t="str">
            <v>Army</v>
          </cell>
          <cell r="L1816" t="str">
            <v>DOD</v>
          </cell>
          <cell r="M1816" t="str">
            <v>HI</v>
          </cell>
          <cell r="N1816" t="str">
            <v>CONUS</v>
          </cell>
          <cell r="O1816">
            <v>0</v>
          </cell>
          <cell r="P1816">
            <v>0</v>
          </cell>
          <cell r="Q1816">
            <v>0</v>
          </cell>
          <cell r="R1816" t="str">
            <v>CPFF</v>
          </cell>
          <cell r="S1816">
            <v>0</v>
          </cell>
          <cell r="T1816">
            <v>1</v>
          </cell>
          <cell r="U1816" t="str">
            <v>REVTOT</v>
          </cell>
          <cell r="V1816" t="str">
            <v>Identified - Recompete</v>
          </cell>
          <cell r="W1816">
            <v>0</v>
          </cell>
          <cell r="X1816">
            <v>0</v>
          </cell>
          <cell r="Y1816">
            <v>0</v>
          </cell>
          <cell r="Z1816">
            <v>0</v>
          </cell>
          <cell r="AA1816">
            <v>0</v>
          </cell>
          <cell r="AB1816">
            <v>0</v>
          </cell>
          <cell r="AC1816">
            <v>0</v>
          </cell>
          <cell r="AD1816">
            <v>0</v>
          </cell>
          <cell r="AI1816">
            <v>0</v>
          </cell>
          <cell r="AJ1816">
            <v>0</v>
          </cell>
          <cell r="AK1816">
            <v>0</v>
          </cell>
          <cell r="BB1816">
            <v>0</v>
          </cell>
          <cell r="BC1816">
            <v>0</v>
          </cell>
          <cell r="BD1816">
            <v>0</v>
          </cell>
          <cell r="BE1816">
            <v>0</v>
          </cell>
          <cell r="BI1816">
            <v>0</v>
          </cell>
          <cell r="BJ1816">
            <v>0</v>
          </cell>
          <cell r="BK1816">
            <v>0</v>
          </cell>
          <cell r="BL1816">
            <v>0</v>
          </cell>
          <cell r="BM1816">
            <v>0</v>
          </cell>
          <cell r="BN1816">
            <v>0</v>
          </cell>
          <cell r="BO1816">
            <v>0</v>
          </cell>
          <cell r="BP1816">
            <v>0</v>
          </cell>
          <cell r="BQ1816">
            <v>0</v>
          </cell>
          <cell r="BR1816">
            <v>0</v>
          </cell>
          <cell r="BT1816">
            <v>0</v>
          </cell>
          <cell r="CA1816" t="str">
            <v>3GGISA - REVTOT - Identified - Recompete</v>
          </cell>
          <cell r="CC1816" t="str">
            <v>3GGISA - REVTOT - Identified - Recompete - IS4</v>
          </cell>
          <cell r="CD1816" t="str">
            <v/>
          </cell>
          <cell r="CF1816" t="str">
            <v>3GGISA - Identified - Recompete - IS4</v>
          </cell>
        </row>
        <row r="1817">
          <cell r="D1817">
            <v>1803</v>
          </cell>
          <cell r="E1817">
            <v>2</v>
          </cell>
          <cell r="F1817">
            <v>3</v>
          </cell>
          <cell r="G1817" t="str">
            <v>3GGISA</v>
          </cell>
          <cell r="H1817" t="str">
            <v>GISA-W C4ISR</v>
          </cell>
          <cell r="I1817" t="str">
            <v>IS4</v>
          </cell>
          <cell r="J1817" t="str">
            <v>IS4 Spectrum &amp; Infrastructure Assurance</v>
          </cell>
          <cell r="K1817" t="str">
            <v>Army</v>
          </cell>
          <cell r="L1817" t="str">
            <v>DOD</v>
          </cell>
          <cell r="M1817" t="str">
            <v>HI</v>
          </cell>
          <cell r="N1817" t="str">
            <v>CONUS</v>
          </cell>
          <cell r="O1817">
            <v>42275</v>
          </cell>
          <cell r="P1817">
            <v>43370</v>
          </cell>
          <cell r="Q1817" t="str">
            <v>Prime</v>
          </cell>
          <cell r="R1817" t="str">
            <v>CPFF</v>
          </cell>
          <cell r="S1817">
            <v>0</v>
          </cell>
          <cell r="T1817">
            <v>1</v>
          </cell>
          <cell r="U1817" t="str">
            <v>CONTRACT</v>
          </cell>
          <cell r="V1817" t="str">
            <v>Base</v>
          </cell>
          <cell r="W1817" t="str">
            <v>05 Won</v>
          </cell>
          <cell r="X1817" t="str">
            <v>Active</v>
          </cell>
          <cell r="Y1817">
            <v>1</v>
          </cell>
          <cell r="Z1817">
            <v>0</v>
          </cell>
          <cell r="AA1817">
            <v>135846.56999999995</v>
          </cell>
          <cell r="AB1817">
            <v>0</v>
          </cell>
          <cell r="AC1817">
            <v>0</v>
          </cell>
          <cell r="AD1817">
            <v>135846.56999999995</v>
          </cell>
          <cell r="AL1817">
            <v>0.13166128525438675</v>
          </cell>
          <cell r="AM1817">
            <v>0.13093084101387681</v>
          </cell>
          <cell r="AN1817">
            <v>0.14871966099534298</v>
          </cell>
          <cell r="AO1817">
            <v>8.1211060371047472E-2</v>
          </cell>
          <cell r="AP1817">
            <v>0.13508745907580866</v>
          </cell>
          <cell r="AQ1817">
            <v>0.13508745907580866</v>
          </cell>
          <cell r="AR1817">
            <v>0.13508745907580866</v>
          </cell>
          <cell r="AS1817">
            <v>0.13508745907580866</v>
          </cell>
          <cell r="BF1817">
            <v>186023.06999999995</v>
          </cell>
          <cell r="BG1817">
            <v>216853.92000000004</v>
          </cell>
          <cell r="BH1817">
            <v>155047.10999999999</v>
          </cell>
          <cell r="BI1817">
            <v>2810.9299999999967</v>
          </cell>
          <cell r="BJ1817">
            <v>-64.31</v>
          </cell>
          <cell r="BK1817">
            <v>1002.1800000000003</v>
          </cell>
          <cell r="BL1817">
            <v>0</v>
          </cell>
          <cell r="BM1817">
            <v>3748.799999999997</v>
          </cell>
          <cell r="BN1817">
            <v>0</v>
          </cell>
          <cell r="BO1817">
            <v>0</v>
          </cell>
          <cell r="BP1817">
            <v>0</v>
          </cell>
          <cell r="BQ1817">
            <v>0</v>
          </cell>
          <cell r="BR1817">
            <v>3748.799999999997</v>
          </cell>
          <cell r="BT1817">
            <v>0</v>
          </cell>
          <cell r="CA1817" t="str">
            <v>3GGISA - CONTRACT - Base</v>
          </cell>
          <cell r="CC1817" t="str">
            <v>3GGISA - CONTRACT - Base - IS4</v>
          </cell>
          <cell r="CD1817" t="str">
            <v/>
          </cell>
          <cell r="CF1817" t="str">
            <v>3GGISA - Base - IS4</v>
          </cell>
        </row>
        <row r="1818">
          <cell r="D1818">
            <v>1804</v>
          </cell>
          <cell r="E1818">
            <v>2</v>
          </cell>
          <cell r="F1818">
            <v>4</v>
          </cell>
          <cell r="G1818" t="str">
            <v>3GGISA</v>
          </cell>
          <cell r="H1818" t="str">
            <v>GISA-W C4ISR</v>
          </cell>
          <cell r="I1818" t="str">
            <v>IS4</v>
          </cell>
          <cell r="J1818" t="str">
            <v>IS4 Spectrum &amp; Infrastructure Assurance</v>
          </cell>
          <cell r="K1818" t="str">
            <v>Army</v>
          </cell>
          <cell r="L1818" t="str">
            <v>DOD</v>
          </cell>
          <cell r="M1818" t="str">
            <v>HI</v>
          </cell>
          <cell r="N1818" t="str">
            <v>CONUS</v>
          </cell>
          <cell r="O1818">
            <v>0</v>
          </cell>
          <cell r="P1818">
            <v>0</v>
          </cell>
          <cell r="Q1818">
            <v>0</v>
          </cell>
          <cell r="R1818" t="str">
            <v>CPFF</v>
          </cell>
          <cell r="S1818">
            <v>0</v>
          </cell>
          <cell r="T1818">
            <v>1</v>
          </cell>
          <cell r="U1818" t="str">
            <v>CONTRACT</v>
          </cell>
          <cell r="V1818" t="str">
            <v>Identified - Recompete</v>
          </cell>
          <cell r="W1818">
            <v>0</v>
          </cell>
          <cell r="X1818">
            <v>0</v>
          </cell>
          <cell r="Y1818">
            <v>0</v>
          </cell>
          <cell r="Z1818">
            <v>0</v>
          </cell>
          <cell r="AA1818">
            <v>0</v>
          </cell>
          <cell r="AB1818">
            <v>0</v>
          </cell>
          <cell r="AC1818">
            <v>0</v>
          </cell>
          <cell r="AD1818">
            <v>0</v>
          </cell>
          <cell r="AP1818">
            <v>0</v>
          </cell>
          <cell r="AQ1818">
            <v>0</v>
          </cell>
          <cell r="AR1818">
            <v>0</v>
          </cell>
          <cell r="AS1818">
            <v>0</v>
          </cell>
          <cell r="BI1818">
            <v>0</v>
          </cell>
          <cell r="BJ1818">
            <v>0</v>
          </cell>
          <cell r="BK1818">
            <v>0</v>
          </cell>
          <cell r="BL1818">
            <v>0</v>
          </cell>
          <cell r="BM1818">
            <v>0</v>
          </cell>
          <cell r="BN1818">
            <v>0</v>
          </cell>
          <cell r="BO1818">
            <v>0</v>
          </cell>
          <cell r="BP1818">
            <v>0</v>
          </cell>
          <cell r="BQ1818">
            <v>0</v>
          </cell>
          <cell r="BR1818">
            <v>0</v>
          </cell>
          <cell r="BT1818">
            <v>0</v>
          </cell>
          <cell r="CA1818" t="str">
            <v>3GGISA - CONTRACT - Identified - Recompete</v>
          </cell>
          <cell r="CC1818" t="str">
            <v>3GGISA - CONTRACT - Identified - Recompete - IS4</v>
          </cell>
          <cell r="CD1818" t="str">
            <v/>
          </cell>
          <cell r="CF1818" t="str">
            <v>3GGISA - Identified - Recompete - IS4</v>
          </cell>
        </row>
        <row r="1819">
          <cell r="D1819">
            <v>1805</v>
          </cell>
          <cell r="E1819">
            <v>0</v>
          </cell>
          <cell r="F1819">
            <v>5</v>
          </cell>
          <cell r="G1819" t="str">
            <v>3GGISA</v>
          </cell>
          <cell r="H1819" t="str">
            <v>GISA-W C4ISR</v>
          </cell>
          <cell r="I1819" t="str">
            <v>IS4</v>
          </cell>
          <cell r="J1819" t="str">
            <v>IS4 Spectrum &amp; Infrastructure Assurance</v>
          </cell>
          <cell r="K1819" t="str">
            <v>Army</v>
          </cell>
          <cell r="L1819" t="str">
            <v>DOD</v>
          </cell>
          <cell r="M1819" t="str">
            <v>HI</v>
          </cell>
          <cell r="N1819" t="str">
            <v>CONUS</v>
          </cell>
          <cell r="O1819">
            <v>42275</v>
          </cell>
          <cell r="P1819">
            <v>43370</v>
          </cell>
          <cell r="Q1819" t="str">
            <v>Prime</v>
          </cell>
          <cell r="R1819" t="str">
            <v>CPFF</v>
          </cell>
          <cell r="S1819">
            <v>0</v>
          </cell>
          <cell r="T1819">
            <v>1</v>
          </cell>
          <cell r="U1819" t="str">
            <v>EBITA</v>
          </cell>
          <cell r="V1819" t="str">
            <v>Base</v>
          </cell>
          <cell r="W1819" t="str">
            <v>05 Won</v>
          </cell>
          <cell r="X1819" t="str">
            <v>Active</v>
          </cell>
          <cell r="Y1819">
            <v>1</v>
          </cell>
          <cell r="Z1819">
            <v>0</v>
          </cell>
          <cell r="AA1819">
            <v>135846.56999999995</v>
          </cell>
          <cell r="AB1819">
            <v>0</v>
          </cell>
          <cell r="AC1819">
            <v>0</v>
          </cell>
          <cell r="AD1819">
            <v>135846.56999999995</v>
          </cell>
          <cell r="AT1819">
            <v>2.0939722895433978E-2</v>
          </cell>
          <cell r="AU1819">
            <v>1.0634851733721853E-2</v>
          </cell>
          <cell r="AV1819">
            <v>3.5799690977708735E-2</v>
          </cell>
          <cell r="AW1819">
            <v>-6.895902741274595E-17</v>
          </cell>
          <cell r="AX1819">
            <v>2.0328391836008097E-2</v>
          </cell>
          <cell r="AY1819">
            <v>2.0328391836008097E-2</v>
          </cell>
          <cell r="AZ1819">
            <v>2.0328391836008097E-2</v>
          </cell>
          <cell r="BA1819">
            <v>2.0328391836008097E-2</v>
          </cell>
          <cell r="BF1819">
            <v>29585.549999999956</v>
          </cell>
          <cell r="BG1819">
            <v>17613.950000000041</v>
          </cell>
          <cell r="BH1819">
            <v>37322.82999999998</v>
          </cell>
          <cell r="BI1819">
            <v>-3.1832314562052488E-12</v>
          </cell>
          <cell r="BJ1819">
            <v>0</v>
          </cell>
          <cell r="BK1819">
            <v>0</v>
          </cell>
          <cell r="BL1819">
            <v>0</v>
          </cell>
          <cell r="BM1819">
            <v>-3.1832314562052488E-12</v>
          </cell>
          <cell r="BN1819">
            <v>0</v>
          </cell>
          <cell r="BO1819">
            <v>0</v>
          </cell>
          <cell r="BP1819">
            <v>0</v>
          </cell>
          <cell r="BQ1819">
            <v>0</v>
          </cell>
          <cell r="BR1819">
            <v>-3.1832314562052488E-12</v>
          </cell>
          <cell r="BT1819">
            <v>0</v>
          </cell>
          <cell r="CA1819" t="str">
            <v>3GGISA - EBITA - Base</v>
          </cell>
          <cell r="CC1819" t="str">
            <v>3GGISA - EBITA - Base - IS4</v>
          </cell>
          <cell r="CD1819" t="str">
            <v/>
          </cell>
          <cell r="CF1819" t="str">
            <v>3GGISA - Base - IS4</v>
          </cell>
        </row>
        <row r="1820">
          <cell r="D1820">
            <v>1806</v>
          </cell>
          <cell r="E1820">
            <v>0</v>
          </cell>
          <cell r="F1820">
            <v>0</v>
          </cell>
          <cell r="G1820" t="str">
            <v>3GGISA</v>
          </cell>
          <cell r="H1820" t="str">
            <v>GISA-W C4ISR</v>
          </cell>
          <cell r="I1820" t="str">
            <v>IS4</v>
          </cell>
          <cell r="J1820" t="str">
            <v>IS4 Spectrum &amp; Infrastructure Assurance</v>
          </cell>
          <cell r="K1820" t="str">
            <v>Army</v>
          </cell>
          <cell r="L1820" t="str">
            <v>DOD</v>
          </cell>
          <cell r="M1820" t="str">
            <v>HI</v>
          </cell>
          <cell r="N1820" t="str">
            <v>CONUS</v>
          </cell>
          <cell r="O1820">
            <v>0</v>
          </cell>
          <cell r="P1820">
            <v>0</v>
          </cell>
          <cell r="Q1820">
            <v>0</v>
          </cell>
          <cell r="R1820" t="str">
            <v>CPFF</v>
          </cell>
          <cell r="S1820">
            <v>0</v>
          </cell>
          <cell r="T1820">
            <v>1</v>
          </cell>
          <cell r="U1820" t="str">
            <v>EBITA</v>
          </cell>
          <cell r="V1820" t="str">
            <v>Identified - Recompete</v>
          </cell>
          <cell r="W1820">
            <v>0</v>
          </cell>
          <cell r="X1820">
            <v>0</v>
          </cell>
          <cell r="Y1820">
            <v>0</v>
          </cell>
          <cell r="Z1820">
            <v>0</v>
          </cell>
          <cell r="AA1820">
            <v>0</v>
          </cell>
          <cell r="AB1820">
            <v>0</v>
          </cell>
          <cell r="AC1820">
            <v>0</v>
          </cell>
          <cell r="AD1820">
            <v>0</v>
          </cell>
          <cell r="AX1820">
            <v>0</v>
          </cell>
          <cell r="AY1820">
            <v>0</v>
          </cell>
          <cell r="AZ1820">
            <v>0</v>
          </cell>
          <cell r="BA1820">
            <v>0</v>
          </cell>
          <cell r="BI1820">
            <v>0</v>
          </cell>
          <cell r="BJ1820">
            <v>0</v>
          </cell>
          <cell r="BK1820">
            <v>0</v>
          </cell>
          <cell r="BL1820">
            <v>0</v>
          </cell>
          <cell r="BM1820">
            <v>0</v>
          </cell>
          <cell r="BN1820">
            <v>0</v>
          </cell>
          <cell r="BO1820">
            <v>0</v>
          </cell>
          <cell r="BP1820">
            <v>0</v>
          </cell>
          <cell r="BQ1820">
            <v>0</v>
          </cell>
          <cell r="BR1820">
            <v>0</v>
          </cell>
          <cell r="BT1820">
            <v>0</v>
          </cell>
          <cell r="CA1820" t="str">
            <v>3GGISA - EBITA - Identified - Recompete</v>
          </cell>
          <cell r="CC1820" t="str">
            <v>3GGISA - EBITA - Identified - Recompete - IS4</v>
          </cell>
          <cell r="CD1820" t="str">
            <v/>
          </cell>
          <cell r="CF1820" t="str">
            <v>3GGISA - Identified - Recompete - IS4</v>
          </cell>
        </row>
        <row r="1821">
          <cell r="D1821">
            <v>1807</v>
          </cell>
          <cell r="E1821">
            <v>1</v>
          </cell>
          <cell r="F1821">
            <v>1</v>
          </cell>
          <cell r="G1821" t="str">
            <v>3GASOT</v>
          </cell>
          <cell r="H1821" t="str">
            <v>Army Spec Ops Training Support</v>
          </cell>
          <cell r="I1821" t="str">
            <v>IS4</v>
          </cell>
          <cell r="J1821" t="str">
            <v>IS4 Spectrum &amp; Infrastructure Assurance</v>
          </cell>
          <cell r="K1821" t="str">
            <v>Army</v>
          </cell>
          <cell r="L1821" t="str">
            <v>DOD</v>
          </cell>
          <cell r="M1821" t="str">
            <v>US_State</v>
          </cell>
          <cell r="N1821" t="str">
            <v>CONUS</v>
          </cell>
          <cell r="O1821">
            <v>42277</v>
          </cell>
          <cell r="P1821">
            <v>43372</v>
          </cell>
          <cell r="Q1821" t="str">
            <v>Prime</v>
          </cell>
          <cell r="R1821" t="str">
            <v>CPFF</v>
          </cell>
          <cell r="S1821">
            <v>0</v>
          </cell>
          <cell r="T1821">
            <v>1</v>
          </cell>
          <cell r="U1821" t="str">
            <v>REVTOT</v>
          </cell>
          <cell r="V1821" t="str">
            <v>Base</v>
          </cell>
          <cell r="W1821" t="str">
            <v>05 Won</v>
          </cell>
          <cell r="X1821" t="str">
            <v>Active</v>
          </cell>
          <cell r="Y1821">
            <v>1</v>
          </cell>
          <cell r="Z1821">
            <v>0</v>
          </cell>
          <cell r="AA1821">
            <v>96794.060000000041</v>
          </cell>
          <cell r="AB1821">
            <v>295616</v>
          </cell>
          <cell r="AC1821">
            <v>0</v>
          </cell>
          <cell r="AD1821">
            <v>392410.06000000006</v>
          </cell>
          <cell r="AE1821">
            <v>1.0844115518341613</v>
          </cell>
          <cell r="AF1821">
            <v>-0.21420852066357576</v>
          </cell>
          <cell r="AG1821">
            <v>-0.99431903662291821</v>
          </cell>
          <cell r="AH1821">
            <v>-1</v>
          </cell>
          <cell r="AI1821">
            <v>0</v>
          </cell>
          <cell r="AJ1821">
            <v>0</v>
          </cell>
          <cell r="AK1821">
            <v>0</v>
          </cell>
          <cell r="BB1821">
            <v>0</v>
          </cell>
          <cell r="BC1821">
            <v>0</v>
          </cell>
          <cell r="BD1821">
            <v>0</v>
          </cell>
          <cell r="BE1821">
            <v>0</v>
          </cell>
          <cell r="BF1821">
            <v>5059840.99</v>
          </cell>
          <cell r="BG1821">
            <v>10546791.01</v>
          </cell>
          <cell r="BH1821">
            <v>8287578.5099999998</v>
          </cell>
          <cell r="BI1821">
            <v>37567.949999999997</v>
          </cell>
          <cell r="BJ1821">
            <v>9126.2099999999991</v>
          </cell>
          <cell r="BK1821">
            <v>387.26999999999992</v>
          </cell>
          <cell r="BL1821">
            <v>0</v>
          </cell>
          <cell r="BM1821">
            <v>47081.429999999993</v>
          </cell>
          <cell r="BN1821">
            <v>0</v>
          </cell>
          <cell r="BO1821">
            <v>0</v>
          </cell>
          <cell r="BP1821">
            <v>0</v>
          </cell>
          <cell r="BQ1821">
            <v>0</v>
          </cell>
          <cell r="BR1821">
            <v>47081.429999999993</v>
          </cell>
          <cell r="BT1821">
            <v>0</v>
          </cell>
          <cell r="CA1821" t="str">
            <v>3GASOT - REVTOT - Base</v>
          </cell>
          <cell r="CC1821" t="str">
            <v>3GASOT - REVTOT - Base - IS4</v>
          </cell>
          <cell r="CD1821" t="str">
            <v/>
          </cell>
          <cell r="CF1821" t="str">
            <v>3GASOT - Base - IS4</v>
          </cell>
        </row>
        <row r="1822">
          <cell r="D1822">
            <v>1808</v>
          </cell>
          <cell r="E1822">
            <v>1</v>
          </cell>
          <cell r="F1822">
            <v>2</v>
          </cell>
          <cell r="G1822" t="str">
            <v>3GASOT</v>
          </cell>
          <cell r="H1822" t="str">
            <v>Army Spec Ops Training Support</v>
          </cell>
          <cell r="I1822" t="str">
            <v>IS4</v>
          </cell>
          <cell r="J1822" t="str">
            <v>IS4 Spectrum &amp; Infrastructure Assurance</v>
          </cell>
          <cell r="K1822" t="str">
            <v>Army</v>
          </cell>
          <cell r="L1822" t="str">
            <v>DOD</v>
          </cell>
          <cell r="M1822" t="str">
            <v>US_State</v>
          </cell>
          <cell r="N1822" t="str">
            <v>CONUS</v>
          </cell>
          <cell r="O1822">
            <v>0</v>
          </cell>
          <cell r="P1822">
            <v>0</v>
          </cell>
          <cell r="Q1822">
            <v>0</v>
          </cell>
          <cell r="R1822" t="str">
            <v>CPFF</v>
          </cell>
          <cell r="S1822">
            <v>0</v>
          </cell>
          <cell r="T1822">
            <v>1</v>
          </cell>
          <cell r="U1822" t="str">
            <v>REVTOT</v>
          </cell>
          <cell r="V1822" t="str">
            <v>Identified - Recompete</v>
          </cell>
          <cell r="W1822">
            <v>0</v>
          </cell>
          <cell r="X1822">
            <v>0</v>
          </cell>
          <cell r="Y1822">
            <v>0</v>
          </cell>
          <cell r="Z1822">
            <v>0</v>
          </cell>
          <cell r="AA1822">
            <v>0</v>
          </cell>
          <cell r="AB1822">
            <v>0</v>
          </cell>
          <cell r="AC1822">
            <v>0</v>
          </cell>
          <cell r="AD1822">
            <v>0</v>
          </cell>
          <cell r="AI1822">
            <v>0</v>
          </cell>
          <cell r="AJ1822">
            <v>0</v>
          </cell>
          <cell r="AK1822">
            <v>0</v>
          </cell>
          <cell r="BB1822">
            <v>0</v>
          </cell>
          <cell r="BC1822">
            <v>0</v>
          </cell>
          <cell r="BD1822">
            <v>0</v>
          </cell>
          <cell r="BE1822">
            <v>0</v>
          </cell>
          <cell r="BI1822">
            <v>0</v>
          </cell>
          <cell r="BJ1822">
            <v>0</v>
          </cell>
          <cell r="BK1822">
            <v>0</v>
          </cell>
          <cell r="BL1822">
            <v>0</v>
          </cell>
          <cell r="BM1822">
            <v>0</v>
          </cell>
          <cell r="BN1822">
            <v>0</v>
          </cell>
          <cell r="BO1822">
            <v>0</v>
          </cell>
          <cell r="BP1822">
            <v>0</v>
          </cell>
          <cell r="BQ1822">
            <v>0</v>
          </cell>
          <cell r="BR1822">
            <v>0</v>
          </cell>
          <cell r="BT1822">
            <v>0</v>
          </cell>
          <cell r="CA1822" t="str">
            <v>3GASOT - REVTOT - Identified - Recompete</v>
          </cell>
          <cell r="CC1822" t="str">
            <v>3GASOT - REVTOT - Identified - Recompete - IS4</v>
          </cell>
          <cell r="CD1822" t="str">
            <v/>
          </cell>
          <cell r="CF1822" t="str">
            <v>3GASOT - Identified - Recompete - IS4</v>
          </cell>
        </row>
        <row r="1823">
          <cell r="D1823">
            <v>1809</v>
          </cell>
          <cell r="E1823">
            <v>2</v>
          </cell>
          <cell r="F1823">
            <v>3</v>
          </cell>
          <cell r="G1823" t="str">
            <v>3GASOT</v>
          </cell>
          <cell r="H1823" t="str">
            <v>Army Spec Ops Training Support</v>
          </cell>
          <cell r="I1823" t="str">
            <v>IS4</v>
          </cell>
          <cell r="J1823" t="str">
            <v>IS4 Spectrum &amp; Infrastructure Assurance</v>
          </cell>
          <cell r="K1823" t="str">
            <v>Army</v>
          </cell>
          <cell r="L1823" t="str">
            <v>DOD</v>
          </cell>
          <cell r="M1823" t="str">
            <v>US_State</v>
          </cell>
          <cell r="N1823" t="str">
            <v>CONUS</v>
          </cell>
          <cell r="O1823">
            <v>42277</v>
          </cell>
          <cell r="P1823">
            <v>43372</v>
          </cell>
          <cell r="Q1823" t="str">
            <v>Prime</v>
          </cell>
          <cell r="R1823" t="str">
            <v>CPFF</v>
          </cell>
          <cell r="S1823">
            <v>0</v>
          </cell>
          <cell r="T1823">
            <v>1</v>
          </cell>
          <cell r="U1823" t="str">
            <v>CONTRACT</v>
          </cell>
          <cell r="V1823" t="str">
            <v>Base</v>
          </cell>
          <cell r="W1823" t="str">
            <v>05 Won</v>
          </cell>
          <cell r="X1823" t="str">
            <v>Active</v>
          </cell>
          <cell r="Y1823">
            <v>1</v>
          </cell>
          <cell r="Z1823">
            <v>0</v>
          </cell>
          <cell r="AA1823">
            <v>96794.060000000041</v>
          </cell>
          <cell r="AB1823">
            <v>295616</v>
          </cell>
          <cell r="AC1823">
            <v>0</v>
          </cell>
          <cell r="AD1823">
            <v>392410.06000000006</v>
          </cell>
          <cell r="AL1823">
            <v>6.4362716267888156E-2</v>
          </cell>
          <cell r="AM1823">
            <v>9.6643992379630991E-2</v>
          </cell>
          <cell r="AN1823">
            <v>0.11577507698325262</v>
          </cell>
          <cell r="AO1823">
            <v>-8.1943135541982901E-4</v>
          </cell>
          <cell r="AP1823">
            <v>9.6252347858885062E-2</v>
          </cell>
          <cell r="AQ1823">
            <v>9.6252347858885062E-2</v>
          </cell>
          <cell r="AR1823">
            <v>9.6252347858885062E-2</v>
          </cell>
          <cell r="AS1823">
            <v>9.6252347858885062E-2</v>
          </cell>
          <cell r="BF1823">
            <v>325665.11000000034</v>
          </cell>
          <cell r="BG1823">
            <v>1019283.9900000006</v>
          </cell>
          <cell r="BH1823">
            <v>959495.04</v>
          </cell>
          <cell r="BI1823">
            <v>995.05999999999642</v>
          </cell>
          <cell r="BJ1823">
            <v>-1065.0900000000001</v>
          </cell>
          <cell r="BK1823">
            <v>31.449999999999932</v>
          </cell>
          <cell r="BL1823">
            <v>0</v>
          </cell>
          <cell r="BM1823">
            <v>-38.580000000003793</v>
          </cell>
          <cell r="BN1823">
            <v>0</v>
          </cell>
          <cell r="BO1823">
            <v>0</v>
          </cell>
          <cell r="BP1823">
            <v>0</v>
          </cell>
          <cell r="BQ1823">
            <v>0</v>
          </cell>
          <cell r="BR1823">
            <v>-38.580000000003793</v>
          </cell>
          <cell r="BT1823">
            <v>0</v>
          </cell>
          <cell r="CA1823" t="str">
            <v>3GASOT - CONTRACT - Base</v>
          </cell>
          <cell r="CC1823" t="str">
            <v>3GASOT - CONTRACT - Base - IS4</v>
          </cell>
          <cell r="CD1823" t="str">
            <v/>
          </cell>
          <cell r="CF1823" t="str">
            <v>3GASOT - Base - IS4</v>
          </cell>
        </row>
        <row r="1824">
          <cell r="D1824">
            <v>1810</v>
          </cell>
          <cell r="E1824">
            <v>2</v>
          </cell>
          <cell r="F1824">
            <v>4</v>
          </cell>
          <cell r="G1824" t="str">
            <v>3GASOT</v>
          </cell>
          <cell r="H1824" t="str">
            <v>Army Spec Ops Training Support</v>
          </cell>
          <cell r="I1824" t="str">
            <v>IS4</v>
          </cell>
          <cell r="J1824" t="str">
            <v>IS4 Spectrum &amp; Infrastructure Assurance</v>
          </cell>
          <cell r="K1824" t="str">
            <v>Army</v>
          </cell>
          <cell r="L1824" t="str">
            <v>DOD</v>
          </cell>
          <cell r="M1824" t="str">
            <v>US_State</v>
          </cell>
          <cell r="N1824" t="str">
            <v>CONUS</v>
          </cell>
          <cell r="O1824">
            <v>0</v>
          </cell>
          <cell r="P1824">
            <v>0</v>
          </cell>
          <cell r="Q1824">
            <v>0</v>
          </cell>
          <cell r="R1824" t="str">
            <v>CPFF</v>
          </cell>
          <cell r="S1824">
            <v>0</v>
          </cell>
          <cell r="T1824">
            <v>1</v>
          </cell>
          <cell r="U1824" t="str">
            <v>CONTRACT</v>
          </cell>
          <cell r="V1824" t="str">
            <v>Identified - Recompete</v>
          </cell>
          <cell r="W1824">
            <v>0</v>
          </cell>
          <cell r="X1824">
            <v>0</v>
          </cell>
          <cell r="Y1824">
            <v>0</v>
          </cell>
          <cell r="Z1824">
            <v>0</v>
          </cell>
          <cell r="AA1824">
            <v>0</v>
          </cell>
          <cell r="AB1824">
            <v>0</v>
          </cell>
          <cell r="AC1824">
            <v>0</v>
          </cell>
          <cell r="AD1824">
            <v>0</v>
          </cell>
          <cell r="AP1824">
            <v>0</v>
          </cell>
          <cell r="AQ1824">
            <v>0</v>
          </cell>
          <cell r="AR1824">
            <v>0</v>
          </cell>
          <cell r="AS1824">
            <v>0</v>
          </cell>
          <cell r="BI1824">
            <v>0</v>
          </cell>
          <cell r="BJ1824">
            <v>0</v>
          </cell>
          <cell r="BK1824">
            <v>0</v>
          </cell>
          <cell r="BL1824">
            <v>0</v>
          </cell>
          <cell r="BM1824">
            <v>0</v>
          </cell>
          <cell r="BN1824">
            <v>0</v>
          </cell>
          <cell r="BO1824">
            <v>0</v>
          </cell>
          <cell r="BP1824">
            <v>0</v>
          </cell>
          <cell r="BQ1824">
            <v>0</v>
          </cell>
          <cell r="BR1824">
            <v>0</v>
          </cell>
          <cell r="BT1824">
            <v>0</v>
          </cell>
          <cell r="CA1824" t="str">
            <v>3GASOT - CONTRACT - Identified - Recompete</v>
          </cell>
          <cell r="CC1824" t="str">
            <v>3GASOT - CONTRACT - Identified - Recompete - IS4</v>
          </cell>
          <cell r="CD1824" t="str">
            <v/>
          </cell>
          <cell r="CF1824" t="str">
            <v>3GASOT - Identified - Recompete - IS4</v>
          </cell>
        </row>
        <row r="1825">
          <cell r="D1825">
            <v>1811</v>
          </cell>
          <cell r="E1825">
            <v>0</v>
          </cell>
          <cell r="F1825">
            <v>5</v>
          </cell>
          <cell r="G1825" t="str">
            <v>3GASOT</v>
          </cell>
          <cell r="H1825" t="str">
            <v>Army Spec Ops Training Support</v>
          </cell>
          <cell r="I1825" t="str">
            <v>IS4</v>
          </cell>
          <cell r="J1825" t="str">
            <v>IS4 Spectrum &amp; Infrastructure Assurance</v>
          </cell>
          <cell r="K1825" t="str">
            <v>Army</v>
          </cell>
          <cell r="L1825" t="str">
            <v>DOD</v>
          </cell>
          <cell r="M1825" t="str">
            <v>US_State</v>
          </cell>
          <cell r="N1825" t="str">
            <v>CONUS</v>
          </cell>
          <cell r="O1825">
            <v>42277</v>
          </cell>
          <cell r="P1825">
            <v>43372</v>
          </cell>
          <cell r="Q1825" t="str">
            <v>Prime</v>
          </cell>
          <cell r="R1825" t="str">
            <v>CPFF</v>
          </cell>
          <cell r="S1825">
            <v>0</v>
          </cell>
          <cell r="T1825">
            <v>1</v>
          </cell>
          <cell r="U1825" t="str">
            <v>EBITA</v>
          </cell>
          <cell r="V1825" t="str">
            <v>Base</v>
          </cell>
          <cell r="W1825" t="str">
            <v>05 Won</v>
          </cell>
          <cell r="X1825" t="str">
            <v>Active</v>
          </cell>
          <cell r="Y1825">
            <v>1</v>
          </cell>
          <cell r="Z1825">
            <v>0</v>
          </cell>
          <cell r="AA1825">
            <v>96794.060000000041</v>
          </cell>
          <cell r="AB1825">
            <v>295616</v>
          </cell>
          <cell r="AC1825">
            <v>0</v>
          </cell>
          <cell r="AD1825">
            <v>392410.06000000006</v>
          </cell>
          <cell r="AT1825">
            <v>4.9107333706943871E-3</v>
          </cell>
          <cell r="AU1825">
            <v>-2.6668396077370369E-4</v>
          </cell>
          <cell r="AV1825">
            <v>2.1115282321470284E-2</v>
          </cell>
          <cell r="AW1825">
            <v>-9.0877868407990239E-2</v>
          </cell>
          <cell r="AX1825">
            <v>8.0509761329112754E-3</v>
          </cell>
          <cell r="AY1825">
            <v>8.0509761329112754E-3</v>
          </cell>
          <cell r="AZ1825">
            <v>8.0509761329112754E-3</v>
          </cell>
          <cell r="BA1825">
            <v>8.0509761329112754E-3</v>
          </cell>
          <cell r="BF1825">
            <v>24847.530000000326</v>
          </cell>
          <cell r="BG1825">
            <v>-2812.6599999992904</v>
          </cell>
          <cell r="BH1825">
            <v>174994.56000000003</v>
          </cell>
          <cell r="BI1825">
            <v>-2388.6400000000031</v>
          </cell>
          <cell r="BJ1825">
            <v>-1890.0200000000002</v>
          </cell>
          <cell r="BK1825">
            <v>0</v>
          </cell>
          <cell r="BL1825">
            <v>0</v>
          </cell>
          <cell r="BM1825">
            <v>-4278.6600000000035</v>
          </cell>
          <cell r="BN1825">
            <v>0</v>
          </cell>
          <cell r="BO1825">
            <v>0</v>
          </cell>
          <cell r="BP1825">
            <v>0</v>
          </cell>
          <cell r="BQ1825">
            <v>0</v>
          </cell>
          <cell r="BR1825">
            <v>-4278.6600000000035</v>
          </cell>
          <cell r="BT1825">
            <v>0</v>
          </cell>
          <cell r="CA1825" t="str">
            <v>3GASOT - EBITA - Base</v>
          </cell>
          <cell r="CC1825" t="str">
            <v>3GASOT - EBITA - Base - IS4</v>
          </cell>
          <cell r="CD1825" t="str">
            <v/>
          </cell>
          <cell r="CF1825" t="str">
            <v>3GASOT - Base - IS4</v>
          </cell>
        </row>
        <row r="1826">
          <cell r="D1826">
            <v>1812</v>
          </cell>
          <cell r="E1826">
            <v>0</v>
          </cell>
          <cell r="F1826">
            <v>0</v>
          </cell>
          <cell r="G1826" t="str">
            <v>3GASOT</v>
          </cell>
          <cell r="H1826" t="str">
            <v>Army Spec Ops Training Support</v>
          </cell>
          <cell r="I1826" t="str">
            <v>IS4</v>
          </cell>
          <cell r="J1826" t="str">
            <v>IS4 Spectrum &amp; Infrastructure Assurance</v>
          </cell>
          <cell r="K1826" t="str">
            <v>Army</v>
          </cell>
          <cell r="L1826" t="str">
            <v>DOD</v>
          </cell>
          <cell r="M1826" t="str">
            <v>US_State</v>
          </cell>
          <cell r="N1826" t="str">
            <v>CONUS</v>
          </cell>
          <cell r="O1826">
            <v>0</v>
          </cell>
          <cell r="P1826">
            <v>0</v>
          </cell>
          <cell r="Q1826">
            <v>0</v>
          </cell>
          <cell r="R1826" t="str">
            <v>CPFF</v>
          </cell>
          <cell r="S1826">
            <v>0</v>
          </cell>
          <cell r="T1826">
            <v>1</v>
          </cell>
          <cell r="U1826" t="str">
            <v>EBITA</v>
          </cell>
          <cell r="V1826" t="str">
            <v>Identified - Recompete</v>
          </cell>
          <cell r="W1826">
            <v>0</v>
          </cell>
          <cell r="X1826">
            <v>0</v>
          </cell>
          <cell r="Y1826">
            <v>0</v>
          </cell>
          <cell r="Z1826">
            <v>0</v>
          </cell>
          <cell r="AA1826">
            <v>0</v>
          </cell>
          <cell r="AB1826">
            <v>0</v>
          </cell>
          <cell r="AC1826">
            <v>0</v>
          </cell>
          <cell r="AD1826">
            <v>0</v>
          </cell>
          <cell r="AX1826">
            <v>0</v>
          </cell>
          <cell r="AY1826">
            <v>0</v>
          </cell>
          <cell r="AZ1826">
            <v>0</v>
          </cell>
          <cell r="BA1826">
            <v>0</v>
          </cell>
          <cell r="BI1826">
            <v>0</v>
          </cell>
          <cell r="BJ1826">
            <v>0</v>
          </cell>
          <cell r="BK1826">
            <v>0</v>
          </cell>
          <cell r="BL1826">
            <v>0</v>
          </cell>
          <cell r="BM1826">
            <v>0</v>
          </cell>
          <cell r="BN1826">
            <v>0</v>
          </cell>
          <cell r="BO1826">
            <v>0</v>
          </cell>
          <cell r="BP1826">
            <v>0</v>
          </cell>
          <cell r="BQ1826">
            <v>0</v>
          </cell>
          <cell r="BR1826">
            <v>0</v>
          </cell>
          <cell r="BT1826">
            <v>0</v>
          </cell>
          <cell r="CA1826" t="str">
            <v>3GASOT - EBITA - Identified - Recompete</v>
          </cell>
          <cell r="CC1826" t="str">
            <v>3GASOT - EBITA - Identified - Recompete - IS4</v>
          </cell>
          <cell r="CD1826" t="str">
            <v/>
          </cell>
          <cell r="CF1826" t="str">
            <v>3GASOT - Identified - Recompete - IS4</v>
          </cell>
        </row>
        <row r="1827">
          <cell r="D1827">
            <v>1813</v>
          </cell>
          <cell r="E1827">
            <v>1</v>
          </cell>
          <cell r="F1827">
            <v>1</v>
          </cell>
          <cell r="G1827" t="str">
            <v>915EN2</v>
          </cell>
          <cell r="H1827" t="str">
            <v>Navy Combat Systems EN412</v>
          </cell>
          <cell r="I1827" t="str">
            <v>IS4</v>
          </cell>
          <cell r="J1827" t="str">
            <v>IS4 Sustainment Engineering and Acquisition</v>
          </cell>
          <cell r="K1827" t="str">
            <v>Navy</v>
          </cell>
          <cell r="L1827" t="str">
            <v>DOD</v>
          </cell>
          <cell r="M1827" t="str">
            <v>RI</v>
          </cell>
          <cell r="N1827" t="str">
            <v>CONUS</v>
          </cell>
          <cell r="O1827">
            <v>36989</v>
          </cell>
          <cell r="P1827">
            <v>43373</v>
          </cell>
          <cell r="Q1827" t="str">
            <v>Prime</v>
          </cell>
          <cell r="R1827" t="str">
            <v>CPFF</v>
          </cell>
          <cell r="S1827">
            <v>0</v>
          </cell>
          <cell r="T1827">
            <v>1</v>
          </cell>
          <cell r="U1827" t="str">
            <v>REVTOT</v>
          </cell>
          <cell r="V1827" t="str">
            <v>Base</v>
          </cell>
          <cell r="W1827" t="str">
            <v>05 Won</v>
          </cell>
          <cell r="X1827" t="str">
            <v>Active</v>
          </cell>
          <cell r="Y1827">
            <v>1</v>
          </cell>
          <cell r="Z1827">
            <v>0</v>
          </cell>
          <cell r="AA1827">
            <v>584731.15186635987</v>
          </cell>
          <cell r="AB1827">
            <v>0</v>
          </cell>
          <cell r="AC1827">
            <v>0</v>
          </cell>
          <cell r="AD1827">
            <v>584731.15186635987</v>
          </cell>
          <cell r="AE1827">
            <v>-0.32123376782604396</v>
          </cell>
          <cell r="AF1827">
            <v>-0.5161139971697436</v>
          </cell>
          <cell r="AG1827">
            <v>-0.99723238378165258</v>
          </cell>
          <cell r="AH1827">
            <v>-1</v>
          </cell>
          <cell r="AI1827">
            <v>0</v>
          </cell>
          <cell r="AJ1827">
            <v>0</v>
          </cell>
          <cell r="AK1827">
            <v>0</v>
          </cell>
          <cell r="BB1827">
            <v>0</v>
          </cell>
          <cell r="BC1827">
            <v>0</v>
          </cell>
          <cell r="BD1827">
            <v>0</v>
          </cell>
          <cell r="BE1827">
            <v>0</v>
          </cell>
          <cell r="BF1827">
            <v>2668724.48</v>
          </cell>
          <cell r="BG1827">
            <v>1811440.06</v>
          </cell>
          <cell r="BH1827">
            <v>876530.48999999987</v>
          </cell>
          <cell r="BI1827">
            <v>2428.6400000000003</v>
          </cell>
          <cell r="BJ1827">
            <v>-2.740000000000002</v>
          </cell>
          <cell r="BK1827">
            <v>0</v>
          </cell>
          <cell r="BL1827">
            <v>0</v>
          </cell>
          <cell r="BM1827">
            <v>2425.9000000000005</v>
          </cell>
          <cell r="BN1827">
            <v>0</v>
          </cell>
          <cell r="BO1827">
            <v>0</v>
          </cell>
          <cell r="BP1827">
            <v>0</v>
          </cell>
          <cell r="BQ1827">
            <v>0</v>
          </cell>
          <cell r="BR1827">
            <v>2425.9000000000005</v>
          </cell>
          <cell r="BT1827">
            <v>0</v>
          </cell>
          <cell r="CA1827" t="str">
            <v>915EN2 - REVTOT - Base</v>
          </cell>
          <cell r="CC1827" t="str">
            <v>915EN2 - REVTOT - Base - IS4</v>
          </cell>
          <cell r="CD1827" t="str">
            <v/>
          </cell>
          <cell r="CF1827" t="str">
            <v>915EN2 - Base - IS4</v>
          </cell>
        </row>
        <row r="1828">
          <cell r="D1828">
            <v>1814</v>
          </cell>
          <cell r="E1828">
            <v>1</v>
          </cell>
          <cell r="F1828">
            <v>2</v>
          </cell>
          <cell r="G1828" t="str">
            <v>915EN2</v>
          </cell>
          <cell r="H1828" t="str">
            <v>Navy Combat Systems EN412</v>
          </cell>
          <cell r="I1828" t="str">
            <v>IS4</v>
          </cell>
          <cell r="J1828" t="str">
            <v>IS4 Sustainment Engineering and Acquisition</v>
          </cell>
          <cell r="K1828" t="str">
            <v>Navy</v>
          </cell>
          <cell r="L1828" t="str">
            <v>DOD</v>
          </cell>
          <cell r="M1828" t="str">
            <v>RI</v>
          </cell>
          <cell r="N1828" t="str">
            <v>CONUS</v>
          </cell>
          <cell r="O1828">
            <v>0</v>
          </cell>
          <cell r="P1828">
            <v>0</v>
          </cell>
          <cell r="Q1828">
            <v>0</v>
          </cell>
          <cell r="R1828" t="str">
            <v>CPFF</v>
          </cell>
          <cell r="S1828">
            <v>0</v>
          </cell>
          <cell r="T1828">
            <v>1</v>
          </cell>
          <cell r="U1828" t="str">
            <v>REVTOT</v>
          </cell>
          <cell r="V1828" t="str">
            <v>Identified - Recompete</v>
          </cell>
          <cell r="W1828">
            <v>0</v>
          </cell>
          <cell r="X1828">
            <v>0</v>
          </cell>
          <cell r="Y1828">
            <v>0</v>
          </cell>
          <cell r="Z1828">
            <v>0</v>
          </cell>
          <cell r="AA1828">
            <v>0</v>
          </cell>
          <cell r="AB1828">
            <v>0</v>
          </cell>
          <cell r="AC1828">
            <v>0</v>
          </cell>
          <cell r="AD1828">
            <v>0</v>
          </cell>
          <cell r="AI1828">
            <v>0</v>
          </cell>
          <cell r="AJ1828">
            <v>0</v>
          </cell>
          <cell r="AK1828">
            <v>0</v>
          </cell>
          <cell r="BB1828">
            <v>0</v>
          </cell>
          <cell r="BC1828">
            <v>0</v>
          </cell>
          <cell r="BD1828">
            <v>0</v>
          </cell>
          <cell r="BE1828">
            <v>0</v>
          </cell>
          <cell r="BI1828">
            <v>0</v>
          </cell>
          <cell r="BJ1828">
            <v>0</v>
          </cell>
          <cell r="BK1828">
            <v>0</v>
          </cell>
          <cell r="BL1828">
            <v>0</v>
          </cell>
          <cell r="BM1828">
            <v>0</v>
          </cell>
          <cell r="BN1828">
            <v>0</v>
          </cell>
          <cell r="BO1828">
            <v>0</v>
          </cell>
          <cell r="BP1828">
            <v>0</v>
          </cell>
          <cell r="BQ1828">
            <v>0</v>
          </cell>
          <cell r="BR1828">
            <v>0</v>
          </cell>
          <cell r="BT1828">
            <v>0</v>
          </cell>
          <cell r="CA1828" t="str">
            <v>915EN2 - REVTOT - Identified - Recompete</v>
          </cell>
          <cell r="CC1828" t="str">
            <v>915EN2 - REVTOT - Identified - Recompete - IS4</v>
          </cell>
          <cell r="CD1828" t="str">
            <v/>
          </cell>
          <cell r="CF1828" t="str">
            <v>915EN2 - Identified - Recompete - IS4</v>
          </cell>
        </row>
        <row r="1829">
          <cell r="D1829">
            <v>1815</v>
          </cell>
          <cell r="E1829">
            <v>2</v>
          </cell>
          <cell r="F1829">
            <v>3</v>
          </cell>
          <cell r="G1829" t="str">
            <v>915EN2</v>
          </cell>
          <cell r="H1829" t="str">
            <v>Navy Combat Systems EN412</v>
          </cell>
          <cell r="I1829" t="str">
            <v>IS4</v>
          </cell>
          <cell r="J1829" t="str">
            <v>IS4 Sustainment Engineering and Acquisition</v>
          </cell>
          <cell r="K1829" t="str">
            <v>Navy</v>
          </cell>
          <cell r="L1829" t="str">
            <v>DOD</v>
          </cell>
          <cell r="M1829" t="str">
            <v>RI</v>
          </cell>
          <cell r="N1829" t="str">
            <v>CONUS</v>
          </cell>
          <cell r="O1829">
            <v>36989</v>
          </cell>
          <cell r="P1829">
            <v>43373</v>
          </cell>
          <cell r="Q1829" t="str">
            <v>Prime</v>
          </cell>
          <cell r="R1829" t="str">
            <v>CPFF</v>
          </cell>
          <cell r="S1829">
            <v>0</v>
          </cell>
          <cell r="T1829">
            <v>1</v>
          </cell>
          <cell r="U1829" t="str">
            <v>CONTRACT</v>
          </cell>
          <cell r="V1829" t="str">
            <v>Base</v>
          </cell>
          <cell r="W1829" t="str">
            <v>05 Won</v>
          </cell>
          <cell r="X1829" t="str">
            <v>Active</v>
          </cell>
          <cell r="Y1829">
            <v>1</v>
          </cell>
          <cell r="Z1829">
            <v>0</v>
          </cell>
          <cell r="AA1829">
            <v>584731.15186635987</v>
          </cell>
          <cell r="AB1829">
            <v>0</v>
          </cell>
          <cell r="AC1829">
            <v>0</v>
          </cell>
          <cell r="AD1829">
            <v>584731.15186635987</v>
          </cell>
          <cell r="AL1829">
            <v>0.12995071713060463</v>
          </cell>
          <cell r="AM1829">
            <v>0.1726194848533934</v>
          </cell>
          <cell r="AN1829">
            <v>0.169876737545091</v>
          </cell>
          <cell r="AO1829">
            <v>5.5175398821056335E-2</v>
          </cell>
          <cell r="AP1829">
            <v>0.1508696128639142</v>
          </cell>
          <cell r="AQ1829">
            <v>0.1508696128639142</v>
          </cell>
          <cell r="AR1829">
            <v>0.1508696128639142</v>
          </cell>
          <cell r="AS1829">
            <v>0.1508696128639142</v>
          </cell>
          <cell r="BF1829">
            <v>346802.65999999992</v>
          </cell>
          <cell r="BG1829">
            <v>312689.85000000003</v>
          </cell>
          <cell r="BH1829">
            <v>148902.13999999998</v>
          </cell>
          <cell r="BI1829">
            <v>181.31000000000057</v>
          </cell>
          <cell r="BJ1829">
            <v>-47.459999999999994</v>
          </cell>
          <cell r="BK1829">
            <v>0</v>
          </cell>
          <cell r="BL1829">
            <v>0</v>
          </cell>
          <cell r="BM1829">
            <v>133.85000000000059</v>
          </cell>
          <cell r="BN1829">
            <v>0</v>
          </cell>
          <cell r="BO1829">
            <v>0</v>
          </cell>
          <cell r="BP1829">
            <v>0</v>
          </cell>
          <cell r="BQ1829">
            <v>0</v>
          </cell>
          <cell r="BR1829">
            <v>133.85000000000059</v>
          </cell>
          <cell r="BT1829">
            <v>0</v>
          </cell>
          <cell r="CA1829" t="str">
            <v>915EN2 - CONTRACT - Base</v>
          </cell>
          <cell r="CC1829" t="str">
            <v>915EN2 - CONTRACT - Base - IS4</v>
          </cell>
          <cell r="CD1829" t="str">
            <v/>
          </cell>
          <cell r="CF1829" t="str">
            <v>915EN2 - Base - IS4</v>
          </cell>
        </row>
        <row r="1830">
          <cell r="D1830">
            <v>1816</v>
          </cell>
          <cell r="E1830">
            <v>2</v>
          </cell>
          <cell r="F1830">
            <v>4</v>
          </cell>
          <cell r="G1830" t="str">
            <v>915EN2</v>
          </cell>
          <cell r="H1830" t="str">
            <v>Navy Combat Systems EN412</v>
          </cell>
          <cell r="I1830" t="str">
            <v>IS4</v>
          </cell>
          <cell r="J1830" t="str">
            <v>IS4 Sustainment Engineering and Acquisition</v>
          </cell>
          <cell r="K1830" t="str">
            <v>Navy</v>
          </cell>
          <cell r="L1830" t="str">
            <v>DOD</v>
          </cell>
          <cell r="M1830" t="str">
            <v>RI</v>
          </cell>
          <cell r="N1830" t="str">
            <v>CONUS</v>
          </cell>
          <cell r="O1830">
            <v>0</v>
          </cell>
          <cell r="P1830">
            <v>0</v>
          </cell>
          <cell r="Q1830">
            <v>0</v>
          </cell>
          <cell r="R1830" t="str">
            <v>CPFF</v>
          </cell>
          <cell r="S1830">
            <v>0</v>
          </cell>
          <cell r="T1830">
            <v>1</v>
          </cell>
          <cell r="U1830" t="str">
            <v>CONTRACT</v>
          </cell>
          <cell r="V1830" t="str">
            <v>Identified - Recompete</v>
          </cell>
          <cell r="W1830">
            <v>0</v>
          </cell>
          <cell r="X1830">
            <v>0</v>
          </cell>
          <cell r="Y1830">
            <v>0</v>
          </cell>
          <cell r="Z1830">
            <v>0</v>
          </cell>
          <cell r="AA1830">
            <v>0</v>
          </cell>
          <cell r="AB1830">
            <v>0</v>
          </cell>
          <cell r="AC1830">
            <v>0</v>
          </cell>
          <cell r="AD1830">
            <v>0</v>
          </cell>
          <cell r="AP1830">
            <v>0</v>
          </cell>
          <cell r="AQ1830">
            <v>0</v>
          </cell>
          <cell r="AR1830">
            <v>0</v>
          </cell>
          <cell r="AS1830">
            <v>0</v>
          </cell>
          <cell r="BI1830">
            <v>0</v>
          </cell>
          <cell r="BJ1830">
            <v>0</v>
          </cell>
          <cell r="BK1830">
            <v>0</v>
          </cell>
          <cell r="BL1830">
            <v>0</v>
          </cell>
          <cell r="BM1830">
            <v>0</v>
          </cell>
          <cell r="BN1830">
            <v>0</v>
          </cell>
          <cell r="BO1830">
            <v>0</v>
          </cell>
          <cell r="BP1830">
            <v>0</v>
          </cell>
          <cell r="BQ1830">
            <v>0</v>
          </cell>
          <cell r="BR1830">
            <v>0</v>
          </cell>
          <cell r="BT1830">
            <v>0</v>
          </cell>
          <cell r="CA1830" t="str">
            <v>915EN2 - CONTRACT - Identified - Recompete</v>
          </cell>
          <cell r="CC1830" t="str">
            <v>915EN2 - CONTRACT - Identified - Recompete - IS4</v>
          </cell>
          <cell r="CD1830" t="str">
            <v/>
          </cell>
          <cell r="CF1830" t="str">
            <v>915EN2 - Identified - Recompete - IS4</v>
          </cell>
        </row>
        <row r="1831">
          <cell r="D1831">
            <v>1817</v>
          </cell>
          <cell r="E1831">
            <v>0</v>
          </cell>
          <cell r="F1831">
            <v>5</v>
          </cell>
          <cell r="G1831" t="str">
            <v>915EN2</v>
          </cell>
          <cell r="H1831" t="str">
            <v>Navy Combat Systems EN412</v>
          </cell>
          <cell r="I1831" t="str">
            <v>IS4</v>
          </cell>
          <cell r="J1831" t="str">
            <v>IS4 Sustainment Engineering and Acquisition</v>
          </cell>
          <cell r="K1831" t="str">
            <v>Navy</v>
          </cell>
          <cell r="L1831" t="str">
            <v>DOD</v>
          </cell>
          <cell r="M1831" t="str">
            <v>RI</v>
          </cell>
          <cell r="N1831" t="str">
            <v>CONUS</v>
          </cell>
          <cell r="O1831">
            <v>36989</v>
          </cell>
          <cell r="P1831">
            <v>43373</v>
          </cell>
          <cell r="Q1831" t="str">
            <v>Prime</v>
          </cell>
          <cell r="R1831" t="str">
            <v>CPFF</v>
          </cell>
          <cell r="S1831">
            <v>0</v>
          </cell>
          <cell r="T1831">
            <v>1</v>
          </cell>
          <cell r="U1831" t="str">
            <v>EBITA</v>
          </cell>
          <cell r="V1831" t="str">
            <v>Base</v>
          </cell>
          <cell r="W1831" t="str">
            <v>05 Won</v>
          </cell>
          <cell r="X1831" t="str">
            <v>Active</v>
          </cell>
          <cell r="Y1831">
            <v>1</v>
          </cell>
          <cell r="Z1831">
            <v>0</v>
          </cell>
          <cell r="AA1831">
            <v>584731.15186635987</v>
          </cell>
          <cell r="AB1831">
            <v>0</v>
          </cell>
          <cell r="AC1831">
            <v>0</v>
          </cell>
          <cell r="AD1831">
            <v>584731.15186635987</v>
          </cell>
          <cell r="AT1831">
            <v>3.2520550791365295E-2</v>
          </cell>
          <cell r="AU1831">
            <v>3.9748535758892319E-2</v>
          </cell>
          <cell r="AV1831">
            <v>4.0781581939037845E-2</v>
          </cell>
          <cell r="AW1831">
            <v>7.0880910177666234E-2</v>
          </cell>
          <cell r="AX1831">
            <v>3.6332214283509356E-2</v>
          </cell>
          <cell r="AY1831">
            <v>3.6332214283509356E-2</v>
          </cell>
          <cell r="AZ1831">
            <v>3.6332214283509356E-2</v>
          </cell>
          <cell r="BA1831">
            <v>3.6332214283509356E-2</v>
          </cell>
          <cell r="BF1831">
            <v>86788.389999999927</v>
          </cell>
          <cell r="BG1831">
            <v>72002.090000000055</v>
          </cell>
          <cell r="BH1831">
            <v>35746.299999999988</v>
          </cell>
          <cell r="BI1831">
            <v>228.77000000000055</v>
          </cell>
          <cell r="BJ1831">
            <v>-56.819999999999993</v>
          </cell>
          <cell r="BK1831">
            <v>0</v>
          </cell>
          <cell r="BL1831">
            <v>0</v>
          </cell>
          <cell r="BM1831">
            <v>171.95000000000056</v>
          </cell>
          <cell r="BN1831">
            <v>0</v>
          </cell>
          <cell r="BO1831">
            <v>0</v>
          </cell>
          <cell r="BP1831">
            <v>0</v>
          </cell>
          <cell r="BQ1831">
            <v>0</v>
          </cell>
          <cell r="BR1831">
            <v>171.95000000000056</v>
          </cell>
          <cell r="BT1831">
            <v>0</v>
          </cell>
          <cell r="CA1831" t="str">
            <v>915EN2 - EBITA - Base</v>
          </cell>
          <cell r="CC1831" t="str">
            <v>915EN2 - EBITA - Base - IS4</v>
          </cell>
          <cell r="CD1831" t="str">
            <v/>
          </cell>
          <cell r="CF1831" t="str">
            <v>915EN2 - Base - IS4</v>
          </cell>
        </row>
        <row r="1832">
          <cell r="D1832">
            <v>1818</v>
          </cell>
          <cell r="E1832">
            <v>0</v>
          </cell>
          <cell r="F1832">
            <v>0</v>
          </cell>
          <cell r="G1832" t="str">
            <v>915EN2</v>
          </cell>
          <cell r="H1832" t="str">
            <v>Navy Combat Systems EN412</v>
          </cell>
          <cell r="I1832" t="str">
            <v>IS4</v>
          </cell>
          <cell r="J1832" t="str">
            <v>IS4 Sustainment Engineering and Acquisition</v>
          </cell>
          <cell r="K1832" t="str">
            <v>Navy</v>
          </cell>
          <cell r="L1832" t="str">
            <v>DOD</v>
          </cell>
          <cell r="M1832" t="str">
            <v>RI</v>
          </cell>
          <cell r="N1832" t="str">
            <v>CONUS</v>
          </cell>
          <cell r="O1832">
            <v>0</v>
          </cell>
          <cell r="P1832">
            <v>0</v>
          </cell>
          <cell r="Q1832">
            <v>0</v>
          </cell>
          <cell r="R1832" t="str">
            <v>CPFF</v>
          </cell>
          <cell r="S1832">
            <v>0</v>
          </cell>
          <cell r="T1832">
            <v>1</v>
          </cell>
          <cell r="U1832" t="str">
            <v>EBITA</v>
          </cell>
          <cell r="V1832" t="str">
            <v>Identified - Recompete</v>
          </cell>
          <cell r="W1832">
            <v>0</v>
          </cell>
          <cell r="X1832">
            <v>0</v>
          </cell>
          <cell r="Y1832">
            <v>0</v>
          </cell>
          <cell r="Z1832">
            <v>0</v>
          </cell>
          <cell r="AA1832">
            <v>0</v>
          </cell>
          <cell r="AB1832">
            <v>0</v>
          </cell>
          <cell r="AC1832">
            <v>0</v>
          </cell>
          <cell r="AD1832">
            <v>0</v>
          </cell>
          <cell r="AX1832">
            <v>0</v>
          </cell>
          <cell r="AY1832">
            <v>0</v>
          </cell>
          <cell r="AZ1832">
            <v>0</v>
          </cell>
          <cell r="BA1832">
            <v>0</v>
          </cell>
          <cell r="BI1832">
            <v>0</v>
          </cell>
          <cell r="BJ1832">
            <v>0</v>
          </cell>
          <cell r="BK1832">
            <v>0</v>
          </cell>
          <cell r="BL1832">
            <v>0</v>
          </cell>
          <cell r="BM1832">
            <v>0</v>
          </cell>
          <cell r="BN1832">
            <v>0</v>
          </cell>
          <cell r="BO1832">
            <v>0</v>
          </cell>
          <cell r="BP1832">
            <v>0</v>
          </cell>
          <cell r="BQ1832">
            <v>0</v>
          </cell>
          <cell r="BR1832">
            <v>0</v>
          </cell>
          <cell r="BT1832">
            <v>0</v>
          </cell>
          <cell r="CA1832" t="str">
            <v>915EN2 - EBITA - Identified - Recompete</v>
          </cell>
          <cell r="CC1832" t="str">
            <v>915EN2 - EBITA - Identified - Recompete - IS4</v>
          </cell>
          <cell r="CD1832" t="str">
            <v/>
          </cell>
          <cell r="CF1832" t="str">
            <v>915EN2 - Identified - Recompete - IS4</v>
          </cell>
        </row>
        <row r="1833">
          <cell r="D1833">
            <v>1819</v>
          </cell>
          <cell r="E1833">
            <v>1</v>
          </cell>
          <cell r="F1833">
            <v>1</v>
          </cell>
          <cell r="G1833" t="str">
            <v>3GPACM</v>
          </cell>
          <cell r="H1833" t="str">
            <v>PACOM EXPERIMENTATION</v>
          </cell>
          <cell r="I1833" t="str">
            <v>IS4</v>
          </cell>
          <cell r="J1833" t="str">
            <v>IS4 Spectrum &amp; Infrastructure Assurance</v>
          </cell>
          <cell r="K1833" t="str">
            <v>Other DOD</v>
          </cell>
          <cell r="L1833" t="str">
            <v>DOD</v>
          </cell>
          <cell r="M1833" t="str">
            <v>US_State</v>
          </cell>
          <cell r="N1833" t="str">
            <v>CONUS</v>
          </cell>
          <cell r="O1833">
            <v>41845</v>
          </cell>
          <cell r="P1833">
            <v>42643</v>
          </cell>
          <cell r="Q1833" t="str">
            <v>Prime</v>
          </cell>
          <cell r="R1833" t="str">
            <v>CPFF</v>
          </cell>
          <cell r="S1833">
            <v>0</v>
          </cell>
          <cell r="T1833">
            <v>1</v>
          </cell>
          <cell r="U1833" t="str">
            <v>REVTOT</v>
          </cell>
          <cell r="V1833" t="str">
            <v>Base</v>
          </cell>
          <cell r="W1833" t="str">
            <v>05 Won</v>
          </cell>
          <cell r="X1833" t="str">
            <v>Active</v>
          </cell>
          <cell r="Y1833">
            <v>1</v>
          </cell>
          <cell r="Z1833">
            <v>0</v>
          </cell>
          <cell r="AA1833">
            <v>881940.76999999373</v>
          </cell>
          <cell r="AB1833">
            <v>0</v>
          </cell>
          <cell r="AC1833">
            <v>0</v>
          </cell>
          <cell r="AD1833">
            <v>881940.76999999373</v>
          </cell>
          <cell r="AE1833">
            <v>-0.78290983077020015</v>
          </cell>
          <cell r="AF1833">
            <v>-0.99123521780787338</v>
          </cell>
          <cell r="AG1833">
            <v>-1.0067050252888496</v>
          </cell>
          <cell r="AH1833">
            <v>-1</v>
          </cell>
          <cell r="AI1833">
            <v>0</v>
          </cell>
          <cell r="AJ1833">
            <v>0</v>
          </cell>
          <cell r="AK1833">
            <v>0</v>
          </cell>
          <cell r="BB1833">
            <v>0</v>
          </cell>
          <cell r="BC1833">
            <v>0</v>
          </cell>
          <cell r="BD1833">
            <v>0</v>
          </cell>
          <cell r="BE1833">
            <v>0</v>
          </cell>
          <cell r="BF1833">
            <v>18348524.919999998</v>
          </cell>
          <cell r="BG1833">
            <v>3983284.38</v>
          </cell>
          <cell r="BH1833">
            <v>34912.620000000003</v>
          </cell>
          <cell r="BI1833">
            <v>668.36</v>
          </cell>
          <cell r="BJ1833">
            <v>-902.45</v>
          </cell>
          <cell r="BK1833">
            <v>0</v>
          </cell>
          <cell r="BL1833">
            <v>0</v>
          </cell>
          <cell r="BM1833">
            <v>-234.09000000000003</v>
          </cell>
          <cell r="BN1833">
            <v>0</v>
          </cell>
          <cell r="BO1833">
            <v>0</v>
          </cell>
          <cell r="BP1833">
            <v>0</v>
          </cell>
          <cell r="BQ1833">
            <v>0</v>
          </cell>
          <cell r="BR1833">
            <v>-234.09000000000003</v>
          </cell>
          <cell r="BT1833">
            <v>0</v>
          </cell>
          <cell r="CA1833" t="str">
            <v>3GPACM - REVTOT - Base</v>
          </cell>
          <cell r="CC1833" t="str">
            <v>3GPACM - REVTOT - Base - IS4</v>
          </cell>
          <cell r="CD1833" t="str">
            <v/>
          </cell>
          <cell r="CF1833" t="str">
            <v>3GPACM - Base - IS4</v>
          </cell>
        </row>
        <row r="1834">
          <cell r="D1834">
            <v>1820</v>
          </cell>
          <cell r="E1834">
            <v>1</v>
          </cell>
          <cell r="F1834">
            <v>2</v>
          </cell>
          <cell r="G1834" t="str">
            <v>3GPACM</v>
          </cell>
          <cell r="H1834" t="str">
            <v>PACOM EXPERIMENTATION</v>
          </cell>
          <cell r="I1834" t="str">
            <v>IS4</v>
          </cell>
          <cell r="J1834" t="str">
            <v>IS4 Spectrum &amp; Infrastructure Assurance</v>
          </cell>
          <cell r="K1834" t="str">
            <v>Other DOD</v>
          </cell>
          <cell r="L1834" t="str">
            <v>DOD</v>
          </cell>
          <cell r="M1834" t="str">
            <v>US_State</v>
          </cell>
          <cell r="N1834" t="str">
            <v>CONUS</v>
          </cell>
          <cell r="O1834">
            <v>0</v>
          </cell>
          <cell r="P1834">
            <v>0</v>
          </cell>
          <cell r="Q1834">
            <v>0</v>
          </cell>
          <cell r="R1834" t="str">
            <v>CPFF</v>
          </cell>
          <cell r="S1834">
            <v>0</v>
          </cell>
          <cell r="T1834">
            <v>1</v>
          </cell>
          <cell r="U1834" t="str">
            <v>REVTOT</v>
          </cell>
          <cell r="V1834" t="str">
            <v>Identified - Recompete</v>
          </cell>
          <cell r="W1834">
            <v>0</v>
          </cell>
          <cell r="X1834">
            <v>0</v>
          </cell>
          <cell r="Y1834">
            <v>0</v>
          </cell>
          <cell r="Z1834">
            <v>0</v>
          </cell>
          <cell r="AA1834">
            <v>0</v>
          </cell>
          <cell r="AB1834">
            <v>0</v>
          </cell>
          <cell r="AC1834">
            <v>0</v>
          </cell>
          <cell r="AD1834">
            <v>0</v>
          </cell>
          <cell r="AI1834">
            <v>0</v>
          </cell>
          <cell r="AJ1834">
            <v>0</v>
          </cell>
          <cell r="AK1834">
            <v>0</v>
          </cell>
          <cell r="BB1834">
            <v>0</v>
          </cell>
          <cell r="BC1834">
            <v>0</v>
          </cell>
          <cell r="BD1834">
            <v>0</v>
          </cell>
          <cell r="BE1834">
            <v>0</v>
          </cell>
          <cell r="BI1834">
            <v>0</v>
          </cell>
          <cell r="BJ1834">
            <v>0</v>
          </cell>
          <cell r="BK1834">
            <v>0</v>
          </cell>
          <cell r="BL1834">
            <v>0</v>
          </cell>
          <cell r="BM1834">
            <v>0</v>
          </cell>
          <cell r="BN1834">
            <v>0</v>
          </cell>
          <cell r="BO1834">
            <v>0</v>
          </cell>
          <cell r="BP1834">
            <v>0</v>
          </cell>
          <cell r="BQ1834">
            <v>0</v>
          </cell>
          <cell r="BR1834">
            <v>0</v>
          </cell>
          <cell r="BT1834">
            <v>0</v>
          </cell>
          <cell r="CA1834" t="str">
            <v>3GPACM - REVTOT - Identified - Recompete</v>
          </cell>
          <cell r="CC1834" t="str">
            <v>3GPACM - REVTOT - Identified - Recompete - IS4</v>
          </cell>
          <cell r="CD1834" t="str">
            <v/>
          </cell>
          <cell r="CF1834" t="str">
            <v>3GPACM - Identified - Recompete - IS4</v>
          </cell>
        </row>
        <row r="1835">
          <cell r="D1835">
            <v>1821</v>
          </cell>
          <cell r="E1835">
            <v>2</v>
          </cell>
          <cell r="F1835">
            <v>3</v>
          </cell>
          <cell r="G1835" t="str">
            <v>3GPACM</v>
          </cell>
          <cell r="H1835" t="str">
            <v>PACOM EXPERIMENTATION</v>
          </cell>
          <cell r="I1835" t="str">
            <v>IS4</v>
          </cell>
          <cell r="J1835" t="str">
            <v>IS4 Spectrum &amp; Infrastructure Assurance</v>
          </cell>
          <cell r="K1835" t="str">
            <v>Other DOD</v>
          </cell>
          <cell r="L1835" t="str">
            <v>DOD</v>
          </cell>
          <cell r="M1835" t="str">
            <v>US_State</v>
          </cell>
          <cell r="N1835" t="str">
            <v>CONUS</v>
          </cell>
          <cell r="O1835">
            <v>41845</v>
          </cell>
          <cell r="P1835">
            <v>42643</v>
          </cell>
          <cell r="Q1835" t="str">
            <v>Prime</v>
          </cell>
          <cell r="R1835" t="str">
            <v>CPFF</v>
          </cell>
          <cell r="S1835">
            <v>0</v>
          </cell>
          <cell r="T1835">
            <v>1</v>
          </cell>
          <cell r="U1835" t="str">
            <v>CONTRACT</v>
          </cell>
          <cell r="V1835" t="str">
            <v>Base</v>
          </cell>
          <cell r="W1835" t="str">
            <v>05 Won</v>
          </cell>
          <cell r="X1835" t="str">
            <v>Active</v>
          </cell>
          <cell r="Y1835">
            <v>1</v>
          </cell>
          <cell r="Z1835">
            <v>0</v>
          </cell>
          <cell r="AA1835">
            <v>881940.76999999373</v>
          </cell>
          <cell r="AB1835">
            <v>0</v>
          </cell>
          <cell r="AC1835">
            <v>0</v>
          </cell>
          <cell r="AD1835">
            <v>881940.76999999373</v>
          </cell>
          <cell r="AL1835">
            <v>9.8645178720993321E-2</v>
          </cell>
          <cell r="AM1835">
            <v>9.2546548233144246E-2</v>
          </cell>
          <cell r="AN1835">
            <v>6.7494504852399981E-2</v>
          </cell>
          <cell r="AO1835">
            <v>0.12490922294843866</v>
          </cell>
          <cell r="AP1835">
            <v>9.7510164607725977E-2</v>
          </cell>
          <cell r="AQ1835">
            <v>9.7510164607725977E-2</v>
          </cell>
          <cell r="AR1835">
            <v>9.7510164607725977E-2</v>
          </cell>
          <cell r="AS1835">
            <v>9.7510164607725977E-2</v>
          </cell>
          <cell r="BF1835">
            <v>1809993.5199999996</v>
          </cell>
          <cell r="BG1835">
            <v>368639.22000000009</v>
          </cell>
          <cell r="BH1835">
            <v>2356.4099999999967</v>
          </cell>
          <cell r="BI1835">
            <v>55.450000000000045</v>
          </cell>
          <cell r="BJ1835">
            <v>-84.690000000000055</v>
          </cell>
          <cell r="BK1835">
            <v>0</v>
          </cell>
          <cell r="BL1835">
            <v>0</v>
          </cell>
          <cell r="BM1835">
            <v>-29.240000000000009</v>
          </cell>
          <cell r="BN1835">
            <v>0</v>
          </cell>
          <cell r="BO1835">
            <v>0</v>
          </cell>
          <cell r="BP1835">
            <v>0</v>
          </cell>
          <cell r="BQ1835">
            <v>0</v>
          </cell>
          <cell r="BR1835">
            <v>-29.240000000000009</v>
          </cell>
          <cell r="BT1835">
            <v>0</v>
          </cell>
          <cell r="CA1835" t="str">
            <v>3GPACM - CONTRACT - Base</v>
          </cell>
          <cell r="CC1835" t="str">
            <v>3GPACM - CONTRACT - Base - IS4</v>
          </cell>
          <cell r="CD1835" t="str">
            <v/>
          </cell>
          <cell r="CF1835" t="str">
            <v>3GPACM - Base - IS4</v>
          </cell>
        </row>
        <row r="1836">
          <cell r="D1836">
            <v>1822</v>
          </cell>
          <cell r="E1836">
            <v>2</v>
          </cell>
          <cell r="F1836">
            <v>4</v>
          </cell>
          <cell r="G1836" t="str">
            <v>3GPACM</v>
          </cell>
          <cell r="H1836" t="str">
            <v>PACOM EXPERIMENTATION</v>
          </cell>
          <cell r="I1836" t="str">
            <v>IS4</v>
          </cell>
          <cell r="J1836" t="str">
            <v>IS4 Spectrum &amp; Infrastructure Assurance</v>
          </cell>
          <cell r="K1836" t="str">
            <v>Other DOD</v>
          </cell>
          <cell r="L1836" t="str">
            <v>DOD</v>
          </cell>
          <cell r="M1836" t="str">
            <v>US_State</v>
          </cell>
          <cell r="N1836" t="str">
            <v>CONUS</v>
          </cell>
          <cell r="O1836">
            <v>0</v>
          </cell>
          <cell r="P1836">
            <v>0</v>
          </cell>
          <cell r="Q1836">
            <v>0</v>
          </cell>
          <cell r="R1836" t="str">
            <v>CPFF</v>
          </cell>
          <cell r="S1836">
            <v>0</v>
          </cell>
          <cell r="T1836">
            <v>1</v>
          </cell>
          <cell r="U1836" t="str">
            <v>CONTRACT</v>
          </cell>
          <cell r="V1836" t="str">
            <v>Identified - Recompete</v>
          </cell>
          <cell r="W1836">
            <v>0</v>
          </cell>
          <cell r="X1836">
            <v>0</v>
          </cell>
          <cell r="Y1836">
            <v>0</v>
          </cell>
          <cell r="Z1836">
            <v>0</v>
          </cell>
          <cell r="AA1836">
            <v>0</v>
          </cell>
          <cell r="AB1836">
            <v>0</v>
          </cell>
          <cell r="AC1836">
            <v>0</v>
          </cell>
          <cell r="AD1836">
            <v>0</v>
          </cell>
          <cell r="AP1836">
            <v>0</v>
          </cell>
          <cell r="AQ1836">
            <v>0</v>
          </cell>
          <cell r="AR1836">
            <v>0</v>
          </cell>
          <cell r="AS1836">
            <v>0</v>
          </cell>
          <cell r="BI1836">
            <v>0</v>
          </cell>
          <cell r="BJ1836">
            <v>0</v>
          </cell>
          <cell r="BK1836">
            <v>0</v>
          </cell>
          <cell r="BL1836">
            <v>0</v>
          </cell>
          <cell r="BM1836">
            <v>0</v>
          </cell>
          <cell r="BN1836">
            <v>0</v>
          </cell>
          <cell r="BO1836">
            <v>0</v>
          </cell>
          <cell r="BP1836">
            <v>0</v>
          </cell>
          <cell r="BQ1836">
            <v>0</v>
          </cell>
          <cell r="BR1836">
            <v>0</v>
          </cell>
          <cell r="BT1836">
            <v>0</v>
          </cell>
          <cell r="CA1836" t="str">
            <v>3GPACM - CONTRACT - Identified - Recompete</v>
          </cell>
          <cell r="CC1836" t="str">
            <v>3GPACM - CONTRACT - Identified - Recompete - IS4</v>
          </cell>
          <cell r="CD1836" t="str">
            <v/>
          </cell>
          <cell r="CF1836" t="str">
            <v>3GPACM - Identified - Recompete - IS4</v>
          </cell>
        </row>
        <row r="1837">
          <cell r="D1837">
            <v>1823</v>
          </cell>
          <cell r="E1837">
            <v>0</v>
          </cell>
          <cell r="F1837">
            <v>5</v>
          </cell>
          <cell r="G1837" t="str">
            <v>3GPACM</v>
          </cell>
          <cell r="H1837" t="str">
            <v>PACOM EXPERIMENTATION</v>
          </cell>
          <cell r="I1837" t="str">
            <v>IS4</v>
          </cell>
          <cell r="J1837" t="str">
            <v>IS4 Spectrum &amp; Infrastructure Assurance</v>
          </cell>
          <cell r="K1837" t="str">
            <v>Other DOD</v>
          </cell>
          <cell r="L1837" t="str">
            <v>DOD</v>
          </cell>
          <cell r="M1837" t="str">
            <v>US_State</v>
          </cell>
          <cell r="N1837" t="str">
            <v>CONUS</v>
          </cell>
          <cell r="O1837">
            <v>41845</v>
          </cell>
          <cell r="P1837">
            <v>42643</v>
          </cell>
          <cell r="Q1837" t="str">
            <v>Prime</v>
          </cell>
          <cell r="R1837" t="str">
            <v>CPFF</v>
          </cell>
          <cell r="S1837">
            <v>0</v>
          </cell>
          <cell r="T1837">
            <v>1</v>
          </cell>
          <cell r="U1837" t="str">
            <v>EBITA</v>
          </cell>
          <cell r="V1837" t="str">
            <v>Base</v>
          </cell>
          <cell r="W1837" t="str">
            <v>05 Won</v>
          </cell>
          <cell r="X1837" t="str">
            <v>Active</v>
          </cell>
          <cell r="Y1837">
            <v>1</v>
          </cell>
          <cell r="Z1837">
            <v>0</v>
          </cell>
          <cell r="AA1837">
            <v>881940.76999999373</v>
          </cell>
          <cell r="AB1837">
            <v>0</v>
          </cell>
          <cell r="AC1837">
            <v>0</v>
          </cell>
          <cell r="AD1837">
            <v>881940.76999999373</v>
          </cell>
          <cell r="AT1837">
            <v>2.879798306969298E-2</v>
          </cell>
          <cell r="AU1837">
            <v>7.4039152584933167E-3</v>
          </cell>
          <cell r="AV1837">
            <v>-1.2026310256864226E-2</v>
          </cell>
          <cell r="AW1837">
            <v>4.7545815711905894E-2</v>
          </cell>
          <cell r="AX1837">
            <v>2.4923958300340793E-2</v>
          </cell>
          <cell r="AY1837">
            <v>2.4923958300340793E-2</v>
          </cell>
          <cell r="AZ1837">
            <v>2.4923958300340793E-2</v>
          </cell>
          <cell r="BA1837">
            <v>2.4923958300340793E-2</v>
          </cell>
          <cell r="BF1837">
            <v>528400.50999999966</v>
          </cell>
          <cell r="BG1837">
            <v>29491.900000000089</v>
          </cell>
          <cell r="BH1837">
            <v>-419.87000000000313</v>
          </cell>
          <cell r="BI1837">
            <v>0</v>
          </cell>
          <cell r="BJ1837">
            <v>-11.130000000000052</v>
          </cell>
          <cell r="BK1837">
            <v>0</v>
          </cell>
          <cell r="BL1837">
            <v>0</v>
          </cell>
          <cell r="BM1837">
            <v>-11.130000000000052</v>
          </cell>
          <cell r="BN1837">
            <v>0</v>
          </cell>
          <cell r="BO1837">
            <v>0</v>
          </cell>
          <cell r="BP1837">
            <v>0</v>
          </cell>
          <cell r="BQ1837">
            <v>0</v>
          </cell>
          <cell r="BR1837">
            <v>-11.130000000000052</v>
          </cell>
          <cell r="BT1837">
            <v>0</v>
          </cell>
          <cell r="CA1837" t="str">
            <v>3GPACM - EBITA - Base</v>
          </cell>
          <cell r="CC1837" t="str">
            <v>3GPACM - EBITA - Base - IS4</v>
          </cell>
          <cell r="CD1837" t="str">
            <v/>
          </cell>
          <cell r="CF1837" t="str">
            <v>3GPACM - Base - IS4</v>
          </cell>
        </row>
        <row r="1838">
          <cell r="D1838">
            <v>1824</v>
          </cell>
          <cell r="E1838">
            <v>0</v>
          </cell>
          <cell r="F1838">
            <v>0</v>
          </cell>
          <cell r="G1838" t="str">
            <v>3GPACM</v>
          </cell>
          <cell r="H1838" t="str">
            <v>PACOM EXPERIMENTATION</v>
          </cell>
          <cell r="I1838" t="str">
            <v>IS4</v>
          </cell>
          <cell r="J1838" t="str">
            <v>IS4 Spectrum &amp; Infrastructure Assurance</v>
          </cell>
          <cell r="K1838" t="str">
            <v>Other DOD</v>
          </cell>
          <cell r="L1838" t="str">
            <v>DOD</v>
          </cell>
          <cell r="M1838" t="str">
            <v>US_State</v>
          </cell>
          <cell r="N1838" t="str">
            <v>CONUS</v>
          </cell>
          <cell r="O1838">
            <v>0</v>
          </cell>
          <cell r="P1838">
            <v>0</v>
          </cell>
          <cell r="Q1838">
            <v>0</v>
          </cell>
          <cell r="R1838" t="str">
            <v>CPFF</v>
          </cell>
          <cell r="S1838">
            <v>0</v>
          </cell>
          <cell r="T1838">
            <v>1</v>
          </cell>
          <cell r="U1838" t="str">
            <v>EBITA</v>
          </cell>
          <cell r="V1838" t="str">
            <v>Identified - Recompete</v>
          </cell>
          <cell r="W1838">
            <v>0</v>
          </cell>
          <cell r="X1838">
            <v>0</v>
          </cell>
          <cell r="Y1838">
            <v>0</v>
          </cell>
          <cell r="Z1838">
            <v>0</v>
          </cell>
          <cell r="AA1838">
            <v>0</v>
          </cell>
          <cell r="AB1838">
            <v>0</v>
          </cell>
          <cell r="AC1838">
            <v>0</v>
          </cell>
          <cell r="AD1838">
            <v>0</v>
          </cell>
          <cell r="AX1838">
            <v>0</v>
          </cell>
          <cell r="AY1838">
            <v>0</v>
          </cell>
          <cell r="AZ1838">
            <v>0</v>
          </cell>
          <cell r="BA1838">
            <v>0</v>
          </cell>
          <cell r="BI1838">
            <v>0</v>
          </cell>
          <cell r="BJ1838">
            <v>0</v>
          </cell>
          <cell r="BK1838">
            <v>0</v>
          </cell>
          <cell r="BL1838">
            <v>0</v>
          </cell>
          <cell r="BM1838">
            <v>0</v>
          </cell>
          <cell r="BN1838">
            <v>0</v>
          </cell>
          <cell r="BO1838">
            <v>0</v>
          </cell>
          <cell r="BP1838">
            <v>0</v>
          </cell>
          <cell r="BQ1838">
            <v>0</v>
          </cell>
          <cell r="BR1838">
            <v>0</v>
          </cell>
          <cell r="BT1838">
            <v>0</v>
          </cell>
          <cell r="CA1838" t="str">
            <v>3GPACM - EBITA - Identified - Recompete</v>
          </cell>
          <cell r="CC1838" t="str">
            <v>3GPACM - EBITA - Identified - Recompete - IS4</v>
          </cell>
          <cell r="CD1838" t="str">
            <v/>
          </cell>
          <cell r="CF1838" t="str">
            <v>3GPACM - Identified - Recompete - IS4</v>
          </cell>
        </row>
        <row r="1839">
          <cell r="D1839">
            <v>1825</v>
          </cell>
          <cell r="E1839">
            <v>1</v>
          </cell>
          <cell r="F1839">
            <v>1</v>
          </cell>
          <cell r="G1839" t="str">
            <v>2713EM</v>
          </cell>
          <cell r="H1839" t="str">
            <v>ELCS ES Q50 EMAC</v>
          </cell>
          <cell r="I1839" t="str">
            <v>IS4</v>
          </cell>
          <cell r="J1839" t="str">
            <v>IS4 Spectrum &amp; Infrastructure Assurance</v>
          </cell>
          <cell r="K1839" t="str">
            <v>Navy</v>
          </cell>
          <cell r="L1839" t="str">
            <v>DOD</v>
          </cell>
          <cell r="M1839" t="str">
            <v>VA</v>
          </cell>
          <cell r="N1839" t="str">
            <v>CONUS</v>
          </cell>
          <cell r="O1839">
            <v>40764</v>
          </cell>
          <cell r="P1839">
            <v>42369</v>
          </cell>
          <cell r="Q1839" t="str">
            <v>Prime</v>
          </cell>
          <cell r="R1839" t="str">
            <v>CPFF</v>
          </cell>
          <cell r="S1839">
            <v>0</v>
          </cell>
          <cell r="T1839">
            <v>1</v>
          </cell>
          <cell r="U1839" t="str">
            <v>REVTOT</v>
          </cell>
          <cell r="V1839" t="str">
            <v>Base</v>
          </cell>
          <cell r="W1839" t="str">
            <v>05 Won</v>
          </cell>
          <cell r="X1839" t="str">
            <v>Active</v>
          </cell>
          <cell r="Y1839">
            <v>1</v>
          </cell>
          <cell r="Z1839">
            <v>0</v>
          </cell>
          <cell r="AA1839">
            <v>20211.300000001102</v>
          </cell>
          <cell r="AB1839">
            <v>0</v>
          </cell>
          <cell r="AC1839">
            <v>0</v>
          </cell>
          <cell r="AD1839">
            <v>20211.300000001102</v>
          </cell>
          <cell r="AE1839">
            <v>-1.0012436409609649</v>
          </cell>
          <cell r="AF1839">
            <v>-0.9158570643801901</v>
          </cell>
          <cell r="AG1839">
            <v>13.376629305818705</v>
          </cell>
          <cell r="AH1839">
            <v>-1</v>
          </cell>
          <cell r="AI1839">
            <v>0</v>
          </cell>
          <cell r="AJ1839">
            <v>0</v>
          </cell>
          <cell r="AK1839">
            <v>0</v>
          </cell>
          <cell r="BB1839">
            <v>0</v>
          </cell>
          <cell r="BC1839">
            <v>0</v>
          </cell>
          <cell r="BD1839">
            <v>0</v>
          </cell>
          <cell r="BE1839">
            <v>0</v>
          </cell>
          <cell r="BF1839">
            <v>12558914.1</v>
          </cell>
          <cell r="BG1839">
            <v>-15618.780000000299</v>
          </cell>
          <cell r="BH1839">
            <v>-1314.21</v>
          </cell>
          <cell r="BI1839">
            <v>0</v>
          </cell>
          <cell r="BJ1839">
            <v>-10250.92</v>
          </cell>
          <cell r="BK1839">
            <v>-8642.99</v>
          </cell>
          <cell r="BL1839">
            <v>0</v>
          </cell>
          <cell r="BM1839">
            <v>-18893.91</v>
          </cell>
          <cell r="BN1839">
            <v>0</v>
          </cell>
          <cell r="BO1839">
            <v>0</v>
          </cell>
          <cell r="BP1839">
            <v>0</v>
          </cell>
          <cell r="BQ1839">
            <v>0</v>
          </cell>
          <cell r="BR1839">
            <v>-18893.91</v>
          </cell>
          <cell r="BT1839">
            <v>0</v>
          </cell>
          <cell r="CA1839" t="str">
            <v>2713EM - REVTOT - Base</v>
          </cell>
          <cell r="CC1839" t="str">
            <v>2713EM - REVTOT - Base - IS4</v>
          </cell>
          <cell r="CD1839" t="str">
            <v/>
          </cell>
          <cell r="CF1839" t="str">
            <v>2713EM - Base - IS4</v>
          </cell>
        </row>
        <row r="1840">
          <cell r="D1840">
            <v>1826</v>
          </cell>
          <cell r="E1840">
            <v>1</v>
          </cell>
          <cell r="F1840">
            <v>2</v>
          </cell>
          <cell r="G1840" t="str">
            <v>2713EM</v>
          </cell>
          <cell r="H1840" t="str">
            <v>ELCS ES Q50 EMAC</v>
          </cell>
          <cell r="I1840" t="str">
            <v>IS4</v>
          </cell>
          <cell r="J1840" t="str">
            <v>IS4 Spectrum &amp; Infrastructure Assurance</v>
          </cell>
          <cell r="K1840" t="str">
            <v>Navy</v>
          </cell>
          <cell r="L1840" t="str">
            <v>DOD</v>
          </cell>
          <cell r="M1840" t="str">
            <v>VA</v>
          </cell>
          <cell r="N1840" t="str">
            <v>CONUS</v>
          </cell>
          <cell r="O1840">
            <v>0</v>
          </cell>
          <cell r="P1840">
            <v>0</v>
          </cell>
          <cell r="Q1840">
            <v>0</v>
          </cell>
          <cell r="R1840" t="str">
            <v>CPFF</v>
          </cell>
          <cell r="S1840">
            <v>0</v>
          </cell>
          <cell r="T1840">
            <v>1</v>
          </cell>
          <cell r="U1840" t="str">
            <v>REVTOT</v>
          </cell>
          <cell r="V1840" t="str">
            <v>Identified - Recompete</v>
          </cell>
          <cell r="W1840">
            <v>0</v>
          </cell>
          <cell r="X1840">
            <v>0</v>
          </cell>
          <cell r="Y1840">
            <v>0</v>
          </cell>
          <cell r="Z1840">
            <v>0</v>
          </cell>
          <cell r="AA1840">
            <v>0</v>
          </cell>
          <cell r="AB1840">
            <v>0</v>
          </cell>
          <cell r="AC1840">
            <v>0</v>
          </cell>
          <cell r="AD1840">
            <v>0</v>
          </cell>
          <cell r="AI1840">
            <v>0</v>
          </cell>
          <cell r="AJ1840">
            <v>0</v>
          </cell>
          <cell r="AK1840">
            <v>0</v>
          </cell>
          <cell r="BB1840">
            <v>0</v>
          </cell>
          <cell r="BC1840">
            <v>0</v>
          </cell>
          <cell r="BD1840">
            <v>0</v>
          </cell>
          <cell r="BE1840">
            <v>0</v>
          </cell>
          <cell r="BI1840">
            <v>0</v>
          </cell>
          <cell r="BJ1840">
            <v>0</v>
          </cell>
          <cell r="BK1840">
            <v>0</v>
          </cell>
          <cell r="BL1840">
            <v>0</v>
          </cell>
          <cell r="BM1840">
            <v>0</v>
          </cell>
          <cell r="BN1840">
            <v>0</v>
          </cell>
          <cell r="BO1840">
            <v>0</v>
          </cell>
          <cell r="BP1840">
            <v>0</v>
          </cell>
          <cell r="BQ1840">
            <v>0</v>
          </cell>
          <cell r="BR1840">
            <v>0</v>
          </cell>
          <cell r="BT1840">
            <v>0</v>
          </cell>
          <cell r="CA1840" t="str">
            <v>2713EM - REVTOT - Identified - Recompete</v>
          </cell>
          <cell r="CC1840" t="str">
            <v>2713EM - REVTOT - Identified - Recompete - IS4</v>
          </cell>
          <cell r="CD1840" t="str">
            <v/>
          </cell>
          <cell r="CF1840" t="str">
            <v>2713EM - Identified - Recompete - IS4</v>
          </cell>
        </row>
        <row r="1841">
          <cell r="D1841">
            <v>1827</v>
          </cell>
          <cell r="E1841">
            <v>2</v>
          </cell>
          <cell r="F1841">
            <v>3</v>
          </cell>
          <cell r="G1841" t="str">
            <v>2713EM</v>
          </cell>
          <cell r="H1841" t="str">
            <v>ELCS ES Q50 EMAC</v>
          </cell>
          <cell r="I1841" t="str">
            <v>IS4</v>
          </cell>
          <cell r="J1841" t="str">
            <v>IS4 Spectrum &amp; Infrastructure Assurance</v>
          </cell>
          <cell r="K1841" t="str">
            <v>Navy</v>
          </cell>
          <cell r="L1841" t="str">
            <v>DOD</v>
          </cell>
          <cell r="M1841" t="str">
            <v>VA</v>
          </cell>
          <cell r="N1841" t="str">
            <v>CONUS</v>
          </cell>
          <cell r="O1841">
            <v>40764</v>
          </cell>
          <cell r="P1841">
            <v>42369</v>
          </cell>
          <cell r="Q1841" t="str">
            <v>Prime</v>
          </cell>
          <cell r="R1841" t="str">
            <v>CPFF</v>
          </cell>
          <cell r="S1841">
            <v>0</v>
          </cell>
          <cell r="T1841">
            <v>1</v>
          </cell>
          <cell r="U1841" t="str">
            <v>CONTRACT</v>
          </cell>
          <cell r="V1841" t="str">
            <v>Base</v>
          </cell>
          <cell r="W1841" t="str">
            <v>05 Won</v>
          </cell>
          <cell r="X1841" t="str">
            <v>Active</v>
          </cell>
          <cell r="Y1841">
            <v>1</v>
          </cell>
          <cell r="Z1841">
            <v>0</v>
          </cell>
          <cell r="AA1841">
            <v>20211.300000001102</v>
          </cell>
          <cell r="AB1841">
            <v>0</v>
          </cell>
          <cell r="AC1841">
            <v>0</v>
          </cell>
          <cell r="AD1841">
            <v>20211.300000001102</v>
          </cell>
          <cell r="AL1841">
            <v>0.16498355777431425</v>
          </cell>
          <cell r="AM1841">
            <v>0.98805924662489764</v>
          </cell>
          <cell r="AN1841">
            <v>2.4665692697514094</v>
          </cell>
          <cell r="AO1841">
            <v>1.0145194933182173</v>
          </cell>
          <cell r="AP1841">
            <v>0.16243376633199519</v>
          </cell>
          <cell r="AQ1841">
            <v>0.16243376633199519</v>
          </cell>
          <cell r="AR1841">
            <v>0.16243376633199519</v>
          </cell>
          <cell r="AS1841">
            <v>0.16243376633199519</v>
          </cell>
          <cell r="BF1841">
            <v>2072014.3299999998</v>
          </cell>
          <cell r="BG1841">
            <v>-15432.280000000314</v>
          </cell>
          <cell r="BH1841">
            <v>-3241.5899999999997</v>
          </cell>
          <cell r="BI1841">
            <v>-274.33</v>
          </cell>
          <cell r="BJ1841">
            <v>-10250.92</v>
          </cell>
          <cell r="BK1841">
            <v>-8642.99</v>
          </cell>
          <cell r="BL1841">
            <v>0</v>
          </cell>
          <cell r="BM1841">
            <v>-19168.239999999998</v>
          </cell>
          <cell r="BN1841">
            <v>0</v>
          </cell>
          <cell r="BO1841">
            <v>0</v>
          </cell>
          <cell r="BP1841">
            <v>0</v>
          </cell>
          <cell r="BQ1841">
            <v>0</v>
          </cell>
          <cell r="BR1841">
            <v>-19168.239999999998</v>
          </cell>
          <cell r="BT1841">
            <v>0</v>
          </cell>
          <cell r="CA1841" t="str">
            <v>2713EM - CONTRACT - Base</v>
          </cell>
          <cell r="CC1841" t="str">
            <v>2713EM - CONTRACT - Base - IS4</v>
          </cell>
          <cell r="CD1841" t="str">
            <v/>
          </cell>
          <cell r="CF1841" t="str">
            <v>2713EM - Base - IS4</v>
          </cell>
        </row>
        <row r="1842">
          <cell r="D1842">
            <v>1828</v>
          </cell>
          <cell r="E1842">
            <v>2</v>
          </cell>
          <cell r="F1842">
            <v>4</v>
          </cell>
          <cell r="G1842" t="str">
            <v>2713EM</v>
          </cell>
          <cell r="H1842" t="str">
            <v>ELCS ES Q50 EMAC</v>
          </cell>
          <cell r="I1842" t="str">
            <v>IS4</v>
          </cell>
          <cell r="J1842" t="str">
            <v>IS4 Spectrum &amp; Infrastructure Assurance</v>
          </cell>
          <cell r="K1842" t="str">
            <v>Navy</v>
          </cell>
          <cell r="L1842" t="str">
            <v>DOD</v>
          </cell>
          <cell r="M1842" t="str">
            <v>VA</v>
          </cell>
          <cell r="N1842" t="str">
            <v>CONUS</v>
          </cell>
          <cell r="O1842">
            <v>0</v>
          </cell>
          <cell r="P1842">
            <v>0</v>
          </cell>
          <cell r="Q1842">
            <v>0</v>
          </cell>
          <cell r="R1842" t="str">
            <v>CPFF</v>
          </cell>
          <cell r="S1842">
            <v>0</v>
          </cell>
          <cell r="T1842">
            <v>1</v>
          </cell>
          <cell r="U1842" t="str">
            <v>CONTRACT</v>
          </cell>
          <cell r="V1842" t="str">
            <v>Identified - Recompete</v>
          </cell>
          <cell r="W1842">
            <v>0</v>
          </cell>
          <cell r="X1842">
            <v>0</v>
          </cell>
          <cell r="Y1842">
            <v>0</v>
          </cell>
          <cell r="Z1842">
            <v>0</v>
          </cell>
          <cell r="AA1842">
            <v>0</v>
          </cell>
          <cell r="AB1842">
            <v>0</v>
          </cell>
          <cell r="AC1842">
            <v>0</v>
          </cell>
          <cell r="AD1842">
            <v>0</v>
          </cell>
          <cell r="AP1842">
            <v>0</v>
          </cell>
          <cell r="AQ1842">
            <v>0</v>
          </cell>
          <cell r="AR1842">
            <v>0</v>
          </cell>
          <cell r="AS1842">
            <v>0</v>
          </cell>
          <cell r="BI1842">
            <v>0</v>
          </cell>
          <cell r="BJ1842">
            <v>0</v>
          </cell>
          <cell r="BK1842">
            <v>0</v>
          </cell>
          <cell r="BL1842">
            <v>0</v>
          </cell>
          <cell r="BM1842">
            <v>0</v>
          </cell>
          <cell r="BN1842">
            <v>0</v>
          </cell>
          <cell r="BO1842">
            <v>0</v>
          </cell>
          <cell r="BP1842">
            <v>0</v>
          </cell>
          <cell r="BQ1842">
            <v>0</v>
          </cell>
          <cell r="BR1842">
            <v>0</v>
          </cell>
          <cell r="BT1842">
            <v>0</v>
          </cell>
          <cell r="CA1842" t="str">
            <v>2713EM - CONTRACT - Identified - Recompete</v>
          </cell>
          <cell r="CC1842" t="str">
            <v>2713EM - CONTRACT - Identified - Recompete - IS4</v>
          </cell>
          <cell r="CD1842" t="str">
            <v/>
          </cell>
          <cell r="CF1842" t="str">
            <v>2713EM - Identified - Recompete - IS4</v>
          </cell>
        </row>
        <row r="1843">
          <cell r="D1843">
            <v>1829</v>
          </cell>
          <cell r="E1843">
            <v>0</v>
          </cell>
          <cell r="F1843">
            <v>5</v>
          </cell>
          <cell r="G1843" t="str">
            <v>2713EM</v>
          </cell>
          <cell r="H1843" t="str">
            <v>ELCS ES Q50 EMAC</v>
          </cell>
          <cell r="I1843" t="str">
            <v>IS4</v>
          </cell>
          <cell r="J1843" t="str">
            <v>IS4 Spectrum &amp; Infrastructure Assurance</v>
          </cell>
          <cell r="K1843" t="str">
            <v>Navy</v>
          </cell>
          <cell r="L1843" t="str">
            <v>DOD</v>
          </cell>
          <cell r="M1843" t="str">
            <v>VA</v>
          </cell>
          <cell r="N1843" t="str">
            <v>CONUS</v>
          </cell>
          <cell r="O1843">
            <v>40764</v>
          </cell>
          <cell r="P1843">
            <v>42369</v>
          </cell>
          <cell r="Q1843" t="str">
            <v>Prime</v>
          </cell>
          <cell r="R1843" t="str">
            <v>CPFF</v>
          </cell>
          <cell r="S1843">
            <v>0</v>
          </cell>
          <cell r="T1843">
            <v>1</v>
          </cell>
          <cell r="U1843" t="str">
            <v>EBITA</v>
          </cell>
          <cell r="V1843" t="str">
            <v>Base</v>
          </cell>
          <cell r="W1843" t="str">
            <v>05 Won</v>
          </cell>
          <cell r="X1843" t="str">
            <v>Active</v>
          </cell>
          <cell r="Y1843">
            <v>1</v>
          </cell>
          <cell r="Z1843">
            <v>0</v>
          </cell>
          <cell r="AA1843">
            <v>20211.300000001102</v>
          </cell>
          <cell r="AB1843">
            <v>0</v>
          </cell>
          <cell r="AC1843">
            <v>0</v>
          </cell>
          <cell r="AD1843">
            <v>20211.300000001102</v>
          </cell>
          <cell r="AT1843">
            <v>3.7100397875959652E-2</v>
          </cell>
          <cell r="AU1843">
            <v>0.99341561888957064</v>
          </cell>
          <cell r="AV1843">
            <v>2.7283006521027846</v>
          </cell>
          <cell r="AW1843">
            <v>1.0175368676996979</v>
          </cell>
          <cell r="AX1843">
            <v>3.4146049865403753E-2</v>
          </cell>
          <cell r="AY1843">
            <v>3.4146049865403753E-2</v>
          </cell>
          <cell r="AZ1843">
            <v>3.4146049865403753E-2</v>
          </cell>
          <cell r="BA1843">
            <v>3.4146049865403753E-2</v>
          </cell>
          <cell r="BF1843">
            <v>465940.70999999973</v>
          </cell>
          <cell r="BG1843">
            <v>-15515.940000000344</v>
          </cell>
          <cell r="BH1843">
            <v>-3585.5600000000004</v>
          </cell>
          <cell r="BI1843">
            <v>-332.34</v>
          </cell>
          <cell r="BJ1843">
            <v>-10249.92</v>
          </cell>
          <cell r="BK1843">
            <v>-8642.99</v>
          </cell>
          <cell r="BL1843">
            <v>0</v>
          </cell>
          <cell r="BM1843">
            <v>-19225.25</v>
          </cell>
          <cell r="BN1843">
            <v>0</v>
          </cell>
          <cell r="BO1843">
            <v>0</v>
          </cell>
          <cell r="BP1843">
            <v>0</v>
          </cell>
          <cell r="BQ1843">
            <v>0</v>
          </cell>
          <cell r="BR1843">
            <v>-19225.25</v>
          </cell>
          <cell r="BT1843">
            <v>0</v>
          </cell>
          <cell r="CA1843" t="str">
            <v>2713EM - EBITA - Base</v>
          </cell>
          <cell r="CC1843" t="str">
            <v>2713EM - EBITA - Base - IS4</v>
          </cell>
          <cell r="CD1843" t="str">
            <v/>
          </cell>
          <cell r="CF1843" t="str">
            <v>2713EM - Base - IS4</v>
          </cell>
        </row>
        <row r="1844">
          <cell r="D1844">
            <v>1830</v>
          </cell>
          <cell r="E1844">
            <v>0</v>
          </cell>
          <cell r="F1844">
            <v>0</v>
          </cell>
          <cell r="G1844" t="str">
            <v>2713EM</v>
          </cell>
          <cell r="H1844" t="str">
            <v>ELCS ES Q50 EMAC</v>
          </cell>
          <cell r="I1844" t="str">
            <v>IS4</v>
          </cell>
          <cell r="J1844" t="str">
            <v>IS4 Spectrum &amp; Infrastructure Assurance</v>
          </cell>
          <cell r="K1844" t="str">
            <v>Navy</v>
          </cell>
          <cell r="L1844" t="str">
            <v>DOD</v>
          </cell>
          <cell r="M1844" t="str">
            <v>VA</v>
          </cell>
          <cell r="N1844" t="str">
            <v>CONUS</v>
          </cell>
          <cell r="O1844">
            <v>0</v>
          </cell>
          <cell r="P1844">
            <v>0</v>
          </cell>
          <cell r="Q1844">
            <v>0</v>
          </cell>
          <cell r="R1844" t="str">
            <v>CPFF</v>
          </cell>
          <cell r="S1844">
            <v>0</v>
          </cell>
          <cell r="T1844">
            <v>1</v>
          </cell>
          <cell r="U1844" t="str">
            <v>EBITA</v>
          </cell>
          <cell r="V1844" t="str">
            <v>Identified - Recompete</v>
          </cell>
          <cell r="W1844">
            <v>0</v>
          </cell>
          <cell r="X1844">
            <v>0</v>
          </cell>
          <cell r="Y1844">
            <v>0</v>
          </cell>
          <cell r="Z1844">
            <v>0</v>
          </cell>
          <cell r="AA1844">
            <v>0</v>
          </cell>
          <cell r="AB1844">
            <v>0</v>
          </cell>
          <cell r="AC1844">
            <v>0</v>
          </cell>
          <cell r="AD1844">
            <v>0</v>
          </cell>
          <cell r="AX1844">
            <v>0</v>
          </cell>
          <cell r="AY1844">
            <v>0</v>
          </cell>
          <cell r="AZ1844">
            <v>0</v>
          </cell>
          <cell r="BA1844">
            <v>0</v>
          </cell>
          <cell r="BI1844">
            <v>0</v>
          </cell>
          <cell r="BJ1844">
            <v>0</v>
          </cell>
          <cell r="BK1844">
            <v>0</v>
          </cell>
          <cell r="BL1844">
            <v>0</v>
          </cell>
          <cell r="BM1844">
            <v>0</v>
          </cell>
          <cell r="BN1844">
            <v>0</v>
          </cell>
          <cell r="BO1844">
            <v>0</v>
          </cell>
          <cell r="BP1844">
            <v>0</v>
          </cell>
          <cell r="BQ1844">
            <v>0</v>
          </cell>
          <cell r="BR1844">
            <v>0</v>
          </cell>
          <cell r="BT1844">
            <v>0</v>
          </cell>
          <cell r="CA1844" t="str">
            <v>2713EM - EBITA - Identified - Recompete</v>
          </cell>
          <cell r="CC1844" t="str">
            <v>2713EM - EBITA - Identified - Recompete - IS4</v>
          </cell>
          <cell r="CD1844" t="str">
            <v/>
          </cell>
          <cell r="CF1844" t="str">
            <v>2713EM - Identified - Recompete - IS4</v>
          </cell>
        </row>
        <row r="1845">
          <cell r="D1845">
            <v>1831</v>
          </cell>
          <cell r="E1845">
            <v>1</v>
          </cell>
          <cell r="F1845">
            <v>1</v>
          </cell>
          <cell r="G1845" t="str">
            <v>LIVEWIRE</v>
          </cell>
          <cell r="H1845" t="str">
            <v>LIVEWIRE PROGRAM</v>
          </cell>
          <cell r="I1845" t="str">
            <v>IS4</v>
          </cell>
          <cell r="J1845" t="str">
            <v>IS4 Global Mission Solutions</v>
          </cell>
          <cell r="K1845" t="str">
            <v>M P O</v>
          </cell>
          <cell r="L1845" t="str">
            <v>Other</v>
          </cell>
          <cell r="M1845" t="str">
            <v>MD</v>
          </cell>
          <cell r="N1845" t="str">
            <v>CONUS</v>
          </cell>
          <cell r="O1845">
            <v>39645</v>
          </cell>
          <cell r="P1845">
            <v>43738</v>
          </cell>
          <cell r="Q1845" t="str">
            <v>Prime</v>
          </cell>
          <cell r="R1845" t="str">
            <v>CPAF</v>
          </cell>
          <cell r="S1845">
            <v>0</v>
          </cell>
          <cell r="T1845">
            <v>1</v>
          </cell>
          <cell r="U1845" t="str">
            <v>REVTOT</v>
          </cell>
          <cell r="V1845" t="str">
            <v>Base</v>
          </cell>
          <cell r="W1845" t="str">
            <v>05 Won</v>
          </cell>
          <cell r="X1845" t="str">
            <v>Active</v>
          </cell>
          <cell r="Y1845">
            <v>1</v>
          </cell>
          <cell r="Z1845">
            <v>0</v>
          </cell>
          <cell r="AA1845">
            <v>760588.62600000482</v>
          </cell>
          <cell r="AB1845">
            <v>0</v>
          </cell>
          <cell r="AC1845">
            <v>0</v>
          </cell>
          <cell r="AD1845">
            <v>760588.62600000482</v>
          </cell>
          <cell r="AE1845">
            <v>-0.23949029752776374</v>
          </cell>
          <cell r="AF1845">
            <v>-5.7400537320633216E-2</v>
          </cell>
          <cell r="AG1845">
            <v>-0.70307181490579884</v>
          </cell>
          <cell r="AH1845">
            <v>-1</v>
          </cell>
          <cell r="AI1845">
            <v>0</v>
          </cell>
          <cell r="AJ1845">
            <v>0</v>
          </cell>
          <cell r="AK1845">
            <v>0</v>
          </cell>
          <cell r="BB1845">
            <v>0</v>
          </cell>
          <cell r="BC1845">
            <v>0</v>
          </cell>
          <cell r="BD1845">
            <v>0</v>
          </cell>
          <cell r="BE1845">
            <v>0</v>
          </cell>
          <cell r="BF1845">
            <v>77328198.599999994</v>
          </cell>
          <cell r="BG1845">
            <v>58808845.309999995</v>
          </cell>
          <cell r="BH1845">
            <v>55433185.989999995</v>
          </cell>
          <cell r="BI1845">
            <v>8617222.7199999988</v>
          </cell>
          <cell r="BJ1845">
            <v>5282829.66</v>
          </cell>
          <cell r="BK1845">
            <v>387327.93000000005</v>
          </cell>
          <cell r="BL1845">
            <v>2172295</v>
          </cell>
          <cell r="BM1845">
            <v>16459675.309999999</v>
          </cell>
          <cell r="BN1845">
            <v>0</v>
          </cell>
          <cell r="BO1845">
            <v>0</v>
          </cell>
          <cell r="BP1845">
            <v>0</v>
          </cell>
          <cell r="BQ1845">
            <v>0</v>
          </cell>
          <cell r="BR1845">
            <v>16459675.309999999</v>
          </cell>
          <cell r="BT1845">
            <v>0</v>
          </cell>
          <cell r="CA1845" t="str">
            <v>LIVEWIRE - REVTOT - Base</v>
          </cell>
          <cell r="CC1845" t="str">
            <v>LIVEWIRE - REVTOT - Base - IS4</v>
          </cell>
          <cell r="CD1845" t="str">
            <v/>
          </cell>
          <cell r="CF1845" t="str">
            <v>LIVEWIRE - Base - IS4</v>
          </cell>
        </row>
        <row r="1846">
          <cell r="D1846">
            <v>1832</v>
          </cell>
          <cell r="E1846">
            <v>1</v>
          </cell>
          <cell r="F1846">
            <v>2</v>
          </cell>
          <cell r="G1846" t="str">
            <v>LIVEWIRE</v>
          </cell>
          <cell r="H1846" t="str">
            <v>LIVEWIRE PROGRAM</v>
          </cell>
          <cell r="I1846" t="str">
            <v>IS4</v>
          </cell>
          <cell r="J1846" t="str">
            <v>IS4 Global Mission Solutions</v>
          </cell>
          <cell r="K1846" t="str">
            <v>M P O</v>
          </cell>
          <cell r="L1846" t="str">
            <v>Other</v>
          </cell>
          <cell r="M1846" t="str">
            <v>MD</v>
          </cell>
          <cell r="N1846" t="str">
            <v>CONUS</v>
          </cell>
          <cell r="O1846">
            <v>0</v>
          </cell>
          <cell r="P1846">
            <v>0</v>
          </cell>
          <cell r="Q1846">
            <v>0</v>
          </cell>
          <cell r="R1846" t="str">
            <v>CPAF</v>
          </cell>
          <cell r="S1846">
            <v>0</v>
          </cell>
          <cell r="T1846">
            <v>1</v>
          </cell>
          <cell r="U1846" t="str">
            <v>REVTOT</v>
          </cell>
          <cell r="V1846" t="str">
            <v>Identified - Recompete</v>
          </cell>
          <cell r="W1846">
            <v>0</v>
          </cell>
          <cell r="X1846">
            <v>0</v>
          </cell>
          <cell r="Y1846">
            <v>0</v>
          </cell>
          <cell r="Z1846">
            <v>0</v>
          </cell>
          <cell r="AA1846">
            <v>0</v>
          </cell>
          <cell r="AB1846">
            <v>0</v>
          </cell>
          <cell r="AC1846">
            <v>0</v>
          </cell>
          <cell r="AD1846">
            <v>0</v>
          </cell>
          <cell r="AI1846">
            <v>0</v>
          </cell>
          <cell r="AJ1846">
            <v>0</v>
          </cell>
          <cell r="AK1846">
            <v>0</v>
          </cell>
          <cell r="BB1846">
            <v>0</v>
          </cell>
          <cell r="BC1846">
            <v>0</v>
          </cell>
          <cell r="BD1846">
            <v>0</v>
          </cell>
          <cell r="BE1846">
            <v>0</v>
          </cell>
          <cell r="BI1846">
            <v>0</v>
          </cell>
          <cell r="BJ1846">
            <v>0</v>
          </cell>
          <cell r="BK1846">
            <v>0</v>
          </cell>
          <cell r="BL1846">
            <v>0</v>
          </cell>
          <cell r="BM1846">
            <v>0</v>
          </cell>
          <cell r="BN1846">
            <v>0</v>
          </cell>
          <cell r="BO1846">
            <v>0</v>
          </cell>
          <cell r="BP1846">
            <v>0</v>
          </cell>
          <cell r="BQ1846">
            <v>0</v>
          </cell>
          <cell r="BR1846">
            <v>0</v>
          </cell>
          <cell r="BT1846">
            <v>0</v>
          </cell>
          <cell r="CA1846" t="str">
            <v>LIVEWIRE - REVTOT - Identified - Recompete</v>
          </cell>
          <cell r="CC1846" t="str">
            <v>LIVEWIRE - REVTOT - Identified - Recompete - IS4</v>
          </cell>
          <cell r="CD1846" t="str">
            <v/>
          </cell>
          <cell r="CF1846" t="str">
            <v>LIVEWIRE - Identified - Recompete - IS4</v>
          </cell>
        </row>
        <row r="1847">
          <cell r="D1847">
            <v>1833</v>
          </cell>
          <cell r="E1847">
            <v>2</v>
          </cell>
          <cell r="F1847">
            <v>3</v>
          </cell>
          <cell r="G1847" t="str">
            <v>LIVEWIRE</v>
          </cell>
          <cell r="H1847" t="str">
            <v>LIVEWIRE PROGRAM</v>
          </cell>
          <cell r="I1847" t="str">
            <v>IS4</v>
          </cell>
          <cell r="J1847" t="str">
            <v>IS4 Global Mission Solutions</v>
          </cell>
          <cell r="K1847" t="str">
            <v>M P O</v>
          </cell>
          <cell r="L1847" t="str">
            <v>Other</v>
          </cell>
          <cell r="M1847" t="str">
            <v>MD</v>
          </cell>
          <cell r="N1847" t="str">
            <v>CONUS</v>
          </cell>
          <cell r="O1847">
            <v>39645</v>
          </cell>
          <cell r="P1847">
            <v>43738</v>
          </cell>
          <cell r="Q1847" t="str">
            <v>Prime</v>
          </cell>
          <cell r="R1847" t="str">
            <v>CPAF</v>
          </cell>
          <cell r="S1847">
            <v>0</v>
          </cell>
          <cell r="T1847">
            <v>1</v>
          </cell>
          <cell r="U1847" t="str">
            <v>CONTRACT</v>
          </cell>
          <cell r="V1847" t="str">
            <v>Base</v>
          </cell>
          <cell r="W1847" t="str">
            <v>05 Won</v>
          </cell>
          <cell r="X1847" t="str">
            <v>Active</v>
          </cell>
          <cell r="Y1847">
            <v>1</v>
          </cell>
          <cell r="Z1847">
            <v>0</v>
          </cell>
          <cell r="AA1847">
            <v>760588.62600000482</v>
          </cell>
          <cell r="AB1847">
            <v>0</v>
          </cell>
          <cell r="AC1847">
            <v>0</v>
          </cell>
          <cell r="AD1847">
            <v>760588.62600000482</v>
          </cell>
          <cell r="AL1847">
            <v>0.13538041503012588</v>
          </cell>
          <cell r="AM1847">
            <v>0.13622675054695776</v>
          </cell>
          <cell r="AN1847">
            <v>0.11757051238540948</v>
          </cell>
          <cell r="AO1847">
            <v>0.13294890140818946</v>
          </cell>
          <cell r="AP1847">
            <v>0.1306815254400894</v>
          </cell>
          <cell r="AQ1847">
            <v>0.1306815254400894</v>
          </cell>
          <cell r="AR1847">
            <v>0.1306815254400894</v>
          </cell>
          <cell r="AS1847">
            <v>0.1306815254400894</v>
          </cell>
          <cell r="BF1847">
            <v>10468723.619999997</v>
          </cell>
          <cell r="BG1847">
            <v>8011337.8999999966</v>
          </cell>
          <cell r="BH1847">
            <v>6517308.0800000019</v>
          </cell>
          <cell r="BI1847">
            <v>1057608.5299999996</v>
          </cell>
          <cell r="BJ1847">
            <v>957093.45000000019</v>
          </cell>
          <cell r="BK1847">
            <v>-6325.2299999999232</v>
          </cell>
          <cell r="BL1847">
            <v>179919</v>
          </cell>
          <cell r="BM1847">
            <v>2188295.75</v>
          </cell>
          <cell r="BN1847">
            <v>0</v>
          </cell>
          <cell r="BO1847">
            <v>0</v>
          </cell>
          <cell r="BP1847">
            <v>0</v>
          </cell>
          <cell r="BQ1847">
            <v>0</v>
          </cell>
          <cell r="BR1847">
            <v>2188295.75</v>
          </cell>
          <cell r="BT1847">
            <v>0</v>
          </cell>
          <cell r="CA1847" t="str">
            <v>LIVEWIRE - CONTRACT - Base</v>
          </cell>
          <cell r="CC1847" t="str">
            <v>LIVEWIRE - CONTRACT - Base - IS4</v>
          </cell>
          <cell r="CD1847" t="str">
            <v/>
          </cell>
          <cell r="CF1847" t="str">
            <v>LIVEWIRE - Base - IS4</v>
          </cell>
        </row>
        <row r="1848">
          <cell r="D1848">
            <v>1834</v>
          </cell>
          <cell r="E1848">
            <v>2</v>
          </cell>
          <cell r="F1848">
            <v>4</v>
          </cell>
          <cell r="G1848" t="str">
            <v>LIVEWIRE</v>
          </cell>
          <cell r="H1848" t="str">
            <v>LIVEWIRE PROGRAM</v>
          </cell>
          <cell r="I1848" t="str">
            <v>IS4</v>
          </cell>
          <cell r="J1848" t="str">
            <v>IS4 Global Mission Solutions</v>
          </cell>
          <cell r="K1848" t="str">
            <v>M P O</v>
          </cell>
          <cell r="L1848" t="str">
            <v>Other</v>
          </cell>
          <cell r="M1848" t="str">
            <v>MD</v>
          </cell>
          <cell r="N1848" t="str">
            <v>CONUS</v>
          </cell>
          <cell r="O1848">
            <v>0</v>
          </cell>
          <cell r="P1848">
            <v>0</v>
          </cell>
          <cell r="Q1848">
            <v>0</v>
          </cell>
          <cell r="R1848" t="str">
            <v>CPAF</v>
          </cell>
          <cell r="S1848">
            <v>0</v>
          </cell>
          <cell r="T1848">
            <v>1</v>
          </cell>
          <cell r="U1848" t="str">
            <v>CONTRACT</v>
          </cell>
          <cell r="V1848" t="str">
            <v>Identified - Recompete</v>
          </cell>
          <cell r="W1848">
            <v>0</v>
          </cell>
          <cell r="X1848">
            <v>0</v>
          </cell>
          <cell r="Y1848">
            <v>0</v>
          </cell>
          <cell r="Z1848">
            <v>0</v>
          </cell>
          <cell r="AA1848">
            <v>0</v>
          </cell>
          <cell r="AB1848">
            <v>0</v>
          </cell>
          <cell r="AC1848">
            <v>0</v>
          </cell>
          <cell r="AD1848">
            <v>0</v>
          </cell>
          <cell r="AP1848">
            <v>0</v>
          </cell>
          <cell r="AQ1848">
            <v>0</v>
          </cell>
          <cell r="AR1848">
            <v>0</v>
          </cell>
          <cell r="AS1848">
            <v>0</v>
          </cell>
          <cell r="BI1848">
            <v>0</v>
          </cell>
          <cell r="BJ1848">
            <v>0</v>
          </cell>
          <cell r="BK1848">
            <v>0</v>
          </cell>
          <cell r="BL1848">
            <v>0</v>
          </cell>
          <cell r="BM1848">
            <v>0</v>
          </cell>
          <cell r="BN1848">
            <v>0</v>
          </cell>
          <cell r="BO1848">
            <v>0</v>
          </cell>
          <cell r="BP1848">
            <v>0</v>
          </cell>
          <cell r="BQ1848">
            <v>0</v>
          </cell>
          <cell r="BR1848">
            <v>0</v>
          </cell>
          <cell r="BT1848">
            <v>0</v>
          </cell>
          <cell r="CA1848" t="str">
            <v>LIVEWIRE - CONTRACT - Identified - Recompete</v>
          </cell>
          <cell r="CC1848" t="str">
            <v>LIVEWIRE - CONTRACT - Identified - Recompete - IS4</v>
          </cell>
          <cell r="CD1848" t="str">
            <v/>
          </cell>
          <cell r="CF1848" t="str">
            <v>LIVEWIRE - Identified - Recompete - IS4</v>
          </cell>
        </row>
        <row r="1849">
          <cell r="D1849">
            <v>1835</v>
          </cell>
          <cell r="E1849">
            <v>0</v>
          </cell>
          <cell r="F1849">
            <v>5</v>
          </cell>
          <cell r="G1849" t="str">
            <v>LIVEWIRE</v>
          </cell>
          <cell r="H1849" t="str">
            <v>LIVEWIRE PROGRAM</v>
          </cell>
          <cell r="I1849" t="str">
            <v>IS4</v>
          </cell>
          <cell r="J1849" t="str">
            <v>IS4 Global Mission Solutions</v>
          </cell>
          <cell r="K1849" t="str">
            <v>M P O</v>
          </cell>
          <cell r="L1849" t="str">
            <v>Other</v>
          </cell>
          <cell r="M1849" t="str">
            <v>MD</v>
          </cell>
          <cell r="N1849" t="str">
            <v>CONUS</v>
          </cell>
          <cell r="O1849">
            <v>39645</v>
          </cell>
          <cell r="P1849">
            <v>43738</v>
          </cell>
          <cell r="Q1849" t="str">
            <v>Prime</v>
          </cell>
          <cell r="R1849" t="str">
            <v>CPAF</v>
          </cell>
          <cell r="S1849">
            <v>0</v>
          </cell>
          <cell r="T1849">
            <v>1</v>
          </cell>
          <cell r="U1849" t="str">
            <v>EBITA</v>
          </cell>
          <cell r="V1849" t="str">
            <v>Base</v>
          </cell>
          <cell r="W1849" t="str">
            <v>05 Won</v>
          </cell>
          <cell r="X1849" t="str">
            <v>Active</v>
          </cell>
          <cell r="Y1849">
            <v>1</v>
          </cell>
          <cell r="Z1849">
            <v>0</v>
          </cell>
          <cell r="AA1849">
            <v>760588.62600000482</v>
          </cell>
          <cell r="AB1849">
            <v>0</v>
          </cell>
          <cell r="AC1849">
            <v>0</v>
          </cell>
          <cell r="AD1849">
            <v>760588.62600000482</v>
          </cell>
          <cell r="AT1849">
            <v>4.5164295214811828E-2</v>
          </cell>
          <cell r="AU1849">
            <v>4.6776900745103205E-2</v>
          </cell>
          <cell r="AV1849">
            <v>3.4308229195830181E-2</v>
          </cell>
          <cell r="AW1849">
            <v>5.2124571344293408E-2</v>
          </cell>
          <cell r="AX1849">
            <v>4.3278090575062274E-2</v>
          </cell>
          <cell r="AY1849">
            <v>4.3278090575062274E-2</v>
          </cell>
          <cell r="AZ1849">
            <v>4.3278090575062274E-2</v>
          </cell>
          <cell r="BA1849">
            <v>4.3278090575062274E-2</v>
          </cell>
          <cell r="BF1849">
            <v>3492473.5899999985</v>
          </cell>
          <cell r="BG1849">
            <v>2750895.5199999977</v>
          </cell>
          <cell r="BH1849">
            <v>1901814.4500000023</v>
          </cell>
          <cell r="BI1849">
            <v>293112.8399999995</v>
          </cell>
          <cell r="BJ1849">
            <v>545832.02000000014</v>
          </cell>
          <cell r="BK1849">
            <v>-28910.339999999916</v>
          </cell>
          <cell r="BL1849">
            <v>47919</v>
          </cell>
          <cell r="BM1849">
            <v>857953.51999999967</v>
          </cell>
          <cell r="BN1849">
            <v>0</v>
          </cell>
          <cell r="BO1849">
            <v>0</v>
          </cell>
          <cell r="BP1849">
            <v>0</v>
          </cell>
          <cell r="BQ1849">
            <v>0</v>
          </cell>
          <cell r="BR1849">
            <v>857953.51999999967</v>
          </cell>
          <cell r="BT1849">
            <v>0</v>
          </cell>
          <cell r="CA1849" t="str">
            <v>LIVEWIRE - EBITA - Base</v>
          </cell>
          <cell r="CC1849" t="str">
            <v>LIVEWIRE - EBITA - Base - IS4</v>
          </cell>
          <cell r="CD1849" t="str">
            <v/>
          </cell>
          <cell r="CF1849" t="str">
            <v>LIVEWIRE - Base - IS4</v>
          </cell>
        </row>
        <row r="1850">
          <cell r="D1850">
            <v>1836</v>
          </cell>
          <cell r="E1850">
            <v>0</v>
          </cell>
          <cell r="F1850">
            <v>0</v>
          </cell>
          <cell r="G1850" t="str">
            <v>LIVEWIRE</v>
          </cell>
          <cell r="H1850" t="str">
            <v>LIVEWIRE PROGRAM</v>
          </cell>
          <cell r="I1850" t="str">
            <v>IS4</v>
          </cell>
          <cell r="J1850" t="str">
            <v>IS4 Global Mission Solutions</v>
          </cell>
          <cell r="K1850" t="str">
            <v>M P O</v>
          </cell>
          <cell r="L1850" t="str">
            <v>Other</v>
          </cell>
          <cell r="M1850" t="str">
            <v>MD</v>
          </cell>
          <cell r="N1850" t="str">
            <v>CONUS</v>
          </cell>
          <cell r="O1850">
            <v>0</v>
          </cell>
          <cell r="P1850">
            <v>0</v>
          </cell>
          <cell r="Q1850">
            <v>0</v>
          </cell>
          <cell r="R1850" t="str">
            <v>CPAF</v>
          </cell>
          <cell r="S1850">
            <v>0</v>
          </cell>
          <cell r="T1850">
            <v>1</v>
          </cell>
          <cell r="U1850" t="str">
            <v>EBITA</v>
          </cell>
          <cell r="V1850" t="str">
            <v>Identified - Recompete</v>
          </cell>
          <cell r="W1850">
            <v>0</v>
          </cell>
          <cell r="X1850">
            <v>0</v>
          </cell>
          <cell r="Y1850">
            <v>0</v>
          </cell>
          <cell r="Z1850">
            <v>0</v>
          </cell>
          <cell r="AA1850">
            <v>0</v>
          </cell>
          <cell r="AB1850">
            <v>0</v>
          </cell>
          <cell r="AC1850">
            <v>0</v>
          </cell>
          <cell r="AD1850">
            <v>0</v>
          </cell>
          <cell r="AX1850">
            <v>0</v>
          </cell>
          <cell r="AY1850">
            <v>0</v>
          </cell>
          <cell r="AZ1850">
            <v>0</v>
          </cell>
          <cell r="BA1850">
            <v>0</v>
          </cell>
          <cell r="BI1850">
            <v>0</v>
          </cell>
          <cell r="BJ1850">
            <v>0</v>
          </cell>
          <cell r="BK1850">
            <v>0</v>
          </cell>
          <cell r="BL1850">
            <v>0</v>
          </cell>
          <cell r="BM1850">
            <v>0</v>
          </cell>
          <cell r="BN1850">
            <v>0</v>
          </cell>
          <cell r="BO1850">
            <v>0</v>
          </cell>
          <cell r="BP1850">
            <v>0</v>
          </cell>
          <cell r="BQ1850">
            <v>0</v>
          </cell>
          <cell r="BR1850">
            <v>0</v>
          </cell>
          <cell r="BT1850">
            <v>0</v>
          </cell>
          <cell r="CA1850" t="str">
            <v>LIVEWIRE - EBITA - Identified - Recompete</v>
          </cell>
          <cell r="CC1850" t="str">
            <v>LIVEWIRE - EBITA - Identified - Recompete - IS4</v>
          </cell>
          <cell r="CD1850" t="str">
            <v/>
          </cell>
          <cell r="CF1850" t="str">
            <v>LIVEWIRE - Identified - Recompete - IS4</v>
          </cell>
        </row>
        <row r="1851">
          <cell r="D1851">
            <v>1837</v>
          </cell>
          <cell r="E1851">
            <v>1</v>
          </cell>
          <cell r="F1851">
            <v>1</v>
          </cell>
          <cell r="G1851" t="str">
            <v>MISC_COL_PLN</v>
          </cell>
          <cell r="H1851" t="str">
            <v>Misc Columbia Plan</v>
          </cell>
          <cell r="I1851" t="str">
            <v>IS4</v>
          </cell>
          <cell r="J1851" t="str">
            <v>IS4 Global Mission Solutions</v>
          </cell>
          <cell r="K1851" t="str">
            <v>Other DOD</v>
          </cell>
          <cell r="L1851" t="str">
            <v>DOD</v>
          </cell>
          <cell r="M1851" t="str">
            <v>NA_Dom-Intl</v>
          </cell>
          <cell r="N1851" t="str">
            <v>Other</v>
          </cell>
          <cell r="O1851">
            <v>0</v>
          </cell>
          <cell r="P1851">
            <v>0</v>
          </cell>
          <cell r="Q1851" t="str">
            <v>Prime</v>
          </cell>
          <cell r="R1851" t="str">
            <v>CPAF</v>
          </cell>
          <cell r="S1851">
            <v>0</v>
          </cell>
          <cell r="T1851">
            <v>1</v>
          </cell>
          <cell r="U1851" t="str">
            <v>REVTOT</v>
          </cell>
          <cell r="V1851" t="str">
            <v>Base</v>
          </cell>
          <cell r="W1851" t="str">
            <v>05 Won</v>
          </cell>
          <cell r="X1851" t="str">
            <v>Active</v>
          </cell>
          <cell r="Y1851">
            <v>1</v>
          </cell>
          <cell r="Z1851">
            <v>0</v>
          </cell>
          <cell r="AA1851">
            <v>-698280.326</v>
          </cell>
          <cell r="AB1851">
            <v>0</v>
          </cell>
          <cell r="AC1851">
            <v>0</v>
          </cell>
          <cell r="AD1851">
            <v>-698280.326</v>
          </cell>
          <cell r="AE1851">
            <v>0</v>
          </cell>
          <cell r="AF1851">
            <v>0</v>
          </cell>
          <cell r="AG1851">
            <v>0</v>
          </cell>
          <cell r="AH1851">
            <v>-1</v>
          </cell>
          <cell r="AI1851">
            <v>0</v>
          </cell>
          <cell r="AJ1851">
            <v>0</v>
          </cell>
          <cell r="AK1851">
            <v>0</v>
          </cell>
          <cell r="BB1851">
            <v>6150000</v>
          </cell>
          <cell r="BC1851">
            <v>6150000</v>
          </cell>
          <cell r="BD1851">
            <v>6150000</v>
          </cell>
          <cell r="BE1851">
            <v>6150000</v>
          </cell>
          <cell r="BF1851">
            <v>0</v>
          </cell>
          <cell r="BG1851">
            <v>0</v>
          </cell>
          <cell r="BH1851">
            <v>0</v>
          </cell>
          <cell r="BI1851">
            <v>0</v>
          </cell>
          <cell r="BJ1851">
            <v>0</v>
          </cell>
          <cell r="BK1851">
            <v>0</v>
          </cell>
          <cell r="BL1851">
            <v>698280.326</v>
          </cell>
          <cell r="BM1851">
            <v>698280.326</v>
          </cell>
          <cell r="BN1851">
            <v>0</v>
          </cell>
          <cell r="BO1851">
            <v>0</v>
          </cell>
          <cell r="BP1851">
            <v>0</v>
          </cell>
          <cell r="BQ1851">
            <v>0</v>
          </cell>
          <cell r="BR1851">
            <v>698280.326</v>
          </cell>
          <cell r="BT1851">
            <v>0</v>
          </cell>
          <cell r="CA1851" t="str">
            <v>MISC_COL_PLN - REVTOT - Base</v>
          </cell>
          <cell r="CC1851" t="str">
            <v>MISC_COL_PLN - REVTOT - Base - IS4</v>
          </cell>
          <cell r="CD1851" t="str">
            <v/>
          </cell>
          <cell r="CF1851" t="str">
            <v>MISC_COL_PLN - Base - IS4</v>
          </cell>
        </row>
        <row r="1852">
          <cell r="D1852">
            <v>1838</v>
          </cell>
          <cell r="E1852">
            <v>1</v>
          </cell>
          <cell r="F1852">
            <v>2</v>
          </cell>
          <cell r="G1852" t="str">
            <v>MISC_COL_PLN</v>
          </cell>
          <cell r="H1852" t="str">
            <v>Misc Columbia Plan</v>
          </cell>
          <cell r="I1852" t="str">
            <v>IS4</v>
          </cell>
          <cell r="J1852" t="str">
            <v>IS4 Global Mission Solutions</v>
          </cell>
          <cell r="K1852" t="str">
            <v>Other DOD</v>
          </cell>
          <cell r="L1852" t="str">
            <v>DOD</v>
          </cell>
          <cell r="M1852" t="str">
            <v>NA_Dom-Intl</v>
          </cell>
          <cell r="N1852" t="str">
            <v>Other</v>
          </cell>
          <cell r="O1852">
            <v>0</v>
          </cell>
          <cell r="P1852">
            <v>0</v>
          </cell>
          <cell r="Q1852">
            <v>0</v>
          </cell>
          <cell r="R1852" t="str">
            <v>CPAF</v>
          </cell>
          <cell r="S1852">
            <v>0</v>
          </cell>
          <cell r="T1852">
            <v>1</v>
          </cell>
          <cell r="U1852" t="str">
            <v>REVTOT</v>
          </cell>
          <cell r="V1852" t="str">
            <v>Identified - Recompete</v>
          </cell>
          <cell r="W1852">
            <v>0</v>
          </cell>
          <cell r="X1852">
            <v>0</v>
          </cell>
          <cell r="Y1852">
            <v>0</v>
          </cell>
          <cell r="Z1852">
            <v>0</v>
          </cell>
          <cell r="AA1852">
            <v>0</v>
          </cell>
          <cell r="AB1852">
            <v>0</v>
          </cell>
          <cell r="AC1852">
            <v>0</v>
          </cell>
          <cell r="AD1852">
            <v>0</v>
          </cell>
          <cell r="AI1852">
            <v>0</v>
          </cell>
          <cell r="AJ1852">
            <v>0</v>
          </cell>
          <cell r="AK1852">
            <v>0</v>
          </cell>
          <cell r="BB1852">
            <v>0</v>
          </cell>
          <cell r="BC1852">
            <v>0</v>
          </cell>
          <cell r="BD1852">
            <v>0</v>
          </cell>
          <cell r="BE1852">
            <v>0</v>
          </cell>
          <cell r="BI1852">
            <v>0</v>
          </cell>
          <cell r="BJ1852">
            <v>0</v>
          </cell>
          <cell r="BK1852">
            <v>0</v>
          </cell>
          <cell r="BL1852">
            <v>0</v>
          </cell>
          <cell r="BM1852">
            <v>0</v>
          </cell>
          <cell r="BN1852">
            <v>0</v>
          </cell>
          <cell r="BO1852">
            <v>0</v>
          </cell>
          <cell r="BP1852">
            <v>0</v>
          </cell>
          <cell r="BQ1852">
            <v>0</v>
          </cell>
          <cell r="BR1852">
            <v>0</v>
          </cell>
          <cell r="BT1852">
            <v>0</v>
          </cell>
          <cell r="CA1852" t="str">
            <v>MISC_COL_PLN - REVTOT - Identified - Recompete</v>
          </cell>
          <cell r="CC1852" t="str">
            <v>MISC_COL_PLN - REVTOT - Identified - Recompete - IS4</v>
          </cell>
          <cell r="CD1852" t="str">
            <v/>
          </cell>
          <cell r="CF1852" t="str">
            <v>MISC_COL_PLN - Identified - Recompete - IS4</v>
          </cell>
        </row>
        <row r="1853">
          <cell r="D1853">
            <v>1839</v>
          </cell>
          <cell r="E1853">
            <v>2</v>
          </cell>
          <cell r="F1853">
            <v>3</v>
          </cell>
          <cell r="G1853" t="str">
            <v>MISC_COL_PLN</v>
          </cell>
          <cell r="H1853" t="str">
            <v>Misc Columbia Plan</v>
          </cell>
          <cell r="I1853" t="str">
            <v>IS4</v>
          </cell>
          <cell r="J1853" t="str">
            <v>IS4 Global Mission Solutions</v>
          </cell>
          <cell r="K1853" t="str">
            <v>Other DOD</v>
          </cell>
          <cell r="L1853" t="str">
            <v>DOD</v>
          </cell>
          <cell r="M1853" t="str">
            <v>NA_Dom-Intl</v>
          </cell>
          <cell r="N1853" t="str">
            <v>Other</v>
          </cell>
          <cell r="O1853">
            <v>0</v>
          </cell>
          <cell r="P1853">
            <v>0</v>
          </cell>
          <cell r="Q1853" t="str">
            <v>Prime</v>
          </cell>
          <cell r="R1853" t="str">
            <v>CPAF</v>
          </cell>
          <cell r="S1853">
            <v>0</v>
          </cell>
          <cell r="T1853">
            <v>1</v>
          </cell>
          <cell r="U1853" t="str">
            <v>CONTRACT</v>
          </cell>
          <cell r="V1853" t="str">
            <v>Base</v>
          </cell>
          <cell r="W1853" t="str">
            <v>05 Won</v>
          </cell>
          <cell r="X1853" t="str">
            <v>Active</v>
          </cell>
          <cell r="Y1853">
            <v>1</v>
          </cell>
          <cell r="Z1853">
            <v>0</v>
          </cell>
          <cell r="AA1853">
            <v>-698280.326</v>
          </cell>
          <cell r="AB1853">
            <v>0</v>
          </cell>
          <cell r="AC1853">
            <v>0</v>
          </cell>
          <cell r="AD1853">
            <v>-698280.326</v>
          </cell>
          <cell r="AL1853">
            <v>0</v>
          </cell>
          <cell r="AM1853">
            <v>0</v>
          </cell>
          <cell r="AN1853">
            <v>0</v>
          </cell>
          <cell r="AO1853">
            <v>0.18639285056700855</v>
          </cell>
          <cell r="AP1853">
            <v>0.17078923492026007</v>
          </cell>
          <cell r="AQ1853">
            <v>0.17078923492026007</v>
          </cell>
          <cell r="AR1853">
            <v>0.17078923492026007</v>
          </cell>
          <cell r="AS1853">
            <v>0.17078923492026007</v>
          </cell>
          <cell r="BF1853">
            <v>0</v>
          </cell>
          <cell r="BG1853">
            <v>0</v>
          </cell>
          <cell r="BH1853">
            <v>0</v>
          </cell>
          <cell r="BI1853">
            <v>0</v>
          </cell>
          <cell r="BJ1853">
            <v>0</v>
          </cell>
          <cell r="BK1853">
            <v>0</v>
          </cell>
          <cell r="BL1853">
            <v>130154.46045800002</v>
          </cell>
          <cell r="BM1853">
            <v>130154.46045800002</v>
          </cell>
          <cell r="BN1853">
            <v>0</v>
          </cell>
          <cell r="BO1853">
            <v>0</v>
          </cell>
          <cell r="BP1853">
            <v>0</v>
          </cell>
          <cell r="BQ1853">
            <v>0</v>
          </cell>
          <cell r="BR1853">
            <v>130154.46045800002</v>
          </cell>
          <cell r="BT1853">
            <v>0</v>
          </cell>
          <cell r="CA1853" t="str">
            <v>MISC_COL_PLN - CONTRACT - Base</v>
          </cell>
          <cell r="CC1853" t="str">
            <v>MISC_COL_PLN - CONTRACT - Base - IS4</v>
          </cell>
          <cell r="CD1853" t="str">
            <v/>
          </cell>
          <cell r="CF1853" t="str">
            <v>MISC_COL_PLN - Base - IS4</v>
          </cell>
        </row>
        <row r="1854">
          <cell r="D1854">
            <v>1840</v>
          </cell>
          <cell r="E1854">
            <v>2</v>
          </cell>
          <cell r="F1854">
            <v>4</v>
          </cell>
          <cell r="G1854" t="str">
            <v>MISC_COL_PLN</v>
          </cell>
          <cell r="H1854" t="str">
            <v>Misc Columbia Plan</v>
          </cell>
          <cell r="I1854" t="str">
            <v>IS4</v>
          </cell>
          <cell r="J1854" t="str">
            <v>IS4 Global Mission Solutions</v>
          </cell>
          <cell r="K1854" t="str">
            <v>Other DOD</v>
          </cell>
          <cell r="L1854" t="str">
            <v>DOD</v>
          </cell>
          <cell r="M1854" t="str">
            <v>NA_Dom-Intl</v>
          </cell>
          <cell r="N1854" t="str">
            <v>Other</v>
          </cell>
          <cell r="O1854">
            <v>0</v>
          </cell>
          <cell r="P1854">
            <v>0</v>
          </cell>
          <cell r="Q1854">
            <v>0</v>
          </cell>
          <cell r="R1854" t="str">
            <v>CPAF</v>
          </cell>
          <cell r="S1854">
            <v>0</v>
          </cell>
          <cell r="T1854">
            <v>1</v>
          </cell>
          <cell r="U1854" t="str">
            <v>CONTRACT</v>
          </cell>
          <cell r="V1854" t="str">
            <v>Identified - Recompete</v>
          </cell>
          <cell r="W1854">
            <v>0</v>
          </cell>
          <cell r="X1854">
            <v>0</v>
          </cell>
          <cell r="Y1854">
            <v>0</v>
          </cell>
          <cell r="Z1854">
            <v>0</v>
          </cell>
          <cell r="AA1854">
            <v>0</v>
          </cell>
          <cell r="AB1854">
            <v>0</v>
          </cell>
          <cell r="AC1854">
            <v>0</v>
          </cell>
          <cell r="AD1854">
            <v>0</v>
          </cell>
          <cell r="AP1854">
            <v>0</v>
          </cell>
          <cell r="AQ1854">
            <v>0</v>
          </cell>
          <cell r="AR1854">
            <v>0</v>
          </cell>
          <cell r="AS1854">
            <v>0</v>
          </cell>
          <cell r="BI1854">
            <v>0</v>
          </cell>
          <cell r="BJ1854">
            <v>0</v>
          </cell>
          <cell r="BK1854">
            <v>0</v>
          </cell>
          <cell r="BL1854">
            <v>0</v>
          </cell>
          <cell r="BM1854">
            <v>0</v>
          </cell>
          <cell r="BN1854">
            <v>0</v>
          </cell>
          <cell r="BO1854">
            <v>0</v>
          </cell>
          <cell r="BP1854">
            <v>0</v>
          </cell>
          <cell r="BQ1854">
            <v>0</v>
          </cell>
          <cell r="BR1854">
            <v>0</v>
          </cell>
          <cell r="BT1854">
            <v>0</v>
          </cell>
          <cell r="CA1854" t="str">
            <v>MISC_COL_PLN - CONTRACT - Identified - Recompete</v>
          </cell>
          <cell r="CC1854" t="str">
            <v>MISC_COL_PLN - CONTRACT - Identified - Recompete - IS4</v>
          </cell>
          <cell r="CD1854" t="str">
            <v/>
          </cell>
          <cell r="CF1854" t="str">
            <v>MISC_COL_PLN - Identified - Recompete - IS4</v>
          </cell>
        </row>
        <row r="1855">
          <cell r="D1855">
            <v>1841</v>
          </cell>
          <cell r="E1855">
            <v>0</v>
          </cell>
          <cell r="F1855">
            <v>5</v>
          </cell>
          <cell r="G1855" t="str">
            <v>MISC_COL_PLN</v>
          </cell>
          <cell r="H1855" t="str">
            <v>Misc Columbia Plan</v>
          </cell>
          <cell r="I1855" t="str">
            <v>IS4</v>
          </cell>
          <cell r="J1855" t="str">
            <v>IS4 Global Mission Solutions</v>
          </cell>
          <cell r="K1855" t="str">
            <v>Other DOD</v>
          </cell>
          <cell r="L1855" t="str">
            <v>DOD</v>
          </cell>
          <cell r="M1855" t="str">
            <v>NA_Dom-Intl</v>
          </cell>
          <cell r="N1855" t="str">
            <v>Other</v>
          </cell>
          <cell r="O1855">
            <v>0</v>
          </cell>
          <cell r="P1855">
            <v>0</v>
          </cell>
          <cell r="Q1855" t="str">
            <v>Prime</v>
          </cell>
          <cell r="R1855" t="str">
            <v>CPAF</v>
          </cell>
          <cell r="S1855">
            <v>0</v>
          </cell>
          <cell r="T1855">
            <v>1</v>
          </cell>
          <cell r="U1855" t="str">
            <v>EBITA</v>
          </cell>
          <cell r="V1855" t="str">
            <v>Base</v>
          </cell>
          <cell r="W1855" t="str">
            <v>05 Won</v>
          </cell>
          <cell r="X1855" t="str">
            <v>Active</v>
          </cell>
          <cell r="Y1855">
            <v>1</v>
          </cell>
          <cell r="Z1855">
            <v>0</v>
          </cell>
          <cell r="AA1855">
            <v>-698280.326</v>
          </cell>
          <cell r="AB1855">
            <v>0</v>
          </cell>
          <cell r="AC1855">
            <v>0</v>
          </cell>
          <cell r="AD1855">
            <v>-698280.326</v>
          </cell>
          <cell r="AT1855">
            <v>0</v>
          </cell>
          <cell r="AU1855">
            <v>0</v>
          </cell>
          <cell r="AV1855">
            <v>0</v>
          </cell>
          <cell r="AW1855">
            <v>3.8808356164398095E-2</v>
          </cell>
          <cell r="AX1855">
            <v>4.5000000146341458E-2</v>
          </cell>
          <cell r="AY1855">
            <v>4.5000000146341458E-2</v>
          </cell>
          <cell r="AZ1855">
            <v>4.5000000146341458E-2</v>
          </cell>
          <cell r="BA1855">
            <v>4.5000000146341458E-2</v>
          </cell>
          <cell r="BF1855">
            <v>0</v>
          </cell>
          <cell r="BG1855">
            <v>0</v>
          </cell>
          <cell r="BH1855">
            <v>0</v>
          </cell>
          <cell r="BI1855">
            <v>0</v>
          </cell>
          <cell r="BJ1855">
            <v>0</v>
          </cell>
          <cell r="BK1855">
            <v>0</v>
          </cell>
          <cell r="BL1855">
            <v>27099.111594000009</v>
          </cell>
          <cell r="BM1855">
            <v>27099.111594000009</v>
          </cell>
          <cell r="BN1855">
            <v>0</v>
          </cell>
          <cell r="BO1855">
            <v>0</v>
          </cell>
          <cell r="BP1855">
            <v>0</v>
          </cell>
          <cell r="BQ1855">
            <v>0</v>
          </cell>
          <cell r="BR1855">
            <v>27099.111594000009</v>
          </cell>
          <cell r="BT1855">
            <v>0</v>
          </cell>
          <cell r="CA1855" t="str">
            <v>MISC_COL_PLN - EBITA - Base</v>
          </cell>
          <cell r="CC1855" t="str">
            <v>MISC_COL_PLN - EBITA - Base - IS4</v>
          </cell>
          <cell r="CD1855" t="str">
            <v/>
          </cell>
          <cell r="CF1855" t="str">
            <v>MISC_COL_PLN - Base - IS4</v>
          </cell>
        </row>
        <row r="1856">
          <cell r="D1856">
            <v>1842</v>
          </cell>
          <cell r="E1856">
            <v>0</v>
          </cell>
          <cell r="F1856">
            <v>0</v>
          </cell>
          <cell r="G1856" t="str">
            <v>MISC_COL_PLN</v>
          </cell>
          <cell r="H1856" t="str">
            <v>Misc Columbia Plan</v>
          </cell>
          <cell r="I1856" t="str">
            <v>IS4</v>
          </cell>
          <cell r="J1856" t="str">
            <v>IS4 Global Mission Solutions</v>
          </cell>
          <cell r="K1856" t="str">
            <v>Other DOD</v>
          </cell>
          <cell r="L1856" t="str">
            <v>DOD</v>
          </cell>
          <cell r="M1856" t="str">
            <v>NA_Dom-Intl</v>
          </cell>
          <cell r="N1856" t="str">
            <v>Other</v>
          </cell>
          <cell r="O1856">
            <v>0</v>
          </cell>
          <cell r="P1856">
            <v>0</v>
          </cell>
          <cell r="Q1856">
            <v>0</v>
          </cell>
          <cell r="R1856" t="str">
            <v>CPAF</v>
          </cell>
          <cell r="S1856">
            <v>0</v>
          </cell>
          <cell r="T1856">
            <v>1</v>
          </cell>
          <cell r="U1856" t="str">
            <v>EBITA</v>
          </cell>
          <cell r="V1856" t="str">
            <v>Identified - Recompete</v>
          </cell>
          <cell r="W1856">
            <v>0</v>
          </cell>
          <cell r="X1856">
            <v>0</v>
          </cell>
          <cell r="Y1856">
            <v>0</v>
          </cell>
          <cell r="Z1856">
            <v>0</v>
          </cell>
          <cell r="AA1856">
            <v>0</v>
          </cell>
          <cell r="AB1856">
            <v>0</v>
          </cell>
          <cell r="AC1856">
            <v>0</v>
          </cell>
          <cell r="AD1856">
            <v>0</v>
          </cell>
          <cell r="AX1856">
            <v>0</v>
          </cell>
          <cell r="AY1856">
            <v>0</v>
          </cell>
          <cell r="AZ1856">
            <v>0</v>
          </cell>
          <cell r="BA1856">
            <v>0</v>
          </cell>
          <cell r="BI1856">
            <v>0</v>
          </cell>
          <cell r="BJ1856">
            <v>0</v>
          </cell>
          <cell r="BK1856">
            <v>0</v>
          </cell>
          <cell r="BL1856">
            <v>0</v>
          </cell>
          <cell r="BM1856">
            <v>0</v>
          </cell>
          <cell r="BN1856">
            <v>0</v>
          </cell>
          <cell r="BO1856">
            <v>0</v>
          </cell>
          <cell r="BP1856">
            <v>0</v>
          </cell>
          <cell r="BQ1856">
            <v>0</v>
          </cell>
          <cell r="BR1856">
            <v>0</v>
          </cell>
          <cell r="BT1856">
            <v>0</v>
          </cell>
          <cell r="CA1856" t="str">
            <v>MISC_COL_PLN - EBITA - Identified - Recompete</v>
          </cell>
          <cell r="CC1856" t="str">
            <v>MISC_COL_PLN - EBITA - Identified - Recompete - IS4</v>
          </cell>
          <cell r="CD1856" t="str">
            <v/>
          </cell>
          <cell r="CF1856" t="str">
            <v>MISC_COL_PLN - Identified - Recompete - IS4</v>
          </cell>
        </row>
        <row r="1857">
          <cell r="D1857">
            <v>1843</v>
          </cell>
          <cell r="E1857">
            <v>1</v>
          </cell>
          <cell r="F1857">
            <v>1</v>
          </cell>
          <cell r="G1857" t="str">
            <v>000010</v>
          </cell>
          <cell r="H1857" t="str">
            <v>CFOAM Contract</v>
          </cell>
          <cell r="I1857" t="str">
            <v>IS4</v>
          </cell>
          <cell r="J1857" t="str">
            <v>IS4 Infrastructure and Engineering</v>
          </cell>
          <cell r="K1857" t="str">
            <v>Classified Agency</v>
          </cell>
          <cell r="L1857" t="str">
            <v>Classified</v>
          </cell>
          <cell r="M1857" t="str">
            <v>US_State</v>
          </cell>
          <cell r="N1857" t="str">
            <v>CONUS</v>
          </cell>
          <cell r="O1857">
            <v>39969</v>
          </cell>
          <cell r="P1857">
            <v>44286</v>
          </cell>
          <cell r="Q1857" t="str">
            <v>Sub</v>
          </cell>
          <cell r="R1857" t="str">
            <v>CPAF</v>
          </cell>
          <cell r="S1857">
            <v>0</v>
          </cell>
          <cell r="T1857">
            <v>1</v>
          </cell>
          <cell r="U1857" t="str">
            <v>REVTOT</v>
          </cell>
          <cell r="V1857" t="str">
            <v>Base</v>
          </cell>
          <cell r="W1857" t="str">
            <v>05 Won</v>
          </cell>
          <cell r="X1857" t="str">
            <v>Active</v>
          </cell>
          <cell r="Y1857">
            <v>1</v>
          </cell>
          <cell r="Z1857">
            <v>0</v>
          </cell>
          <cell r="AA1857">
            <v>5147452.46</v>
          </cell>
          <cell r="AB1857">
            <v>3907896</v>
          </cell>
          <cell r="AC1857">
            <v>0</v>
          </cell>
          <cell r="AD1857">
            <v>9055348.4600000009</v>
          </cell>
          <cell r="AE1857">
            <v>0.15461441888698846</v>
          </cell>
          <cell r="AF1857">
            <v>-0.15917874858967684</v>
          </cell>
          <cell r="AG1857">
            <v>4.1970027284726541E-2</v>
          </cell>
          <cell r="AH1857">
            <v>0.14763833069451282</v>
          </cell>
          <cell r="AI1857">
            <v>0</v>
          </cell>
          <cell r="AJ1857">
            <v>0</v>
          </cell>
          <cell r="AK1857">
            <v>0</v>
          </cell>
          <cell r="BB1857">
            <v>3333639.9</v>
          </cell>
          <cell r="BC1857">
            <v>3333639.9</v>
          </cell>
          <cell r="BD1857">
            <v>3333639.9</v>
          </cell>
          <cell r="BE1857">
            <v>3333639.9</v>
          </cell>
          <cell r="BF1857">
            <v>2871559.0900000003</v>
          </cell>
          <cell r="BG1857">
            <v>3315543.53</v>
          </cell>
          <cell r="BH1857">
            <v>2787779.46</v>
          </cell>
          <cell r="BI1857">
            <v>722749.32000000007</v>
          </cell>
          <cell r="BJ1857">
            <v>725188.31</v>
          </cell>
          <cell r="BK1857">
            <v>738477.01</v>
          </cell>
          <cell r="BL1857">
            <v>718368</v>
          </cell>
          <cell r="BM1857">
            <v>2904782.64</v>
          </cell>
          <cell r="BN1857">
            <v>3333639.9</v>
          </cell>
          <cell r="BO1857">
            <v>3333639.9</v>
          </cell>
          <cell r="BP1857">
            <v>2388068.6600000011</v>
          </cell>
          <cell r="BQ1857">
            <v>0</v>
          </cell>
          <cell r="BR1857">
            <v>11960131.100000001</v>
          </cell>
          <cell r="BT1857">
            <v>0</v>
          </cell>
          <cell r="CA1857" t="str">
            <v>000010 - REVTOT - Base</v>
          </cell>
          <cell r="CC1857" t="str">
            <v>000010 - REVTOT - Base - IS4</v>
          </cell>
          <cell r="CD1857" t="str">
            <v/>
          </cell>
          <cell r="CF1857" t="str">
            <v>000010 - Base - IS4</v>
          </cell>
        </row>
        <row r="1858">
          <cell r="D1858">
            <v>1844</v>
          </cell>
          <cell r="E1858">
            <v>1</v>
          </cell>
          <cell r="F1858">
            <v>2</v>
          </cell>
          <cell r="G1858" t="str">
            <v>000010</v>
          </cell>
          <cell r="H1858" t="str">
            <v>CFOAM Contract</v>
          </cell>
          <cell r="I1858" t="str">
            <v>IS4</v>
          </cell>
          <cell r="J1858" t="str">
            <v>IS4 Infrastructure and Engineering</v>
          </cell>
          <cell r="K1858" t="str">
            <v>Classified Agency</v>
          </cell>
          <cell r="L1858" t="str">
            <v>Classified</v>
          </cell>
          <cell r="M1858" t="str">
            <v>US_State</v>
          </cell>
          <cell r="N1858" t="str">
            <v>CONUS</v>
          </cell>
          <cell r="O1858">
            <v>0</v>
          </cell>
          <cell r="P1858">
            <v>0</v>
          </cell>
          <cell r="Q1858">
            <v>0</v>
          </cell>
          <cell r="R1858" t="str">
            <v>CPAF</v>
          </cell>
          <cell r="S1858">
            <v>0</v>
          </cell>
          <cell r="T1858">
            <v>1</v>
          </cell>
          <cell r="U1858" t="str">
            <v>REVTOT</v>
          </cell>
          <cell r="V1858" t="str">
            <v>Identified - Recompete</v>
          </cell>
          <cell r="W1858">
            <v>0</v>
          </cell>
          <cell r="X1858">
            <v>0</v>
          </cell>
          <cell r="Y1858">
            <v>0</v>
          </cell>
          <cell r="Z1858">
            <v>0</v>
          </cell>
          <cell r="AA1858">
            <v>0</v>
          </cell>
          <cell r="AB1858">
            <v>0</v>
          </cell>
          <cell r="AC1858">
            <v>0</v>
          </cell>
          <cell r="AD1858">
            <v>0</v>
          </cell>
          <cell r="AI1858">
            <v>0</v>
          </cell>
          <cell r="AJ1858">
            <v>0</v>
          </cell>
          <cell r="AK1858">
            <v>0</v>
          </cell>
          <cell r="BB1858">
            <v>0</v>
          </cell>
          <cell r="BC1858">
            <v>0</v>
          </cell>
          <cell r="BD1858">
            <v>0</v>
          </cell>
          <cell r="BE1858">
            <v>0</v>
          </cell>
          <cell r="BI1858">
            <v>0</v>
          </cell>
          <cell r="BJ1858">
            <v>0</v>
          </cell>
          <cell r="BK1858">
            <v>0</v>
          </cell>
          <cell r="BL1858">
            <v>0</v>
          </cell>
          <cell r="BM1858">
            <v>0</v>
          </cell>
          <cell r="BN1858">
            <v>0</v>
          </cell>
          <cell r="BO1858">
            <v>0</v>
          </cell>
          <cell r="BP1858">
            <v>0</v>
          </cell>
          <cell r="BQ1858">
            <v>0</v>
          </cell>
          <cell r="BR1858">
            <v>0</v>
          </cell>
          <cell r="BT1858">
            <v>0</v>
          </cell>
          <cell r="CA1858" t="str">
            <v>000010 - REVTOT - Identified - Recompete</v>
          </cell>
          <cell r="CC1858" t="str">
            <v>000010 - REVTOT - Identified - Recompete - IS4</v>
          </cell>
          <cell r="CD1858" t="str">
            <v/>
          </cell>
          <cell r="CF1858" t="str">
            <v>000010 - Identified - Recompete - IS4</v>
          </cell>
        </row>
        <row r="1859">
          <cell r="D1859">
            <v>1845</v>
          </cell>
          <cell r="E1859">
            <v>2</v>
          </cell>
          <cell r="F1859">
            <v>3</v>
          </cell>
          <cell r="G1859" t="str">
            <v>000010</v>
          </cell>
          <cell r="H1859" t="str">
            <v>CFOAM Contract</v>
          </cell>
          <cell r="I1859" t="str">
            <v>IS4</v>
          </cell>
          <cell r="J1859" t="str">
            <v>IS4 Infrastructure and Engineering</v>
          </cell>
          <cell r="K1859" t="str">
            <v>Classified Agency</v>
          </cell>
          <cell r="L1859" t="str">
            <v>Classified</v>
          </cell>
          <cell r="M1859" t="str">
            <v>US_State</v>
          </cell>
          <cell r="N1859" t="str">
            <v>CONUS</v>
          </cell>
          <cell r="O1859">
            <v>39969</v>
          </cell>
          <cell r="P1859">
            <v>44286</v>
          </cell>
          <cell r="Q1859" t="str">
            <v>Sub</v>
          </cell>
          <cell r="R1859" t="str">
            <v>CPAF</v>
          </cell>
          <cell r="S1859">
            <v>0</v>
          </cell>
          <cell r="T1859">
            <v>1</v>
          </cell>
          <cell r="U1859" t="str">
            <v>CONTRACT</v>
          </cell>
          <cell r="V1859" t="str">
            <v>Base</v>
          </cell>
          <cell r="W1859" t="str">
            <v>05 Won</v>
          </cell>
          <cell r="X1859" t="str">
            <v>Active</v>
          </cell>
          <cell r="Y1859">
            <v>1</v>
          </cell>
          <cell r="Z1859">
            <v>0</v>
          </cell>
          <cell r="AA1859">
            <v>5147452.46</v>
          </cell>
          <cell r="AB1859">
            <v>3907896</v>
          </cell>
          <cell r="AC1859">
            <v>0</v>
          </cell>
          <cell r="AD1859">
            <v>9055348.4600000009</v>
          </cell>
          <cell r="AL1859">
            <v>0.18065626154327197</v>
          </cell>
          <cell r="AM1859">
            <v>0.15163805434941763</v>
          </cell>
          <cell r="AN1859">
            <v>0.14892024851922825</v>
          </cell>
          <cell r="AO1859">
            <v>0.15065610681975161</v>
          </cell>
          <cell r="AP1859">
            <v>0.14570614385194999</v>
          </cell>
          <cell r="AQ1859">
            <v>0.14570614385194999</v>
          </cell>
          <cell r="AR1859">
            <v>0.14570614385194999</v>
          </cell>
          <cell r="AS1859">
            <v>0.14570614385194999</v>
          </cell>
          <cell r="BF1859">
            <v>518765.13000000012</v>
          </cell>
          <cell r="BG1859">
            <v>502762.56999999995</v>
          </cell>
          <cell r="BH1859">
            <v>415156.80999999994</v>
          </cell>
          <cell r="BI1859">
            <v>113766.82</v>
          </cell>
          <cell r="BJ1859">
            <v>110767.68000000005</v>
          </cell>
          <cell r="BK1859">
            <v>107020.34000000005</v>
          </cell>
          <cell r="BL1859">
            <v>106068.4037</v>
          </cell>
          <cell r="BM1859">
            <v>437623.24370000011</v>
          </cell>
          <cell r="BN1859">
            <v>485731.8148200002</v>
          </cell>
          <cell r="BO1859">
            <v>485731.8148200002</v>
          </cell>
          <cell r="BP1859">
            <v>347956.27570229361</v>
          </cell>
          <cell r="BQ1859">
            <v>0</v>
          </cell>
          <cell r="BR1859">
            <v>1757043.1490422939</v>
          </cell>
          <cell r="BT1859">
            <v>0</v>
          </cell>
          <cell r="CA1859" t="str">
            <v>000010 - CONTRACT - Base</v>
          </cell>
          <cell r="CC1859" t="str">
            <v>000010 - CONTRACT - Base - IS4</v>
          </cell>
          <cell r="CD1859" t="str">
            <v/>
          </cell>
          <cell r="CF1859" t="str">
            <v>000010 - Base - IS4</v>
          </cell>
        </row>
        <row r="1860">
          <cell r="D1860">
            <v>1846</v>
          </cell>
          <cell r="E1860">
            <v>2</v>
          </cell>
          <cell r="F1860">
            <v>4</v>
          </cell>
          <cell r="G1860" t="str">
            <v>000010</v>
          </cell>
          <cell r="H1860" t="str">
            <v>CFOAM Contract</v>
          </cell>
          <cell r="I1860" t="str">
            <v>IS4</v>
          </cell>
          <cell r="J1860" t="str">
            <v>IS4 Infrastructure and Engineering</v>
          </cell>
          <cell r="K1860" t="str">
            <v>Classified Agency</v>
          </cell>
          <cell r="L1860" t="str">
            <v>Classified</v>
          </cell>
          <cell r="M1860" t="str">
            <v>US_State</v>
          </cell>
          <cell r="N1860" t="str">
            <v>CONUS</v>
          </cell>
          <cell r="O1860">
            <v>0</v>
          </cell>
          <cell r="P1860">
            <v>0</v>
          </cell>
          <cell r="Q1860">
            <v>0</v>
          </cell>
          <cell r="R1860" t="str">
            <v>CPAF</v>
          </cell>
          <cell r="S1860">
            <v>0</v>
          </cell>
          <cell r="T1860">
            <v>1</v>
          </cell>
          <cell r="U1860" t="str">
            <v>CONTRACT</v>
          </cell>
          <cell r="V1860" t="str">
            <v>Identified - Recompete</v>
          </cell>
          <cell r="W1860">
            <v>0</v>
          </cell>
          <cell r="X1860">
            <v>0</v>
          </cell>
          <cell r="Y1860">
            <v>0</v>
          </cell>
          <cell r="Z1860">
            <v>0</v>
          </cell>
          <cell r="AA1860">
            <v>0</v>
          </cell>
          <cell r="AB1860">
            <v>0</v>
          </cell>
          <cell r="AC1860">
            <v>0</v>
          </cell>
          <cell r="AD1860">
            <v>0</v>
          </cell>
          <cell r="AP1860">
            <v>0</v>
          </cell>
          <cell r="AQ1860">
            <v>0</v>
          </cell>
          <cell r="AR1860">
            <v>0</v>
          </cell>
          <cell r="AS1860">
            <v>0</v>
          </cell>
          <cell r="BI1860">
            <v>0</v>
          </cell>
          <cell r="BJ1860">
            <v>0</v>
          </cell>
          <cell r="BK1860">
            <v>0</v>
          </cell>
          <cell r="BL1860">
            <v>0</v>
          </cell>
          <cell r="BM1860">
            <v>0</v>
          </cell>
          <cell r="BN1860">
            <v>0</v>
          </cell>
          <cell r="BO1860">
            <v>0</v>
          </cell>
          <cell r="BP1860">
            <v>0</v>
          </cell>
          <cell r="BQ1860">
            <v>0</v>
          </cell>
          <cell r="BR1860">
            <v>0</v>
          </cell>
          <cell r="BT1860">
            <v>0</v>
          </cell>
          <cell r="CA1860" t="str">
            <v>000010 - CONTRACT - Identified - Recompete</v>
          </cell>
          <cell r="CC1860" t="str">
            <v>000010 - CONTRACT - Identified - Recompete - IS4</v>
          </cell>
          <cell r="CD1860" t="str">
            <v/>
          </cell>
          <cell r="CF1860" t="str">
            <v>000010 - Identified - Recompete - IS4</v>
          </cell>
        </row>
        <row r="1861">
          <cell r="D1861">
            <v>1847</v>
          </cell>
          <cell r="E1861">
            <v>0</v>
          </cell>
          <cell r="F1861">
            <v>5</v>
          </cell>
          <cell r="G1861" t="str">
            <v>000010</v>
          </cell>
          <cell r="H1861" t="str">
            <v>CFOAM Contract</v>
          </cell>
          <cell r="I1861" t="str">
            <v>IS4</v>
          </cell>
          <cell r="J1861" t="str">
            <v>IS4 Infrastructure and Engineering</v>
          </cell>
          <cell r="K1861" t="str">
            <v>Classified Agency</v>
          </cell>
          <cell r="L1861" t="str">
            <v>Classified</v>
          </cell>
          <cell r="M1861" t="str">
            <v>US_State</v>
          </cell>
          <cell r="N1861" t="str">
            <v>CONUS</v>
          </cell>
          <cell r="O1861">
            <v>39969</v>
          </cell>
          <cell r="P1861">
            <v>44286</v>
          </cell>
          <cell r="Q1861" t="str">
            <v>Sub</v>
          </cell>
          <cell r="R1861" t="str">
            <v>CPAF</v>
          </cell>
          <cell r="S1861">
            <v>0</v>
          </cell>
          <cell r="T1861">
            <v>1</v>
          </cell>
          <cell r="U1861" t="str">
            <v>EBITA</v>
          </cell>
          <cell r="V1861" t="str">
            <v>Base</v>
          </cell>
          <cell r="W1861" t="str">
            <v>05 Won</v>
          </cell>
          <cell r="X1861" t="str">
            <v>Active</v>
          </cell>
          <cell r="Y1861">
            <v>1</v>
          </cell>
          <cell r="Z1861">
            <v>0</v>
          </cell>
          <cell r="AA1861">
            <v>5147452.46</v>
          </cell>
          <cell r="AB1861">
            <v>3907896</v>
          </cell>
          <cell r="AC1861">
            <v>0</v>
          </cell>
          <cell r="AD1861">
            <v>9055348.4600000009</v>
          </cell>
          <cell r="AT1861">
            <v>9.4239439802020583E-2</v>
          </cell>
          <cell r="AU1861">
            <v>6.2593004170269473E-2</v>
          </cell>
          <cell r="AV1861">
            <v>7.0420495170733469E-2</v>
          </cell>
          <cell r="AW1861">
            <v>6.5523828562720265E-2</v>
          </cell>
          <cell r="AX1861">
            <v>5.6354772254524628E-2</v>
          </cell>
          <cell r="AY1861">
            <v>5.6354772254524628E-2</v>
          </cell>
          <cell r="AZ1861">
            <v>5.6354772254524628E-2</v>
          </cell>
          <cell r="BA1861">
            <v>5.6354772254524628E-2</v>
          </cell>
          <cell r="BF1861">
            <v>270614.12000000005</v>
          </cell>
          <cell r="BG1861">
            <v>207529.82999999996</v>
          </cell>
          <cell r="BH1861">
            <v>196316.80999999994</v>
          </cell>
          <cell r="BI1861">
            <v>49666.69</v>
          </cell>
          <cell r="BJ1861">
            <v>48741.350000000049</v>
          </cell>
          <cell r="BK1861">
            <v>41869.030000000057</v>
          </cell>
          <cell r="BL1861">
            <v>50055.409715325877</v>
          </cell>
          <cell r="BM1861">
            <v>190332.47971532599</v>
          </cell>
          <cell r="BN1861">
            <v>187866.51734309626</v>
          </cell>
          <cell r="BO1861">
            <v>187866.51734309626</v>
          </cell>
          <cell r="BP1861">
            <v>134579.06546246787</v>
          </cell>
          <cell r="BQ1861">
            <v>0</v>
          </cell>
          <cell r="BR1861">
            <v>700644.57986398635</v>
          </cell>
          <cell r="BT1861">
            <v>0</v>
          </cell>
          <cell r="CA1861" t="str">
            <v>000010 - EBITA - Base</v>
          </cell>
          <cell r="CC1861" t="str">
            <v>000010 - EBITA - Base - IS4</v>
          </cell>
          <cell r="CD1861" t="str">
            <v/>
          </cell>
          <cell r="CF1861" t="str">
            <v>000010 - Base - IS4</v>
          </cell>
        </row>
        <row r="1862">
          <cell r="D1862">
            <v>1848</v>
          </cell>
          <cell r="E1862">
            <v>0</v>
          </cell>
          <cell r="F1862">
            <v>0</v>
          </cell>
          <cell r="G1862" t="str">
            <v>000010</v>
          </cell>
          <cell r="H1862" t="str">
            <v>CFOAM Contract</v>
          </cell>
          <cell r="I1862" t="str">
            <v>IS4</v>
          </cell>
          <cell r="J1862" t="str">
            <v>IS4 Infrastructure and Engineering</v>
          </cell>
          <cell r="K1862" t="str">
            <v>Classified Agency</v>
          </cell>
          <cell r="L1862" t="str">
            <v>Classified</v>
          </cell>
          <cell r="M1862" t="str">
            <v>US_State</v>
          </cell>
          <cell r="N1862" t="str">
            <v>CONUS</v>
          </cell>
          <cell r="O1862">
            <v>0</v>
          </cell>
          <cell r="P1862">
            <v>0</v>
          </cell>
          <cell r="Q1862">
            <v>0</v>
          </cell>
          <cell r="R1862" t="str">
            <v>CPAF</v>
          </cell>
          <cell r="S1862">
            <v>0</v>
          </cell>
          <cell r="T1862">
            <v>1</v>
          </cell>
          <cell r="U1862" t="str">
            <v>EBITA</v>
          </cell>
          <cell r="V1862" t="str">
            <v>Identified - Recompete</v>
          </cell>
          <cell r="W1862">
            <v>0</v>
          </cell>
          <cell r="X1862">
            <v>0</v>
          </cell>
          <cell r="Y1862">
            <v>0</v>
          </cell>
          <cell r="Z1862">
            <v>0</v>
          </cell>
          <cell r="AA1862">
            <v>0</v>
          </cell>
          <cell r="AB1862">
            <v>0</v>
          </cell>
          <cell r="AC1862">
            <v>0</v>
          </cell>
          <cell r="AD1862">
            <v>0</v>
          </cell>
          <cell r="AX1862">
            <v>0</v>
          </cell>
          <cell r="AY1862">
            <v>0</v>
          </cell>
          <cell r="AZ1862">
            <v>0</v>
          </cell>
          <cell r="BA1862">
            <v>0</v>
          </cell>
          <cell r="BI1862">
            <v>0</v>
          </cell>
          <cell r="BJ1862">
            <v>0</v>
          </cell>
          <cell r="BK1862">
            <v>0</v>
          </cell>
          <cell r="BL1862">
            <v>0</v>
          </cell>
          <cell r="BM1862">
            <v>0</v>
          </cell>
          <cell r="BN1862">
            <v>0</v>
          </cell>
          <cell r="BO1862">
            <v>0</v>
          </cell>
          <cell r="BP1862">
            <v>0</v>
          </cell>
          <cell r="BQ1862">
            <v>0</v>
          </cell>
          <cell r="BR1862">
            <v>0</v>
          </cell>
          <cell r="BT1862">
            <v>0</v>
          </cell>
          <cell r="CA1862" t="str">
            <v>000010 - EBITA - Identified - Recompete</v>
          </cell>
          <cell r="CC1862" t="str">
            <v>000010 - EBITA - Identified - Recompete - IS4</v>
          </cell>
          <cell r="CD1862" t="str">
            <v/>
          </cell>
          <cell r="CF1862" t="str">
            <v>000010 - Identified - Recompete - IS4</v>
          </cell>
        </row>
        <row r="1863">
          <cell r="D1863">
            <v>1849</v>
          </cell>
          <cell r="E1863">
            <v>1</v>
          </cell>
          <cell r="F1863">
            <v>1</v>
          </cell>
          <cell r="G1863" t="str">
            <v>DOSEPC</v>
          </cell>
          <cell r="H1863" t="str">
            <v>DOS / Classified EPC</v>
          </cell>
          <cell r="I1863" t="str">
            <v>IS4</v>
          </cell>
          <cell r="J1863" t="str">
            <v>IS4 Global Mission Solutions</v>
          </cell>
          <cell r="K1863" t="str">
            <v>Dept. of State</v>
          </cell>
          <cell r="L1863" t="str">
            <v>DOS</v>
          </cell>
          <cell r="M1863" t="str">
            <v>NA_Dom-Intl</v>
          </cell>
          <cell r="N1863" t="str">
            <v>Other</v>
          </cell>
          <cell r="O1863">
            <v>0</v>
          </cell>
          <cell r="P1863">
            <v>0</v>
          </cell>
          <cell r="Q1863" t="str">
            <v>Prime</v>
          </cell>
          <cell r="R1863" t="str">
            <v>CPAF</v>
          </cell>
          <cell r="S1863">
            <v>0</v>
          </cell>
          <cell r="T1863">
            <v>1</v>
          </cell>
          <cell r="U1863" t="str">
            <v>REVTOT</v>
          </cell>
          <cell r="V1863" t="str">
            <v>Base</v>
          </cell>
          <cell r="W1863" t="str">
            <v>05 Won</v>
          </cell>
          <cell r="X1863" t="str">
            <v>Active</v>
          </cell>
          <cell r="Y1863">
            <v>1</v>
          </cell>
          <cell r="Z1863">
            <v>0</v>
          </cell>
          <cell r="AA1863">
            <v>0</v>
          </cell>
          <cell r="AB1863">
            <v>0</v>
          </cell>
          <cell r="AC1863">
            <v>0</v>
          </cell>
          <cell r="AD1863">
            <v>0</v>
          </cell>
          <cell r="AE1863">
            <v>0</v>
          </cell>
          <cell r="AF1863">
            <v>0</v>
          </cell>
          <cell r="AG1863">
            <v>0</v>
          </cell>
          <cell r="AH1863">
            <v>0</v>
          </cell>
          <cell r="AI1863">
            <v>0</v>
          </cell>
          <cell r="AJ1863">
            <v>0</v>
          </cell>
          <cell r="AK1863">
            <v>0</v>
          </cell>
          <cell r="BB1863">
            <v>999999.99979999987</v>
          </cell>
          <cell r="BC1863">
            <v>999999.99979999987</v>
          </cell>
          <cell r="BD1863">
            <v>999999.99979999987</v>
          </cell>
          <cell r="BE1863">
            <v>999999.99979999987</v>
          </cell>
          <cell r="BF1863">
            <v>0</v>
          </cell>
          <cell r="BG1863">
            <v>0</v>
          </cell>
          <cell r="BH1863">
            <v>0</v>
          </cell>
          <cell r="BI1863">
            <v>0</v>
          </cell>
          <cell r="BJ1863">
            <v>0</v>
          </cell>
          <cell r="BK1863">
            <v>0</v>
          </cell>
          <cell r="BL1863">
            <v>0</v>
          </cell>
          <cell r="BM1863">
            <v>0</v>
          </cell>
          <cell r="BN1863">
            <v>0</v>
          </cell>
          <cell r="BO1863">
            <v>0</v>
          </cell>
          <cell r="BP1863">
            <v>0</v>
          </cell>
          <cell r="BQ1863">
            <v>0</v>
          </cell>
          <cell r="BR1863">
            <v>0</v>
          </cell>
          <cell r="BT1863">
            <v>0</v>
          </cell>
          <cell r="CA1863" t="str">
            <v>DOSEPC - REVTOT - Base</v>
          </cell>
          <cell r="CC1863" t="str">
            <v>DOSEPC - REVTOT - Base - IS4</v>
          </cell>
          <cell r="CD1863" t="str">
            <v/>
          </cell>
          <cell r="CF1863" t="str">
            <v>DOSEPC - Base - IS4</v>
          </cell>
        </row>
        <row r="1864">
          <cell r="D1864">
            <v>1850</v>
          </cell>
          <cell r="E1864">
            <v>1</v>
          </cell>
          <cell r="F1864">
            <v>2</v>
          </cell>
          <cell r="G1864" t="str">
            <v>DOSEPC</v>
          </cell>
          <cell r="H1864" t="str">
            <v>DOS / Classified EPC</v>
          </cell>
          <cell r="I1864" t="str">
            <v>IS4</v>
          </cell>
          <cell r="J1864" t="str">
            <v>IS4 Global Mission Solutions</v>
          </cell>
          <cell r="K1864" t="str">
            <v>Dept. of State</v>
          </cell>
          <cell r="L1864" t="str">
            <v>DOS</v>
          </cell>
          <cell r="M1864" t="str">
            <v>NA_Dom-Intl</v>
          </cell>
          <cell r="N1864" t="str">
            <v>Other</v>
          </cell>
          <cell r="O1864">
            <v>0</v>
          </cell>
          <cell r="P1864">
            <v>0</v>
          </cell>
          <cell r="Q1864">
            <v>0</v>
          </cell>
          <cell r="R1864" t="str">
            <v>CPAF</v>
          </cell>
          <cell r="S1864">
            <v>0</v>
          </cell>
          <cell r="T1864">
            <v>1</v>
          </cell>
          <cell r="U1864" t="str">
            <v>REVTOT</v>
          </cell>
          <cell r="V1864" t="str">
            <v>Identified - Recompete</v>
          </cell>
          <cell r="W1864">
            <v>0</v>
          </cell>
          <cell r="X1864">
            <v>0</v>
          </cell>
          <cell r="Y1864">
            <v>0</v>
          </cell>
          <cell r="Z1864">
            <v>0</v>
          </cell>
          <cell r="AA1864">
            <v>0</v>
          </cell>
          <cell r="AB1864">
            <v>0</v>
          </cell>
          <cell r="AC1864">
            <v>0</v>
          </cell>
          <cell r="AD1864">
            <v>0</v>
          </cell>
          <cell r="AI1864">
            <v>0</v>
          </cell>
          <cell r="AJ1864">
            <v>0</v>
          </cell>
          <cell r="AK1864">
            <v>0</v>
          </cell>
          <cell r="BB1864">
            <v>0</v>
          </cell>
          <cell r="BC1864">
            <v>0</v>
          </cell>
          <cell r="BD1864">
            <v>0</v>
          </cell>
          <cell r="BE1864">
            <v>0</v>
          </cell>
          <cell r="BI1864">
            <v>0</v>
          </cell>
          <cell r="BJ1864">
            <v>0</v>
          </cell>
          <cell r="BK1864">
            <v>0</v>
          </cell>
          <cell r="BL1864">
            <v>0</v>
          </cell>
          <cell r="BM1864">
            <v>0</v>
          </cell>
          <cell r="BN1864">
            <v>0</v>
          </cell>
          <cell r="BO1864">
            <v>0</v>
          </cell>
          <cell r="BP1864">
            <v>0</v>
          </cell>
          <cell r="BQ1864">
            <v>0</v>
          </cell>
          <cell r="BR1864">
            <v>0</v>
          </cell>
          <cell r="BT1864">
            <v>0</v>
          </cell>
          <cell r="CA1864" t="str">
            <v>DOSEPC - REVTOT - Identified - Recompete</v>
          </cell>
          <cell r="CC1864" t="str">
            <v>DOSEPC - REVTOT - Identified - Recompete - IS4</v>
          </cell>
          <cell r="CD1864" t="str">
            <v/>
          </cell>
          <cell r="CF1864" t="str">
            <v>DOSEPC - Identified - Recompete - IS4</v>
          </cell>
        </row>
        <row r="1865">
          <cell r="D1865">
            <v>1851</v>
          </cell>
          <cell r="E1865">
            <v>2</v>
          </cell>
          <cell r="F1865">
            <v>3</v>
          </cell>
          <cell r="G1865" t="str">
            <v>DOSEPC</v>
          </cell>
          <cell r="H1865" t="str">
            <v>DOS / Classified EPC</v>
          </cell>
          <cell r="I1865" t="str">
            <v>IS4</v>
          </cell>
          <cell r="J1865" t="str">
            <v>IS4 Global Mission Solutions</v>
          </cell>
          <cell r="K1865" t="str">
            <v>Dept. of State</v>
          </cell>
          <cell r="L1865" t="str">
            <v>DOS</v>
          </cell>
          <cell r="M1865" t="str">
            <v>NA_Dom-Intl</v>
          </cell>
          <cell r="N1865" t="str">
            <v>Other</v>
          </cell>
          <cell r="O1865">
            <v>0</v>
          </cell>
          <cell r="P1865">
            <v>0</v>
          </cell>
          <cell r="Q1865" t="str">
            <v>Prime</v>
          </cell>
          <cell r="R1865" t="str">
            <v>CPAF</v>
          </cell>
          <cell r="S1865">
            <v>0</v>
          </cell>
          <cell r="T1865">
            <v>1</v>
          </cell>
          <cell r="U1865" t="str">
            <v>CONTRACT</v>
          </cell>
          <cell r="V1865" t="str">
            <v>Base</v>
          </cell>
          <cell r="W1865" t="str">
            <v>05 Won</v>
          </cell>
          <cell r="X1865" t="str">
            <v>Active</v>
          </cell>
          <cell r="Y1865">
            <v>1</v>
          </cell>
          <cell r="Z1865">
            <v>0</v>
          </cell>
          <cell r="AA1865">
            <v>0</v>
          </cell>
          <cell r="AB1865">
            <v>0</v>
          </cell>
          <cell r="AC1865">
            <v>0</v>
          </cell>
          <cell r="AD1865">
            <v>0</v>
          </cell>
          <cell r="AL1865">
            <v>0</v>
          </cell>
          <cell r="AM1865">
            <v>0</v>
          </cell>
          <cell r="AN1865">
            <v>0</v>
          </cell>
          <cell r="AO1865">
            <v>0</v>
          </cell>
          <cell r="AP1865">
            <v>0</v>
          </cell>
          <cell r="AQ1865">
            <v>0</v>
          </cell>
          <cell r="AR1865">
            <v>0</v>
          </cell>
          <cell r="AS1865">
            <v>0</v>
          </cell>
          <cell r="BF1865">
            <v>0</v>
          </cell>
          <cell r="BG1865">
            <v>0</v>
          </cell>
          <cell r="BH1865">
            <v>0</v>
          </cell>
          <cell r="BI1865">
            <v>0</v>
          </cell>
          <cell r="BJ1865">
            <v>0</v>
          </cell>
          <cell r="BK1865">
            <v>0</v>
          </cell>
          <cell r="BL1865">
            <v>0</v>
          </cell>
          <cell r="BM1865">
            <v>0</v>
          </cell>
          <cell r="BN1865">
            <v>0</v>
          </cell>
          <cell r="BO1865">
            <v>0</v>
          </cell>
          <cell r="BP1865">
            <v>0</v>
          </cell>
          <cell r="BQ1865">
            <v>0</v>
          </cell>
          <cell r="BR1865">
            <v>0</v>
          </cell>
          <cell r="BT1865">
            <v>0</v>
          </cell>
          <cell r="CA1865" t="str">
            <v>DOSEPC - CONTRACT - Base</v>
          </cell>
          <cell r="CC1865" t="str">
            <v>DOSEPC - CONTRACT - Base - IS4</v>
          </cell>
          <cell r="CD1865" t="str">
            <v/>
          </cell>
          <cell r="CF1865" t="str">
            <v>DOSEPC - Base - IS4</v>
          </cell>
        </row>
        <row r="1866">
          <cell r="D1866">
            <v>1852</v>
          </cell>
          <cell r="E1866">
            <v>2</v>
          </cell>
          <cell r="F1866">
            <v>4</v>
          </cell>
          <cell r="G1866" t="str">
            <v>DOSEPC</v>
          </cell>
          <cell r="H1866" t="str">
            <v>DOS / Classified EPC</v>
          </cell>
          <cell r="I1866" t="str">
            <v>IS4</v>
          </cell>
          <cell r="J1866" t="str">
            <v>IS4 Global Mission Solutions</v>
          </cell>
          <cell r="K1866" t="str">
            <v>Dept. of State</v>
          </cell>
          <cell r="L1866" t="str">
            <v>DOS</v>
          </cell>
          <cell r="M1866" t="str">
            <v>NA_Dom-Intl</v>
          </cell>
          <cell r="N1866" t="str">
            <v>Other</v>
          </cell>
          <cell r="O1866">
            <v>0</v>
          </cell>
          <cell r="P1866">
            <v>0</v>
          </cell>
          <cell r="Q1866">
            <v>0</v>
          </cell>
          <cell r="R1866" t="str">
            <v>CPAF</v>
          </cell>
          <cell r="S1866">
            <v>0</v>
          </cell>
          <cell r="T1866">
            <v>1</v>
          </cell>
          <cell r="U1866" t="str">
            <v>CONTRACT</v>
          </cell>
          <cell r="V1866" t="str">
            <v>Identified - Recompete</v>
          </cell>
          <cell r="W1866">
            <v>0</v>
          </cell>
          <cell r="X1866">
            <v>0</v>
          </cell>
          <cell r="Y1866">
            <v>0</v>
          </cell>
          <cell r="Z1866">
            <v>0</v>
          </cell>
          <cell r="AA1866">
            <v>0</v>
          </cell>
          <cell r="AB1866">
            <v>0</v>
          </cell>
          <cell r="AC1866">
            <v>0</v>
          </cell>
          <cell r="AD1866">
            <v>0</v>
          </cell>
          <cell r="AP1866">
            <v>0</v>
          </cell>
          <cell r="AQ1866">
            <v>0</v>
          </cell>
          <cell r="AR1866">
            <v>0</v>
          </cell>
          <cell r="AS1866">
            <v>0</v>
          </cell>
          <cell r="BI1866">
            <v>0</v>
          </cell>
          <cell r="BJ1866">
            <v>0</v>
          </cell>
          <cell r="BK1866">
            <v>0</v>
          </cell>
          <cell r="BL1866">
            <v>0</v>
          </cell>
          <cell r="BM1866">
            <v>0</v>
          </cell>
          <cell r="BN1866">
            <v>0</v>
          </cell>
          <cell r="BO1866">
            <v>0</v>
          </cell>
          <cell r="BP1866">
            <v>0</v>
          </cell>
          <cell r="BQ1866">
            <v>0</v>
          </cell>
          <cell r="BR1866">
            <v>0</v>
          </cell>
          <cell r="BT1866">
            <v>0</v>
          </cell>
          <cell r="CA1866" t="str">
            <v>DOSEPC - CONTRACT - Identified - Recompete</v>
          </cell>
          <cell r="CC1866" t="str">
            <v>DOSEPC - CONTRACT - Identified - Recompete - IS4</v>
          </cell>
          <cell r="CD1866" t="str">
            <v/>
          </cell>
          <cell r="CF1866" t="str">
            <v>DOSEPC - Identified - Recompete - IS4</v>
          </cell>
        </row>
        <row r="1867">
          <cell r="D1867">
            <v>1853</v>
          </cell>
          <cell r="E1867">
            <v>0</v>
          </cell>
          <cell r="F1867">
            <v>5</v>
          </cell>
          <cell r="G1867" t="str">
            <v>DOSEPC</v>
          </cell>
          <cell r="H1867" t="str">
            <v>DOS / Classified EPC</v>
          </cell>
          <cell r="I1867" t="str">
            <v>IS4</v>
          </cell>
          <cell r="J1867" t="str">
            <v>IS4 Global Mission Solutions</v>
          </cell>
          <cell r="K1867" t="str">
            <v>Dept. of State</v>
          </cell>
          <cell r="L1867" t="str">
            <v>DOS</v>
          </cell>
          <cell r="M1867" t="str">
            <v>NA_Dom-Intl</v>
          </cell>
          <cell r="N1867" t="str">
            <v>Other</v>
          </cell>
          <cell r="O1867">
            <v>0</v>
          </cell>
          <cell r="P1867">
            <v>0</v>
          </cell>
          <cell r="Q1867" t="str">
            <v>Prime</v>
          </cell>
          <cell r="R1867" t="str">
            <v>CPAF</v>
          </cell>
          <cell r="S1867">
            <v>0</v>
          </cell>
          <cell r="T1867">
            <v>1</v>
          </cell>
          <cell r="U1867" t="str">
            <v>EBITA</v>
          </cell>
          <cell r="V1867" t="str">
            <v>Base</v>
          </cell>
          <cell r="W1867" t="str">
            <v>05 Won</v>
          </cell>
          <cell r="X1867" t="str">
            <v>Active</v>
          </cell>
          <cell r="Y1867">
            <v>1</v>
          </cell>
          <cell r="Z1867">
            <v>0</v>
          </cell>
          <cell r="AA1867">
            <v>0</v>
          </cell>
          <cell r="AB1867">
            <v>0</v>
          </cell>
          <cell r="AC1867">
            <v>0</v>
          </cell>
          <cell r="AD1867">
            <v>0</v>
          </cell>
          <cell r="AT1867">
            <v>0</v>
          </cell>
          <cell r="AU1867">
            <v>0</v>
          </cell>
          <cell r="AV1867">
            <v>0</v>
          </cell>
          <cell r="AW1867">
            <v>0</v>
          </cell>
          <cell r="AX1867">
            <v>0</v>
          </cell>
          <cell r="AY1867">
            <v>0</v>
          </cell>
          <cell r="AZ1867">
            <v>0</v>
          </cell>
          <cell r="BA1867">
            <v>0</v>
          </cell>
          <cell r="BF1867">
            <v>0</v>
          </cell>
          <cell r="BG1867">
            <v>0</v>
          </cell>
          <cell r="BH1867">
            <v>0</v>
          </cell>
          <cell r="BI1867">
            <v>0</v>
          </cell>
          <cell r="BJ1867">
            <v>0</v>
          </cell>
          <cell r="BK1867">
            <v>0</v>
          </cell>
          <cell r="BL1867">
            <v>0</v>
          </cell>
          <cell r="BM1867">
            <v>0</v>
          </cell>
          <cell r="BN1867">
            <v>0</v>
          </cell>
          <cell r="BO1867">
            <v>0</v>
          </cell>
          <cell r="BP1867">
            <v>0</v>
          </cell>
          <cell r="BQ1867">
            <v>0</v>
          </cell>
          <cell r="BR1867">
            <v>0</v>
          </cell>
          <cell r="BT1867">
            <v>0</v>
          </cell>
          <cell r="CA1867" t="str">
            <v>DOSEPC - EBITA - Base</v>
          </cell>
          <cell r="CC1867" t="str">
            <v>DOSEPC - EBITA - Base - IS4</v>
          </cell>
          <cell r="CD1867" t="str">
            <v/>
          </cell>
          <cell r="CF1867" t="str">
            <v>DOSEPC - Base - IS4</v>
          </cell>
        </row>
        <row r="1868">
          <cell r="D1868">
            <v>1854</v>
          </cell>
          <cell r="E1868">
            <v>0</v>
          </cell>
          <cell r="F1868">
            <v>0</v>
          </cell>
          <cell r="G1868" t="str">
            <v>DOSEPC</v>
          </cell>
          <cell r="H1868" t="str">
            <v>DOS / Classified EPC</v>
          </cell>
          <cell r="I1868" t="str">
            <v>IS4</v>
          </cell>
          <cell r="J1868" t="str">
            <v>IS4 Global Mission Solutions</v>
          </cell>
          <cell r="K1868" t="str">
            <v>Dept. of State</v>
          </cell>
          <cell r="L1868" t="str">
            <v>DOS</v>
          </cell>
          <cell r="M1868" t="str">
            <v>NA_Dom-Intl</v>
          </cell>
          <cell r="N1868" t="str">
            <v>Other</v>
          </cell>
          <cell r="O1868">
            <v>0</v>
          </cell>
          <cell r="P1868">
            <v>0</v>
          </cell>
          <cell r="Q1868">
            <v>0</v>
          </cell>
          <cell r="R1868" t="str">
            <v>CPAF</v>
          </cell>
          <cell r="S1868">
            <v>0</v>
          </cell>
          <cell r="T1868">
            <v>1</v>
          </cell>
          <cell r="U1868" t="str">
            <v>EBITA</v>
          </cell>
          <cell r="V1868" t="str">
            <v>Identified - Recompete</v>
          </cell>
          <cell r="W1868">
            <v>0</v>
          </cell>
          <cell r="X1868">
            <v>0</v>
          </cell>
          <cell r="Y1868">
            <v>0</v>
          </cell>
          <cell r="Z1868">
            <v>0</v>
          </cell>
          <cell r="AA1868">
            <v>0</v>
          </cell>
          <cell r="AB1868">
            <v>0</v>
          </cell>
          <cell r="AC1868">
            <v>0</v>
          </cell>
          <cell r="AD1868">
            <v>0</v>
          </cell>
          <cell r="AX1868">
            <v>0</v>
          </cell>
          <cell r="AY1868">
            <v>0</v>
          </cell>
          <cell r="AZ1868">
            <v>0</v>
          </cell>
          <cell r="BA1868">
            <v>0</v>
          </cell>
          <cell r="BI1868">
            <v>0</v>
          </cell>
          <cell r="BJ1868">
            <v>0</v>
          </cell>
          <cell r="BK1868">
            <v>0</v>
          </cell>
          <cell r="BL1868">
            <v>0</v>
          </cell>
          <cell r="BM1868">
            <v>0</v>
          </cell>
          <cell r="BN1868">
            <v>0</v>
          </cell>
          <cell r="BO1868">
            <v>0</v>
          </cell>
          <cell r="BP1868">
            <v>0</v>
          </cell>
          <cell r="BQ1868">
            <v>0</v>
          </cell>
          <cell r="BR1868">
            <v>0</v>
          </cell>
          <cell r="BT1868">
            <v>0</v>
          </cell>
          <cell r="CA1868" t="str">
            <v>DOSEPC - EBITA - Identified - Recompete</v>
          </cell>
          <cell r="CC1868" t="str">
            <v>DOSEPC - EBITA - Identified - Recompete - IS4</v>
          </cell>
          <cell r="CD1868" t="str">
            <v/>
          </cell>
          <cell r="CF1868" t="str">
            <v>DOSEPC - Identified - Recompete - IS4</v>
          </cell>
        </row>
        <row r="1869">
          <cell r="D1869">
            <v>1855</v>
          </cell>
          <cell r="E1869">
            <v>1</v>
          </cell>
          <cell r="F1869">
            <v>1</v>
          </cell>
          <cell r="G1869" t="str">
            <v>000011</v>
          </cell>
          <cell r="H1869" t="str">
            <v>DIESEL</v>
          </cell>
          <cell r="I1869" t="str">
            <v>IS4</v>
          </cell>
          <cell r="J1869" t="str">
            <v>IS4 Global Mission Solutions</v>
          </cell>
          <cell r="K1869" t="str">
            <v>Classified Agency</v>
          </cell>
          <cell r="L1869" t="str">
            <v>Classified</v>
          </cell>
          <cell r="M1869" t="str">
            <v>US_State</v>
          </cell>
          <cell r="N1869" t="str">
            <v>CONUS</v>
          </cell>
          <cell r="O1869">
            <v>40365</v>
          </cell>
          <cell r="P1869">
            <v>43651</v>
          </cell>
          <cell r="Q1869" t="str">
            <v>Prime</v>
          </cell>
          <cell r="R1869" t="str">
            <v>CP Capped Rates</v>
          </cell>
          <cell r="S1869">
            <v>0</v>
          </cell>
          <cell r="T1869">
            <v>1</v>
          </cell>
          <cell r="U1869" t="str">
            <v>REVTOT</v>
          </cell>
          <cell r="V1869" t="str">
            <v>Base</v>
          </cell>
          <cell r="W1869" t="str">
            <v>05 Won</v>
          </cell>
          <cell r="X1869" t="str">
            <v>Active</v>
          </cell>
          <cell r="Y1869">
            <v>1</v>
          </cell>
          <cell r="Z1869">
            <v>0</v>
          </cell>
          <cell r="AA1869">
            <v>1193380.6298999796</v>
          </cell>
          <cell r="AB1869">
            <v>0.44000000134110451</v>
          </cell>
          <cell r="AC1869">
            <v>0</v>
          </cell>
          <cell r="AD1869">
            <v>1193381.0698999809</v>
          </cell>
          <cell r="AE1869">
            <v>0.59215956380951296</v>
          </cell>
          <cell r="AF1869">
            <v>-7.720599286288099E-3</v>
          </cell>
          <cell r="AG1869">
            <v>-0.41508757736934809</v>
          </cell>
          <cell r="AH1869">
            <v>-1</v>
          </cell>
          <cell r="AI1869">
            <v>0</v>
          </cell>
          <cell r="AJ1869">
            <v>0</v>
          </cell>
          <cell r="AK1869">
            <v>0</v>
          </cell>
          <cell r="BB1869">
            <v>0</v>
          </cell>
          <cell r="BC1869">
            <v>0</v>
          </cell>
          <cell r="BD1869">
            <v>0</v>
          </cell>
          <cell r="BE1869">
            <v>0</v>
          </cell>
          <cell r="BF1869">
            <v>21863523.130000003</v>
          </cell>
          <cell r="BG1869">
            <v>34810217.450000003</v>
          </cell>
          <cell r="BH1869">
            <v>34541461.710000001</v>
          </cell>
          <cell r="BI1869">
            <v>7135750.4500000002</v>
          </cell>
          <cell r="BJ1869">
            <v>6885104.3000000007</v>
          </cell>
          <cell r="BK1869">
            <v>5412713.2999999998</v>
          </cell>
          <cell r="BL1869">
            <v>770162</v>
          </cell>
          <cell r="BM1869">
            <v>20203730.050000001</v>
          </cell>
          <cell r="BN1869">
            <v>0</v>
          </cell>
          <cell r="BO1869">
            <v>0</v>
          </cell>
          <cell r="BP1869">
            <v>0</v>
          </cell>
          <cell r="BQ1869">
            <v>0</v>
          </cell>
          <cell r="BR1869">
            <v>20203730.050000001</v>
          </cell>
          <cell r="BT1869">
            <v>0</v>
          </cell>
          <cell r="CA1869" t="str">
            <v>000011 - REVTOT - Base</v>
          </cell>
          <cell r="CC1869" t="str">
            <v>000011 - REVTOT - Base - IS4</v>
          </cell>
          <cell r="CD1869" t="str">
            <v/>
          </cell>
          <cell r="CF1869" t="str">
            <v>000011 - Base - IS4</v>
          </cell>
        </row>
        <row r="1870">
          <cell r="D1870">
            <v>1856</v>
          </cell>
          <cell r="E1870">
            <v>1</v>
          </cell>
          <cell r="F1870">
            <v>2</v>
          </cell>
          <cell r="G1870" t="str">
            <v>000011</v>
          </cell>
          <cell r="H1870" t="str">
            <v>DIESEL</v>
          </cell>
          <cell r="I1870" t="str">
            <v>IS4</v>
          </cell>
          <cell r="J1870" t="str">
            <v>IS4 Global Mission Solutions</v>
          </cell>
          <cell r="K1870" t="str">
            <v>Classified Agency</v>
          </cell>
          <cell r="L1870" t="str">
            <v>Classified</v>
          </cell>
          <cell r="M1870" t="str">
            <v>US_State</v>
          </cell>
          <cell r="N1870" t="str">
            <v>CONUS</v>
          </cell>
          <cell r="O1870">
            <v>0</v>
          </cell>
          <cell r="P1870">
            <v>0</v>
          </cell>
          <cell r="Q1870">
            <v>0</v>
          </cell>
          <cell r="R1870" t="str">
            <v>CP Capped Rates</v>
          </cell>
          <cell r="S1870">
            <v>0</v>
          </cell>
          <cell r="T1870">
            <v>1</v>
          </cell>
          <cell r="U1870" t="str">
            <v>REVTOT</v>
          </cell>
          <cell r="V1870" t="str">
            <v>Identified - Recompete</v>
          </cell>
          <cell r="W1870">
            <v>0</v>
          </cell>
          <cell r="X1870">
            <v>0</v>
          </cell>
          <cell r="Y1870">
            <v>0</v>
          </cell>
          <cell r="Z1870">
            <v>0</v>
          </cell>
          <cell r="AA1870">
            <v>0</v>
          </cell>
          <cell r="AB1870">
            <v>0</v>
          </cell>
          <cell r="AC1870">
            <v>0</v>
          </cell>
          <cell r="AD1870">
            <v>0</v>
          </cell>
          <cell r="AI1870">
            <v>0</v>
          </cell>
          <cell r="AJ1870">
            <v>0</v>
          </cell>
          <cell r="AK1870">
            <v>0</v>
          </cell>
          <cell r="BB1870">
            <v>0</v>
          </cell>
          <cell r="BC1870">
            <v>0</v>
          </cell>
          <cell r="BD1870">
            <v>0</v>
          </cell>
          <cell r="BE1870">
            <v>0</v>
          </cell>
          <cell r="BI1870">
            <v>0</v>
          </cell>
          <cell r="BJ1870">
            <v>0</v>
          </cell>
          <cell r="BK1870">
            <v>0</v>
          </cell>
          <cell r="BL1870">
            <v>0</v>
          </cell>
          <cell r="BM1870">
            <v>0</v>
          </cell>
          <cell r="BN1870">
            <v>0</v>
          </cell>
          <cell r="BO1870">
            <v>0</v>
          </cell>
          <cell r="BP1870">
            <v>0</v>
          </cell>
          <cell r="BQ1870">
            <v>0</v>
          </cell>
          <cell r="BR1870">
            <v>0</v>
          </cell>
          <cell r="BT1870">
            <v>0</v>
          </cell>
          <cell r="CA1870" t="str">
            <v>000011 - REVTOT - Identified - Recompete</v>
          </cell>
          <cell r="CC1870" t="str">
            <v>000011 - REVTOT - Identified - Recompete - IS4</v>
          </cell>
          <cell r="CD1870" t="str">
            <v/>
          </cell>
          <cell r="CF1870" t="str">
            <v>000011 - Identified - Recompete - IS4</v>
          </cell>
        </row>
        <row r="1871">
          <cell r="D1871">
            <v>1857</v>
          </cell>
          <cell r="E1871">
            <v>2</v>
          </cell>
          <cell r="F1871">
            <v>3</v>
          </cell>
          <cell r="G1871" t="str">
            <v>000011</v>
          </cell>
          <cell r="H1871" t="str">
            <v>DIESEL</v>
          </cell>
          <cell r="I1871" t="str">
            <v>IS4</v>
          </cell>
          <cell r="J1871" t="str">
            <v>IS4 Global Mission Solutions</v>
          </cell>
          <cell r="K1871" t="str">
            <v>Classified Agency</v>
          </cell>
          <cell r="L1871" t="str">
            <v>Classified</v>
          </cell>
          <cell r="M1871" t="str">
            <v>US_State</v>
          </cell>
          <cell r="N1871" t="str">
            <v>CONUS</v>
          </cell>
          <cell r="O1871">
            <v>40365</v>
          </cell>
          <cell r="P1871">
            <v>43651</v>
          </cell>
          <cell r="Q1871" t="str">
            <v>Prime</v>
          </cell>
          <cell r="R1871" t="str">
            <v>CP Capped Rates</v>
          </cell>
          <cell r="S1871">
            <v>0</v>
          </cell>
          <cell r="T1871">
            <v>1</v>
          </cell>
          <cell r="U1871" t="str">
            <v>CONTRACT</v>
          </cell>
          <cell r="V1871" t="str">
            <v>Base</v>
          </cell>
          <cell r="W1871" t="str">
            <v>05 Won</v>
          </cell>
          <cell r="X1871" t="str">
            <v>Active</v>
          </cell>
          <cell r="Y1871">
            <v>1</v>
          </cell>
          <cell r="Z1871">
            <v>0</v>
          </cell>
          <cell r="AA1871">
            <v>1193380.6298999796</v>
          </cell>
          <cell r="AB1871">
            <v>0.44000000134110451</v>
          </cell>
          <cell r="AC1871">
            <v>0</v>
          </cell>
          <cell r="AD1871">
            <v>1193381.0698999809</v>
          </cell>
          <cell r="AL1871">
            <v>0.14364320111293974</v>
          </cell>
          <cell r="AM1871">
            <v>0.1513072383866996</v>
          </cell>
          <cell r="AN1871">
            <v>0.13553542259749377</v>
          </cell>
          <cell r="AO1871">
            <v>0.15224249098497539</v>
          </cell>
          <cell r="AP1871">
            <v>0.14508344121151359</v>
          </cell>
          <cell r="AQ1871">
            <v>0.14508344121151359</v>
          </cell>
          <cell r="AR1871">
            <v>0.14508344121151359</v>
          </cell>
          <cell r="AS1871">
            <v>0.14508344121151359</v>
          </cell>
          <cell r="BF1871">
            <v>3140546.45</v>
          </cell>
          <cell r="BG1871">
            <v>5267037.870000001</v>
          </cell>
          <cell r="BH1871">
            <v>4681591.6099999994</v>
          </cell>
          <cell r="BI1871">
            <v>1070514.2600000005</v>
          </cell>
          <cell r="BJ1871">
            <v>1088261.2600000005</v>
          </cell>
          <cell r="BK1871">
            <v>832928.67000000016</v>
          </cell>
          <cell r="BL1871">
            <v>84162</v>
          </cell>
          <cell r="BM1871">
            <v>3075866.1900000013</v>
          </cell>
          <cell r="BN1871">
            <v>0</v>
          </cell>
          <cell r="BO1871">
            <v>0</v>
          </cell>
          <cell r="BP1871">
            <v>0</v>
          </cell>
          <cell r="BQ1871">
            <v>0</v>
          </cell>
          <cell r="BR1871">
            <v>3075866.1900000013</v>
          </cell>
          <cell r="BT1871">
            <v>0</v>
          </cell>
          <cell r="CA1871" t="str">
            <v>000011 - CONTRACT - Base</v>
          </cell>
          <cell r="CC1871" t="str">
            <v>000011 - CONTRACT - Base - IS4</v>
          </cell>
          <cell r="CD1871" t="str">
            <v/>
          </cell>
          <cell r="CF1871" t="str">
            <v>000011 - Base - IS4</v>
          </cell>
        </row>
        <row r="1872">
          <cell r="D1872">
            <v>1858</v>
          </cell>
          <cell r="E1872">
            <v>2</v>
          </cell>
          <cell r="F1872">
            <v>4</v>
          </cell>
          <cell r="G1872" t="str">
            <v>000011</v>
          </cell>
          <cell r="H1872" t="str">
            <v>DIESEL</v>
          </cell>
          <cell r="I1872" t="str">
            <v>IS4</v>
          </cell>
          <cell r="J1872" t="str">
            <v>IS4 Global Mission Solutions</v>
          </cell>
          <cell r="K1872" t="str">
            <v>Classified Agency</v>
          </cell>
          <cell r="L1872" t="str">
            <v>Classified</v>
          </cell>
          <cell r="M1872" t="str">
            <v>US_State</v>
          </cell>
          <cell r="N1872" t="str">
            <v>CONUS</v>
          </cell>
          <cell r="O1872">
            <v>0</v>
          </cell>
          <cell r="P1872">
            <v>0</v>
          </cell>
          <cell r="Q1872">
            <v>0</v>
          </cell>
          <cell r="R1872" t="str">
            <v>CP Capped Rates</v>
          </cell>
          <cell r="S1872">
            <v>0</v>
          </cell>
          <cell r="T1872">
            <v>1</v>
          </cell>
          <cell r="U1872" t="str">
            <v>CONTRACT</v>
          </cell>
          <cell r="V1872" t="str">
            <v>Identified - Recompete</v>
          </cell>
          <cell r="W1872">
            <v>0</v>
          </cell>
          <cell r="X1872">
            <v>0</v>
          </cell>
          <cell r="Y1872">
            <v>0</v>
          </cell>
          <cell r="Z1872">
            <v>0</v>
          </cell>
          <cell r="AA1872">
            <v>0</v>
          </cell>
          <cell r="AB1872">
            <v>0</v>
          </cell>
          <cell r="AC1872">
            <v>0</v>
          </cell>
          <cell r="AD1872">
            <v>0</v>
          </cell>
          <cell r="AP1872">
            <v>0</v>
          </cell>
          <cell r="AQ1872">
            <v>0</v>
          </cell>
          <cell r="AR1872">
            <v>0</v>
          </cell>
          <cell r="AS1872">
            <v>0</v>
          </cell>
          <cell r="BI1872">
            <v>0</v>
          </cell>
          <cell r="BJ1872">
            <v>0</v>
          </cell>
          <cell r="BK1872">
            <v>0</v>
          </cell>
          <cell r="BL1872">
            <v>0</v>
          </cell>
          <cell r="BM1872">
            <v>0</v>
          </cell>
          <cell r="BN1872">
            <v>0</v>
          </cell>
          <cell r="BO1872">
            <v>0</v>
          </cell>
          <cell r="BP1872">
            <v>0</v>
          </cell>
          <cell r="BQ1872">
            <v>0</v>
          </cell>
          <cell r="BR1872">
            <v>0</v>
          </cell>
          <cell r="BT1872">
            <v>0</v>
          </cell>
          <cell r="CA1872" t="str">
            <v>000011 - CONTRACT - Identified - Recompete</v>
          </cell>
          <cell r="CC1872" t="str">
            <v>000011 - CONTRACT - Identified - Recompete - IS4</v>
          </cell>
          <cell r="CD1872" t="str">
            <v/>
          </cell>
          <cell r="CF1872" t="str">
            <v>000011 - Identified - Recompete - IS4</v>
          </cell>
        </row>
        <row r="1873">
          <cell r="D1873">
            <v>1859</v>
          </cell>
          <cell r="E1873">
            <v>0</v>
          </cell>
          <cell r="F1873">
            <v>5</v>
          </cell>
          <cell r="G1873" t="str">
            <v>000011</v>
          </cell>
          <cell r="H1873" t="str">
            <v>DIESEL</v>
          </cell>
          <cell r="I1873" t="str">
            <v>IS4</v>
          </cell>
          <cell r="J1873" t="str">
            <v>IS4 Global Mission Solutions</v>
          </cell>
          <cell r="K1873" t="str">
            <v>Classified Agency</v>
          </cell>
          <cell r="L1873" t="str">
            <v>Classified</v>
          </cell>
          <cell r="M1873" t="str">
            <v>US_State</v>
          </cell>
          <cell r="N1873" t="str">
            <v>CONUS</v>
          </cell>
          <cell r="O1873">
            <v>40365</v>
          </cell>
          <cell r="P1873">
            <v>43651</v>
          </cell>
          <cell r="Q1873" t="str">
            <v>Prime</v>
          </cell>
          <cell r="R1873" t="str">
            <v>CP Capped Rates</v>
          </cell>
          <cell r="S1873">
            <v>0</v>
          </cell>
          <cell r="T1873">
            <v>1</v>
          </cell>
          <cell r="U1873" t="str">
            <v>EBITA</v>
          </cell>
          <cell r="V1873" t="str">
            <v>Base</v>
          </cell>
          <cell r="W1873" t="str">
            <v>05 Won</v>
          </cell>
          <cell r="X1873" t="str">
            <v>Active</v>
          </cell>
          <cell r="Y1873">
            <v>1</v>
          </cell>
          <cell r="Z1873">
            <v>0</v>
          </cell>
          <cell r="AA1873">
            <v>1193380.6298999796</v>
          </cell>
          <cell r="AB1873">
            <v>0.44000000134110451</v>
          </cell>
          <cell r="AC1873">
            <v>0</v>
          </cell>
          <cell r="AD1873">
            <v>1193381.0698999809</v>
          </cell>
          <cell r="AT1873">
            <v>4.6368843391435599E-2</v>
          </cell>
          <cell r="AU1873">
            <v>5.7644121381379108E-2</v>
          </cell>
          <cell r="AV1873">
            <v>5.4818908820289149E-2</v>
          </cell>
          <cell r="AW1873">
            <v>7.10761897157699E-2</v>
          </cell>
          <cell r="AX1873">
            <v>5.6991392186589336E-2</v>
          </cell>
          <cell r="AY1873">
            <v>5.6991392186589336E-2</v>
          </cell>
          <cell r="AZ1873">
            <v>5.6991392186589336E-2</v>
          </cell>
          <cell r="BA1873">
            <v>5.6991392186589336E-2</v>
          </cell>
          <cell r="BF1873">
            <v>1013786.28</v>
          </cell>
          <cell r="BG1873">
            <v>2006604.4000000013</v>
          </cell>
          <cell r="BH1873">
            <v>1893525.2399999991</v>
          </cell>
          <cell r="BI1873">
            <v>481387.25000000047</v>
          </cell>
          <cell r="BJ1873">
            <v>549940.3900000006</v>
          </cell>
          <cell r="BK1873">
            <v>397047.51000000013</v>
          </cell>
          <cell r="BL1873">
            <v>7629</v>
          </cell>
          <cell r="BM1873">
            <v>1436004.1500000013</v>
          </cell>
          <cell r="BN1873">
            <v>0</v>
          </cell>
          <cell r="BO1873">
            <v>0</v>
          </cell>
          <cell r="BP1873">
            <v>0</v>
          </cell>
          <cell r="BQ1873">
            <v>0</v>
          </cell>
          <cell r="BR1873">
            <v>1436004.1500000013</v>
          </cell>
          <cell r="BT1873">
            <v>0</v>
          </cell>
          <cell r="CA1873" t="str">
            <v>000011 - EBITA - Base</v>
          </cell>
          <cell r="CC1873" t="str">
            <v>000011 - EBITA - Base - IS4</v>
          </cell>
          <cell r="CD1873" t="str">
            <v/>
          </cell>
          <cell r="CF1873" t="str">
            <v>000011 - Base - IS4</v>
          </cell>
        </row>
        <row r="1874">
          <cell r="D1874">
            <v>1860</v>
          </cell>
          <cell r="E1874">
            <v>0</v>
          </cell>
          <cell r="F1874">
            <v>0</v>
          </cell>
          <cell r="G1874" t="str">
            <v>000011</v>
          </cell>
          <cell r="H1874" t="str">
            <v>DIESEL</v>
          </cell>
          <cell r="I1874" t="str">
            <v>IS4</v>
          </cell>
          <cell r="J1874" t="str">
            <v>IS4 Global Mission Solutions</v>
          </cell>
          <cell r="K1874" t="str">
            <v>Classified Agency</v>
          </cell>
          <cell r="L1874" t="str">
            <v>Classified</v>
          </cell>
          <cell r="M1874" t="str">
            <v>US_State</v>
          </cell>
          <cell r="N1874" t="str">
            <v>CONUS</v>
          </cell>
          <cell r="O1874">
            <v>0</v>
          </cell>
          <cell r="P1874">
            <v>0</v>
          </cell>
          <cell r="Q1874">
            <v>0</v>
          </cell>
          <cell r="R1874" t="str">
            <v>CP Capped Rates</v>
          </cell>
          <cell r="S1874">
            <v>0</v>
          </cell>
          <cell r="T1874">
            <v>1</v>
          </cell>
          <cell r="U1874" t="str">
            <v>EBITA</v>
          </cell>
          <cell r="V1874" t="str">
            <v>Identified - Recompete</v>
          </cell>
          <cell r="W1874">
            <v>0</v>
          </cell>
          <cell r="X1874">
            <v>0</v>
          </cell>
          <cell r="Y1874">
            <v>0</v>
          </cell>
          <cell r="Z1874">
            <v>0</v>
          </cell>
          <cell r="AA1874">
            <v>0</v>
          </cell>
          <cell r="AB1874">
            <v>0</v>
          </cell>
          <cell r="AC1874">
            <v>0</v>
          </cell>
          <cell r="AD1874">
            <v>0</v>
          </cell>
          <cell r="AX1874">
            <v>0</v>
          </cell>
          <cell r="AY1874">
            <v>0</v>
          </cell>
          <cell r="AZ1874">
            <v>0</v>
          </cell>
          <cell r="BA1874">
            <v>0</v>
          </cell>
          <cell r="BI1874">
            <v>0</v>
          </cell>
          <cell r="BJ1874">
            <v>0</v>
          </cell>
          <cell r="BK1874">
            <v>0</v>
          </cell>
          <cell r="BL1874">
            <v>0</v>
          </cell>
          <cell r="BM1874">
            <v>0</v>
          </cell>
          <cell r="BN1874">
            <v>0</v>
          </cell>
          <cell r="BO1874">
            <v>0</v>
          </cell>
          <cell r="BP1874">
            <v>0</v>
          </cell>
          <cell r="BQ1874">
            <v>0</v>
          </cell>
          <cell r="BR1874">
            <v>0</v>
          </cell>
          <cell r="BT1874">
            <v>0</v>
          </cell>
          <cell r="CA1874" t="str">
            <v>000011 - EBITA - Identified - Recompete</v>
          </cell>
          <cell r="CC1874" t="str">
            <v>000011 - EBITA - Identified - Recompete - IS4</v>
          </cell>
          <cell r="CD1874" t="str">
            <v/>
          </cell>
          <cell r="CF1874" t="str">
            <v>000011 - Identified - Recompete - IS4</v>
          </cell>
        </row>
        <row r="1875">
          <cell r="D1875">
            <v>1861</v>
          </cell>
          <cell r="E1875">
            <v>1</v>
          </cell>
          <cell r="F1875">
            <v>1</v>
          </cell>
          <cell r="G1875" t="str">
            <v>INL</v>
          </cell>
          <cell r="H1875" t="str">
            <v>INL Total</v>
          </cell>
          <cell r="I1875" t="str">
            <v>NE</v>
          </cell>
          <cell r="J1875" t="str">
            <v>NE Technical Services</v>
          </cell>
          <cell r="K1875" t="str">
            <v>DOE-Other</v>
          </cell>
          <cell r="L1875" t="str">
            <v>DOE</v>
          </cell>
          <cell r="M1875" t="str">
            <v>ID</v>
          </cell>
          <cell r="N1875" t="str">
            <v>CONUS</v>
          </cell>
          <cell r="O1875">
            <v>38384</v>
          </cell>
          <cell r="P1875">
            <v>45565</v>
          </cell>
          <cell r="Q1875" t="str">
            <v>Sub</v>
          </cell>
          <cell r="R1875" t="str">
            <v>CPAF</v>
          </cell>
          <cell r="S1875">
            <v>0</v>
          </cell>
          <cell r="T1875">
            <v>1</v>
          </cell>
          <cell r="U1875" t="str">
            <v>REVTOT</v>
          </cell>
          <cell r="V1875" t="str">
            <v>Base</v>
          </cell>
          <cell r="W1875" t="str">
            <v>05 Won</v>
          </cell>
          <cell r="X1875" t="str">
            <v>Active</v>
          </cell>
          <cell r="Y1875">
            <v>1</v>
          </cell>
          <cell r="Z1875">
            <v>0</v>
          </cell>
          <cell r="AA1875">
            <v>16887198.771513674</v>
          </cell>
          <cell r="AB1875">
            <v>0</v>
          </cell>
          <cell r="AC1875">
            <v>3192125</v>
          </cell>
          <cell r="AD1875">
            <v>20079323.771513674</v>
          </cell>
          <cell r="AE1875">
            <v>9.8429788543309193E-2</v>
          </cell>
          <cell r="AF1875">
            <v>-6.9083210165355458E-2</v>
          </cell>
          <cell r="AG1875">
            <v>-7.9693326928092945E-2</v>
          </cell>
          <cell r="AH1875">
            <v>0.69190787235015816</v>
          </cell>
          <cell r="AI1875">
            <v>0</v>
          </cell>
          <cell r="AJ1875">
            <v>0</v>
          </cell>
          <cell r="AK1875">
            <v>0</v>
          </cell>
          <cell r="BB1875">
            <v>7240629.2400000002</v>
          </cell>
          <cell r="BC1875">
            <v>4279564.72</v>
          </cell>
          <cell r="BD1875">
            <v>4279564.72</v>
          </cell>
          <cell r="BE1875">
            <v>4279564.72</v>
          </cell>
          <cell r="BF1875">
            <v>4547616.8</v>
          </cell>
          <cell r="BG1875">
            <v>4995237.76</v>
          </cell>
          <cell r="BH1875">
            <v>4650150.7</v>
          </cell>
          <cell r="BI1875">
            <v>1052048.18</v>
          </cell>
          <cell r="BJ1875">
            <v>1028888.81</v>
          </cell>
          <cell r="BK1875">
            <v>1050636.3</v>
          </cell>
          <cell r="BL1875">
            <v>1147991.43</v>
          </cell>
          <cell r="BM1875">
            <v>4279564.72</v>
          </cell>
          <cell r="BN1875">
            <v>7240629.2400000002</v>
          </cell>
          <cell r="BO1875">
            <v>4279564.72</v>
          </cell>
          <cell r="BP1875">
            <v>4279564.72</v>
          </cell>
          <cell r="BQ1875">
            <v>4279564.72</v>
          </cell>
          <cell r="BR1875">
            <v>24358888.119999997</v>
          </cell>
          <cell r="BT1875">
            <v>56</v>
          </cell>
          <cell r="CA1875" t="str">
            <v>INL - REVTOT - Base</v>
          </cell>
          <cell r="CC1875" t="str">
            <v>INL - REVTOT - Base - NE</v>
          </cell>
          <cell r="CD1875" t="str">
            <v/>
          </cell>
          <cell r="CF1875" t="str">
            <v>INL - Base - NE</v>
          </cell>
        </row>
        <row r="1876">
          <cell r="D1876">
            <v>1862</v>
          </cell>
          <cell r="E1876">
            <v>1</v>
          </cell>
          <cell r="F1876">
            <v>2</v>
          </cell>
          <cell r="G1876" t="str">
            <v>INL</v>
          </cell>
          <cell r="H1876" t="str">
            <v>INL Total</v>
          </cell>
          <cell r="I1876" t="str">
            <v>NE</v>
          </cell>
          <cell r="J1876" t="str">
            <v>NE Technical Services</v>
          </cell>
          <cell r="K1876" t="str">
            <v>DOE-Other</v>
          </cell>
          <cell r="L1876" t="str">
            <v>DOE</v>
          </cell>
          <cell r="M1876" t="str">
            <v>ID</v>
          </cell>
          <cell r="N1876" t="str">
            <v>CONUS</v>
          </cell>
          <cell r="O1876">
            <v>0</v>
          </cell>
          <cell r="P1876">
            <v>0</v>
          </cell>
          <cell r="Q1876">
            <v>0</v>
          </cell>
          <cell r="R1876" t="str">
            <v>CPAF</v>
          </cell>
          <cell r="S1876">
            <v>0</v>
          </cell>
          <cell r="T1876">
            <v>1</v>
          </cell>
          <cell r="U1876" t="str">
            <v>REVTOT</v>
          </cell>
          <cell r="V1876" t="str">
            <v>Identified - Recompete</v>
          </cell>
          <cell r="W1876">
            <v>0</v>
          </cell>
          <cell r="X1876">
            <v>0</v>
          </cell>
          <cell r="Y1876">
            <v>0</v>
          </cell>
          <cell r="Z1876">
            <v>0</v>
          </cell>
          <cell r="AA1876">
            <v>0</v>
          </cell>
          <cell r="AB1876">
            <v>0</v>
          </cell>
          <cell r="AC1876">
            <v>0</v>
          </cell>
          <cell r="AD1876">
            <v>0</v>
          </cell>
          <cell r="AI1876">
            <v>0</v>
          </cell>
          <cell r="AJ1876">
            <v>0</v>
          </cell>
          <cell r="AK1876">
            <v>0</v>
          </cell>
          <cell r="BB1876">
            <v>0</v>
          </cell>
          <cell r="BC1876">
            <v>0</v>
          </cell>
          <cell r="BD1876">
            <v>0</v>
          </cell>
          <cell r="BE1876">
            <v>0</v>
          </cell>
          <cell r="BI1876">
            <v>0</v>
          </cell>
          <cell r="BJ1876">
            <v>0</v>
          </cell>
          <cell r="BK1876">
            <v>0</v>
          </cell>
          <cell r="BL1876">
            <v>0</v>
          </cell>
          <cell r="BM1876">
            <v>0</v>
          </cell>
          <cell r="BN1876">
            <v>0</v>
          </cell>
          <cell r="BO1876">
            <v>0</v>
          </cell>
          <cell r="BP1876">
            <v>0</v>
          </cell>
          <cell r="BQ1876">
            <v>0</v>
          </cell>
          <cell r="BR1876">
            <v>0</v>
          </cell>
          <cell r="BT1876">
            <v>56</v>
          </cell>
          <cell r="CA1876" t="str">
            <v>INL - REVTOT - Identified - Recompete</v>
          </cell>
          <cell r="CC1876" t="str">
            <v>INL - REVTOT - Identified - Recompete - NE</v>
          </cell>
          <cell r="CD1876" t="str">
            <v/>
          </cell>
          <cell r="CF1876" t="str">
            <v>INL - Identified - Recompete - NE</v>
          </cell>
        </row>
        <row r="1877">
          <cell r="D1877">
            <v>1863</v>
          </cell>
          <cell r="E1877">
            <v>2</v>
          </cell>
          <cell r="F1877">
            <v>3</v>
          </cell>
          <cell r="G1877" t="str">
            <v>INL</v>
          </cell>
          <cell r="H1877" t="str">
            <v>INL Total</v>
          </cell>
          <cell r="I1877" t="str">
            <v>NE</v>
          </cell>
          <cell r="J1877" t="str">
            <v>NE Technical Services</v>
          </cell>
          <cell r="K1877" t="str">
            <v>DOE-Other</v>
          </cell>
          <cell r="L1877" t="str">
            <v>DOE</v>
          </cell>
          <cell r="M1877" t="str">
            <v>ID</v>
          </cell>
          <cell r="N1877" t="str">
            <v>CONUS</v>
          </cell>
          <cell r="O1877">
            <v>38384</v>
          </cell>
          <cell r="P1877">
            <v>45565</v>
          </cell>
          <cell r="Q1877" t="str">
            <v>Sub</v>
          </cell>
          <cell r="R1877" t="str">
            <v>CPAF</v>
          </cell>
          <cell r="S1877">
            <v>0</v>
          </cell>
          <cell r="T1877">
            <v>1</v>
          </cell>
          <cell r="U1877" t="str">
            <v>CONTRACT</v>
          </cell>
          <cell r="V1877" t="str">
            <v>Base</v>
          </cell>
          <cell r="W1877" t="str">
            <v>05 Won</v>
          </cell>
          <cell r="X1877" t="str">
            <v>Active</v>
          </cell>
          <cell r="Y1877">
            <v>1</v>
          </cell>
          <cell r="Z1877">
            <v>0</v>
          </cell>
          <cell r="AA1877">
            <v>16887198.771513674</v>
          </cell>
          <cell r="AB1877">
            <v>0</v>
          </cell>
          <cell r="AC1877">
            <v>0</v>
          </cell>
          <cell r="AD1877">
            <v>16887198.771513674</v>
          </cell>
          <cell r="AL1877">
            <v>0.72397464755605623</v>
          </cell>
          <cell r="AM1877">
            <v>0.66367549439728779</v>
          </cell>
          <cell r="AN1877">
            <v>0.73102754712874141</v>
          </cell>
          <cell r="AO1877">
            <v>0.72567773434677729</v>
          </cell>
          <cell r="AP1877">
            <v>0.46806244177640005</v>
          </cell>
          <cell r="AQ1877">
            <v>0.8</v>
          </cell>
          <cell r="AR1877">
            <v>0.8</v>
          </cell>
          <cell r="AS1877">
            <v>0.8</v>
          </cell>
          <cell r="BF1877">
            <v>3292359.27</v>
          </cell>
          <cell r="BG1877">
            <v>3315216.89</v>
          </cell>
          <cell r="BH1877">
            <v>3399388.26</v>
          </cell>
          <cell r="BI1877">
            <v>849235.72</v>
          </cell>
          <cell r="BJ1877">
            <v>781292.93000000017</v>
          </cell>
          <cell r="BK1877">
            <v>761281.1100000001</v>
          </cell>
          <cell r="BL1877">
            <v>713775.07</v>
          </cell>
          <cell r="BM1877">
            <v>3105584.83</v>
          </cell>
          <cell r="BN1877">
            <v>3389066.602072</v>
          </cell>
          <cell r="BO1877">
            <v>3423651.7760000001</v>
          </cell>
          <cell r="BP1877">
            <v>3423651.7760000001</v>
          </cell>
          <cell r="BQ1877">
            <v>3423651.7760000001</v>
          </cell>
          <cell r="BR1877">
            <v>16765606.760072002</v>
          </cell>
          <cell r="BT1877">
            <v>56</v>
          </cell>
          <cell r="CA1877" t="str">
            <v>INL - CONTRACT - Base</v>
          </cell>
          <cell r="CC1877" t="str">
            <v>INL - CONTRACT - Base - NE</v>
          </cell>
          <cell r="CD1877" t="str">
            <v/>
          </cell>
          <cell r="CF1877" t="str">
            <v>INL - Base - NE</v>
          </cell>
        </row>
        <row r="1878">
          <cell r="D1878">
            <v>1864</v>
          </cell>
          <cell r="E1878">
            <v>2</v>
          </cell>
          <cell r="F1878">
            <v>4</v>
          </cell>
          <cell r="G1878" t="str">
            <v>INL</v>
          </cell>
          <cell r="H1878" t="str">
            <v>INL Total</v>
          </cell>
          <cell r="I1878" t="str">
            <v>NE</v>
          </cell>
          <cell r="J1878" t="str">
            <v>NE Technical Services</v>
          </cell>
          <cell r="K1878" t="str">
            <v>DOE-Other</v>
          </cell>
          <cell r="L1878" t="str">
            <v>DOE</v>
          </cell>
          <cell r="M1878" t="str">
            <v>ID</v>
          </cell>
          <cell r="N1878" t="str">
            <v>CONUS</v>
          </cell>
          <cell r="O1878">
            <v>0</v>
          </cell>
          <cell r="P1878">
            <v>0</v>
          </cell>
          <cell r="Q1878">
            <v>0</v>
          </cell>
          <cell r="R1878" t="str">
            <v>CPAF</v>
          </cell>
          <cell r="S1878">
            <v>0</v>
          </cell>
          <cell r="T1878">
            <v>1</v>
          </cell>
          <cell r="U1878" t="str">
            <v>CONTRACT</v>
          </cell>
          <cell r="V1878" t="str">
            <v>Identified - Recompete</v>
          </cell>
          <cell r="W1878">
            <v>0</v>
          </cell>
          <cell r="X1878">
            <v>0</v>
          </cell>
          <cell r="Y1878">
            <v>0</v>
          </cell>
          <cell r="Z1878">
            <v>0</v>
          </cell>
          <cell r="AA1878">
            <v>0</v>
          </cell>
          <cell r="AB1878">
            <v>0</v>
          </cell>
          <cell r="AC1878">
            <v>0</v>
          </cell>
          <cell r="AD1878">
            <v>0</v>
          </cell>
          <cell r="AP1878">
            <v>0.46806244177640005</v>
          </cell>
          <cell r="AQ1878">
            <v>0.8</v>
          </cell>
          <cell r="AR1878">
            <v>0.8</v>
          </cell>
          <cell r="AS1878">
            <v>0.8</v>
          </cell>
          <cell r="BI1878">
            <v>0</v>
          </cell>
          <cell r="BJ1878">
            <v>0</v>
          </cell>
          <cell r="BK1878">
            <v>0</v>
          </cell>
          <cell r="BL1878">
            <v>0</v>
          </cell>
          <cell r="BM1878">
            <v>0</v>
          </cell>
          <cell r="BN1878">
            <v>0</v>
          </cell>
          <cell r="BO1878">
            <v>0</v>
          </cell>
          <cell r="BP1878">
            <v>0</v>
          </cell>
          <cell r="BQ1878">
            <v>0</v>
          </cell>
          <cell r="BR1878">
            <v>0</v>
          </cell>
          <cell r="BT1878">
            <v>56</v>
          </cell>
          <cell r="CA1878" t="str">
            <v>INL - CONTRACT - Identified - Recompete</v>
          </cell>
          <cell r="CC1878" t="str">
            <v>INL - CONTRACT - Identified - Recompete - NE</v>
          </cell>
          <cell r="CD1878" t="str">
            <v/>
          </cell>
          <cell r="CF1878" t="str">
            <v>INL - Identified - Recompete - NE</v>
          </cell>
        </row>
        <row r="1879">
          <cell r="D1879">
            <v>1865</v>
          </cell>
          <cell r="E1879">
            <v>0</v>
          </cell>
          <cell r="F1879">
            <v>5</v>
          </cell>
          <cell r="G1879" t="str">
            <v>INL</v>
          </cell>
          <cell r="H1879" t="str">
            <v>INL Total</v>
          </cell>
          <cell r="I1879" t="str">
            <v>NE</v>
          </cell>
          <cell r="J1879" t="str">
            <v>NE Technical Services</v>
          </cell>
          <cell r="K1879" t="str">
            <v>DOE-Other</v>
          </cell>
          <cell r="L1879" t="str">
            <v>DOE</v>
          </cell>
          <cell r="M1879" t="str">
            <v>ID</v>
          </cell>
          <cell r="N1879" t="str">
            <v>CONUS</v>
          </cell>
          <cell r="O1879">
            <v>38384</v>
          </cell>
          <cell r="P1879">
            <v>45565</v>
          </cell>
          <cell r="Q1879" t="str">
            <v>Sub</v>
          </cell>
          <cell r="R1879" t="str">
            <v>CPAF</v>
          </cell>
          <cell r="S1879">
            <v>0</v>
          </cell>
          <cell r="T1879">
            <v>1</v>
          </cell>
          <cell r="U1879" t="str">
            <v>EBITA</v>
          </cell>
          <cell r="V1879" t="str">
            <v>Base</v>
          </cell>
          <cell r="W1879" t="str">
            <v>05 Won</v>
          </cell>
          <cell r="X1879" t="str">
            <v>Active</v>
          </cell>
          <cell r="Y1879">
            <v>1</v>
          </cell>
          <cell r="Z1879">
            <v>0</v>
          </cell>
          <cell r="AA1879">
            <v>16887198.771513674</v>
          </cell>
          <cell r="AB1879">
            <v>0</v>
          </cell>
          <cell r="AC1879">
            <v>0</v>
          </cell>
          <cell r="AD1879">
            <v>16887198.771513674</v>
          </cell>
          <cell r="AT1879">
            <v>0.68763080257773701</v>
          </cell>
          <cell r="AU1879">
            <v>0.59609040911798372</v>
          </cell>
          <cell r="AV1879">
            <v>0.6823539525288933</v>
          </cell>
          <cell r="AW1879">
            <v>0.6833680085109215</v>
          </cell>
          <cell r="AX1879">
            <v>0.4061755636936269</v>
          </cell>
          <cell r="AY1879">
            <v>0.68336800851092105</v>
          </cell>
          <cell r="AZ1879">
            <v>0.6833680085109215</v>
          </cell>
          <cell r="BA1879">
            <v>0.6833680085109215</v>
          </cell>
          <cell r="BF1879">
            <v>3127081.39</v>
          </cell>
          <cell r="BG1879">
            <v>2977613.3200000003</v>
          </cell>
          <cell r="BH1879">
            <v>3173048.71</v>
          </cell>
          <cell r="BI1879">
            <v>806526.56999999983</v>
          </cell>
          <cell r="BJ1879">
            <v>742189.21</v>
          </cell>
          <cell r="BK1879">
            <v>718687.65999999992</v>
          </cell>
          <cell r="BL1879">
            <v>657114.17999999993</v>
          </cell>
          <cell r="BM1879">
            <v>2924517.6199999992</v>
          </cell>
          <cell r="BN1879">
            <v>2940966.6630535573</v>
          </cell>
          <cell r="BO1879">
            <v>2924517.6199999973</v>
          </cell>
          <cell r="BP1879">
            <v>2924517.6199999992</v>
          </cell>
          <cell r="BQ1879">
            <v>2924517.6199999992</v>
          </cell>
          <cell r="BR1879">
            <v>14639037.143053552</v>
          </cell>
          <cell r="BT1879">
            <v>56</v>
          </cell>
          <cell r="CA1879" t="str">
            <v>INL - EBITA - Base</v>
          </cell>
          <cell r="CC1879" t="str">
            <v>INL - EBITA - Base - NE</v>
          </cell>
          <cell r="CD1879" t="str">
            <v/>
          </cell>
          <cell r="CF1879" t="str">
            <v>INL - Base - NE</v>
          </cell>
        </row>
        <row r="1880">
          <cell r="D1880">
            <v>1866</v>
          </cell>
          <cell r="E1880">
            <v>0</v>
          </cell>
          <cell r="F1880">
            <v>0</v>
          </cell>
          <cell r="G1880" t="str">
            <v>INL</v>
          </cell>
          <cell r="H1880" t="str">
            <v>INL Total</v>
          </cell>
          <cell r="I1880" t="str">
            <v>NE</v>
          </cell>
          <cell r="J1880" t="str">
            <v>NE Technical Services</v>
          </cell>
          <cell r="K1880" t="str">
            <v>DOE-Other</v>
          </cell>
          <cell r="L1880" t="str">
            <v>DOE</v>
          </cell>
          <cell r="M1880" t="str">
            <v>ID</v>
          </cell>
          <cell r="N1880" t="str">
            <v>CONUS</v>
          </cell>
          <cell r="O1880">
            <v>0</v>
          </cell>
          <cell r="P1880">
            <v>0</v>
          </cell>
          <cell r="Q1880">
            <v>0</v>
          </cell>
          <cell r="R1880" t="str">
            <v>CPAF</v>
          </cell>
          <cell r="S1880">
            <v>0</v>
          </cell>
          <cell r="T1880">
            <v>1</v>
          </cell>
          <cell r="U1880" t="str">
            <v>EBITA</v>
          </cell>
          <cell r="V1880" t="str">
            <v>Identified - Recompete</v>
          </cell>
          <cell r="W1880">
            <v>0</v>
          </cell>
          <cell r="X1880">
            <v>0</v>
          </cell>
          <cell r="Y1880">
            <v>0</v>
          </cell>
          <cell r="Z1880">
            <v>0</v>
          </cell>
          <cell r="AA1880">
            <v>0</v>
          </cell>
          <cell r="AB1880">
            <v>0</v>
          </cell>
          <cell r="AC1880">
            <v>0</v>
          </cell>
          <cell r="AD1880">
            <v>0</v>
          </cell>
          <cell r="AX1880">
            <v>0.4061755636936269</v>
          </cell>
          <cell r="AY1880">
            <v>0.68336800851092105</v>
          </cell>
          <cell r="AZ1880">
            <v>0.6833680085109215</v>
          </cell>
          <cell r="BA1880">
            <v>0.6833680085109215</v>
          </cell>
          <cell r="BI1880">
            <v>0</v>
          </cell>
          <cell r="BJ1880">
            <v>0</v>
          </cell>
          <cell r="BK1880">
            <v>0</v>
          </cell>
          <cell r="BL1880">
            <v>0</v>
          </cell>
          <cell r="BM1880">
            <v>0</v>
          </cell>
          <cell r="BN1880">
            <v>0</v>
          </cell>
          <cell r="BO1880">
            <v>0</v>
          </cell>
          <cell r="BP1880">
            <v>0</v>
          </cell>
          <cell r="BQ1880">
            <v>0</v>
          </cell>
          <cell r="BR1880">
            <v>0</v>
          </cell>
          <cell r="BT1880">
            <v>56</v>
          </cell>
          <cell r="CA1880" t="str">
            <v>INL - EBITA - Identified - Recompete</v>
          </cell>
          <cell r="CC1880" t="str">
            <v>INL - EBITA - Identified - Recompete - NE</v>
          </cell>
          <cell r="CD1880" t="str">
            <v/>
          </cell>
          <cell r="CF1880" t="str">
            <v>INL - Identified - Recompete - NE</v>
          </cell>
        </row>
        <row r="1881">
          <cell r="D1881">
            <v>1867</v>
          </cell>
          <cell r="E1881">
            <v>1</v>
          </cell>
          <cell r="F1881">
            <v>1</v>
          </cell>
          <cell r="G1881" t="str">
            <v>CONSLT</v>
          </cell>
          <cell r="H1881" t="str">
            <v>Consulting</v>
          </cell>
          <cell r="I1881" t="str">
            <v>NE</v>
          </cell>
          <cell r="J1881" t="str">
            <v>NE Technical Services</v>
          </cell>
          <cell r="K1881" t="str">
            <v>Other</v>
          </cell>
          <cell r="L1881" t="str">
            <v>Other</v>
          </cell>
          <cell r="M1881" t="str">
            <v>US_State</v>
          </cell>
          <cell r="N1881" t="str">
            <v>CONUS</v>
          </cell>
          <cell r="O1881">
            <v>38591</v>
          </cell>
          <cell r="P1881">
            <v>44696</v>
          </cell>
          <cell r="Q1881" t="str">
            <v>Other</v>
          </cell>
          <cell r="R1881" t="str">
            <v>CPNF</v>
          </cell>
          <cell r="S1881">
            <v>0</v>
          </cell>
          <cell r="T1881">
            <v>1</v>
          </cell>
          <cell r="U1881" t="str">
            <v>REVTOT</v>
          </cell>
          <cell r="V1881" t="str">
            <v>Base</v>
          </cell>
          <cell r="W1881" t="str">
            <v>05 Won</v>
          </cell>
          <cell r="X1881" t="str">
            <v>Active</v>
          </cell>
          <cell r="Y1881">
            <v>1</v>
          </cell>
          <cell r="Z1881">
            <v>0</v>
          </cell>
          <cell r="AA1881">
            <v>21685744.592881992</v>
          </cell>
          <cell r="AB1881">
            <v>6194633.6100000013</v>
          </cell>
          <cell r="AC1881">
            <v>0</v>
          </cell>
          <cell r="AD1881">
            <v>27880378.202881992</v>
          </cell>
          <cell r="AE1881">
            <v>-0.13577061502051857</v>
          </cell>
          <cell r="AF1881">
            <v>2.2737058456222758E-2</v>
          </cell>
          <cell r="AG1881">
            <v>0.16834919462402942</v>
          </cell>
          <cell r="AH1881">
            <v>-0.61514970962105531</v>
          </cell>
          <cell r="AI1881">
            <v>0</v>
          </cell>
          <cell r="AJ1881">
            <v>0</v>
          </cell>
          <cell r="AK1881">
            <v>0</v>
          </cell>
          <cell r="BB1881">
            <v>73547947.178560987</v>
          </cell>
          <cell r="BC1881">
            <v>0</v>
          </cell>
          <cell r="BD1881">
            <v>0</v>
          </cell>
          <cell r="BE1881">
            <v>0</v>
          </cell>
          <cell r="BF1881">
            <v>70152177.689999998</v>
          </cell>
          <cell r="BG1881">
            <v>60627573.379999995</v>
          </cell>
          <cell r="BH1881">
            <v>62006066.059999995</v>
          </cell>
          <cell r="BI1881">
            <v>16355964.079999998</v>
          </cell>
          <cell r="BJ1881">
            <v>18462335.25</v>
          </cell>
          <cell r="BK1881">
            <v>18923117.530000001</v>
          </cell>
          <cell r="BL1881">
            <v>18703320.483005356</v>
          </cell>
          <cell r="BM1881">
            <v>72444737.343005359</v>
          </cell>
          <cell r="BN1881">
            <v>27880378.202881992</v>
          </cell>
          <cell r="BO1881">
            <v>0</v>
          </cell>
          <cell r="BP1881">
            <v>0</v>
          </cell>
          <cell r="BQ1881">
            <v>0</v>
          </cell>
          <cell r="BR1881">
            <v>100325115.54588735</v>
          </cell>
          <cell r="BT1881">
            <v>55</v>
          </cell>
          <cell r="CA1881" t="str">
            <v>CONSLT - REVTOT - Base</v>
          </cell>
          <cell r="CC1881" t="str">
            <v>CONSLT - REVTOT - Base - NE</v>
          </cell>
          <cell r="CD1881" t="str">
            <v/>
          </cell>
          <cell r="CF1881" t="str">
            <v>CONSLT - Base - NE</v>
          </cell>
        </row>
        <row r="1882">
          <cell r="D1882">
            <v>1868</v>
          </cell>
          <cell r="E1882">
            <v>1</v>
          </cell>
          <cell r="F1882">
            <v>2</v>
          </cell>
          <cell r="G1882" t="str">
            <v>CONSLT</v>
          </cell>
          <cell r="H1882" t="str">
            <v>Consulting</v>
          </cell>
          <cell r="I1882" t="str">
            <v>NE</v>
          </cell>
          <cell r="J1882" t="str">
            <v>NE Technical Services</v>
          </cell>
          <cell r="K1882" t="str">
            <v>Other</v>
          </cell>
          <cell r="L1882" t="str">
            <v>Other</v>
          </cell>
          <cell r="M1882" t="str">
            <v>US_State</v>
          </cell>
          <cell r="N1882" t="str">
            <v>CONUS</v>
          </cell>
          <cell r="O1882">
            <v>0</v>
          </cell>
          <cell r="P1882">
            <v>0</v>
          </cell>
          <cell r="Q1882" t="str">
            <v>Other</v>
          </cell>
          <cell r="R1882" t="str">
            <v>CPNF</v>
          </cell>
          <cell r="S1882">
            <v>0</v>
          </cell>
          <cell r="T1882">
            <v>1</v>
          </cell>
          <cell r="U1882" t="str">
            <v>REVTOT</v>
          </cell>
          <cell r="V1882" t="str">
            <v>Identified - Recompete</v>
          </cell>
          <cell r="W1882">
            <v>0</v>
          </cell>
          <cell r="X1882" t="str">
            <v>Priority 1</v>
          </cell>
          <cell r="Y1882">
            <v>1</v>
          </cell>
          <cell r="Z1882">
            <v>350000000</v>
          </cell>
          <cell r="AA1882">
            <v>0</v>
          </cell>
          <cell r="AB1882">
            <v>0</v>
          </cell>
          <cell r="AC1882">
            <v>0</v>
          </cell>
          <cell r="AD1882">
            <v>0</v>
          </cell>
          <cell r="AI1882">
            <v>0.1</v>
          </cell>
          <cell r="AJ1882">
            <v>0.1</v>
          </cell>
          <cell r="AK1882">
            <v>0.1</v>
          </cell>
          <cell r="BB1882">
            <v>73547947.178560987</v>
          </cell>
          <cell r="BC1882">
            <v>80902741.896417096</v>
          </cell>
          <cell r="BD1882">
            <v>88993016.08605881</v>
          </cell>
          <cell r="BE1882">
            <v>97892317.694664702</v>
          </cell>
          <cell r="BI1882">
            <v>0</v>
          </cell>
          <cell r="BJ1882">
            <v>0</v>
          </cell>
          <cell r="BK1882">
            <v>0</v>
          </cell>
          <cell r="BL1882">
            <v>0</v>
          </cell>
          <cell r="BM1882">
            <v>0</v>
          </cell>
          <cell r="BN1882">
            <v>45667568.975678995</v>
          </cell>
          <cell r="BO1882">
            <v>80902741.896417096</v>
          </cell>
          <cell r="BP1882">
            <v>88993016.08605881</v>
          </cell>
          <cell r="BQ1882">
            <v>97892317.694664702</v>
          </cell>
          <cell r="BR1882">
            <v>313455644.65281963</v>
          </cell>
          <cell r="BT1882">
            <v>55</v>
          </cell>
          <cell r="CA1882" t="str">
            <v>CONSLT - REVTOT - Identified - Recompete</v>
          </cell>
          <cell r="CC1882" t="str">
            <v>CONSLT - REVTOT - Identified - Recompete - NE</v>
          </cell>
          <cell r="CD1882" t="str">
            <v/>
          </cell>
          <cell r="CF1882" t="str">
            <v>CONSLT - Identified - Recompete - NE</v>
          </cell>
        </row>
        <row r="1883">
          <cell r="D1883">
            <v>1869</v>
          </cell>
          <cell r="E1883">
            <v>2</v>
          </cell>
          <cell r="F1883">
            <v>3</v>
          </cell>
          <cell r="G1883" t="str">
            <v>CONSLT</v>
          </cell>
          <cell r="H1883" t="str">
            <v>Consulting</v>
          </cell>
          <cell r="I1883" t="str">
            <v>NE</v>
          </cell>
          <cell r="J1883" t="str">
            <v>NE Technical Services</v>
          </cell>
          <cell r="K1883" t="str">
            <v>Other</v>
          </cell>
          <cell r="L1883" t="str">
            <v>Other</v>
          </cell>
          <cell r="M1883" t="str">
            <v>US_State</v>
          </cell>
          <cell r="N1883" t="str">
            <v>CONUS</v>
          </cell>
          <cell r="O1883">
            <v>38591</v>
          </cell>
          <cell r="P1883">
            <v>44696</v>
          </cell>
          <cell r="Q1883" t="str">
            <v>Other</v>
          </cell>
          <cell r="R1883" t="str">
            <v>CPNF</v>
          </cell>
          <cell r="S1883">
            <v>0</v>
          </cell>
          <cell r="T1883">
            <v>1</v>
          </cell>
          <cell r="U1883" t="str">
            <v>CONTRACT</v>
          </cell>
          <cell r="V1883" t="str">
            <v>Base</v>
          </cell>
          <cell r="W1883" t="str">
            <v>05 Won</v>
          </cell>
          <cell r="X1883" t="str">
            <v>Active</v>
          </cell>
          <cell r="Y1883">
            <v>1</v>
          </cell>
          <cell r="Z1883">
            <v>0</v>
          </cell>
          <cell r="AA1883">
            <v>21685744.592881992</v>
          </cell>
          <cell r="AB1883">
            <v>6194633.6100000013</v>
          </cell>
          <cell r="AC1883">
            <v>0</v>
          </cell>
          <cell r="AD1883">
            <v>27880378.202881992</v>
          </cell>
          <cell r="AL1883">
            <v>0.26805840045476714</v>
          </cell>
          <cell r="AM1883">
            <v>0.29287949261478424</v>
          </cell>
          <cell r="AN1883">
            <v>0.28763212768154123</v>
          </cell>
          <cell r="AO1883">
            <v>0.30248880519282578</v>
          </cell>
          <cell r="AP1883">
            <v>0.2935242701331679</v>
          </cell>
          <cell r="AQ1883">
            <v>0.2906183215700896</v>
          </cell>
          <cell r="AR1883">
            <v>0.2906183215700896</v>
          </cell>
          <cell r="AS1883">
            <v>0.2906183215700896</v>
          </cell>
          <cell r="BF1883">
            <v>18804880.539999999</v>
          </cell>
          <cell r="BG1883">
            <v>17756572.93</v>
          </cell>
          <cell r="BH1883">
            <v>17834936.709999997</v>
          </cell>
          <cell r="BI1883">
            <v>4941904.5599999977</v>
          </cell>
          <cell r="BJ1883">
            <v>5858006.8500000006</v>
          </cell>
          <cell r="BK1883">
            <v>5436376.0700000031</v>
          </cell>
          <cell r="BL1883">
            <v>5677434.5613937769</v>
          </cell>
          <cell r="BM1883">
            <v>21913722.041393779</v>
          </cell>
          <cell r="BN1883">
            <v>8183567.6630376196</v>
          </cell>
          <cell r="BO1883">
            <v>0</v>
          </cell>
          <cell r="BP1883">
            <v>0</v>
          </cell>
          <cell r="BQ1883">
            <v>0</v>
          </cell>
          <cell r="BR1883">
            <v>30097289.7044314</v>
          </cell>
          <cell r="BT1883">
            <v>55</v>
          </cell>
          <cell r="CA1883" t="str">
            <v>CONSLT - CONTRACT - Base</v>
          </cell>
          <cell r="CC1883" t="str">
            <v>CONSLT - CONTRACT - Base - NE</v>
          </cell>
          <cell r="CD1883" t="str">
            <v/>
          </cell>
          <cell r="CF1883" t="str">
            <v>CONSLT - Base - NE</v>
          </cell>
        </row>
        <row r="1884">
          <cell r="D1884">
            <v>1870</v>
          </cell>
          <cell r="E1884">
            <v>2</v>
          </cell>
          <cell r="F1884">
            <v>4</v>
          </cell>
          <cell r="G1884" t="str">
            <v>CONSLT</v>
          </cell>
          <cell r="H1884" t="str">
            <v>Consulting</v>
          </cell>
          <cell r="I1884" t="str">
            <v>NE</v>
          </cell>
          <cell r="J1884" t="str">
            <v>NE Technical Services</v>
          </cell>
          <cell r="K1884" t="str">
            <v>Other</v>
          </cell>
          <cell r="L1884" t="str">
            <v>Other</v>
          </cell>
          <cell r="M1884" t="str">
            <v>US_State</v>
          </cell>
          <cell r="N1884" t="str">
            <v>CONUS</v>
          </cell>
          <cell r="O1884">
            <v>0</v>
          </cell>
          <cell r="P1884">
            <v>0</v>
          </cell>
          <cell r="Q1884" t="str">
            <v>Other</v>
          </cell>
          <cell r="R1884" t="str">
            <v>CPNF</v>
          </cell>
          <cell r="S1884">
            <v>0</v>
          </cell>
          <cell r="T1884">
            <v>1</v>
          </cell>
          <cell r="U1884" t="str">
            <v>CONTRACT</v>
          </cell>
          <cell r="V1884" t="str">
            <v>Identified - Recompete</v>
          </cell>
          <cell r="W1884">
            <v>0</v>
          </cell>
          <cell r="X1884" t="str">
            <v>Priority 1</v>
          </cell>
          <cell r="Y1884">
            <v>1</v>
          </cell>
          <cell r="Z1884">
            <v>350000000</v>
          </cell>
          <cell r="AA1884">
            <v>0</v>
          </cell>
          <cell r="AB1884">
            <v>0</v>
          </cell>
          <cell r="AC1884">
            <v>0</v>
          </cell>
          <cell r="AD1884">
            <v>0</v>
          </cell>
          <cell r="AP1884">
            <v>0.2935242701331679</v>
          </cell>
          <cell r="AQ1884">
            <v>0.2906183215700896</v>
          </cell>
          <cell r="AR1884">
            <v>0.2906183215700896</v>
          </cell>
          <cell r="AS1884">
            <v>0.2906183215700896</v>
          </cell>
          <cell r="BI1884">
            <v>0</v>
          </cell>
          <cell r="BJ1884">
            <v>0</v>
          </cell>
          <cell r="BK1884">
            <v>0</v>
          </cell>
          <cell r="BL1884">
            <v>0</v>
          </cell>
          <cell r="BM1884">
            <v>0</v>
          </cell>
          <cell r="BN1884">
            <v>13404539.85234228</v>
          </cell>
          <cell r="BO1884">
            <v>23511819.060354903</v>
          </cell>
          <cell r="BP1884">
            <v>25863000.966390397</v>
          </cell>
          <cell r="BQ1884">
            <v>28449301.063029438</v>
          </cell>
          <cell r="BR1884">
            <v>91228660.94211702</v>
          </cell>
          <cell r="BT1884">
            <v>55</v>
          </cell>
          <cell r="CA1884" t="str">
            <v>CONSLT - CONTRACT - Identified - Recompete</v>
          </cell>
          <cell r="CC1884" t="str">
            <v>CONSLT - CONTRACT - Identified - Recompete - NE</v>
          </cell>
          <cell r="CD1884" t="str">
            <v/>
          </cell>
          <cell r="CF1884" t="str">
            <v>CONSLT - Identified - Recompete - NE</v>
          </cell>
        </row>
        <row r="1885">
          <cell r="D1885">
            <v>1871</v>
          </cell>
          <cell r="E1885">
            <v>0</v>
          </cell>
          <cell r="F1885">
            <v>5</v>
          </cell>
          <cell r="G1885" t="str">
            <v>CONSLT</v>
          </cell>
          <cell r="H1885" t="str">
            <v>Consulting</v>
          </cell>
          <cell r="I1885" t="str">
            <v>NE</v>
          </cell>
          <cell r="J1885" t="str">
            <v>NE Technical Services</v>
          </cell>
          <cell r="K1885" t="str">
            <v>Other</v>
          </cell>
          <cell r="L1885" t="str">
            <v>Other</v>
          </cell>
          <cell r="M1885" t="str">
            <v>US_State</v>
          </cell>
          <cell r="N1885" t="str">
            <v>CONUS</v>
          </cell>
          <cell r="O1885">
            <v>38591</v>
          </cell>
          <cell r="P1885">
            <v>44696</v>
          </cell>
          <cell r="Q1885" t="str">
            <v>Other</v>
          </cell>
          <cell r="R1885" t="str">
            <v>CPNF</v>
          </cell>
          <cell r="S1885">
            <v>0</v>
          </cell>
          <cell r="T1885">
            <v>1</v>
          </cell>
          <cell r="U1885" t="str">
            <v>EBITA</v>
          </cell>
          <cell r="V1885" t="str">
            <v>Base</v>
          </cell>
          <cell r="W1885" t="str">
            <v>05 Won</v>
          </cell>
          <cell r="X1885" t="str">
            <v>Active</v>
          </cell>
          <cell r="Y1885">
            <v>1</v>
          </cell>
          <cell r="Z1885">
            <v>0</v>
          </cell>
          <cell r="AA1885">
            <v>21685744.592881992</v>
          </cell>
          <cell r="AB1885">
            <v>6194633.6100000013</v>
          </cell>
          <cell r="AC1885">
            <v>0</v>
          </cell>
          <cell r="AD1885">
            <v>27880378.202881992</v>
          </cell>
          <cell r="AT1885">
            <v>5.763682202236705E-2</v>
          </cell>
          <cell r="AU1885">
            <v>5.6847801385647344E-2</v>
          </cell>
          <cell r="AV1885">
            <v>6.5939347386490169E-2</v>
          </cell>
          <cell r="AW1885">
            <v>6.3113818947448164E-2</v>
          </cell>
          <cell r="AX1885">
            <v>5.2322538029452886E-2</v>
          </cell>
          <cell r="AY1885">
            <v>5.5E-2</v>
          </cell>
          <cell r="AZ1885">
            <v>5.5E-2</v>
          </cell>
          <cell r="BA1885">
            <v>5.5E-2</v>
          </cell>
          <cell r="BF1885">
            <v>4043348.5799999982</v>
          </cell>
          <cell r="BG1885">
            <v>3446544.2499999995</v>
          </cell>
          <cell r="BH1885">
            <v>4088639.5299999975</v>
          </cell>
          <cell r="BI1885">
            <v>1057307.3699999978</v>
          </cell>
          <cell r="BJ1885">
            <v>1580802.7700000007</v>
          </cell>
          <cell r="BK1885">
            <v>843635.65000000293</v>
          </cell>
          <cell r="BL1885">
            <v>1090518.246361875</v>
          </cell>
          <cell r="BM1885">
            <v>4572264.0363618769</v>
          </cell>
          <cell r="BN1885">
            <v>1458772.1487958224</v>
          </cell>
          <cell r="BO1885">
            <v>0</v>
          </cell>
          <cell r="BP1885">
            <v>0</v>
          </cell>
          <cell r="BQ1885">
            <v>0</v>
          </cell>
          <cell r="BR1885">
            <v>6031036.1851576995</v>
          </cell>
          <cell r="BT1885">
            <v>55</v>
          </cell>
          <cell r="CA1885" t="str">
            <v>CONSLT - EBITA - Base</v>
          </cell>
          <cell r="CC1885" t="str">
            <v>CONSLT - EBITA - Base - NE</v>
          </cell>
          <cell r="CD1885" t="str">
            <v/>
          </cell>
          <cell r="CF1885" t="str">
            <v>CONSLT - Base - NE</v>
          </cell>
        </row>
        <row r="1886">
          <cell r="D1886">
            <v>1872</v>
          </cell>
          <cell r="E1886">
            <v>0</v>
          </cell>
          <cell r="F1886">
            <v>0</v>
          </cell>
          <cell r="G1886" t="str">
            <v>CONSLT</v>
          </cell>
          <cell r="H1886" t="str">
            <v>Consulting</v>
          </cell>
          <cell r="I1886" t="str">
            <v>NE</v>
          </cell>
          <cell r="J1886" t="str">
            <v>NE Technical Services</v>
          </cell>
          <cell r="K1886" t="str">
            <v>Other</v>
          </cell>
          <cell r="L1886" t="str">
            <v>Other</v>
          </cell>
          <cell r="M1886" t="str">
            <v>US_State</v>
          </cell>
          <cell r="N1886" t="str">
            <v>CONUS</v>
          </cell>
          <cell r="O1886">
            <v>0</v>
          </cell>
          <cell r="P1886">
            <v>0</v>
          </cell>
          <cell r="Q1886" t="str">
            <v>Other</v>
          </cell>
          <cell r="R1886" t="str">
            <v>CPNF</v>
          </cell>
          <cell r="S1886">
            <v>0</v>
          </cell>
          <cell r="T1886">
            <v>1</v>
          </cell>
          <cell r="U1886" t="str">
            <v>EBITA</v>
          </cell>
          <cell r="V1886" t="str">
            <v>Identified - Recompete</v>
          </cell>
          <cell r="W1886">
            <v>0</v>
          </cell>
          <cell r="X1886" t="str">
            <v>Priority 1</v>
          </cell>
          <cell r="Y1886">
            <v>1</v>
          </cell>
          <cell r="Z1886">
            <v>350000000</v>
          </cell>
          <cell r="AA1886">
            <v>0</v>
          </cell>
          <cell r="AB1886">
            <v>0</v>
          </cell>
          <cell r="AC1886">
            <v>0</v>
          </cell>
          <cell r="AD1886">
            <v>0</v>
          </cell>
          <cell r="AX1886">
            <v>5.5E-2</v>
          </cell>
          <cell r="AY1886">
            <v>5.5E-2</v>
          </cell>
          <cell r="AZ1886">
            <v>5.5E-2</v>
          </cell>
          <cell r="BA1886">
            <v>5.5E-2</v>
          </cell>
          <cell r="BI1886">
            <v>0</v>
          </cell>
          <cell r="BJ1886">
            <v>0</v>
          </cell>
          <cell r="BK1886">
            <v>0</v>
          </cell>
          <cell r="BL1886">
            <v>0</v>
          </cell>
          <cell r="BM1886">
            <v>0</v>
          </cell>
          <cell r="BN1886">
            <v>2511716.2936623446</v>
          </cell>
          <cell r="BO1886">
            <v>4449650.8043029401</v>
          </cell>
          <cell r="BP1886">
            <v>4894615.8847332345</v>
          </cell>
          <cell r="BQ1886">
            <v>5384077.4732065583</v>
          </cell>
          <cell r="BR1886">
            <v>17240060.455905076</v>
          </cell>
          <cell r="BT1886">
            <v>55</v>
          </cell>
          <cell r="CA1886" t="str">
            <v>CONSLT - EBITA - Identified - Recompete</v>
          </cell>
          <cell r="CC1886" t="str">
            <v>CONSLT - EBITA - Identified - Recompete - NE</v>
          </cell>
          <cell r="CD1886" t="str">
            <v/>
          </cell>
          <cell r="CF1886" t="str">
            <v>CONSLT - Identified - Recompete - NE</v>
          </cell>
        </row>
        <row r="1887">
          <cell r="D1887">
            <v>1873</v>
          </cell>
          <cell r="E1887">
            <v>1</v>
          </cell>
          <cell r="F1887">
            <v>1</v>
          </cell>
          <cell r="G1887" t="str">
            <v>AWETOT</v>
          </cell>
          <cell r="H1887" t="str">
            <v>Total AWE</v>
          </cell>
          <cell r="I1887" t="str">
            <v>NE</v>
          </cell>
          <cell r="J1887" t="str">
            <v>NE International Programs</v>
          </cell>
          <cell r="K1887" t="str">
            <v>UK-AWE</v>
          </cell>
          <cell r="L1887" t="str">
            <v>Non-US Gov't</v>
          </cell>
          <cell r="M1887" t="str">
            <v>UK</v>
          </cell>
          <cell r="N1887" t="str">
            <v>OCONUS</v>
          </cell>
          <cell r="O1887">
            <v>43452</v>
          </cell>
          <cell r="P1887">
            <v>47847</v>
          </cell>
          <cell r="Q1887" t="str">
            <v>Prime</v>
          </cell>
          <cell r="R1887" t="str">
            <v>CPAF</v>
          </cell>
          <cell r="S1887">
            <v>0</v>
          </cell>
          <cell r="T1887">
            <v>1</v>
          </cell>
          <cell r="U1887" t="str">
            <v>REVTOT</v>
          </cell>
          <cell r="V1887" t="str">
            <v>Base</v>
          </cell>
          <cell r="W1887" t="str">
            <v>05 Won</v>
          </cell>
          <cell r="X1887" t="str">
            <v>Active</v>
          </cell>
          <cell r="Y1887">
            <v>1</v>
          </cell>
          <cell r="Z1887">
            <v>0</v>
          </cell>
          <cell r="AA1887">
            <v>4480341.3787454804</v>
          </cell>
          <cell r="AB1887">
            <v>455350519</v>
          </cell>
          <cell r="AC1887">
            <v>0</v>
          </cell>
          <cell r="AD1887">
            <v>459830860.3787455</v>
          </cell>
          <cell r="AE1887">
            <v>0</v>
          </cell>
          <cell r="AF1887">
            <v>0</v>
          </cell>
          <cell r="AG1887">
            <v>0</v>
          </cell>
          <cell r="AH1887">
            <v>3.6467254818403285</v>
          </cell>
          <cell r="AI1887">
            <v>1.4044525034633715E-2</v>
          </cell>
          <cell r="AJ1887">
            <v>5.6434089672855459E-2</v>
          </cell>
          <cell r="AK1887">
            <v>-1.784255986836436E-2</v>
          </cell>
          <cell r="BB1887">
            <v>26581675</v>
          </cell>
          <cell r="BC1887">
            <v>26955001.999999996</v>
          </cell>
          <cell r="BD1887">
            <v>28476182.999999993</v>
          </cell>
          <cell r="BE1887">
            <v>27968094.999999993</v>
          </cell>
          <cell r="BF1887">
            <v>0</v>
          </cell>
          <cell r="BG1887">
            <v>0</v>
          </cell>
          <cell r="BH1887">
            <v>0</v>
          </cell>
          <cell r="BI1887">
            <v>116866.11</v>
          </cell>
          <cell r="BJ1887">
            <v>1062378.27</v>
          </cell>
          <cell r="BK1887">
            <v>1999106.7412545201</v>
          </cell>
          <cell r="BL1887">
            <v>2542166.5</v>
          </cell>
          <cell r="BM1887">
            <v>5720517.6212545205</v>
          </cell>
          <cell r="BN1887">
            <v>26581675</v>
          </cell>
          <cell r="BO1887">
            <v>26955001.999999996</v>
          </cell>
          <cell r="BP1887">
            <v>28476182.999999993</v>
          </cell>
          <cell r="BQ1887">
            <v>27968094.999999993</v>
          </cell>
          <cell r="BR1887">
            <v>115701472.6212545</v>
          </cell>
          <cell r="BT1887">
            <v>58</v>
          </cell>
          <cell r="CA1887" t="str">
            <v>AWETOT - REVTOT - Base</v>
          </cell>
          <cell r="CC1887" t="str">
            <v>AWETOT - REVTOT - Base - NE</v>
          </cell>
          <cell r="CD1887" t="str">
            <v/>
          </cell>
          <cell r="CF1887" t="str">
            <v>AWETOT - Base - NE</v>
          </cell>
        </row>
        <row r="1888">
          <cell r="D1888">
            <v>1874</v>
          </cell>
          <cell r="E1888">
            <v>1</v>
          </cell>
          <cell r="F1888">
            <v>2</v>
          </cell>
          <cell r="G1888" t="str">
            <v>AWETOT</v>
          </cell>
          <cell r="H1888" t="str">
            <v>Total AWE</v>
          </cell>
          <cell r="I1888" t="str">
            <v>NE</v>
          </cell>
          <cell r="J1888" t="str">
            <v>NE International Programs</v>
          </cell>
          <cell r="K1888" t="str">
            <v>UK-AWE</v>
          </cell>
          <cell r="L1888" t="str">
            <v>Non-US Gov't</v>
          </cell>
          <cell r="M1888" t="str">
            <v>UK</v>
          </cell>
          <cell r="N1888" t="str">
            <v>OCONUS</v>
          </cell>
          <cell r="O1888">
            <v>0</v>
          </cell>
          <cell r="P1888">
            <v>0</v>
          </cell>
          <cell r="Q1888">
            <v>0</v>
          </cell>
          <cell r="R1888" t="str">
            <v>CPAF</v>
          </cell>
          <cell r="S1888">
            <v>0</v>
          </cell>
          <cell r="T1888">
            <v>1</v>
          </cell>
          <cell r="U1888" t="str">
            <v>REVTOT</v>
          </cell>
          <cell r="V1888" t="str">
            <v>Identified - Recompete</v>
          </cell>
          <cell r="W1888">
            <v>0</v>
          </cell>
          <cell r="X1888">
            <v>0</v>
          </cell>
          <cell r="Y1888">
            <v>0</v>
          </cell>
          <cell r="Z1888">
            <v>0</v>
          </cell>
          <cell r="AA1888">
            <v>0</v>
          </cell>
          <cell r="AB1888">
            <v>0</v>
          </cell>
          <cell r="AC1888">
            <v>0</v>
          </cell>
          <cell r="AD1888">
            <v>0</v>
          </cell>
          <cell r="AI1888">
            <v>0</v>
          </cell>
          <cell r="AJ1888">
            <v>0</v>
          </cell>
          <cell r="AK1888">
            <v>0</v>
          </cell>
          <cell r="BB1888">
            <v>0</v>
          </cell>
          <cell r="BC1888">
            <v>0</v>
          </cell>
          <cell r="BD1888">
            <v>0</v>
          </cell>
          <cell r="BE1888">
            <v>0</v>
          </cell>
          <cell r="BI1888">
            <v>0</v>
          </cell>
          <cell r="BJ1888">
            <v>0</v>
          </cell>
          <cell r="BK1888">
            <v>0</v>
          </cell>
          <cell r="BL1888">
            <v>0</v>
          </cell>
          <cell r="BM1888">
            <v>0</v>
          </cell>
          <cell r="BN1888">
            <v>0</v>
          </cell>
          <cell r="BO1888">
            <v>0</v>
          </cell>
          <cell r="BP1888">
            <v>0</v>
          </cell>
          <cell r="BQ1888">
            <v>0</v>
          </cell>
          <cell r="BR1888">
            <v>0</v>
          </cell>
          <cell r="BT1888">
            <v>58</v>
          </cell>
          <cell r="CA1888" t="str">
            <v>AWETOT - REVTOT - Identified - Recompete</v>
          </cell>
          <cell r="CC1888" t="str">
            <v>AWETOT - REVTOT - Identified - Recompete - NE</v>
          </cell>
          <cell r="CD1888" t="str">
            <v/>
          </cell>
          <cell r="CF1888" t="str">
            <v>AWETOT - Identified - Recompete - NE</v>
          </cell>
        </row>
        <row r="1889">
          <cell r="D1889">
            <v>1875</v>
          </cell>
          <cell r="E1889">
            <v>2</v>
          </cell>
          <cell r="F1889">
            <v>3</v>
          </cell>
          <cell r="G1889" t="str">
            <v>AWETOT</v>
          </cell>
          <cell r="H1889" t="str">
            <v>Total AWE</v>
          </cell>
          <cell r="I1889" t="str">
            <v>NE</v>
          </cell>
          <cell r="J1889" t="str">
            <v>NE International Programs</v>
          </cell>
          <cell r="K1889" t="str">
            <v>UK-AWE</v>
          </cell>
          <cell r="L1889" t="str">
            <v>Non-US Gov't</v>
          </cell>
          <cell r="M1889" t="str">
            <v>UK</v>
          </cell>
          <cell r="N1889" t="str">
            <v>OCONUS</v>
          </cell>
          <cell r="O1889">
            <v>43452</v>
          </cell>
          <cell r="P1889">
            <v>47847</v>
          </cell>
          <cell r="Q1889" t="str">
            <v>Prime</v>
          </cell>
          <cell r="R1889" t="str">
            <v>CPAF</v>
          </cell>
          <cell r="S1889">
            <v>0</v>
          </cell>
          <cell r="T1889">
            <v>1</v>
          </cell>
          <cell r="U1889" t="str">
            <v>CONTRACT</v>
          </cell>
          <cell r="V1889" t="str">
            <v>Base</v>
          </cell>
          <cell r="W1889" t="str">
            <v>05 Won</v>
          </cell>
          <cell r="X1889" t="str">
            <v>Active</v>
          </cell>
          <cell r="Y1889">
            <v>1</v>
          </cell>
          <cell r="Z1889">
            <v>0</v>
          </cell>
          <cell r="AA1889">
            <v>4480341.3787454804</v>
          </cell>
          <cell r="AB1889">
            <v>455350519</v>
          </cell>
          <cell r="AC1889">
            <v>0</v>
          </cell>
          <cell r="AD1889">
            <v>459830860.3787455</v>
          </cell>
          <cell r="AL1889">
            <v>0</v>
          </cell>
          <cell r="AM1889">
            <v>0</v>
          </cell>
          <cell r="AN1889">
            <v>0</v>
          </cell>
          <cell r="AO1889">
            <v>0.22704197368938289</v>
          </cell>
          <cell r="AP1889">
            <v>0.19109002724621379</v>
          </cell>
          <cell r="AQ1889">
            <v>0.19109002724621379</v>
          </cell>
          <cell r="AR1889">
            <v>0.19109002724621379</v>
          </cell>
          <cell r="AS1889">
            <v>0.19109002724621379</v>
          </cell>
          <cell r="BF1889">
            <v>0</v>
          </cell>
          <cell r="BG1889">
            <v>0</v>
          </cell>
          <cell r="BH1889">
            <v>0</v>
          </cell>
          <cell r="BI1889">
            <v>-188694.19</v>
          </cell>
          <cell r="BJ1889">
            <v>303815.59999999998</v>
          </cell>
          <cell r="BK1889">
            <v>615394.75125452015</v>
          </cell>
          <cell r="BL1889">
            <v>568281.44999999995</v>
          </cell>
          <cell r="BM1889">
            <v>1298797.61125452</v>
          </cell>
          <cell r="BN1889">
            <v>5079493</v>
          </cell>
          <cell r="BO1889">
            <v>5150832.0666017467</v>
          </cell>
          <cell r="BP1889">
            <v>5441514.5853381688</v>
          </cell>
          <cell r="BQ1889">
            <v>5344424.0355746942</v>
          </cell>
          <cell r="BR1889">
            <v>22315061.298769128</v>
          </cell>
          <cell r="BT1889">
            <v>58</v>
          </cell>
          <cell r="CA1889" t="str">
            <v>AWETOT - CONTRACT - Base</v>
          </cell>
          <cell r="CC1889" t="str">
            <v>AWETOT - CONTRACT - Base - NE</v>
          </cell>
          <cell r="CD1889" t="str">
            <v/>
          </cell>
          <cell r="CF1889" t="str">
            <v>AWETOT - Base - NE</v>
          </cell>
        </row>
        <row r="1890">
          <cell r="D1890">
            <v>1876</v>
          </cell>
          <cell r="E1890">
            <v>2</v>
          </cell>
          <cell r="F1890">
            <v>4</v>
          </cell>
          <cell r="G1890" t="str">
            <v>AWETOT</v>
          </cell>
          <cell r="H1890" t="str">
            <v>Total AWE</v>
          </cell>
          <cell r="I1890" t="str">
            <v>NE</v>
          </cell>
          <cell r="J1890" t="str">
            <v>NE International Programs</v>
          </cell>
          <cell r="K1890" t="str">
            <v>UK-AWE</v>
          </cell>
          <cell r="L1890" t="str">
            <v>Non-US Gov't</v>
          </cell>
          <cell r="M1890" t="str">
            <v>UK</v>
          </cell>
          <cell r="N1890" t="str">
            <v>OCONUS</v>
          </cell>
          <cell r="O1890">
            <v>0</v>
          </cell>
          <cell r="P1890">
            <v>0</v>
          </cell>
          <cell r="Q1890">
            <v>0</v>
          </cell>
          <cell r="R1890" t="str">
            <v>CPAF</v>
          </cell>
          <cell r="S1890">
            <v>0</v>
          </cell>
          <cell r="T1890">
            <v>1</v>
          </cell>
          <cell r="U1890" t="str">
            <v>CONTRACT</v>
          </cell>
          <cell r="V1890" t="str">
            <v>Identified - Recompete</v>
          </cell>
          <cell r="W1890">
            <v>0</v>
          </cell>
          <cell r="X1890">
            <v>0</v>
          </cell>
          <cell r="Y1890">
            <v>0</v>
          </cell>
          <cell r="Z1890">
            <v>0</v>
          </cell>
          <cell r="AA1890">
            <v>0</v>
          </cell>
          <cell r="AB1890">
            <v>0</v>
          </cell>
          <cell r="AC1890">
            <v>0</v>
          </cell>
          <cell r="AD1890">
            <v>0</v>
          </cell>
          <cell r="AP1890">
            <v>0.19109002724621379</v>
          </cell>
          <cell r="AQ1890">
            <v>0.19109002724621379</v>
          </cell>
          <cell r="AR1890">
            <v>0.19109002724621379</v>
          </cell>
          <cell r="AS1890">
            <v>0.19109002724621379</v>
          </cell>
          <cell r="BI1890">
            <v>0</v>
          </cell>
          <cell r="BJ1890">
            <v>0</v>
          </cell>
          <cell r="BK1890">
            <v>0</v>
          </cell>
          <cell r="BL1890">
            <v>0</v>
          </cell>
          <cell r="BM1890">
            <v>0</v>
          </cell>
          <cell r="BN1890">
            <v>0</v>
          </cell>
          <cell r="BO1890">
            <v>0</v>
          </cell>
          <cell r="BP1890">
            <v>0</v>
          </cell>
          <cell r="BQ1890">
            <v>0</v>
          </cell>
          <cell r="BR1890">
            <v>0</v>
          </cell>
          <cell r="BT1890">
            <v>58</v>
          </cell>
          <cell r="CA1890" t="str">
            <v>AWETOT - CONTRACT - Identified - Recompete</v>
          </cell>
          <cell r="CC1890" t="str">
            <v>AWETOT - CONTRACT - Identified - Recompete - NE</v>
          </cell>
          <cell r="CD1890" t="str">
            <v/>
          </cell>
          <cell r="CF1890" t="str">
            <v>AWETOT - Identified - Recompete - NE</v>
          </cell>
        </row>
        <row r="1891">
          <cell r="D1891">
            <v>1877</v>
          </cell>
          <cell r="E1891">
            <v>0</v>
          </cell>
          <cell r="F1891">
            <v>5</v>
          </cell>
          <cell r="G1891" t="str">
            <v>AWETOT</v>
          </cell>
          <cell r="H1891" t="str">
            <v>Total AWE</v>
          </cell>
          <cell r="I1891" t="str">
            <v>NE</v>
          </cell>
          <cell r="J1891" t="str">
            <v>NE International Programs</v>
          </cell>
          <cell r="K1891" t="str">
            <v>UK-AWE</v>
          </cell>
          <cell r="L1891" t="str">
            <v>Non-US Gov't</v>
          </cell>
          <cell r="M1891" t="str">
            <v>UK</v>
          </cell>
          <cell r="N1891" t="str">
            <v>OCONUS</v>
          </cell>
          <cell r="O1891">
            <v>43452</v>
          </cell>
          <cell r="P1891">
            <v>47847</v>
          </cell>
          <cell r="Q1891" t="str">
            <v>Prime</v>
          </cell>
          <cell r="R1891" t="str">
            <v>CPAF</v>
          </cell>
          <cell r="S1891">
            <v>0</v>
          </cell>
          <cell r="T1891">
            <v>1</v>
          </cell>
          <cell r="U1891" t="str">
            <v>EBITA</v>
          </cell>
          <cell r="V1891" t="str">
            <v>Base</v>
          </cell>
          <cell r="W1891" t="str">
            <v>05 Won</v>
          </cell>
          <cell r="X1891" t="str">
            <v>Active</v>
          </cell>
          <cell r="Y1891">
            <v>1</v>
          </cell>
          <cell r="Z1891">
            <v>0</v>
          </cell>
          <cell r="AA1891">
            <v>4480341.3787454804</v>
          </cell>
          <cell r="AB1891">
            <v>455350519</v>
          </cell>
          <cell r="AC1891">
            <v>0</v>
          </cell>
          <cell r="AD1891">
            <v>459830860.3787455</v>
          </cell>
          <cell r="AT1891">
            <v>0</v>
          </cell>
          <cell r="AU1891">
            <v>0</v>
          </cell>
          <cell r="AV1891">
            <v>0</v>
          </cell>
          <cell r="AW1891">
            <v>-9.0321801104013866E-6</v>
          </cell>
          <cell r="AX1891">
            <v>4.5135358594573974E-2</v>
          </cell>
          <cell r="AY1891">
            <v>0.06</v>
          </cell>
          <cell r="AZ1891">
            <v>7.0000000000000007E-2</v>
          </cell>
          <cell r="BA1891">
            <v>0.08</v>
          </cell>
          <cell r="BF1891">
            <v>0</v>
          </cell>
          <cell r="BG1891">
            <v>0</v>
          </cell>
          <cell r="BH1891">
            <v>0</v>
          </cell>
          <cell r="BI1891">
            <v>-191075</v>
          </cell>
          <cell r="BJ1891">
            <v>-4508.9000000000233</v>
          </cell>
          <cell r="BK1891">
            <v>224930.35125452018</v>
          </cell>
          <cell r="BL1891">
            <v>-29398.120000000054</v>
          </cell>
          <cell r="BM1891">
            <v>-51.668745479895733</v>
          </cell>
          <cell r="BN1891">
            <v>1199773.4331694222</v>
          </cell>
          <cell r="BO1891">
            <v>1617300.1199999996</v>
          </cell>
          <cell r="BP1891">
            <v>1993332.8099999996</v>
          </cell>
          <cell r="BQ1891">
            <v>2237447.5999999996</v>
          </cell>
          <cell r="BR1891">
            <v>7047802.2944239415</v>
          </cell>
          <cell r="BT1891">
            <v>58</v>
          </cell>
          <cell r="CA1891" t="str">
            <v>AWETOT - EBITA - Base</v>
          </cell>
          <cell r="CC1891" t="str">
            <v>AWETOT - EBITA - Base - NE</v>
          </cell>
          <cell r="CD1891" t="str">
            <v/>
          </cell>
          <cell r="CF1891" t="str">
            <v>AWETOT - Base - NE</v>
          </cell>
        </row>
        <row r="1892">
          <cell r="D1892">
            <v>1878</v>
          </cell>
          <cell r="E1892">
            <v>0</v>
          </cell>
          <cell r="F1892">
            <v>0</v>
          </cell>
          <cell r="G1892" t="str">
            <v>AWETOT</v>
          </cell>
          <cell r="H1892" t="str">
            <v>Total AWE</v>
          </cell>
          <cell r="I1892" t="str">
            <v>NE</v>
          </cell>
          <cell r="J1892" t="str">
            <v>NE International Programs</v>
          </cell>
          <cell r="K1892" t="str">
            <v>UK-AWE</v>
          </cell>
          <cell r="L1892" t="str">
            <v>Non-US Gov't</v>
          </cell>
          <cell r="M1892" t="str">
            <v>UK</v>
          </cell>
          <cell r="N1892" t="str">
            <v>OCONUS</v>
          </cell>
          <cell r="O1892">
            <v>0</v>
          </cell>
          <cell r="P1892">
            <v>0</v>
          </cell>
          <cell r="Q1892">
            <v>0</v>
          </cell>
          <cell r="R1892" t="str">
            <v>CPAF</v>
          </cell>
          <cell r="S1892">
            <v>0</v>
          </cell>
          <cell r="T1892">
            <v>1</v>
          </cell>
          <cell r="U1892" t="str">
            <v>EBITA</v>
          </cell>
          <cell r="V1892" t="str">
            <v>Identified - Recompete</v>
          </cell>
          <cell r="W1892">
            <v>0</v>
          </cell>
          <cell r="X1892">
            <v>0</v>
          </cell>
          <cell r="Y1892">
            <v>0</v>
          </cell>
          <cell r="Z1892">
            <v>0</v>
          </cell>
          <cell r="AA1892">
            <v>0</v>
          </cell>
          <cell r="AB1892">
            <v>0</v>
          </cell>
          <cell r="AC1892">
            <v>0</v>
          </cell>
          <cell r="AD1892">
            <v>0</v>
          </cell>
          <cell r="AX1892">
            <v>4.5135358594573974E-2</v>
          </cell>
          <cell r="AY1892">
            <v>4.5135358594573974E-2</v>
          </cell>
          <cell r="AZ1892">
            <v>4.5135358594573974E-2</v>
          </cell>
          <cell r="BA1892">
            <v>4.5135358594573974E-2</v>
          </cell>
          <cell r="BI1892">
            <v>0</v>
          </cell>
          <cell r="BJ1892">
            <v>0</v>
          </cell>
          <cell r="BK1892">
            <v>0</v>
          </cell>
          <cell r="BL1892">
            <v>0</v>
          </cell>
          <cell r="BM1892">
            <v>0</v>
          </cell>
          <cell r="BN1892">
            <v>0</v>
          </cell>
          <cell r="BO1892">
            <v>0</v>
          </cell>
          <cell r="BP1892">
            <v>0</v>
          </cell>
          <cell r="BQ1892">
            <v>0</v>
          </cell>
          <cell r="BR1892">
            <v>0</v>
          </cell>
          <cell r="BT1892">
            <v>58</v>
          </cell>
          <cell r="CA1892" t="str">
            <v>AWETOT - EBITA - Identified - Recompete</v>
          </cell>
          <cell r="CC1892" t="str">
            <v>AWETOT - EBITA - Identified - Recompete - NE</v>
          </cell>
          <cell r="CD1892" t="str">
            <v/>
          </cell>
          <cell r="CF1892" t="str">
            <v>AWETOT - Identified - Recompete - NE</v>
          </cell>
        </row>
        <row r="1893">
          <cell r="D1893">
            <v>1879</v>
          </cell>
          <cell r="E1893">
            <v>1</v>
          </cell>
          <cell r="F1893">
            <v>1</v>
          </cell>
          <cell r="G1893" t="str">
            <v>PS Eng</v>
          </cell>
          <cell r="H1893" t="str">
            <v>PS Engineering</v>
          </cell>
          <cell r="I1893" t="str">
            <v>NE</v>
          </cell>
          <cell r="J1893" t="str">
            <v>NE Technical Services</v>
          </cell>
          <cell r="K1893" t="str">
            <v>DOE-Other</v>
          </cell>
          <cell r="L1893" t="str">
            <v>DOE</v>
          </cell>
          <cell r="M1893" t="str">
            <v>ID</v>
          </cell>
          <cell r="N1893" t="str">
            <v>CONUS</v>
          </cell>
          <cell r="O1893">
            <v>39491</v>
          </cell>
          <cell r="P1893">
            <v>44104</v>
          </cell>
          <cell r="Q1893" t="str">
            <v>Other</v>
          </cell>
          <cell r="R1893" t="str">
            <v>CPAF</v>
          </cell>
          <cell r="S1893">
            <v>0</v>
          </cell>
          <cell r="T1893">
            <v>1</v>
          </cell>
          <cell r="U1893" t="str">
            <v>REVTOT</v>
          </cell>
          <cell r="V1893" t="str">
            <v>Base</v>
          </cell>
          <cell r="W1893" t="str">
            <v>05 Won</v>
          </cell>
          <cell r="X1893" t="str">
            <v>Active</v>
          </cell>
          <cell r="Y1893">
            <v>1</v>
          </cell>
          <cell r="Z1893">
            <v>0</v>
          </cell>
          <cell r="AA1893">
            <v>12051653.315161739</v>
          </cell>
          <cell r="AB1893">
            <v>23497415.18</v>
          </cell>
          <cell r="AC1893">
            <v>0</v>
          </cell>
          <cell r="AD1893">
            <v>35549068.495161742</v>
          </cell>
          <cell r="AE1893">
            <v>7.975758367174568E-2</v>
          </cell>
          <cell r="AF1893">
            <v>-0.36524344658498109</v>
          </cell>
          <cell r="AG1893">
            <v>-0.16655546152473322</v>
          </cell>
          <cell r="AH1893">
            <v>-8.81236215175073E-2</v>
          </cell>
          <cell r="AI1893">
            <v>0</v>
          </cell>
          <cell r="AJ1893">
            <v>0</v>
          </cell>
          <cell r="AK1893">
            <v>0</v>
          </cell>
          <cell r="BB1893">
            <v>44151987</v>
          </cell>
          <cell r="BC1893">
            <v>44151987</v>
          </cell>
          <cell r="BD1893">
            <v>44151987</v>
          </cell>
          <cell r="BE1893">
            <v>44151987</v>
          </cell>
          <cell r="BF1893">
            <v>68246769.420000002</v>
          </cell>
          <cell r="BG1893">
            <v>73689966.842341989</v>
          </cell>
          <cell r="BH1893">
            <v>46775189.374112025</v>
          </cell>
          <cell r="BI1893">
            <v>8822625.0399999991</v>
          </cell>
          <cell r="BJ1893">
            <v>9872568.2199999988</v>
          </cell>
          <cell r="BK1893">
            <v>10234166.52</v>
          </cell>
          <cell r="BL1893">
            <v>10055166.34</v>
          </cell>
          <cell r="BM1893">
            <v>38984526.119999997</v>
          </cell>
          <cell r="BN1893">
            <v>35549068.495161742</v>
          </cell>
          <cell r="BO1893">
            <v>0</v>
          </cell>
          <cell r="BP1893">
            <v>0</v>
          </cell>
          <cell r="BQ1893">
            <v>0</v>
          </cell>
          <cell r="BR1893">
            <v>74533594.615161747</v>
          </cell>
          <cell r="BT1893">
            <v>61</v>
          </cell>
          <cell r="CA1893" t="str">
            <v>PS Eng - REVTOT - Base</v>
          </cell>
          <cell r="CC1893" t="str">
            <v>PS Eng - REVTOT - Base - NE</v>
          </cell>
          <cell r="CD1893" t="str">
            <v/>
          </cell>
          <cell r="CF1893" t="str">
            <v>PS Eng - Base - NE</v>
          </cell>
        </row>
        <row r="1894">
          <cell r="D1894">
            <v>1880</v>
          </cell>
          <cell r="E1894">
            <v>1</v>
          </cell>
          <cell r="F1894">
            <v>2</v>
          </cell>
          <cell r="G1894" t="str">
            <v>PS Eng</v>
          </cell>
          <cell r="H1894" t="str">
            <v>PS Engineering</v>
          </cell>
          <cell r="I1894" t="str">
            <v>NE</v>
          </cell>
          <cell r="J1894" t="str">
            <v>NE Technical Services</v>
          </cell>
          <cell r="K1894" t="str">
            <v>DOE-Other</v>
          </cell>
          <cell r="L1894" t="str">
            <v>DOE</v>
          </cell>
          <cell r="M1894" t="str">
            <v>ID</v>
          </cell>
          <cell r="N1894" t="str">
            <v>CONUS</v>
          </cell>
          <cell r="O1894">
            <v>0</v>
          </cell>
          <cell r="P1894">
            <v>0</v>
          </cell>
          <cell r="Q1894">
            <v>0</v>
          </cell>
          <cell r="R1894" t="str">
            <v>CPAF</v>
          </cell>
          <cell r="S1894">
            <v>0</v>
          </cell>
          <cell r="T1894">
            <v>1</v>
          </cell>
          <cell r="U1894" t="str">
            <v>REVTOT</v>
          </cell>
          <cell r="V1894" t="str">
            <v>Identified - Recompete</v>
          </cell>
          <cell r="W1894">
            <v>0</v>
          </cell>
          <cell r="X1894">
            <v>0</v>
          </cell>
          <cell r="Y1894">
            <v>0</v>
          </cell>
          <cell r="Z1894">
            <v>0</v>
          </cell>
          <cell r="AA1894">
            <v>0</v>
          </cell>
          <cell r="AB1894">
            <v>0</v>
          </cell>
          <cell r="AC1894">
            <v>0</v>
          </cell>
          <cell r="AD1894">
            <v>0</v>
          </cell>
          <cell r="AI1894">
            <v>0</v>
          </cell>
          <cell r="AJ1894">
            <v>0</v>
          </cell>
          <cell r="AK1894">
            <v>0</v>
          </cell>
          <cell r="BB1894">
            <v>0</v>
          </cell>
          <cell r="BC1894">
            <v>0</v>
          </cell>
          <cell r="BD1894">
            <v>0</v>
          </cell>
          <cell r="BE1894">
            <v>0</v>
          </cell>
          <cell r="BI1894">
            <v>0</v>
          </cell>
          <cell r="BJ1894">
            <v>0</v>
          </cell>
          <cell r="BK1894">
            <v>0</v>
          </cell>
          <cell r="BL1894">
            <v>0</v>
          </cell>
          <cell r="BM1894">
            <v>0</v>
          </cell>
          <cell r="BN1894">
            <v>0</v>
          </cell>
          <cell r="BO1894">
            <v>0</v>
          </cell>
          <cell r="BP1894">
            <v>0</v>
          </cell>
          <cell r="BQ1894">
            <v>0</v>
          </cell>
          <cell r="BR1894">
            <v>0</v>
          </cell>
          <cell r="BT1894">
            <v>61</v>
          </cell>
          <cell r="CA1894" t="str">
            <v>PS Eng - REVTOT - Identified - Recompete</v>
          </cell>
          <cell r="CC1894" t="str">
            <v>PS Eng - REVTOT - Identified - Recompete - NE</v>
          </cell>
          <cell r="CD1894" t="str">
            <v/>
          </cell>
          <cell r="CF1894" t="str">
            <v>PS Eng - Identified - Recompete - NE</v>
          </cell>
        </row>
        <row r="1895">
          <cell r="D1895">
            <v>1881</v>
          </cell>
          <cell r="E1895">
            <v>2</v>
          </cell>
          <cell r="F1895">
            <v>3</v>
          </cell>
          <cell r="G1895" t="str">
            <v>PS Eng</v>
          </cell>
          <cell r="H1895" t="str">
            <v>PS Engineering</v>
          </cell>
          <cell r="I1895" t="str">
            <v>NE</v>
          </cell>
          <cell r="J1895" t="str">
            <v>NE Technical Services</v>
          </cell>
          <cell r="K1895" t="str">
            <v>DOE-Other</v>
          </cell>
          <cell r="L1895" t="str">
            <v>DOE</v>
          </cell>
          <cell r="M1895" t="str">
            <v>ID</v>
          </cell>
          <cell r="N1895" t="str">
            <v>CONUS</v>
          </cell>
          <cell r="O1895">
            <v>39491</v>
          </cell>
          <cell r="P1895">
            <v>44104</v>
          </cell>
          <cell r="Q1895" t="str">
            <v>Other</v>
          </cell>
          <cell r="R1895" t="str">
            <v>CPAF</v>
          </cell>
          <cell r="S1895">
            <v>0</v>
          </cell>
          <cell r="T1895">
            <v>1</v>
          </cell>
          <cell r="U1895" t="str">
            <v>CONTRACT</v>
          </cell>
          <cell r="V1895" t="str">
            <v>Base</v>
          </cell>
          <cell r="W1895" t="str">
            <v>05 Won</v>
          </cell>
          <cell r="X1895" t="str">
            <v>Active</v>
          </cell>
          <cell r="Y1895">
            <v>1</v>
          </cell>
          <cell r="Z1895">
            <v>0</v>
          </cell>
          <cell r="AA1895">
            <v>12051653.315161739</v>
          </cell>
          <cell r="AB1895">
            <v>23497415.18</v>
          </cell>
          <cell r="AC1895">
            <v>0</v>
          </cell>
          <cell r="AD1895">
            <v>35549068.495161742</v>
          </cell>
          <cell r="AL1895">
            <v>0.14093966207843986</v>
          </cell>
          <cell r="AM1895">
            <v>0.19664433451303553</v>
          </cell>
          <cell r="AN1895">
            <v>0.2853389901482013</v>
          </cell>
          <cell r="AO1895">
            <v>0.35386454275566298</v>
          </cell>
          <cell r="AP1895">
            <v>0.342211538293622</v>
          </cell>
          <cell r="AQ1895">
            <v>0.28364906423253972</v>
          </cell>
          <cell r="AR1895">
            <v>0.28364906423253972</v>
          </cell>
          <cell r="AS1895">
            <v>0.28364906423253972</v>
          </cell>
          <cell r="BF1895">
            <v>9618676.6200000029</v>
          </cell>
          <cell r="BG1895">
            <v>14490714.489999995</v>
          </cell>
          <cell r="BH1895">
            <v>13346785.300000001</v>
          </cell>
          <cell r="BI1895">
            <v>3121779.8199999994</v>
          </cell>
          <cell r="BJ1895">
            <v>3542599.4199999995</v>
          </cell>
          <cell r="BK1895">
            <v>3493651.37</v>
          </cell>
          <cell r="BL1895">
            <v>3637210.9</v>
          </cell>
          <cell r="BM1895">
            <v>13795241.51</v>
          </cell>
          <cell r="BN1895">
            <v>12165301.414634634</v>
          </cell>
          <cell r="BO1895">
            <v>0</v>
          </cell>
          <cell r="BP1895">
            <v>0</v>
          </cell>
          <cell r="BQ1895">
            <v>0</v>
          </cell>
          <cell r="BR1895">
            <v>25960542.924634635</v>
          </cell>
          <cell r="BT1895">
            <v>61</v>
          </cell>
          <cell r="CA1895" t="str">
            <v>PS Eng - CONTRACT - Base</v>
          </cell>
          <cell r="CC1895" t="str">
            <v>PS Eng - CONTRACT - Base - NE</v>
          </cell>
          <cell r="CD1895" t="str">
            <v/>
          </cell>
          <cell r="CF1895" t="str">
            <v>PS Eng - Base - NE</v>
          </cell>
        </row>
        <row r="1896">
          <cell r="D1896">
            <v>1882</v>
          </cell>
          <cell r="E1896">
            <v>2</v>
          </cell>
          <cell r="F1896">
            <v>4</v>
          </cell>
          <cell r="G1896" t="str">
            <v>PS Eng</v>
          </cell>
          <cell r="H1896" t="str">
            <v>PS Engineering</v>
          </cell>
          <cell r="I1896" t="str">
            <v>NE</v>
          </cell>
          <cell r="J1896" t="str">
            <v>NE Technical Services</v>
          </cell>
          <cell r="K1896" t="str">
            <v>DOE-Other</v>
          </cell>
          <cell r="L1896" t="str">
            <v>DOE</v>
          </cell>
          <cell r="M1896" t="str">
            <v>ID</v>
          </cell>
          <cell r="N1896" t="str">
            <v>CONUS</v>
          </cell>
          <cell r="O1896">
            <v>0</v>
          </cell>
          <cell r="P1896">
            <v>0</v>
          </cell>
          <cell r="Q1896">
            <v>0</v>
          </cell>
          <cell r="R1896" t="str">
            <v>CPAF</v>
          </cell>
          <cell r="S1896">
            <v>0</v>
          </cell>
          <cell r="T1896">
            <v>1</v>
          </cell>
          <cell r="U1896" t="str">
            <v>CONTRACT</v>
          </cell>
          <cell r="V1896" t="str">
            <v>Identified - Recompete</v>
          </cell>
          <cell r="W1896">
            <v>0</v>
          </cell>
          <cell r="X1896">
            <v>0</v>
          </cell>
          <cell r="Y1896">
            <v>0</v>
          </cell>
          <cell r="Z1896">
            <v>0</v>
          </cell>
          <cell r="AA1896">
            <v>0</v>
          </cell>
          <cell r="AB1896">
            <v>0</v>
          </cell>
          <cell r="AC1896">
            <v>0</v>
          </cell>
          <cell r="AD1896">
            <v>0</v>
          </cell>
          <cell r="AP1896">
            <v>0.342211538293622</v>
          </cell>
          <cell r="AQ1896">
            <v>0.28364906423253972</v>
          </cell>
          <cell r="AR1896">
            <v>0.28364906423253972</v>
          </cell>
          <cell r="AS1896">
            <v>0.28364906423253972</v>
          </cell>
          <cell r="BI1896">
            <v>0</v>
          </cell>
          <cell r="BJ1896">
            <v>0</v>
          </cell>
          <cell r="BK1896">
            <v>0</v>
          </cell>
          <cell r="BL1896">
            <v>0</v>
          </cell>
          <cell r="BM1896">
            <v>0</v>
          </cell>
          <cell r="BN1896">
            <v>0</v>
          </cell>
          <cell r="BO1896">
            <v>0</v>
          </cell>
          <cell r="BP1896">
            <v>0</v>
          </cell>
          <cell r="BQ1896">
            <v>0</v>
          </cell>
          <cell r="BR1896">
            <v>0</v>
          </cell>
          <cell r="BT1896">
            <v>61</v>
          </cell>
          <cell r="CA1896" t="str">
            <v>PS Eng - CONTRACT - Identified - Recompete</v>
          </cell>
          <cell r="CC1896" t="str">
            <v>PS Eng - CONTRACT - Identified - Recompete - NE</v>
          </cell>
          <cell r="CD1896" t="str">
            <v/>
          </cell>
          <cell r="CF1896" t="str">
            <v>PS Eng - Identified - Recompete - NE</v>
          </cell>
        </row>
        <row r="1897">
          <cell r="D1897">
            <v>1883</v>
          </cell>
          <cell r="E1897">
            <v>0</v>
          </cell>
          <cell r="F1897">
            <v>5</v>
          </cell>
          <cell r="G1897" t="str">
            <v>PS Eng</v>
          </cell>
          <cell r="H1897" t="str">
            <v>PS Engineering</v>
          </cell>
          <cell r="I1897" t="str">
            <v>NE</v>
          </cell>
          <cell r="J1897" t="str">
            <v>NE Technical Services</v>
          </cell>
          <cell r="K1897" t="str">
            <v>DOE-Other</v>
          </cell>
          <cell r="L1897" t="str">
            <v>DOE</v>
          </cell>
          <cell r="M1897" t="str">
            <v>ID</v>
          </cell>
          <cell r="N1897" t="str">
            <v>CONUS</v>
          </cell>
          <cell r="O1897">
            <v>39491</v>
          </cell>
          <cell r="P1897">
            <v>44104</v>
          </cell>
          <cell r="Q1897" t="str">
            <v>Other</v>
          </cell>
          <cell r="R1897" t="str">
            <v>CPAF</v>
          </cell>
          <cell r="S1897">
            <v>0</v>
          </cell>
          <cell r="T1897">
            <v>1</v>
          </cell>
          <cell r="U1897" t="str">
            <v>EBITA</v>
          </cell>
          <cell r="V1897" t="str">
            <v>Base</v>
          </cell>
          <cell r="W1897" t="str">
            <v>05 Won</v>
          </cell>
          <cell r="X1897" t="str">
            <v>Active</v>
          </cell>
          <cell r="Y1897">
            <v>1</v>
          </cell>
          <cell r="Z1897">
            <v>0</v>
          </cell>
          <cell r="AA1897">
            <v>12051653.315161739</v>
          </cell>
          <cell r="AB1897">
            <v>23497415.18</v>
          </cell>
          <cell r="AC1897">
            <v>0</v>
          </cell>
          <cell r="AD1897">
            <v>35549068.495161742</v>
          </cell>
          <cell r="AT1897">
            <v>2.6660526138645217E-2</v>
          </cell>
          <cell r="AU1897">
            <v>2.003481902982323E-2</v>
          </cell>
          <cell r="AV1897">
            <v>4.4559411044384836E-2</v>
          </cell>
          <cell r="AW1897">
            <v>5.3058500278622835E-2</v>
          </cell>
          <cell r="AX1897">
            <v>4.2151745325916166E-2</v>
          </cell>
          <cell r="AY1897">
            <v>5.5E-2</v>
          </cell>
          <cell r="AZ1897">
            <v>5.5E-2</v>
          </cell>
          <cell r="BA1897">
            <v>5.5E-2</v>
          </cell>
          <cell r="BF1897">
            <v>1819494.7800000031</v>
          </cell>
          <cell r="BG1897">
            <v>1476365.1499999962</v>
          </cell>
          <cell r="BH1897">
            <v>2084274.8899999997</v>
          </cell>
          <cell r="BI1897">
            <v>587380.44999999902</v>
          </cell>
          <cell r="BJ1897">
            <v>578093.10999999987</v>
          </cell>
          <cell r="BK1897">
            <v>446329.2300000001</v>
          </cell>
          <cell r="BL1897">
            <v>456657.69999999995</v>
          </cell>
          <cell r="BM1897">
            <v>2068460.4899999991</v>
          </cell>
          <cell r="BN1897">
            <v>1498455.2817816075</v>
          </cell>
          <cell r="BO1897">
            <v>0</v>
          </cell>
          <cell r="BP1897">
            <v>0</v>
          </cell>
          <cell r="BQ1897">
            <v>0</v>
          </cell>
          <cell r="BR1897">
            <v>3566915.7717816066</v>
          </cell>
          <cell r="BT1897">
            <v>61</v>
          </cell>
          <cell r="CA1897" t="str">
            <v>PS Eng - EBITA - Base</v>
          </cell>
          <cell r="CC1897" t="str">
            <v>PS Eng - EBITA - Base - NE</v>
          </cell>
          <cell r="CD1897" t="str">
            <v/>
          </cell>
          <cell r="CF1897" t="str">
            <v>PS Eng - Base - NE</v>
          </cell>
        </row>
        <row r="1898">
          <cell r="D1898">
            <v>1884</v>
          </cell>
          <cell r="E1898">
            <v>0</v>
          </cell>
          <cell r="F1898">
            <v>0</v>
          </cell>
          <cell r="G1898" t="str">
            <v>PS Eng</v>
          </cell>
          <cell r="H1898" t="str">
            <v>PS Engineering</v>
          </cell>
          <cell r="I1898" t="str">
            <v>NE</v>
          </cell>
          <cell r="J1898" t="str">
            <v>NE Technical Services</v>
          </cell>
          <cell r="K1898" t="str">
            <v>DOE-Other</v>
          </cell>
          <cell r="L1898" t="str">
            <v>DOE</v>
          </cell>
          <cell r="M1898" t="str">
            <v>ID</v>
          </cell>
          <cell r="N1898" t="str">
            <v>CONUS</v>
          </cell>
          <cell r="O1898">
            <v>0</v>
          </cell>
          <cell r="P1898">
            <v>0</v>
          </cell>
          <cell r="Q1898">
            <v>0</v>
          </cell>
          <cell r="R1898" t="str">
            <v>CPAF</v>
          </cell>
          <cell r="S1898">
            <v>0</v>
          </cell>
          <cell r="T1898">
            <v>1</v>
          </cell>
          <cell r="U1898" t="str">
            <v>EBITA</v>
          </cell>
          <cell r="V1898" t="str">
            <v>Identified - Recompete</v>
          </cell>
          <cell r="W1898">
            <v>0</v>
          </cell>
          <cell r="X1898">
            <v>0</v>
          </cell>
          <cell r="Y1898">
            <v>0</v>
          </cell>
          <cell r="Z1898">
            <v>0</v>
          </cell>
          <cell r="AA1898">
            <v>0</v>
          </cell>
          <cell r="AB1898">
            <v>0</v>
          </cell>
          <cell r="AC1898">
            <v>0</v>
          </cell>
          <cell r="AD1898">
            <v>0</v>
          </cell>
          <cell r="AX1898">
            <v>5.5E-2</v>
          </cell>
          <cell r="AY1898">
            <v>5.5E-2</v>
          </cell>
          <cell r="AZ1898">
            <v>5.5E-2</v>
          </cell>
          <cell r="BA1898">
            <v>5.5E-2</v>
          </cell>
          <cell r="BI1898">
            <v>0</v>
          </cell>
          <cell r="BJ1898">
            <v>0</v>
          </cell>
          <cell r="BK1898">
            <v>0</v>
          </cell>
          <cell r="BL1898">
            <v>0</v>
          </cell>
          <cell r="BM1898">
            <v>0</v>
          </cell>
          <cell r="BN1898">
            <v>0</v>
          </cell>
          <cell r="BO1898">
            <v>0</v>
          </cell>
          <cell r="BP1898">
            <v>0</v>
          </cell>
          <cell r="BQ1898">
            <v>0</v>
          </cell>
          <cell r="BR1898">
            <v>0</v>
          </cell>
          <cell r="BT1898">
            <v>61</v>
          </cell>
          <cell r="CA1898" t="str">
            <v>PS Eng - EBITA - Identified - Recompete</v>
          </cell>
          <cell r="CC1898" t="str">
            <v>PS Eng - EBITA - Identified - Recompete - NE</v>
          </cell>
          <cell r="CD1898" t="str">
            <v/>
          </cell>
          <cell r="CF1898" t="str">
            <v>PS Eng - Identified - Recompete - NE</v>
          </cell>
        </row>
        <row r="1899">
          <cell r="D1899">
            <v>1885</v>
          </cell>
          <cell r="E1899">
            <v>1</v>
          </cell>
          <cell r="F1899">
            <v>1</v>
          </cell>
          <cell r="G1899" t="str">
            <v>Proj Small</v>
          </cell>
          <cell r="H1899" t="str">
            <v>NE Small Projects</v>
          </cell>
          <cell r="I1899" t="str">
            <v>NE</v>
          </cell>
          <cell r="J1899" t="str">
            <v>NE Technical Services</v>
          </cell>
          <cell r="K1899" t="str">
            <v>DOE-Other</v>
          </cell>
          <cell r="L1899" t="str">
            <v>DOE</v>
          </cell>
          <cell r="M1899" t="str">
            <v>DE</v>
          </cell>
          <cell r="N1899" t="str">
            <v>CONUS</v>
          </cell>
          <cell r="O1899">
            <v>40035</v>
          </cell>
          <cell r="P1899">
            <v>43936</v>
          </cell>
          <cell r="Q1899" t="str">
            <v>Other</v>
          </cell>
          <cell r="R1899" t="str">
            <v>CPAF</v>
          </cell>
          <cell r="S1899">
            <v>0</v>
          </cell>
          <cell r="T1899">
            <v>1</v>
          </cell>
          <cell r="U1899" t="str">
            <v>REVTOT</v>
          </cell>
          <cell r="V1899" t="str">
            <v>Base</v>
          </cell>
          <cell r="W1899" t="str">
            <v>05 Won</v>
          </cell>
          <cell r="X1899" t="str">
            <v>Active</v>
          </cell>
          <cell r="Y1899">
            <v>1</v>
          </cell>
          <cell r="Z1899">
            <v>0</v>
          </cell>
          <cell r="AA1899">
            <v>14542178.73005308</v>
          </cell>
          <cell r="AB1899">
            <v>3035177.5000000107</v>
          </cell>
          <cell r="AC1899">
            <v>0</v>
          </cell>
          <cell r="AD1899">
            <v>17577356.23005309</v>
          </cell>
          <cell r="AE1899">
            <v>4.3757294808122404E-2</v>
          </cell>
          <cell r="AF1899">
            <v>-0.30395082292506947</v>
          </cell>
          <cell r="AG1899">
            <v>0.54194112691700336</v>
          </cell>
          <cell r="AH1899">
            <v>-0.17388532824180669</v>
          </cell>
          <cell r="AI1899">
            <v>0</v>
          </cell>
          <cell r="AJ1899">
            <v>0</v>
          </cell>
          <cell r="AK1899">
            <v>0</v>
          </cell>
          <cell r="BB1899">
            <v>35061084.039999999</v>
          </cell>
          <cell r="BC1899">
            <v>35061084.039999999</v>
          </cell>
          <cell r="BD1899">
            <v>35061084.039999999</v>
          </cell>
          <cell r="BE1899">
            <v>35061084.039999999</v>
          </cell>
          <cell r="BF1899">
            <v>18993542.760000002</v>
          </cell>
          <cell r="BG1899">
            <v>19824648.810000002</v>
          </cell>
          <cell r="BH1899">
            <v>13798930.490000002</v>
          </cell>
          <cell r="BI1899">
            <v>5505281.4000000004</v>
          </cell>
          <cell r="BJ1899">
            <v>5368959</v>
          </cell>
          <cell r="BK1899">
            <v>5886081.6299999999</v>
          </cell>
          <cell r="BL1899">
            <v>4516816.4000000004</v>
          </cell>
          <cell r="BM1899">
            <v>21277138.43</v>
          </cell>
          <cell r="BN1899">
            <v>17577356.23005309</v>
          </cell>
          <cell r="BO1899">
            <v>0</v>
          </cell>
          <cell r="BP1899">
            <v>0</v>
          </cell>
          <cell r="BQ1899">
            <v>0</v>
          </cell>
          <cell r="BR1899">
            <v>38854494.660053089</v>
          </cell>
          <cell r="BT1899">
            <v>63</v>
          </cell>
          <cell r="CA1899" t="str">
            <v>Proj Small - REVTOT - Base</v>
          </cell>
          <cell r="CC1899" t="str">
            <v>Proj Small - REVTOT - Base - NE</v>
          </cell>
          <cell r="CD1899" t="str">
            <v/>
          </cell>
          <cell r="CF1899" t="str">
            <v>Proj Small - Base - NE</v>
          </cell>
        </row>
        <row r="1900">
          <cell r="D1900">
            <v>1886</v>
          </cell>
          <cell r="E1900">
            <v>1</v>
          </cell>
          <cell r="F1900">
            <v>2</v>
          </cell>
          <cell r="G1900" t="str">
            <v>Proj Small</v>
          </cell>
          <cell r="H1900" t="str">
            <v>NE Small Projects</v>
          </cell>
          <cell r="I1900" t="str">
            <v>NE</v>
          </cell>
          <cell r="J1900" t="str">
            <v>NE Technical Services</v>
          </cell>
          <cell r="K1900" t="str">
            <v>DOE-Other</v>
          </cell>
          <cell r="L1900" t="str">
            <v>DOE</v>
          </cell>
          <cell r="M1900" t="str">
            <v>DE</v>
          </cell>
          <cell r="N1900" t="str">
            <v>CONUS</v>
          </cell>
          <cell r="O1900">
            <v>44053</v>
          </cell>
          <cell r="P1900">
            <v>47705</v>
          </cell>
          <cell r="Q1900">
            <v>0</v>
          </cell>
          <cell r="R1900" t="str">
            <v>CPAF</v>
          </cell>
          <cell r="S1900">
            <v>0</v>
          </cell>
          <cell r="T1900">
            <v>1</v>
          </cell>
          <cell r="U1900" t="str">
            <v>REVTOT</v>
          </cell>
          <cell r="V1900" t="str">
            <v>Identified - Recompete</v>
          </cell>
          <cell r="W1900">
            <v>0</v>
          </cell>
          <cell r="X1900" t="str">
            <v>Priority 2</v>
          </cell>
          <cell r="Y1900">
            <v>0.55000000000000004</v>
          </cell>
          <cell r="Z1900">
            <v>100000000</v>
          </cell>
          <cell r="AA1900">
            <v>0</v>
          </cell>
          <cell r="AB1900">
            <v>0</v>
          </cell>
          <cell r="AC1900">
            <v>0</v>
          </cell>
          <cell r="AD1900">
            <v>0</v>
          </cell>
          <cell r="AI1900">
            <v>0</v>
          </cell>
          <cell r="AJ1900">
            <v>0</v>
          </cell>
          <cell r="AK1900">
            <v>0</v>
          </cell>
          <cell r="BB1900">
            <v>10000000</v>
          </cell>
          <cell r="BC1900">
            <v>10000000</v>
          </cell>
          <cell r="BD1900">
            <v>10000000</v>
          </cell>
          <cell r="BE1900">
            <v>10000000</v>
          </cell>
          <cell r="BI1900">
            <v>0</v>
          </cell>
          <cell r="BJ1900">
            <v>0</v>
          </cell>
          <cell r="BK1900">
            <v>0</v>
          </cell>
          <cell r="BL1900">
            <v>0</v>
          </cell>
          <cell r="BM1900">
            <v>0</v>
          </cell>
          <cell r="BN1900">
            <v>763888.88888888899</v>
          </cell>
          <cell r="BO1900">
            <v>5500000</v>
          </cell>
          <cell r="BP1900">
            <v>5500000</v>
          </cell>
          <cell r="BQ1900">
            <v>5500000</v>
          </cell>
          <cell r="BR1900">
            <v>17263888.888888888</v>
          </cell>
          <cell r="BT1900">
            <v>63</v>
          </cell>
          <cell r="CA1900" t="str">
            <v>Proj Small - REVTOT - Identified - Recompete</v>
          </cell>
          <cell r="CC1900" t="str">
            <v>Proj Small - REVTOT - Identified - Recompete - NE</v>
          </cell>
          <cell r="CD1900" t="str">
            <v/>
          </cell>
          <cell r="CF1900" t="str">
            <v>Proj Small - Identified - Recompete - NE</v>
          </cell>
        </row>
        <row r="1901">
          <cell r="D1901">
            <v>1887</v>
          </cell>
          <cell r="E1901">
            <v>2</v>
          </cell>
          <cell r="F1901">
            <v>3</v>
          </cell>
          <cell r="G1901" t="str">
            <v>Proj Small</v>
          </cell>
          <cell r="H1901" t="str">
            <v>NE Small Projects</v>
          </cell>
          <cell r="I1901" t="str">
            <v>NE</v>
          </cell>
          <cell r="J1901" t="str">
            <v>NE Technical Services</v>
          </cell>
          <cell r="K1901" t="str">
            <v>DOE-Other</v>
          </cell>
          <cell r="L1901" t="str">
            <v>DOE</v>
          </cell>
          <cell r="M1901" t="str">
            <v>DE</v>
          </cell>
          <cell r="N1901" t="str">
            <v>CONUS</v>
          </cell>
          <cell r="O1901">
            <v>40035</v>
          </cell>
          <cell r="P1901">
            <v>43936</v>
          </cell>
          <cell r="Q1901" t="str">
            <v>Other</v>
          </cell>
          <cell r="R1901" t="str">
            <v>CPAF</v>
          </cell>
          <cell r="S1901">
            <v>0</v>
          </cell>
          <cell r="T1901">
            <v>1</v>
          </cell>
          <cell r="U1901" t="str">
            <v>CONTRACT</v>
          </cell>
          <cell r="V1901" t="str">
            <v>Base</v>
          </cell>
          <cell r="W1901" t="str">
            <v>05 Won</v>
          </cell>
          <cell r="X1901" t="str">
            <v>Active</v>
          </cell>
          <cell r="Y1901">
            <v>1</v>
          </cell>
          <cell r="Z1901">
            <v>0</v>
          </cell>
          <cell r="AA1901">
            <v>14542178.73005308</v>
          </cell>
          <cell r="AB1901">
            <v>3035177.5000000107</v>
          </cell>
          <cell r="AC1901">
            <v>0</v>
          </cell>
          <cell r="AD1901">
            <v>17577356.23005309</v>
          </cell>
          <cell r="AL1901">
            <v>0.21007976028585829</v>
          </cell>
          <cell r="AM1901">
            <v>0.35586245625906754</v>
          </cell>
          <cell r="AN1901">
            <v>0.28314620490562381</v>
          </cell>
          <cell r="AO1901">
            <v>0.26220862445176096</v>
          </cell>
          <cell r="AP1901">
            <v>0.19185448376769579</v>
          </cell>
          <cell r="AQ1901">
            <v>0.23499999999999999</v>
          </cell>
          <cell r="AR1901">
            <v>0.23499999999999999</v>
          </cell>
          <cell r="AS1901">
            <v>0.23499999999999999</v>
          </cell>
          <cell r="BF1901">
            <v>3990158.9099999997</v>
          </cell>
          <cell r="BG1901">
            <v>7054848.2200000007</v>
          </cell>
          <cell r="BH1901">
            <v>3907114.8000000003</v>
          </cell>
          <cell r="BI1901">
            <v>1450009.9400000004</v>
          </cell>
          <cell r="BJ1901">
            <v>1468455.6900000004</v>
          </cell>
          <cell r="BK1901">
            <v>1615416.88</v>
          </cell>
          <cell r="BL1901">
            <v>1045166.6900000001</v>
          </cell>
          <cell r="BM1901">
            <v>5579049.2000000011</v>
          </cell>
          <cell r="BN1901">
            <v>3372294.6055177269</v>
          </cell>
          <cell r="BO1901">
            <v>0</v>
          </cell>
          <cell r="BP1901">
            <v>0</v>
          </cell>
          <cell r="BQ1901">
            <v>0</v>
          </cell>
          <cell r="BR1901">
            <v>8951343.8055177275</v>
          </cell>
          <cell r="BT1901">
            <v>63</v>
          </cell>
          <cell r="CA1901" t="str">
            <v>Proj Small - CONTRACT - Base</v>
          </cell>
          <cell r="CC1901" t="str">
            <v>Proj Small - CONTRACT - Base - NE</v>
          </cell>
          <cell r="CD1901" t="str">
            <v/>
          </cell>
          <cell r="CF1901" t="str">
            <v>Proj Small - Base - NE</v>
          </cell>
        </row>
        <row r="1902">
          <cell r="D1902">
            <v>1888</v>
          </cell>
          <cell r="E1902">
            <v>2</v>
          </cell>
          <cell r="F1902">
            <v>4</v>
          </cell>
          <cell r="G1902" t="str">
            <v>Proj Small</v>
          </cell>
          <cell r="H1902" t="str">
            <v>NE Small Projects</v>
          </cell>
          <cell r="I1902" t="str">
            <v>NE</v>
          </cell>
          <cell r="J1902" t="str">
            <v>NE Technical Services</v>
          </cell>
          <cell r="K1902" t="str">
            <v>DOE-Other</v>
          </cell>
          <cell r="L1902" t="str">
            <v>DOE</v>
          </cell>
          <cell r="M1902" t="str">
            <v>DE</v>
          </cell>
          <cell r="N1902" t="str">
            <v>CONUS</v>
          </cell>
          <cell r="O1902">
            <v>44053</v>
          </cell>
          <cell r="P1902">
            <v>47705</v>
          </cell>
          <cell r="Q1902">
            <v>0</v>
          </cell>
          <cell r="R1902" t="str">
            <v>CPAF</v>
          </cell>
          <cell r="S1902">
            <v>0</v>
          </cell>
          <cell r="T1902">
            <v>1</v>
          </cell>
          <cell r="U1902" t="str">
            <v>CONTRACT</v>
          </cell>
          <cell r="V1902" t="str">
            <v>Identified - Recompete</v>
          </cell>
          <cell r="W1902">
            <v>0</v>
          </cell>
          <cell r="X1902" t="str">
            <v>Priority 2</v>
          </cell>
          <cell r="Y1902">
            <v>0.55000000000000004</v>
          </cell>
          <cell r="Z1902">
            <v>100000000</v>
          </cell>
          <cell r="AA1902">
            <v>0</v>
          </cell>
          <cell r="AB1902">
            <v>0</v>
          </cell>
          <cell r="AC1902">
            <v>0</v>
          </cell>
          <cell r="AD1902">
            <v>0</v>
          </cell>
          <cell r="AP1902">
            <v>0.19185448376769579</v>
          </cell>
          <cell r="AQ1902">
            <v>0.23499999999999999</v>
          </cell>
          <cell r="AR1902">
            <v>0.23499999999999999</v>
          </cell>
          <cell r="AS1902">
            <v>0.23499999999999999</v>
          </cell>
          <cell r="BI1902">
            <v>0</v>
          </cell>
          <cell r="BJ1902">
            <v>0</v>
          </cell>
          <cell r="BK1902">
            <v>0</v>
          </cell>
          <cell r="BL1902">
            <v>0</v>
          </cell>
          <cell r="BM1902">
            <v>0</v>
          </cell>
          <cell r="BN1902">
            <v>146555.50843365653</v>
          </cell>
          <cell r="BO1902">
            <v>1292500</v>
          </cell>
          <cell r="BP1902">
            <v>1292500</v>
          </cell>
          <cell r="BQ1902">
            <v>1292500</v>
          </cell>
          <cell r="BR1902">
            <v>4024055.5084336568</v>
          </cell>
          <cell r="BT1902">
            <v>63</v>
          </cell>
          <cell r="CA1902" t="str">
            <v>Proj Small - CONTRACT - Identified - Recompete</v>
          </cell>
          <cell r="CC1902" t="str">
            <v>Proj Small - CONTRACT - Identified - Recompete - NE</v>
          </cell>
          <cell r="CD1902" t="str">
            <v/>
          </cell>
          <cell r="CF1902" t="str">
            <v>Proj Small - Identified - Recompete - NE</v>
          </cell>
        </row>
        <row r="1903">
          <cell r="D1903">
            <v>1889</v>
          </cell>
          <cell r="E1903">
            <v>0</v>
          </cell>
          <cell r="F1903">
            <v>5</v>
          </cell>
          <cell r="G1903" t="str">
            <v>Proj Small</v>
          </cell>
          <cell r="H1903" t="str">
            <v>NE Small Projects</v>
          </cell>
          <cell r="I1903" t="str">
            <v>NE</v>
          </cell>
          <cell r="J1903" t="str">
            <v>NE Technical Services</v>
          </cell>
          <cell r="K1903" t="str">
            <v>DOE-Other</v>
          </cell>
          <cell r="L1903" t="str">
            <v>DOE</v>
          </cell>
          <cell r="M1903" t="str">
            <v>DE</v>
          </cell>
          <cell r="N1903" t="str">
            <v>CONUS</v>
          </cell>
          <cell r="O1903">
            <v>40035</v>
          </cell>
          <cell r="P1903">
            <v>43936</v>
          </cell>
          <cell r="Q1903" t="str">
            <v>Other</v>
          </cell>
          <cell r="R1903" t="str">
            <v>CPAF</v>
          </cell>
          <cell r="S1903">
            <v>0</v>
          </cell>
          <cell r="T1903">
            <v>1</v>
          </cell>
          <cell r="U1903" t="str">
            <v>EBITA</v>
          </cell>
          <cell r="V1903" t="str">
            <v>Base</v>
          </cell>
          <cell r="W1903" t="str">
            <v>05 Won</v>
          </cell>
          <cell r="X1903" t="str">
            <v>Active</v>
          </cell>
          <cell r="Y1903">
            <v>1</v>
          </cell>
          <cell r="Z1903">
            <v>0</v>
          </cell>
          <cell r="AA1903">
            <v>14542178.73005308</v>
          </cell>
          <cell r="AB1903">
            <v>3035177.5000000107</v>
          </cell>
          <cell r="AC1903">
            <v>0</v>
          </cell>
          <cell r="AD1903">
            <v>17577356.23005309</v>
          </cell>
          <cell r="AT1903">
            <v>5.9948079954726653E-2</v>
          </cell>
          <cell r="AU1903">
            <v>0.1548905970254108</v>
          </cell>
          <cell r="AV1903">
            <v>5.529977127959286E-2</v>
          </cell>
          <cell r="AW1903">
            <v>6.5526225934320864E-2</v>
          </cell>
          <cell r="AX1903">
            <v>5.6691052415760688E-2</v>
          </cell>
          <cell r="AY1903">
            <v>5.5E-2</v>
          </cell>
          <cell r="AZ1903">
            <v>5.5E-2</v>
          </cell>
          <cell r="BA1903">
            <v>5.5E-2</v>
          </cell>
          <cell r="BF1903">
            <v>1138626.4199999997</v>
          </cell>
          <cell r="BG1903">
            <v>3070651.6900000004</v>
          </cell>
          <cell r="BH1903">
            <v>763077.7000000003</v>
          </cell>
          <cell r="BI1903">
            <v>326682.93000000034</v>
          </cell>
          <cell r="BJ1903">
            <v>367968.71000000043</v>
          </cell>
          <cell r="BK1903">
            <v>556960.00999999989</v>
          </cell>
          <cell r="BL1903">
            <v>142598.93000000005</v>
          </cell>
          <cell r="BM1903">
            <v>1394210.580000001</v>
          </cell>
          <cell r="BN1903">
            <v>996478.82336843736</v>
          </cell>
          <cell r="BO1903">
            <v>0</v>
          </cell>
          <cell r="BP1903">
            <v>0</v>
          </cell>
          <cell r="BQ1903">
            <v>0</v>
          </cell>
          <cell r="BR1903">
            <v>2390689.4033684386</v>
          </cell>
          <cell r="BT1903">
            <v>63</v>
          </cell>
          <cell r="CA1903" t="str">
            <v>Proj Small - EBITA - Base</v>
          </cell>
          <cell r="CC1903" t="str">
            <v>Proj Small - EBITA - Base - NE</v>
          </cell>
          <cell r="CD1903" t="str">
            <v/>
          </cell>
          <cell r="CF1903" t="str">
            <v>Proj Small - Base - NE</v>
          </cell>
        </row>
        <row r="1904">
          <cell r="D1904">
            <v>1890</v>
          </cell>
          <cell r="E1904">
            <v>0</v>
          </cell>
          <cell r="F1904">
            <v>0</v>
          </cell>
          <cell r="G1904" t="str">
            <v>Proj Small</v>
          </cell>
          <cell r="H1904" t="str">
            <v>NE Small Projects</v>
          </cell>
          <cell r="I1904" t="str">
            <v>NE</v>
          </cell>
          <cell r="J1904" t="str">
            <v>NE Technical Services</v>
          </cell>
          <cell r="K1904" t="str">
            <v>DOE-Other</v>
          </cell>
          <cell r="L1904" t="str">
            <v>DOE</v>
          </cell>
          <cell r="M1904" t="str">
            <v>DE</v>
          </cell>
          <cell r="N1904" t="str">
            <v>CONUS</v>
          </cell>
          <cell r="O1904">
            <v>44053</v>
          </cell>
          <cell r="P1904">
            <v>47705</v>
          </cell>
          <cell r="Q1904">
            <v>0</v>
          </cell>
          <cell r="R1904" t="str">
            <v>CPAF</v>
          </cell>
          <cell r="S1904">
            <v>0</v>
          </cell>
          <cell r="T1904">
            <v>1</v>
          </cell>
          <cell r="U1904" t="str">
            <v>EBITA</v>
          </cell>
          <cell r="V1904" t="str">
            <v>Identified - Recompete</v>
          </cell>
          <cell r="W1904">
            <v>0</v>
          </cell>
          <cell r="X1904" t="str">
            <v>Priority 2</v>
          </cell>
          <cell r="Y1904">
            <v>0.55000000000000004</v>
          </cell>
          <cell r="Z1904">
            <v>100000000</v>
          </cell>
          <cell r="AA1904">
            <v>0</v>
          </cell>
          <cell r="AB1904">
            <v>0</v>
          </cell>
          <cell r="AC1904">
            <v>0</v>
          </cell>
          <cell r="AD1904">
            <v>0</v>
          </cell>
          <cell r="AX1904">
            <v>5.5E-2</v>
          </cell>
          <cell r="AY1904">
            <v>5.5E-2</v>
          </cell>
          <cell r="AZ1904">
            <v>5.5E-2</v>
          </cell>
          <cell r="BA1904">
            <v>5.5E-2</v>
          </cell>
          <cell r="BI1904">
            <v>0</v>
          </cell>
          <cell r="BJ1904">
            <v>0</v>
          </cell>
          <cell r="BK1904">
            <v>0</v>
          </cell>
          <cell r="BL1904">
            <v>0</v>
          </cell>
          <cell r="BM1904">
            <v>0</v>
          </cell>
          <cell r="BN1904">
            <v>42013.888888888898</v>
          </cell>
          <cell r="BO1904">
            <v>302500</v>
          </cell>
          <cell r="BP1904">
            <v>302500</v>
          </cell>
          <cell r="BQ1904">
            <v>302500</v>
          </cell>
          <cell r="BR1904">
            <v>949513.88888888888</v>
          </cell>
          <cell r="BT1904">
            <v>63</v>
          </cell>
          <cell r="CA1904" t="str">
            <v>Proj Small - EBITA - Identified - Recompete</v>
          </cell>
          <cell r="CC1904" t="str">
            <v>Proj Small - EBITA - Identified - Recompete - NE</v>
          </cell>
          <cell r="CD1904" t="str">
            <v/>
          </cell>
          <cell r="CF1904" t="str">
            <v>Proj Small - Identified - Recompete - NE</v>
          </cell>
        </row>
        <row r="1905">
          <cell r="D1905">
            <v>1891</v>
          </cell>
          <cell r="E1905">
            <v>1</v>
          </cell>
          <cell r="F1905">
            <v>1</v>
          </cell>
          <cell r="G1905" t="str">
            <v>NETL</v>
          </cell>
          <cell r="H1905" t="str">
            <v>NETL Total</v>
          </cell>
          <cell r="I1905" t="str">
            <v>NE</v>
          </cell>
          <cell r="J1905" t="str">
            <v>NE Technical Services</v>
          </cell>
          <cell r="K1905" t="str">
            <v>DOE-Other</v>
          </cell>
          <cell r="L1905" t="str">
            <v>DOE</v>
          </cell>
          <cell r="M1905" t="str">
            <v>WV</v>
          </cell>
          <cell r="N1905" t="str">
            <v>CONUS</v>
          </cell>
          <cell r="O1905">
            <v>40095</v>
          </cell>
          <cell r="P1905">
            <v>43492</v>
          </cell>
          <cell r="Q1905" t="str">
            <v>Prime</v>
          </cell>
          <cell r="R1905" t="str">
            <v>CPAF</v>
          </cell>
          <cell r="S1905">
            <v>0</v>
          </cell>
          <cell r="T1905">
            <v>1</v>
          </cell>
          <cell r="U1905" t="str">
            <v>REVTOT</v>
          </cell>
          <cell r="V1905" t="str">
            <v>Base</v>
          </cell>
          <cell r="W1905" t="str">
            <v>05 Won</v>
          </cell>
          <cell r="X1905" t="str">
            <v>Active</v>
          </cell>
          <cell r="Y1905">
            <v>1</v>
          </cell>
          <cell r="Z1905">
            <v>0</v>
          </cell>
          <cell r="AA1905">
            <v>-2.6648126076906919E-3</v>
          </cell>
          <cell r="AB1905">
            <v>0</v>
          </cell>
          <cell r="AC1905">
            <v>0</v>
          </cell>
          <cell r="AD1905">
            <v>-2.6648126076906919E-3</v>
          </cell>
          <cell r="AE1905">
            <v>0.10115447977928849</v>
          </cell>
          <cell r="AF1905">
            <v>3.1107629560570116E-2</v>
          </cell>
          <cell r="AG1905">
            <v>-0.71199586037366813</v>
          </cell>
          <cell r="AH1905">
            <v>-1</v>
          </cell>
          <cell r="AI1905">
            <v>0</v>
          </cell>
          <cell r="AJ1905">
            <v>0</v>
          </cell>
          <cell r="AK1905">
            <v>0</v>
          </cell>
          <cell r="BB1905">
            <v>0</v>
          </cell>
          <cell r="BC1905">
            <v>0</v>
          </cell>
          <cell r="BD1905">
            <v>0</v>
          </cell>
          <cell r="BE1905">
            <v>0</v>
          </cell>
          <cell r="BF1905">
            <v>64854973.939999998</v>
          </cell>
          <cell r="BG1905">
            <v>71415345.090000004</v>
          </cell>
          <cell r="BH1905">
            <v>73636907.189999998</v>
          </cell>
          <cell r="BI1905">
            <v>17976947.949999999</v>
          </cell>
          <cell r="BJ1905">
            <v>1224648.1200000001</v>
          </cell>
          <cell r="BK1905">
            <v>309985.18999999994</v>
          </cell>
          <cell r="BL1905">
            <v>1696152.8399999999</v>
          </cell>
          <cell r="BM1905">
            <v>21207734.100000001</v>
          </cell>
          <cell r="BN1905">
            <v>0</v>
          </cell>
          <cell r="BO1905">
            <v>0</v>
          </cell>
          <cell r="BP1905">
            <v>0</v>
          </cell>
          <cell r="BQ1905">
            <v>0</v>
          </cell>
          <cell r="BR1905">
            <v>21207734.100000001</v>
          </cell>
          <cell r="BT1905">
            <v>0</v>
          </cell>
          <cell r="CA1905" t="str">
            <v>NETL - REVTOT - Base</v>
          </cell>
          <cell r="CC1905" t="str">
            <v>NETL - REVTOT - Base - NE</v>
          </cell>
          <cell r="CD1905" t="str">
            <v/>
          </cell>
          <cell r="CF1905" t="str">
            <v>NETL - Base - NE</v>
          </cell>
        </row>
        <row r="1906">
          <cell r="D1906">
            <v>1892</v>
          </cell>
          <cell r="E1906">
            <v>1</v>
          </cell>
          <cell r="F1906">
            <v>2</v>
          </cell>
          <cell r="G1906" t="str">
            <v>NETL</v>
          </cell>
          <cell r="H1906" t="str">
            <v>NETL Total</v>
          </cell>
          <cell r="I1906" t="str">
            <v>NE</v>
          </cell>
          <cell r="J1906" t="str">
            <v>NE Technical Services</v>
          </cell>
          <cell r="K1906" t="str">
            <v>DOE-Other</v>
          </cell>
          <cell r="L1906" t="str">
            <v>DOE</v>
          </cell>
          <cell r="M1906" t="str">
            <v>WV</v>
          </cell>
          <cell r="N1906" t="str">
            <v>CONUS</v>
          </cell>
          <cell r="O1906">
            <v>0</v>
          </cell>
          <cell r="P1906">
            <v>0</v>
          </cell>
          <cell r="Q1906">
            <v>0</v>
          </cell>
          <cell r="R1906" t="str">
            <v>CPAF</v>
          </cell>
          <cell r="S1906">
            <v>0</v>
          </cell>
          <cell r="T1906">
            <v>1</v>
          </cell>
          <cell r="U1906" t="str">
            <v>REVTOT</v>
          </cell>
          <cell r="V1906" t="str">
            <v>Identified - Recompete</v>
          </cell>
          <cell r="W1906">
            <v>0</v>
          </cell>
          <cell r="X1906">
            <v>0</v>
          </cell>
          <cell r="Y1906">
            <v>0</v>
          </cell>
          <cell r="Z1906">
            <v>0</v>
          </cell>
          <cell r="AA1906">
            <v>0</v>
          </cell>
          <cell r="AB1906">
            <v>0</v>
          </cell>
          <cell r="AC1906">
            <v>0</v>
          </cell>
          <cell r="AD1906">
            <v>0</v>
          </cell>
          <cell r="AI1906">
            <v>0</v>
          </cell>
          <cell r="AJ1906">
            <v>0</v>
          </cell>
          <cell r="AK1906">
            <v>0</v>
          </cell>
          <cell r="BB1906">
            <v>0</v>
          </cell>
          <cell r="BC1906">
            <v>0</v>
          </cell>
          <cell r="BD1906">
            <v>0</v>
          </cell>
          <cell r="BE1906">
            <v>0</v>
          </cell>
          <cell r="BI1906">
            <v>0</v>
          </cell>
          <cell r="BJ1906">
            <v>0</v>
          </cell>
          <cell r="BK1906">
            <v>0</v>
          </cell>
          <cell r="BL1906">
            <v>0</v>
          </cell>
          <cell r="BM1906">
            <v>0</v>
          </cell>
          <cell r="BN1906">
            <v>0</v>
          </cell>
          <cell r="BO1906">
            <v>0</v>
          </cell>
          <cell r="BP1906">
            <v>0</v>
          </cell>
          <cell r="BQ1906">
            <v>0</v>
          </cell>
          <cell r="BR1906">
            <v>0</v>
          </cell>
          <cell r="BT1906">
            <v>0</v>
          </cell>
          <cell r="CA1906" t="str">
            <v>NETL - REVTOT - Identified - Recompete</v>
          </cell>
          <cell r="CC1906" t="str">
            <v>NETL - REVTOT - Identified - Recompete - NE</v>
          </cell>
          <cell r="CD1906" t="str">
            <v/>
          </cell>
          <cell r="CF1906" t="str">
            <v>NETL - Identified - Recompete - NE</v>
          </cell>
        </row>
        <row r="1907">
          <cell r="D1907">
            <v>1893</v>
          </cell>
          <cell r="E1907">
            <v>2</v>
          </cell>
          <cell r="F1907">
            <v>3</v>
          </cell>
          <cell r="G1907" t="str">
            <v>NETL</v>
          </cell>
          <cell r="H1907" t="str">
            <v>NETL Total</v>
          </cell>
          <cell r="I1907" t="str">
            <v>NE</v>
          </cell>
          <cell r="J1907" t="str">
            <v>NE Technical Services</v>
          </cell>
          <cell r="K1907" t="str">
            <v>DOE-Other</v>
          </cell>
          <cell r="L1907" t="str">
            <v>DOE</v>
          </cell>
          <cell r="M1907" t="str">
            <v>WV</v>
          </cell>
          <cell r="N1907" t="str">
            <v>CONUS</v>
          </cell>
          <cell r="O1907">
            <v>40095</v>
          </cell>
          <cell r="P1907">
            <v>43492</v>
          </cell>
          <cell r="Q1907" t="str">
            <v>Prime</v>
          </cell>
          <cell r="R1907" t="str">
            <v>CPAF</v>
          </cell>
          <cell r="S1907">
            <v>0</v>
          </cell>
          <cell r="T1907">
            <v>1</v>
          </cell>
          <cell r="U1907" t="str">
            <v>CONTRACT</v>
          </cell>
          <cell r="V1907" t="str">
            <v>Base</v>
          </cell>
          <cell r="W1907" t="str">
            <v>05 Won</v>
          </cell>
          <cell r="X1907" t="str">
            <v>Active</v>
          </cell>
          <cell r="Y1907">
            <v>1</v>
          </cell>
          <cell r="Z1907">
            <v>0</v>
          </cell>
          <cell r="AA1907">
            <v>-2.6648126076906919E-3</v>
          </cell>
          <cell r="AB1907">
            <v>0</v>
          </cell>
          <cell r="AC1907">
            <v>0</v>
          </cell>
          <cell r="AD1907">
            <v>-2.6648126076906919E-3</v>
          </cell>
          <cell r="AL1907">
            <v>4.3897872083548617E-2</v>
          </cell>
          <cell r="AM1907">
            <v>6.4797031004586891E-2</v>
          </cell>
          <cell r="AN1907">
            <v>6.2307727538875785E-2</v>
          </cell>
          <cell r="AO1907">
            <v>0.13483575362254283</v>
          </cell>
          <cell r="AP1907">
            <v>6.4566165770224629E-2</v>
          </cell>
          <cell r="AQ1907">
            <v>6.4566165770224629E-2</v>
          </cell>
          <cell r="AR1907">
            <v>6.4566165770224629E-2</v>
          </cell>
          <cell r="AS1907">
            <v>6.4566165770224629E-2</v>
          </cell>
          <cell r="BF1907">
            <v>2846995.3499999992</v>
          </cell>
          <cell r="BG1907">
            <v>4627502.3300000029</v>
          </cell>
          <cell r="BH1907">
            <v>4588148.3500000034</v>
          </cell>
          <cell r="BI1907">
            <v>1303938.9299999997</v>
          </cell>
          <cell r="BJ1907">
            <v>200390.38000000032</v>
          </cell>
          <cell r="BK1907">
            <v>317085.27</v>
          </cell>
          <cell r="BL1907">
            <v>1038146.2299999999</v>
          </cell>
          <cell r="BM1907">
            <v>2859560.81</v>
          </cell>
          <cell r="BN1907">
            <v>0</v>
          </cell>
          <cell r="BO1907">
            <v>0</v>
          </cell>
          <cell r="BP1907">
            <v>0</v>
          </cell>
          <cell r="BQ1907">
            <v>0</v>
          </cell>
          <cell r="BR1907">
            <v>2859560.81</v>
          </cell>
          <cell r="BT1907">
            <v>0</v>
          </cell>
          <cell r="CA1907" t="str">
            <v>NETL - CONTRACT - Base</v>
          </cell>
          <cell r="CC1907" t="str">
            <v>NETL - CONTRACT - Base - NE</v>
          </cell>
          <cell r="CD1907" t="str">
            <v/>
          </cell>
          <cell r="CF1907" t="str">
            <v>NETL - Base - NE</v>
          </cell>
        </row>
        <row r="1908">
          <cell r="D1908">
            <v>1894</v>
          </cell>
          <cell r="E1908">
            <v>2</v>
          </cell>
          <cell r="F1908">
            <v>4</v>
          </cell>
          <cell r="G1908" t="str">
            <v>NETL</v>
          </cell>
          <cell r="H1908" t="str">
            <v>NETL Total</v>
          </cell>
          <cell r="I1908" t="str">
            <v>NE</v>
          </cell>
          <cell r="J1908" t="str">
            <v>NE Technical Services</v>
          </cell>
          <cell r="K1908" t="str">
            <v>DOE-Other</v>
          </cell>
          <cell r="L1908" t="str">
            <v>DOE</v>
          </cell>
          <cell r="M1908" t="str">
            <v>WV</v>
          </cell>
          <cell r="N1908" t="str">
            <v>CONUS</v>
          </cell>
          <cell r="O1908">
            <v>0</v>
          </cell>
          <cell r="P1908">
            <v>0</v>
          </cell>
          <cell r="Q1908">
            <v>0</v>
          </cell>
          <cell r="R1908" t="str">
            <v>CPAF</v>
          </cell>
          <cell r="S1908">
            <v>0</v>
          </cell>
          <cell r="T1908">
            <v>1</v>
          </cell>
          <cell r="U1908" t="str">
            <v>CONTRACT</v>
          </cell>
          <cell r="V1908" t="str">
            <v>Identified - Recompete</v>
          </cell>
          <cell r="W1908">
            <v>0</v>
          </cell>
          <cell r="X1908">
            <v>0</v>
          </cell>
          <cell r="Y1908">
            <v>0</v>
          </cell>
          <cell r="Z1908">
            <v>0</v>
          </cell>
          <cell r="AA1908">
            <v>0</v>
          </cell>
          <cell r="AB1908">
            <v>0</v>
          </cell>
          <cell r="AC1908">
            <v>0</v>
          </cell>
          <cell r="AD1908">
            <v>0</v>
          </cell>
          <cell r="AP1908">
            <v>0</v>
          </cell>
          <cell r="AQ1908">
            <v>0</v>
          </cell>
          <cell r="AR1908">
            <v>0</v>
          </cell>
          <cell r="AS1908">
            <v>0</v>
          </cell>
          <cell r="BI1908">
            <v>0</v>
          </cell>
          <cell r="BJ1908">
            <v>0</v>
          </cell>
          <cell r="BK1908">
            <v>0</v>
          </cell>
          <cell r="BL1908">
            <v>0</v>
          </cell>
          <cell r="BM1908">
            <v>0</v>
          </cell>
          <cell r="BN1908">
            <v>0</v>
          </cell>
          <cell r="BO1908">
            <v>0</v>
          </cell>
          <cell r="BP1908">
            <v>0</v>
          </cell>
          <cell r="BQ1908">
            <v>0</v>
          </cell>
          <cell r="BR1908">
            <v>0</v>
          </cell>
          <cell r="BT1908">
            <v>0</v>
          </cell>
          <cell r="CA1908" t="str">
            <v>NETL - CONTRACT - Identified - Recompete</v>
          </cell>
          <cell r="CC1908" t="str">
            <v>NETL - CONTRACT - Identified - Recompete - NE</v>
          </cell>
          <cell r="CD1908" t="str">
            <v/>
          </cell>
          <cell r="CF1908" t="str">
            <v>NETL - Identified - Recompete - NE</v>
          </cell>
        </row>
        <row r="1909">
          <cell r="D1909">
            <v>1895</v>
          </cell>
          <cell r="E1909">
            <v>0</v>
          </cell>
          <cell r="F1909">
            <v>5</v>
          </cell>
          <cell r="G1909" t="str">
            <v>NETL</v>
          </cell>
          <cell r="H1909" t="str">
            <v>NETL Total</v>
          </cell>
          <cell r="I1909" t="str">
            <v>NE</v>
          </cell>
          <cell r="J1909" t="str">
            <v>NE Technical Services</v>
          </cell>
          <cell r="K1909" t="str">
            <v>DOE-Other</v>
          </cell>
          <cell r="L1909" t="str">
            <v>DOE</v>
          </cell>
          <cell r="M1909" t="str">
            <v>WV</v>
          </cell>
          <cell r="N1909" t="str">
            <v>CONUS</v>
          </cell>
          <cell r="O1909">
            <v>40095</v>
          </cell>
          <cell r="P1909">
            <v>43492</v>
          </cell>
          <cell r="Q1909" t="str">
            <v>Prime</v>
          </cell>
          <cell r="R1909" t="str">
            <v>CPAF</v>
          </cell>
          <cell r="S1909">
            <v>0</v>
          </cell>
          <cell r="T1909">
            <v>1</v>
          </cell>
          <cell r="U1909" t="str">
            <v>EBITA</v>
          </cell>
          <cell r="V1909" t="str">
            <v>Base</v>
          </cell>
          <cell r="W1909" t="str">
            <v>05 Won</v>
          </cell>
          <cell r="X1909" t="str">
            <v>Active</v>
          </cell>
          <cell r="Y1909">
            <v>1</v>
          </cell>
          <cell r="Z1909">
            <v>0</v>
          </cell>
          <cell r="AA1909">
            <v>-2.6648126076906919E-3</v>
          </cell>
          <cell r="AB1909">
            <v>0</v>
          </cell>
          <cell r="AC1909">
            <v>0</v>
          </cell>
          <cell r="AD1909">
            <v>-2.6648126076906919E-3</v>
          </cell>
          <cell r="AT1909">
            <v>4.1423191727521021E-2</v>
          </cell>
          <cell r="AU1909">
            <v>4.393365986043999E-2</v>
          </cell>
          <cell r="AV1909">
            <v>3.7056028751443322E-2</v>
          </cell>
          <cell r="AW1909">
            <v>8.5247626242164157E-2</v>
          </cell>
          <cell r="AX1909">
            <v>4.4828936325258847E-2</v>
          </cell>
          <cell r="AY1909">
            <v>4.4828936325258847E-2</v>
          </cell>
          <cell r="AZ1909">
            <v>4.4828936325258847E-2</v>
          </cell>
          <cell r="BA1909">
            <v>4.4828936325258847E-2</v>
          </cell>
          <cell r="BF1909">
            <v>2686500.0199999991</v>
          </cell>
          <cell r="BG1909">
            <v>3137537.4800000032</v>
          </cell>
          <cell r="BH1909">
            <v>2728691.3500000034</v>
          </cell>
          <cell r="BI1909">
            <v>1095141.9299999997</v>
          </cell>
          <cell r="BJ1909">
            <v>40525.740000000325</v>
          </cell>
          <cell r="BK1909">
            <v>43911.26999999999</v>
          </cell>
          <cell r="BL1909">
            <v>628330.04999999993</v>
          </cell>
          <cell r="BM1909">
            <v>1807908.9899999998</v>
          </cell>
          <cell r="BN1909">
            <v>0</v>
          </cell>
          <cell r="BO1909">
            <v>0</v>
          </cell>
          <cell r="BP1909">
            <v>0</v>
          </cell>
          <cell r="BQ1909">
            <v>0</v>
          </cell>
          <cell r="BR1909">
            <v>1807908.9899999998</v>
          </cell>
          <cell r="BT1909">
            <v>0</v>
          </cell>
          <cell r="CA1909" t="str">
            <v>NETL - EBITA - Base</v>
          </cell>
          <cell r="CC1909" t="str">
            <v>NETL - EBITA - Base - NE</v>
          </cell>
          <cell r="CD1909" t="str">
            <v/>
          </cell>
          <cell r="CF1909" t="str">
            <v>NETL - Base - NE</v>
          </cell>
        </row>
        <row r="1910">
          <cell r="D1910">
            <v>1896</v>
          </cell>
          <cell r="E1910">
            <v>0</v>
          </cell>
          <cell r="F1910">
            <v>0</v>
          </cell>
          <cell r="G1910" t="str">
            <v>NETL</v>
          </cell>
          <cell r="H1910" t="str">
            <v>NETL Total</v>
          </cell>
          <cell r="I1910" t="str">
            <v>NE</v>
          </cell>
          <cell r="J1910" t="str">
            <v>NE Technical Services</v>
          </cell>
          <cell r="K1910" t="str">
            <v>DOE-Other</v>
          </cell>
          <cell r="L1910" t="str">
            <v>DOE</v>
          </cell>
          <cell r="M1910" t="str">
            <v>WV</v>
          </cell>
          <cell r="N1910" t="str">
            <v>CONUS</v>
          </cell>
          <cell r="O1910">
            <v>0</v>
          </cell>
          <cell r="P1910">
            <v>0</v>
          </cell>
          <cell r="Q1910">
            <v>0</v>
          </cell>
          <cell r="R1910" t="str">
            <v>CPAF</v>
          </cell>
          <cell r="S1910">
            <v>0</v>
          </cell>
          <cell r="T1910">
            <v>1</v>
          </cell>
          <cell r="U1910" t="str">
            <v>EBITA</v>
          </cell>
          <cell r="V1910" t="str">
            <v>Identified - Recompete</v>
          </cell>
          <cell r="W1910">
            <v>0</v>
          </cell>
          <cell r="X1910">
            <v>0</v>
          </cell>
          <cell r="Y1910">
            <v>0</v>
          </cell>
          <cell r="Z1910">
            <v>0</v>
          </cell>
          <cell r="AA1910">
            <v>0</v>
          </cell>
          <cell r="AB1910">
            <v>0</v>
          </cell>
          <cell r="AC1910">
            <v>0</v>
          </cell>
          <cell r="AD1910">
            <v>0</v>
          </cell>
          <cell r="AX1910">
            <v>0</v>
          </cell>
          <cell r="AY1910">
            <v>0</v>
          </cell>
          <cell r="AZ1910">
            <v>0</v>
          </cell>
          <cell r="BA1910">
            <v>0</v>
          </cell>
          <cell r="BI1910">
            <v>0</v>
          </cell>
          <cell r="BJ1910">
            <v>0</v>
          </cell>
          <cell r="BK1910">
            <v>0</v>
          </cell>
          <cell r="BL1910">
            <v>0</v>
          </cell>
          <cell r="BM1910">
            <v>0</v>
          </cell>
          <cell r="BN1910">
            <v>0</v>
          </cell>
          <cell r="BO1910">
            <v>0</v>
          </cell>
          <cell r="BP1910">
            <v>0</v>
          </cell>
          <cell r="BQ1910">
            <v>0</v>
          </cell>
          <cell r="BR1910">
            <v>0</v>
          </cell>
          <cell r="BT1910">
            <v>0</v>
          </cell>
          <cell r="CA1910" t="str">
            <v>NETL - EBITA - Identified - Recompete</v>
          </cell>
          <cell r="CC1910" t="str">
            <v>NETL - EBITA - Identified - Recompete - NE</v>
          </cell>
          <cell r="CD1910" t="str">
            <v/>
          </cell>
          <cell r="CF1910" t="str">
            <v>NETL - Identified - Recompete - NE</v>
          </cell>
        </row>
        <row r="1911">
          <cell r="D1911">
            <v>1897</v>
          </cell>
          <cell r="E1911">
            <v>1</v>
          </cell>
          <cell r="F1911">
            <v>1</v>
          </cell>
          <cell r="G1911" t="str">
            <v>UKOTHTOT</v>
          </cell>
          <cell r="H1911" t="str">
            <v>UK Other Total</v>
          </cell>
          <cell r="I1911" t="str">
            <v>NE</v>
          </cell>
          <cell r="J1911" t="str">
            <v>NE International Programs</v>
          </cell>
          <cell r="K1911" t="str">
            <v>n.a.</v>
          </cell>
          <cell r="L1911" t="str">
            <v>Non-US Gov't</v>
          </cell>
          <cell r="M1911" t="str">
            <v>UK</v>
          </cell>
          <cell r="N1911" t="str">
            <v>OCONUS</v>
          </cell>
          <cell r="O1911">
            <v>43592</v>
          </cell>
          <cell r="P1911">
            <v>43917</v>
          </cell>
          <cell r="Q1911" t="str">
            <v>Other</v>
          </cell>
          <cell r="R1911" t="str">
            <v>Multi</v>
          </cell>
          <cell r="S1911">
            <v>0</v>
          </cell>
          <cell r="T1911">
            <v>1</v>
          </cell>
          <cell r="U1911" t="str">
            <v>REVTOT</v>
          </cell>
          <cell r="V1911" t="str">
            <v>Base</v>
          </cell>
          <cell r="W1911" t="str">
            <v>05 Won</v>
          </cell>
          <cell r="X1911" t="str">
            <v>Active</v>
          </cell>
          <cell r="Y1911">
            <v>1</v>
          </cell>
          <cell r="Z1911">
            <v>0</v>
          </cell>
          <cell r="AA1911">
            <v>-0.2837980998083367</v>
          </cell>
          <cell r="AB1911">
            <v>0</v>
          </cell>
          <cell r="AC1911">
            <v>0</v>
          </cell>
          <cell r="AD1911">
            <v>-0.2837980998083367</v>
          </cell>
          <cell r="AE1911">
            <v>-6.9759532890029341E-2</v>
          </cell>
          <cell r="AF1911">
            <v>0.71510695356695786</v>
          </cell>
          <cell r="AG1911">
            <v>1.4958375396621744</v>
          </cell>
          <cell r="AH1911">
            <v>-1</v>
          </cell>
          <cell r="AI1911">
            <v>0</v>
          </cell>
          <cell r="AJ1911">
            <v>0</v>
          </cell>
          <cell r="AK1911">
            <v>0</v>
          </cell>
          <cell r="BB1911">
            <v>717197</v>
          </cell>
          <cell r="BC1911">
            <v>717197</v>
          </cell>
          <cell r="BD1911">
            <v>717197</v>
          </cell>
          <cell r="BE1911">
            <v>717197</v>
          </cell>
          <cell r="BF1911">
            <v>1496240.38</v>
          </cell>
          <cell r="BG1911">
            <v>1391863.3499999999</v>
          </cell>
          <cell r="BH1911">
            <v>2387194.5100000002</v>
          </cell>
          <cell r="BI1911">
            <v>758256.61</v>
          </cell>
          <cell r="BJ1911">
            <v>2718314.44</v>
          </cell>
          <cell r="BK1911">
            <v>2029523.1025334501</v>
          </cell>
          <cell r="BL1911">
            <v>451955.52</v>
          </cell>
          <cell r="BM1911">
            <v>5958049.6725334506</v>
          </cell>
          <cell r="BN1911">
            <v>0</v>
          </cell>
          <cell r="BO1911">
            <v>0</v>
          </cell>
          <cell r="BP1911">
            <v>0</v>
          </cell>
          <cell r="BQ1911">
            <v>0</v>
          </cell>
          <cell r="BR1911">
            <v>5958049.6725334506</v>
          </cell>
          <cell r="BT1911">
            <v>0</v>
          </cell>
          <cell r="CA1911" t="str">
            <v>UKOTHTOT - REVTOT - Base</v>
          </cell>
          <cell r="CC1911" t="str">
            <v>UKOTHTOT - REVTOT - Base - NE</v>
          </cell>
          <cell r="CD1911" t="str">
            <v/>
          </cell>
          <cell r="CF1911" t="str">
            <v>UKOTHTOT - Base - NE</v>
          </cell>
        </row>
        <row r="1912">
          <cell r="D1912">
            <v>1898</v>
          </cell>
          <cell r="E1912">
            <v>1</v>
          </cell>
          <cell r="F1912">
            <v>2</v>
          </cell>
          <cell r="G1912" t="str">
            <v>UKOTHTOT</v>
          </cell>
          <cell r="H1912" t="str">
            <v>UK Other Total</v>
          </cell>
          <cell r="I1912" t="str">
            <v>NE</v>
          </cell>
          <cell r="J1912" t="str">
            <v>NE International Programs</v>
          </cell>
          <cell r="K1912" t="str">
            <v>n.a.</v>
          </cell>
          <cell r="L1912" t="str">
            <v>Non-US Gov't</v>
          </cell>
          <cell r="M1912" t="str">
            <v>UK</v>
          </cell>
          <cell r="N1912" t="str">
            <v>OCONUS</v>
          </cell>
          <cell r="O1912">
            <v>43921</v>
          </cell>
          <cell r="P1912">
            <v>44286</v>
          </cell>
          <cell r="Q1912" t="str">
            <v>Prime</v>
          </cell>
          <cell r="R1912" t="str">
            <v>Multi</v>
          </cell>
          <cell r="S1912">
            <v>0</v>
          </cell>
          <cell r="T1912">
            <v>1</v>
          </cell>
          <cell r="U1912" t="str">
            <v>REVTOT</v>
          </cell>
          <cell r="V1912" t="str">
            <v>Identified - Recompete</v>
          </cell>
          <cell r="W1912" t="str">
            <v>00 Investigate</v>
          </cell>
          <cell r="X1912" t="str">
            <v>Priority 3</v>
          </cell>
          <cell r="Y1912">
            <v>0.5</v>
          </cell>
          <cell r="Z1912">
            <v>732000</v>
          </cell>
          <cell r="AA1912">
            <v>0</v>
          </cell>
          <cell r="AB1912">
            <v>0</v>
          </cell>
          <cell r="AC1912">
            <v>0</v>
          </cell>
          <cell r="AD1912">
            <v>0</v>
          </cell>
          <cell r="AI1912">
            <v>0</v>
          </cell>
          <cell r="AJ1912">
            <v>0</v>
          </cell>
          <cell r="AK1912">
            <v>0</v>
          </cell>
          <cell r="BB1912">
            <v>732000</v>
          </cell>
          <cell r="BC1912">
            <v>732000</v>
          </cell>
          <cell r="BD1912">
            <v>732000</v>
          </cell>
          <cell r="BE1912">
            <v>732000</v>
          </cell>
          <cell r="BI1912">
            <v>0</v>
          </cell>
          <cell r="BJ1912">
            <v>0</v>
          </cell>
          <cell r="BK1912">
            <v>0</v>
          </cell>
          <cell r="BL1912">
            <v>0</v>
          </cell>
          <cell r="BM1912">
            <v>0</v>
          </cell>
          <cell r="BN1912">
            <v>183000</v>
          </cell>
          <cell r="BO1912">
            <v>183000</v>
          </cell>
          <cell r="BP1912">
            <v>0</v>
          </cell>
          <cell r="BQ1912">
            <v>0</v>
          </cell>
          <cell r="BR1912">
            <v>366000</v>
          </cell>
          <cell r="BT1912">
            <v>0</v>
          </cell>
          <cell r="CA1912" t="str">
            <v>UKOTHTOT - REVTOT - Identified - Recompete</v>
          </cell>
          <cell r="CC1912" t="str">
            <v>UKOTHTOT - REVTOT - Identified - Recompete - NE</v>
          </cell>
          <cell r="CD1912" t="str">
            <v/>
          </cell>
          <cell r="CF1912" t="str">
            <v>UKOTHTOT - Identified - Recompete - NE</v>
          </cell>
        </row>
        <row r="1913">
          <cell r="D1913">
            <v>1899</v>
          </cell>
          <cell r="E1913">
            <v>2</v>
          </cell>
          <cell r="F1913">
            <v>3</v>
          </cell>
          <cell r="G1913" t="str">
            <v>UKOTHTOT</v>
          </cell>
          <cell r="H1913" t="str">
            <v>UK Other Total</v>
          </cell>
          <cell r="I1913" t="str">
            <v>NE</v>
          </cell>
          <cell r="J1913" t="str">
            <v>NE International Programs</v>
          </cell>
          <cell r="K1913" t="str">
            <v>n.a.</v>
          </cell>
          <cell r="L1913" t="str">
            <v>Non-US Gov't</v>
          </cell>
          <cell r="M1913" t="str">
            <v>UK</v>
          </cell>
          <cell r="N1913" t="str">
            <v>OCONUS</v>
          </cell>
          <cell r="O1913">
            <v>43592</v>
          </cell>
          <cell r="P1913">
            <v>43917</v>
          </cell>
          <cell r="Q1913" t="str">
            <v>Other</v>
          </cell>
          <cell r="R1913" t="str">
            <v>Multi</v>
          </cell>
          <cell r="S1913">
            <v>0</v>
          </cell>
          <cell r="T1913">
            <v>1</v>
          </cell>
          <cell r="U1913" t="str">
            <v>CONTRACT</v>
          </cell>
          <cell r="V1913" t="str">
            <v>Base</v>
          </cell>
          <cell r="W1913" t="str">
            <v>05 Won</v>
          </cell>
          <cell r="X1913" t="str">
            <v>Active</v>
          </cell>
          <cell r="Y1913">
            <v>1</v>
          </cell>
          <cell r="Z1913">
            <v>0</v>
          </cell>
          <cell r="AA1913">
            <v>-0.2837980998083367</v>
          </cell>
          <cell r="AB1913">
            <v>0</v>
          </cell>
          <cell r="AC1913">
            <v>0</v>
          </cell>
          <cell r="AD1913">
            <v>-0.2837980998083367</v>
          </cell>
          <cell r="AL1913">
            <v>6.3214969509110541E-2</v>
          </cell>
          <cell r="AM1913">
            <v>9.6465655195246011E-2</v>
          </cell>
          <cell r="AN1913">
            <v>0.11232642705772079</v>
          </cell>
          <cell r="AO1913">
            <v>0.13439738111363558</v>
          </cell>
          <cell r="AP1913">
            <v>0.25373982545939261</v>
          </cell>
          <cell r="AQ1913">
            <v>0.1846328838687642</v>
          </cell>
          <cell r="AR1913">
            <v>0.1846328838687642</v>
          </cell>
          <cell r="AS1913">
            <v>0.1846328838687642</v>
          </cell>
          <cell r="BF1913">
            <v>94584.789999999964</v>
          </cell>
          <cell r="BG1913">
            <v>134267.01</v>
          </cell>
          <cell r="BH1913">
            <v>268145.03000010655</v>
          </cell>
          <cell r="BI1913">
            <v>115428.58999999994</v>
          </cell>
          <cell r="BJ1913">
            <v>192488.7999999999</v>
          </cell>
          <cell r="BK1913">
            <v>408399.90253344993</v>
          </cell>
          <cell r="BL1913">
            <v>84428.98000000004</v>
          </cell>
          <cell r="BM1913">
            <v>800746.27253344981</v>
          </cell>
          <cell r="BN1913">
            <v>0</v>
          </cell>
          <cell r="BO1913">
            <v>0</v>
          </cell>
          <cell r="BP1913">
            <v>0</v>
          </cell>
          <cell r="BQ1913">
            <v>0</v>
          </cell>
          <cell r="BR1913">
            <v>800746.27253344981</v>
          </cell>
          <cell r="BT1913">
            <v>0</v>
          </cell>
          <cell r="CA1913" t="str">
            <v>UKOTHTOT - CONTRACT - Base</v>
          </cell>
          <cell r="CC1913" t="str">
            <v>UKOTHTOT - CONTRACT - Base - NE</v>
          </cell>
          <cell r="CD1913" t="str">
            <v/>
          </cell>
          <cell r="CF1913" t="str">
            <v>UKOTHTOT - Base - NE</v>
          </cell>
        </row>
        <row r="1914">
          <cell r="D1914">
            <v>1900</v>
          </cell>
          <cell r="E1914">
            <v>2</v>
          </cell>
          <cell r="F1914">
            <v>4</v>
          </cell>
          <cell r="G1914" t="str">
            <v>UKOTHTOT</v>
          </cell>
          <cell r="H1914" t="str">
            <v>UK Other Total</v>
          </cell>
          <cell r="I1914" t="str">
            <v>NE</v>
          </cell>
          <cell r="J1914" t="str">
            <v>NE International Programs</v>
          </cell>
          <cell r="K1914" t="str">
            <v>n.a.</v>
          </cell>
          <cell r="L1914" t="str">
            <v>Non-US Gov't</v>
          </cell>
          <cell r="M1914" t="str">
            <v>UK</v>
          </cell>
          <cell r="N1914" t="str">
            <v>OCONUS</v>
          </cell>
          <cell r="O1914">
            <v>43921</v>
          </cell>
          <cell r="P1914">
            <v>44286</v>
          </cell>
          <cell r="Q1914" t="str">
            <v>Prime</v>
          </cell>
          <cell r="R1914" t="str">
            <v>Multi</v>
          </cell>
          <cell r="S1914">
            <v>0</v>
          </cell>
          <cell r="T1914">
            <v>1</v>
          </cell>
          <cell r="U1914" t="str">
            <v>CONTRACT</v>
          </cell>
          <cell r="V1914" t="str">
            <v>Identified - Recompete</v>
          </cell>
          <cell r="W1914" t="str">
            <v>00 Investigate</v>
          </cell>
          <cell r="X1914" t="str">
            <v>Priority 3</v>
          </cell>
          <cell r="Y1914">
            <v>0.5</v>
          </cell>
          <cell r="Z1914">
            <v>732000</v>
          </cell>
          <cell r="AA1914">
            <v>0</v>
          </cell>
          <cell r="AB1914">
            <v>0</v>
          </cell>
          <cell r="AC1914">
            <v>0</v>
          </cell>
          <cell r="AD1914">
            <v>0</v>
          </cell>
          <cell r="AP1914">
            <v>0.16</v>
          </cell>
          <cell r="AQ1914">
            <v>0.16</v>
          </cell>
          <cell r="AR1914">
            <v>0.16</v>
          </cell>
          <cell r="AS1914">
            <v>0.16</v>
          </cell>
          <cell r="BI1914">
            <v>0</v>
          </cell>
          <cell r="BJ1914">
            <v>0</v>
          </cell>
          <cell r="BK1914">
            <v>0</v>
          </cell>
          <cell r="BL1914">
            <v>0</v>
          </cell>
          <cell r="BM1914">
            <v>0</v>
          </cell>
          <cell r="BN1914">
            <v>29280</v>
          </cell>
          <cell r="BO1914">
            <v>29280</v>
          </cell>
          <cell r="BP1914">
            <v>0</v>
          </cell>
          <cell r="BQ1914">
            <v>0</v>
          </cell>
          <cell r="BR1914">
            <v>58560</v>
          </cell>
          <cell r="BT1914">
            <v>0</v>
          </cell>
          <cell r="CA1914" t="str">
            <v>UKOTHTOT - CONTRACT - Identified - Recompete</v>
          </cell>
          <cell r="CC1914" t="str">
            <v>UKOTHTOT - CONTRACT - Identified - Recompete - NE</v>
          </cell>
          <cell r="CD1914" t="str">
            <v/>
          </cell>
          <cell r="CF1914" t="str">
            <v>UKOTHTOT - Identified - Recompete - NE</v>
          </cell>
        </row>
        <row r="1915">
          <cell r="D1915">
            <v>1901</v>
          </cell>
          <cell r="E1915">
            <v>0</v>
          </cell>
          <cell r="F1915">
            <v>5</v>
          </cell>
          <cell r="G1915" t="str">
            <v>UKOTHTOT</v>
          </cell>
          <cell r="H1915" t="str">
            <v>UK Other Total</v>
          </cell>
          <cell r="I1915" t="str">
            <v>NE</v>
          </cell>
          <cell r="J1915" t="str">
            <v>NE International Programs</v>
          </cell>
          <cell r="K1915" t="str">
            <v>n.a.</v>
          </cell>
          <cell r="L1915" t="str">
            <v>Non-US Gov't</v>
          </cell>
          <cell r="M1915" t="str">
            <v>UK</v>
          </cell>
          <cell r="N1915" t="str">
            <v>OCONUS</v>
          </cell>
          <cell r="O1915">
            <v>43592</v>
          </cell>
          <cell r="P1915">
            <v>43917</v>
          </cell>
          <cell r="Q1915" t="str">
            <v>Other</v>
          </cell>
          <cell r="R1915" t="str">
            <v>Multi</v>
          </cell>
          <cell r="S1915">
            <v>0</v>
          </cell>
          <cell r="T1915">
            <v>1</v>
          </cell>
          <cell r="U1915" t="str">
            <v>EBITA</v>
          </cell>
          <cell r="V1915" t="str">
            <v>Base</v>
          </cell>
          <cell r="W1915" t="str">
            <v>05 Won</v>
          </cell>
          <cell r="X1915" t="str">
            <v>Active</v>
          </cell>
          <cell r="Y1915">
            <v>1</v>
          </cell>
          <cell r="Z1915">
            <v>0</v>
          </cell>
          <cell r="AA1915">
            <v>-0.2837980998083367</v>
          </cell>
          <cell r="AB1915">
            <v>0</v>
          </cell>
          <cell r="AC1915">
            <v>0</v>
          </cell>
          <cell r="AD1915">
            <v>-0.2837980998083367</v>
          </cell>
          <cell r="AT1915">
            <v>4.9996037401423409E-2</v>
          </cell>
          <cell r="AU1915">
            <v>3.400281356643238E-2</v>
          </cell>
          <cell r="AV1915">
            <v>7.113091928152375E-2</v>
          </cell>
          <cell r="AW1915">
            <v>0.10162964322450438</v>
          </cell>
          <cell r="AX1915">
            <v>4.7646636855876445E-2</v>
          </cell>
          <cell r="AY1915">
            <v>6.3769164026303324E-2</v>
          </cell>
          <cell r="AZ1915">
            <v>6.3769164026303324E-2</v>
          </cell>
          <cell r="BA1915">
            <v>6.3769164026303324E-2</v>
          </cell>
          <cell r="BF1915">
            <v>74806.089999999967</v>
          </cell>
          <cell r="BG1915">
            <v>47327.270000000019</v>
          </cell>
          <cell r="BH1915">
            <v>169803.34000010666</v>
          </cell>
          <cell r="BI1915">
            <v>88645.529999999941</v>
          </cell>
          <cell r="BJ1915">
            <v>95229.369999999908</v>
          </cell>
          <cell r="BK1915">
            <v>393460.4925334499</v>
          </cell>
          <cell r="BL1915">
            <v>28179.070000000036</v>
          </cell>
          <cell r="BM1915">
            <v>605514.46253344975</v>
          </cell>
          <cell r="BN1915">
            <v>0</v>
          </cell>
          <cell r="BO1915">
            <v>0</v>
          </cell>
          <cell r="BP1915">
            <v>0</v>
          </cell>
          <cell r="BQ1915">
            <v>0</v>
          </cell>
          <cell r="BR1915">
            <v>605514.46253344975</v>
          </cell>
          <cell r="BT1915">
            <v>0</v>
          </cell>
          <cell r="CA1915" t="str">
            <v>UKOTHTOT - EBITA - Base</v>
          </cell>
          <cell r="CC1915" t="str">
            <v>UKOTHTOT - EBITA - Base - NE</v>
          </cell>
          <cell r="CD1915" t="str">
            <v/>
          </cell>
          <cell r="CF1915" t="str">
            <v>UKOTHTOT - Base - NE</v>
          </cell>
        </row>
        <row r="1916">
          <cell r="D1916">
            <v>1902</v>
          </cell>
          <cell r="E1916">
            <v>0</v>
          </cell>
          <cell r="F1916">
            <v>0</v>
          </cell>
          <cell r="G1916" t="str">
            <v>UKOTHTOT</v>
          </cell>
          <cell r="H1916" t="str">
            <v>UK Other Total</v>
          </cell>
          <cell r="I1916" t="str">
            <v>NE</v>
          </cell>
          <cell r="J1916" t="str">
            <v>NE International Programs</v>
          </cell>
          <cell r="K1916" t="str">
            <v>n.a.</v>
          </cell>
          <cell r="L1916" t="str">
            <v>Non-US Gov't</v>
          </cell>
          <cell r="M1916" t="str">
            <v>UK</v>
          </cell>
          <cell r="N1916" t="str">
            <v>OCONUS</v>
          </cell>
          <cell r="O1916">
            <v>43921</v>
          </cell>
          <cell r="P1916">
            <v>44286</v>
          </cell>
          <cell r="Q1916" t="str">
            <v>Prime</v>
          </cell>
          <cell r="R1916" t="str">
            <v>Multi</v>
          </cell>
          <cell r="S1916">
            <v>0</v>
          </cell>
          <cell r="T1916">
            <v>1</v>
          </cell>
          <cell r="U1916" t="str">
            <v>EBITA</v>
          </cell>
          <cell r="V1916" t="str">
            <v>Identified - Recompete</v>
          </cell>
          <cell r="W1916" t="str">
            <v>00 Investigate</v>
          </cell>
          <cell r="X1916" t="str">
            <v>Priority 3</v>
          </cell>
          <cell r="Y1916">
            <v>0.5</v>
          </cell>
          <cell r="Z1916">
            <v>732000</v>
          </cell>
          <cell r="AA1916">
            <v>0</v>
          </cell>
          <cell r="AB1916">
            <v>0</v>
          </cell>
          <cell r="AC1916">
            <v>0</v>
          </cell>
          <cell r="AD1916">
            <v>0</v>
          </cell>
          <cell r="AX1916">
            <v>0.05</v>
          </cell>
          <cell r="AY1916">
            <v>0.05</v>
          </cell>
          <cell r="AZ1916">
            <v>0.05</v>
          </cell>
          <cell r="BA1916">
            <v>0.05</v>
          </cell>
          <cell r="BI1916">
            <v>0</v>
          </cell>
          <cell r="BJ1916">
            <v>0</v>
          </cell>
          <cell r="BK1916">
            <v>0</v>
          </cell>
          <cell r="BL1916">
            <v>0</v>
          </cell>
          <cell r="BM1916">
            <v>0</v>
          </cell>
          <cell r="BN1916">
            <v>9150</v>
          </cell>
          <cell r="BO1916">
            <v>9150</v>
          </cell>
          <cell r="BP1916">
            <v>0</v>
          </cell>
          <cell r="BQ1916">
            <v>0</v>
          </cell>
          <cell r="BR1916">
            <v>18300</v>
          </cell>
          <cell r="BT1916">
            <v>0</v>
          </cell>
          <cell r="CA1916" t="str">
            <v>UKOTHTOT - EBITA - Identified - Recompete</v>
          </cell>
          <cell r="CC1916" t="str">
            <v>UKOTHTOT - EBITA - Identified - Recompete - NE</v>
          </cell>
          <cell r="CD1916" t="str">
            <v/>
          </cell>
          <cell r="CF1916" t="str">
            <v>UKOTHTOT - Identified - Recompete - NE</v>
          </cell>
        </row>
        <row r="1917">
          <cell r="D1917">
            <v>1903</v>
          </cell>
          <cell r="E1917">
            <v>1</v>
          </cell>
          <cell r="F1917">
            <v>1</v>
          </cell>
          <cell r="G1917" t="str">
            <v>YUCCA</v>
          </cell>
          <cell r="H1917" t="str">
            <v>Yucca Mtn Total</v>
          </cell>
          <cell r="I1917" t="str">
            <v>NE</v>
          </cell>
          <cell r="J1917" t="str">
            <v>NE DD and WM Projects</v>
          </cell>
          <cell r="K1917" t="str">
            <v>DOE-EM</v>
          </cell>
          <cell r="L1917" t="str">
            <v>DOE</v>
          </cell>
          <cell r="M1917" t="str">
            <v>NV</v>
          </cell>
          <cell r="N1917" t="str">
            <v>CONUS</v>
          </cell>
          <cell r="O1917">
            <v>39904</v>
          </cell>
          <cell r="P1917">
            <v>44651</v>
          </cell>
          <cell r="Q1917" t="str">
            <v>Prime</v>
          </cell>
          <cell r="R1917" t="str">
            <v>CPAF</v>
          </cell>
          <cell r="S1917">
            <v>0</v>
          </cell>
          <cell r="T1917">
            <v>1</v>
          </cell>
          <cell r="U1917" t="str">
            <v>REVTOT</v>
          </cell>
          <cell r="V1917" t="str">
            <v>Base</v>
          </cell>
          <cell r="W1917" t="str">
            <v>05 Won</v>
          </cell>
          <cell r="X1917" t="str">
            <v>Active</v>
          </cell>
          <cell r="Y1917">
            <v>1</v>
          </cell>
          <cell r="Z1917">
            <v>0</v>
          </cell>
          <cell r="AA1917">
            <v>2546046.0199999977</v>
          </cell>
          <cell r="AB1917">
            <v>0</v>
          </cell>
          <cell r="AC1917">
            <v>0</v>
          </cell>
          <cell r="AD1917">
            <v>2546046.0199999977</v>
          </cell>
          <cell r="AE1917">
            <v>-0.8884837587773593</v>
          </cell>
          <cell r="AF1917">
            <v>2.9596481749897152</v>
          </cell>
          <cell r="AG1917">
            <v>0.6139750858124402</v>
          </cell>
          <cell r="AH1917">
            <v>-0.46003139123388492</v>
          </cell>
          <cell r="AI1917">
            <v>0</v>
          </cell>
          <cell r="AJ1917">
            <v>0</v>
          </cell>
          <cell r="AK1917">
            <v>0</v>
          </cell>
          <cell r="BB1917">
            <v>1020000</v>
          </cell>
          <cell r="BC1917">
            <v>1020000</v>
          </cell>
          <cell r="BD1917">
            <v>1020000</v>
          </cell>
          <cell r="BE1917">
            <v>1020000</v>
          </cell>
          <cell r="BF1917">
            <v>2650575.08</v>
          </cell>
          <cell r="BG1917">
            <v>295582.17000000004</v>
          </cell>
          <cell r="BH1917">
            <v>1170401.3999999999</v>
          </cell>
          <cell r="BI1917">
            <v>496668.14999999997</v>
          </cell>
          <cell r="BJ1917">
            <v>433216.8</v>
          </cell>
          <cell r="BK1917">
            <v>440113.75</v>
          </cell>
          <cell r="BL1917">
            <v>519000</v>
          </cell>
          <cell r="BM1917">
            <v>1888998.7</v>
          </cell>
          <cell r="BN1917">
            <v>1020000</v>
          </cell>
          <cell r="BO1917">
            <v>1020000</v>
          </cell>
          <cell r="BP1917">
            <v>506046.01999999769</v>
          </cell>
          <cell r="BQ1917">
            <v>0</v>
          </cell>
          <cell r="BR1917">
            <v>4435044.7199999979</v>
          </cell>
          <cell r="BT1917">
            <v>0</v>
          </cell>
          <cell r="CA1917" t="str">
            <v>YUCCA - REVTOT - Base</v>
          </cell>
          <cell r="CC1917" t="str">
            <v>YUCCA - REVTOT - Base - NE</v>
          </cell>
          <cell r="CD1917" t="str">
            <v/>
          </cell>
          <cell r="CF1917" t="str">
            <v>YUCCA - Base - NE</v>
          </cell>
        </row>
        <row r="1918">
          <cell r="D1918">
            <v>1904</v>
          </cell>
          <cell r="E1918">
            <v>1</v>
          </cell>
          <cell r="F1918">
            <v>2</v>
          </cell>
          <cell r="G1918" t="str">
            <v>YUCCA</v>
          </cell>
          <cell r="H1918" t="str">
            <v>Yucca Mtn Total</v>
          </cell>
          <cell r="I1918" t="str">
            <v>NE</v>
          </cell>
          <cell r="J1918" t="str">
            <v>NE DD and WM Projects</v>
          </cell>
          <cell r="K1918" t="str">
            <v>DOE-EM</v>
          </cell>
          <cell r="L1918" t="str">
            <v>DOE</v>
          </cell>
          <cell r="M1918" t="str">
            <v>NV</v>
          </cell>
          <cell r="N1918" t="str">
            <v>CONUS</v>
          </cell>
          <cell r="O1918">
            <v>0</v>
          </cell>
          <cell r="P1918">
            <v>0</v>
          </cell>
          <cell r="Q1918">
            <v>0</v>
          </cell>
          <cell r="R1918" t="str">
            <v>CPAF</v>
          </cell>
          <cell r="S1918">
            <v>0</v>
          </cell>
          <cell r="T1918">
            <v>1</v>
          </cell>
          <cell r="U1918" t="str">
            <v>REVTOT</v>
          </cell>
          <cell r="V1918" t="str">
            <v>Identified - Recompete</v>
          </cell>
          <cell r="W1918">
            <v>0</v>
          </cell>
          <cell r="X1918">
            <v>0</v>
          </cell>
          <cell r="Y1918">
            <v>0</v>
          </cell>
          <cell r="Z1918">
            <v>0</v>
          </cell>
          <cell r="AA1918">
            <v>0</v>
          </cell>
          <cell r="AB1918">
            <v>0</v>
          </cell>
          <cell r="AC1918">
            <v>0</v>
          </cell>
          <cell r="AD1918">
            <v>0</v>
          </cell>
          <cell r="AI1918">
            <v>0</v>
          </cell>
          <cell r="AJ1918">
            <v>0</v>
          </cell>
          <cell r="AK1918">
            <v>0</v>
          </cell>
          <cell r="BB1918">
            <v>0</v>
          </cell>
          <cell r="BC1918">
            <v>0</v>
          </cell>
          <cell r="BD1918">
            <v>0</v>
          </cell>
          <cell r="BE1918">
            <v>0</v>
          </cell>
          <cell r="BI1918">
            <v>0</v>
          </cell>
          <cell r="BJ1918">
            <v>0</v>
          </cell>
          <cell r="BK1918">
            <v>0</v>
          </cell>
          <cell r="BL1918">
            <v>0</v>
          </cell>
          <cell r="BM1918">
            <v>0</v>
          </cell>
          <cell r="BN1918">
            <v>0</v>
          </cell>
          <cell r="BO1918">
            <v>0</v>
          </cell>
          <cell r="BP1918">
            <v>0</v>
          </cell>
          <cell r="BQ1918">
            <v>0</v>
          </cell>
          <cell r="BR1918">
            <v>0</v>
          </cell>
          <cell r="BT1918">
            <v>0</v>
          </cell>
          <cell r="CA1918" t="str">
            <v>YUCCA - REVTOT - Identified - Recompete</v>
          </cell>
          <cell r="CC1918" t="str">
            <v>YUCCA - REVTOT - Identified - Recompete - NE</v>
          </cell>
          <cell r="CD1918" t="str">
            <v/>
          </cell>
          <cell r="CF1918" t="str">
            <v>YUCCA - Identified - Recompete - NE</v>
          </cell>
        </row>
        <row r="1919">
          <cell r="D1919">
            <v>1905</v>
          </cell>
          <cell r="E1919">
            <v>2</v>
          </cell>
          <cell r="F1919">
            <v>3</v>
          </cell>
          <cell r="G1919" t="str">
            <v>YUCCA</v>
          </cell>
          <cell r="H1919" t="str">
            <v>Yucca Mtn Total</v>
          </cell>
          <cell r="I1919" t="str">
            <v>NE</v>
          </cell>
          <cell r="J1919" t="str">
            <v>NE DD and WM Projects</v>
          </cell>
          <cell r="K1919" t="str">
            <v>DOE-EM</v>
          </cell>
          <cell r="L1919" t="str">
            <v>DOE</v>
          </cell>
          <cell r="M1919" t="str">
            <v>NV</v>
          </cell>
          <cell r="N1919" t="str">
            <v>CONUS</v>
          </cell>
          <cell r="O1919">
            <v>39904</v>
          </cell>
          <cell r="P1919">
            <v>44651</v>
          </cell>
          <cell r="Q1919" t="str">
            <v>Prime</v>
          </cell>
          <cell r="R1919" t="str">
            <v>CPAF</v>
          </cell>
          <cell r="S1919">
            <v>0</v>
          </cell>
          <cell r="T1919">
            <v>1</v>
          </cell>
          <cell r="U1919" t="str">
            <v>CONTRACT</v>
          </cell>
          <cell r="V1919" t="str">
            <v>Base</v>
          </cell>
          <cell r="W1919" t="str">
            <v>05 Won</v>
          </cell>
          <cell r="X1919" t="str">
            <v>Active</v>
          </cell>
          <cell r="Y1919">
            <v>1</v>
          </cell>
          <cell r="Z1919">
            <v>0</v>
          </cell>
          <cell r="AA1919">
            <v>2546046.0199999977</v>
          </cell>
          <cell r="AB1919">
            <v>0</v>
          </cell>
          <cell r="AC1919">
            <v>0</v>
          </cell>
          <cell r="AD1919">
            <v>2546046.0199999977</v>
          </cell>
          <cell r="AL1919">
            <v>1.1700328820717622E-2</v>
          </cell>
          <cell r="AM1919">
            <v>0.10401104369725679</v>
          </cell>
          <cell r="AN1919">
            <v>0.14702237198280857</v>
          </cell>
          <cell r="AO1919">
            <v>0.27126485052636617</v>
          </cell>
          <cell r="AP1919">
            <v>0.37850882352941179</v>
          </cell>
          <cell r="AQ1919">
            <v>0.25138441123927591</v>
          </cell>
          <cell r="AR1919">
            <v>0.25138441123927591</v>
          </cell>
          <cell r="AS1919">
            <v>0.25138441123927591</v>
          </cell>
          <cell r="BF1919">
            <v>31012.599999999915</v>
          </cell>
          <cell r="BG1919">
            <v>30743.80999999999</v>
          </cell>
          <cell r="BH1919">
            <v>172075.18999999992</v>
          </cell>
          <cell r="BI1919">
            <v>53234.359999999993</v>
          </cell>
          <cell r="BJ1919">
            <v>128430.36000000003</v>
          </cell>
          <cell r="BK1919">
            <v>131740.74</v>
          </cell>
          <cell r="BL1919">
            <v>199013.49</v>
          </cell>
          <cell r="BM1919">
            <v>512418.95</v>
          </cell>
          <cell r="BN1919">
            <v>386079</v>
          </cell>
          <cell r="BO1919">
            <v>256412.09946406144</v>
          </cell>
          <cell r="BP1919">
            <v>127212.08079767825</v>
          </cell>
          <cell r="BQ1919">
            <v>0</v>
          </cell>
          <cell r="BR1919">
            <v>1282122.1302617397</v>
          </cell>
          <cell r="BT1919">
            <v>0</v>
          </cell>
          <cell r="CA1919" t="str">
            <v>YUCCA - CONTRACT - Base</v>
          </cell>
          <cell r="CC1919" t="str">
            <v>YUCCA - CONTRACT - Base - NE</v>
          </cell>
          <cell r="CD1919" t="str">
            <v/>
          </cell>
          <cell r="CF1919" t="str">
            <v>YUCCA - Base - NE</v>
          </cell>
        </row>
        <row r="1920">
          <cell r="D1920">
            <v>1906</v>
          </cell>
          <cell r="E1920">
            <v>2</v>
          </cell>
          <cell r="F1920">
            <v>4</v>
          </cell>
          <cell r="G1920" t="str">
            <v>YUCCA</v>
          </cell>
          <cell r="H1920" t="str">
            <v>Yucca Mtn Total</v>
          </cell>
          <cell r="I1920" t="str">
            <v>NE</v>
          </cell>
          <cell r="J1920" t="str">
            <v>NE DD and WM Projects</v>
          </cell>
          <cell r="K1920" t="str">
            <v>DOE-EM</v>
          </cell>
          <cell r="L1920" t="str">
            <v>DOE</v>
          </cell>
          <cell r="M1920" t="str">
            <v>NV</v>
          </cell>
          <cell r="N1920" t="str">
            <v>CONUS</v>
          </cell>
          <cell r="O1920">
            <v>0</v>
          </cell>
          <cell r="P1920">
            <v>0</v>
          </cell>
          <cell r="Q1920">
            <v>0</v>
          </cell>
          <cell r="R1920" t="str">
            <v>CPAF</v>
          </cell>
          <cell r="S1920">
            <v>0</v>
          </cell>
          <cell r="T1920">
            <v>1</v>
          </cell>
          <cell r="U1920" t="str">
            <v>CONTRACT</v>
          </cell>
          <cell r="V1920" t="str">
            <v>Identified - Recompete</v>
          </cell>
          <cell r="W1920">
            <v>0</v>
          </cell>
          <cell r="X1920">
            <v>0</v>
          </cell>
          <cell r="Y1920">
            <v>0</v>
          </cell>
          <cell r="Z1920">
            <v>0</v>
          </cell>
          <cell r="AA1920">
            <v>0</v>
          </cell>
          <cell r="AB1920">
            <v>0</v>
          </cell>
          <cell r="AC1920">
            <v>0</v>
          </cell>
          <cell r="AD1920">
            <v>0</v>
          </cell>
          <cell r="AP1920">
            <v>0</v>
          </cell>
          <cell r="AQ1920">
            <v>0</v>
          </cell>
          <cell r="AR1920">
            <v>0</v>
          </cell>
          <cell r="AS1920">
            <v>0</v>
          </cell>
          <cell r="BI1920">
            <v>0</v>
          </cell>
          <cell r="BJ1920">
            <v>0</v>
          </cell>
          <cell r="BK1920">
            <v>0</v>
          </cell>
          <cell r="BL1920">
            <v>0</v>
          </cell>
          <cell r="BM1920">
            <v>0</v>
          </cell>
          <cell r="BN1920">
            <v>0</v>
          </cell>
          <cell r="BO1920">
            <v>0</v>
          </cell>
          <cell r="BP1920">
            <v>0</v>
          </cell>
          <cell r="BQ1920">
            <v>0</v>
          </cell>
          <cell r="BR1920">
            <v>0</v>
          </cell>
          <cell r="BT1920">
            <v>0</v>
          </cell>
          <cell r="CA1920" t="str">
            <v>YUCCA - CONTRACT - Identified - Recompete</v>
          </cell>
          <cell r="CC1920" t="str">
            <v>YUCCA - CONTRACT - Identified - Recompete - NE</v>
          </cell>
          <cell r="CD1920" t="str">
            <v/>
          </cell>
          <cell r="CF1920" t="str">
            <v>YUCCA - Identified - Recompete - NE</v>
          </cell>
        </row>
        <row r="1921">
          <cell r="D1921">
            <v>1907</v>
          </cell>
          <cell r="E1921">
            <v>0</v>
          </cell>
          <cell r="F1921">
            <v>5</v>
          </cell>
          <cell r="G1921" t="str">
            <v>YUCCA</v>
          </cell>
          <cell r="H1921" t="str">
            <v>Yucca Mtn Total</v>
          </cell>
          <cell r="I1921" t="str">
            <v>NE</v>
          </cell>
          <cell r="J1921" t="str">
            <v>NE DD and WM Projects</v>
          </cell>
          <cell r="K1921" t="str">
            <v>DOE-EM</v>
          </cell>
          <cell r="L1921" t="str">
            <v>DOE</v>
          </cell>
          <cell r="M1921" t="str">
            <v>NV</v>
          </cell>
          <cell r="N1921" t="str">
            <v>CONUS</v>
          </cell>
          <cell r="O1921">
            <v>39904</v>
          </cell>
          <cell r="P1921">
            <v>44651</v>
          </cell>
          <cell r="Q1921" t="str">
            <v>Prime</v>
          </cell>
          <cell r="R1921" t="str">
            <v>CPAF</v>
          </cell>
          <cell r="S1921">
            <v>0</v>
          </cell>
          <cell r="T1921">
            <v>1</v>
          </cell>
          <cell r="U1921" t="str">
            <v>EBITA</v>
          </cell>
          <cell r="V1921" t="str">
            <v>Base</v>
          </cell>
          <cell r="W1921" t="str">
            <v>05 Won</v>
          </cell>
          <cell r="X1921" t="str">
            <v>Active</v>
          </cell>
          <cell r="Y1921">
            <v>1</v>
          </cell>
          <cell r="Z1921">
            <v>0</v>
          </cell>
          <cell r="AA1921">
            <v>2546046.0199999977</v>
          </cell>
          <cell r="AB1921">
            <v>0</v>
          </cell>
          <cell r="AC1921">
            <v>0</v>
          </cell>
          <cell r="AD1921">
            <v>2546046.0199999977</v>
          </cell>
          <cell r="AT1921">
            <v>-2.1752600194219307E-3</v>
          </cell>
          <cell r="AU1921">
            <v>-2.7068276817915427E-3</v>
          </cell>
          <cell r="AV1921">
            <v>2.084643781184807E-2</v>
          </cell>
          <cell r="AW1921">
            <v>8.6356115544176937E-2</v>
          </cell>
          <cell r="AX1921">
            <v>9.7642509114122714E-2</v>
          </cell>
          <cell r="AY1921">
            <v>0.128</v>
          </cell>
          <cell r="AZ1921">
            <v>0.128</v>
          </cell>
          <cell r="BA1921">
            <v>0.128</v>
          </cell>
          <cell r="BF1921">
            <v>-5765.690000000086</v>
          </cell>
          <cell r="BG1921">
            <v>-800.09000000001379</v>
          </cell>
          <cell r="BH1921">
            <v>24398.699999999917</v>
          </cell>
          <cell r="BI1921">
            <v>-5196.2000000000044</v>
          </cell>
          <cell r="BJ1921">
            <v>98434.440000000031</v>
          </cell>
          <cell r="BK1921">
            <v>39888.349999999977</v>
          </cell>
          <cell r="BL1921">
            <v>30000.000000000022</v>
          </cell>
          <cell r="BM1921">
            <v>163126.59000000003</v>
          </cell>
          <cell r="BN1921">
            <v>99595.359296405164</v>
          </cell>
          <cell r="BO1921">
            <v>130560</v>
          </cell>
          <cell r="BP1921">
            <v>64773.890559999709</v>
          </cell>
          <cell r="BQ1921">
            <v>0</v>
          </cell>
          <cell r="BR1921">
            <v>458055.83985640493</v>
          </cell>
          <cell r="BT1921">
            <v>0</v>
          </cell>
          <cell r="CA1921" t="str">
            <v>YUCCA - EBITA - Base</v>
          </cell>
          <cell r="CC1921" t="str">
            <v>YUCCA - EBITA - Base - NE</v>
          </cell>
          <cell r="CD1921" t="str">
            <v/>
          </cell>
          <cell r="CF1921" t="str">
            <v>YUCCA - Base - NE</v>
          </cell>
        </row>
        <row r="1922">
          <cell r="D1922">
            <v>1908</v>
          </cell>
          <cell r="E1922">
            <v>0</v>
          </cell>
          <cell r="F1922">
            <v>0</v>
          </cell>
          <cell r="G1922" t="str">
            <v>YUCCA</v>
          </cell>
          <cell r="H1922" t="str">
            <v>Yucca Mtn Total</v>
          </cell>
          <cell r="I1922" t="str">
            <v>NE</v>
          </cell>
          <cell r="J1922" t="str">
            <v>NE DD and WM Projects</v>
          </cell>
          <cell r="K1922" t="str">
            <v>DOE-EM</v>
          </cell>
          <cell r="L1922" t="str">
            <v>DOE</v>
          </cell>
          <cell r="M1922" t="str">
            <v>NV</v>
          </cell>
          <cell r="N1922" t="str">
            <v>CONUS</v>
          </cell>
          <cell r="O1922">
            <v>0</v>
          </cell>
          <cell r="P1922">
            <v>0</v>
          </cell>
          <cell r="Q1922">
            <v>0</v>
          </cell>
          <cell r="R1922" t="str">
            <v>CPAF</v>
          </cell>
          <cell r="S1922">
            <v>0</v>
          </cell>
          <cell r="T1922">
            <v>1</v>
          </cell>
          <cell r="U1922" t="str">
            <v>EBITA</v>
          </cell>
          <cell r="V1922" t="str">
            <v>Identified - Recompete</v>
          </cell>
          <cell r="W1922">
            <v>0</v>
          </cell>
          <cell r="X1922">
            <v>0</v>
          </cell>
          <cell r="Y1922">
            <v>0</v>
          </cell>
          <cell r="Z1922">
            <v>0</v>
          </cell>
          <cell r="AA1922">
            <v>0</v>
          </cell>
          <cell r="AB1922">
            <v>0</v>
          </cell>
          <cell r="AC1922">
            <v>0</v>
          </cell>
          <cell r="AD1922">
            <v>0</v>
          </cell>
          <cell r="AX1922">
            <v>0</v>
          </cell>
          <cell r="AY1922">
            <v>0</v>
          </cell>
          <cell r="AZ1922">
            <v>0</v>
          </cell>
          <cell r="BA1922">
            <v>0</v>
          </cell>
          <cell r="BI1922">
            <v>0</v>
          </cell>
          <cell r="BJ1922">
            <v>0</v>
          </cell>
          <cell r="BK1922">
            <v>0</v>
          </cell>
          <cell r="BL1922">
            <v>0</v>
          </cell>
          <cell r="BM1922">
            <v>0</v>
          </cell>
          <cell r="BN1922">
            <v>0</v>
          </cell>
          <cell r="BO1922">
            <v>0</v>
          </cell>
          <cell r="BP1922">
            <v>0</v>
          </cell>
          <cell r="BQ1922">
            <v>0</v>
          </cell>
          <cell r="BR1922">
            <v>0</v>
          </cell>
          <cell r="BT1922">
            <v>0</v>
          </cell>
          <cell r="CA1922" t="str">
            <v>YUCCA - EBITA - Identified - Recompete</v>
          </cell>
          <cell r="CC1922" t="str">
            <v>YUCCA - EBITA - Identified - Recompete - NE</v>
          </cell>
          <cell r="CD1922" t="str">
            <v/>
          </cell>
          <cell r="CF1922" t="str">
            <v>YUCCA - Identified - Recompete - NE</v>
          </cell>
        </row>
        <row r="1923">
          <cell r="D1923">
            <v>1909</v>
          </cell>
          <cell r="E1923">
            <v>1</v>
          </cell>
          <cell r="F1923">
            <v>1</v>
          </cell>
          <cell r="G1923" t="str">
            <v>SELLATOT</v>
          </cell>
          <cell r="H1923" t="str">
            <v>Sellafield Total</v>
          </cell>
          <cell r="I1923" t="str">
            <v>NE</v>
          </cell>
          <cell r="J1923" t="str">
            <v>NE International Programs</v>
          </cell>
          <cell r="K1923" t="str">
            <v>UK-NDA</v>
          </cell>
          <cell r="L1923" t="str">
            <v>Non-US Gov't</v>
          </cell>
          <cell r="M1923" t="str">
            <v>UK</v>
          </cell>
          <cell r="N1923" t="str">
            <v>OCONUS</v>
          </cell>
          <cell r="O1923">
            <v>39539</v>
          </cell>
          <cell r="P1923">
            <v>42460</v>
          </cell>
          <cell r="Q1923" t="str">
            <v>Prime</v>
          </cell>
          <cell r="R1923" t="str">
            <v>CPFF</v>
          </cell>
          <cell r="S1923">
            <v>1</v>
          </cell>
          <cell r="T1923">
            <v>1</v>
          </cell>
          <cell r="U1923" t="str">
            <v>REVTOT</v>
          </cell>
          <cell r="V1923" t="str">
            <v>Base</v>
          </cell>
          <cell r="W1923" t="str">
            <v>05 Won</v>
          </cell>
          <cell r="X1923" t="str">
            <v>Active</v>
          </cell>
          <cell r="Y1923">
            <v>1</v>
          </cell>
          <cell r="Z1923">
            <v>0</v>
          </cell>
          <cell r="AA1923">
            <v>0.1942861540342733</v>
          </cell>
          <cell r="AB1923">
            <v>0</v>
          </cell>
          <cell r="AC1923">
            <v>0</v>
          </cell>
          <cell r="AD1923">
            <v>0.1942861540342733</v>
          </cell>
          <cell r="AE1923">
            <v>-0.74158657784892434</v>
          </cell>
          <cell r="AF1923">
            <v>-0.635166971340275</v>
          </cell>
          <cell r="AG1923">
            <v>-8.6680755657206232E-2</v>
          </cell>
          <cell r="AH1923">
            <v>-1</v>
          </cell>
          <cell r="AI1923">
            <v>0</v>
          </cell>
          <cell r="AJ1923">
            <v>0</v>
          </cell>
          <cell r="AK1923">
            <v>0</v>
          </cell>
          <cell r="BB1923">
            <v>0</v>
          </cell>
          <cell r="BC1923">
            <v>0</v>
          </cell>
          <cell r="BD1923">
            <v>0</v>
          </cell>
          <cell r="BE1923">
            <v>0</v>
          </cell>
          <cell r="BF1923">
            <v>11182379.869999999</v>
          </cell>
          <cell r="BG1923">
            <v>2889677.05</v>
          </cell>
          <cell r="BH1923">
            <v>1054249.6299999997</v>
          </cell>
          <cell r="BI1923">
            <v>329820.61999999988</v>
          </cell>
          <cell r="BJ1923">
            <v>410721.2899999998</v>
          </cell>
          <cell r="BK1923">
            <v>222324.56542026997</v>
          </cell>
          <cell r="BL1923">
            <v>0</v>
          </cell>
          <cell r="BM1923">
            <v>962866.47542026965</v>
          </cell>
          <cell r="BN1923">
            <v>0</v>
          </cell>
          <cell r="BO1923">
            <v>0</v>
          </cell>
          <cell r="BP1923">
            <v>0</v>
          </cell>
          <cell r="BQ1923">
            <v>0</v>
          </cell>
          <cell r="BR1923">
            <v>962866.47542026965</v>
          </cell>
          <cell r="BT1923">
            <v>0</v>
          </cell>
          <cell r="CA1923" t="str">
            <v>SELLATOT - REVTOT - Base</v>
          </cell>
          <cell r="CC1923" t="str">
            <v>SELLATOT - REVTOT - Base - NE</v>
          </cell>
          <cell r="CD1923" t="str">
            <v/>
          </cell>
          <cell r="CF1923" t="str">
            <v>SELLATOT - Base - NE</v>
          </cell>
        </row>
        <row r="1924">
          <cell r="D1924">
            <v>1910</v>
          </cell>
          <cell r="E1924">
            <v>1</v>
          </cell>
          <cell r="F1924">
            <v>2</v>
          </cell>
          <cell r="G1924" t="str">
            <v>SELLATOT</v>
          </cell>
          <cell r="H1924" t="str">
            <v>Sellafield Total</v>
          </cell>
          <cell r="I1924" t="str">
            <v>NE</v>
          </cell>
          <cell r="J1924" t="str">
            <v>NE International Programs</v>
          </cell>
          <cell r="K1924" t="str">
            <v>UK-NDA</v>
          </cell>
          <cell r="L1924" t="str">
            <v>Non-US Gov't</v>
          </cell>
          <cell r="M1924" t="str">
            <v>UK</v>
          </cell>
          <cell r="N1924" t="str">
            <v>OCONUS</v>
          </cell>
          <cell r="O1924">
            <v>0</v>
          </cell>
          <cell r="P1924">
            <v>0</v>
          </cell>
          <cell r="Q1924">
            <v>0</v>
          </cell>
          <cell r="R1924" t="str">
            <v>CPFF</v>
          </cell>
          <cell r="S1924">
            <v>1</v>
          </cell>
          <cell r="T1924">
            <v>1</v>
          </cell>
          <cell r="U1924" t="str">
            <v>REVTOT</v>
          </cell>
          <cell r="V1924" t="str">
            <v>Identified - Recompete</v>
          </cell>
          <cell r="W1924">
            <v>0</v>
          </cell>
          <cell r="X1924">
            <v>0</v>
          </cell>
          <cell r="Y1924">
            <v>0</v>
          </cell>
          <cell r="Z1924">
            <v>0</v>
          </cell>
          <cell r="AA1924">
            <v>0</v>
          </cell>
          <cell r="AB1924">
            <v>0</v>
          </cell>
          <cell r="AC1924">
            <v>0</v>
          </cell>
          <cell r="AD1924">
            <v>0</v>
          </cell>
          <cell r="AI1924">
            <v>0</v>
          </cell>
          <cell r="AJ1924">
            <v>0</v>
          </cell>
          <cell r="AK1924">
            <v>0</v>
          </cell>
          <cell r="BB1924">
            <v>0</v>
          </cell>
          <cell r="BC1924">
            <v>0</v>
          </cell>
          <cell r="BD1924">
            <v>0</v>
          </cell>
          <cell r="BE1924">
            <v>0</v>
          </cell>
          <cell r="BI1924">
            <v>0</v>
          </cell>
          <cell r="BJ1924">
            <v>0</v>
          </cell>
          <cell r="BK1924">
            <v>0</v>
          </cell>
          <cell r="BL1924">
            <v>0</v>
          </cell>
          <cell r="BM1924">
            <v>0</v>
          </cell>
          <cell r="BN1924">
            <v>0</v>
          </cell>
          <cell r="BO1924">
            <v>0</v>
          </cell>
          <cell r="BP1924">
            <v>0</v>
          </cell>
          <cell r="BQ1924">
            <v>0</v>
          </cell>
          <cell r="BR1924">
            <v>0</v>
          </cell>
          <cell r="BT1924">
            <v>0</v>
          </cell>
          <cell r="CA1924" t="str">
            <v>SELLATOT - REVTOT - Identified - Recompete</v>
          </cell>
          <cell r="CC1924" t="str">
            <v>SELLATOT - REVTOT - Identified - Recompete - NE</v>
          </cell>
          <cell r="CD1924" t="str">
            <v/>
          </cell>
          <cell r="CF1924" t="str">
            <v>SELLATOT - Identified - Recompete - NE</v>
          </cell>
        </row>
        <row r="1925">
          <cell r="D1925">
            <v>1911</v>
          </cell>
          <cell r="E1925">
            <v>2</v>
          </cell>
          <cell r="F1925">
            <v>3</v>
          </cell>
          <cell r="G1925" t="str">
            <v>SELLATOT</v>
          </cell>
          <cell r="H1925" t="str">
            <v>Sellafield Total</v>
          </cell>
          <cell r="I1925" t="str">
            <v>NE</v>
          </cell>
          <cell r="J1925" t="str">
            <v>NE International Programs</v>
          </cell>
          <cell r="K1925" t="str">
            <v>UK-NDA</v>
          </cell>
          <cell r="L1925" t="str">
            <v>Non-US Gov't</v>
          </cell>
          <cell r="M1925" t="str">
            <v>UK</v>
          </cell>
          <cell r="N1925" t="str">
            <v>OCONUS</v>
          </cell>
          <cell r="O1925">
            <v>39539</v>
          </cell>
          <cell r="P1925">
            <v>42460</v>
          </cell>
          <cell r="Q1925" t="str">
            <v>Prime</v>
          </cell>
          <cell r="R1925" t="str">
            <v>CPFF</v>
          </cell>
          <cell r="S1925">
            <v>1</v>
          </cell>
          <cell r="T1925">
            <v>1</v>
          </cell>
          <cell r="U1925" t="str">
            <v>CONTRACT</v>
          </cell>
          <cell r="V1925" t="str">
            <v>Base</v>
          </cell>
          <cell r="W1925" t="str">
            <v>05 Won</v>
          </cell>
          <cell r="X1925" t="str">
            <v>Active</v>
          </cell>
          <cell r="Y1925">
            <v>1</v>
          </cell>
          <cell r="Z1925">
            <v>0</v>
          </cell>
          <cell r="AA1925">
            <v>0.1942861540342733</v>
          </cell>
          <cell r="AB1925">
            <v>0</v>
          </cell>
          <cell r="AC1925">
            <v>0</v>
          </cell>
          <cell r="AD1925">
            <v>0.1942861540342733</v>
          </cell>
          <cell r="AL1925">
            <v>-0.28516547882217497</v>
          </cell>
          <cell r="AM1925">
            <v>1.4758545422921944E-2</v>
          </cell>
          <cell r="AN1925">
            <v>0.30705753247454665</v>
          </cell>
          <cell r="AO1925">
            <v>8.444879689551836E-2</v>
          </cell>
          <cell r="AP1925">
            <v>-0.17037252755308252</v>
          </cell>
          <cell r="AQ1925">
            <v>-0.17037252755308252</v>
          </cell>
          <cell r="AR1925">
            <v>-0.17037252755308252</v>
          </cell>
          <cell r="AS1925">
            <v>-0.17037252755308252</v>
          </cell>
          <cell r="BF1925">
            <v>-3188828.7100000004</v>
          </cell>
          <cell r="BG1925">
            <v>42647.43000000008</v>
          </cell>
          <cell r="BH1925">
            <v>323715.2900000037</v>
          </cell>
          <cell r="BI1925">
            <v>-25891.360000000015</v>
          </cell>
          <cell r="BJ1925">
            <v>127299.20000000001</v>
          </cell>
          <cell r="BK1925">
            <v>-20094.924579730025</v>
          </cell>
          <cell r="BL1925">
            <v>0</v>
          </cell>
          <cell r="BM1925">
            <v>81312.915420269972</v>
          </cell>
          <cell r="BN1925">
            <v>0</v>
          </cell>
          <cell r="BO1925">
            <v>0</v>
          </cell>
          <cell r="BP1925">
            <v>0</v>
          </cell>
          <cell r="BQ1925">
            <v>0</v>
          </cell>
          <cell r="BR1925">
            <v>81312.915420269972</v>
          </cell>
          <cell r="BT1925">
            <v>0</v>
          </cell>
          <cell r="CA1925" t="str">
            <v>SELLATOT - CONTRACT - Base</v>
          </cell>
          <cell r="CC1925" t="str">
            <v>SELLATOT - CONTRACT - Base - NE</v>
          </cell>
          <cell r="CD1925" t="str">
            <v/>
          </cell>
          <cell r="CF1925" t="str">
            <v>SELLATOT - Base - NE</v>
          </cell>
        </row>
        <row r="1926">
          <cell r="D1926">
            <v>1912</v>
          </cell>
          <cell r="E1926">
            <v>2</v>
          </cell>
          <cell r="F1926">
            <v>4</v>
          </cell>
          <cell r="G1926" t="str">
            <v>SELLATOT</v>
          </cell>
          <cell r="H1926" t="str">
            <v>Sellafield Total</v>
          </cell>
          <cell r="I1926" t="str">
            <v>NE</v>
          </cell>
          <cell r="J1926" t="str">
            <v>NE International Programs</v>
          </cell>
          <cell r="K1926" t="str">
            <v>UK-NDA</v>
          </cell>
          <cell r="L1926" t="str">
            <v>Non-US Gov't</v>
          </cell>
          <cell r="M1926" t="str">
            <v>UK</v>
          </cell>
          <cell r="N1926" t="str">
            <v>OCONUS</v>
          </cell>
          <cell r="O1926">
            <v>0</v>
          </cell>
          <cell r="P1926">
            <v>0</v>
          </cell>
          <cell r="Q1926">
            <v>0</v>
          </cell>
          <cell r="R1926" t="str">
            <v>CPFF</v>
          </cell>
          <cell r="S1926">
            <v>1</v>
          </cell>
          <cell r="T1926">
            <v>1</v>
          </cell>
          <cell r="U1926" t="str">
            <v>CONTRACT</v>
          </cell>
          <cell r="V1926" t="str">
            <v>Identified - Recompete</v>
          </cell>
          <cell r="W1926">
            <v>0</v>
          </cell>
          <cell r="X1926">
            <v>0</v>
          </cell>
          <cell r="Y1926">
            <v>0</v>
          </cell>
          <cell r="Z1926">
            <v>0</v>
          </cell>
          <cell r="AA1926">
            <v>0</v>
          </cell>
          <cell r="AB1926">
            <v>0</v>
          </cell>
          <cell r="AC1926">
            <v>0</v>
          </cell>
          <cell r="AD1926">
            <v>0</v>
          </cell>
          <cell r="AP1926">
            <v>0</v>
          </cell>
          <cell r="AQ1926">
            <v>0</v>
          </cell>
          <cell r="AR1926">
            <v>0</v>
          </cell>
          <cell r="AS1926">
            <v>0</v>
          </cell>
          <cell r="BI1926">
            <v>0</v>
          </cell>
          <cell r="BJ1926">
            <v>0</v>
          </cell>
          <cell r="BK1926">
            <v>0</v>
          </cell>
          <cell r="BL1926">
            <v>0</v>
          </cell>
          <cell r="BM1926">
            <v>0</v>
          </cell>
          <cell r="BN1926">
            <v>0</v>
          </cell>
          <cell r="BO1926">
            <v>0</v>
          </cell>
          <cell r="BP1926">
            <v>0</v>
          </cell>
          <cell r="BQ1926">
            <v>0</v>
          </cell>
          <cell r="BR1926">
            <v>0</v>
          </cell>
          <cell r="BT1926">
            <v>0</v>
          </cell>
          <cell r="CA1926" t="str">
            <v>SELLATOT - CONTRACT - Identified - Recompete</v>
          </cell>
          <cell r="CC1926" t="str">
            <v>SELLATOT - CONTRACT - Identified - Recompete - NE</v>
          </cell>
          <cell r="CD1926" t="str">
            <v/>
          </cell>
          <cell r="CF1926" t="str">
            <v>SELLATOT - Identified - Recompete - NE</v>
          </cell>
        </row>
        <row r="1927">
          <cell r="D1927">
            <v>1913</v>
          </cell>
          <cell r="E1927">
            <v>0</v>
          </cell>
          <cell r="F1927">
            <v>5</v>
          </cell>
          <cell r="G1927" t="str">
            <v>SELLATOT</v>
          </cell>
          <cell r="H1927" t="str">
            <v>Sellafield Total</v>
          </cell>
          <cell r="I1927" t="str">
            <v>NE</v>
          </cell>
          <cell r="J1927" t="str">
            <v>NE International Programs</v>
          </cell>
          <cell r="K1927" t="str">
            <v>UK-NDA</v>
          </cell>
          <cell r="L1927" t="str">
            <v>Non-US Gov't</v>
          </cell>
          <cell r="M1927" t="str">
            <v>UK</v>
          </cell>
          <cell r="N1927" t="str">
            <v>OCONUS</v>
          </cell>
          <cell r="O1927">
            <v>39539</v>
          </cell>
          <cell r="P1927">
            <v>42460</v>
          </cell>
          <cell r="Q1927" t="str">
            <v>Prime</v>
          </cell>
          <cell r="R1927" t="str">
            <v>CPFF</v>
          </cell>
          <cell r="S1927">
            <v>1</v>
          </cell>
          <cell r="T1927">
            <v>1</v>
          </cell>
          <cell r="U1927" t="str">
            <v>EBITA</v>
          </cell>
          <cell r="V1927" t="str">
            <v>Base</v>
          </cell>
          <cell r="W1927" t="str">
            <v>05 Won</v>
          </cell>
          <cell r="X1927" t="str">
            <v>Active</v>
          </cell>
          <cell r="Y1927">
            <v>1</v>
          </cell>
          <cell r="Z1927">
            <v>0</v>
          </cell>
          <cell r="AA1927">
            <v>0.1942861540342733</v>
          </cell>
          <cell r="AB1927">
            <v>0</v>
          </cell>
          <cell r="AC1927">
            <v>0</v>
          </cell>
          <cell r="AD1927">
            <v>0.1942861540342733</v>
          </cell>
          <cell r="AT1927">
            <v>1.131442199271308</v>
          </cell>
          <cell r="AU1927">
            <v>5.463502756614276E-2</v>
          </cell>
          <cell r="AV1927">
            <v>0.30005232593726699</v>
          </cell>
          <cell r="AW1927">
            <v>-0.13089402092301453</v>
          </cell>
          <cell r="AX1927">
            <v>0.80802106030957366</v>
          </cell>
          <cell r="AY1927">
            <v>0.80802106030957366</v>
          </cell>
          <cell r="AZ1927">
            <v>0.80802106030957366</v>
          </cell>
          <cell r="BA1927">
            <v>0.80802106030957366</v>
          </cell>
          <cell r="BF1927">
            <v>12652216.473200001</v>
          </cell>
          <cell r="BG1927">
            <v>157877.58528400009</v>
          </cell>
          <cell r="BH1927">
            <v>316330.05360000301</v>
          </cell>
          <cell r="BI1927">
            <v>-109359.03000000001</v>
          </cell>
          <cell r="BJ1927">
            <v>81283.000000000029</v>
          </cell>
          <cell r="BK1927">
            <v>-66493.044579730034</v>
          </cell>
          <cell r="BL1927">
            <v>-31464.390000000003</v>
          </cell>
          <cell r="BM1927">
            <v>-126033.46457973002</v>
          </cell>
          <cell r="BN1927">
            <v>0</v>
          </cell>
          <cell r="BO1927">
            <v>0</v>
          </cell>
          <cell r="BP1927">
            <v>0</v>
          </cell>
          <cell r="BQ1927">
            <v>0</v>
          </cell>
          <cell r="BR1927">
            <v>-126033.46457973002</v>
          </cell>
          <cell r="BT1927">
            <v>0</v>
          </cell>
          <cell r="CA1927" t="str">
            <v>SELLATOT - EBITA - Base</v>
          </cell>
          <cell r="CC1927" t="str">
            <v>SELLATOT - EBITA - Base - NE</v>
          </cell>
          <cell r="CD1927" t="str">
            <v/>
          </cell>
          <cell r="CF1927" t="str">
            <v>SELLATOT - Base - NE</v>
          </cell>
        </row>
        <row r="1928">
          <cell r="D1928">
            <v>1914</v>
          </cell>
          <cell r="E1928">
            <v>0</v>
          </cell>
          <cell r="F1928">
            <v>0</v>
          </cell>
          <cell r="G1928" t="str">
            <v>SELLATOT</v>
          </cell>
          <cell r="H1928" t="str">
            <v>Sellafield Total</v>
          </cell>
          <cell r="I1928" t="str">
            <v>NE</v>
          </cell>
          <cell r="J1928" t="str">
            <v>NE International Programs</v>
          </cell>
          <cell r="K1928" t="str">
            <v>UK-NDA</v>
          </cell>
          <cell r="L1928" t="str">
            <v>Non-US Gov't</v>
          </cell>
          <cell r="M1928" t="str">
            <v>UK</v>
          </cell>
          <cell r="N1928" t="str">
            <v>OCONUS</v>
          </cell>
          <cell r="O1928">
            <v>0</v>
          </cell>
          <cell r="P1928">
            <v>0</v>
          </cell>
          <cell r="Q1928">
            <v>0</v>
          </cell>
          <cell r="R1928" t="str">
            <v>CPFF</v>
          </cell>
          <cell r="S1928">
            <v>1</v>
          </cell>
          <cell r="T1928">
            <v>1</v>
          </cell>
          <cell r="U1928" t="str">
            <v>EBITA</v>
          </cell>
          <cell r="V1928" t="str">
            <v>Identified - Recompete</v>
          </cell>
          <cell r="W1928">
            <v>0</v>
          </cell>
          <cell r="X1928">
            <v>0</v>
          </cell>
          <cell r="Y1928">
            <v>0</v>
          </cell>
          <cell r="Z1928">
            <v>0</v>
          </cell>
          <cell r="AA1928">
            <v>0</v>
          </cell>
          <cell r="AB1928">
            <v>0</v>
          </cell>
          <cell r="AC1928">
            <v>0</v>
          </cell>
          <cell r="AD1928">
            <v>0</v>
          </cell>
          <cell r="AX1928">
            <v>0</v>
          </cell>
          <cell r="AY1928">
            <v>0</v>
          </cell>
          <cell r="AZ1928">
            <v>0</v>
          </cell>
          <cell r="BA1928">
            <v>0</v>
          </cell>
          <cell r="BI1928">
            <v>0</v>
          </cell>
          <cell r="BJ1928">
            <v>0</v>
          </cell>
          <cell r="BK1928">
            <v>0</v>
          </cell>
          <cell r="BL1928">
            <v>0</v>
          </cell>
          <cell r="BM1928">
            <v>0</v>
          </cell>
          <cell r="BN1928">
            <v>0</v>
          </cell>
          <cell r="BO1928">
            <v>0</v>
          </cell>
          <cell r="BP1928">
            <v>0</v>
          </cell>
          <cell r="BQ1928">
            <v>0</v>
          </cell>
          <cell r="BR1928">
            <v>0</v>
          </cell>
          <cell r="BT1928">
            <v>0</v>
          </cell>
          <cell r="CA1928" t="str">
            <v>SELLATOT - EBITA - Identified - Recompete</v>
          </cell>
          <cell r="CC1928" t="str">
            <v>SELLATOT - EBITA - Identified - Recompete - NE</v>
          </cell>
          <cell r="CD1928" t="str">
            <v/>
          </cell>
          <cell r="CF1928" t="str">
            <v>SELLATOT - Identified - Recompete - NE</v>
          </cell>
        </row>
        <row r="1929">
          <cell r="D1929">
            <v>1915</v>
          </cell>
          <cell r="E1929">
            <v>1</v>
          </cell>
          <cell r="F1929">
            <v>1</v>
          </cell>
          <cell r="G1929" t="str">
            <v>CAACNO</v>
          </cell>
          <cell r="H1929" t="str">
            <v>Canada ACNO</v>
          </cell>
          <cell r="I1929" t="str">
            <v>NE</v>
          </cell>
          <cell r="J1929" t="str">
            <v>NE DD and WM Projects</v>
          </cell>
          <cell r="K1929" t="str">
            <v>Commercial</v>
          </cell>
          <cell r="L1929" t="str">
            <v xml:space="preserve">Commercial </v>
          </cell>
          <cell r="M1929" t="str">
            <v>Canada</v>
          </cell>
          <cell r="N1929" t="str">
            <v>OCONUS</v>
          </cell>
          <cell r="O1929">
            <v>43395</v>
          </cell>
          <cell r="P1929">
            <v>43577</v>
          </cell>
          <cell r="Q1929" t="str">
            <v>Prime</v>
          </cell>
          <cell r="R1929" t="str">
            <v>T&amp;M</v>
          </cell>
          <cell r="S1929">
            <v>0</v>
          </cell>
          <cell r="T1929">
            <v>1</v>
          </cell>
          <cell r="U1929" t="str">
            <v>REVTOT</v>
          </cell>
          <cell r="V1929" t="str">
            <v>Base</v>
          </cell>
          <cell r="W1929" t="str">
            <v>05 Won</v>
          </cell>
          <cell r="X1929" t="str">
            <v>Active</v>
          </cell>
          <cell r="Y1929">
            <v>1</v>
          </cell>
          <cell r="Z1929">
            <v>0</v>
          </cell>
          <cell r="AA1929">
            <v>93304.650000000052</v>
          </cell>
          <cell r="AB1929">
            <v>0</v>
          </cell>
          <cell r="AC1929">
            <v>0</v>
          </cell>
          <cell r="AD1929">
            <v>93304.650000000052</v>
          </cell>
          <cell r="AE1929">
            <v>0</v>
          </cell>
          <cell r="AF1929">
            <v>0</v>
          </cell>
          <cell r="AG1929">
            <v>0</v>
          </cell>
          <cell r="AH1929">
            <v>-1</v>
          </cell>
          <cell r="AI1929">
            <v>0</v>
          </cell>
          <cell r="AJ1929">
            <v>0</v>
          </cell>
          <cell r="AK1929">
            <v>0</v>
          </cell>
          <cell r="BB1929">
            <v>0</v>
          </cell>
          <cell r="BC1929">
            <v>0</v>
          </cell>
          <cell r="BD1929">
            <v>0</v>
          </cell>
          <cell r="BE1929">
            <v>0</v>
          </cell>
          <cell r="BF1929">
            <v>0</v>
          </cell>
          <cell r="BG1929">
            <v>0</v>
          </cell>
          <cell r="BH1929">
            <v>0</v>
          </cell>
          <cell r="BI1929">
            <v>82218.400000000009</v>
          </cell>
          <cell r="BJ1929">
            <v>99089.049999999988</v>
          </cell>
          <cell r="BK1929">
            <v>44147.37</v>
          </cell>
          <cell r="BL1929">
            <v>0</v>
          </cell>
          <cell r="BM1929">
            <v>225454.82</v>
          </cell>
          <cell r="BN1929">
            <v>0</v>
          </cell>
          <cell r="BO1929">
            <v>0</v>
          </cell>
          <cell r="BP1929">
            <v>0</v>
          </cell>
          <cell r="BQ1929">
            <v>0</v>
          </cell>
          <cell r="BR1929">
            <v>225454.82</v>
          </cell>
          <cell r="BT1929">
            <v>0</v>
          </cell>
          <cell r="CA1929" t="str">
            <v>CAACNO - REVTOT - Base</v>
          </cell>
          <cell r="CC1929" t="str">
            <v>CAACNO - REVTOT - Base - NE</v>
          </cell>
          <cell r="CD1929" t="str">
            <v/>
          </cell>
          <cell r="CF1929" t="str">
            <v>CAACNO - Base - NE</v>
          </cell>
        </row>
        <row r="1930">
          <cell r="D1930">
            <v>1916</v>
          </cell>
          <cell r="E1930">
            <v>1</v>
          </cell>
          <cell r="F1930">
            <v>2</v>
          </cell>
          <cell r="G1930" t="str">
            <v>CAACNO</v>
          </cell>
          <cell r="H1930" t="str">
            <v>Canada ACNO</v>
          </cell>
          <cell r="I1930" t="str">
            <v>NE</v>
          </cell>
          <cell r="J1930" t="str">
            <v>NE DD and WM Projects</v>
          </cell>
          <cell r="K1930" t="str">
            <v>Commercial</v>
          </cell>
          <cell r="L1930" t="str">
            <v xml:space="preserve">Commercial </v>
          </cell>
          <cell r="M1930" t="str">
            <v>Canada</v>
          </cell>
          <cell r="N1930" t="str">
            <v>OCONUS</v>
          </cell>
          <cell r="O1930">
            <v>0</v>
          </cell>
          <cell r="P1930">
            <v>0</v>
          </cell>
          <cell r="Q1930">
            <v>0</v>
          </cell>
          <cell r="R1930" t="str">
            <v>T&amp;M</v>
          </cell>
          <cell r="S1930">
            <v>0</v>
          </cell>
          <cell r="T1930">
            <v>1</v>
          </cell>
          <cell r="U1930" t="str">
            <v>REVTOT</v>
          </cell>
          <cell r="V1930" t="str">
            <v>Identified - Recompete</v>
          </cell>
          <cell r="W1930">
            <v>0</v>
          </cell>
          <cell r="X1930">
            <v>0</v>
          </cell>
          <cell r="Y1930">
            <v>0</v>
          </cell>
          <cell r="Z1930">
            <v>0</v>
          </cell>
          <cell r="AA1930">
            <v>0</v>
          </cell>
          <cell r="AB1930">
            <v>0</v>
          </cell>
          <cell r="AC1930">
            <v>0</v>
          </cell>
          <cell r="AD1930">
            <v>0</v>
          </cell>
          <cell r="AI1930">
            <v>0</v>
          </cell>
          <cell r="AJ1930">
            <v>0</v>
          </cell>
          <cell r="AK1930">
            <v>0</v>
          </cell>
          <cell r="BB1930">
            <v>0</v>
          </cell>
          <cell r="BC1930">
            <v>0</v>
          </cell>
          <cell r="BD1930">
            <v>0</v>
          </cell>
          <cell r="BE1930">
            <v>0</v>
          </cell>
          <cell r="BI1930">
            <v>0</v>
          </cell>
          <cell r="BJ1930">
            <v>0</v>
          </cell>
          <cell r="BK1930">
            <v>0</v>
          </cell>
          <cell r="BL1930">
            <v>0</v>
          </cell>
          <cell r="BM1930">
            <v>0</v>
          </cell>
          <cell r="BN1930">
            <v>0</v>
          </cell>
          <cell r="BO1930">
            <v>0</v>
          </cell>
          <cell r="BP1930">
            <v>0</v>
          </cell>
          <cell r="BQ1930">
            <v>0</v>
          </cell>
          <cell r="BR1930">
            <v>0</v>
          </cell>
          <cell r="BT1930">
            <v>0</v>
          </cell>
          <cell r="CA1930" t="str">
            <v>CAACNO - REVTOT - Identified - Recompete</v>
          </cell>
          <cell r="CC1930" t="str">
            <v>CAACNO - REVTOT - Identified - Recompete - NE</v>
          </cell>
          <cell r="CD1930" t="str">
            <v/>
          </cell>
          <cell r="CF1930" t="str">
            <v>CAACNO - Identified - Recompete - NE</v>
          </cell>
        </row>
        <row r="1931">
          <cell r="D1931">
            <v>1917</v>
          </cell>
          <cell r="E1931">
            <v>2</v>
          </cell>
          <cell r="F1931">
            <v>3</v>
          </cell>
          <cell r="G1931" t="str">
            <v>CAACNO</v>
          </cell>
          <cell r="H1931" t="str">
            <v>Canada ACNO</v>
          </cell>
          <cell r="I1931" t="str">
            <v>NE</v>
          </cell>
          <cell r="J1931" t="str">
            <v>NE DD and WM Projects</v>
          </cell>
          <cell r="K1931" t="str">
            <v>Commercial</v>
          </cell>
          <cell r="L1931" t="str">
            <v xml:space="preserve">Commercial </v>
          </cell>
          <cell r="M1931" t="str">
            <v>Canada</v>
          </cell>
          <cell r="N1931" t="str">
            <v>OCONUS</v>
          </cell>
          <cell r="O1931">
            <v>43395</v>
          </cell>
          <cell r="P1931">
            <v>43577</v>
          </cell>
          <cell r="Q1931" t="str">
            <v>Prime</v>
          </cell>
          <cell r="R1931" t="str">
            <v>T&amp;M</v>
          </cell>
          <cell r="S1931">
            <v>0</v>
          </cell>
          <cell r="T1931">
            <v>1</v>
          </cell>
          <cell r="U1931" t="str">
            <v>CONTRACT</v>
          </cell>
          <cell r="V1931" t="str">
            <v>Base</v>
          </cell>
          <cell r="W1931" t="str">
            <v>05 Won</v>
          </cell>
          <cell r="X1931" t="str">
            <v>Active</v>
          </cell>
          <cell r="Y1931">
            <v>1</v>
          </cell>
          <cell r="Z1931">
            <v>0</v>
          </cell>
          <cell r="AA1931">
            <v>93304.650000000052</v>
          </cell>
          <cell r="AB1931">
            <v>0</v>
          </cell>
          <cell r="AC1931">
            <v>0</v>
          </cell>
          <cell r="AD1931">
            <v>93304.650000000052</v>
          </cell>
          <cell r="AL1931">
            <v>0</v>
          </cell>
          <cell r="AM1931">
            <v>0</v>
          </cell>
          <cell r="AN1931">
            <v>0</v>
          </cell>
          <cell r="AO1931">
            <v>8.7667187598828009E-2</v>
          </cell>
          <cell r="AP1931">
            <v>8.7667187598828009E-2</v>
          </cell>
          <cell r="AQ1931">
            <v>8.7667187598828009E-2</v>
          </cell>
          <cell r="AR1931">
            <v>8.7667187598828009E-2</v>
          </cell>
          <cell r="AS1931">
            <v>8.7667187598828009E-2</v>
          </cell>
          <cell r="BF1931">
            <v>0</v>
          </cell>
          <cell r="BG1931">
            <v>0</v>
          </cell>
          <cell r="BH1931">
            <v>0</v>
          </cell>
          <cell r="BI1931">
            <v>8985.6600000000035</v>
          </cell>
          <cell r="BJ1931">
            <v>10435.549999999992</v>
          </cell>
          <cell r="BK1931">
            <v>343.7800000000052</v>
          </cell>
          <cell r="BL1931">
            <v>0</v>
          </cell>
          <cell r="BM1931">
            <v>19764.990000000002</v>
          </cell>
          <cell r="BN1931">
            <v>0</v>
          </cell>
          <cell r="BO1931">
            <v>0</v>
          </cell>
          <cell r="BP1931">
            <v>0</v>
          </cell>
          <cell r="BQ1931">
            <v>0</v>
          </cell>
          <cell r="BR1931">
            <v>19764.990000000002</v>
          </cell>
          <cell r="BT1931">
            <v>0</v>
          </cell>
          <cell r="CA1931" t="str">
            <v>CAACNO - CONTRACT - Base</v>
          </cell>
          <cell r="CC1931" t="str">
            <v>CAACNO - CONTRACT - Base - NE</v>
          </cell>
          <cell r="CD1931" t="str">
            <v/>
          </cell>
          <cell r="CF1931" t="str">
            <v>CAACNO - Base - NE</v>
          </cell>
        </row>
        <row r="1932">
          <cell r="D1932">
            <v>1918</v>
          </cell>
          <cell r="E1932">
            <v>2</v>
          </cell>
          <cell r="F1932">
            <v>4</v>
          </cell>
          <cell r="G1932" t="str">
            <v>CAACNO</v>
          </cell>
          <cell r="H1932" t="str">
            <v>Canada ACNO</v>
          </cell>
          <cell r="I1932" t="str">
            <v>NE</v>
          </cell>
          <cell r="J1932" t="str">
            <v>NE DD and WM Projects</v>
          </cell>
          <cell r="K1932" t="str">
            <v>Commercial</v>
          </cell>
          <cell r="L1932" t="str">
            <v xml:space="preserve">Commercial </v>
          </cell>
          <cell r="M1932" t="str">
            <v>Canada</v>
          </cell>
          <cell r="N1932" t="str">
            <v>OCONUS</v>
          </cell>
          <cell r="O1932">
            <v>0</v>
          </cell>
          <cell r="P1932">
            <v>0</v>
          </cell>
          <cell r="Q1932">
            <v>0</v>
          </cell>
          <cell r="R1932" t="str">
            <v>T&amp;M</v>
          </cell>
          <cell r="S1932">
            <v>0</v>
          </cell>
          <cell r="T1932">
            <v>1</v>
          </cell>
          <cell r="U1932" t="str">
            <v>CONTRACT</v>
          </cell>
          <cell r="V1932" t="str">
            <v>Identified - Recompete</v>
          </cell>
          <cell r="W1932">
            <v>0</v>
          </cell>
          <cell r="X1932">
            <v>0</v>
          </cell>
          <cell r="Y1932">
            <v>0</v>
          </cell>
          <cell r="Z1932">
            <v>0</v>
          </cell>
          <cell r="AA1932">
            <v>0</v>
          </cell>
          <cell r="AB1932">
            <v>0</v>
          </cell>
          <cell r="AC1932">
            <v>0</v>
          </cell>
          <cell r="AD1932">
            <v>0</v>
          </cell>
          <cell r="AP1932">
            <v>0</v>
          </cell>
          <cell r="AQ1932">
            <v>0</v>
          </cell>
          <cell r="AR1932">
            <v>0</v>
          </cell>
          <cell r="AS1932">
            <v>0</v>
          </cell>
          <cell r="BI1932">
            <v>0</v>
          </cell>
          <cell r="BJ1932">
            <v>0</v>
          </cell>
          <cell r="BK1932">
            <v>0</v>
          </cell>
          <cell r="BL1932">
            <v>0</v>
          </cell>
          <cell r="BM1932">
            <v>0</v>
          </cell>
          <cell r="BN1932">
            <v>0</v>
          </cell>
          <cell r="BO1932">
            <v>0</v>
          </cell>
          <cell r="BP1932">
            <v>0</v>
          </cell>
          <cell r="BQ1932">
            <v>0</v>
          </cell>
          <cell r="BR1932">
            <v>0</v>
          </cell>
          <cell r="BT1932">
            <v>0</v>
          </cell>
          <cell r="CA1932" t="str">
            <v>CAACNO - CONTRACT - Identified - Recompete</v>
          </cell>
          <cell r="CC1932" t="str">
            <v>CAACNO - CONTRACT - Identified - Recompete - NE</v>
          </cell>
          <cell r="CD1932" t="str">
            <v/>
          </cell>
          <cell r="CF1932" t="str">
            <v>CAACNO - Identified - Recompete - NE</v>
          </cell>
        </row>
        <row r="1933">
          <cell r="D1933">
            <v>1919</v>
          </cell>
          <cell r="E1933">
            <v>0</v>
          </cell>
          <cell r="F1933">
            <v>5</v>
          </cell>
          <cell r="G1933" t="str">
            <v>CAACNO</v>
          </cell>
          <cell r="H1933" t="str">
            <v>Canada ACNO</v>
          </cell>
          <cell r="I1933" t="str">
            <v>NE</v>
          </cell>
          <cell r="J1933" t="str">
            <v>NE DD and WM Projects</v>
          </cell>
          <cell r="K1933" t="str">
            <v>Commercial</v>
          </cell>
          <cell r="L1933" t="str">
            <v xml:space="preserve">Commercial </v>
          </cell>
          <cell r="M1933" t="str">
            <v>Canada</v>
          </cell>
          <cell r="N1933" t="str">
            <v>OCONUS</v>
          </cell>
          <cell r="O1933">
            <v>43395</v>
          </cell>
          <cell r="P1933">
            <v>43577</v>
          </cell>
          <cell r="Q1933" t="str">
            <v>Prime</v>
          </cell>
          <cell r="R1933" t="str">
            <v>T&amp;M</v>
          </cell>
          <cell r="S1933">
            <v>0</v>
          </cell>
          <cell r="T1933">
            <v>1</v>
          </cell>
          <cell r="U1933" t="str">
            <v>EBITA</v>
          </cell>
          <cell r="V1933" t="str">
            <v>Base</v>
          </cell>
          <cell r="W1933" t="str">
            <v>05 Won</v>
          </cell>
          <cell r="X1933" t="str">
            <v>Active</v>
          </cell>
          <cell r="Y1933">
            <v>1</v>
          </cell>
          <cell r="Z1933">
            <v>0</v>
          </cell>
          <cell r="AA1933">
            <v>93304.650000000052</v>
          </cell>
          <cell r="AB1933">
            <v>0</v>
          </cell>
          <cell r="AC1933">
            <v>0</v>
          </cell>
          <cell r="AD1933">
            <v>93304.650000000052</v>
          </cell>
          <cell r="AT1933">
            <v>0</v>
          </cell>
          <cell r="AU1933">
            <v>0</v>
          </cell>
          <cell r="AV1933">
            <v>0</v>
          </cell>
          <cell r="AW1933">
            <v>-0.13241433472125369</v>
          </cell>
          <cell r="AX1933">
            <v>-0.13141433472125369</v>
          </cell>
          <cell r="AY1933">
            <v>-0.13041433472125369</v>
          </cell>
          <cell r="AZ1933">
            <v>-0.12941433472125369</v>
          </cell>
          <cell r="BA1933">
            <v>-0.12841433472125369</v>
          </cell>
          <cell r="BF1933">
            <v>0</v>
          </cell>
          <cell r="BG1933">
            <v>0</v>
          </cell>
          <cell r="BH1933">
            <v>0</v>
          </cell>
          <cell r="BI1933">
            <v>2.7284841053187847E-12</v>
          </cell>
          <cell r="BJ1933">
            <v>-7.73070496506989E-12</v>
          </cell>
          <cell r="BK1933">
            <v>-4853.4499999999953</v>
          </cell>
          <cell r="BL1933">
            <v>-25000</v>
          </cell>
          <cell r="BM1933">
            <v>-29853.45</v>
          </cell>
          <cell r="BN1933">
            <v>0</v>
          </cell>
          <cell r="BO1933">
            <v>0</v>
          </cell>
          <cell r="BP1933">
            <v>0</v>
          </cell>
          <cell r="BQ1933">
            <v>0</v>
          </cell>
          <cell r="BR1933">
            <v>-29853.45</v>
          </cell>
          <cell r="BT1933">
            <v>0</v>
          </cell>
          <cell r="CA1933" t="str">
            <v>CAACNO - EBITA - Base</v>
          </cell>
          <cell r="CC1933" t="str">
            <v>CAACNO - EBITA - Base - NE</v>
          </cell>
          <cell r="CD1933" t="str">
            <v/>
          </cell>
          <cell r="CF1933" t="str">
            <v>CAACNO - Base - NE</v>
          </cell>
        </row>
        <row r="1934">
          <cell r="D1934">
            <v>1920</v>
          </cell>
          <cell r="E1934">
            <v>0</v>
          </cell>
          <cell r="F1934">
            <v>0</v>
          </cell>
          <cell r="G1934" t="str">
            <v>CAACNO</v>
          </cell>
          <cell r="H1934" t="str">
            <v>Canada ACNO</v>
          </cell>
          <cell r="I1934" t="str">
            <v>NE</v>
          </cell>
          <cell r="J1934" t="str">
            <v>NE DD and WM Projects</v>
          </cell>
          <cell r="K1934" t="str">
            <v>Commercial</v>
          </cell>
          <cell r="L1934" t="str">
            <v xml:space="preserve">Commercial </v>
          </cell>
          <cell r="M1934" t="str">
            <v>Canada</v>
          </cell>
          <cell r="N1934" t="str">
            <v>OCONUS</v>
          </cell>
          <cell r="O1934">
            <v>0</v>
          </cell>
          <cell r="P1934">
            <v>0</v>
          </cell>
          <cell r="Q1934">
            <v>0</v>
          </cell>
          <cell r="R1934" t="str">
            <v>T&amp;M</v>
          </cell>
          <cell r="S1934">
            <v>0</v>
          </cell>
          <cell r="T1934">
            <v>1</v>
          </cell>
          <cell r="U1934" t="str">
            <v>EBITA</v>
          </cell>
          <cell r="V1934" t="str">
            <v>Identified - Recompete</v>
          </cell>
          <cell r="W1934">
            <v>0</v>
          </cell>
          <cell r="X1934">
            <v>0</v>
          </cell>
          <cell r="Y1934">
            <v>0</v>
          </cell>
          <cell r="Z1934">
            <v>0</v>
          </cell>
          <cell r="AA1934">
            <v>0</v>
          </cell>
          <cell r="AB1934">
            <v>0</v>
          </cell>
          <cell r="AC1934">
            <v>0</v>
          </cell>
          <cell r="AD1934">
            <v>0</v>
          </cell>
          <cell r="AX1934">
            <v>0</v>
          </cell>
          <cell r="AY1934">
            <v>0</v>
          </cell>
          <cell r="AZ1934">
            <v>0</v>
          </cell>
          <cell r="BA1934">
            <v>0</v>
          </cell>
          <cell r="BI1934">
            <v>0</v>
          </cell>
          <cell r="BJ1934">
            <v>0</v>
          </cell>
          <cell r="BK1934">
            <v>0</v>
          </cell>
          <cell r="BL1934">
            <v>0</v>
          </cell>
          <cell r="BM1934">
            <v>0</v>
          </cell>
          <cell r="BN1934">
            <v>0</v>
          </cell>
          <cell r="BO1934">
            <v>0</v>
          </cell>
          <cell r="BP1934">
            <v>0</v>
          </cell>
          <cell r="BQ1934">
            <v>0</v>
          </cell>
          <cell r="BR1934">
            <v>0</v>
          </cell>
          <cell r="BT1934">
            <v>0</v>
          </cell>
          <cell r="CA1934" t="str">
            <v>CAACNO - EBITA - Identified - Recompete</v>
          </cell>
          <cell r="CC1934" t="str">
            <v>CAACNO - EBITA - Identified - Recompete - NE</v>
          </cell>
          <cell r="CD1934" t="str">
            <v/>
          </cell>
          <cell r="CF1934" t="str">
            <v>CAACNO - Identified - Recompete - NE</v>
          </cell>
        </row>
        <row r="1935">
          <cell r="D1935">
            <v>1921</v>
          </cell>
          <cell r="E1935">
            <v>1</v>
          </cell>
          <cell r="F1935">
            <v>1</v>
          </cell>
          <cell r="G1935" t="str">
            <v>RIVER</v>
          </cell>
          <cell r="H1935" t="str">
            <v>River Total</v>
          </cell>
          <cell r="I1935" t="str">
            <v>NE</v>
          </cell>
          <cell r="J1935" t="str">
            <v>NE DD and WM Projects</v>
          </cell>
          <cell r="K1935" t="str">
            <v>DOE-EM</v>
          </cell>
          <cell r="L1935" t="str">
            <v>DOE</v>
          </cell>
          <cell r="M1935" t="str">
            <v>WA</v>
          </cell>
          <cell r="N1935" t="str">
            <v>CONUS</v>
          </cell>
          <cell r="O1935">
            <v>38434</v>
          </cell>
          <cell r="P1935">
            <v>42643</v>
          </cell>
          <cell r="Q1935" t="str">
            <v>Prime</v>
          </cell>
          <cell r="R1935" t="str">
            <v>CPAF</v>
          </cell>
          <cell r="S1935">
            <v>1</v>
          </cell>
          <cell r="T1935">
            <v>1</v>
          </cell>
          <cell r="U1935" t="str">
            <v>REVTOT</v>
          </cell>
          <cell r="V1935" t="str">
            <v>Base</v>
          </cell>
          <cell r="W1935" t="str">
            <v>05 Won</v>
          </cell>
          <cell r="X1935" t="str">
            <v>Active</v>
          </cell>
          <cell r="Y1935">
            <v>1</v>
          </cell>
          <cell r="Z1935">
            <v>0</v>
          </cell>
          <cell r="AA1935">
            <v>-0.34999999997307896</v>
          </cell>
          <cell r="AB1935">
            <v>0</v>
          </cell>
          <cell r="AC1935">
            <v>0</v>
          </cell>
          <cell r="AD1935">
            <v>-0.34999999997307896</v>
          </cell>
          <cell r="AE1935">
            <v>-0.21652173130078789</v>
          </cell>
          <cell r="AF1935">
            <v>-1.3135897873747331</v>
          </cell>
          <cell r="AG1935">
            <v>-1.054421868676473</v>
          </cell>
          <cell r="AH1935">
            <v>-1</v>
          </cell>
          <cell r="AI1935">
            <v>0</v>
          </cell>
          <cell r="AJ1935">
            <v>0</v>
          </cell>
          <cell r="AK1935">
            <v>0</v>
          </cell>
          <cell r="BB1935">
            <v>0</v>
          </cell>
          <cell r="BC1935">
            <v>0</v>
          </cell>
          <cell r="BD1935">
            <v>0</v>
          </cell>
          <cell r="BE1935">
            <v>0</v>
          </cell>
          <cell r="BF1935">
            <v>19332317.43</v>
          </cell>
          <cell r="BG1935">
            <v>15146450.590000002</v>
          </cell>
          <cell r="BH1935">
            <v>-4749772.2200000007</v>
          </cell>
          <cell r="BI1935">
            <v>70159.350000000006</v>
          </cell>
          <cell r="BJ1935">
            <v>81643.820000000007</v>
          </cell>
          <cell r="BK1935">
            <v>106688.31</v>
          </cell>
          <cell r="BL1935">
            <v>0</v>
          </cell>
          <cell r="BM1935">
            <v>258491.48</v>
          </cell>
          <cell r="BN1935">
            <v>0</v>
          </cell>
          <cell r="BO1935">
            <v>0</v>
          </cell>
          <cell r="BP1935">
            <v>0</v>
          </cell>
          <cell r="BQ1935">
            <v>0</v>
          </cell>
          <cell r="BR1935">
            <v>258491.48</v>
          </cell>
          <cell r="BT1935">
            <v>0</v>
          </cell>
          <cell r="CA1935" t="str">
            <v>RIVER - REVTOT - Base</v>
          </cell>
          <cell r="CC1935" t="str">
            <v>RIVER - REVTOT - Base - NE</v>
          </cell>
          <cell r="CD1935" t="str">
            <v/>
          </cell>
          <cell r="CF1935" t="str">
            <v>RIVER - Base - NE</v>
          </cell>
        </row>
        <row r="1936">
          <cell r="D1936">
            <v>1922</v>
          </cell>
          <cell r="E1936">
            <v>1</v>
          </cell>
          <cell r="F1936">
            <v>2</v>
          </cell>
          <cell r="G1936" t="str">
            <v>RIVER</v>
          </cell>
          <cell r="H1936" t="str">
            <v>River Total</v>
          </cell>
          <cell r="I1936" t="str">
            <v>NE</v>
          </cell>
          <cell r="J1936" t="str">
            <v>NE DD and WM Projects</v>
          </cell>
          <cell r="K1936" t="str">
            <v>DOE-EM</v>
          </cell>
          <cell r="L1936" t="str">
            <v>DOE</v>
          </cell>
          <cell r="M1936" t="str">
            <v>WA</v>
          </cell>
          <cell r="N1936" t="str">
            <v>CONUS</v>
          </cell>
          <cell r="O1936">
            <v>0</v>
          </cell>
          <cell r="P1936">
            <v>0</v>
          </cell>
          <cell r="Q1936">
            <v>0</v>
          </cell>
          <cell r="R1936" t="str">
            <v>CPAF</v>
          </cell>
          <cell r="S1936">
            <v>1</v>
          </cell>
          <cell r="T1936">
            <v>1</v>
          </cell>
          <cell r="U1936" t="str">
            <v>REVTOT</v>
          </cell>
          <cell r="V1936" t="str">
            <v>Identified - Recompete</v>
          </cell>
          <cell r="W1936">
            <v>0</v>
          </cell>
          <cell r="X1936">
            <v>0</v>
          </cell>
          <cell r="Y1936">
            <v>0</v>
          </cell>
          <cell r="Z1936">
            <v>0</v>
          </cell>
          <cell r="AA1936">
            <v>0</v>
          </cell>
          <cell r="AB1936">
            <v>0</v>
          </cell>
          <cell r="AC1936">
            <v>0</v>
          </cell>
          <cell r="AD1936">
            <v>0</v>
          </cell>
          <cell r="AI1936">
            <v>0</v>
          </cell>
          <cell r="AJ1936">
            <v>0</v>
          </cell>
          <cell r="AK1936">
            <v>0</v>
          </cell>
          <cell r="BB1936">
            <v>0</v>
          </cell>
          <cell r="BC1936">
            <v>0</v>
          </cell>
          <cell r="BD1936">
            <v>0</v>
          </cell>
          <cell r="BE1936">
            <v>0</v>
          </cell>
          <cell r="BI1936">
            <v>0</v>
          </cell>
          <cell r="BJ1936">
            <v>0</v>
          </cell>
          <cell r="BK1936">
            <v>0</v>
          </cell>
          <cell r="BL1936">
            <v>0</v>
          </cell>
          <cell r="BM1936">
            <v>0</v>
          </cell>
          <cell r="BN1936">
            <v>0</v>
          </cell>
          <cell r="BO1936">
            <v>0</v>
          </cell>
          <cell r="BP1936">
            <v>0</v>
          </cell>
          <cell r="BQ1936">
            <v>0</v>
          </cell>
          <cell r="BR1936">
            <v>0</v>
          </cell>
          <cell r="BT1936">
            <v>0</v>
          </cell>
          <cell r="CA1936" t="str">
            <v>RIVER - REVTOT - Identified - Recompete</v>
          </cell>
          <cell r="CC1936" t="str">
            <v>RIVER - REVTOT - Identified - Recompete - NE</v>
          </cell>
          <cell r="CD1936" t="str">
            <v/>
          </cell>
          <cell r="CF1936" t="str">
            <v>RIVER - Identified - Recompete - NE</v>
          </cell>
        </row>
        <row r="1937">
          <cell r="D1937">
            <v>1923</v>
          </cell>
          <cell r="E1937">
            <v>2</v>
          </cell>
          <cell r="F1937">
            <v>3</v>
          </cell>
          <cell r="G1937" t="str">
            <v>RIVER</v>
          </cell>
          <cell r="H1937" t="str">
            <v>River Total</v>
          </cell>
          <cell r="I1937" t="str">
            <v>NE</v>
          </cell>
          <cell r="J1937" t="str">
            <v>NE DD and WM Projects</v>
          </cell>
          <cell r="K1937" t="str">
            <v>DOE-EM</v>
          </cell>
          <cell r="L1937" t="str">
            <v>DOE</v>
          </cell>
          <cell r="M1937" t="str">
            <v>WA</v>
          </cell>
          <cell r="N1937" t="str">
            <v>CONUS</v>
          </cell>
          <cell r="O1937">
            <v>38434</v>
          </cell>
          <cell r="P1937">
            <v>42643</v>
          </cell>
          <cell r="Q1937" t="str">
            <v>Prime</v>
          </cell>
          <cell r="R1937" t="str">
            <v>CPAF</v>
          </cell>
          <cell r="S1937">
            <v>1</v>
          </cell>
          <cell r="T1937">
            <v>1</v>
          </cell>
          <cell r="U1937" t="str">
            <v>CONTRACT</v>
          </cell>
          <cell r="V1937" t="str">
            <v>Base</v>
          </cell>
          <cell r="W1937" t="str">
            <v>05 Won</v>
          </cell>
          <cell r="X1937" t="str">
            <v>Active</v>
          </cell>
          <cell r="Y1937">
            <v>1</v>
          </cell>
          <cell r="Z1937">
            <v>0</v>
          </cell>
          <cell r="AA1937">
            <v>-0.34999999997307896</v>
          </cell>
          <cell r="AB1937">
            <v>0</v>
          </cell>
          <cell r="AC1937">
            <v>0</v>
          </cell>
          <cell r="AD1937">
            <v>-0.34999999997307896</v>
          </cell>
          <cell r="AL1937">
            <v>0.72377255808384477</v>
          </cell>
          <cell r="AM1937">
            <v>0.89560406904545942</v>
          </cell>
          <cell r="AN1937">
            <v>0.29269067980695723</v>
          </cell>
          <cell r="AO1937">
            <v>-1.1002302280910767</v>
          </cell>
          <cell r="AP1937">
            <v>0.86312031342694073</v>
          </cell>
          <cell r="AQ1937">
            <v>0.86312031342694073</v>
          </cell>
          <cell r="AR1937">
            <v>0.86312031342694073</v>
          </cell>
          <cell r="AS1937">
            <v>0.86312031342694073</v>
          </cell>
          <cell r="BF1937">
            <v>13992200.84</v>
          </cell>
          <cell r="BG1937">
            <v>13565222.780000001</v>
          </cell>
          <cell r="BH1937">
            <v>-1390214.0600000005</v>
          </cell>
          <cell r="BI1937">
            <v>-75149.200000000012</v>
          </cell>
          <cell r="BJ1937">
            <v>-73791.749999999985</v>
          </cell>
          <cell r="BK1937">
            <v>-105459.18999999999</v>
          </cell>
          <cell r="BL1937">
            <v>-30000</v>
          </cell>
          <cell r="BM1937">
            <v>-284400.14</v>
          </cell>
          <cell r="BN1937">
            <v>0</v>
          </cell>
          <cell r="BO1937">
            <v>0</v>
          </cell>
          <cell r="BP1937">
            <v>0</v>
          </cell>
          <cell r="BQ1937">
            <v>0</v>
          </cell>
          <cell r="BR1937">
            <v>-284400.14</v>
          </cell>
          <cell r="BT1937">
            <v>0</v>
          </cell>
          <cell r="CA1937" t="str">
            <v>RIVER - CONTRACT - Base</v>
          </cell>
          <cell r="CC1937" t="str">
            <v>RIVER - CONTRACT - Base - NE</v>
          </cell>
          <cell r="CD1937" t="str">
            <v/>
          </cell>
          <cell r="CF1937" t="str">
            <v>RIVER - Base - NE</v>
          </cell>
        </row>
        <row r="1938">
          <cell r="D1938">
            <v>1924</v>
          </cell>
          <cell r="E1938">
            <v>2</v>
          </cell>
          <cell r="F1938">
            <v>4</v>
          </cell>
          <cell r="G1938" t="str">
            <v>RIVER</v>
          </cell>
          <cell r="H1938" t="str">
            <v>River Total</v>
          </cell>
          <cell r="I1938" t="str">
            <v>NE</v>
          </cell>
          <cell r="J1938" t="str">
            <v>NE DD and WM Projects</v>
          </cell>
          <cell r="K1938" t="str">
            <v>DOE-EM</v>
          </cell>
          <cell r="L1938" t="str">
            <v>DOE</v>
          </cell>
          <cell r="M1938" t="str">
            <v>WA</v>
          </cell>
          <cell r="N1938" t="str">
            <v>CONUS</v>
          </cell>
          <cell r="O1938">
            <v>0</v>
          </cell>
          <cell r="P1938">
            <v>0</v>
          </cell>
          <cell r="Q1938">
            <v>0</v>
          </cell>
          <cell r="R1938" t="str">
            <v>CPAF</v>
          </cell>
          <cell r="S1938">
            <v>1</v>
          </cell>
          <cell r="T1938">
            <v>1</v>
          </cell>
          <cell r="U1938" t="str">
            <v>CONTRACT</v>
          </cell>
          <cell r="V1938" t="str">
            <v>Identified - Recompete</v>
          </cell>
          <cell r="W1938">
            <v>0</v>
          </cell>
          <cell r="X1938">
            <v>0</v>
          </cell>
          <cell r="Y1938">
            <v>0</v>
          </cell>
          <cell r="Z1938">
            <v>0</v>
          </cell>
          <cell r="AA1938">
            <v>0</v>
          </cell>
          <cell r="AB1938">
            <v>0</v>
          </cell>
          <cell r="AC1938">
            <v>0</v>
          </cell>
          <cell r="AD1938">
            <v>0</v>
          </cell>
          <cell r="AP1938">
            <v>0</v>
          </cell>
          <cell r="AQ1938">
            <v>0</v>
          </cell>
          <cell r="AR1938">
            <v>0</v>
          </cell>
          <cell r="AS1938">
            <v>0</v>
          </cell>
          <cell r="BI1938">
            <v>0</v>
          </cell>
          <cell r="BJ1938">
            <v>0</v>
          </cell>
          <cell r="BK1938">
            <v>0</v>
          </cell>
          <cell r="BL1938">
            <v>0</v>
          </cell>
          <cell r="BM1938">
            <v>0</v>
          </cell>
          <cell r="BN1938">
            <v>0</v>
          </cell>
          <cell r="BO1938">
            <v>0</v>
          </cell>
          <cell r="BP1938">
            <v>0</v>
          </cell>
          <cell r="BQ1938">
            <v>0</v>
          </cell>
          <cell r="BR1938">
            <v>0</v>
          </cell>
          <cell r="BT1938">
            <v>0</v>
          </cell>
          <cell r="CA1938" t="str">
            <v>RIVER - CONTRACT - Identified - Recompete</v>
          </cell>
          <cell r="CC1938" t="str">
            <v>RIVER - CONTRACT - Identified - Recompete - NE</v>
          </cell>
          <cell r="CD1938" t="str">
            <v/>
          </cell>
          <cell r="CF1938" t="str">
            <v>RIVER - Identified - Recompete - NE</v>
          </cell>
        </row>
        <row r="1939">
          <cell r="D1939">
            <v>1925</v>
          </cell>
          <cell r="E1939">
            <v>0</v>
          </cell>
          <cell r="F1939">
            <v>5</v>
          </cell>
          <cell r="G1939" t="str">
            <v>RIVER</v>
          </cell>
          <cell r="H1939" t="str">
            <v>River Total</v>
          </cell>
          <cell r="I1939" t="str">
            <v>NE</v>
          </cell>
          <cell r="J1939" t="str">
            <v>NE DD and WM Projects</v>
          </cell>
          <cell r="K1939" t="str">
            <v>DOE-EM</v>
          </cell>
          <cell r="L1939" t="str">
            <v>DOE</v>
          </cell>
          <cell r="M1939" t="str">
            <v>WA</v>
          </cell>
          <cell r="N1939" t="str">
            <v>CONUS</v>
          </cell>
          <cell r="O1939">
            <v>38434</v>
          </cell>
          <cell r="P1939">
            <v>42643</v>
          </cell>
          <cell r="Q1939" t="str">
            <v>Prime</v>
          </cell>
          <cell r="R1939" t="str">
            <v>CPAF</v>
          </cell>
          <cell r="S1939">
            <v>1</v>
          </cell>
          <cell r="T1939">
            <v>1</v>
          </cell>
          <cell r="U1939" t="str">
            <v>EBITA</v>
          </cell>
          <cell r="V1939" t="str">
            <v>Base</v>
          </cell>
          <cell r="W1939" t="str">
            <v>05 Won</v>
          </cell>
          <cell r="X1939" t="str">
            <v>Active</v>
          </cell>
          <cell r="Y1939">
            <v>1</v>
          </cell>
          <cell r="Z1939">
            <v>0</v>
          </cell>
          <cell r="AA1939">
            <v>-0.34999999997307896</v>
          </cell>
          <cell r="AB1939">
            <v>0</v>
          </cell>
          <cell r="AC1939">
            <v>0</v>
          </cell>
          <cell r="AD1939">
            <v>-0.34999999997307896</v>
          </cell>
          <cell r="AT1939">
            <v>0.28692577235423555</v>
          </cell>
          <cell r="AU1939">
            <v>0.35013019244926613</v>
          </cell>
          <cell r="AV1939">
            <v>0.1107970331259381</v>
          </cell>
          <cell r="AW1939">
            <v>-0.48522899091296939</v>
          </cell>
          <cell r="AX1939">
            <v>0.34009123354599385</v>
          </cell>
          <cell r="AY1939">
            <v>0.34009123354599385</v>
          </cell>
          <cell r="AZ1939">
            <v>0.34009123354599385</v>
          </cell>
          <cell r="BA1939">
            <v>0.34009123354599385</v>
          </cell>
          <cell r="BF1939">
            <v>5546940.1100000003</v>
          </cell>
          <cell r="BG1939">
            <v>5303229.6600000011</v>
          </cell>
          <cell r="BH1939">
            <v>-526260.67000000062</v>
          </cell>
          <cell r="BI1939">
            <v>-33333.900000000023</v>
          </cell>
          <cell r="BJ1939">
            <v>-33173.959999999992</v>
          </cell>
          <cell r="BK1939">
            <v>-46919.7</v>
          </cell>
          <cell r="BL1939">
            <v>-12000</v>
          </cell>
          <cell r="BM1939">
            <v>-125427.56000000001</v>
          </cell>
          <cell r="BN1939">
            <v>0</v>
          </cell>
          <cell r="BO1939">
            <v>0</v>
          </cell>
          <cell r="BP1939">
            <v>0</v>
          </cell>
          <cell r="BQ1939">
            <v>0</v>
          </cell>
          <cell r="BR1939">
            <v>-125427.56000000001</v>
          </cell>
          <cell r="BT1939">
            <v>0</v>
          </cell>
          <cell r="CA1939" t="str">
            <v>RIVER - EBITA - Base</v>
          </cell>
          <cell r="CC1939" t="str">
            <v>RIVER - EBITA - Base - NE</v>
          </cell>
          <cell r="CD1939" t="str">
            <v/>
          </cell>
          <cell r="CF1939" t="str">
            <v>RIVER - Base - NE</v>
          </cell>
        </row>
        <row r="1940">
          <cell r="D1940">
            <v>1926</v>
          </cell>
          <cell r="E1940">
            <v>0</v>
          </cell>
          <cell r="F1940">
            <v>0</v>
          </cell>
          <cell r="G1940" t="str">
            <v>RIVER</v>
          </cell>
          <cell r="H1940" t="str">
            <v>River Total</v>
          </cell>
          <cell r="I1940" t="str">
            <v>NE</v>
          </cell>
          <cell r="J1940" t="str">
            <v>NE DD and WM Projects</v>
          </cell>
          <cell r="K1940" t="str">
            <v>DOE-EM</v>
          </cell>
          <cell r="L1940" t="str">
            <v>DOE</v>
          </cell>
          <cell r="M1940" t="str">
            <v>WA</v>
          </cell>
          <cell r="N1940" t="str">
            <v>CONUS</v>
          </cell>
          <cell r="O1940">
            <v>0</v>
          </cell>
          <cell r="P1940">
            <v>0</v>
          </cell>
          <cell r="Q1940">
            <v>0</v>
          </cell>
          <cell r="R1940" t="str">
            <v>CPAF</v>
          </cell>
          <cell r="S1940">
            <v>1</v>
          </cell>
          <cell r="T1940">
            <v>1</v>
          </cell>
          <cell r="U1940" t="str">
            <v>EBITA</v>
          </cell>
          <cell r="V1940" t="str">
            <v>Identified - Recompete</v>
          </cell>
          <cell r="W1940">
            <v>0</v>
          </cell>
          <cell r="X1940">
            <v>0</v>
          </cell>
          <cell r="Y1940">
            <v>0</v>
          </cell>
          <cell r="Z1940">
            <v>0</v>
          </cell>
          <cell r="AA1940">
            <v>0</v>
          </cell>
          <cell r="AB1940">
            <v>0</v>
          </cell>
          <cell r="AC1940">
            <v>0</v>
          </cell>
          <cell r="AD1940">
            <v>0</v>
          </cell>
          <cell r="AX1940">
            <v>0</v>
          </cell>
          <cell r="AY1940">
            <v>0</v>
          </cell>
          <cell r="AZ1940">
            <v>0</v>
          </cell>
          <cell r="BA1940">
            <v>0</v>
          </cell>
          <cell r="BI1940">
            <v>0</v>
          </cell>
          <cell r="BJ1940">
            <v>0</v>
          </cell>
          <cell r="BK1940">
            <v>0</v>
          </cell>
          <cell r="BL1940">
            <v>0</v>
          </cell>
          <cell r="BM1940">
            <v>0</v>
          </cell>
          <cell r="BN1940">
            <v>0</v>
          </cell>
          <cell r="BO1940">
            <v>0</v>
          </cell>
          <cell r="BP1940">
            <v>0</v>
          </cell>
          <cell r="BQ1940">
            <v>0</v>
          </cell>
          <cell r="BR1940">
            <v>0</v>
          </cell>
          <cell r="BT1940">
            <v>0</v>
          </cell>
          <cell r="CA1940" t="str">
            <v>RIVER - EBITA - Identified - Recompete</v>
          </cell>
          <cell r="CC1940" t="str">
            <v>RIVER - EBITA - Identified - Recompete - NE</v>
          </cell>
          <cell r="CD1940" t="str">
            <v/>
          </cell>
          <cell r="CF1940" t="str">
            <v>RIVER - Identified - Recompete - NE</v>
          </cell>
        </row>
        <row r="1941">
          <cell r="D1941">
            <v>1927</v>
          </cell>
          <cell r="E1941">
            <v>1</v>
          </cell>
          <cell r="F1941">
            <v>1</v>
          </cell>
          <cell r="G1941" t="str">
            <v>NEX.DDP</v>
          </cell>
          <cell r="H1941" t="str">
            <v>NEX.DDP</v>
          </cell>
          <cell r="I1941" t="str">
            <v>NE</v>
          </cell>
          <cell r="J1941" t="str">
            <v>NE DD and WM Projects</v>
          </cell>
          <cell r="K1941" t="str">
            <v>Other</v>
          </cell>
          <cell r="L1941" t="str">
            <v>Other</v>
          </cell>
          <cell r="M1941" t="str">
            <v>NA_Dom-Intl</v>
          </cell>
          <cell r="N1941" t="str">
            <v>Other</v>
          </cell>
          <cell r="O1941">
            <v>0</v>
          </cell>
          <cell r="P1941">
            <v>0</v>
          </cell>
          <cell r="Q1941" t="str">
            <v>Other</v>
          </cell>
          <cell r="R1941" t="str">
            <v>Multi</v>
          </cell>
          <cell r="S1941">
            <v>1</v>
          </cell>
          <cell r="T1941">
            <v>1</v>
          </cell>
          <cell r="U1941" t="str">
            <v>REVTOT</v>
          </cell>
          <cell r="V1941" t="str">
            <v>Base</v>
          </cell>
          <cell r="W1941" t="str">
            <v>05 Won</v>
          </cell>
          <cell r="X1941" t="str">
            <v>Active</v>
          </cell>
          <cell r="Y1941">
            <v>1</v>
          </cell>
          <cell r="Z1941">
            <v>0</v>
          </cell>
          <cell r="AA1941">
            <v>0</v>
          </cell>
          <cell r="AB1941">
            <v>0</v>
          </cell>
          <cell r="AC1941">
            <v>0</v>
          </cell>
          <cell r="AD1941">
            <v>0</v>
          </cell>
          <cell r="AE1941">
            <v>0</v>
          </cell>
          <cell r="AF1941">
            <v>0</v>
          </cell>
          <cell r="AG1941">
            <v>0</v>
          </cell>
          <cell r="AH1941">
            <v>0</v>
          </cell>
          <cell r="AI1941">
            <v>0</v>
          </cell>
          <cell r="AJ1941">
            <v>0</v>
          </cell>
          <cell r="AK1941">
            <v>0</v>
          </cell>
          <cell r="BB1941">
            <v>0</v>
          </cell>
          <cell r="BC1941">
            <v>0</v>
          </cell>
          <cell r="BD1941">
            <v>0</v>
          </cell>
          <cell r="BE1941">
            <v>0</v>
          </cell>
          <cell r="BF1941">
            <v>0</v>
          </cell>
          <cell r="BG1941">
            <v>0</v>
          </cell>
          <cell r="BH1941">
            <v>0</v>
          </cell>
          <cell r="BI1941">
            <v>0</v>
          </cell>
          <cell r="BJ1941">
            <v>0</v>
          </cell>
          <cell r="BK1941">
            <v>0</v>
          </cell>
          <cell r="BL1941">
            <v>0</v>
          </cell>
          <cell r="BM1941">
            <v>0</v>
          </cell>
          <cell r="BN1941">
            <v>0</v>
          </cell>
          <cell r="BO1941">
            <v>0</v>
          </cell>
          <cell r="BP1941">
            <v>0</v>
          </cell>
          <cell r="BQ1941">
            <v>0</v>
          </cell>
          <cell r="BR1941">
            <v>0</v>
          </cell>
          <cell r="BT1941">
            <v>0</v>
          </cell>
          <cell r="CA1941" t="str">
            <v>NEX.DDP - REVTOT - Base</v>
          </cell>
          <cell r="CC1941" t="str">
            <v>NEX.DDP - REVTOT - Base - NE</v>
          </cell>
          <cell r="CD1941" t="str">
            <v/>
          </cell>
          <cell r="CF1941" t="str">
            <v>NEX.DDP - Base - NE</v>
          </cell>
        </row>
        <row r="1942">
          <cell r="D1942">
            <v>1928</v>
          </cell>
          <cell r="E1942">
            <v>1</v>
          </cell>
          <cell r="F1942">
            <v>2</v>
          </cell>
          <cell r="G1942" t="str">
            <v>NEX.DDP</v>
          </cell>
          <cell r="H1942" t="str">
            <v>NEX.DDP</v>
          </cell>
          <cell r="I1942" t="str">
            <v>NE</v>
          </cell>
          <cell r="J1942" t="str">
            <v>NE DD and WM Projects</v>
          </cell>
          <cell r="K1942" t="str">
            <v>Other</v>
          </cell>
          <cell r="L1942" t="str">
            <v>Other</v>
          </cell>
          <cell r="M1942" t="str">
            <v>NA_Dom-Intl</v>
          </cell>
          <cell r="N1942" t="str">
            <v>Other</v>
          </cell>
          <cell r="O1942">
            <v>0</v>
          </cell>
          <cell r="P1942">
            <v>0</v>
          </cell>
          <cell r="Q1942">
            <v>0</v>
          </cell>
          <cell r="R1942" t="str">
            <v>Multi</v>
          </cell>
          <cell r="S1942">
            <v>1</v>
          </cell>
          <cell r="T1942">
            <v>1</v>
          </cell>
          <cell r="U1942" t="str">
            <v>REVTOT</v>
          </cell>
          <cell r="V1942" t="str">
            <v>Identified - Recompete</v>
          </cell>
          <cell r="W1942">
            <v>0</v>
          </cell>
          <cell r="X1942">
            <v>0</v>
          </cell>
          <cell r="Y1942">
            <v>0</v>
          </cell>
          <cell r="Z1942">
            <v>0</v>
          </cell>
          <cell r="AA1942">
            <v>0</v>
          </cell>
          <cell r="AB1942">
            <v>0</v>
          </cell>
          <cell r="AC1942">
            <v>0</v>
          </cell>
          <cell r="AD1942">
            <v>0</v>
          </cell>
          <cell r="AI1942">
            <v>0</v>
          </cell>
          <cell r="AJ1942">
            <v>0</v>
          </cell>
          <cell r="AK1942">
            <v>0</v>
          </cell>
          <cell r="BB1942">
            <v>0</v>
          </cell>
          <cell r="BC1942">
            <v>0</v>
          </cell>
          <cell r="BD1942">
            <v>0</v>
          </cell>
          <cell r="BE1942">
            <v>0</v>
          </cell>
          <cell r="BI1942">
            <v>0</v>
          </cell>
          <cell r="BJ1942">
            <v>0</v>
          </cell>
          <cell r="BK1942">
            <v>0</v>
          </cell>
          <cell r="BL1942">
            <v>0</v>
          </cell>
          <cell r="BM1942">
            <v>0</v>
          </cell>
          <cell r="BN1942">
            <v>0</v>
          </cell>
          <cell r="BO1942">
            <v>0</v>
          </cell>
          <cell r="BP1942">
            <v>0</v>
          </cell>
          <cell r="BQ1942">
            <v>0</v>
          </cell>
          <cell r="BR1942">
            <v>0</v>
          </cell>
          <cell r="BT1942">
            <v>0</v>
          </cell>
          <cell r="CA1942" t="str">
            <v>NEX.DDP - REVTOT - Identified - Recompete</v>
          </cell>
          <cell r="CC1942" t="str">
            <v>NEX.DDP - REVTOT - Identified - Recompete - NE</v>
          </cell>
          <cell r="CD1942" t="str">
            <v/>
          </cell>
          <cell r="CF1942" t="str">
            <v>NEX.DDP - Identified - Recompete - NE</v>
          </cell>
        </row>
        <row r="1943">
          <cell r="D1943">
            <v>1929</v>
          </cell>
          <cell r="E1943">
            <v>2</v>
          </cell>
          <cell r="F1943">
            <v>3</v>
          </cell>
          <cell r="G1943" t="str">
            <v>NEX.DDP</v>
          </cell>
          <cell r="H1943" t="str">
            <v>NEX.DDP</v>
          </cell>
          <cell r="I1943" t="str">
            <v>NE</v>
          </cell>
          <cell r="J1943" t="str">
            <v>NE DD and WM Projects</v>
          </cell>
          <cell r="K1943" t="str">
            <v>Other</v>
          </cell>
          <cell r="L1943" t="str">
            <v>Other</v>
          </cell>
          <cell r="M1943" t="str">
            <v>NA_Dom-Intl</v>
          </cell>
          <cell r="N1943" t="str">
            <v>Other</v>
          </cell>
          <cell r="O1943">
            <v>0</v>
          </cell>
          <cell r="P1943">
            <v>0</v>
          </cell>
          <cell r="Q1943" t="str">
            <v>Other</v>
          </cell>
          <cell r="R1943" t="str">
            <v>Multi</v>
          </cell>
          <cell r="S1943">
            <v>1</v>
          </cell>
          <cell r="T1943">
            <v>1</v>
          </cell>
          <cell r="U1943" t="str">
            <v>CONTRACT</v>
          </cell>
          <cell r="V1943" t="str">
            <v>Base</v>
          </cell>
          <cell r="W1943" t="str">
            <v>05 Won</v>
          </cell>
          <cell r="X1943" t="str">
            <v>Active</v>
          </cell>
          <cell r="Y1943">
            <v>1</v>
          </cell>
          <cell r="Z1943">
            <v>0</v>
          </cell>
          <cell r="AA1943">
            <v>0</v>
          </cell>
          <cell r="AB1943">
            <v>0</v>
          </cell>
          <cell r="AC1943">
            <v>0</v>
          </cell>
          <cell r="AD1943">
            <v>0</v>
          </cell>
          <cell r="AL1943">
            <v>0</v>
          </cell>
          <cell r="AM1943">
            <v>0</v>
          </cell>
          <cell r="AN1943">
            <v>0</v>
          </cell>
          <cell r="AO1943">
            <v>0</v>
          </cell>
          <cell r="AP1943">
            <v>0</v>
          </cell>
          <cell r="AQ1943">
            <v>0</v>
          </cell>
          <cell r="AR1943">
            <v>0</v>
          </cell>
          <cell r="AS1943">
            <v>0</v>
          </cell>
          <cell r="BF1943">
            <v>0</v>
          </cell>
          <cell r="BG1943">
            <v>0</v>
          </cell>
          <cell r="BH1943">
            <v>0</v>
          </cell>
          <cell r="BI1943">
            <v>0</v>
          </cell>
          <cell r="BJ1943">
            <v>0</v>
          </cell>
          <cell r="BK1943">
            <v>0</v>
          </cell>
          <cell r="BL1943">
            <v>0</v>
          </cell>
          <cell r="BM1943">
            <v>0</v>
          </cell>
          <cell r="BN1943">
            <v>0</v>
          </cell>
          <cell r="BO1943">
            <v>0</v>
          </cell>
          <cell r="BP1943">
            <v>0</v>
          </cell>
          <cell r="BQ1943">
            <v>0</v>
          </cell>
          <cell r="BR1943">
            <v>0</v>
          </cell>
          <cell r="BT1943">
            <v>0</v>
          </cell>
          <cell r="CA1943" t="str">
            <v>NEX.DDP - CONTRACT - Base</v>
          </cell>
          <cell r="CC1943" t="str">
            <v>NEX.DDP - CONTRACT - Base - NE</v>
          </cell>
          <cell r="CD1943" t="str">
            <v/>
          </cell>
          <cell r="CF1943" t="str">
            <v>NEX.DDP - Base - NE</v>
          </cell>
        </row>
        <row r="1944">
          <cell r="D1944">
            <v>1930</v>
          </cell>
          <cell r="E1944">
            <v>2</v>
          </cell>
          <cell r="F1944">
            <v>4</v>
          </cell>
          <cell r="G1944" t="str">
            <v>NEX.DDP</v>
          </cell>
          <cell r="H1944" t="str">
            <v>NEX.DDP</v>
          </cell>
          <cell r="I1944" t="str">
            <v>NE</v>
          </cell>
          <cell r="J1944" t="str">
            <v>NE DD and WM Projects</v>
          </cell>
          <cell r="K1944" t="str">
            <v>Other</v>
          </cell>
          <cell r="L1944" t="str">
            <v>Other</v>
          </cell>
          <cell r="M1944" t="str">
            <v>NA_Dom-Intl</v>
          </cell>
          <cell r="N1944" t="str">
            <v>Other</v>
          </cell>
          <cell r="O1944">
            <v>0</v>
          </cell>
          <cell r="P1944">
            <v>0</v>
          </cell>
          <cell r="Q1944">
            <v>0</v>
          </cell>
          <cell r="R1944" t="str">
            <v>Multi</v>
          </cell>
          <cell r="S1944">
            <v>1</v>
          </cell>
          <cell r="T1944">
            <v>1</v>
          </cell>
          <cell r="U1944" t="str">
            <v>CONTRACT</v>
          </cell>
          <cell r="V1944" t="str">
            <v>Identified - Recompete</v>
          </cell>
          <cell r="W1944">
            <v>0</v>
          </cell>
          <cell r="X1944">
            <v>0</v>
          </cell>
          <cell r="Y1944">
            <v>0</v>
          </cell>
          <cell r="Z1944">
            <v>0</v>
          </cell>
          <cell r="AA1944">
            <v>0</v>
          </cell>
          <cell r="AB1944">
            <v>0</v>
          </cell>
          <cell r="AC1944">
            <v>0</v>
          </cell>
          <cell r="AD1944">
            <v>0</v>
          </cell>
          <cell r="AP1944">
            <v>0</v>
          </cell>
          <cell r="AQ1944">
            <v>0</v>
          </cell>
          <cell r="AR1944">
            <v>0</v>
          </cell>
          <cell r="AS1944">
            <v>0</v>
          </cell>
          <cell r="BI1944">
            <v>0</v>
          </cell>
          <cell r="BJ1944">
            <v>0</v>
          </cell>
          <cell r="BK1944">
            <v>0</v>
          </cell>
          <cell r="BL1944">
            <v>0</v>
          </cell>
          <cell r="BM1944">
            <v>0</v>
          </cell>
          <cell r="BN1944">
            <v>0</v>
          </cell>
          <cell r="BO1944">
            <v>0</v>
          </cell>
          <cell r="BP1944">
            <v>0</v>
          </cell>
          <cell r="BQ1944">
            <v>0</v>
          </cell>
          <cell r="BR1944">
            <v>0</v>
          </cell>
          <cell r="BT1944">
            <v>0</v>
          </cell>
          <cell r="CA1944" t="str">
            <v>NEX.DDP - CONTRACT - Identified - Recompete</v>
          </cell>
          <cell r="CC1944" t="str">
            <v>NEX.DDP - CONTRACT - Identified - Recompete - NE</v>
          </cell>
          <cell r="CD1944" t="str">
            <v/>
          </cell>
          <cell r="CF1944" t="str">
            <v>NEX.DDP - Identified - Recompete - NE</v>
          </cell>
        </row>
        <row r="1945">
          <cell r="D1945">
            <v>1931</v>
          </cell>
          <cell r="E1945">
            <v>0</v>
          </cell>
          <cell r="F1945">
            <v>5</v>
          </cell>
          <cell r="G1945" t="str">
            <v>NEX.DDP</v>
          </cell>
          <cell r="H1945" t="str">
            <v>NEX.DDP</v>
          </cell>
          <cell r="I1945" t="str">
            <v>NE</v>
          </cell>
          <cell r="J1945" t="str">
            <v>NE DD and WM Projects</v>
          </cell>
          <cell r="K1945" t="str">
            <v>Other</v>
          </cell>
          <cell r="L1945" t="str">
            <v>Other</v>
          </cell>
          <cell r="M1945" t="str">
            <v>NA_Dom-Intl</v>
          </cell>
          <cell r="N1945" t="str">
            <v>Other</v>
          </cell>
          <cell r="O1945">
            <v>0</v>
          </cell>
          <cell r="P1945">
            <v>0</v>
          </cell>
          <cell r="Q1945" t="str">
            <v>Other</v>
          </cell>
          <cell r="R1945" t="str">
            <v>Multi</v>
          </cell>
          <cell r="S1945">
            <v>1</v>
          </cell>
          <cell r="T1945">
            <v>1</v>
          </cell>
          <cell r="U1945" t="str">
            <v>EBITA</v>
          </cell>
          <cell r="V1945" t="str">
            <v>Base</v>
          </cell>
          <cell r="W1945" t="str">
            <v>05 Won</v>
          </cell>
          <cell r="X1945" t="str">
            <v>Active</v>
          </cell>
          <cell r="Y1945">
            <v>1</v>
          </cell>
          <cell r="Z1945">
            <v>0</v>
          </cell>
          <cell r="AA1945">
            <v>0</v>
          </cell>
          <cell r="AB1945">
            <v>0</v>
          </cell>
          <cell r="AC1945">
            <v>0</v>
          </cell>
          <cell r="AD1945">
            <v>0</v>
          </cell>
          <cell r="AT1945">
            <v>0</v>
          </cell>
          <cell r="AU1945">
            <v>0</v>
          </cell>
          <cell r="AV1945">
            <v>0</v>
          </cell>
          <cell r="AW1945">
            <v>0</v>
          </cell>
          <cell r="AX1945">
            <v>0</v>
          </cell>
          <cell r="AY1945">
            <v>0</v>
          </cell>
          <cell r="AZ1945">
            <v>0</v>
          </cell>
          <cell r="BA1945">
            <v>0</v>
          </cell>
          <cell r="BF1945">
            <v>-28860.090000000004</v>
          </cell>
          <cell r="BG1945">
            <v>-67121.759999999995</v>
          </cell>
          <cell r="BH1945">
            <v>-232535.9</v>
          </cell>
          <cell r="BI1945">
            <v>-146337.91</v>
          </cell>
          <cell r="BJ1945">
            <v>-17819.2</v>
          </cell>
          <cell r="BK1945">
            <v>-17113.339999999997</v>
          </cell>
          <cell r="BL1945">
            <v>0</v>
          </cell>
          <cell r="BM1945">
            <v>-181270.45</v>
          </cell>
          <cell r="BN1945">
            <v>0</v>
          </cell>
          <cell r="BO1945">
            <v>0</v>
          </cell>
          <cell r="BP1945">
            <v>0</v>
          </cell>
          <cell r="BQ1945">
            <v>0</v>
          </cell>
          <cell r="BR1945">
            <v>-181270.45</v>
          </cell>
          <cell r="BT1945">
            <v>0</v>
          </cell>
          <cell r="CA1945" t="str">
            <v>NEX.DDP - EBITA - Base</v>
          </cell>
          <cell r="CC1945" t="str">
            <v>NEX.DDP - EBITA - Base - NE</v>
          </cell>
          <cell r="CD1945" t="str">
            <v/>
          </cell>
          <cell r="CF1945" t="str">
            <v>NEX.DDP - Base - NE</v>
          </cell>
        </row>
        <row r="1946">
          <cell r="D1946">
            <v>1932</v>
          </cell>
          <cell r="E1946">
            <v>0</v>
          </cell>
          <cell r="F1946">
            <v>0</v>
          </cell>
          <cell r="G1946" t="str">
            <v>NEX.DDP</v>
          </cell>
          <cell r="H1946" t="str">
            <v>NEX.DDP</v>
          </cell>
          <cell r="I1946" t="str">
            <v>NE</v>
          </cell>
          <cell r="J1946" t="str">
            <v>NE DD and WM Projects</v>
          </cell>
          <cell r="K1946" t="str">
            <v>Other</v>
          </cell>
          <cell r="L1946" t="str">
            <v>Other</v>
          </cell>
          <cell r="M1946" t="str">
            <v>NA_Dom-Intl</v>
          </cell>
          <cell r="N1946" t="str">
            <v>Other</v>
          </cell>
          <cell r="O1946">
            <v>0</v>
          </cell>
          <cell r="P1946">
            <v>0</v>
          </cell>
          <cell r="Q1946">
            <v>0</v>
          </cell>
          <cell r="R1946" t="str">
            <v>Multi</v>
          </cell>
          <cell r="S1946">
            <v>1</v>
          </cell>
          <cell r="T1946">
            <v>1</v>
          </cell>
          <cell r="U1946" t="str">
            <v>EBITA</v>
          </cell>
          <cell r="V1946" t="str">
            <v>Identified - Recompete</v>
          </cell>
          <cell r="W1946">
            <v>0</v>
          </cell>
          <cell r="X1946">
            <v>0</v>
          </cell>
          <cell r="Y1946">
            <v>0</v>
          </cell>
          <cell r="Z1946">
            <v>0</v>
          </cell>
          <cell r="AA1946">
            <v>0</v>
          </cell>
          <cell r="AB1946">
            <v>0</v>
          </cell>
          <cell r="AC1946">
            <v>0</v>
          </cell>
          <cell r="AD1946">
            <v>0</v>
          </cell>
          <cell r="AX1946">
            <v>0</v>
          </cell>
          <cell r="AY1946">
            <v>0</v>
          </cell>
          <cell r="AZ1946">
            <v>0</v>
          </cell>
          <cell r="BA1946">
            <v>0</v>
          </cell>
          <cell r="BI1946">
            <v>0</v>
          </cell>
          <cell r="BJ1946">
            <v>0</v>
          </cell>
          <cell r="BK1946">
            <v>0</v>
          </cell>
          <cell r="BL1946">
            <v>0</v>
          </cell>
          <cell r="BM1946">
            <v>0</v>
          </cell>
          <cell r="BN1946">
            <v>0</v>
          </cell>
          <cell r="BO1946">
            <v>0</v>
          </cell>
          <cell r="BP1946">
            <v>0</v>
          </cell>
          <cell r="BQ1946">
            <v>0</v>
          </cell>
          <cell r="BR1946">
            <v>0</v>
          </cell>
          <cell r="BT1946">
            <v>0</v>
          </cell>
          <cell r="CA1946" t="str">
            <v>NEX.DDP - EBITA - Identified - Recompete</v>
          </cell>
          <cell r="CC1946" t="str">
            <v>NEX.DDP - EBITA - Identified - Recompete - NE</v>
          </cell>
          <cell r="CD1946" t="str">
            <v/>
          </cell>
          <cell r="CF1946" t="str">
            <v>NEX.DDP - Identified - Recompete - NE</v>
          </cell>
        </row>
        <row r="1947">
          <cell r="D1947">
            <v>1933</v>
          </cell>
          <cell r="E1947">
            <v>1</v>
          </cell>
          <cell r="F1947">
            <v>1</v>
          </cell>
          <cell r="G1947" t="str">
            <v>WTCC</v>
          </cell>
          <cell r="H1947" t="str">
            <v>WTCC Total</v>
          </cell>
          <cell r="I1947" t="str">
            <v>NE</v>
          </cell>
          <cell r="J1947" t="str">
            <v>NE HLW &amp; NNSA Operations</v>
          </cell>
          <cell r="K1947" t="str">
            <v>DOE-EM</v>
          </cell>
          <cell r="L1947" t="str">
            <v>DOE</v>
          </cell>
          <cell r="M1947" t="str">
            <v>WA</v>
          </cell>
          <cell r="N1947" t="str">
            <v>CONUS</v>
          </cell>
          <cell r="O1947">
            <v>42746</v>
          </cell>
          <cell r="P1947">
            <v>44926</v>
          </cell>
          <cell r="Q1947" t="str">
            <v>Prime</v>
          </cell>
          <cell r="R1947" t="str">
            <v>CPAF</v>
          </cell>
          <cell r="S1947">
            <v>0</v>
          </cell>
          <cell r="T1947">
            <v>1</v>
          </cell>
          <cell r="U1947" t="str">
            <v>REVTOT</v>
          </cell>
          <cell r="V1947" t="str">
            <v>Base</v>
          </cell>
          <cell r="W1947" t="str">
            <v>05 Won</v>
          </cell>
          <cell r="X1947" t="str">
            <v>Active</v>
          </cell>
          <cell r="Y1947">
            <v>1</v>
          </cell>
          <cell r="Z1947">
            <v>0</v>
          </cell>
          <cell r="AA1947">
            <v>-0.12000000000443833</v>
          </cell>
          <cell r="AB1947">
            <v>0</v>
          </cell>
          <cell r="AC1947">
            <v>0</v>
          </cell>
          <cell r="AD1947">
            <v>-0.12000000000443833</v>
          </cell>
          <cell r="AE1947">
            <v>0</v>
          </cell>
          <cell r="AF1947">
            <v>0</v>
          </cell>
          <cell r="AG1947">
            <v>-0.47997383572683816</v>
          </cell>
          <cell r="AH1947">
            <v>-1</v>
          </cell>
          <cell r="AI1947">
            <v>0</v>
          </cell>
          <cell r="AJ1947">
            <v>0</v>
          </cell>
          <cell r="AK1947">
            <v>0</v>
          </cell>
          <cell r="BB1947">
            <v>96000</v>
          </cell>
          <cell r="BC1947">
            <v>96000</v>
          </cell>
          <cell r="BD1947">
            <v>96000</v>
          </cell>
          <cell r="BE1947">
            <v>96000</v>
          </cell>
          <cell r="BF1947">
            <v>0</v>
          </cell>
          <cell r="BG1947">
            <v>0</v>
          </cell>
          <cell r="BH1947">
            <v>72985.01999999999</v>
          </cell>
          <cell r="BI1947">
            <v>9558.98</v>
          </cell>
          <cell r="BJ1947">
            <v>991.02</v>
          </cell>
          <cell r="BK1947">
            <v>3404.12</v>
          </cell>
          <cell r="BL1947">
            <v>24000</v>
          </cell>
          <cell r="BM1947">
            <v>37954.119999999995</v>
          </cell>
          <cell r="BN1947">
            <v>0</v>
          </cell>
          <cell r="BO1947">
            <v>0</v>
          </cell>
          <cell r="BP1947">
            <v>0</v>
          </cell>
          <cell r="BQ1947">
            <v>0</v>
          </cell>
          <cell r="BR1947">
            <v>37954.119999999995</v>
          </cell>
          <cell r="BT1947">
            <v>0</v>
          </cell>
          <cell r="CA1947" t="str">
            <v>WTCC - REVTOT - Base</v>
          </cell>
          <cell r="CC1947" t="str">
            <v>WTCC - REVTOT - Base - NE</v>
          </cell>
          <cell r="CD1947" t="str">
            <v/>
          </cell>
          <cell r="CF1947" t="str">
            <v>WTCC - Base - NE</v>
          </cell>
        </row>
        <row r="1948">
          <cell r="D1948">
            <v>1934</v>
          </cell>
          <cell r="E1948">
            <v>1</v>
          </cell>
          <cell r="F1948">
            <v>2</v>
          </cell>
          <cell r="G1948" t="str">
            <v>WTCC</v>
          </cell>
          <cell r="H1948" t="str">
            <v>WTCC Total</v>
          </cell>
          <cell r="I1948" t="str">
            <v>NE</v>
          </cell>
          <cell r="J1948" t="str">
            <v>NE HLW &amp; NNSA Operations</v>
          </cell>
          <cell r="K1948" t="str">
            <v>DOE-EM</v>
          </cell>
          <cell r="L1948" t="str">
            <v>DOE</v>
          </cell>
          <cell r="M1948" t="str">
            <v>WA</v>
          </cell>
          <cell r="N1948" t="str">
            <v>CONUS</v>
          </cell>
          <cell r="O1948">
            <v>0</v>
          </cell>
          <cell r="P1948">
            <v>0</v>
          </cell>
          <cell r="Q1948">
            <v>0</v>
          </cell>
          <cell r="R1948" t="str">
            <v>CPAF</v>
          </cell>
          <cell r="S1948">
            <v>0</v>
          </cell>
          <cell r="T1948">
            <v>1</v>
          </cell>
          <cell r="U1948" t="str">
            <v>REVTOT</v>
          </cell>
          <cell r="V1948" t="str">
            <v>Identified - Recompete</v>
          </cell>
          <cell r="W1948">
            <v>0</v>
          </cell>
          <cell r="X1948">
            <v>0</v>
          </cell>
          <cell r="Y1948">
            <v>0</v>
          </cell>
          <cell r="Z1948">
            <v>0</v>
          </cell>
          <cell r="AA1948">
            <v>0</v>
          </cell>
          <cell r="AB1948">
            <v>0</v>
          </cell>
          <cell r="AC1948">
            <v>0</v>
          </cell>
          <cell r="AD1948">
            <v>0</v>
          </cell>
          <cell r="AI1948">
            <v>0</v>
          </cell>
          <cell r="AJ1948">
            <v>0</v>
          </cell>
          <cell r="AK1948">
            <v>0</v>
          </cell>
          <cell r="BB1948">
            <v>0</v>
          </cell>
          <cell r="BC1948">
            <v>0</v>
          </cell>
          <cell r="BD1948">
            <v>0</v>
          </cell>
          <cell r="BE1948">
            <v>0</v>
          </cell>
          <cell r="BI1948">
            <v>0</v>
          </cell>
          <cell r="BJ1948">
            <v>0</v>
          </cell>
          <cell r="BK1948">
            <v>0</v>
          </cell>
          <cell r="BL1948">
            <v>0</v>
          </cell>
          <cell r="BM1948">
            <v>0</v>
          </cell>
          <cell r="BN1948">
            <v>0</v>
          </cell>
          <cell r="BO1948">
            <v>0</v>
          </cell>
          <cell r="BP1948">
            <v>0</v>
          </cell>
          <cell r="BQ1948">
            <v>0</v>
          </cell>
          <cell r="BR1948">
            <v>0</v>
          </cell>
          <cell r="BT1948">
            <v>0</v>
          </cell>
          <cell r="CA1948" t="str">
            <v>WTCC - REVTOT - Identified - Recompete</v>
          </cell>
          <cell r="CC1948" t="str">
            <v>WTCC - REVTOT - Identified - Recompete - NE</v>
          </cell>
          <cell r="CD1948" t="str">
            <v/>
          </cell>
          <cell r="CF1948" t="str">
            <v>WTCC - Identified - Recompete - NE</v>
          </cell>
        </row>
        <row r="1949">
          <cell r="D1949">
            <v>1935</v>
          </cell>
          <cell r="E1949">
            <v>2</v>
          </cell>
          <cell r="F1949">
            <v>3</v>
          </cell>
          <cell r="G1949" t="str">
            <v>WTCC</v>
          </cell>
          <cell r="H1949" t="str">
            <v>WTCC Total</v>
          </cell>
          <cell r="I1949" t="str">
            <v>NE</v>
          </cell>
          <cell r="J1949" t="str">
            <v>NE HLW &amp; NNSA Operations</v>
          </cell>
          <cell r="K1949" t="str">
            <v>DOE-EM</v>
          </cell>
          <cell r="L1949" t="str">
            <v>DOE</v>
          </cell>
          <cell r="M1949" t="str">
            <v>WA</v>
          </cell>
          <cell r="N1949" t="str">
            <v>CONUS</v>
          </cell>
          <cell r="O1949">
            <v>42746</v>
          </cell>
          <cell r="P1949">
            <v>44926</v>
          </cell>
          <cell r="Q1949" t="str">
            <v>Prime</v>
          </cell>
          <cell r="R1949" t="str">
            <v>CPAF</v>
          </cell>
          <cell r="S1949">
            <v>0</v>
          </cell>
          <cell r="T1949">
            <v>1</v>
          </cell>
          <cell r="U1949" t="str">
            <v>CONTRACT</v>
          </cell>
          <cell r="V1949" t="str">
            <v>Base</v>
          </cell>
          <cell r="W1949" t="str">
            <v>05 Won</v>
          </cell>
          <cell r="X1949" t="str">
            <v>Active</v>
          </cell>
          <cell r="Y1949">
            <v>1</v>
          </cell>
          <cell r="Z1949">
            <v>0</v>
          </cell>
          <cell r="AA1949">
            <v>-0.12000000000443833</v>
          </cell>
          <cell r="AB1949">
            <v>0</v>
          </cell>
          <cell r="AC1949">
            <v>0</v>
          </cell>
          <cell r="AD1949">
            <v>-0.12000000000443833</v>
          </cell>
          <cell r="AL1949">
            <v>0</v>
          </cell>
          <cell r="AM1949">
            <v>0</v>
          </cell>
          <cell r="AN1949">
            <v>-13.259570251539289</v>
          </cell>
          <cell r="AO1949">
            <v>-20.325882934448227</v>
          </cell>
          <cell r="AP1949">
            <v>0.65625041666666672</v>
          </cell>
          <cell r="AQ1949">
            <v>0.65625041666666672</v>
          </cell>
          <cell r="AR1949">
            <v>0.65625041666666672</v>
          </cell>
          <cell r="AS1949">
            <v>0.65625041666666672</v>
          </cell>
          <cell r="BF1949">
            <v>0</v>
          </cell>
          <cell r="BG1949">
            <v>0</v>
          </cell>
          <cell r="BH1949">
            <v>-967749.99999999988</v>
          </cell>
          <cell r="BI1949">
            <v>0</v>
          </cell>
          <cell r="BJ1949">
            <v>0</v>
          </cell>
          <cell r="BK1949">
            <v>-771451</v>
          </cell>
          <cell r="BL1949">
            <v>0</v>
          </cell>
          <cell r="BM1949">
            <v>-771451</v>
          </cell>
          <cell r="BN1949">
            <v>0</v>
          </cell>
          <cell r="BO1949">
            <v>0</v>
          </cell>
          <cell r="BP1949">
            <v>0</v>
          </cell>
          <cell r="BQ1949">
            <v>0</v>
          </cell>
          <cell r="BR1949">
            <v>-771451</v>
          </cell>
          <cell r="BT1949">
            <v>0</v>
          </cell>
          <cell r="CA1949" t="str">
            <v>WTCC - CONTRACT - Base</v>
          </cell>
          <cell r="CC1949" t="str">
            <v>WTCC - CONTRACT - Base - NE</v>
          </cell>
          <cell r="CD1949" t="str">
            <v/>
          </cell>
          <cell r="CF1949" t="str">
            <v>WTCC - Base - NE</v>
          </cell>
        </row>
        <row r="1950">
          <cell r="D1950">
            <v>1936</v>
          </cell>
          <cell r="E1950">
            <v>2</v>
          </cell>
          <cell r="F1950">
            <v>4</v>
          </cell>
          <cell r="G1950" t="str">
            <v>WTCC</v>
          </cell>
          <cell r="H1950" t="str">
            <v>WTCC Total</v>
          </cell>
          <cell r="I1950" t="str">
            <v>NE</v>
          </cell>
          <cell r="J1950" t="str">
            <v>NE HLW &amp; NNSA Operations</v>
          </cell>
          <cell r="K1950" t="str">
            <v>DOE-EM</v>
          </cell>
          <cell r="L1950" t="str">
            <v>DOE</v>
          </cell>
          <cell r="M1950" t="str">
            <v>WA</v>
          </cell>
          <cell r="N1950" t="str">
            <v>CONUS</v>
          </cell>
          <cell r="O1950">
            <v>0</v>
          </cell>
          <cell r="P1950">
            <v>0</v>
          </cell>
          <cell r="Q1950">
            <v>0</v>
          </cell>
          <cell r="R1950" t="str">
            <v>CPAF</v>
          </cell>
          <cell r="S1950">
            <v>0</v>
          </cell>
          <cell r="T1950">
            <v>1</v>
          </cell>
          <cell r="U1950" t="str">
            <v>CONTRACT</v>
          </cell>
          <cell r="V1950" t="str">
            <v>Identified - Recompete</v>
          </cell>
          <cell r="W1950">
            <v>0</v>
          </cell>
          <cell r="X1950">
            <v>0</v>
          </cell>
          <cell r="Y1950">
            <v>0</v>
          </cell>
          <cell r="Z1950">
            <v>0</v>
          </cell>
          <cell r="AA1950">
            <v>0</v>
          </cell>
          <cell r="AB1950">
            <v>0</v>
          </cell>
          <cell r="AC1950">
            <v>0</v>
          </cell>
          <cell r="AD1950">
            <v>0</v>
          </cell>
          <cell r="AP1950">
            <v>0</v>
          </cell>
          <cell r="AQ1950">
            <v>0</v>
          </cell>
          <cell r="AR1950">
            <v>0</v>
          </cell>
          <cell r="AS1950">
            <v>0</v>
          </cell>
          <cell r="BI1950">
            <v>0</v>
          </cell>
          <cell r="BJ1950">
            <v>0</v>
          </cell>
          <cell r="BK1950">
            <v>0</v>
          </cell>
          <cell r="BL1950">
            <v>0</v>
          </cell>
          <cell r="BM1950">
            <v>0</v>
          </cell>
          <cell r="BN1950">
            <v>0</v>
          </cell>
          <cell r="BO1950">
            <v>0</v>
          </cell>
          <cell r="BP1950">
            <v>0</v>
          </cell>
          <cell r="BQ1950">
            <v>0</v>
          </cell>
          <cell r="BR1950">
            <v>0</v>
          </cell>
          <cell r="BT1950">
            <v>0</v>
          </cell>
          <cell r="CA1950" t="str">
            <v>WTCC - CONTRACT - Identified - Recompete</v>
          </cell>
          <cell r="CC1950" t="str">
            <v>WTCC - CONTRACT - Identified - Recompete - NE</v>
          </cell>
          <cell r="CD1950" t="str">
            <v/>
          </cell>
          <cell r="CF1950" t="str">
            <v>WTCC - Identified - Recompete - NE</v>
          </cell>
        </row>
        <row r="1951">
          <cell r="D1951">
            <v>1937</v>
          </cell>
          <cell r="E1951">
            <v>0</v>
          </cell>
          <cell r="F1951">
            <v>5</v>
          </cell>
          <cell r="G1951" t="str">
            <v>WTCC</v>
          </cell>
          <cell r="H1951" t="str">
            <v>WTCC Total</v>
          </cell>
          <cell r="I1951" t="str">
            <v>NE</v>
          </cell>
          <cell r="J1951" t="str">
            <v>NE HLW &amp; NNSA Operations</v>
          </cell>
          <cell r="K1951" t="str">
            <v>DOE-EM</v>
          </cell>
          <cell r="L1951" t="str">
            <v>DOE</v>
          </cell>
          <cell r="M1951" t="str">
            <v>WA</v>
          </cell>
          <cell r="N1951" t="str">
            <v>CONUS</v>
          </cell>
          <cell r="O1951">
            <v>42746</v>
          </cell>
          <cell r="P1951">
            <v>44926</v>
          </cell>
          <cell r="Q1951" t="str">
            <v>Prime</v>
          </cell>
          <cell r="R1951" t="str">
            <v>CPAF</v>
          </cell>
          <cell r="S1951">
            <v>0</v>
          </cell>
          <cell r="T1951">
            <v>1</v>
          </cell>
          <cell r="U1951" t="str">
            <v>EBITA</v>
          </cell>
          <cell r="V1951" t="str">
            <v>Base</v>
          </cell>
          <cell r="W1951" t="str">
            <v>05 Won</v>
          </cell>
          <cell r="X1951" t="str">
            <v>Active</v>
          </cell>
          <cell r="Y1951">
            <v>1</v>
          </cell>
          <cell r="Z1951">
            <v>0</v>
          </cell>
          <cell r="AA1951">
            <v>-0.12000000000443833</v>
          </cell>
          <cell r="AB1951">
            <v>0</v>
          </cell>
          <cell r="AC1951">
            <v>0</v>
          </cell>
          <cell r="AD1951">
            <v>-0.12000000000443833</v>
          </cell>
          <cell r="AT1951">
            <v>0</v>
          </cell>
          <cell r="AU1951">
            <v>0</v>
          </cell>
          <cell r="AV1951">
            <v>-43.407723941159439</v>
          </cell>
          <cell r="AW1951">
            <v>-41.767446854254565</v>
          </cell>
          <cell r="AX1951">
            <v>0</v>
          </cell>
          <cell r="AY1951">
            <v>0</v>
          </cell>
          <cell r="AZ1951">
            <v>0</v>
          </cell>
          <cell r="BA1951">
            <v>0</v>
          </cell>
          <cell r="BF1951">
            <v>0</v>
          </cell>
          <cell r="BG1951">
            <v>-836999.02</v>
          </cell>
          <cell r="BH1951">
            <v>-3168113.6</v>
          </cell>
          <cell r="BI1951">
            <v>-325074.54000000004</v>
          </cell>
          <cell r="BJ1951">
            <v>-119511.35</v>
          </cell>
          <cell r="BK1951">
            <v>-1018718.54</v>
          </cell>
          <cell r="BL1951">
            <v>-121942.26</v>
          </cell>
          <cell r="BM1951">
            <v>-1585246.6900000002</v>
          </cell>
          <cell r="BN1951">
            <v>0</v>
          </cell>
          <cell r="BO1951">
            <v>0</v>
          </cell>
          <cell r="BP1951">
            <v>0</v>
          </cell>
          <cell r="BQ1951">
            <v>0</v>
          </cell>
          <cell r="BR1951">
            <v>0</v>
          </cell>
          <cell r="BT1951">
            <v>0</v>
          </cell>
          <cell r="CA1951" t="str">
            <v>WTCC - EBITA - Base</v>
          </cell>
          <cell r="CC1951" t="str">
            <v>WTCC - EBITA - Base - NE</v>
          </cell>
          <cell r="CD1951" t="str">
            <v/>
          </cell>
          <cell r="CF1951" t="str">
            <v>WTCC - Base - NE</v>
          </cell>
        </row>
        <row r="1952">
          <cell r="D1952">
            <v>1938</v>
          </cell>
          <cell r="E1952">
            <v>0</v>
          </cell>
          <cell r="F1952">
            <v>0</v>
          </cell>
          <cell r="G1952" t="str">
            <v>WTCC</v>
          </cell>
          <cell r="H1952" t="str">
            <v>WTCC Total</v>
          </cell>
          <cell r="I1952" t="str">
            <v>NE</v>
          </cell>
          <cell r="J1952" t="str">
            <v>NE HLW &amp; NNSA Operations</v>
          </cell>
          <cell r="K1952" t="str">
            <v>DOE-EM</v>
          </cell>
          <cell r="L1952" t="str">
            <v>DOE</v>
          </cell>
          <cell r="M1952" t="str">
            <v>WA</v>
          </cell>
          <cell r="N1952" t="str">
            <v>CONUS</v>
          </cell>
          <cell r="O1952">
            <v>0</v>
          </cell>
          <cell r="P1952">
            <v>0</v>
          </cell>
          <cell r="Q1952">
            <v>0</v>
          </cell>
          <cell r="R1952" t="str">
            <v>CPAF</v>
          </cell>
          <cell r="S1952">
            <v>0</v>
          </cell>
          <cell r="T1952">
            <v>1</v>
          </cell>
          <cell r="U1952" t="str">
            <v>EBITA</v>
          </cell>
          <cell r="V1952" t="str">
            <v>Identified - Recompete</v>
          </cell>
          <cell r="W1952">
            <v>0</v>
          </cell>
          <cell r="X1952">
            <v>0</v>
          </cell>
          <cell r="Y1952">
            <v>0</v>
          </cell>
          <cell r="Z1952">
            <v>0</v>
          </cell>
          <cell r="AA1952">
            <v>0</v>
          </cell>
          <cell r="AB1952">
            <v>0</v>
          </cell>
          <cell r="AC1952">
            <v>0</v>
          </cell>
          <cell r="AD1952">
            <v>0</v>
          </cell>
          <cell r="AX1952">
            <v>0</v>
          </cell>
          <cell r="AY1952">
            <v>0</v>
          </cell>
          <cell r="AZ1952">
            <v>0</v>
          </cell>
          <cell r="BA1952">
            <v>0</v>
          </cell>
          <cell r="BI1952">
            <v>0</v>
          </cell>
          <cell r="BJ1952">
            <v>0</v>
          </cell>
          <cell r="BK1952">
            <v>0</v>
          </cell>
          <cell r="BL1952">
            <v>0</v>
          </cell>
          <cell r="BM1952">
            <v>0</v>
          </cell>
          <cell r="BN1952">
            <v>0</v>
          </cell>
          <cell r="BO1952">
            <v>0</v>
          </cell>
          <cell r="BP1952">
            <v>0</v>
          </cell>
          <cell r="BQ1952">
            <v>0</v>
          </cell>
          <cell r="BR1952">
            <v>0</v>
          </cell>
          <cell r="BT1952">
            <v>0</v>
          </cell>
          <cell r="CA1952" t="str">
            <v>WTCC - EBITA - Identified - Recompete</v>
          </cell>
          <cell r="CC1952" t="str">
            <v>WTCC - EBITA - Identified - Recompete - NE</v>
          </cell>
          <cell r="CD1952" t="str">
            <v/>
          </cell>
          <cell r="CF1952" t="str">
            <v>WTCC - Identified - Recompete - NE</v>
          </cell>
        </row>
        <row r="1953">
          <cell r="D1953">
            <v>1939</v>
          </cell>
          <cell r="E1953">
            <v>1</v>
          </cell>
          <cell r="F1953">
            <v>1</v>
          </cell>
          <cell r="G1953" t="str">
            <v>SPRUXX</v>
          </cell>
          <cell r="H1953" t="str">
            <v>SPRU</v>
          </cell>
          <cell r="I1953" t="str">
            <v>NE</v>
          </cell>
          <cell r="J1953" t="str">
            <v>NE DD and WM Projects</v>
          </cell>
          <cell r="K1953" t="str">
            <v>DOE-EM</v>
          </cell>
          <cell r="L1953" t="str">
            <v>DOE</v>
          </cell>
          <cell r="M1953" t="str">
            <v>NY</v>
          </cell>
          <cell r="N1953" t="str">
            <v>CONUS</v>
          </cell>
          <cell r="O1953">
            <v>39429</v>
          </cell>
          <cell r="P1953">
            <v>43677</v>
          </cell>
          <cell r="Q1953" t="str">
            <v>Prime</v>
          </cell>
          <cell r="R1953" t="str">
            <v>CPAF</v>
          </cell>
          <cell r="S1953">
            <v>0</v>
          </cell>
          <cell r="T1953">
            <v>1</v>
          </cell>
          <cell r="U1953" t="str">
            <v>REVTOT</v>
          </cell>
          <cell r="V1953" t="str">
            <v>Base</v>
          </cell>
          <cell r="W1953" t="str">
            <v>05 Won</v>
          </cell>
          <cell r="X1953" t="str">
            <v>Active</v>
          </cell>
          <cell r="Y1953">
            <v>1</v>
          </cell>
          <cell r="Z1953">
            <v>0</v>
          </cell>
          <cell r="AA1953">
            <v>1588281.5296533008</v>
          </cell>
          <cell r="AB1953">
            <v>0</v>
          </cell>
          <cell r="AC1953">
            <v>0</v>
          </cell>
          <cell r="AD1953">
            <v>1588281.5296533008</v>
          </cell>
          <cell r="AE1953">
            <v>1.8293141043409884</v>
          </cell>
          <cell r="AF1953">
            <v>0.17633835300773959</v>
          </cell>
          <cell r="AG1953">
            <v>-0.99382635224009619</v>
          </cell>
          <cell r="AH1953">
            <v>-1</v>
          </cell>
          <cell r="AI1953">
            <v>0</v>
          </cell>
          <cell r="AJ1953">
            <v>0</v>
          </cell>
          <cell r="AK1953">
            <v>0</v>
          </cell>
          <cell r="BB1953">
            <v>0</v>
          </cell>
          <cell r="BC1953">
            <v>0</v>
          </cell>
          <cell r="BD1953">
            <v>0</v>
          </cell>
          <cell r="BE1953">
            <v>0</v>
          </cell>
          <cell r="BF1953">
            <v>13245840.210000001</v>
          </cell>
          <cell r="BG1953">
            <v>37476642.530000001</v>
          </cell>
          <cell r="BH1953">
            <v>44085211.95000001</v>
          </cell>
          <cell r="BI1953">
            <v>9920.980000000025</v>
          </cell>
          <cell r="BJ1953">
            <v>33980.36</v>
          </cell>
          <cell r="BK1953">
            <v>203265.23</v>
          </cell>
          <cell r="BL1953">
            <v>25000</v>
          </cell>
          <cell r="BM1953">
            <v>272166.57000000007</v>
          </cell>
          <cell r="BN1953">
            <v>0</v>
          </cell>
          <cell r="BO1953">
            <v>0</v>
          </cell>
          <cell r="BP1953">
            <v>0</v>
          </cell>
          <cell r="BQ1953">
            <v>0</v>
          </cell>
          <cell r="BR1953">
            <v>272166.57000000007</v>
          </cell>
          <cell r="BT1953">
            <v>0</v>
          </cell>
          <cell r="CA1953" t="str">
            <v>SPRUXX - REVTOT - Base</v>
          </cell>
          <cell r="CC1953" t="str">
            <v>SPRUXX - REVTOT - Base - NE</v>
          </cell>
          <cell r="CD1953" t="str">
            <v/>
          </cell>
          <cell r="CF1953" t="str">
            <v>SPRUXX - Base - NE</v>
          </cell>
        </row>
        <row r="1954">
          <cell r="D1954">
            <v>1940</v>
          </cell>
          <cell r="E1954">
            <v>1</v>
          </cell>
          <cell r="F1954">
            <v>2</v>
          </cell>
          <cell r="G1954" t="str">
            <v>SPRUXX</v>
          </cell>
          <cell r="H1954" t="str">
            <v>SPRU</v>
          </cell>
          <cell r="I1954" t="str">
            <v>NE</v>
          </cell>
          <cell r="J1954" t="str">
            <v>NE DD and WM Projects</v>
          </cell>
          <cell r="K1954" t="str">
            <v>DOE-EM</v>
          </cell>
          <cell r="L1954" t="str">
            <v>DOE</v>
          </cell>
          <cell r="M1954" t="str">
            <v>NY</v>
          </cell>
          <cell r="N1954" t="str">
            <v>CONUS</v>
          </cell>
          <cell r="O1954">
            <v>0</v>
          </cell>
          <cell r="P1954">
            <v>0</v>
          </cell>
          <cell r="Q1954">
            <v>0</v>
          </cell>
          <cell r="R1954" t="str">
            <v>CPAF</v>
          </cell>
          <cell r="S1954">
            <v>0</v>
          </cell>
          <cell r="T1954">
            <v>1</v>
          </cell>
          <cell r="U1954" t="str">
            <v>REVTOT</v>
          </cell>
          <cell r="V1954" t="str">
            <v>Identified - Recompete</v>
          </cell>
          <cell r="W1954">
            <v>0</v>
          </cell>
          <cell r="X1954">
            <v>0</v>
          </cell>
          <cell r="Y1954">
            <v>0</v>
          </cell>
          <cell r="Z1954">
            <v>0</v>
          </cell>
          <cell r="AA1954">
            <v>0</v>
          </cell>
          <cell r="AB1954">
            <v>0</v>
          </cell>
          <cell r="AC1954">
            <v>0</v>
          </cell>
          <cell r="AD1954">
            <v>0</v>
          </cell>
          <cell r="AI1954">
            <v>0</v>
          </cell>
          <cell r="AJ1954">
            <v>0</v>
          </cell>
          <cell r="AK1954">
            <v>0</v>
          </cell>
          <cell r="BB1954">
            <v>0</v>
          </cell>
          <cell r="BC1954">
            <v>0</v>
          </cell>
          <cell r="BD1954">
            <v>0</v>
          </cell>
          <cell r="BE1954">
            <v>0</v>
          </cell>
          <cell r="BI1954">
            <v>0</v>
          </cell>
          <cell r="BJ1954">
            <v>0</v>
          </cell>
          <cell r="BK1954">
            <v>0</v>
          </cell>
          <cell r="BL1954">
            <v>0</v>
          </cell>
          <cell r="BM1954">
            <v>0</v>
          </cell>
          <cell r="BN1954">
            <v>0</v>
          </cell>
          <cell r="BO1954">
            <v>0</v>
          </cell>
          <cell r="BP1954">
            <v>0</v>
          </cell>
          <cell r="BQ1954">
            <v>0</v>
          </cell>
          <cell r="BR1954">
            <v>0</v>
          </cell>
          <cell r="BT1954">
            <v>0</v>
          </cell>
          <cell r="CA1954" t="str">
            <v>SPRUXX - REVTOT - Identified - Recompete</v>
          </cell>
          <cell r="CC1954" t="str">
            <v>SPRUXX - REVTOT - Identified - Recompete - NE</v>
          </cell>
          <cell r="CD1954" t="str">
            <v/>
          </cell>
          <cell r="CF1954" t="str">
            <v>SPRUXX - Identified - Recompete - NE</v>
          </cell>
        </row>
        <row r="1955">
          <cell r="D1955">
            <v>1941</v>
          </cell>
          <cell r="E1955">
            <v>2</v>
          </cell>
          <cell r="F1955">
            <v>3</v>
          </cell>
          <cell r="G1955" t="str">
            <v>SPRUXX</v>
          </cell>
          <cell r="H1955" t="str">
            <v>SPRU</v>
          </cell>
          <cell r="I1955" t="str">
            <v>NE</v>
          </cell>
          <cell r="J1955" t="str">
            <v>NE DD and WM Projects</v>
          </cell>
          <cell r="K1955" t="str">
            <v>DOE-EM</v>
          </cell>
          <cell r="L1955" t="str">
            <v>DOE</v>
          </cell>
          <cell r="M1955" t="str">
            <v>NY</v>
          </cell>
          <cell r="N1955" t="str">
            <v>CONUS</v>
          </cell>
          <cell r="O1955">
            <v>39429</v>
          </cell>
          <cell r="P1955">
            <v>43677</v>
          </cell>
          <cell r="Q1955" t="str">
            <v>Prime</v>
          </cell>
          <cell r="R1955" t="str">
            <v>CPAF</v>
          </cell>
          <cell r="S1955">
            <v>0</v>
          </cell>
          <cell r="T1955">
            <v>1</v>
          </cell>
          <cell r="U1955" t="str">
            <v>CONTRACT</v>
          </cell>
          <cell r="V1955" t="str">
            <v>Base</v>
          </cell>
          <cell r="W1955" t="str">
            <v>05 Won</v>
          </cell>
          <cell r="X1955" t="str">
            <v>Active</v>
          </cell>
          <cell r="Y1955">
            <v>1</v>
          </cell>
          <cell r="Z1955">
            <v>0</v>
          </cell>
          <cell r="AA1955">
            <v>1588281.5296533008</v>
          </cell>
          <cell r="AB1955">
            <v>0</v>
          </cell>
          <cell r="AC1955">
            <v>0</v>
          </cell>
          <cell r="AD1955">
            <v>1588281.5296533008</v>
          </cell>
          <cell r="AL1955">
            <v>0.15231020290256106</v>
          </cell>
          <cell r="AM1955">
            <v>-0.21901126530824266</v>
          </cell>
          <cell r="AN1955">
            <v>0.3913888831830829</v>
          </cell>
          <cell r="AO1955">
            <v>-2.9673633686899894</v>
          </cell>
          <cell r="AP1955">
            <v>0.10787262764249438</v>
          </cell>
          <cell r="AQ1955">
            <v>0.10787262764249438</v>
          </cell>
          <cell r="AR1955">
            <v>0.10787262764249438</v>
          </cell>
          <cell r="AS1955">
            <v>0.10787262764249438</v>
          </cell>
          <cell r="BF1955">
            <v>2017476.610000002</v>
          </cell>
          <cell r="BG1955">
            <v>-8207806.9000000004</v>
          </cell>
          <cell r="BH1955">
            <v>17254461.870000005</v>
          </cell>
          <cell r="BI1955">
            <v>-280598.7199999998</v>
          </cell>
          <cell r="BJ1955">
            <v>-421574.06000000006</v>
          </cell>
          <cell r="BK1955">
            <v>-350094.48000000021</v>
          </cell>
          <cell r="BL1955">
            <v>244650.15000000002</v>
          </cell>
          <cell r="BM1955">
            <v>-807617.11</v>
          </cell>
          <cell r="BN1955">
            <v>0</v>
          </cell>
          <cell r="BO1955">
            <v>0</v>
          </cell>
          <cell r="BP1955">
            <v>0</v>
          </cell>
          <cell r="BQ1955">
            <v>0</v>
          </cell>
          <cell r="BR1955">
            <v>-807617.11</v>
          </cell>
          <cell r="BT1955">
            <v>0</v>
          </cell>
          <cell r="CA1955" t="str">
            <v>SPRUXX - CONTRACT - Base</v>
          </cell>
          <cell r="CC1955" t="str">
            <v>SPRUXX - CONTRACT - Base - NE</v>
          </cell>
          <cell r="CD1955" t="str">
            <v/>
          </cell>
          <cell r="CF1955" t="str">
            <v>SPRUXX - Base - NE</v>
          </cell>
        </row>
        <row r="1956">
          <cell r="D1956">
            <v>1942</v>
          </cell>
          <cell r="E1956">
            <v>2</v>
          </cell>
          <cell r="F1956">
            <v>4</v>
          </cell>
          <cell r="G1956" t="str">
            <v>SPRUXX</v>
          </cell>
          <cell r="H1956" t="str">
            <v>SPRU</v>
          </cell>
          <cell r="I1956" t="str">
            <v>NE</v>
          </cell>
          <cell r="J1956" t="str">
            <v>NE DD and WM Projects</v>
          </cell>
          <cell r="K1956" t="str">
            <v>DOE-EM</v>
          </cell>
          <cell r="L1956" t="str">
            <v>DOE</v>
          </cell>
          <cell r="M1956" t="str">
            <v>NY</v>
          </cell>
          <cell r="N1956" t="str">
            <v>CONUS</v>
          </cell>
          <cell r="O1956">
            <v>0</v>
          </cell>
          <cell r="P1956">
            <v>0</v>
          </cell>
          <cell r="Q1956">
            <v>0</v>
          </cell>
          <cell r="R1956" t="str">
            <v>CPAF</v>
          </cell>
          <cell r="S1956">
            <v>0</v>
          </cell>
          <cell r="T1956">
            <v>1</v>
          </cell>
          <cell r="U1956" t="str">
            <v>CONTRACT</v>
          </cell>
          <cell r="V1956" t="str">
            <v>Identified - Recompete</v>
          </cell>
          <cell r="W1956">
            <v>0</v>
          </cell>
          <cell r="X1956">
            <v>0</v>
          </cell>
          <cell r="Y1956">
            <v>0</v>
          </cell>
          <cell r="Z1956">
            <v>0</v>
          </cell>
          <cell r="AA1956">
            <v>0</v>
          </cell>
          <cell r="AB1956">
            <v>0</v>
          </cell>
          <cell r="AC1956">
            <v>0</v>
          </cell>
          <cell r="AD1956">
            <v>0</v>
          </cell>
          <cell r="AP1956">
            <v>0</v>
          </cell>
          <cell r="AQ1956">
            <v>0</v>
          </cell>
          <cell r="AR1956">
            <v>0</v>
          </cell>
          <cell r="AS1956">
            <v>0</v>
          </cell>
          <cell r="BI1956">
            <v>0</v>
          </cell>
          <cell r="BJ1956">
            <v>0</v>
          </cell>
          <cell r="BK1956">
            <v>0</v>
          </cell>
          <cell r="BL1956">
            <v>0</v>
          </cell>
          <cell r="BM1956">
            <v>0</v>
          </cell>
          <cell r="BN1956">
            <v>0</v>
          </cell>
          <cell r="BO1956">
            <v>0</v>
          </cell>
          <cell r="BP1956">
            <v>0</v>
          </cell>
          <cell r="BQ1956">
            <v>0</v>
          </cell>
          <cell r="BR1956">
            <v>0</v>
          </cell>
          <cell r="BT1956">
            <v>0</v>
          </cell>
          <cell r="CA1956" t="str">
            <v>SPRUXX - CONTRACT - Identified - Recompete</v>
          </cell>
          <cell r="CC1956" t="str">
            <v>SPRUXX - CONTRACT - Identified - Recompete - NE</v>
          </cell>
          <cell r="CD1956" t="str">
            <v/>
          </cell>
          <cell r="CF1956" t="str">
            <v>SPRUXX - Identified - Recompete - NE</v>
          </cell>
        </row>
        <row r="1957">
          <cell r="D1957">
            <v>1943</v>
          </cell>
          <cell r="E1957">
            <v>0</v>
          </cell>
          <cell r="F1957">
            <v>5</v>
          </cell>
          <cell r="G1957" t="str">
            <v>SPRUXX</v>
          </cell>
          <cell r="H1957" t="str">
            <v>SPRU</v>
          </cell>
          <cell r="I1957" t="str">
            <v>NE</v>
          </cell>
          <cell r="J1957" t="str">
            <v>NE DD and WM Projects</v>
          </cell>
          <cell r="K1957" t="str">
            <v>DOE-EM</v>
          </cell>
          <cell r="L1957" t="str">
            <v>DOE</v>
          </cell>
          <cell r="M1957" t="str">
            <v>NY</v>
          </cell>
          <cell r="N1957" t="str">
            <v>CONUS</v>
          </cell>
          <cell r="O1957">
            <v>39429</v>
          </cell>
          <cell r="P1957">
            <v>43677</v>
          </cell>
          <cell r="Q1957" t="str">
            <v>Prime</v>
          </cell>
          <cell r="R1957" t="str">
            <v>CPAF</v>
          </cell>
          <cell r="S1957">
            <v>0</v>
          </cell>
          <cell r="T1957">
            <v>1</v>
          </cell>
          <cell r="U1957" t="str">
            <v>EBITA</v>
          </cell>
          <cell r="V1957" t="str">
            <v>Base</v>
          </cell>
          <cell r="W1957" t="str">
            <v>05 Won</v>
          </cell>
          <cell r="X1957" t="str">
            <v>Active</v>
          </cell>
          <cell r="Y1957">
            <v>1</v>
          </cell>
          <cell r="Z1957">
            <v>0</v>
          </cell>
          <cell r="AA1957">
            <v>1588281.5296533008</v>
          </cell>
          <cell r="AB1957">
            <v>0</v>
          </cell>
          <cell r="AC1957">
            <v>0</v>
          </cell>
          <cell r="AD1957">
            <v>1588281.5296533008</v>
          </cell>
          <cell r="AT1957">
            <v>-0.20518779684116381</v>
          </cell>
          <cell r="AU1957">
            <v>-0.39668530200109148</v>
          </cell>
          <cell r="AV1957">
            <v>0.27070174968275273</v>
          </cell>
          <cell r="AW1957">
            <v>-5.3091157007269469</v>
          </cell>
          <cell r="AX1957">
            <v>-7.4625033482090236E-2</v>
          </cell>
          <cell r="AY1957">
            <v>-7.4625033482090236E-2</v>
          </cell>
          <cell r="AZ1957">
            <v>-7.4625033482090236E-2</v>
          </cell>
          <cell r="BA1957">
            <v>-7.4625033482090236E-2</v>
          </cell>
          <cell r="BF1957">
            <v>-2717884.7699999986</v>
          </cell>
          <cell r="BG1957">
            <v>-14866433.26</v>
          </cell>
          <cell r="BH1957">
            <v>11933944.010000004</v>
          </cell>
          <cell r="BI1957">
            <v>-497644.83999999985</v>
          </cell>
          <cell r="BJ1957">
            <v>-502291.61000000004</v>
          </cell>
          <cell r="BK1957">
            <v>-666137.9600000002</v>
          </cell>
          <cell r="BL1957">
            <v>221110.60000000003</v>
          </cell>
          <cell r="BM1957">
            <v>-1444963.81</v>
          </cell>
          <cell r="BN1957">
            <v>0</v>
          </cell>
          <cell r="BO1957">
            <v>0</v>
          </cell>
          <cell r="BP1957">
            <v>0</v>
          </cell>
          <cell r="BQ1957">
            <v>0</v>
          </cell>
          <cell r="BR1957">
            <v>-1444963.81</v>
          </cell>
          <cell r="BT1957">
            <v>0</v>
          </cell>
          <cell r="CA1957" t="str">
            <v>SPRUXX - EBITA - Base</v>
          </cell>
          <cell r="CC1957" t="str">
            <v>SPRUXX - EBITA - Base - NE</v>
          </cell>
          <cell r="CD1957" t="str">
            <v/>
          </cell>
          <cell r="CF1957" t="str">
            <v>SPRUXX - Base - NE</v>
          </cell>
        </row>
        <row r="1958">
          <cell r="D1958">
            <v>1944</v>
          </cell>
          <cell r="E1958">
            <v>0</v>
          </cell>
          <cell r="F1958">
            <v>0</v>
          </cell>
          <cell r="G1958" t="str">
            <v>SPRUXX</v>
          </cell>
          <cell r="H1958" t="str">
            <v>SPRU</v>
          </cell>
          <cell r="I1958" t="str">
            <v>NE</v>
          </cell>
          <cell r="J1958" t="str">
            <v>NE DD and WM Projects</v>
          </cell>
          <cell r="K1958" t="str">
            <v>DOE-EM</v>
          </cell>
          <cell r="L1958" t="str">
            <v>DOE</v>
          </cell>
          <cell r="M1958" t="str">
            <v>NY</v>
          </cell>
          <cell r="N1958" t="str">
            <v>CONUS</v>
          </cell>
          <cell r="O1958">
            <v>0</v>
          </cell>
          <cell r="P1958">
            <v>0</v>
          </cell>
          <cell r="Q1958">
            <v>0</v>
          </cell>
          <cell r="R1958" t="str">
            <v>CPAF</v>
          </cell>
          <cell r="S1958">
            <v>0</v>
          </cell>
          <cell r="T1958">
            <v>1</v>
          </cell>
          <cell r="U1958" t="str">
            <v>EBITA</v>
          </cell>
          <cell r="V1958" t="str">
            <v>Identified - Recompete</v>
          </cell>
          <cell r="W1958">
            <v>0</v>
          </cell>
          <cell r="X1958">
            <v>0</v>
          </cell>
          <cell r="Y1958">
            <v>0</v>
          </cell>
          <cell r="Z1958">
            <v>0</v>
          </cell>
          <cell r="AA1958">
            <v>0</v>
          </cell>
          <cell r="AB1958">
            <v>0</v>
          </cell>
          <cell r="AC1958">
            <v>0</v>
          </cell>
          <cell r="AD1958">
            <v>0</v>
          </cell>
          <cell r="AX1958">
            <v>0</v>
          </cell>
          <cell r="AY1958">
            <v>0</v>
          </cell>
          <cell r="AZ1958">
            <v>0</v>
          </cell>
          <cell r="BA1958">
            <v>0</v>
          </cell>
          <cell r="BI1958">
            <v>0</v>
          </cell>
          <cell r="BJ1958">
            <v>0</v>
          </cell>
          <cell r="BK1958">
            <v>0</v>
          </cell>
          <cell r="BL1958">
            <v>0</v>
          </cell>
          <cell r="BM1958">
            <v>0</v>
          </cell>
          <cell r="BN1958">
            <v>0</v>
          </cell>
          <cell r="BO1958">
            <v>0</v>
          </cell>
          <cell r="BP1958">
            <v>0</v>
          </cell>
          <cell r="BQ1958">
            <v>0</v>
          </cell>
          <cell r="BR1958">
            <v>0</v>
          </cell>
          <cell r="BT1958">
            <v>0</v>
          </cell>
          <cell r="CA1958" t="str">
            <v>SPRUXX - EBITA - Identified - Recompete</v>
          </cell>
          <cell r="CC1958" t="str">
            <v>SPRUXX - EBITA - Identified - Recompete - NE</v>
          </cell>
          <cell r="CD1958" t="str">
            <v/>
          </cell>
          <cell r="CF1958" t="str">
            <v>SPRUXX - Identified - Recompete - NE</v>
          </cell>
        </row>
        <row r="1959">
          <cell r="D1959">
            <v>1945</v>
          </cell>
          <cell r="E1959">
            <v>1</v>
          </cell>
          <cell r="F1959">
            <v>1</v>
          </cell>
          <cell r="G1959" t="str">
            <v>31932X</v>
          </cell>
          <cell r="H1959" t="str">
            <v>Pfizer Facility Management</v>
          </cell>
          <cell r="I1959" t="str">
            <v>COMG</v>
          </cell>
          <cell r="J1959" t="str">
            <v>Commercial O&amp;M</v>
          </cell>
          <cell r="K1959" t="str">
            <v>Commercial</v>
          </cell>
          <cell r="L1959" t="str">
            <v xml:space="preserve">Commercial </v>
          </cell>
          <cell r="M1959" t="str">
            <v>NY</v>
          </cell>
          <cell r="N1959" t="str">
            <v>CONUS</v>
          </cell>
          <cell r="O1959">
            <v>43353</v>
          </cell>
          <cell r="P1959">
            <v>43524</v>
          </cell>
          <cell r="Q1959" t="str">
            <v>Prime</v>
          </cell>
          <cell r="R1959" t="str">
            <v>FFP</v>
          </cell>
          <cell r="S1959">
            <v>0</v>
          </cell>
          <cell r="T1959">
            <v>1</v>
          </cell>
          <cell r="U1959" t="str">
            <v>REVTOT</v>
          </cell>
          <cell r="V1959" t="str">
            <v>Base</v>
          </cell>
          <cell r="W1959" t="str">
            <v>05 Won</v>
          </cell>
          <cell r="X1959" t="str">
            <v>Active</v>
          </cell>
          <cell r="Y1959">
            <v>1</v>
          </cell>
          <cell r="Z1959">
            <v>0</v>
          </cell>
          <cell r="AA1959">
            <v>5792585.1205128282</v>
          </cell>
          <cell r="AB1959">
            <v>0</v>
          </cell>
          <cell r="AC1959">
            <v>0</v>
          </cell>
          <cell r="AD1959">
            <v>5792585.1205128282</v>
          </cell>
          <cell r="AE1959">
            <v>0</v>
          </cell>
          <cell r="AF1959">
            <v>0.47451403914280643</v>
          </cell>
          <cell r="AG1959">
            <v>0.18256704083768382</v>
          </cell>
          <cell r="AH1959">
            <v>-0.7737825118695153</v>
          </cell>
          <cell r="AI1959">
            <v>0</v>
          </cell>
          <cell r="AJ1959">
            <v>0</v>
          </cell>
          <cell r="AK1959">
            <v>0</v>
          </cell>
          <cell r="BB1959">
            <v>25931084.703894898</v>
          </cell>
          <cell r="BC1959">
            <v>25931084.703894898</v>
          </cell>
          <cell r="BD1959">
            <v>25931084.703894898</v>
          </cell>
          <cell r="BE1959">
            <v>25931084.703894898</v>
          </cell>
          <cell r="BF1959">
            <v>0</v>
          </cell>
          <cell r="BG1959">
            <v>14684919.360000001</v>
          </cell>
          <cell r="BH1959">
            <v>21653119.759999998</v>
          </cell>
          <cell r="BI1959">
            <v>5832844.7999999998</v>
          </cell>
          <cell r="BJ1959">
            <v>6784301.040000001</v>
          </cell>
          <cell r="BK1959">
            <v>6903026.1099999994</v>
          </cell>
          <cell r="BL1959">
            <v>6086093.8094871789</v>
          </cell>
          <cell r="BM1959">
            <v>25606265.759487178</v>
          </cell>
          <cell r="BN1959">
            <v>5792585.1205128282</v>
          </cell>
          <cell r="BO1959">
            <v>0</v>
          </cell>
          <cell r="BP1959">
            <v>0</v>
          </cell>
          <cell r="BQ1959">
            <v>0</v>
          </cell>
          <cell r="BR1959">
            <v>31398850.880000006</v>
          </cell>
          <cell r="BT1959">
            <v>0</v>
          </cell>
          <cell r="CA1959" t="str">
            <v>31932X - REVTOT - Base</v>
          </cell>
          <cell r="CC1959" t="str">
            <v>31932X - REVTOT - Base - COMG</v>
          </cell>
          <cell r="CD1959" t="str">
            <v/>
          </cell>
          <cell r="CF1959" t="str">
            <v>31932X - Base - COMG</v>
          </cell>
        </row>
        <row r="1960">
          <cell r="D1960">
            <v>1946</v>
          </cell>
          <cell r="E1960">
            <v>1</v>
          </cell>
          <cell r="F1960">
            <v>2</v>
          </cell>
          <cell r="G1960" t="str">
            <v>31932X</v>
          </cell>
          <cell r="H1960" t="str">
            <v>Pfizer Facility Management</v>
          </cell>
          <cell r="I1960" t="str">
            <v>COMG</v>
          </cell>
          <cell r="J1960" t="str">
            <v>Commercial O&amp;M</v>
          </cell>
          <cell r="K1960" t="str">
            <v>Commercial</v>
          </cell>
          <cell r="L1960" t="str">
            <v xml:space="preserve">Commercial </v>
          </cell>
          <cell r="M1960" t="str">
            <v>NY</v>
          </cell>
          <cell r="N1960" t="str">
            <v>CONUS</v>
          </cell>
          <cell r="O1960">
            <v>0</v>
          </cell>
          <cell r="P1960">
            <v>0</v>
          </cell>
          <cell r="Q1960">
            <v>0</v>
          </cell>
          <cell r="R1960" t="str">
            <v>FFP</v>
          </cell>
          <cell r="S1960">
            <v>0</v>
          </cell>
          <cell r="T1960">
            <v>1</v>
          </cell>
          <cell r="U1960" t="str">
            <v>REVTOT</v>
          </cell>
          <cell r="V1960" t="str">
            <v>Identified - Recompete</v>
          </cell>
          <cell r="W1960">
            <v>0</v>
          </cell>
          <cell r="X1960">
            <v>0</v>
          </cell>
          <cell r="Y1960">
            <v>0</v>
          </cell>
          <cell r="Z1960">
            <v>0</v>
          </cell>
          <cell r="AA1960">
            <v>0</v>
          </cell>
          <cell r="AB1960">
            <v>0</v>
          </cell>
          <cell r="AC1960">
            <v>0</v>
          </cell>
          <cell r="AD1960">
            <v>0</v>
          </cell>
          <cell r="AI1960">
            <v>0</v>
          </cell>
          <cell r="AJ1960">
            <v>0</v>
          </cell>
          <cell r="AK1960">
            <v>0</v>
          </cell>
          <cell r="BB1960">
            <v>0</v>
          </cell>
          <cell r="BC1960">
            <v>0</v>
          </cell>
          <cell r="BD1960">
            <v>0</v>
          </cell>
          <cell r="BE1960">
            <v>0</v>
          </cell>
          <cell r="BI1960">
            <v>0</v>
          </cell>
          <cell r="BJ1960">
            <v>0</v>
          </cell>
          <cell r="BK1960">
            <v>0</v>
          </cell>
          <cell r="BL1960">
            <v>0</v>
          </cell>
          <cell r="BM1960">
            <v>0</v>
          </cell>
          <cell r="BN1960">
            <v>0</v>
          </cell>
          <cell r="BO1960">
            <v>0</v>
          </cell>
          <cell r="BP1960">
            <v>0</v>
          </cell>
          <cell r="BQ1960">
            <v>0</v>
          </cell>
          <cell r="BR1960">
            <v>0</v>
          </cell>
          <cell r="BT1960">
            <v>0</v>
          </cell>
          <cell r="CA1960" t="str">
            <v>31932X - REVTOT - Identified - Recompete</v>
          </cell>
          <cell r="CC1960" t="str">
            <v>31932X - REVTOT - Identified - Recompete - COMG</v>
          </cell>
          <cell r="CD1960" t="str">
            <v/>
          </cell>
          <cell r="CF1960" t="str">
            <v>31932X - Identified - Recompete - COMG</v>
          </cell>
        </row>
        <row r="1961">
          <cell r="D1961">
            <v>1947</v>
          </cell>
          <cell r="E1961">
            <v>2</v>
          </cell>
          <cell r="F1961">
            <v>3</v>
          </cell>
          <cell r="G1961" t="str">
            <v>31932X</v>
          </cell>
          <cell r="H1961" t="str">
            <v>Pfizer Facility Management</v>
          </cell>
          <cell r="I1961" t="str">
            <v>COMG</v>
          </cell>
          <cell r="J1961" t="str">
            <v>Commercial O&amp;M</v>
          </cell>
          <cell r="K1961" t="str">
            <v>Commercial</v>
          </cell>
          <cell r="L1961" t="str">
            <v xml:space="preserve">Commercial </v>
          </cell>
          <cell r="M1961" t="str">
            <v>NY</v>
          </cell>
          <cell r="N1961" t="str">
            <v>CONUS</v>
          </cell>
          <cell r="O1961">
            <v>43353</v>
          </cell>
          <cell r="P1961">
            <v>43524</v>
          </cell>
          <cell r="Q1961" t="str">
            <v>Prime</v>
          </cell>
          <cell r="R1961" t="str">
            <v>FFP</v>
          </cell>
          <cell r="S1961">
            <v>0</v>
          </cell>
          <cell r="T1961">
            <v>1</v>
          </cell>
          <cell r="U1961" t="str">
            <v>CONTRACT</v>
          </cell>
          <cell r="V1961" t="str">
            <v>Base</v>
          </cell>
          <cell r="W1961" t="str">
            <v>05 Won</v>
          </cell>
          <cell r="X1961" t="str">
            <v>Active</v>
          </cell>
          <cell r="Y1961">
            <v>1</v>
          </cell>
          <cell r="Z1961">
            <v>0</v>
          </cell>
          <cell r="AA1961">
            <v>5792585.1205128282</v>
          </cell>
          <cell r="AB1961">
            <v>0</v>
          </cell>
          <cell r="AC1961">
            <v>0</v>
          </cell>
          <cell r="AD1961">
            <v>5792585.1205128282</v>
          </cell>
          <cell r="AL1961">
            <v>0</v>
          </cell>
          <cell r="AM1961">
            <v>3.0845089366564934E-2</v>
          </cell>
          <cell r="AN1961">
            <v>0.10586420596234675</v>
          </cell>
          <cell r="AO1961">
            <v>0.10742257726029644</v>
          </cell>
          <cell r="AP1961">
            <v>0.11093599464181671</v>
          </cell>
          <cell r="AQ1961">
            <v>0.11093599464181671</v>
          </cell>
          <cell r="AR1961">
            <v>0.11093599464181671</v>
          </cell>
          <cell r="AS1961">
            <v>0.11093599464181671</v>
          </cell>
          <cell r="BF1961">
            <v>0</v>
          </cell>
          <cell r="BG1961">
            <v>452957.64999999956</v>
          </cell>
          <cell r="BH1961">
            <v>2292290.33</v>
          </cell>
          <cell r="BI1961">
            <v>604365.80999999982</v>
          </cell>
          <cell r="BJ1961">
            <v>693891.33000000054</v>
          </cell>
          <cell r="BK1961">
            <v>876871.38000000035</v>
          </cell>
          <cell r="BL1961">
            <v>575562.54189619445</v>
          </cell>
          <cell r="BM1961">
            <v>2750691.0618961947</v>
          </cell>
          <cell r="BN1961">
            <v>642606.19189147826</v>
          </cell>
          <cell r="BO1961">
            <v>0</v>
          </cell>
          <cell r="BP1961">
            <v>0</v>
          </cell>
          <cell r="BQ1961">
            <v>0</v>
          </cell>
          <cell r="BR1961">
            <v>3393297.2537876731</v>
          </cell>
          <cell r="BT1961">
            <v>0</v>
          </cell>
          <cell r="CA1961" t="str">
            <v>31932X - CONTRACT - Base</v>
          </cell>
          <cell r="CC1961" t="str">
            <v>31932X - CONTRACT - Base - COMG</v>
          </cell>
          <cell r="CD1961" t="str">
            <v/>
          </cell>
          <cell r="CF1961" t="str">
            <v>31932X - Base - COMG</v>
          </cell>
        </row>
        <row r="1962">
          <cell r="D1962">
            <v>1948</v>
          </cell>
          <cell r="E1962">
            <v>2</v>
          </cell>
          <cell r="F1962">
            <v>4</v>
          </cell>
          <cell r="G1962" t="str">
            <v>31932X</v>
          </cell>
          <cell r="H1962" t="str">
            <v>Pfizer Facility Management</v>
          </cell>
          <cell r="I1962" t="str">
            <v>COMG</v>
          </cell>
          <cell r="J1962" t="str">
            <v>Commercial O&amp;M</v>
          </cell>
          <cell r="K1962" t="str">
            <v>Commercial</v>
          </cell>
          <cell r="L1962" t="str">
            <v xml:space="preserve">Commercial </v>
          </cell>
          <cell r="M1962" t="str">
            <v>NY</v>
          </cell>
          <cell r="N1962" t="str">
            <v>CONUS</v>
          </cell>
          <cell r="O1962">
            <v>0</v>
          </cell>
          <cell r="P1962">
            <v>0</v>
          </cell>
          <cell r="Q1962">
            <v>0</v>
          </cell>
          <cell r="R1962" t="str">
            <v>FFP</v>
          </cell>
          <cell r="S1962">
            <v>0</v>
          </cell>
          <cell r="T1962">
            <v>1</v>
          </cell>
          <cell r="U1962" t="str">
            <v>CONTRACT</v>
          </cell>
          <cell r="V1962" t="str">
            <v>Identified - Recompete</v>
          </cell>
          <cell r="W1962">
            <v>0</v>
          </cell>
          <cell r="X1962">
            <v>0</v>
          </cell>
          <cell r="Y1962">
            <v>0</v>
          </cell>
          <cell r="Z1962">
            <v>0</v>
          </cell>
          <cell r="AA1962">
            <v>0</v>
          </cell>
          <cell r="AB1962">
            <v>0</v>
          </cell>
          <cell r="AC1962">
            <v>0</v>
          </cell>
          <cell r="AD1962">
            <v>0</v>
          </cell>
          <cell r="AP1962">
            <v>0</v>
          </cell>
          <cell r="AQ1962">
            <v>0</v>
          </cell>
          <cell r="AR1962">
            <v>0</v>
          </cell>
          <cell r="AS1962">
            <v>0</v>
          </cell>
          <cell r="BI1962">
            <v>0</v>
          </cell>
          <cell r="BJ1962">
            <v>0</v>
          </cell>
          <cell r="BK1962">
            <v>0</v>
          </cell>
          <cell r="BL1962">
            <v>0</v>
          </cell>
          <cell r="BM1962">
            <v>0</v>
          </cell>
          <cell r="BN1962">
            <v>0</v>
          </cell>
          <cell r="BO1962">
            <v>0</v>
          </cell>
          <cell r="BP1962">
            <v>0</v>
          </cell>
          <cell r="BQ1962">
            <v>0</v>
          </cell>
          <cell r="BR1962">
            <v>0</v>
          </cell>
          <cell r="BT1962">
            <v>0</v>
          </cell>
          <cell r="CA1962" t="str">
            <v>31932X - CONTRACT - Identified - Recompete</v>
          </cell>
          <cell r="CC1962" t="str">
            <v>31932X - CONTRACT - Identified - Recompete - COMG</v>
          </cell>
          <cell r="CD1962" t="str">
            <v/>
          </cell>
          <cell r="CF1962" t="str">
            <v>31932X - Identified - Recompete - COMG</v>
          </cell>
        </row>
        <row r="1963">
          <cell r="D1963">
            <v>1949</v>
          </cell>
          <cell r="E1963">
            <v>0</v>
          </cell>
          <cell r="F1963">
            <v>5</v>
          </cell>
          <cell r="G1963" t="str">
            <v>31932X</v>
          </cell>
          <cell r="H1963" t="str">
            <v>Pfizer Facility Management</v>
          </cell>
          <cell r="I1963" t="str">
            <v>COMG</v>
          </cell>
          <cell r="J1963" t="str">
            <v>Commercial O&amp;M</v>
          </cell>
          <cell r="K1963" t="str">
            <v>Commercial</v>
          </cell>
          <cell r="L1963" t="str">
            <v xml:space="preserve">Commercial </v>
          </cell>
          <cell r="M1963" t="str">
            <v>NY</v>
          </cell>
          <cell r="N1963" t="str">
            <v>CONUS</v>
          </cell>
          <cell r="O1963">
            <v>43353</v>
          </cell>
          <cell r="P1963">
            <v>43524</v>
          </cell>
          <cell r="Q1963" t="str">
            <v>Prime</v>
          </cell>
          <cell r="R1963" t="str">
            <v>FFP</v>
          </cell>
          <cell r="S1963">
            <v>0</v>
          </cell>
          <cell r="T1963">
            <v>1</v>
          </cell>
          <cell r="U1963" t="str">
            <v>EBITA</v>
          </cell>
          <cell r="V1963" t="str">
            <v>Base</v>
          </cell>
          <cell r="W1963" t="str">
            <v>05 Won</v>
          </cell>
          <cell r="X1963" t="str">
            <v>Active</v>
          </cell>
          <cell r="Y1963">
            <v>1</v>
          </cell>
          <cell r="Z1963">
            <v>0</v>
          </cell>
          <cell r="AA1963">
            <v>5792585.1205128282</v>
          </cell>
          <cell r="AB1963">
            <v>0</v>
          </cell>
          <cell r="AC1963">
            <v>0</v>
          </cell>
          <cell r="AD1963">
            <v>5792585.1205128282</v>
          </cell>
          <cell r="AT1963">
            <v>0</v>
          </cell>
          <cell r="AU1963">
            <v>9.2015057548126417E-3</v>
          </cell>
          <cell r="AV1963">
            <v>2.3795322138836214E-2</v>
          </cell>
          <cell r="AW1963">
            <v>3.5395095935200564E-2</v>
          </cell>
          <cell r="AX1963">
            <v>3.0036006496344109E-2</v>
          </cell>
          <cell r="AY1963">
            <v>3.103600649634411E-2</v>
          </cell>
          <cell r="AZ1963">
            <v>3.203600649634411E-2</v>
          </cell>
          <cell r="BA1963">
            <v>3.3036006496344111E-2</v>
          </cell>
          <cell r="BF1963">
            <v>0</v>
          </cell>
          <cell r="BG1963">
            <v>135123.36999999959</v>
          </cell>
          <cell r="BH1963">
            <v>515242.95999999985</v>
          </cell>
          <cell r="BI1963">
            <v>177772.68999999983</v>
          </cell>
          <cell r="BJ1963">
            <v>203794.08000000048</v>
          </cell>
          <cell r="BK1963">
            <v>387918.24000000034</v>
          </cell>
          <cell r="BL1963">
            <v>136851.22309928929</v>
          </cell>
          <cell r="BM1963">
            <v>906336.23309928994</v>
          </cell>
          <cell r="BN1963">
            <v>173986.12431034952</v>
          </cell>
          <cell r="BO1963">
            <v>0</v>
          </cell>
          <cell r="BP1963">
            <v>0</v>
          </cell>
          <cell r="BQ1963">
            <v>0</v>
          </cell>
          <cell r="BR1963">
            <v>1080322.3574096395</v>
          </cell>
          <cell r="BT1963">
            <v>0</v>
          </cell>
          <cell r="CA1963" t="str">
            <v>31932X - EBITA - Base</v>
          </cell>
          <cell r="CC1963" t="str">
            <v>31932X - EBITA - Base - COMG</v>
          </cell>
          <cell r="CD1963" t="str">
            <v/>
          </cell>
          <cell r="CF1963" t="str">
            <v>31932X - Base - COMG</v>
          </cell>
        </row>
        <row r="1964">
          <cell r="D1964">
            <v>1950</v>
          </cell>
          <cell r="E1964">
            <v>0</v>
          </cell>
          <cell r="F1964">
            <v>0</v>
          </cell>
          <cell r="G1964" t="str">
            <v>31932X</v>
          </cell>
          <cell r="H1964" t="str">
            <v>Pfizer Facility Management</v>
          </cell>
          <cell r="I1964" t="str">
            <v>COMG</v>
          </cell>
          <cell r="J1964" t="str">
            <v>Commercial O&amp;M</v>
          </cell>
          <cell r="K1964" t="str">
            <v>Commercial</v>
          </cell>
          <cell r="L1964" t="str">
            <v xml:space="preserve">Commercial </v>
          </cell>
          <cell r="M1964" t="str">
            <v>NY</v>
          </cell>
          <cell r="N1964" t="str">
            <v>CONUS</v>
          </cell>
          <cell r="O1964">
            <v>0</v>
          </cell>
          <cell r="P1964">
            <v>0</v>
          </cell>
          <cell r="Q1964">
            <v>0</v>
          </cell>
          <cell r="R1964" t="str">
            <v>FFP</v>
          </cell>
          <cell r="S1964">
            <v>0</v>
          </cell>
          <cell r="T1964">
            <v>1</v>
          </cell>
          <cell r="U1964" t="str">
            <v>EBITA</v>
          </cell>
          <cell r="V1964" t="str">
            <v>Identified - Recompete</v>
          </cell>
          <cell r="W1964">
            <v>0</v>
          </cell>
          <cell r="X1964">
            <v>0</v>
          </cell>
          <cell r="Y1964">
            <v>0</v>
          </cell>
          <cell r="Z1964">
            <v>0</v>
          </cell>
          <cell r="AA1964">
            <v>0</v>
          </cell>
          <cell r="AB1964">
            <v>0</v>
          </cell>
          <cell r="AC1964">
            <v>0</v>
          </cell>
          <cell r="AD1964">
            <v>0</v>
          </cell>
          <cell r="AX1964">
            <v>0</v>
          </cell>
          <cell r="AY1964">
            <v>0</v>
          </cell>
          <cell r="AZ1964">
            <v>0</v>
          </cell>
          <cell r="BA1964">
            <v>0</v>
          </cell>
          <cell r="BI1964">
            <v>0</v>
          </cell>
          <cell r="BJ1964">
            <v>0</v>
          </cell>
          <cell r="BK1964">
            <v>0</v>
          </cell>
          <cell r="BL1964">
            <v>0</v>
          </cell>
          <cell r="BM1964">
            <v>0</v>
          </cell>
          <cell r="BN1964">
            <v>0</v>
          </cell>
          <cell r="BO1964">
            <v>0</v>
          </cell>
          <cell r="BP1964">
            <v>0</v>
          </cell>
          <cell r="BQ1964">
            <v>0</v>
          </cell>
          <cell r="BR1964">
            <v>0</v>
          </cell>
          <cell r="BT1964">
            <v>0</v>
          </cell>
          <cell r="CA1964" t="str">
            <v>31932X - EBITA - Identified - Recompete</v>
          </cell>
          <cell r="CC1964" t="str">
            <v>31932X - EBITA - Identified - Recompete - COMG</v>
          </cell>
          <cell r="CD1964" t="str">
            <v/>
          </cell>
          <cell r="CF1964" t="str">
            <v>31932X - Identified - Recompete - COMG</v>
          </cell>
        </row>
        <row r="1965">
          <cell r="D1965">
            <v>1951</v>
          </cell>
          <cell r="E1965">
            <v>1</v>
          </cell>
          <cell r="F1965">
            <v>1</v>
          </cell>
          <cell r="G1965" t="str">
            <v>CATINC</v>
          </cell>
          <cell r="H1965" t="str">
            <v>Caterpillar Inc</v>
          </cell>
          <cell r="I1965" t="str">
            <v>COMG</v>
          </cell>
          <cell r="J1965" t="str">
            <v>Commercial O&amp;M</v>
          </cell>
          <cell r="K1965" t="str">
            <v>Commercial</v>
          </cell>
          <cell r="L1965" t="str">
            <v xml:space="preserve">Commercial </v>
          </cell>
          <cell r="M1965" t="str">
            <v>US_State</v>
          </cell>
          <cell r="N1965" t="str">
            <v>CONUS</v>
          </cell>
          <cell r="O1965">
            <v>43326</v>
          </cell>
          <cell r="P1965">
            <v>44927</v>
          </cell>
          <cell r="Q1965" t="str">
            <v>Prime</v>
          </cell>
          <cell r="R1965" t="str">
            <v>CPFF</v>
          </cell>
          <cell r="S1965">
            <v>0</v>
          </cell>
          <cell r="T1965">
            <v>1</v>
          </cell>
          <cell r="U1965" t="str">
            <v>REVTOT</v>
          </cell>
          <cell r="V1965" t="str">
            <v>Base</v>
          </cell>
          <cell r="W1965" t="str">
            <v>05 Won</v>
          </cell>
          <cell r="X1965" t="str">
            <v>Active</v>
          </cell>
          <cell r="Y1965">
            <v>1</v>
          </cell>
          <cell r="Z1965">
            <v>0</v>
          </cell>
          <cell r="AA1965">
            <v>20535869.54315557</v>
          </cell>
          <cell r="AB1965">
            <v>308040762.32031</v>
          </cell>
          <cell r="AC1965">
            <v>0</v>
          </cell>
          <cell r="AD1965">
            <v>328576631.86346555</v>
          </cell>
          <cell r="AE1965">
            <v>-4.4437419647805787E-2</v>
          </cell>
          <cell r="AF1965">
            <v>8.5385706349604407E-2</v>
          </cell>
          <cell r="AG1965">
            <v>3.3823179052094865E-3</v>
          </cell>
          <cell r="AH1965">
            <v>1.9429588553786292E-2</v>
          </cell>
          <cell r="AI1965">
            <v>2.5000000000000001E-2</v>
          </cell>
          <cell r="AJ1965">
            <v>2.5000000000000001E-2</v>
          </cell>
          <cell r="AK1965">
            <v>2.5000000000000001E-2</v>
          </cell>
          <cell r="BB1965">
            <v>78657220.590000004</v>
          </cell>
          <cell r="BC1965">
            <v>80623651.104749992</v>
          </cell>
          <cell r="BD1965">
            <v>82639242.382368729</v>
          </cell>
          <cell r="BE1965">
            <v>84705223.44192794</v>
          </cell>
          <cell r="BF1965">
            <v>74143261.38000001</v>
          </cell>
          <cell r="BG1965">
            <v>70848526.159999996</v>
          </cell>
          <cell r="BH1965">
            <v>76897977.610000014</v>
          </cell>
          <cell r="BI1965">
            <v>22335163.649999999</v>
          </cell>
          <cell r="BJ1965">
            <v>20008019.620000001</v>
          </cell>
          <cell r="BK1965">
            <v>18456796.57</v>
          </cell>
          <cell r="BL1965">
            <v>16358091.176544718</v>
          </cell>
          <cell r="BM1965">
            <v>77158071.016544715</v>
          </cell>
          <cell r="BN1965">
            <v>78657220.590000004</v>
          </cell>
          <cell r="BO1965">
            <v>80623651.104749992</v>
          </cell>
          <cell r="BP1965">
            <v>82639242.382368729</v>
          </cell>
          <cell r="BQ1965">
            <v>84705223.44192794</v>
          </cell>
          <cell r="BR1965">
            <v>403783408.53559136</v>
          </cell>
          <cell r="BT1965">
            <v>0</v>
          </cell>
          <cell r="CA1965" t="str">
            <v>CATINC - REVTOT - Base</v>
          </cell>
          <cell r="CC1965" t="str">
            <v>CATINC - REVTOT - Base - COMG</v>
          </cell>
          <cell r="CD1965" t="str">
            <v/>
          </cell>
          <cell r="CF1965" t="str">
            <v>CATINC - Base - COMG</v>
          </cell>
        </row>
        <row r="1966">
          <cell r="D1966">
            <v>1952</v>
          </cell>
          <cell r="E1966">
            <v>1</v>
          </cell>
          <cell r="F1966">
            <v>2</v>
          </cell>
          <cell r="G1966" t="str">
            <v>CATINC</v>
          </cell>
          <cell r="H1966" t="str">
            <v>Caterpillar Inc</v>
          </cell>
          <cell r="I1966" t="str">
            <v>COMG</v>
          </cell>
          <cell r="J1966" t="str">
            <v>Commercial O&amp;M</v>
          </cell>
          <cell r="K1966" t="str">
            <v>Commercial</v>
          </cell>
          <cell r="L1966" t="str">
            <v xml:space="preserve">Commercial </v>
          </cell>
          <cell r="M1966" t="str">
            <v>US_State</v>
          </cell>
          <cell r="N1966" t="str">
            <v>CONUS</v>
          </cell>
          <cell r="O1966">
            <v>0</v>
          </cell>
          <cell r="P1966">
            <v>0</v>
          </cell>
          <cell r="Q1966">
            <v>0</v>
          </cell>
          <cell r="R1966" t="str">
            <v>CPFF</v>
          </cell>
          <cell r="S1966">
            <v>0</v>
          </cell>
          <cell r="T1966">
            <v>1</v>
          </cell>
          <cell r="U1966" t="str">
            <v>REVTOT</v>
          </cell>
          <cell r="V1966" t="str">
            <v>Identified - Recompete</v>
          </cell>
          <cell r="W1966">
            <v>0</v>
          </cell>
          <cell r="X1966">
            <v>0</v>
          </cell>
          <cell r="Y1966">
            <v>0</v>
          </cell>
          <cell r="Z1966">
            <v>0</v>
          </cell>
          <cell r="AA1966">
            <v>0</v>
          </cell>
          <cell r="AB1966">
            <v>0</v>
          </cell>
          <cell r="AC1966">
            <v>0</v>
          </cell>
          <cell r="AD1966">
            <v>0</v>
          </cell>
          <cell r="AI1966">
            <v>0</v>
          </cell>
          <cell r="AJ1966">
            <v>0</v>
          </cell>
          <cell r="AK1966">
            <v>0</v>
          </cell>
          <cell r="BB1966">
            <v>0</v>
          </cell>
          <cell r="BC1966">
            <v>0</v>
          </cell>
          <cell r="BD1966">
            <v>0</v>
          </cell>
          <cell r="BE1966">
            <v>0</v>
          </cell>
          <cell r="BI1966">
            <v>0</v>
          </cell>
          <cell r="BJ1966">
            <v>0</v>
          </cell>
          <cell r="BK1966">
            <v>0</v>
          </cell>
          <cell r="BL1966">
            <v>0</v>
          </cell>
          <cell r="BM1966">
            <v>0</v>
          </cell>
          <cell r="BN1966">
            <v>0</v>
          </cell>
          <cell r="BO1966">
            <v>0</v>
          </cell>
          <cell r="BP1966">
            <v>0</v>
          </cell>
          <cell r="BQ1966">
            <v>0</v>
          </cell>
          <cell r="BR1966">
            <v>0</v>
          </cell>
          <cell r="BT1966">
            <v>0</v>
          </cell>
          <cell r="CA1966" t="str">
            <v>CATINC - REVTOT - Identified - Recompete</v>
          </cell>
          <cell r="CC1966" t="str">
            <v>CATINC - REVTOT - Identified - Recompete - COMG</v>
          </cell>
          <cell r="CD1966" t="str">
            <v/>
          </cell>
          <cell r="CF1966" t="str">
            <v>CATINC - Identified - Recompete - COMG</v>
          </cell>
        </row>
        <row r="1967">
          <cell r="D1967">
            <v>1953</v>
          </cell>
          <cell r="E1967">
            <v>2</v>
          </cell>
          <cell r="F1967">
            <v>3</v>
          </cell>
          <cell r="G1967" t="str">
            <v>CATINC</v>
          </cell>
          <cell r="H1967" t="str">
            <v>Caterpillar Inc</v>
          </cell>
          <cell r="I1967" t="str">
            <v>COMG</v>
          </cell>
          <cell r="J1967" t="str">
            <v>Commercial O&amp;M</v>
          </cell>
          <cell r="K1967" t="str">
            <v>Commercial</v>
          </cell>
          <cell r="L1967" t="str">
            <v xml:space="preserve">Commercial </v>
          </cell>
          <cell r="M1967" t="str">
            <v>US_State</v>
          </cell>
          <cell r="N1967" t="str">
            <v>CONUS</v>
          </cell>
          <cell r="O1967">
            <v>43326</v>
          </cell>
          <cell r="P1967">
            <v>44927</v>
          </cell>
          <cell r="Q1967" t="str">
            <v>Prime</v>
          </cell>
          <cell r="R1967" t="str">
            <v>CPFF</v>
          </cell>
          <cell r="S1967">
            <v>0</v>
          </cell>
          <cell r="T1967">
            <v>1</v>
          </cell>
          <cell r="U1967" t="str">
            <v>CONTRACT</v>
          </cell>
          <cell r="V1967" t="str">
            <v>Base</v>
          </cell>
          <cell r="W1967" t="str">
            <v>05 Won</v>
          </cell>
          <cell r="X1967" t="str">
            <v>Active</v>
          </cell>
          <cell r="Y1967">
            <v>1</v>
          </cell>
          <cell r="Z1967">
            <v>0</v>
          </cell>
          <cell r="AA1967">
            <v>20535869.54315557</v>
          </cell>
          <cell r="AB1967">
            <v>308040762.32031</v>
          </cell>
          <cell r="AC1967">
            <v>0</v>
          </cell>
          <cell r="AD1967">
            <v>328576631.86346555</v>
          </cell>
          <cell r="AL1967">
            <v>6.6073186407220277E-2</v>
          </cell>
          <cell r="AM1967">
            <v>0.11633068289080695</v>
          </cell>
          <cell r="AN1967">
            <v>0.20991261996337435</v>
          </cell>
          <cell r="AO1967">
            <v>0.18872716857094041</v>
          </cell>
          <cell r="AP1967">
            <v>0.19634482506324077</v>
          </cell>
          <cell r="AQ1967">
            <v>0.19634482506324077</v>
          </cell>
          <cell r="AR1967">
            <v>0.19634482506324077</v>
          </cell>
          <cell r="AS1967">
            <v>0.19634482506324077</v>
          </cell>
          <cell r="BF1967">
            <v>4898881.5299999965</v>
          </cell>
          <cell r="BG1967">
            <v>8241857.4299999997</v>
          </cell>
          <cell r="BH1967">
            <v>16141855.950000003</v>
          </cell>
          <cell r="BI1967">
            <v>4295834.4800000004</v>
          </cell>
          <cell r="BJ1967">
            <v>3728621.1800000006</v>
          </cell>
          <cell r="BK1967">
            <v>3424876.2599999988</v>
          </cell>
          <cell r="BL1967">
            <v>3112492.3553480273</v>
          </cell>
          <cell r="BM1967">
            <v>14561824.275348026</v>
          </cell>
          <cell r="BN1967">
            <v>15443938.21670429</v>
          </cell>
          <cell r="BO1967">
            <v>15830036.672121895</v>
          </cell>
          <cell r="BP1967">
            <v>16225787.588924941</v>
          </cell>
          <cell r="BQ1967">
            <v>16631432.278648064</v>
          </cell>
          <cell r="BR1967">
            <v>78693019.031747222</v>
          </cell>
          <cell r="BT1967">
            <v>0</v>
          </cell>
          <cell r="CA1967" t="str">
            <v>CATINC - CONTRACT - Base</v>
          </cell>
          <cell r="CC1967" t="str">
            <v>CATINC - CONTRACT - Base - COMG</v>
          </cell>
          <cell r="CD1967" t="str">
            <v/>
          </cell>
          <cell r="CF1967" t="str">
            <v>CATINC - Base - COMG</v>
          </cell>
        </row>
        <row r="1968">
          <cell r="D1968">
            <v>1954</v>
          </cell>
          <cell r="E1968">
            <v>2</v>
          </cell>
          <cell r="F1968">
            <v>4</v>
          </cell>
          <cell r="G1968" t="str">
            <v>CATINC</v>
          </cell>
          <cell r="H1968" t="str">
            <v>Caterpillar Inc</v>
          </cell>
          <cell r="I1968" t="str">
            <v>COMG</v>
          </cell>
          <cell r="J1968" t="str">
            <v>Commercial O&amp;M</v>
          </cell>
          <cell r="K1968" t="str">
            <v>Commercial</v>
          </cell>
          <cell r="L1968" t="str">
            <v xml:space="preserve">Commercial </v>
          </cell>
          <cell r="M1968" t="str">
            <v>US_State</v>
          </cell>
          <cell r="N1968" t="str">
            <v>CONUS</v>
          </cell>
          <cell r="O1968">
            <v>0</v>
          </cell>
          <cell r="P1968">
            <v>0</v>
          </cell>
          <cell r="Q1968">
            <v>0</v>
          </cell>
          <cell r="R1968" t="str">
            <v>CPFF</v>
          </cell>
          <cell r="S1968">
            <v>0</v>
          </cell>
          <cell r="T1968">
            <v>1</v>
          </cell>
          <cell r="U1968" t="str">
            <v>CONTRACT</v>
          </cell>
          <cell r="V1968" t="str">
            <v>Identified - Recompete</v>
          </cell>
          <cell r="W1968">
            <v>0</v>
          </cell>
          <cell r="X1968">
            <v>0</v>
          </cell>
          <cell r="Y1968">
            <v>0</v>
          </cell>
          <cell r="Z1968">
            <v>0</v>
          </cell>
          <cell r="AA1968">
            <v>0</v>
          </cell>
          <cell r="AB1968">
            <v>0</v>
          </cell>
          <cell r="AC1968">
            <v>0</v>
          </cell>
          <cell r="AD1968">
            <v>0</v>
          </cell>
          <cell r="AP1968">
            <v>0</v>
          </cell>
          <cell r="AQ1968">
            <v>0</v>
          </cell>
          <cell r="AR1968">
            <v>0</v>
          </cell>
          <cell r="AS1968">
            <v>0</v>
          </cell>
          <cell r="BI1968">
            <v>0</v>
          </cell>
          <cell r="BJ1968">
            <v>0</v>
          </cell>
          <cell r="BK1968">
            <v>0</v>
          </cell>
          <cell r="BL1968">
            <v>0</v>
          </cell>
          <cell r="BM1968">
            <v>0</v>
          </cell>
          <cell r="BN1968">
            <v>0</v>
          </cell>
          <cell r="BO1968">
            <v>0</v>
          </cell>
          <cell r="BP1968">
            <v>0</v>
          </cell>
          <cell r="BQ1968">
            <v>0</v>
          </cell>
          <cell r="BR1968">
            <v>0</v>
          </cell>
          <cell r="BT1968">
            <v>0</v>
          </cell>
          <cell r="CA1968" t="str">
            <v>CATINC - CONTRACT - Identified - Recompete</v>
          </cell>
          <cell r="CC1968" t="str">
            <v>CATINC - CONTRACT - Identified - Recompete - COMG</v>
          </cell>
          <cell r="CD1968" t="str">
            <v/>
          </cell>
          <cell r="CF1968" t="str">
            <v>CATINC - Identified - Recompete - COMG</v>
          </cell>
        </row>
        <row r="1969">
          <cell r="D1969">
            <v>1955</v>
          </cell>
          <cell r="E1969">
            <v>0</v>
          </cell>
          <cell r="F1969">
            <v>5</v>
          </cell>
          <cell r="G1969" t="str">
            <v>CATINC</v>
          </cell>
          <cell r="H1969" t="str">
            <v>Caterpillar Inc</v>
          </cell>
          <cell r="I1969" t="str">
            <v>COMG</v>
          </cell>
          <cell r="J1969" t="str">
            <v>Commercial O&amp;M</v>
          </cell>
          <cell r="K1969" t="str">
            <v>Commercial</v>
          </cell>
          <cell r="L1969" t="str">
            <v xml:space="preserve">Commercial </v>
          </cell>
          <cell r="M1969" t="str">
            <v>US_State</v>
          </cell>
          <cell r="N1969" t="str">
            <v>CONUS</v>
          </cell>
          <cell r="O1969">
            <v>43326</v>
          </cell>
          <cell r="P1969">
            <v>44927</v>
          </cell>
          <cell r="Q1969" t="str">
            <v>Prime</v>
          </cell>
          <cell r="R1969" t="str">
            <v>CPFF</v>
          </cell>
          <cell r="S1969">
            <v>0</v>
          </cell>
          <cell r="T1969">
            <v>1</v>
          </cell>
          <cell r="U1969" t="str">
            <v>EBITA</v>
          </cell>
          <cell r="V1969" t="str">
            <v>Base</v>
          </cell>
          <cell r="W1969" t="str">
            <v>05 Won</v>
          </cell>
          <cell r="X1969" t="str">
            <v>Active</v>
          </cell>
          <cell r="Y1969">
            <v>1</v>
          </cell>
          <cell r="Z1969">
            <v>0</v>
          </cell>
          <cell r="AA1969">
            <v>20535869.54315557</v>
          </cell>
          <cell r="AB1969">
            <v>308040762.32031</v>
          </cell>
          <cell r="AC1969">
            <v>0</v>
          </cell>
          <cell r="AD1969">
            <v>328576631.86346555</v>
          </cell>
          <cell r="AT1969">
            <v>6.6575883473767902E-2</v>
          </cell>
          <cell r="AU1969">
            <v>9.0320362706610757E-2</v>
          </cell>
          <cell r="AV1969">
            <v>6.4859732661570094E-2</v>
          </cell>
          <cell r="AW1969">
            <v>4.5291357284250079E-2</v>
          </cell>
          <cell r="AX1969">
            <v>5.3999999999999999E-2</v>
          </cell>
          <cell r="AY1969">
            <v>5.3999999999999999E-2</v>
          </cell>
          <cell r="AZ1969">
            <v>5.3999999999999999E-2</v>
          </cell>
          <cell r="BA1969">
            <v>5.3999999999999999E-2</v>
          </cell>
          <cell r="BF1969">
            <v>4936153.1299999971</v>
          </cell>
          <cell r="BG1969">
            <v>6399064.5800000001</v>
          </cell>
          <cell r="BH1969">
            <v>4987582.2700000042</v>
          </cell>
          <cell r="BI1969">
            <v>1141035.6400000001</v>
          </cell>
          <cell r="BJ1969">
            <v>828021.72000000067</v>
          </cell>
          <cell r="BK1969">
            <v>725622.39999999898</v>
          </cell>
          <cell r="BL1969">
            <v>799914.00177386752</v>
          </cell>
          <cell r="BM1969">
            <v>3494593.7617738675</v>
          </cell>
          <cell r="BN1969">
            <v>4247489.9118600003</v>
          </cell>
          <cell r="BO1969">
            <v>4353677.1596564995</v>
          </cell>
          <cell r="BP1969">
            <v>4462519.0886479113</v>
          </cell>
          <cell r="BQ1969">
            <v>4574082.0658641085</v>
          </cell>
          <cell r="BR1969">
            <v>21132361.987802386</v>
          </cell>
          <cell r="BT1969">
            <v>0</v>
          </cell>
          <cell r="CA1969" t="str">
            <v>CATINC - EBITA - Base</v>
          </cell>
          <cell r="CC1969" t="str">
            <v>CATINC - EBITA - Base - COMG</v>
          </cell>
          <cell r="CD1969" t="str">
            <v/>
          </cell>
          <cell r="CF1969" t="str">
            <v>CATINC - Base - COMG</v>
          </cell>
        </row>
        <row r="1970">
          <cell r="D1970">
            <v>1956</v>
          </cell>
          <cell r="E1970">
            <v>0</v>
          </cell>
          <cell r="F1970">
            <v>0</v>
          </cell>
          <cell r="G1970" t="str">
            <v>CATINC</v>
          </cell>
          <cell r="H1970" t="str">
            <v>Caterpillar Inc</v>
          </cell>
          <cell r="I1970" t="str">
            <v>COMG</v>
          </cell>
          <cell r="J1970" t="str">
            <v>Commercial O&amp;M</v>
          </cell>
          <cell r="K1970" t="str">
            <v>Commercial</v>
          </cell>
          <cell r="L1970" t="str">
            <v xml:space="preserve">Commercial </v>
          </cell>
          <cell r="M1970" t="str">
            <v>US_State</v>
          </cell>
          <cell r="N1970" t="str">
            <v>CONUS</v>
          </cell>
          <cell r="O1970">
            <v>0</v>
          </cell>
          <cell r="P1970">
            <v>0</v>
          </cell>
          <cell r="Q1970">
            <v>0</v>
          </cell>
          <cell r="R1970" t="str">
            <v>CPFF</v>
          </cell>
          <cell r="S1970">
            <v>0</v>
          </cell>
          <cell r="T1970">
            <v>1</v>
          </cell>
          <cell r="U1970" t="str">
            <v>EBITA</v>
          </cell>
          <cell r="V1970" t="str">
            <v>Identified - Recompete</v>
          </cell>
          <cell r="W1970">
            <v>0</v>
          </cell>
          <cell r="X1970">
            <v>0</v>
          </cell>
          <cell r="Y1970">
            <v>0</v>
          </cell>
          <cell r="Z1970">
            <v>0</v>
          </cell>
          <cell r="AA1970">
            <v>0</v>
          </cell>
          <cell r="AB1970">
            <v>0</v>
          </cell>
          <cell r="AC1970">
            <v>0</v>
          </cell>
          <cell r="AD1970">
            <v>0</v>
          </cell>
          <cell r="AX1970">
            <v>0</v>
          </cell>
          <cell r="AY1970">
            <v>0</v>
          </cell>
          <cell r="AZ1970">
            <v>0</v>
          </cell>
          <cell r="BA1970">
            <v>0</v>
          </cell>
          <cell r="BI1970">
            <v>0</v>
          </cell>
          <cell r="BJ1970">
            <v>0</v>
          </cell>
          <cell r="BK1970">
            <v>0</v>
          </cell>
          <cell r="BL1970">
            <v>0</v>
          </cell>
          <cell r="BM1970">
            <v>0</v>
          </cell>
          <cell r="BN1970">
            <v>0</v>
          </cell>
          <cell r="BO1970">
            <v>0</v>
          </cell>
          <cell r="BP1970">
            <v>0</v>
          </cell>
          <cell r="BQ1970">
            <v>0</v>
          </cell>
          <cell r="BR1970">
            <v>0</v>
          </cell>
          <cell r="BT1970">
            <v>0</v>
          </cell>
          <cell r="CA1970" t="str">
            <v>CATINC - EBITA - Identified - Recompete</v>
          </cell>
          <cell r="CC1970" t="str">
            <v>CATINC - EBITA - Identified - Recompete - COMG</v>
          </cell>
          <cell r="CD1970" t="str">
            <v/>
          </cell>
          <cell r="CF1970" t="str">
            <v>CATINC - Identified - Recompete - COMG</v>
          </cell>
        </row>
        <row r="1971">
          <cell r="D1971">
            <v>1957</v>
          </cell>
          <cell r="E1971">
            <v>1</v>
          </cell>
          <cell r="F1971">
            <v>1</v>
          </cell>
          <cell r="G1971" t="str">
            <v>MSFTXX</v>
          </cell>
          <cell r="H1971" t="str">
            <v>Microsoft Data Center Services</v>
          </cell>
          <cell r="I1971" t="str">
            <v>COMG</v>
          </cell>
          <cell r="J1971" t="str">
            <v>Commercial O&amp;M</v>
          </cell>
          <cell r="K1971" t="str">
            <v>Commercial</v>
          </cell>
          <cell r="L1971" t="str">
            <v xml:space="preserve">Commercial </v>
          </cell>
          <cell r="M1971" t="str">
            <v>US_State</v>
          </cell>
          <cell r="N1971" t="str">
            <v>CONUS</v>
          </cell>
          <cell r="O1971">
            <v>43374</v>
          </cell>
          <cell r="P1971">
            <v>43830</v>
          </cell>
          <cell r="Q1971" t="str">
            <v>Prime</v>
          </cell>
          <cell r="R1971" t="str">
            <v>FFP</v>
          </cell>
          <cell r="S1971">
            <v>0</v>
          </cell>
          <cell r="T1971">
            <v>1</v>
          </cell>
          <cell r="U1971" t="str">
            <v>REVTOT</v>
          </cell>
          <cell r="V1971" t="str">
            <v>Base</v>
          </cell>
          <cell r="W1971" t="str">
            <v>05 Won</v>
          </cell>
          <cell r="X1971" t="str">
            <v>Active</v>
          </cell>
          <cell r="Y1971">
            <v>1</v>
          </cell>
          <cell r="Z1971">
            <v>0</v>
          </cell>
          <cell r="AA1971">
            <v>13403815.950000003</v>
          </cell>
          <cell r="AB1971">
            <v>0</v>
          </cell>
          <cell r="AC1971">
            <v>0</v>
          </cell>
          <cell r="AD1971">
            <v>13403815.950000003</v>
          </cell>
          <cell r="AE1971">
            <v>0</v>
          </cell>
          <cell r="AF1971">
            <v>0</v>
          </cell>
          <cell r="AG1971">
            <v>0</v>
          </cell>
          <cell r="AH1971">
            <v>-0.65940969601645993</v>
          </cell>
          <cell r="AI1971">
            <v>0</v>
          </cell>
          <cell r="AJ1971">
            <v>0</v>
          </cell>
          <cell r="AK1971">
            <v>0</v>
          </cell>
          <cell r="BB1971">
            <v>13742010</v>
          </cell>
          <cell r="BC1971">
            <v>13742010</v>
          </cell>
          <cell r="BD1971">
            <v>13742010</v>
          </cell>
          <cell r="BE1971">
            <v>13742010</v>
          </cell>
          <cell r="BF1971">
            <v>0</v>
          </cell>
          <cell r="BG1971">
            <v>0</v>
          </cell>
          <cell r="BH1971">
            <v>0</v>
          </cell>
          <cell r="BI1971">
            <v>756160.23</v>
          </cell>
          <cell r="BJ1971">
            <v>2571626.21</v>
          </cell>
          <cell r="BK1971">
            <v>3302323.91</v>
          </cell>
          <cell r="BL1971">
            <v>3456796</v>
          </cell>
          <cell r="BM1971">
            <v>10086906.35</v>
          </cell>
          <cell r="BN1971">
            <v>3435502.5</v>
          </cell>
          <cell r="BO1971">
            <v>0</v>
          </cell>
          <cell r="BP1971">
            <v>0</v>
          </cell>
          <cell r="BQ1971">
            <v>0</v>
          </cell>
          <cell r="BR1971">
            <v>13522408.85</v>
          </cell>
          <cell r="BT1971">
            <v>0</v>
          </cell>
          <cell r="CA1971" t="str">
            <v>MSFTXX - REVTOT - Base</v>
          </cell>
          <cell r="CC1971" t="str">
            <v>MSFTXX - REVTOT - Base - COMG</v>
          </cell>
          <cell r="CD1971" t="str">
            <v/>
          </cell>
          <cell r="CF1971" t="str">
            <v>MSFTXX - Base - COMG</v>
          </cell>
        </row>
        <row r="1972">
          <cell r="D1972">
            <v>1958</v>
          </cell>
          <cell r="E1972">
            <v>1</v>
          </cell>
          <cell r="F1972">
            <v>2</v>
          </cell>
          <cell r="G1972" t="str">
            <v>MSFTXX</v>
          </cell>
          <cell r="H1972" t="str">
            <v>Microsoft Data Center Services</v>
          </cell>
          <cell r="I1972" t="str">
            <v>COMG</v>
          </cell>
          <cell r="J1972" t="str">
            <v>Commercial O&amp;M</v>
          </cell>
          <cell r="K1972" t="str">
            <v>Commercial</v>
          </cell>
          <cell r="L1972" t="str">
            <v xml:space="preserve">Commercial </v>
          </cell>
          <cell r="M1972" t="str">
            <v>US_State</v>
          </cell>
          <cell r="N1972" t="str">
            <v>CONUS</v>
          </cell>
          <cell r="O1972">
            <v>43831</v>
          </cell>
          <cell r="P1972">
            <v>45291</v>
          </cell>
          <cell r="Q1972" t="str">
            <v>Prime</v>
          </cell>
          <cell r="R1972" t="str">
            <v>FFP</v>
          </cell>
          <cell r="S1972">
            <v>0</v>
          </cell>
          <cell r="T1972">
            <v>1</v>
          </cell>
          <cell r="U1972" t="str">
            <v>REVTOT</v>
          </cell>
          <cell r="V1972" t="str">
            <v>Identified - Recompete</v>
          </cell>
          <cell r="W1972" t="str">
            <v>00 Investigate</v>
          </cell>
          <cell r="X1972" t="str">
            <v>Priority 3</v>
          </cell>
          <cell r="Y1972">
            <v>0.9</v>
          </cell>
          <cell r="Z1972">
            <v>55000000</v>
          </cell>
          <cell r="AA1972">
            <v>0</v>
          </cell>
          <cell r="AB1972">
            <v>0</v>
          </cell>
          <cell r="AC1972">
            <v>0</v>
          </cell>
          <cell r="AD1972">
            <v>0</v>
          </cell>
          <cell r="AI1972">
            <v>0</v>
          </cell>
          <cell r="AJ1972">
            <v>0</v>
          </cell>
          <cell r="AK1972">
            <v>0</v>
          </cell>
          <cell r="BB1972">
            <v>13742010</v>
          </cell>
          <cell r="BC1972">
            <v>13742010</v>
          </cell>
          <cell r="BD1972">
            <v>13742010</v>
          </cell>
          <cell r="BE1972">
            <v>13742010</v>
          </cell>
          <cell r="BI1972">
            <v>0</v>
          </cell>
          <cell r="BJ1972">
            <v>0</v>
          </cell>
          <cell r="BK1972">
            <v>0</v>
          </cell>
          <cell r="BL1972">
            <v>0</v>
          </cell>
          <cell r="BM1972">
            <v>0</v>
          </cell>
          <cell r="BN1972">
            <v>9241501.7249999996</v>
          </cell>
          <cell r="BO1972">
            <v>12367809</v>
          </cell>
          <cell r="BP1972">
            <v>12367809</v>
          </cell>
          <cell r="BQ1972">
            <v>12367809</v>
          </cell>
          <cell r="BR1972">
            <v>46344928.725000001</v>
          </cell>
          <cell r="BT1972">
            <v>0</v>
          </cell>
          <cell r="CA1972" t="str">
            <v>MSFTXX - REVTOT - Identified - Recompete</v>
          </cell>
          <cell r="CC1972" t="str">
            <v>MSFTXX - REVTOT - Identified - Recompete - COMG</v>
          </cell>
          <cell r="CD1972" t="str">
            <v/>
          </cell>
          <cell r="CF1972" t="str">
            <v>MSFTXX - Identified - Recompete - COMG</v>
          </cell>
        </row>
        <row r="1973">
          <cell r="D1973">
            <v>1959</v>
          </cell>
          <cell r="E1973">
            <v>2</v>
          </cell>
          <cell r="F1973">
            <v>3</v>
          </cell>
          <cell r="G1973" t="str">
            <v>MSFTXX</v>
          </cell>
          <cell r="H1973" t="str">
            <v>Microsoft Data Center Services</v>
          </cell>
          <cell r="I1973" t="str">
            <v>COMG</v>
          </cell>
          <cell r="J1973" t="str">
            <v>Commercial O&amp;M</v>
          </cell>
          <cell r="K1973" t="str">
            <v>Commercial</v>
          </cell>
          <cell r="L1973" t="str">
            <v xml:space="preserve">Commercial </v>
          </cell>
          <cell r="M1973" t="str">
            <v>US_State</v>
          </cell>
          <cell r="N1973" t="str">
            <v>CONUS</v>
          </cell>
          <cell r="O1973">
            <v>43374</v>
          </cell>
          <cell r="P1973">
            <v>43830</v>
          </cell>
          <cell r="Q1973" t="str">
            <v>Prime</v>
          </cell>
          <cell r="R1973" t="str">
            <v>FFP</v>
          </cell>
          <cell r="S1973">
            <v>0</v>
          </cell>
          <cell r="T1973">
            <v>1</v>
          </cell>
          <cell r="U1973" t="str">
            <v>CONTRACT</v>
          </cell>
          <cell r="V1973" t="str">
            <v>Base</v>
          </cell>
          <cell r="W1973" t="str">
            <v>05 Won</v>
          </cell>
          <cell r="X1973" t="str">
            <v>Active</v>
          </cell>
          <cell r="Y1973">
            <v>1</v>
          </cell>
          <cell r="Z1973">
            <v>0</v>
          </cell>
          <cell r="AA1973">
            <v>13403815.950000003</v>
          </cell>
          <cell r="AB1973">
            <v>0</v>
          </cell>
          <cell r="AC1973">
            <v>0</v>
          </cell>
          <cell r="AD1973">
            <v>13403815.950000003</v>
          </cell>
          <cell r="AL1973">
            <v>0</v>
          </cell>
          <cell r="AM1973">
            <v>0</v>
          </cell>
          <cell r="AN1973">
            <v>0</v>
          </cell>
          <cell r="AO1973">
            <v>0.1164488465782177</v>
          </cell>
          <cell r="AP1973">
            <v>0.12955941478721092</v>
          </cell>
          <cell r="AQ1973">
            <v>0.12955941478721092</v>
          </cell>
          <cell r="AR1973">
            <v>0.12955941478721092</v>
          </cell>
          <cell r="AS1973">
            <v>0.12955941478721092</v>
          </cell>
          <cell r="BF1973">
            <v>0</v>
          </cell>
          <cell r="BG1973">
            <v>0</v>
          </cell>
          <cell r="BH1973">
            <v>0</v>
          </cell>
          <cell r="BI1973">
            <v>101363.13999999998</v>
          </cell>
          <cell r="BJ1973">
            <v>287379.75000000012</v>
          </cell>
          <cell r="BK1973">
            <v>352298.71999999974</v>
          </cell>
          <cell r="BL1973">
            <v>433567</v>
          </cell>
          <cell r="BM1973">
            <v>1174608.6099999999</v>
          </cell>
          <cell r="BN1973">
            <v>445101.69340000011</v>
          </cell>
          <cell r="BO1973">
            <v>0</v>
          </cell>
          <cell r="BP1973">
            <v>0</v>
          </cell>
          <cell r="BQ1973">
            <v>0</v>
          </cell>
          <cell r="BR1973">
            <v>1619710.3034000001</v>
          </cell>
          <cell r="BT1973">
            <v>0</v>
          </cell>
          <cell r="CA1973" t="str">
            <v>MSFTXX - CONTRACT - Base</v>
          </cell>
          <cell r="CC1973" t="str">
            <v>MSFTXX - CONTRACT - Base - COMG</v>
          </cell>
          <cell r="CD1973" t="str">
            <v/>
          </cell>
          <cell r="CF1973" t="str">
            <v>MSFTXX - Base - COMG</v>
          </cell>
        </row>
        <row r="1974">
          <cell r="D1974">
            <v>1960</v>
          </cell>
          <cell r="E1974">
            <v>2</v>
          </cell>
          <cell r="F1974">
            <v>4</v>
          </cell>
          <cell r="G1974" t="str">
            <v>MSFTXX</v>
          </cell>
          <cell r="H1974" t="str">
            <v>Microsoft Data Center Services</v>
          </cell>
          <cell r="I1974" t="str">
            <v>COMG</v>
          </cell>
          <cell r="J1974" t="str">
            <v>Commercial O&amp;M</v>
          </cell>
          <cell r="K1974" t="str">
            <v>Commercial</v>
          </cell>
          <cell r="L1974" t="str">
            <v xml:space="preserve">Commercial </v>
          </cell>
          <cell r="M1974" t="str">
            <v>US_State</v>
          </cell>
          <cell r="N1974" t="str">
            <v>CONUS</v>
          </cell>
          <cell r="O1974">
            <v>0</v>
          </cell>
          <cell r="P1974">
            <v>0</v>
          </cell>
          <cell r="Q1974">
            <v>0</v>
          </cell>
          <cell r="R1974" t="str">
            <v>FFP</v>
          </cell>
          <cell r="S1974">
            <v>0</v>
          </cell>
          <cell r="T1974">
            <v>1</v>
          </cell>
          <cell r="U1974" t="str">
            <v>CONTRACT</v>
          </cell>
          <cell r="V1974" t="str">
            <v>Identified - Recompete</v>
          </cell>
          <cell r="W1974" t="str">
            <v>00 Investigate</v>
          </cell>
          <cell r="X1974" t="str">
            <v>Priority 3</v>
          </cell>
          <cell r="Y1974">
            <v>0.9</v>
          </cell>
          <cell r="Z1974">
            <v>55000000</v>
          </cell>
          <cell r="AA1974">
            <v>0</v>
          </cell>
          <cell r="AB1974">
            <v>0</v>
          </cell>
          <cell r="AC1974">
            <v>0</v>
          </cell>
          <cell r="AD1974">
            <v>0</v>
          </cell>
          <cell r="AP1974">
            <v>0.13</v>
          </cell>
          <cell r="AQ1974">
            <v>0.13</v>
          </cell>
          <cell r="AR1974">
            <v>0.13</v>
          </cell>
          <cell r="AS1974">
            <v>0.13</v>
          </cell>
          <cell r="BI1974">
            <v>0</v>
          </cell>
          <cell r="BJ1974">
            <v>0</v>
          </cell>
          <cell r="BK1974">
            <v>0</v>
          </cell>
          <cell r="BL1974">
            <v>0</v>
          </cell>
          <cell r="BM1974">
            <v>0</v>
          </cell>
          <cell r="BN1974">
            <v>1201395.22425</v>
          </cell>
          <cell r="BO1974">
            <v>1607815.1700000002</v>
          </cell>
          <cell r="BP1974">
            <v>1607815.1700000002</v>
          </cell>
          <cell r="BQ1974">
            <v>1607815.1700000002</v>
          </cell>
          <cell r="BR1974">
            <v>6024840.7342499997</v>
          </cell>
          <cell r="BT1974">
            <v>0</v>
          </cell>
          <cell r="CA1974" t="str">
            <v>MSFTXX - CONTRACT - Identified - Recompete</v>
          </cell>
          <cell r="CC1974" t="str">
            <v>MSFTXX - CONTRACT - Identified - Recompete - COMG</v>
          </cell>
          <cell r="CD1974" t="str">
            <v/>
          </cell>
          <cell r="CF1974" t="str">
            <v>MSFTXX - Identified - Recompete - COMG</v>
          </cell>
        </row>
        <row r="1975">
          <cell r="D1975">
            <v>1961</v>
          </cell>
          <cell r="E1975">
            <v>0</v>
          </cell>
          <cell r="F1975">
            <v>5</v>
          </cell>
          <cell r="G1975" t="str">
            <v>MSFTXX</v>
          </cell>
          <cell r="H1975" t="str">
            <v>Microsoft Data Center Services</v>
          </cell>
          <cell r="I1975" t="str">
            <v>COMG</v>
          </cell>
          <cell r="J1975" t="str">
            <v>Commercial O&amp;M</v>
          </cell>
          <cell r="K1975" t="str">
            <v>Commercial</v>
          </cell>
          <cell r="L1975" t="str">
            <v xml:space="preserve">Commercial </v>
          </cell>
          <cell r="M1975" t="str">
            <v>US_State</v>
          </cell>
          <cell r="N1975" t="str">
            <v>CONUS</v>
          </cell>
          <cell r="O1975">
            <v>43374</v>
          </cell>
          <cell r="P1975">
            <v>43830</v>
          </cell>
          <cell r="Q1975" t="str">
            <v>Prime</v>
          </cell>
          <cell r="R1975" t="str">
            <v>FFP</v>
          </cell>
          <cell r="S1975">
            <v>0</v>
          </cell>
          <cell r="T1975">
            <v>1</v>
          </cell>
          <cell r="U1975" t="str">
            <v>EBITA</v>
          </cell>
          <cell r="V1975" t="str">
            <v>Base</v>
          </cell>
          <cell r="W1975" t="str">
            <v>05 Won</v>
          </cell>
          <cell r="X1975" t="str">
            <v>Active</v>
          </cell>
          <cell r="Y1975">
            <v>1</v>
          </cell>
          <cell r="Z1975">
            <v>0</v>
          </cell>
          <cell r="AA1975">
            <v>13403815.950000003</v>
          </cell>
          <cell r="AB1975">
            <v>0</v>
          </cell>
          <cell r="AC1975">
            <v>0</v>
          </cell>
          <cell r="AD1975">
            <v>13403815.950000003</v>
          </cell>
          <cell r="AT1975">
            <v>0</v>
          </cell>
          <cell r="AU1975">
            <v>0</v>
          </cell>
          <cell r="AV1975">
            <v>0</v>
          </cell>
          <cell r="AW1975">
            <v>3.8842879710090684E-2</v>
          </cell>
          <cell r="AX1975">
            <v>4.246354443559805E-2</v>
          </cell>
          <cell r="AY1975">
            <v>4.346354443559805E-2</v>
          </cell>
          <cell r="AZ1975">
            <v>4.4463544435598051E-2</v>
          </cell>
          <cell r="BA1975">
            <v>4.5463544435598052E-2</v>
          </cell>
          <cell r="BF1975">
            <v>0</v>
          </cell>
          <cell r="BG1975">
            <v>0</v>
          </cell>
          <cell r="BH1975">
            <v>0</v>
          </cell>
          <cell r="BI1975">
            <v>43579.349999999991</v>
          </cell>
          <cell r="BJ1975">
            <v>98722.080000000133</v>
          </cell>
          <cell r="BK1975">
            <v>114844.05999999975</v>
          </cell>
          <cell r="BL1975">
            <v>134659</v>
          </cell>
          <cell r="BM1975">
            <v>391804.48999999987</v>
          </cell>
          <cell r="BN1975">
            <v>145883.61306735818</v>
          </cell>
          <cell r="BO1975">
            <v>0</v>
          </cell>
          <cell r="BP1975">
            <v>0</v>
          </cell>
          <cell r="BQ1975">
            <v>0</v>
          </cell>
          <cell r="BR1975">
            <v>537688.10306735802</v>
          </cell>
          <cell r="BT1975">
            <v>0</v>
          </cell>
          <cell r="CA1975" t="str">
            <v>MSFTXX - EBITA - Base</v>
          </cell>
          <cell r="CC1975" t="str">
            <v>MSFTXX - EBITA - Base - COMG</v>
          </cell>
          <cell r="CD1975" t="str">
            <v/>
          </cell>
          <cell r="CF1975" t="str">
            <v>MSFTXX - Base - COMG</v>
          </cell>
        </row>
        <row r="1976">
          <cell r="D1976">
            <v>1962</v>
          </cell>
          <cell r="E1976">
            <v>0</v>
          </cell>
          <cell r="F1976">
            <v>0</v>
          </cell>
          <cell r="G1976" t="str">
            <v>MSFTXX</v>
          </cell>
          <cell r="H1976" t="str">
            <v>Microsoft Data Center Services</v>
          </cell>
          <cell r="I1976" t="str">
            <v>COMG</v>
          </cell>
          <cell r="J1976" t="str">
            <v>Commercial O&amp;M</v>
          </cell>
          <cell r="K1976" t="str">
            <v>Commercial</v>
          </cell>
          <cell r="L1976" t="str">
            <v xml:space="preserve">Commercial </v>
          </cell>
          <cell r="M1976" t="str">
            <v>US_State</v>
          </cell>
          <cell r="N1976" t="str">
            <v>CONUS</v>
          </cell>
          <cell r="O1976">
            <v>0</v>
          </cell>
          <cell r="P1976">
            <v>0</v>
          </cell>
          <cell r="Q1976">
            <v>0</v>
          </cell>
          <cell r="R1976" t="str">
            <v>FFP</v>
          </cell>
          <cell r="S1976">
            <v>0</v>
          </cell>
          <cell r="T1976">
            <v>1</v>
          </cell>
          <cell r="U1976" t="str">
            <v>EBITA</v>
          </cell>
          <cell r="V1976" t="str">
            <v>Identified - Recompete</v>
          </cell>
          <cell r="W1976" t="str">
            <v>00 Investigate</v>
          </cell>
          <cell r="X1976" t="str">
            <v>Priority 3</v>
          </cell>
          <cell r="Y1976">
            <v>0.9</v>
          </cell>
          <cell r="Z1976">
            <v>55000000</v>
          </cell>
          <cell r="AA1976">
            <v>0</v>
          </cell>
          <cell r="AB1976">
            <v>0</v>
          </cell>
          <cell r="AC1976">
            <v>0</v>
          </cell>
          <cell r="AD1976">
            <v>0</v>
          </cell>
          <cell r="AX1976">
            <v>4.246354443559805E-2</v>
          </cell>
          <cell r="AY1976">
            <v>4.346354443559805E-2</v>
          </cell>
          <cell r="AZ1976">
            <v>4.4463544435598051E-2</v>
          </cell>
          <cell r="BA1976">
            <v>4.5463544435598052E-2</v>
          </cell>
          <cell r="BI1976">
            <v>0</v>
          </cell>
          <cell r="BJ1976">
            <v>0</v>
          </cell>
          <cell r="BK1976">
            <v>0</v>
          </cell>
          <cell r="BL1976">
            <v>0</v>
          </cell>
          <cell r="BM1976">
            <v>0</v>
          </cell>
          <cell r="BN1976">
            <v>392426.91915119352</v>
          </cell>
          <cell r="BO1976">
            <v>537548.81604248949</v>
          </cell>
          <cell r="BP1976">
            <v>549916.6250424895</v>
          </cell>
          <cell r="BQ1976">
            <v>562284.43404248951</v>
          </cell>
          <cell r="BR1976">
            <v>2042176.7942786622</v>
          </cell>
          <cell r="BT1976">
            <v>0</v>
          </cell>
          <cell r="CA1976" t="str">
            <v>MSFTXX - EBITA - Identified - Recompete</v>
          </cell>
          <cell r="CC1976" t="str">
            <v>MSFTXX - EBITA - Identified - Recompete - COMG</v>
          </cell>
          <cell r="CD1976" t="str">
            <v/>
          </cell>
          <cell r="CF1976" t="str">
            <v>MSFTXX - Identified - Recompete - COMG</v>
          </cell>
        </row>
        <row r="1977">
          <cell r="D1977">
            <v>1963</v>
          </cell>
          <cell r="E1977">
            <v>1</v>
          </cell>
          <cell r="F1977">
            <v>1</v>
          </cell>
          <cell r="G1977" t="str">
            <v>ETNCPS</v>
          </cell>
          <cell r="H1977" t="str">
            <v>Eaton Cooper Power Systems</v>
          </cell>
          <cell r="I1977" t="str">
            <v>COMG</v>
          </cell>
          <cell r="J1977" t="str">
            <v>Commercial O&amp;M</v>
          </cell>
          <cell r="K1977" t="str">
            <v>Commercial</v>
          </cell>
          <cell r="L1977" t="str">
            <v xml:space="preserve">Commercial </v>
          </cell>
          <cell r="M1977" t="str">
            <v>WI</v>
          </cell>
          <cell r="N1977" t="str">
            <v>CONUS</v>
          </cell>
          <cell r="O1977">
            <v>43251</v>
          </cell>
          <cell r="P1977">
            <v>44346</v>
          </cell>
          <cell r="Q1977" t="str">
            <v>Prime</v>
          </cell>
          <cell r="R1977" t="str">
            <v>FFP</v>
          </cell>
          <cell r="S1977">
            <v>0</v>
          </cell>
          <cell r="T1977">
            <v>1</v>
          </cell>
          <cell r="U1977" t="str">
            <v>REVTOT</v>
          </cell>
          <cell r="V1977" t="str">
            <v>Base</v>
          </cell>
          <cell r="W1977" t="str">
            <v>05 Won</v>
          </cell>
          <cell r="X1977" t="str">
            <v>Active</v>
          </cell>
          <cell r="Y1977">
            <v>1</v>
          </cell>
          <cell r="Z1977">
            <v>0</v>
          </cell>
          <cell r="AA1977">
            <v>13276998.018062668</v>
          </cell>
          <cell r="AB1977">
            <v>0</v>
          </cell>
          <cell r="AC1977">
            <v>0</v>
          </cell>
          <cell r="AD1977">
            <v>13276998.018062668</v>
          </cell>
          <cell r="AE1977">
            <v>0</v>
          </cell>
          <cell r="AF1977">
            <v>0</v>
          </cell>
          <cell r="AG1977">
            <v>20.313071032825338</v>
          </cell>
          <cell r="AH1977">
            <v>-1.8012198071003294E-2</v>
          </cell>
          <cell r="AI1977">
            <v>0</v>
          </cell>
          <cell r="AJ1977">
            <v>0</v>
          </cell>
          <cell r="AK1977">
            <v>0</v>
          </cell>
          <cell r="BB1977">
            <v>11261890.489999998</v>
          </cell>
          <cell r="BC1977">
            <v>11261890.489999998</v>
          </cell>
          <cell r="BD1977">
            <v>11261890.489999998</v>
          </cell>
          <cell r="BE1977">
            <v>11261890.489999998</v>
          </cell>
          <cell r="BF1977">
            <v>0</v>
          </cell>
          <cell r="BG1977">
            <v>0</v>
          </cell>
          <cell r="BH1977">
            <v>538095.27</v>
          </cell>
          <cell r="BI1977">
            <v>2475686.69</v>
          </cell>
          <cell r="BJ1977">
            <v>3217730.3</v>
          </cell>
          <cell r="BK1977">
            <v>2890088.0199999996</v>
          </cell>
          <cell r="BL1977">
            <v>2884957.701937329</v>
          </cell>
          <cell r="BM1977">
            <v>11468462.711937329</v>
          </cell>
          <cell r="BN1977">
            <v>11261890.489999998</v>
          </cell>
          <cell r="BO1977">
            <v>2015107.5280626696</v>
          </cell>
          <cell r="BP1977">
            <v>0</v>
          </cell>
          <cell r="BQ1977">
            <v>0</v>
          </cell>
          <cell r="BR1977">
            <v>24745460.729999997</v>
          </cell>
          <cell r="BT1977">
            <v>0</v>
          </cell>
          <cell r="CA1977" t="str">
            <v>ETNCPS - REVTOT - Base</v>
          </cell>
          <cell r="CC1977" t="str">
            <v>ETNCPS - REVTOT - Base - COMG</v>
          </cell>
          <cell r="CD1977" t="str">
            <v/>
          </cell>
          <cell r="CF1977" t="str">
            <v>ETNCPS - Base - COMG</v>
          </cell>
        </row>
        <row r="1978">
          <cell r="D1978">
            <v>1964</v>
          </cell>
          <cell r="E1978">
            <v>1</v>
          </cell>
          <cell r="F1978">
            <v>2</v>
          </cell>
          <cell r="G1978" t="str">
            <v>ETNCPS</v>
          </cell>
          <cell r="H1978" t="str">
            <v>Eaton Cooper Power Systems</v>
          </cell>
          <cell r="I1978" t="str">
            <v>COMG</v>
          </cell>
          <cell r="J1978" t="str">
            <v>Commercial O&amp;M</v>
          </cell>
          <cell r="K1978" t="str">
            <v>Commercial</v>
          </cell>
          <cell r="L1978" t="str">
            <v xml:space="preserve">Commercial </v>
          </cell>
          <cell r="M1978" t="str">
            <v>WI</v>
          </cell>
          <cell r="N1978" t="str">
            <v>CONUS</v>
          </cell>
          <cell r="O1978">
            <v>0</v>
          </cell>
          <cell r="P1978">
            <v>0</v>
          </cell>
          <cell r="Q1978">
            <v>0</v>
          </cell>
          <cell r="R1978" t="str">
            <v>FFP</v>
          </cell>
          <cell r="S1978">
            <v>0</v>
          </cell>
          <cell r="T1978">
            <v>1</v>
          </cell>
          <cell r="U1978" t="str">
            <v>REVTOT</v>
          </cell>
          <cell r="V1978" t="str">
            <v>Identified - Recompete</v>
          </cell>
          <cell r="W1978">
            <v>0</v>
          </cell>
          <cell r="X1978">
            <v>0</v>
          </cell>
          <cell r="Y1978">
            <v>0</v>
          </cell>
          <cell r="Z1978">
            <v>0</v>
          </cell>
          <cell r="AA1978">
            <v>0</v>
          </cell>
          <cell r="AB1978">
            <v>0</v>
          </cell>
          <cell r="AC1978">
            <v>0</v>
          </cell>
          <cell r="AD1978">
            <v>0</v>
          </cell>
          <cell r="AI1978">
            <v>0</v>
          </cell>
          <cell r="AJ1978">
            <v>0</v>
          </cell>
          <cell r="AK1978">
            <v>0</v>
          </cell>
          <cell r="BB1978">
            <v>0</v>
          </cell>
          <cell r="BC1978">
            <v>0</v>
          </cell>
          <cell r="BD1978">
            <v>0</v>
          </cell>
          <cell r="BE1978">
            <v>0</v>
          </cell>
          <cell r="BI1978">
            <v>0</v>
          </cell>
          <cell r="BJ1978">
            <v>0</v>
          </cell>
          <cell r="BK1978">
            <v>0</v>
          </cell>
          <cell r="BL1978">
            <v>0</v>
          </cell>
          <cell r="BM1978">
            <v>0</v>
          </cell>
          <cell r="BN1978">
            <v>0</v>
          </cell>
          <cell r="BO1978">
            <v>0</v>
          </cell>
          <cell r="BP1978">
            <v>0</v>
          </cell>
          <cell r="BQ1978">
            <v>0</v>
          </cell>
          <cell r="BR1978">
            <v>0</v>
          </cell>
          <cell r="BT1978">
            <v>0</v>
          </cell>
          <cell r="CA1978" t="str">
            <v>ETNCPS - REVTOT - Identified - Recompete</v>
          </cell>
          <cell r="CC1978" t="str">
            <v>ETNCPS - REVTOT - Identified - Recompete - COMG</v>
          </cell>
          <cell r="CD1978" t="str">
            <v/>
          </cell>
          <cell r="CF1978" t="str">
            <v>ETNCPS - Identified - Recompete - COMG</v>
          </cell>
        </row>
        <row r="1979">
          <cell r="D1979">
            <v>1965</v>
          </cell>
          <cell r="E1979">
            <v>2</v>
          </cell>
          <cell r="F1979">
            <v>3</v>
          </cell>
          <cell r="G1979" t="str">
            <v>ETNCPS</v>
          </cell>
          <cell r="H1979" t="str">
            <v>Eaton Cooper Power Systems</v>
          </cell>
          <cell r="I1979" t="str">
            <v>COMG</v>
          </cell>
          <cell r="J1979" t="str">
            <v>Commercial O&amp;M</v>
          </cell>
          <cell r="K1979" t="str">
            <v>Commercial</v>
          </cell>
          <cell r="L1979" t="str">
            <v xml:space="preserve">Commercial </v>
          </cell>
          <cell r="M1979" t="str">
            <v>WI</v>
          </cell>
          <cell r="N1979" t="str">
            <v>CONUS</v>
          </cell>
          <cell r="O1979">
            <v>43251</v>
          </cell>
          <cell r="P1979">
            <v>44346</v>
          </cell>
          <cell r="Q1979" t="str">
            <v>Prime</v>
          </cell>
          <cell r="R1979" t="str">
            <v>FFP</v>
          </cell>
          <cell r="S1979">
            <v>0</v>
          </cell>
          <cell r="T1979">
            <v>1</v>
          </cell>
          <cell r="U1979" t="str">
            <v>CONTRACT</v>
          </cell>
          <cell r="V1979" t="str">
            <v>Base</v>
          </cell>
          <cell r="W1979" t="str">
            <v>05 Won</v>
          </cell>
          <cell r="X1979" t="str">
            <v>Active</v>
          </cell>
          <cell r="Y1979">
            <v>1</v>
          </cell>
          <cell r="Z1979">
            <v>0</v>
          </cell>
          <cell r="AA1979">
            <v>13276998.018062668</v>
          </cell>
          <cell r="AB1979">
            <v>0</v>
          </cell>
          <cell r="AC1979">
            <v>0</v>
          </cell>
          <cell r="AD1979">
            <v>13276998.018062668</v>
          </cell>
          <cell r="AL1979">
            <v>0</v>
          </cell>
          <cell r="AM1979">
            <v>0</v>
          </cell>
          <cell r="AN1979">
            <v>-4.2205723161253629E-2</v>
          </cell>
          <cell r="AO1979">
            <v>9.6170681307003916E-2</v>
          </cell>
          <cell r="AP1979">
            <v>8.8512292870643869E-2</v>
          </cell>
          <cell r="AQ1979">
            <v>8.8512292870643869E-2</v>
          </cell>
          <cell r="AR1979">
            <v>8.8512292870643869E-2</v>
          </cell>
          <cell r="AS1979">
            <v>8.8512292870643869E-2</v>
          </cell>
          <cell r="BF1979">
            <v>0</v>
          </cell>
          <cell r="BG1979">
            <v>0</v>
          </cell>
          <cell r="BH1979">
            <v>-22710.700000000026</v>
          </cell>
          <cell r="BI1979">
            <v>286690.25999999978</v>
          </cell>
          <cell r="BJ1979">
            <v>286191.23000000033</v>
          </cell>
          <cell r="BK1979">
            <v>280676.56999999972</v>
          </cell>
          <cell r="BL1979">
            <v>249371.81255098293</v>
          </cell>
          <cell r="BM1979">
            <v>1102929.8725509827</v>
          </cell>
          <cell r="BN1979">
            <v>996815.74932799884</v>
          </cell>
          <cell r="BO1979">
            <v>178361.78768972223</v>
          </cell>
          <cell r="BP1979">
            <v>0</v>
          </cell>
          <cell r="BQ1979">
            <v>0</v>
          </cell>
          <cell r="BR1979">
            <v>2278107.4095687037</v>
          </cell>
          <cell r="BT1979">
            <v>0</v>
          </cell>
          <cell r="CA1979" t="str">
            <v>ETNCPS - CONTRACT - Base</v>
          </cell>
          <cell r="CC1979" t="str">
            <v>ETNCPS - CONTRACT - Base - COMG</v>
          </cell>
          <cell r="CD1979" t="str">
            <v/>
          </cell>
          <cell r="CF1979" t="str">
            <v>ETNCPS - Base - COMG</v>
          </cell>
        </row>
        <row r="1980">
          <cell r="D1980">
            <v>1966</v>
          </cell>
          <cell r="E1980">
            <v>2</v>
          </cell>
          <cell r="F1980">
            <v>4</v>
          </cell>
          <cell r="G1980" t="str">
            <v>ETNCPS</v>
          </cell>
          <cell r="H1980" t="str">
            <v>Eaton Cooper Power Systems</v>
          </cell>
          <cell r="I1980" t="str">
            <v>COMG</v>
          </cell>
          <cell r="J1980" t="str">
            <v>Commercial O&amp;M</v>
          </cell>
          <cell r="K1980" t="str">
            <v>Commercial</v>
          </cell>
          <cell r="L1980" t="str">
            <v xml:space="preserve">Commercial </v>
          </cell>
          <cell r="M1980" t="str">
            <v>WI</v>
          </cell>
          <cell r="N1980" t="str">
            <v>CONUS</v>
          </cell>
          <cell r="O1980">
            <v>0</v>
          </cell>
          <cell r="P1980">
            <v>0</v>
          </cell>
          <cell r="Q1980">
            <v>0</v>
          </cell>
          <cell r="R1980" t="str">
            <v>FFP</v>
          </cell>
          <cell r="S1980">
            <v>0</v>
          </cell>
          <cell r="T1980">
            <v>1</v>
          </cell>
          <cell r="U1980" t="str">
            <v>CONTRACT</v>
          </cell>
          <cell r="V1980" t="str">
            <v>Identified - Recompete</v>
          </cell>
          <cell r="W1980">
            <v>0</v>
          </cell>
          <cell r="X1980">
            <v>0</v>
          </cell>
          <cell r="Y1980">
            <v>0</v>
          </cell>
          <cell r="Z1980">
            <v>0</v>
          </cell>
          <cell r="AA1980">
            <v>0</v>
          </cell>
          <cell r="AB1980">
            <v>0</v>
          </cell>
          <cell r="AC1980">
            <v>0</v>
          </cell>
          <cell r="AD1980">
            <v>0</v>
          </cell>
          <cell r="AP1980">
            <v>0</v>
          </cell>
          <cell r="AQ1980">
            <v>0</v>
          </cell>
          <cell r="AR1980">
            <v>0</v>
          </cell>
          <cell r="AS1980">
            <v>0</v>
          </cell>
          <cell r="BI1980">
            <v>0</v>
          </cell>
          <cell r="BJ1980">
            <v>0</v>
          </cell>
          <cell r="BK1980">
            <v>0</v>
          </cell>
          <cell r="BL1980">
            <v>0</v>
          </cell>
          <cell r="BM1980">
            <v>0</v>
          </cell>
          <cell r="BN1980">
            <v>0</v>
          </cell>
          <cell r="BO1980">
            <v>0</v>
          </cell>
          <cell r="BP1980">
            <v>0</v>
          </cell>
          <cell r="BQ1980">
            <v>0</v>
          </cell>
          <cell r="BR1980">
            <v>0</v>
          </cell>
          <cell r="BT1980">
            <v>0</v>
          </cell>
          <cell r="CA1980" t="str">
            <v>ETNCPS - CONTRACT - Identified - Recompete</v>
          </cell>
          <cell r="CC1980" t="str">
            <v>ETNCPS - CONTRACT - Identified - Recompete - COMG</v>
          </cell>
          <cell r="CD1980" t="str">
            <v/>
          </cell>
          <cell r="CF1980" t="str">
            <v>ETNCPS - Identified - Recompete - COMG</v>
          </cell>
        </row>
        <row r="1981">
          <cell r="D1981">
            <v>1967</v>
          </cell>
          <cell r="E1981">
            <v>0</v>
          </cell>
          <cell r="F1981">
            <v>5</v>
          </cell>
          <cell r="G1981" t="str">
            <v>ETNCPS</v>
          </cell>
          <cell r="H1981" t="str">
            <v>Eaton Cooper Power Systems</v>
          </cell>
          <cell r="I1981" t="str">
            <v>COMG</v>
          </cell>
          <cell r="J1981" t="str">
            <v>Commercial O&amp;M</v>
          </cell>
          <cell r="K1981" t="str">
            <v>Commercial</v>
          </cell>
          <cell r="L1981" t="str">
            <v xml:space="preserve">Commercial </v>
          </cell>
          <cell r="M1981" t="str">
            <v>WI</v>
          </cell>
          <cell r="N1981" t="str">
            <v>CONUS</v>
          </cell>
          <cell r="O1981">
            <v>43251</v>
          </cell>
          <cell r="P1981">
            <v>44346</v>
          </cell>
          <cell r="Q1981" t="str">
            <v>Prime</v>
          </cell>
          <cell r="R1981" t="str">
            <v>FFP</v>
          </cell>
          <cell r="S1981">
            <v>0</v>
          </cell>
          <cell r="T1981">
            <v>1</v>
          </cell>
          <cell r="U1981" t="str">
            <v>EBITA</v>
          </cell>
          <cell r="V1981" t="str">
            <v>Base</v>
          </cell>
          <cell r="W1981" t="str">
            <v>05 Won</v>
          </cell>
          <cell r="X1981" t="str">
            <v>Active</v>
          </cell>
          <cell r="Y1981">
            <v>1</v>
          </cell>
          <cell r="Z1981">
            <v>0</v>
          </cell>
          <cell r="AA1981">
            <v>13276998.018062668</v>
          </cell>
          <cell r="AB1981">
            <v>0</v>
          </cell>
          <cell r="AC1981">
            <v>0</v>
          </cell>
          <cell r="AD1981">
            <v>13276998.018062668</v>
          </cell>
          <cell r="AT1981">
            <v>0</v>
          </cell>
          <cell r="AU1981">
            <v>0</v>
          </cell>
          <cell r="AV1981">
            <v>-0.1614512983918257</v>
          </cell>
          <cell r="AW1981">
            <v>2.2302388328729886E-2</v>
          </cell>
          <cell r="AX1981">
            <v>2.1913497481567845E-2</v>
          </cell>
          <cell r="AY1981">
            <v>2.2913497481567846E-2</v>
          </cell>
          <cell r="AZ1981">
            <v>2.3913497481567847E-2</v>
          </cell>
          <cell r="BA1981">
            <v>2.4913497481567848E-2</v>
          </cell>
          <cell r="BF1981">
            <v>0</v>
          </cell>
          <cell r="BG1981">
            <v>0</v>
          </cell>
          <cell r="BH1981">
            <v>-86876.180000000022</v>
          </cell>
          <cell r="BI1981">
            <v>96242.409999999771</v>
          </cell>
          <cell r="BJ1981">
            <v>39610.960000000327</v>
          </cell>
          <cell r="BK1981">
            <v>66084.359999999724</v>
          </cell>
          <cell r="BL1981">
            <v>53836.378935185145</v>
          </cell>
          <cell r="BM1981">
            <v>255774.10893518498</v>
          </cell>
          <cell r="BN1981">
            <v>246787.40889030782</v>
          </cell>
          <cell r="BO1981">
            <v>46173.161269352386</v>
          </cell>
          <cell r="BP1981">
            <v>0</v>
          </cell>
          <cell r="BQ1981">
            <v>0</v>
          </cell>
          <cell r="BR1981">
            <v>548734.6790948452</v>
          </cell>
          <cell r="BT1981">
            <v>0</v>
          </cell>
          <cell r="CA1981" t="str">
            <v>ETNCPS - EBITA - Base</v>
          </cell>
          <cell r="CC1981" t="str">
            <v>ETNCPS - EBITA - Base - COMG</v>
          </cell>
          <cell r="CD1981" t="str">
            <v/>
          </cell>
          <cell r="CF1981" t="str">
            <v>ETNCPS - Base - COMG</v>
          </cell>
        </row>
        <row r="1982">
          <cell r="D1982">
            <v>1968</v>
          </cell>
          <cell r="E1982">
            <v>0</v>
          </cell>
          <cell r="F1982">
            <v>0</v>
          </cell>
          <cell r="G1982" t="str">
            <v>ETNCPS</v>
          </cell>
          <cell r="H1982" t="str">
            <v>Eaton Cooper Power Systems</v>
          </cell>
          <cell r="I1982" t="str">
            <v>COMG</v>
          </cell>
          <cell r="J1982" t="str">
            <v>Commercial O&amp;M</v>
          </cell>
          <cell r="K1982" t="str">
            <v>Commercial</v>
          </cell>
          <cell r="L1982" t="str">
            <v xml:space="preserve">Commercial </v>
          </cell>
          <cell r="M1982" t="str">
            <v>WI</v>
          </cell>
          <cell r="N1982" t="str">
            <v>CONUS</v>
          </cell>
          <cell r="O1982">
            <v>0</v>
          </cell>
          <cell r="P1982">
            <v>0</v>
          </cell>
          <cell r="Q1982">
            <v>0</v>
          </cell>
          <cell r="R1982" t="str">
            <v>FFP</v>
          </cell>
          <cell r="S1982">
            <v>0</v>
          </cell>
          <cell r="T1982">
            <v>1</v>
          </cell>
          <cell r="U1982" t="str">
            <v>EBITA</v>
          </cell>
          <cell r="V1982" t="str">
            <v>Identified - Recompete</v>
          </cell>
          <cell r="W1982">
            <v>0</v>
          </cell>
          <cell r="X1982">
            <v>0</v>
          </cell>
          <cell r="Y1982">
            <v>0</v>
          </cell>
          <cell r="Z1982">
            <v>0</v>
          </cell>
          <cell r="AA1982">
            <v>0</v>
          </cell>
          <cell r="AB1982">
            <v>0</v>
          </cell>
          <cell r="AC1982">
            <v>0</v>
          </cell>
          <cell r="AD1982">
            <v>0</v>
          </cell>
          <cell r="AX1982">
            <v>0</v>
          </cell>
          <cell r="AY1982">
            <v>0</v>
          </cell>
          <cell r="AZ1982">
            <v>0</v>
          </cell>
          <cell r="BA1982">
            <v>0</v>
          </cell>
          <cell r="BI1982">
            <v>0</v>
          </cell>
          <cell r="BJ1982">
            <v>0</v>
          </cell>
          <cell r="BK1982">
            <v>0</v>
          </cell>
          <cell r="BL1982">
            <v>0</v>
          </cell>
          <cell r="BM1982">
            <v>0</v>
          </cell>
          <cell r="BN1982">
            <v>0</v>
          </cell>
          <cell r="BO1982">
            <v>0</v>
          </cell>
          <cell r="BP1982">
            <v>0</v>
          </cell>
          <cell r="BQ1982">
            <v>0</v>
          </cell>
          <cell r="BR1982">
            <v>0</v>
          </cell>
          <cell r="BT1982">
            <v>0</v>
          </cell>
          <cell r="CA1982" t="str">
            <v>ETNCPS - EBITA - Identified - Recompete</v>
          </cell>
          <cell r="CC1982" t="str">
            <v>ETNCPS - EBITA - Identified - Recompete - COMG</v>
          </cell>
          <cell r="CD1982" t="str">
            <v/>
          </cell>
          <cell r="CF1982" t="str">
            <v>ETNCPS - Identified - Recompete - COMG</v>
          </cell>
        </row>
        <row r="1983">
          <cell r="D1983">
            <v>1969</v>
          </cell>
          <cell r="E1983">
            <v>1</v>
          </cell>
          <cell r="F1983">
            <v>1</v>
          </cell>
          <cell r="G1983" t="str">
            <v>3486XX</v>
          </cell>
          <cell r="H1983" t="str">
            <v>Perkins UK (Co U)</v>
          </cell>
          <cell r="I1983" t="str">
            <v>COMG</v>
          </cell>
          <cell r="J1983" t="str">
            <v>Commercial O&amp;M</v>
          </cell>
          <cell r="K1983" t="str">
            <v>Commercial</v>
          </cell>
          <cell r="L1983" t="str">
            <v xml:space="preserve">Commercial </v>
          </cell>
          <cell r="M1983" t="str">
            <v>UK</v>
          </cell>
          <cell r="N1983" t="str">
            <v>OCONUS</v>
          </cell>
          <cell r="O1983">
            <v>40179</v>
          </cell>
          <cell r="P1983">
            <v>44196</v>
          </cell>
          <cell r="Q1983" t="str">
            <v>Prime</v>
          </cell>
          <cell r="R1983" t="str">
            <v>T&amp;M</v>
          </cell>
          <cell r="S1983">
            <v>0</v>
          </cell>
          <cell r="T1983">
            <v>1</v>
          </cell>
          <cell r="U1983" t="str">
            <v>REVTOT</v>
          </cell>
          <cell r="V1983" t="str">
            <v>Base</v>
          </cell>
          <cell r="W1983" t="str">
            <v>05 Won</v>
          </cell>
          <cell r="X1983" t="str">
            <v>Active</v>
          </cell>
          <cell r="Y1983">
            <v>1</v>
          </cell>
          <cell r="Z1983">
            <v>0</v>
          </cell>
          <cell r="AA1983">
            <v>2678576.829349448</v>
          </cell>
          <cell r="AB1983">
            <v>0</v>
          </cell>
          <cell r="AC1983">
            <v>0</v>
          </cell>
          <cell r="AD1983">
            <v>2678576.829349448</v>
          </cell>
          <cell r="AE1983">
            <v>0</v>
          </cell>
          <cell r="AF1983">
            <v>0</v>
          </cell>
          <cell r="AG1983">
            <v>0</v>
          </cell>
          <cell r="AH1983">
            <v>-0.58917839273410533</v>
          </cell>
          <cell r="AI1983">
            <v>0</v>
          </cell>
          <cell r="AJ1983">
            <v>0</v>
          </cell>
          <cell r="AK1983">
            <v>0</v>
          </cell>
          <cell r="BB1983">
            <v>7516322.7235741951</v>
          </cell>
          <cell r="BC1983">
            <v>7516322.7235741951</v>
          </cell>
          <cell r="BD1983">
            <v>7516322.7235741951</v>
          </cell>
          <cell r="BE1983">
            <v>7516322.7235741951</v>
          </cell>
          <cell r="BF1983">
            <v>0</v>
          </cell>
          <cell r="BG1983">
            <v>0</v>
          </cell>
          <cell r="BH1983">
            <v>0</v>
          </cell>
          <cell r="BI1983">
            <v>1710678</v>
          </cell>
          <cell r="BJ1983">
            <v>1812553</v>
          </cell>
          <cell r="BK1983">
            <v>1429748.5611649</v>
          </cell>
          <cell r="BL1983">
            <v>1567069</v>
          </cell>
          <cell r="BM1983">
            <v>6520048.5611648997</v>
          </cell>
          <cell r="BN1983">
            <v>2678576.829349448</v>
          </cell>
          <cell r="BO1983">
            <v>0</v>
          </cell>
          <cell r="BP1983">
            <v>0</v>
          </cell>
          <cell r="BQ1983">
            <v>0</v>
          </cell>
          <cell r="BR1983">
            <v>9198625.3905143477</v>
          </cell>
          <cell r="BT1983">
            <v>0</v>
          </cell>
          <cell r="CA1983" t="str">
            <v>3486XX - REVTOT - Base</v>
          </cell>
          <cell r="CC1983" t="str">
            <v>3486XX - REVTOT - Base - COMG</v>
          </cell>
          <cell r="CD1983" t="str">
            <v/>
          </cell>
          <cell r="CF1983" t="str">
            <v>3486XX - Base - COMG</v>
          </cell>
        </row>
        <row r="1984">
          <cell r="D1984">
            <v>1970</v>
          </cell>
          <cell r="E1984">
            <v>1</v>
          </cell>
          <cell r="F1984">
            <v>2</v>
          </cell>
          <cell r="G1984" t="str">
            <v>3486XX</v>
          </cell>
          <cell r="H1984" t="str">
            <v>Perkins UK (Co U)</v>
          </cell>
          <cell r="I1984" t="str">
            <v>COMG</v>
          </cell>
          <cell r="J1984" t="str">
            <v>Commercial O&amp;M</v>
          </cell>
          <cell r="K1984" t="str">
            <v>Commercial</v>
          </cell>
          <cell r="L1984" t="str">
            <v xml:space="preserve">Commercial </v>
          </cell>
          <cell r="M1984" t="str">
            <v>UK</v>
          </cell>
          <cell r="N1984" t="str">
            <v>OCONUS</v>
          </cell>
          <cell r="O1984">
            <v>0</v>
          </cell>
          <cell r="P1984">
            <v>0</v>
          </cell>
          <cell r="Q1984">
            <v>0</v>
          </cell>
          <cell r="R1984" t="str">
            <v>T&amp;M</v>
          </cell>
          <cell r="S1984">
            <v>0</v>
          </cell>
          <cell r="T1984">
            <v>1</v>
          </cell>
          <cell r="U1984" t="str">
            <v>REVTOT</v>
          </cell>
          <cell r="V1984" t="str">
            <v>Identified - Recompete</v>
          </cell>
          <cell r="W1984">
            <v>0</v>
          </cell>
          <cell r="X1984">
            <v>0</v>
          </cell>
          <cell r="Y1984">
            <v>0</v>
          </cell>
          <cell r="Z1984">
            <v>0</v>
          </cell>
          <cell r="AA1984">
            <v>0</v>
          </cell>
          <cell r="AB1984">
            <v>0</v>
          </cell>
          <cell r="AC1984">
            <v>0</v>
          </cell>
          <cell r="AD1984">
            <v>0</v>
          </cell>
          <cell r="AI1984">
            <v>0</v>
          </cell>
          <cell r="AJ1984">
            <v>0</v>
          </cell>
          <cell r="AK1984">
            <v>0</v>
          </cell>
          <cell r="BB1984">
            <v>0</v>
          </cell>
          <cell r="BC1984">
            <v>0</v>
          </cell>
          <cell r="BD1984">
            <v>0</v>
          </cell>
          <cell r="BE1984">
            <v>0</v>
          </cell>
          <cell r="BI1984">
            <v>0</v>
          </cell>
          <cell r="BJ1984">
            <v>0</v>
          </cell>
          <cell r="BK1984">
            <v>0</v>
          </cell>
          <cell r="BL1984">
            <v>0</v>
          </cell>
          <cell r="BM1984">
            <v>0</v>
          </cell>
          <cell r="BN1984">
            <v>0</v>
          </cell>
          <cell r="BO1984">
            <v>0</v>
          </cell>
          <cell r="BP1984">
            <v>0</v>
          </cell>
          <cell r="BQ1984">
            <v>0</v>
          </cell>
          <cell r="BR1984">
            <v>0</v>
          </cell>
          <cell r="BT1984">
            <v>0</v>
          </cell>
          <cell r="CA1984" t="str">
            <v>3486XX - REVTOT - Identified - Recompete</v>
          </cell>
          <cell r="CC1984" t="str">
            <v>3486XX - REVTOT - Identified - Recompete - COMG</v>
          </cell>
          <cell r="CD1984" t="str">
            <v/>
          </cell>
          <cell r="CF1984" t="str">
            <v>3486XX - Identified - Recompete - COMG</v>
          </cell>
        </row>
        <row r="1985">
          <cell r="D1985">
            <v>1971</v>
          </cell>
          <cell r="E1985">
            <v>2</v>
          </cell>
          <cell r="F1985">
            <v>3</v>
          </cell>
          <cell r="G1985" t="str">
            <v>3486XX</v>
          </cell>
          <cell r="H1985" t="str">
            <v>Perkins UK (Co U)</v>
          </cell>
          <cell r="I1985" t="str">
            <v>COMG</v>
          </cell>
          <cell r="J1985" t="str">
            <v>Commercial O&amp;M</v>
          </cell>
          <cell r="K1985" t="str">
            <v>Commercial</v>
          </cell>
          <cell r="L1985" t="str">
            <v xml:space="preserve">Commercial </v>
          </cell>
          <cell r="M1985" t="str">
            <v>UK</v>
          </cell>
          <cell r="N1985" t="str">
            <v>OCONUS</v>
          </cell>
          <cell r="O1985">
            <v>40179</v>
          </cell>
          <cell r="P1985">
            <v>44196</v>
          </cell>
          <cell r="Q1985" t="str">
            <v>Prime</v>
          </cell>
          <cell r="R1985" t="str">
            <v>T&amp;M</v>
          </cell>
          <cell r="S1985">
            <v>0</v>
          </cell>
          <cell r="T1985">
            <v>1</v>
          </cell>
          <cell r="U1985" t="str">
            <v>CONTRACT</v>
          </cell>
          <cell r="V1985" t="str">
            <v>Base</v>
          </cell>
          <cell r="W1985" t="str">
            <v>05 Won</v>
          </cell>
          <cell r="X1985" t="str">
            <v>Active</v>
          </cell>
          <cell r="Y1985">
            <v>1</v>
          </cell>
          <cell r="Z1985">
            <v>0</v>
          </cell>
          <cell r="AA1985">
            <v>2678576.829349448</v>
          </cell>
          <cell r="AB1985">
            <v>0</v>
          </cell>
          <cell r="AC1985">
            <v>0</v>
          </cell>
          <cell r="AD1985">
            <v>2678576.829349448</v>
          </cell>
          <cell r="AL1985">
            <v>0</v>
          </cell>
          <cell r="AM1985">
            <v>0</v>
          </cell>
          <cell r="AN1985">
            <v>0</v>
          </cell>
          <cell r="AO1985">
            <v>9.860656023243379E-2</v>
          </cell>
          <cell r="AP1985">
            <v>5.2599502906648367E-2</v>
          </cell>
          <cell r="AQ1985">
            <v>5.2599502906648367E-2</v>
          </cell>
          <cell r="AR1985">
            <v>5.2599502906648367E-2</v>
          </cell>
          <cell r="AS1985">
            <v>5.2599502906648367E-2</v>
          </cell>
          <cell r="BF1985">
            <v>0</v>
          </cell>
          <cell r="BG1985">
            <v>0</v>
          </cell>
          <cell r="BH1985">
            <v>0</v>
          </cell>
          <cell r="BI1985">
            <v>333758</v>
          </cell>
          <cell r="BJ1985">
            <v>56361</v>
          </cell>
          <cell r="BK1985">
            <v>188770.56116489996</v>
          </cell>
          <cell r="BL1985">
            <v>64030</v>
          </cell>
          <cell r="BM1985">
            <v>642919.56116489996</v>
          </cell>
          <cell r="BN1985">
            <v>140891.80972104726</v>
          </cell>
          <cell r="BO1985">
            <v>0</v>
          </cell>
          <cell r="BP1985">
            <v>0</v>
          </cell>
          <cell r="BQ1985">
            <v>0</v>
          </cell>
          <cell r="BR1985">
            <v>783811.37088594725</v>
          </cell>
          <cell r="BT1985">
            <v>0</v>
          </cell>
          <cell r="CA1985" t="str">
            <v>3486XX - CONTRACT - Base</v>
          </cell>
          <cell r="CC1985" t="str">
            <v>3486XX - CONTRACT - Base - COMG</v>
          </cell>
          <cell r="CD1985" t="str">
            <v/>
          </cell>
          <cell r="CF1985" t="str">
            <v>3486XX - Base - COMG</v>
          </cell>
        </row>
        <row r="1986">
          <cell r="D1986">
            <v>1972</v>
          </cell>
          <cell r="E1986">
            <v>2</v>
          </cell>
          <cell r="F1986">
            <v>4</v>
          </cell>
          <cell r="G1986" t="str">
            <v>3486XX</v>
          </cell>
          <cell r="H1986" t="str">
            <v>Perkins UK (Co U)</v>
          </cell>
          <cell r="I1986" t="str">
            <v>COMG</v>
          </cell>
          <cell r="J1986" t="str">
            <v>Commercial O&amp;M</v>
          </cell>
          <cell r="K1986" t="str">
            <v>Commercial</v>
          </cell>
          <cell r="L1986" t="str">
            <v xml:space="preserve">Commercial </v>
          </cell>
          <cell r="M1986" t="str">
            <v>UK</v>
          </cell>
          <cell r="N1986" t="str">
            <v>OCONUS</v>
          </cell>
          <cell r="O1986">
            <v>0</v>
          </cell>
          <cell r="P1986">
            <v>0</v>
          </cell>
          <cell r="Q1986">
            <v>0</v>
          </cell>
          <cell r="R1986" t="str">
            <v>T&amp;M</v>
          </cell>
          <cell r="S1986">
            <v>0</v>
          </cell>
          <cell r="T1986">
            <v>1</v>
          </cell>
          <cell r="U1986" t="str">
            <v>CONTRACT</v>
          </cell>
          <cell r="V1986" t="str">
            <v>Identified - Recompete</v>
          </cell>
          <cell r="W1986">
            <v>0</v>
          </cell>
          <cell r="X1986">
            <v>0</v>
          </cell>
          <cell r="Y1986">
            <v>0</v>
          </cell>
          <cell r="Z1986">
            <v>0</v>
          </cell>
          <cell r="AA1986">
            <v>0</v>
          </cell>
          <cell r="AB1986">
            <v>0</v>
          </cell>
          <cell r="AC1986">
            <v>0</v>
          </cell>
          <cell r="AD1986">
            <v>0</v>
          </cell>
          <cell r="AP1986">
            <v>0</v>
          </cell>
          <cell r="AQ1986">
            <v>0</v>
          </cell>
          <cell r="AR1986">
            <v>0</v>
          </cell>
          <cell r="AS1986">
            <v>0</v>
          </cell>
          <cell r="BI1986">
            <v>0</v>
          </cell>
          <cell r="BJ1986">
            <v>0</v>
          </cell>
          <cell r="BK1986">
            <v>0</v>
          </cell>
          <cell r="BL1986">
            <v>0</v>
          </cell>
          <cell r="BM1986">
            <v>0</v>
          </cell>
          <cell r="BN1986">
            <v>0</v>
          </cell>
          <cell r="BO1986">
            <v>0</v>
          </cell>
          <cell r="BP1986">
            <v>0</v>
          </cell>
          <cell r="BQ1986">
            <v>0</v>
          </cell>
          <cell r="BR1986">
            <v>0</v>
          </cell>
          <cell r="BT1986">
            <v>0</v>
          </cell>
          <cell r="CA1986" t="str">
            <v>3486XX - CONTRACT - Identified - Recompete</v>
          </cell>
          <cell r="CC1986" t="str">
            <v>3486XX - CONTRACT - Identified - Recompete - COMG</v>
          </cell>
          <cell r="CD1986" t="str">
            <v/>
          </cell>
          <cell r="CF1986" t="str">
            <v>3486XX - Identified - Recompete - COMG</v>
          </cell>
        </row>
        <row r="1987">
          <cell r="D1987">
            <v>1973</v>
          </cell>
          <cell r="E1987">
            <v>0</v>
          </cell>
          <cell r="F1987">
            <v>5</v>
          </cell>
          <cell r="G1987" t="str">
            <v>3486XX</v>
          </cell>
          <cell r="H1987" t="str">
            <v>Perkins UK (Co U)</v>
          </cell>
          <cell r="I1987" t="str">
            <v>COMG</v>
          </cell>
          <cell r="J1987" t="str">
            <v>Commercial O&amp;M</v>
          </cell>
          <cell r="K1987" t="str">
            <v>Commercial</v>
          </cell>
          <cell r="L1987" t="str">
            <v xml:space="preserve">Commercial </v>
          </cell>
          <cell r="M1987" t="str">
            <v>UK</v>
          </cell>
          <cell r="N1987" t="str">
            <v>OCONUS</v>
          </cell>
          <cell r="O1987">
            <v>40179</v>
          </cell>
          <cell r="P1987">
            <v>44196</v>
          </cell>
          <cell r="Q1987" t="str">
            <v>Prime</v>
          </cell>
          <cell r="R1987" t="str">
            <v>T&amp;M</v>
          </cell>
          <cell r="S1987">
            <v>0</v>
          </cell>
          <cell r="T1987">
            <v>1</v>
          </cell>
          <cell r="U1987" t="str">
            <v>EBITA</v>
          </cell>
          <cell r="V1987" t="str">
            <v>Base</v>
          </cell>
          <cell r="W1987" t="str">
            <v>05 Won</v>
          </cell>
          <cell r="X1987" t="str">
            <v>Active</v>
          </cell>
          <cell r="Y1987">
            <v>1</v>
          </cell>
          <cell r="Z1987">
            <v>0</v>
          </cell>
          <cell r="AA1987">
            <v>2678576.829349448</v>
          </cell>
          <cell r="AB1987">
            <v>0</v>
          </cell>
          <cell r="AC1987">
            <v>0</v>
          </cell>
          <cell r="AD1987">
            <v>2678576.829349448</v>
          </cell>
          <cell r="AT1987">
            <v>0</v>
          </cell>
          <cell r="AU1987">
            <v>0</v>
          </cell>
          <cell r="AV1987">
            <v>0</v>
          </cell>
          <cell r="AW1987">
            <v>9.860656023243379E-2</v>
          </cell>
          <cell r="AX1987">
            <v>5.3599502906648368E-2</v>
          </cell>
          <cell r="AY1987">
            <v>5.4599502906648369E-2</v>
          </cell>
          <cell r="AZ1987">
            <v>5.559950290664837E-2</v>
          </cell>
          <cell r="BA1987">
            <v>5.659950290664837E-2</v>
          </cell>
          <cell r="BF1987">
            <v>0</v>
          </cell>
          <cell r="BG1987">
            <v>0</v>
          </cell>
          <cell r="BH1987">
            <v>0</v>
          </cell>
          <cell r="BI1987">
            <v>333758</v>
          </cell>
          <cell r="BJ1987">
            <v>56361</v>
          </cell>
          <cell r="BK1987">
            <v>188770.56116489996</v>
          </cell>
          <cell r="BL1987">
            <v>64030</v>
          </cell>
          <cell r="BM1987">
            <v>642919.56116489996</v>
          </cell>
          <cell r="BN1987">
            <v>143570.38655039671</v>
          </cell>
          <cell r="BO1987">
            <v>0</v>
          </cell>
          <cell r="BP1987">
            <v>0</v>
          </cell>
          <cell r="BQ1987">
            <v>0</v>
          </cell>
          <cell r="BR1987">
            <v>786489.94771529664</v>
          </cell>
          <cell r="BT1987">
            <v>0</v>
          </cell>
          <cell r="CA1987" t="str">
            <v>3486XX - EBITA - Base</v>
          </cell>
          <cell r="CC1987" t="str">
            <v>3486XX - EBITA - Base - COMG</v>
          </cell>
          <cell r="CD1987" t="str">
            <v/>
          </cell>
          <cell r="CF1987" t="str">
            <v>3486XX - Base - COMG</v>
          </cell>
        </row>
        <row r="1988">
          <cell r="D1988">
            <v>1974</v>
          </cell>
          <cell r="E1988">
            <v>0</v>
          </cell>
          <cell r="F1988">
            <v>0</v>
          </cell>
          <cell r="G1988" t="str">
            <v>3486XX</v>
          </cell>
          <cell r="H1988" t="str">
            <v>Perkins UK (Co U)</v>
          </cell>
          <cell r="I1988" t="str">
            <v>COMG</v>
          </cell>
          <cell r="J1988" t="str">
            <v>Commercial O&amp;M</v>
          </cell>
          <cell r="K1988" t="str">
            <v>Commercial</v>
          </cell>
          <cell r="L1988" t="str">
            <v xml:space="preserve">Commercial </v>
          </cell>
          <cell r="M1988" t="str">
            <v>UK</v>
          </cell>
          <cell r="N1988" t="str">
            <v>OCONUS</v>
          </cell>
          <cell r="O1988">
            <v>0</v>
          </cell>
          <cell r="P1988">
            <v>0</v>
          </cell>
          <cell r="Q1988">
            <v>0</v>
          </cell>
          <cell r="R1988" t="str">
            <v>T&amp;M</v>
          </cell>
          <cell r="S1988">
            <v>0</v>
          </cell>
          <cell r="T1988">
            <v>1</v>
          </cell>
          <cell r="U1988" t="str">
            <v>EBITA</v>
          </cell>
          <cell r="V1988" t="str">
            <v>Identified - Recompete</v>
          </cell>
          <cell r="W1988">
            <v>0</v>
          </cell>
          <cell r="X1988">
            <v>0</v>
          </cell>
          <cell r="Y1988">
            <v>0</v>
          </cell>
          <cell r="Z1988">
            <v>0</v>
          </cell>
          <cell r="AA1988">
            <v>0</v>
          </cell>
          <cell r="AB1988">
            <v>0</v>
          </cell>
          <cell r="AC1988">
            <v>0</v>
          </cell>
          <cell r="AD1988">
            <v>0</v>
          </cell>
          <cell r="AX1988">
            <v>0</v>
          </cell>
          <cell r="AY1988">
            <v>0</v>
          </cell>
          <cell r="AZ1988">
            <v>0</v>
          </cell>
          <cell r="BA1988">
            <v>0</v>
          </cell>
          <cell r="BI1988">
            <v>0</v>
          </cell>
          <cell r="BJ1988">
            <v>0</v>
          </cell>
          <cell r="BK1988">
            <v>0</v>
          </cell>
          <cell r="BL1988">
            <v>0</v>
          </cell>
          <cell r="BM1988">
            <v>0</v>
          </cell>
          <cell r="BN1988">
            <v>0</v>
          </cell>
          <cell r="BO1988">
            <v>0</v>
          </cell>
          <cell r="BP1988">
            <v>0</v>
          </cell>
          <cell r="BQ1988">
            <v>0</v>
          </cell>
          <cell r="BR1988">
            <v>0</v>
          </cell>
          <cell r="BT1988">
            <v>0</v>
          </cell>
          <cell r="CA1988" t="str">
            <v>3486XX - EBITA - Identified - Recompete</v>
          </cell>
          <cell r="CC1988" t="str">
            <v>3486XX - EBITA - Identified - Recompete - COMG</v>
          </cell>
          <cell r="CD1988" t="str">
            <v/>
          </cell>
          <cell r="CF1988" t="str">
            <v>3486XX - Identified - Recompete - COMG</v>
          </cell>
        </row>
        <row r="1989">
          <cell r="D1989">
            <v>1975</v>
          </cell>
          <cell r="E1989">
            <v>1</v>
          </cell>
          <cell r="F1989">
            <v>1</v>
          </cell>
          <cell r="G1989" t="str">
            <v>29219X</v>
          </cell>
          <cell r="H1989" t="str">
            <v>Altria</v>
          </cell>
          <cell r="I1989" t="str">
            <v>COMG</v>
          </cell>
          <cell r="J1989" t="str">
            <v>Commercial O&amp;M</v>
          </cell>
          <cell r="K1989" t="str">
            <v>Commercial</v>
          </cell>
          <cell r="L1989" t="str">
            <v xml:space="preserve">Commercial </v>
          </cell>
          <cell r="M1989" t="str">
            <v>VA</v>
          </cell>
          <cell r="N1989" t="str">
            <v>CONUS</v>
          </cell>
          <cell r="O1989">
            <v>43066</v>
          </cell>
          <cell r="P1989">
            <v>43830</v>
          </cell>
          <cell r="Q1989" t="str">
            <v>Prime</v>
          </cell>
          <cell r="R1989" t="str">
            <v>CPFF</v>
          </cell>
          <cell r="S1989">
            <v>0</v>
          </cell>
          <cell r="T1989">
            <v>1</v>
          </cell>
          <cell r="U1989" t="str">
            <v>REVTOT</v>
          </cell>
          <cell r="V1989" t="str">
            <v>Base</v>
          </cell>
          <cell r="W1989" t="str">
            <v>05 Won</v>
          </cell>
          <cell r="X1989" t="str">
            <v>Active</v>
          </cell>
          <cell r="Y1989">
            <v>1</v>
          </cell>
          <cell r="Z1989">
            <v>0</v>
          </cell>
          <cell r="AA1989">
            <v>1782994.7025000011</v>
          </cell>
          <cell r="AB1989">
            <v>0</v>
          </cell>
          <cell r="AC1989">
            <v>0</v>
          </cell>
          <cell r="AD1989">
            <v>1782994.7025000011</v>
          </cell>
          <cell r="AE1989">
            <v>1.6265372345463103E-2</v>
          </cell>
          <cell r="AF1989">
            <v>0.28971677843808319</v>
          </cell>
          <cell r="AG1989">
            <v>-0.16050656545931996</v>
          </cell>
          <cell r="AH1989">
            <v>-0.62930132155765706</v>
          </cell>
          <cell r="AI1989">
            <v>0</v>
          </cell>
          <cell r="AJ1989">
            <v>0</v>
          </cell>
          <cell r="AK1989">
            <v>0</v>
          </cell>
          <cell r="BB1989">
            <v>4118685</v>
          </cell>
          <cell r="BC1989">
            <v>4118685</v>
          </cell>
          <cell r="BD1989">
            <v>4118685</v>
          </cell>
          <cell r="BE1989">
            <v>4118685</v>
          </cell>
          <cell r="BF1989">
            <v>4371296.18</v>
          </cell>
          <cell r="BG1989">
            <v>4442396.9400000004</v>
          </cell>
          <cell r="BH1989">
            <v>5729433.8699999992</v>
          </cell>
          <cell r="BI1989">
            <v>1465009.7</v>
          </cell>
          <cell r="BJ1989">
            <v>1095788.1399999999</v>
          </cell>
          <cell r="BK1989">
            <v>1059384.82</v>
          </cell>
          <cell r="BL1989">
            <v>1189639.4575</v>
          </cell>
          <cell r="BM1989">
            <v>4809822.1174999997</v>
          </cell>
          <cell r="BN1989">
            <v>1782994.7025000011</v>
          </cell>
          <cell r="BO1989">
            <v>0</v>
          </cell>
          <cell r="BP1989">
            <v>0</v>
          </cell>
          <cell r="BQ1989">
            <v>0</v>
          </cell>
          <cell r="BR1989">
            <v>6592816.8200000003</v>
          </cell>
          <cell r="BT1989">
            <v>0</v>
          </cell>
          <cell r="CA1989" t="str">
            <v>29219X - REVTOT - Base</v>
          </cell>
          <cell r="CC1989" t="str">
            <v>29219X - REVTOT - Base - COMG</v>
          </cell>
          <cell r="CD1989" t="str">
            <v/>
          </cell>
          <cell r="CF1989" t="str">
            <v>29219X - Base - COMG</v>
          </cell>
        </row>
        <row r="1990">
          <cell r="D1990">
            <v>1976</v>
          </cell>
          <cell r="E1990">
            <v>1</v>
          </cell>
          <cell r="F1990">
            <v>2</v>
          </cell>
          <cell r="G1990" t="str">
            <v>29219X</v>
          </cell>
          <cell r="H1990" t="str">
            <v>Altria</v>
          </cell>
          <cell r="I1990" t="str">
            <v>COMG</v>
          </cell>
          <cell r="J1990" t="str">
            <v>Commercial O&amp;M</v>
          </cell>
          <cell r="K1990" t="str">
            <v>Commercial</v>
          </cell>
          <cell r="L1990" t="str">
            <v xml:space="preserve">Commercial </v>
          </cell>
          <cell r="M1990" t="str">
            <v>VA</v>
          </cell>
          <cell r="N1990" t="str">
            <v>CONUS</v>
          </cell>
          <cell r="O1990">
            <v>43804</v>
          </cell>
          <cell r="P1990">
            <v>44900</v>
          </cell>
          <cell r="Q1990" t="str">
            <v>Prime</v>
          </cell>
          <cell r="R1990" t="str">
            <v>CPFF</v>
          </cell>
          <cell r="S1990">
            <v>0</v>
          </cell>
          <cell r="T1990">
            <v>1</v>
          </cell>
          <cell r="U1990" t="str">
            <v>REVTOT</v>
          </cell>
          <cell r="V1990" t="str">
            <v>Identified - Recompete</v>
          </cell>
          <cell r="W1990" t="str">
            <v>04 Submitted</v>
          </cell>
          <cell r="X1990" t="str">
            <v>Priority 3</v>
          </cell>
          <cell r="Y1990">
            <v>0.5</v>
          </cell>
          <cell r="Z1990">
            <v>33000000</v>
          </cell>
          <cell r="AA1990">
            <v>0</v>
          </cell>
          <cell r="AB1990">
            <v>0</v>
          </cell>
          <cell r="AC1990">
            <v>0</v>
          </cell>
          <cell r="AD1990">
            <v>0</v>
          </cell>
          <cell r="AI1990">
            <v>0</v>
          </cell>
          <cell r="AJ1990">
            <v>0</v>
          </cell>
          <cell r="AK1990">
            <v>0</v>
          </cell>
          <cell r="BB1990">
            <v>11000000</v>
          </cell>
          <cell r="BC1990">
            <v>11000000</v>
          </cell>
          <cell r="BD1990">
            <v>11000000</v>
          </cell>
          <cell r="BE1990">
            <v>11000000</v>
          </cell>
          <cell r="BI1990">
            <v>0</v>
          </cell>
          <cell r="BJ1990">
            <v>0</v>
          </cell>
          <cell r="BK1990">
            <v>0</v>
          </cell>
          <cell r="BL1990">
            <v>0</v>
          </cell>
          <cell r="BM1990">
            <v>0</v>
          </cell>
          <cell r="BN1990">
            <v>5500000</v>
          </cell>
          <cell r="BO1990">
            <v>5500000</v>
          </cell>
          <cell r="BP1990">
            <v>5500000</v>
          </cell>
          <cell r="BQ1990">
            <v>0</v>
          </cell>
          <cell r="BR1990">
            <v>16500000</v>
          </cell>
          <cell r="BT1990">
            <v>0</v>
          </cell>
          <cell r="CA1990" t="str">
            <v>29219X - REVTOT - Identified - Recompete</v>
          </cell>
          <cell r="CC1990" t="str">
            <v>29219X - REVTOT - Identified - Recompete - COMG</v>
          </cell>
          <cell r="CD1990" t="str">
            <v/>
          </cell>
          <cell r="CF1990" t="str">
            <v>29219X - Identified - Recompete - COMG</v>
          </cell>
        </row>
        <row r="1991">
          <cell r="D1991">
            <v>1977</v>
          </cell>
          <cell r="E1991">
            <v>2</v>
          </cell>
          <cell r="F1991">
            <v>3</v>
          </cell>
          <cell r="G1991" t="str">
            <v>29219X</v>
          </cell>
          <cell r="H1991" t="str">
            <v>Altria</v>
          </cell>
          <cell r="I1991" t="str">
            <v>COMG</v>
          </cell>
          <cell r="J1991" t="str">
            <v>Commercial O&amp;M</v>
          </cell>
          <cell r="K1991" t="str">
            <v>Commercial</v>
          </cell>
          <cell r="L1991" t="str">
            <v xml:space="preserve">Commercial </v>
          </cell>
          <cell r="M1991" t="str">
            <v>VA</v>
          </cell>
          <cell r="N1991" t="str">
            <v>CONUS</v>
          </cell>
          <cell r="O1991">
            <v>43066</v>
          </cell>
          <cell r="P1991">
            <v>43830</v>
          </cell>
          <cell r="Q1991" t="str">
            <v>Prime</v>
          </cell>
          <cell r="R1991" t="str">
            <v>CPFF</v>
          </cell>
          <cell r="S1991">
            <v>0</v>
          </cell>
          <cell r="T1991">
            <v>1</v>
          </cell>
          <cell r="U1991" t="str">
            <v>CONTRACT</v>
          </cell>
          <cell r="V1991" t="str">
            <v>Base</v>
          </cell>
          <cell r="W1991" t="str">
            <v>05 Won</v>
          </cell>
          <cell r="X1991" t="str">
            <v>Active</v>
          </cell>
          <cell r="Y1991">
            <v>1</v>
          </cell>
          <cell r="Z1991">
            <v>0</v>
          </cell>
          <cell r="AA1991">
            <v>1782994.7025000011</v>
          </cell>
          <cell r="AB1991">
            <v>0</v>
          </cell>
          <cell r="AC1991">
            <v>0</v>
          </cell>
          <cell r="AD1991">
            <v>1782994.7025000011</v>
          </cell>
          <cell r="AL1991">
            <v>4.8039030382059388E-2</v>
          </cell>
          <cell r="AM1991">
            <v>4.5753444085525528E-2</v>
          </cell>
          <cell r="AN1991">
            <v>0.101048402536148</v>
          </cell>
          <cell r="AO1991">
            <v>8.1524941044885488E-2</v>
          </cell>
          <cell r="AP1991">
            <v>9.589574157771226E-2</v>
          </cell>
          <cell r="AQ1991">
            <v>9.589574157771226E-2</v>
          </cell>
          <cell r="AR1991">
            <v>9.589574157771226E-2</v>
          </cell>
          <cell r="AS1991">
            <v>9.589574157771226E-2</v>
          </cell>
          <cell r="BF1991">
            <v>209992.83000000013</v>
          </cell>
          <cell r="BG1991">
            <v>203254.95999999973</v>
          </cell>
          <cell r="BH1991">
            <v>578950.14000000013</v>
          </cell>
          <cell r="BI1991">
            <v>126337.1999999999</v>
          </cell>
          <cell r="BJ1991">
            <v>66250.459999999963</v>
          </cell>
          <cell r="BK1991">
            <v>99875.73000000004</v>
          </cell>
          <cell r="BL1991">
            <v>99657.074565573887</v>
          </cell>
          <cell r="BM1991">
            <v>392120.46456557378</v>
          </cell>
          <cell r="BN1991">
            <v>170981.59922537004</v>
          </cell>
          <cell r="BO1991">
            <v>0</v>
          </cell>
          <cell r="BP1991">
            <v>0</v>
          </cell>
          <cell r="BQ1991">
            <v>0</v>
          </cell>
          <cell r="BR1991">
            <v>563102.06379094382</v>
          </cell>
          <cell r="BT1991">
            <v>0</v>
          </cell>
          <cell r="CA1991" t="str">
            <v>29219X - CONTRACT - Base</v>
          </cell>
          <cell r="CC1991" t="str">
            <v>29219X - CONTRACT - Base - COMG</v>
          </cell>
          <cell r="CD1991" t="str">
            <v/>
          </cell>
          <cell r="CF1991" t="str">
            <v>29219X - Base - COMG</v>
          </cell>
        </row>
        <row r="1992">
          <cell r="D1992">
            <v>1978</v>
          </cell>
          <cell r="E1992">
            <v>2</v>
          </cell>
          <cell r="F1992">
            <v>4</v>
          </cell>
          <cell r="G1992" t="str">
            <v>29219X</v>
          </cell>
          <cell r="H1992" t="str">
            <v>Altria</v>
          </cell>
          <cell r="I1992" t="str">
            <v>COMG</v>
          </cell>
          <cell r="J1992" t="str">
            <v>Commercial O&amp;M</v>
          </cell>
          <cell r="K1992" t="str">
            <v>Commercial</v>
          </cell>
          <cell r="L1992" t="str">
            <v xml:space="preserve">Commercial </v>
          </cell>
          <cell r="M1992" t="str">
            <v>VA</v>
          </cell>
          <cell r="N1992" t="str">
            <v>CONUS</v>
          </cell>
          <cell r="O1992">
            <v>43804</v>
          </cell>
          <cell r="P1992">
            <v>44900</v>
          </cell>
          <cell r="Q1992" t="str">
            <v>Prime</v>
          </cell>
          <cell r="R1992" t="str">
            <v>CPFF</v>
          </cell>
          <cell r="S1992">
            <v>0</v>
          </cell>
          <cell r="T1992">
            <v>1</v>
          </cell>
          <cell r="U1992" t="str">
            <v>CONTRACT</v>
          </cell>
          <cell r="V1992" t="str">
            <v>Identified - Recompete</v>
          </cell>
          <cell r="W1992" t="str">
            <v>04 Submitted</v>
          </cell>
          <cell r="X1992" t="str">
            <v>Priority 3</v>
          </cell>
          <cell r="Y1992">
            <v>0.5</v>
          </cell>
          <cell r="Z1992">
            <v>33000000</v>
          </cell>
          <cell r="AA1992">
            <v>0</v>
          </cell>
          <cell r="AB1992">
            <v>0</v>
          </cell>
          <cell r="AC1992">
            <v>0</v>
          </cell>
          <cell r="AD1992">
            <v>0</v>
          </cell>
          <cell r="AP1992">
            <v>9.589574157771226E-2</v>
          </cell>
          <cell r="AQ1992">
            <v>9.589574157771226E-2</v>
          </cell>
          <cell r="AR1992">
            <v>9.589574157771226E-2</v>
          </cell>
          <cell r="AS1992">
            <v>9.589574157771226E-2</v>
          </cell>
          <cell r="BI1992">
            <v>0</v>
          </cell>
          <cell r="BJ1992">
            <v>0</v>
          </cell>
          <cell r="BK1992">
            <v>0</v>
          </cell>
          <cell r="BL1992">
            <v>0</v>
          </cell>
          <cell r="BM1992">
            <v>0</v>
          </cell>
          <cell r="BN1992">
            <v>527426.57867741748</v>
          </cell>
          <cell r="BO1992">
            <v>527426.57867741748</v>
          </cell>
          <cell r="BP1992">
            <v>527426.57867741748</v>
          </cell>
          <cell r="BQ1992">
            <v>0</v>
          </cell>
          <cell r="BR1992">
            <v>1582279.7360322524</v>
          </cell>
          <cell r="BT1992">
            <v>0</v>
          </cell>
          <cell r="CA1992" t="str">
            <v>29219X - CONTRACT - Identified - Recompete</v>
          </cell>
          <cell r="CC1992" t="str">
            <v>29219X - CONTRACT - Identified - Recompete - COMG</v>
          </cell>
          <cell r="CD1992" t="str">
            <v/>
          </cell>
          <cell r="CF1992" t="str">
            <v>29219X - Identified - Recompete - COMG</v>
          </cell>
        </row>
        <row r="1993">
          <cell r="D1993">
            <v>1979</v>
          </cell>
          <cell r="E1993">
            <v>0</v>
          </cell>
          <cell r="F1993">
            <v>5</v>
          </cell>
          <cell r="G1993" t="str">
            <v>29219X</v>
          </cell>
          <cell r="H1993" t="str">
            <v>Altria</v>
          </cell>
          <cell r="I1993" t="str">
            <v>COMG</v>
          </cell>
          <cell r="J1993" t="str">
            <v>Commercial O&amp;M</v>
          </cell>
          <cell r="K1993" t="str">
            <v>Commercial</v>
          </cell>
          <cell r="L1993" t="str">
            <v xml:space="preserve">Commercial </v>
          </cell>
          <cell r="M1993" t="str">
            <v>VA</v>
          </cell>
          <cell r="N1993" t="str">
            <v>CONUS</v>
          </cell>
          <cell r="O1993">
            <v>43066</v>
          </cell>
          <cell r="P1993">
            <v>43830</v>
          </cell>
          <cell r="Q1993" t="str">
            <v>Prime</v>
          </cell>
          <cell r="R1993" t="str">
            <v>CPFF</v>
          </cell>
          <cell r="S1993">
            <v>0</v>
          </cell>
          <cell r="T1993">
            <v>1</v>
          </cell>
          <cell r="U1993" t="str">
            <v>EBITA</v>
          </cell>
          <cell r="V1993" t="str">
            <v>Base</v>
          </cell>
          <cell r="W1993" t="str">
            <v>05 Won</v>
          </cell>
          <cell r="X1993" t="str">
            <v>Active</v>
          </cell>
          <cell r="Y1993">
            <v>1</v>
          </cell>
          <cell r="Z1993">
            <v>0</v>
          </cell>
          <cell r="AA1993">
            <v>1782994.7025000011</v>
          </cell>
          <cell r="AB1993">
            <v>0</v>
          </cell>
          <cell r="AC1993">
            <v>0</v>
          </cell>
          <cell r="AD1993">
            <v>1782994.7025000011</v>
          </cell>
          <cell r="AT1993">
            <v>4.8039030382059388E-2</v>
          </cell>
          <cell r="AU1993">
            <v>3.1697732530852972E-2</v>
          </cell>
          <cell r="AV1993">
            <v>3.2071577082361913E-2</v>
          </cell>
          <cell r="AW1993">
            <v>1.3711522969980889E-2</v>
          </cell>
          <cell r="AX1993">
            <v>1.860984780951767E-2</v>
          </cell>
          <cell r="AY1993">
            <v>1.860984780951767E-2</v>
          </cell>
          <cell r="AZ1993">
            <v>1.860984780951767E-2</v>
          </cell>
          <cell r="BA1993">
            <v>1.860984780951767E-2</v>
          </cell>
          <cell r="BF1993">
            <v>209992.83000000013</v>
          </cell>
          <cell r="BG1993">
            <v>140813.90999999971</v>
          </cell>
          <cell r="BH1993">
            <v>183751.9800000001</v>
          </cell>
          <cell r="BI1993">
            <v>30990.949999999903</v>
          </cell>
          <cell r="BJ1993">
            <v>-12128.060000000034</v>
          </cell>
          <cell r="BK1993">
            <v>27301.600000000042</v>
          </cell>
          <cell r="BL1993">
            <v>19785.496445623459</v>
          </cell>
          <cell r="BM1993">
            <v>65949.986445623363</v>
          </cell>
          <cell r="BN1993">
            <v>33181.260058701257</v>
          </cell>
          <cell r="BO1993">
            <v>0</v>
          </cell>
          <cell r="BP1993">
            <v>0</v>
          </cell>
          <cell r="BQ1993">
            <v>0</v>
          </cell>
          <cell r="BR1993">
            <v>99131.246504324619</v>
          </cell>
          <cell r="BT1993">
            <v>0</v>
          </cell>
          <cell r="CA1993" t="str">
            <v>29219X - EBITA - Base</v>
          </cell>
          <cell r="CC1993" t="str">
            <v>29219X - EBITA - Base - COMG</v>
          </cell>
          <cell r="CD1993" t="str">
            <v/>
          </cell>
          <cell r="CF1993" t="str">
            <v>29219X - Base - COMG</v>
          </cell>
        </row>
        <row r="1994">
          <cell r="D1994">
            <v>1980</v>
          </cell>
          <cell r="E1994">
            <v>0</v>
          </cell>
          <cell r="F1994">
            <v>0</v>
          </cell>
          <cell r="G1994" t="str">
            <v>29219X</v>
          </cell>
          <cell r="H1994" t="str">
            <v>Altria</v>
          </cell>
          <cell r="I1994" t="str">
            <v>COMG</v>
          </cell>
          <cell r="J1994" t="str">
            <v>Commercial O&amp;M</v>
          </cell>
          <cell r="K1994" t="str">
            <v>Commercial</v>
          </cell>
          <cell r="L1994" t="str">
            <v xml:space="preserve">Commercial </v>
          </cell>
          <cell r="M1994" t="str">
            <v>VA</v>
          </cell>
          <cell r="N1994" t="str">
            <v>CONUS</v>
          </cell>
          <cell r="O1994">
            <v>43804</v>
          </cell>
          <cell r="P1994">
            <v>44900</v>
          </cell>
          <cell r="Q1994" t="str">
            <v>Prime</v>
          </cell>
          <cell r="R1994" t="str">
            <v>CPFF</v>
          </cell>
          <cell r="S1994">
            <v>0</v>
          </cell>
          <cell r="T1994">
            <v>1</v>
          </cell>
          <cell r="U1994" t="str">
            <v>EBITA</v>
          </cell>
          <cell r="V1994" t="str">
            <v>Identified - Recompete</v>
          </cell>
          <cell r="W1994" t="str">
            <v>04 Submitted</v>
          </cell>
          <cell r="X1994" t="str">
            <v>Priority 3</v>
          </cell>
          <cell r="Y1994">
            <v>0.5</v>
          </cell>
          <cell r="Z1994">
            <v>33000000</v>
          </cell>
          <cell r="AA1994">
            <v>0</v>
          </cell>
          <cell r="AB1994">
            <v>0</v>
          </cell>
          <cell r="AC1994">
            <v>0</v>
          </cell>
          <cell r="AD1994">
            <v>0</v>
          </cell>
          <cell r="AX1994">
            <v>1.860984780951767E-2</v>
          </cell>
          <cell r="AY1994">
            <v>1.860984780951767E-2</v>
          </cell>
          <cell r="AZ1994">
            <v>1.860984780951767E-2</v>
          </cell>
          <cell r="BA1994">
            <v>1.860984780951767E-2</v>
          </cell>
          <cell r="BI1994">
            <v>0</v>
          </cell>
          <cell r="BJ1994">
            <v>0</v>
          </cell>
          <cell r="BK1994">
            <v>0</v>
          </cell>
          <cell r="BL1994">
            <v>0</v>
          </cell>
          <cell r="BM1994">
            <v>0</v>
          </cell>
          <cell r="BN1994">
            <v>102354.16295234719</v>
          </cell>
          <cell r="BO1994">
            <v>102354.16295234719</v>
          </cell>
          <cell r="BP1994">
            <v>102354.16295234719</v>
          </cell>
          <cell r="BQ1994">
            <v>0</v>
          </cell>
          <cell r="BR1994">
            <v>307062.48885704158</v>
          </cell>
          <cell r="BT1994">
            <v>0</v>
          </cell>
          <cell r="CA1994" t="str">
            <v>29219X - EBITA - Identified - Recompete</v>
          </cell>
          <cell r="CC1994" t="str">
            <v>29219X - EBITA - Identified - Recompete - COMG</v>
          </cell>
          <cell r="CD1994" t="str">
            <v/>
          </cell>
          <cell r="CF1994" t="str">
            <v>29219X - Identified - Recompete - COMG</v>
          </cell>
        </row>
        <row r="1995">
          <cell r="D1995">
            <v>1981</v>
          </cell>
          <cell r="E1995">
            <v>1</v>
          </cell>
          <cell r="F1995">
            <v>1</v>
          </cell>
          <cell r="G1995" t="str">
            <v>GEDRHM</v>
          </cell>
          <cell r="H1995" t="str">
            <v>GE Aviation Durham NC</v>
          </cell>
          <cell r="I1995" t="str">
            <v>COMG</v>
          </cell>
          <cell r="J1995" t="str">
            <v>Commercial O&amp;M</v>
          </cell>
          <cell r="K1995" t="str">
            <v>Commercial</v>
          </cell>
          <cell r="L1995" t="str">
            <v xml:space="preserve">Commercial </v>
          </cell>
          <cell r="M1995" t="str">
            <v>NC</v>
          </cell>
          <cell r="N1995" t="str">
            <v>CONUS</v>
          </cell>
          <cell r="O1995">
            <v>43218</v>
          </cell>
          <cell r="P1995">
            <v>44313</v>
          </cell>
          <cell r="Q1995" t="str">
            <v>Prime</v>
          </cell>
          <cell r="R1995" t="str">
            <v>T&amp;M</v>
          </cell>
          <cell r="S1995">
            <v>0</v>
          </cell>
          <cell r="T1995">
            <v>1</v>
          </cell>
          <cell r="U1995" t="str">
            <v>REVTOT</v>
          </cell>
          <cell r="V1995" t="str">
            <v>Base</v>
          </cell>
          <cell r="W1995" t="str">
            <v>05 Won</v>
          </cell>
          <cell r="X1995" t="str">
            <v>Active</v>
          </cell>
          <cell r="Y1995">
            <v>1</v>
          </cell>
          <cell r="Z1995">
            <v>0</v>
          </cell>
          <cell r="AA1995">
            <v>1863985.5801538453</v>
          </cell>
          <cell r="AB1995">
            <v>3418777</v>
          </cell>
          <cell r="AC1995">
            <v>0</v>
          </cell>
          <cell r="AD1995">
            <v>5282762.5801538453</v>
          </cell>
          <cell r="AE1995">
            <v>0</v>
          </cell>
          <cell r="AF1995">
            <v>0</v>
          </cell>
          <cell r="AG1995">
            <v>1.2374312332927242</v>
          </cell>
          <cell r="AH1995">
            <v>-5.0118031649540096E-2</v>
          </cell>
          <cell r="AI1995">
            <v>0</v>
          </cell>
          <cell r="AJ1995">
            <v>0</v>
          </cell>
          <cell r="AK1995">
            <v>0</v>
          </cell>
          <cell r="BB1995">
            <v>3441444</v>
          </cell>
          <cell r="BC1995">
            <v>3441444</v>
          </cell>
          <cell r="BD1995">
            <v>3441444</v>
          </cell>
          <cell r="BE1995">
            <v>3441444</v>
          </cell>
          <cell r="BF1995">
            <v>0</v>
          </cell>
          <cell r="BG1995">
            <v>0</v>
          </cell>
          <cell r="BH1995">
            <v>1619277.82</v>
          </cell>
          <cell r="BI1995">
            <v>911327.57</v>
          </cell>
          <cell r="BJ1995">
            <v>968196.38</v>
          </cell>
          <cell r="BK1995">
            <v>888253.93</v>
          </cell>
          <cell r="BL1995">
            <v>855244.88984615402</v>
          </cell>
          <cell r="BM1995">
            <v>3623022.7698461539</v>
          </cell>
          <cell r="BN1995">
            <v>3441444</v>
          </cell>
          <cell r="BO1995">
            <v>1841318.5801538453</v>
          </cell>
          <cell r="BP1995">
            <v>0</v>
          </cell>
          <cell r="BQ1995">
            <v>0</v>
          </cell>
          <cell r="BR1995">
            <v>8905785.3499999996</v>
          </cell>
          <cell r="BT1995">
            <v>0</v>
          </cell>
          <cell r="CA1995" t="str">
            <v>GEDRHM - REVTOT - Base</v>
          </cell>
          <cell r="CC1995" t="str">
            <v>GEDRHM - REVTOT - Base - COMG</v>
          </cell>
          <cell r="CD1995" t="str">
            <v/>
          </cell>
          <cell r="CF1995" t="str">
            <v>GEDRHM - Base - COMG</v>
          </cell>
        </row>
        <row r="1996">
          <cell r="D1996">
            <v>1982</v>
          </cell>
          <cell r="E1996">
            <v>1</v>
          </cell>
          <cell r="F1996">
            <v>2</v>
          </cell>
          <cell r="G1996" t="str">
            <v>GEDRHM</v>
          </cell>
          <cell r="H1996" t="str">
            <v>GE Aviation Durham NC</v>
          </cell>
          <cell r="I1996" t="str">
            <v>COMG</v>
          </cell>
          <cell r="J1996" t="str">
            <v>Commercial O&amp;M</v>
          </cell>
          <cell r="K1996" t="str">
            <v>Commercial</v>
          </cell>
          <cell r="L1996" t="str">
            <v xml:space="preserve">Commercial </v>
          </cell>
          <cell r="M1996" t="str">
            <v>NC</v>
          </cell>
          <cell r="N1996" t="str">
            <v>CONUS</v>
          </cell>
          <cell r="O1996">
            <v>0</v>
          </cell>
          <cell r="P1996">
            <v>0</v>
          </cell>
          <cell r="Q1996">
            <v>0</v>
          </cell>
          <cell r="R1996" t="str">
            <v>T&amp;M</v>
          </cell>
          <cell r="S1996">
            <v>0</v>
          </cell>
          <cell r="T1996">
            <v>1</v>
          </cell>
          <cell r="U1996" t="str">
            <v>REVTOT</v>
          </cell>
          <cell r="V1996" t="str">
            <v>Identified - Recompete</v>
          </cell>
          <cell r="W1996">
            <v>0</v>
          </cell>
          <cell r="X1996">
            <v>0</v>
          </cell>
          <cell r="Y1996">
            <v>0</v>
          </cell>
          <cell r="Z1996">
            <v>0</v>
          </cell>
          <cell r="AA1996">
            <v>0</v>
          </cell>
          <cell r="AB1996">
            <v>0</v>
          </cell>
          <cell r="AC1996">
            <v>0</v>
          </cell>
          <cell r="AD1996">
            <v>0</v>
          </cell>
          <cell r="AI1996">
            <v>0</v>
          </cell>
          <cell r="AJ1996">
            <v>0</v>
          </cell>
          <cell r="AK1996">
            <v>0</v>
          </cell>
          <cell r="BB1996">
            <v>0</v>
          </cell>
          <cell r="BC1996">
            <v>0</v>
          </cell>
          <cell r="BD1996">
            <v>0</v>
          </cell>
          <cell r="BE1996">
            <v>0</v>
          </cell>
          <cell r="BI1996">
            <v>0</v>
          </cell>
          <cell r="BJ1996">
            <v>0</v>
          </cell>
          <cell r="BK1996">
            <v>0</v>
          </cell>
          <cell r="BL1996">
            <v>0</v>
          </cell>
          <cell r="BM1996">
            <v>0</v>
          </cell>
          <cell r="BN1996">
            <v>0</v>
          </cell>
          <cell r="BO1996">
            <v>0</v>
          </cell>
          <cell r="BP1996">
            <v>0</v>
          </cell>
          <cell r="BQ1996">
            <v>0</v>
          </cell>
          <cell r="BR1996">
            <v>0</v>
          </cell>
          <cell r="BT1996">
            <v>0</v>
          </cell>
          <cell r="CA1996" t="str">
            <v>GEDRHM - REVTOT - Identified - Recompete</v>
          </cell>
          <cell r="CC1996" t="str">
            <v>GEDRHM - REVTOT - Identified - Recompete - COMG</v>
          </cell>
          <cell r="CD1996" t="str">
            <v/>
          </cell>
          <cell r="CF1996" t="str">
            <v>GEDRHM - Identified - Recompete - COMG</v>
          </cell>
        </row>
        <row r="1997">
          <cell r="D1997">
            <v>1983</v>
          </cell>
          <cell r="E1997">
            <v>2</v>
          </cell>
          <cell r="F1997">
            <v>3</v>
          </cell>
          <cell r="G1997" t="str">
            <v>GEDRHM</v>
          </cell>
          <cell r="H1997" t="str">
            <v>GE Aviation Durham NC</v>
          </cell>
          <cell r="I1997" t="str">
            <v>COMG</v>
          </cell>
          <cell r="J1997" t="str">
            <v>Commercial O&amp;M</v>
          </cell>
          <cell r="K1997" t="str">
            <v>Commercial</v>
          </cell>
          <cell r="L1997" t="str">
            <v xml:space="preserve">Commercial </v>
          </cell>
          <cell r="M1997" t="str">
            <v>NC</v>
          </cell>
          <cell r="N1997" t="str">
            <v>CONUS</v>
          </cell>
          <cell r="O1997">
            <v>43218</v>
          </cell>
          <cell r="P1997">
            <v>44313</v>
          </cell>
          <cell r="Q1997" t="str">
            <v>Prime</v>
          </cell>
          <cell r="R1997" t="str">
            <v>T&amp;M</v>
          </cell>
          <cell r="S1997">
            <v>0</v>
          </cell>
          <cell r="T1997">
            <v>1</v>
          </cell>
          <cell r="U1997" t="str">
            <v>CONTRACT</v>
          </cell>
          <cell r="V1997" t="str">
            <v>Base</v>
          </cell>
          <cell r="W1997" t="str">
            <v>05 Won</v>
          </cell>
          <cell r="X1997" t="str">
            <v>Active</v>
          </cell>
          <cell r="Y1997">
            <v>1</v>
          </cell>
          <cell r="Z1997">
            <v>0</v>
          </cell>
          <cell r="AA1997">
            <v>1863985.5801538453</v>
          </cell>
          <cell r="AB1997">
            <v>3418777</v>
          </cell>
          <cell r="AC1997">
            <v>0</v>
          </cell>
          <cell r="AD1997">
            <v>5282762.5801538453</v>
          </cell>
          <cell r="AL1997">
            <v>0</v>
          </cell>
          <cell r="AM1997">
            <v>0</v>
          </cell>
          <cell r="AN1997">
            <v>0.16238025788558019</v>
          </cell>
          <cell r="AO1997">
            <v>0.10182250687613116</v>
          </cell>
          <cell r="AP1997">
            <v>0.101314325033329</v>
          </cell>
          <cell r="AQ1997">
            <v>0.101314325033329</v>
          </cell>
          <cell r="AR1997">
            <v>0.101314325033329</v>
          </cell>
          <cell r="AS1997">
            <v>0.101314325033329</v>
          </cell>
          <cell r="BF1997">
            <v>0</v>
          </cell>
          <cell r="BG1997">
            <v>0</v>
          </cell>
          <cell r="BH1997">
            <v>262938.75000000012</v>
          </cell>
          <cell r="BI1997">
            <v>106554.19999999998</v>
          </cell>
          <cell r="BJ1997">
            <v>103899.46999999997</v>
          </cell>
          <cell r="BK1997">
            <v>69031.920000000042</v>
          </cell>
          <cell r="BL1997">
            <v>89419.670895039773</v>
          </cell>
          <cell r="BM1997">
            <v>368905.26089503977</v>
          </cell>
          <cell r="BN1997">
            <v>348667.57599999988</v>
          </cell>
          <cell r="BO1997">
            <v>186551.94911961455</v>
          </cell>
          <cell r="BP1997">
            <v>0</v>
          </cell>
          <cell r="BQ1997">
            <v>0</v>
          </cell>
          <cell r="BR1997">
            <v>904124.78601465421</v>
          </cell>
          <cell r="BT1997">
            <v>0</v>
          </cell>
          <cell r="CA1997" t="str">
            <v>GEDRHM - CONTRACT - Base</v>
          </cell>
          <cell r="CC1997" t="str">
            <v>GEDRHM - CONTRACT - Base - COMG</v>
          </cell>
          <cell r="CD1997" t="str">
            <v/>
          </cell>
          <cell r="CF1997" t="str">
            <v>GEDRHM - Base - COMG</v>
          </cell>
        </row>
        <row r="1998">
          <cell r="D1998">
            <v>1984</v>
          </cell>
          <cell r="E1998">
            <v>2</v>
          </cell>
          <cell r="F1998">
            <v>4</v>
          </cell>
          <cell r="G1998" t="str">
            <v>GEDRHM</v>
          </cell>
          <cell r="H1998" t="str">
            <v>GE Aviation Durham NC</v>
          </cell>
          <cell r="I1998" t="str">
            <v>COMG</v>
          </cell>
          <cell r="J1998" t="str">
            <v>Commercial O&amp;M</v>
          </cell>
          <cell r="K1998" t="str">
            <v>Commercial</v>
          </cell>
          <cell r="L1998" t="str">
            <v xml:space="preserve">Commercial </v>
          </cell>
          <cell r="M1998" t="str">
            <v>NC</v>
          </cell>
          <cell r="N1998" t="str">
            <v>CONUS</v>
          </cell>
          <cell r="O1998">
            <v>0</v>
          </cell>
          <cell r="P1998">
            <v>0</v>
          </cell>
          <cell r="Q1998">
            <v>0</v>
          </cell>
          <cell r="R1998" t="str">
            <v>T&amp;M</v>
          </cell>
          <cell r="S1998">
            <v>0</v>
          </cell>
          <cell r="T1998">
            <v>1</v>
          </cell>
          <cell r="U1998" t="str">
            <v>CONTRACT</v>
          </cell>
          <cell r="V1998" t="str">
            <v>Identified - Recompete</v>
          </cell>
          <cell r="W1998">
            <v>0</v>
          </cell>
          <cell r="X1998">
            <v>0</v>
          </cell>
          <cell r="Y1998">
            <v>0</v>
          </cell>
          <cell r="Z1998">
            <v>0</v>
          </cell>
          <cell r="AA1998">
            <v>0</v>
          </cell>
          <cell r="AB1998">
            <v>0</v>
          </cell>
          <cell r="AC1998">
            <v>0</v>
          </cell>
          <cell r="AD1998">
            <v>0</v>
          </cell>
          <cell r="AP1998">
            <v>0</v>
          </cell>
          <cell r="AQ1998">
            <v>0</v>
          </cell>
          <cell r="AR1998">
            <v>0</v>
          </cell>
          <cell r="AS1998">
            <v>0</v>
          </cell>
          <cell r="BI1998">
            <v>0</v>
          </cell>
          <cell r="BJ1998">
            <v>0</v>
          </cell>
          <cell r="BK1998">
            <v>0</v>
          </cell>
          <cell r="BL1998">
            <v>0</v>
          </cell>
          <cell r="BM1998">
            <v>0</v>
          </cell>
          <cell r="BN1998">
            <v>0</v>
          </cell>
          <cell r="BO1998">
            <v>0</v>
          </cell>
          <cell r="BP1998">
            <v>0</v>
          </cell>
          <cell r="BQ1998">
            <v>0</v>
          </cell>
          <cell r="BR1998">
            <v>0</v>
          </cell>
          <cell r="BT1998">
            <v>0</v>
          </cell>
          <cell r="CA1998" t="str">
            <v>GEDRHM - CONTRACT - Identified - Recompete</v>
          </cell>
          <cell r="CC1998" t="str">
            <v>GEDRHM - CONTRACT - Identified - Recompete - COMG</v>
          </cell>
          <cell r="CD1998" t="str">
            <v/>
          </cell>
          <cell r="CF1998" t="str">
            <v>GEDRHM - Identified - Recompete - COMG</v>
          </cell>
        </row>
        <row r="1999">
          <cell r="D1999">
            <v>1985</v>
          </cell>
          <cell r="E1999">
            <v>0</v>
          </cell>
          <cell r="F1999">
            <v>5</v>
          </cell>
          <cell r="G1999" t="str">
            <v>GEDRHM</v>
          </cell>
          <cell r="H1999" t="str">
            <v>GE Aviation Durham NC</v>
          </cell>
          <cell r="I1999" t="str">
            <v>COMG</v>
          </cell>
          <cell r="J1999" t="str">
            <v>Commercial O&amp;M</v>
          </cell>
          <cell r="K1999" t="str">
            <v>Commercial</v>
          </cell>
          <cell r="L1999" t="str">
            <v xml:space="preserve">Commercial </v>
          </cell>
          <cell r="M1999" t="str">
            <v>NC</v>
          </cell>
          <cell r="N1999" t="str">
            <v>CONUS</v>
          </cell>
          <cell r="O1999">
            <v>43218</v>
          </cell>
          <cell r="P1999">
            <v>44313</v>
          </cell>
          <cell r="Q1999" t="str">
            <v>Prime</v>
          </cell>
          <cell r="R1999" t="str">
            <v>T&amp;M</v>
          </cell>
          <cell r="S1999">
            <v>0</v>
          </cell>
          <cell r="T1999">
            <v>1</v>
          </cell>
          <cell r="U1999" t="str">
            <v>EBITA</v>
          </cell>
          <cell r="V1999" t="str">
            <v>Base</v>
          </cell>
          <cell r="W1999" t="str">
            <v>05 Won</v>
          </cell>
          <cell r="X1999" t="str">
            <v>Active</v>
          </cell>
          <cell r="Y1999">
            <v>1</v>
          </cell>
          <cell r="Z1999">
            <v>0</v>
          </cell>
          <cell r="AA1999">
            <v>1863985.5801538453</v>
          </cell>
          <cell r="AB1999">
            <v>3418777</v>
          </cell>
          <cell r="AC1999">
            <v>0</v>
          </cell>
          <cell r="AD1999">
            <v>5282762.5801538453</v>
          </cell>
          <cell r="AT1999">
            <v>0</v>
          </cell>
          <cell r="AU1999">
            <v>0</v>
          </cell>
          <cell r="AV1999">
            <v>6.9790642843486905E-2</v>
          </cell>
          <cell r="AW1999">
            <v>1.7900095504308027E-2</v>
          </cell>
          <cell r="AX1999">
            <v>2.0498040696050594E-2</v>
          </cell>
          <cell r="AY1999">
            <v>2.1498040696050595E-2</v>
          </cell>
          <cell r="AZ1999">
            <v>2.2498040696050596E-2</v>
          </cell>
          <cell r="BA1999">
            <v>2.3498040696050597E-2</v>
          </cell>
          <cell r="BF1999">
            <v>0</v>
          </cell>
          <cell r="BG1999">
            <v>0</v>
          </cell>
          <cell r="BH1999">
            <v>113010.44000000009</v>
          </cell>
          <cell r="BI1999">
            <v>31553.789999999979</v>
          </cell>
          <cell r="BJ1999">
            <v>23428.859999999971</v>
          </cell>
          <cell r="BK1999">
            <v>-9830.189999999955</v>
          </cell>
          <cell r="BL1999">
            <v>19699.993594528765</v>
          </cell>
          <cell r="BM1999">
            <v>64852.453594528757</v>
          </cell>
          <cell r="BN1999">
            <v>70542.859165179136</v>
          </cell>
          <cell r="BO1999">
            <v>39584.741770541463</v>
          </cell>
          <cell r="BP1999">
            <v>0</v>
          </cell>
          <cell r="BQ1999">
            <v>0</v>
          </cell>
          <cell r="BR1999">
            <v>174980.05453024936</v>
          </cell>
          <cell r="BT1999">
            <v>0</v>
          </cell>
          <cell r="CA1999" t="str">
            <v>GEDRHM - EBITA - Base</v>
          </cell>
          <cell r="CC1999" t="str">
            <v>GEDRHM - EBITA - Base - COMG</v>
          </cell>
          <cell r="CD1999" t="str">
            <v/>
          </cell>
          <cell r="CF1999" t="str">
            <v>GEDRHM - Base - COMG</v>
          </cell>
        </row>
        <row r="2000">
          <cell r="D2000">
            <v>1986</v>
          </cell>
          <cell r="E2000">
            <v>0</v>
          </cell>
          <cell r="F2000">
            <v>0</v>
          </cell>
          <cell r="G2000" t="str">
            <v>GEDRHM</v>
          </cell>
          <cell r="H2000" t="str">
            <v>GE Aviation Durham NC</v>
          </cell>
          <cell r="I2000" t="str">
            <v>COMG</v>
          </cell>
          <cell r="J2000" t="str">
            <v>Commercial O&amp;M</v>
          </cell>
          <cell r="K2000" t="str">
            <v>Commercial</v>
          </cell>
          <cell r="L2000" t="str">
            <v xml:space="preserve">Commercial </v>
          </cell>
          <cell r="M2000" t="str">
            <v>NC</v>
          </cell>
          <cell r="N2000" t="str">
            <v>CONUS</v>
          </cell>
          <cell r="O2000">
            <v>0</v>
          </cell>
          <cell r="P2000">
            <v>0</v>
          </cell>
          <cell r="Q2000">
            <v>0</v>
          </cell>
          <cell r="R2000" t="str">
            <v>T&amp;M</v>
          </cell>
          <cell r="S2000">
            <v>0</v>
          </cell>
          <cell r="T2000">
            <v>1</v>
          </cell>
          <cell r="U2000" t="str">
            <v>EBITA</v>
          </cell>
          <cell r="V2000" t="str">
            <v>Identified - Recompete</v>
          </cell>
          <cell r="W2000">
            <v>0</v>
          </cell>
          <cell r="X2000">
            <v>0</v>
          </cell>
          <cell r="Y2000">
            <v>0</v>
          </cell>
          <cell r="Z2000">
            <v>0</v>
          </cell>
          <cell r="AA2000">
            <v>0</v>
          </cell>
          <cell r="AB2000">
            <v>0</v>
          </cell>
          <cell r="AC2000">
            <v>0</v>
          </cell>
          <cell r="AD2000">
            <v>0</v>
          </cell>
          <cell r="AX2000">
            <v>0</v>
          </cell>
          <cell r="AY2000">
            <v>0</v>
          </cell>
          <cell r="AZ2000">
            <v>0</v>
          </cell>
          <cell r="BA2000">
            <v>0</v>
          </cell>
          <cell r="BI2000">
            <v>0</v>
          </cell>
          <cell r="BJ2000">
            <v>0</v>
          </cell>
          <cell r="BK2000">
            <v>0</v>
          </cell>
          <cell r="BL2000">
            <v>0</v>
          </cell>
          <cell r="BM2000">
            <v>0</v>
          </cell>
          <cell r="BN2000">
            <v>0</v>
          </cell>
          <cell r="BO2000">
            <v>0</v>
          </cell>
          <cell r="BP2000">
            <v>0</v>
          </cell>
          <cell r="BQ2000">
            <v>0</v>
          </cell>
          <cell r="BR2000">
            <v>0</v>
          </cell>
          <cell r="BT2000">
            <v>0</v>
          </cell>
          <cell r="CA2000" t="str">
            <v>GEDRHM - EBITA - Identified - Recompete</v>
          </cell>
          <cell r="CC2000" t="str">
            <v>GEDRHM - EBITA - Identified - Recompete - COMG</v>
          </cell>
          <cell r="CD2000" t="str">
            <v/>
          </cell>
          <cell r="CF2000" t="str">
            <v>GEDRHM - Identified - Recompete - COMG</v>
          </cell>
        </row>
        <row r="2001">
          <cell r="D2001">
            <v>1987</v>
          </cell>
          <cell r="E2001">
            <v>1</v>
          </cell>
          <cell r="F2001">
            <v>1</v>
          </cell>
          <cell r="G2001" t="str">
            <v>29560X</v>
          </cell>
          <cell r="H2001" t="str">
            <v>Rite Aid</v>
          </cell>
          <cell r="I2001" t="str">
            <v>COMG</v>
          </cell>
          <cell r="J2001" t="str">
            <v>Commercial O&amp;M</v>
          </cell>
          <cell r="K2001" t="str">
            <v>Commercial</v>
          </cell>
          <cell r="L2001" t="str">
            <v xml:space="preserve">Commercial </v>
          </cell>
          <cell r="M2001" t="str">
            <v>MD</v>
          </cell>
          <cell r="N2001" t="str">
            <v>CONUS</v>
          </cell>
          <cell r="O2001">
            <v>42036</v>
          </cell>
          <cell r="P2001">
            <v>43861</v>
          </cell>
          <cell r="Q2001" t="str">
            <v>Prime</v>
          </cell>
          <cell r="R2001" t="str">
            <v>CPFF</v>
          </cell>
          <cell r="S2001">
            <v>0</v>
          </cell>
          <cell r="T2001">
            <v>1</v>
          </cell>
          <cell r="U2001" t="str">
            <v>REVTOT</v>
          </cell>
          <cell r="V2001" t="str">
            <v>Base</v>
          </cell>
          <cell r="W2001" t="str">
            <v>05 Won</v>
          </cell>
          <cell r="X2001" t="str">
            <v>Active</v>
          </cell>
          <cell r="Y2001">
            <v>1</v>
          </cell>
          <cell r="Z2001">
            <v>0</v>
          </cell>
          <cell r="AA2001">
            <v>1680765.379942599</v>
          </cell>
          <cell r="AB2001">
            <v>0</v>
          </cell>
          <cell r="AC2001">
            <v>0</v>
          </cell>
          <cell r="AD2001">
            <v>1680765.379942599</v>
          </cell>
          <cell r="AE2001">
            <v>-0.11395365094136156</v>
          </cell>
          <cell r="AF2001">
            <v>-0.12876200966626228</v>
          </cell>
          <cell r="AG2001">
            <v>-2.7028341643128395E-2</v>
          </cell>
          <cell r="AH2001">
            <v>-0.36885137075925312</v>
          </cell>
          <cell r="AI2001">
            <v>0</v>
          </cell>
          <cell r="AJ2001">
            <v>0</v>
          </cell>
          <cell r="AK2001">
            <v>0</v>
          </cell>
          <cell r="BB2001">
            <v>2663525.59</v>
          </cell>
          <cell r="BC2001">
            <v>2663525.59</v>
          </cell>
          <cell r="BD2001">
            <v>2663525.59</v>
          </cell>
          <cell r="BE2001">
            <v>2663525.59</v>
          </cell>
          <cell r="BF2001">
            <v>3545536.95</v>
          </cell>
          <cell r="BG2001">
            <v>3141510.0700000003</v>
          </cell>
          <cell r="BH2001">
            <v>2737002.92</v>
          </cell>
          <cell r="BI2001">
            <v>702791.26</v>
          </cell>
          <cell r="BJ2001">
            <v>765205.91999999993</v>
          </cell>
          <cell r="BK2001">
            <v>610359.33000000007</v>
          </cell>
          <cell r="BL2001">
            <v>584669.76</v>
          </cell>
          <cell r="BM2001">
            <v>2663026.27</v>
          </cell>
          <cell r="BN2001">
            <v>1680765.379942599</v>
          </cell>
          <cell r="BO2001">
            <v>0</v>
          </cell>
          <cell r="BP2001">
            <v>0</v>
          </cell>
          <cell r="BQ2001">
            <v>0</v>
          </cell>
          <cell r="BR2001">
            <v>4343791.6499425992</v>
          </cell>
          <cell r="BT2001">
            <v>0</v>
          </cell>
          <cell r="CA2001" t="str">
            <v>29560X - REVTOT - Base</v>
          </cell>
          <cell r="CC2001" t="str">
            <v>29560X - REVTOT - Base - COMG</v>
          </cell>
          <cell r="CD2001" t="str">
            <v/>
          </cell>
          <cell r="CF2001" t="str">
            <v>29560X - Base - COMG</v>
          </cell>
        </row>
        <row r="2002">
          <cell r="D2002">
            <v>1988</v>
          </cell>
          <cell r="E2002">
            <v>1</v>
          </cell>
          <cell r="F2002">
            <v>2</v>
          </cell>
          <cell r="G2002" t="str">
            <v>29560X</v>
          </cell>
          <cell r="H2002" t="str">
            <v>Rite Aid</v>
          </cell>
          <cell r="I2002" t="str">
            <v>COMG</v>
          </cell>
          <cell r="J2002" t="str">
            <v>Commercial O&amp;M</v>
          </cell>
          <cell r="K2002" t="str">
            <v>Commercial</v>
          </cell>
          <cell r="L2002" t="str">
            <v xml:space="preserve">Commercial </v>
          </cell>
          <cell r="M2002" t="str">
            <v>MD</v>
          </cell>
          <cell r="N2002" t="str">
            <v>CONUS</v>
          </cell>
          <cell r="O2002">
            <v>0</v>
          </cell>
          <cell r="P2002">
            <v>0</v>
          </cell>
          <cell r="Q2002">
            <v>0</v>
          </cell>
          <cell r="R2002" t="str">
            <v>CPFF</v>
          </cell>
          <cell r="S2002">
            <v>0</v>
          </cell>
          <cell r="T2002">
            <v>1</v>
          </cell>
          <cell r="U2002" t="str">
            <v>REVTOT</v>
          </cell>
          <cell r="V2002" t="str">
            <v>Identified - Recompete</v>
          </cell>
          <cell r="W2002">
            <v>0</v>
          </cell>
          <cell r="X2002">
            <v>0</v>
          </cell>
          <cell r="Y2002">
            <v>0</v>
          </cell>
          <cell r="Z2002">
            <v>0</v>
          </cell>
          <cell r="AA2002">
            <v>0</v>
          </cell>
          <cell r="AB2002">
            <v>0</v>
          </cell>
          <cell r="AC2002">
            <v>0</v>
          </cell>
          <cell r="AD2002">
            <v>0</v>
          </cell>
          <cell r="AI2002">
            <v>0</v>
          </cell>
          <cell r="AJ2002">
            <v>0</v>
          </cell>
          <cell r="AK2002">
            <v>0</v>
          </cell>
          <cell r="BB2002">
            <v>0</v>
          </cell>
          <cell r="BC2002">
            <v>0</v>
          </cell>
          <cell r="BD2002">
            <v>0</v>
          </cell>
          <cell r="BE2002">
            <v>0</v>
          </cell>
          <cell r="BI2002">
            <v>0</v>
          </cell>
          <cell r="BJ2002">
            <v>0</v>
          </cell>
          <cell r="BK2002">
            <v>0</v>
          </cell>
          <cell r="BL2002">
            <v>0</v>
          </cell>
          <cell r="BM2002">
            <v>0</v>
          </cell>
          <cell r="BN2002">
            <v>0</v>
          </cell>
          <cell r="BO2002">
            <v>0</v>
          </cell>
          <cell r="BP2002">
            <v>0</v>
          </cell>
          <cell r="BQ2002">
            <v>0</v>
          </cell>
          <cell r="BR2002">
            <v>0</v>
          </cell>
          <cell r="BT2002">
            <v>0</v>
          </cell>
          <cell r="CA2002" t="str">
            <v>29560X - REVTOT - Identified - Recompete</v>
          </cell>
          <cell r="CC2002" t="str">
            <v>29560X - REVTOT - Identified - Recompete - COMG</v>
          </cell>
          <cell r="CD2002" t="str">
            <v/>
          </cell>
          <cell r="CF2002" t="str">
            <v>29560X - Identified - Recompete - COMG</v>
          </cell>
        </row>
        <row r="2003">
          <cell r="D2003">
            <v>1989</v>
          </cell>
          <cell r="E2003">
            <v>2</v>
          </cell>
          <cell r="F2003">
            <v>3</v>
          </cell>
          <cell r="G2003" t="str">
            <v>29560X</v>
          </cell>
          <cell r="H2003" t="str">
            <v>Rite Aid</v>
          </cell>
          <cell r="I2003" t="str">
            <v>COMG</v>
          </cell>
          <cell r="J2003" t="str">
            <v>Commercial O&amp;M</v>
          </cell>
          <cell r="K2003" t="str">
            <v>Commercial</v>
          </cell>
          <cell r="L2003" t="str">
            <v xml:space="preserve">Commercial </v>
          </cell>
          <cell r="M2003" t="str">
            <v>MD</v>
          </cell>
          <cell r="N2003" t="str">
            <v>CONUS</v>
          </cell>
          <cell r="O2003">
            <v>42036</v>
          </cell>
          <cell r="P2003">
            <v>43861</v>
          </cell>
          <cell r="Q2003" t="str">
            <v>Prime</v>
          </cell>
          <cell r="R2003" t="str">
            <v>CPFF</v>
          </cell>
          <cell r="S2003">
            <v>0</v>
          </cell>
          <cell r="T2003">
            <v>1</v>
          </cell>
          <cell r="U2003" t="str">
            <v>CONTRACT</v>
          </cell>
          <cell r="V2003" t="str">
            <v>Base</v>
          </cell>
          <cell r="W2003" t="str">
            <v>05 Won</v>
          </cell>
          <cell r="X2003" t="str">
            <v>Active</v>
          </cell>
          <cell r="Y2003">
            <v>1</v>
          </cell>
          <cell r="Z2003">
            <v>0</v>
          </cell>
          <cell r="AA2003">
            <v>1680765.379942599</v>
          </cell>
          <cell r="AB2003">
            <v>0</v>
          </cell>
          <cell r="AC2003">
            <v>0</v>
          </cell>
          <cell r="AD2003">
            <v>1680765.379942599</v>
          </cell>
          <cell r="AL2003">
            <v>8.7235689364342922E-2</v>
          </cell>
          <cell r="AM2003">
            <v>7.7764547799141687E-2</v>
          </cell>
          <cell r="AN2003">
            <v>0.14571856211245837</v>
          </cell>
          <cell r="AO2003">
            <v>0.12932092855396424</v>
          </cell>
          <cell r="AP2003">
            <v>0.1398949454838915</v>
          </cell>
          <cell r="AQ2003">
            <v>0.1398949454838915</v>
          </cell>
          <cell r="AR2003">
            <v>0.1398949454838915</v>
          </cell>
          <cell r="AS2003">
            <v>0.1398949454838915</v>
          </cell>
          <cell r="BF2003">
            <v>309297.35999999987</v>
          </cell>
          <cell r="BG2003">
            <v>244298.11</v>
          </cell>
          <cell r="BH2003">
            <v>398832.12999999989</v>
          </cell>
          <cell r="BI2003">
            <v>92841.089999999938</v>
          </cell>
          <cell r="BJ2003">
            <v>96531.00999999998</v>
          </cell>
          <cell r="BK2003">
            <v>73497.169999999984</v>
          </cell>
          <cell r="BL2003">
            <v>81515.760000000009</v>
          </cell>
          <cell r="BM2003">
            <v>344385.02999999991</v>
          </cell>
          <cell r="BN2003">
            <v>235130.58119828207</v>
          </cell>
          <cell r="BO2003">
            <v>0</v>
          </cell>
          <cell r="BP2003">
            <v>0</v>
          </cell>
          <cell r="BQ2003">
            <v>0</v>
          </cell>
          <cell r="BR2003">
            <v>579515.61119828199</v>
          </cell>
          <cell r="BT2003">
            <v>0</v>
          </cell>
          <cell r="CA2003" t="str">
            <v>29560X - CONTRACT - Base</v>
          </cell>
          <cell r="CC2003" t="str">
            <v>29560X - CONTRACT - Base - COMG</v>
          </cell>
          <cell r="CD2003" t="str">
            <v/>
          </cell>
          <cell r="CF2003" t="str">
            <v>29560X - Base - COMG</v>
          </cell>
        </row>
        <row r="2004">
          <cell r="D2004">
            <v>1990</v>
          </cell>
          <cell r="E2004">
            <v>2</v>
          </cell>
          <cell r="F2004">
            <v>4</v>
          </cell>
          <cell r="G2004" t="str">
            <v>29560X</v>
          </cell>
          <cell r="H2004" t="str">
            <v>Rite Aid</v>
          </cell>
          <cell r="I2004" t="str">
            <v>COMG</v>
          </cell>
          <cell r="J2004" t="str">
            <v>Commercial O&amp;M</v>
          </cell>
          <cell r="K2004" t="str">
            <v>Commercial</v>
          </cell>
          <cell r="L2004" t="str">
            <v xml:space="preserve">Commercial </v>
          </cell>
          <cell r="M2004" t="str">
            <v>MD</v>
          </cell>
          <cell r="N2004" t="str">
            <v>CONUS</v>
          </cell>
          <cell r="O2004">
            <v>0</v>
          </cell>
          <cell r="P2004">
            <v>0</v>
          </cell>
          <cell r="Q2004">
            <v>0</v>
          </cell>
          <cell r="R2004" t="str">
            <v>CPFF</v>
          </cell>
          <cell r="S2004">
            <v>0</v>
          </cell>
          <cell r="T2004">
            <v>1</v>
          </cell>
          <cell r="U2004" t="str">
            <v>CONTRACT</v>
          </cell>
          <cell r="V2004" t="str">
            <v>Identified - Recompete</v>
          </cell>
          <cell r="W2004">
            <v>0</v>
          </cell>
          <cell r="X2004">
            <v>0</v>
          </cell>
          <cell r="Y2004">
            <v>0</v>
          </cell>
          <cell r="Z2004">
            <v>0</v>
          </cell>
          <cell r="AA2004">
            <v>0</v>
          </cell>
          <cell r="AB2004">
            <v>0</v>
          </cell>
          <cell r="AC2004">
            <v>0</v>
          </cell>
          <cell r="AD2004">
            <v>0</v>
          </cell>
          <cell r="AP2004">
            <v>0</v>
          </cell>
          <cell r="AQ2004">
            <v>0</v>
          </cell>
          <cell r="AR2004">
            <v>0</v>
          </cell>
          <cell r="AS2004">
            <v>0</v>
          </cell>
          <cell r="BI2004">
            <v>0</v>
          </cell>
          <cell r="BJ2004">
            <v>0</v>
          </cell>
          <cell r="BK2004">
            <v>0</v>
          </cell>
          <cell r="BL2004">
            <v>0</v>
          </cell>
          <cell r="BM2004">
            <v>0</v>
          </cell>
          <cell r="BN2004">
            <v>0</v>
          </cell>
          <cell r="BO2004">
            <v>0</v>
          </cell>
          <cell r="BP2004">
            <v>0</v>
          </cell>
          <cell r="BQ2004">
            <v>0</v>
          </cell>
          <cell r="BR2004">
            <v>0</v>
          </cell>
          <cell r="BT2004">
            <v>0</v>
          </cell>
          <cell r="CA2004" t="str">
            <v>29560X - CONTRACT - Identified - Recompete</v>
          </cell>
          <cell r="CC2004" t="str">
            <v>29560X - CONTRACT - Identified - Recompete - COMG</v>
          </cell>
          <cell r="CD2004" t="str">
            <v/>
          </cell>
          <cell r="CF2004" t="str">
            <v>29560X - Identified - Recompete - COMG</v>
          </cell>
        </row>
        <row r="2005">
          <cell r="D2005">
            <v>1991</v>
          </cell>
          <cell r="E2005">
            <v>0</v>
          </cell>
          <cell r="F2005">
            <v>5</v>
          </cell>
          <cell r="G2005" t="str">
            <v>29560X</v>
          </cell>
          <cell r="H2005" t="str">
            <v>Rite Aid</v>
          </cell>
          <cell r="I2005" t="str">
            <v>COMG</v>
          </cell>
          <cell r="J2005" t="str">
            <v>Commercial O&amp;M</v>
          </cell>
          <cell r="K2005" t="str">
            <v>Commercial</v>
          </cell>
          <cell r="L2005" t="str">
            <v xml:space="preserve">Commercial </v>
          </cell>
          <cell r="M2005" t="str">
            <v>MD</v>
          </cell>
          <cell r="N2005" t="str">
            <v>CONUS</v>
          </cell>
          <cell r="O2005">
            <v>42036</v>
          </cell>
          <cell r="P2005">
            <v>43861</v>
          </cell>
          <cell r="Q2005" t="str">
            <v>Prime</v>
          </cell>
          <cell r="R2005" t="str">
            <v>CPFF</v>
          </cell>
          <cell r="S2005">
            <v>0</v>
          </cell>
          <cell r="T2005">
            <v>1</v>
          </cell>
          <cell r="U2005" t="str">
            <v>EBITA</v>
          </cell>
          <cell r="V2005" t="str">
            <v>Base</v>
          </cell>
          <cell r="W2005" t="str">
            <v>05 Won</v>
          </cell>
          <cell r="X2005" t="str">
            <v>Active</v>
          </cell>
          <cell r="Y2005">
            <v>1</v>
          </cell>
          <cell r="Z2005">
            <v>0</v>
          </cell>
          <cell r="AA2005">
            <v>1680765.379942599</v>
          </cell>
          <cell r="AB2005">
            <v>0</v>
          </cell>
          <cell r="AC2005">
            <v>0</v>
          </cell>
          <cell r="AD2005">
            <v>1680765.379942599</v>
          </cell>
          <cell r="AT2005">
            <v>8.7235689364342922E-2</v>
          </cell>
          <cell r="AU2005">
            <v>6.3107870286088247E-2</v>
          </cell>
          <cell r="AV2005">
            <v>5.203935624591878E-2</v>
          </cell>
          <cell r="AW2005">
            <v>5.1066953988403538E-2</v>
          </cell>
          <cell r="AX2005">
            <v>6.1472562743203049E-2</v>
          </cell>
          <cell r="AY2005">
            <v>6.1472562743203049E-2</v>
          </cell>
          <cell r="AZ2005">
            <v>6.1472562743203049E-2</v>
          </cell>
          <cell r="BA2005">
            <v>6.1472562743203049E-2</v>
          </cell>
          <cell r="BF2005">
            <v>309297.35999999987</v>
          </cell>
          <cell r="BG2005">
            <v>198254.01</v>
          </cell>
          <cell r="BH2005">
            <v>142431.86999999994</v>
          </cell>
          <cell r="BI2005">
            <v>37369.959999999934</v>
          </cell>
          <cell r="BJ2005">
            <v>36491.77999999997</v>
          </cell>
          <cell r="BK2005">
            <v>24417.999999999985</v>
          </cell>
          <cell r="BL2005">
            <v>37712.900000000009</v>
          </cell>
          <cell r="BM2005">
            <v>135992.6399999999</v>
          </cell>
          <cell r="BN2005">
            <v>103320.95527512493</v>
          </cell>
          <cell r="BO2005">
            <v>0</v>
          </cell>
          <cell r="BP2005">
            <v>0</v>
          </cell>
          <cell r="BQ2005">
            <v>0</v>
          </cell>
          <cell r="BR2005">
            <v>239313.59527512483</v>
          </cell>
          <cell r="BT2005">
            <v>0</v>
          </cell>
          <cell r="CA2005" t="str">
            <v>29560X - EBITA - Base</v>
          </cell>
          <cell r="CC2005" t="str">
            <v>29560X - EBITA - Base - COMG</v>
          </cell>
          <cell r="CD2005" t="str">
            <v/>
          </cell>
          <cell r="CF2005" t="str">
            <v>29560X - Base - COMG</v>
          </cell>
        </row>
        <row r="2006">
          <cell r="D2006">
            <v>1992</v>
          </cell>
          <cell r="E2006">
            <v>0</v>
          </cell>
          <cell r="F2006">
            <v>0</v>
          </cell>
          <cell r="G2006" t="str">
            <v>29560X</v>
          </cell>
          <cell r="H2006" t="str">
            <v>Rite Aid</v>
          </cell>
          <cell r="I2006" t="str">
            <v>COMG</v>
          </cell>
          <cell r="J2006" t="str">
            <v>Commercial O&amp;M</v>
          </cell>
          <cell r="K2006" t="str">
            <v>Commercial</v>
          </cell>
          <cell r="L2006" t="str">
            <v xml:space="preserve">Commercial </v>
          </cell>
          <cell r="M2006" t="str">
            <v>MD</v>
          </cell>
          <cell r="N2006" t="str">
            <v>CONUS</v>
          </cell>
          <cell r="O2006">
            <v>0</v>
          </cell>
          <cell r="P2006">
            <v>0</v>
          </cell>
          <cell r="Q2006">
            <v>0</v>
          </cell>
          <cell r="R2006" t="str">
            <v>CPFF</v>
          </cell>
          <cell r="S2006">
            <v>0</v>
          </cell>
          <cell r="T2006">
            <v>1</v>
          </cell>
          <cell r="U2006" t="str">
            <v>EBITA</v>
          </cell>
          <cell r="V2006" t="str">
            <v>Identified - Recompete</v>
          </cell>
          <cell r="W2006">
            <v>0</v>
          </cell>
          <cell r="X2006">
            <v>0</v>
          </cell>
          <cell r="Y2006">
            <v>0</v>
          </cell>
          <cell r="Z2006">
            <v>0</v>
          </cell>
          <cell r="AA2006">
            <v>0</v>
          </cell>
          <cell r="AB2006">
            <v>0</v>
          </cell>
          <cell r="AC2006">
            <v>0</v>
          </cell>
          <cell r="AD2006">
            <v>0</v>
          </cell>
          <cell r="AX2006">
            <v>0</v>
          </cell>
          <cell r="AY2006">
            <v>0</v>
          </cell>
          <cell r="AZ2006">
            <v>0</v>
          </cell>
          <cell r="BA2006">
            <v>0</v>
          </cell>
          <cell r="BI2006">
            <v>0</v>
          </cell>
          <cell r="BJ2006">
            <v>0</v>
          </cell>
          <cell r="BK2006">
            <v>0</v>
          </cell>
          <cell r="BL2006">
            <v>0</v>
          </cell>
          <cell r="BM2006">
            <v>0</v>
          </cell>
          <cell r="BN2006">
            <v>0</v>
          </cell>
          <cell r="BO2006">
            <v>0</v>
          </cell>
          <cell r="BP2006">
            <v>0</v>
          </cell>
          <cell r="BQ2006">
            <v>0</v>
          </cell>
          <cell r="BR2006">
            <v>0</v>
          </cell>
          <cell r="BT2006">
            <v>0</v>
          </cell>
          <cell r="CA2006" t="str">
            <v>29560X - EBITA - Identified - Recompete</v>
          </cell>
          <cell r="CC2006" t="str">
            <v>29560X - EBITA - Identified - Recompete - COMG</v>
          </cell>
          <cell r="CD2006" t="str">
            <v/>
          </cell>
          <cell r="CF2006" t="str">
            <v>29560X - Identified - Recompete - COMG</v>
          </cell>
        </row>
        <row r="2007">
          <cell r="D2007">
            <v>1993</v>
          </cell>
          <cell r="E2007">
            <v>1</v>
          </cell>
          <cell r="F2007">
            <v>1</v>
          </cell>
          <cell r="G2007" t="str">
            <v>SCHNCK</v>
          </cell>
          <cell r="H2007" t="str">
            <v>Schoeneck Containers</v>
          </cell>
          <cell r="I2007" t="str">
            <v>COMG</v>
          </cell>
          <cell r="J2007" t="str">
            <v>Commercial O&amp;M</v>
          </cell>
          <cell r="K2007" t="str">
            <v>Commercial</v>
          </cell>
          <cell r="L2007" t="str">
            <v xml:space="preserve">Commercial </v>
          </cell>
          <cell r="M2007" t="str">
            <v>WI</v>
          </cell>
          <cell r="N2007" t="str">
            <v>CONUS</v>
          </cell>
          <cell r="O2007">
            <v>42760</v>
          </cell>
          <cell r="P2007">
            <v>43830</v>
          </cell>
          <cell r="Q2007" t="str">
            <v>Prime</v>
          </cell>
          <cell r="R2007" t="str">
            <v>CPFF</v>
          </cell>
          <cell r="S2007">
            <v>0</v>
          </cell>
          <cell r="T2007">
            <v>1</v>
          </cell>
          <cell r="U2007" t="str">
            <v>REVTOT</v>
          </cell>
          <cell r="V2007" t="str">
            <v>Base</v>
          </cell>
          <cell r="W2007" t="str">
            <v>05 Won</v>
          </cell>
          <cell r="X2007" t="str">
            <v>Active</v>
          </cell>
          <cell r="Y2007">
            <v>1</v>
          </cell>
          <cell r="Z2007">
            <v>0</v>
          </cell>
          <cell r="AA2007">
            <v>2436698.0899999985</v>
          </cell>
          <cell r="AB2007">
            <v>0</v>
          </cell>
          <cell r="AC2007">
            <v>0</v>
          </cell>
          <cell r="AD2007">
            <v>2436698.0899999985</v>
          </cell>
          <cell r="AE2007">
            <v>0</v>
          </cell>
          <cell r="AF2007">
            <v>0</v>
          </cell>
          <cell r="AG2007">
            <v>1.0901161287975816</v>
          </cell>
          <cell r="AH2007">
            <v>-3.6215530142509111E-2</v>
          </cell>
          <cell r="AI2007">
            <v>0</v>
          </cell>
          <cell r="AJ2007">
            <v>0</v>
          </cell>
          <cell r="AK2007">
            <v>0</v>
          </cell>
          <cell r="BB2007">
            <v>2759285.37</v>
          </cell>
          <cell r="BC2007">
            <v>2759285.37</v>
          </cell>
          <cell r="BD2007">
            <v>2759285.37</v>
          </cell>
          <cell r="BE2007">
            <v>2759285.37</v>
          </cell>
          <cell r="BF2007">
            <v>0</v>
          </cell>
          <cell r="BG2007">
            <v>0</v>
          </cell>
          <cell r="BH2007">
            <v>1209626.75</v>
          </cell>
          <cell r="BI2007">
            <v>569851.67999999993</v>
          </cell>
          <cell r="BJ2007">
            <v>678696.25</v>
          </cell>
          <cell r="BK2007">
            <v>639378.18999999994</v>
          </cell>
          <cell r="BL2007">
            <v>640334.26</v>
          </cell>
          <cell r="BM2007">
            <v>2528260.38</v>
          </cell>
          <cell r="BN2007">
            <v>2436698.0899999985</v>
          </cell>
          <cell r="BO2007">
            <v>0</v>
          </cell>
          <cell r="BP2007">
            <v>0</v>
          </cell>
          <cell r="BQ2007">
            <v>0</v>
          </cell>
          <cell r="BR2007">
            <v>4964958.4699999988</v>
          </cell>
          <cell r="BT2007">
            <v>0</v>
          </cell>
          <cell r="CA2007" t="str">
            <v>SCHNCK - REVTOT - Base</v>
          </cell>
          <cell r="CC2007" t="str">
            <v>SCHNCK - REVTOT - Base - COMG</v>
          </cell>
          <cell r="CD2007" t="str">
            <v/>
          </cell>
          <cell r="CF2007" t="str">
            <v>SCHNCK - Base - COMG</v>
          </cell>
        </row>
        <row r="2008">
          <cell r="D2008">
            <v>1994</v>
          </cell>
          <cell r="E2008">
            <v>1</v>
          </cell>
          <cell r="F2008">
            <v>2</v>
          </cell>
          <cell r="G2008" t="str">
            <v>SCHNCK</v>
          </cell>
          <cell r="H2008" t="str">
            <v>Schoeneck Containers</v>
          </cell>
          <cell r="I2008" t="str">
            <v>COMG</v>
          </cell>
          <cell r="J2008" t="str">
            <v>Commercial O&amp;M</v>
          </cell>
          <cell r="K2008" t="str">
            <v>Commercial</v>
          </cell>
          <cell r="L2008" t="str">
            <v xml:space="preserve">Commercial </v>
          </cell>
          <cell r="M2008" t="str">
            <v>WI</v>
          </cell>
          <cell r="N2008" t="str">
            <v>CONUS</v>
          </cell>
          <cell r="O2008">
            <v>0</v>
          </cell>
          <cell r="P2008">
            <v>0</v>
          </cell>
          <cell r="Q2008">
            <v>0</v>
          </cell>
          <cell r="R2008" t="str">
            <v>CPFF</v>
          </cell>
          <cell r="S2008">
            <v>0</v>
          </cell>
          <cell r="T2008">
            <v>1</v>
          </cell>
          <cell r="U2008" t="str">
            <v>REVTOT</v>
          </cell>
          <cell r="V2008" t="str">
            <v>Identified - Recompete</v>
          </cell>
          <cell r="W2008">
            <v>0</v>
          </cell>
          <cell r="X2008">
            <v>0</v>
          </cell>
          <cell r="Y2008">
            <v>0</v>
          </cell>
          <cell r="Z2008">
            <v>0</v>
          </cell>
          <cell r="AA2008">
            <v>0</v>
          </cell>
          <cell r="AB2008">
            <v>0</v>
          </cell>
          <cell r="AC2008">
            <v>0</v>
          </cell>
          <cell r="AD2008">
            <v>0</v>
          </cell>
          <cell r="AI2008">
            <v>0</v>
          </cell>
          <cell r="AJ2008">
            <v>0</v>
          </cell>
          <cell r="AK2008">
            <v>0</v>
          </cell>
          <cell r="BB2008">
            <v>0</v>
          </cell>
          <cell r="BC2008">
            <v>0</v>
          </cell>
          <cell r="BD2008">
            <v>0</v>
          </cell>
          <cell r="BE2008">
            <v>0</v>
          </cell>
          <cell r="BI2008">
            <v>0</v>
          </cell>
          <cell r="BJ2008">
            <v>0</v>
          </cell>
          <cell r="BK2008">
            <v>0</v>
          </cell>
          <cell r="BL2008">
            <v>0</v>
          </cell>
          <cell r="BM2008">
            <v>0</v>
          </cell>
          <cell r="BN2008">
            <v>0</v>
          </cell>
          <cell r="BO2008">
            <v>0</v>
          </cell>
          <cell r="BP2008">
            <v>0</v>
          </cell>
          <cell r="BQ2008">
            <v>0</v>
          </cell>
          <cell r="BR2008">
            <v>0</v>
          </cell>
          <cell r="BT2008">
            <v>0</v>
          </cell>
          <cell r="CA2008" t="str">
            <v>SCHNCK - REVTOT - Identified - Recompete</v>
          </cell>
          <cell r="CC2008" t="str">
            <v>SCHNCK - REVTOT - Identified - Recompete - COMG</v>
          </cell>
          <cell r="CD2008" t="str">
            <v/>
          </cell>
          <cell r="CF2008" t="str">
            <v>SCHNCK - Identified - Recompete - COMG</v>
          </cell>
        </row>
        <row r="2009">
          <cell r="D2009">
            <v>1995</v>
          </cell>
          <cell r="E2009">
            <v>2</v>
          </cell>
          <cell r="F2009">
            <v>3</v>
          </cell>
          <cell r="G2009" t="str">
            <v>SCHNCK</v>
          </cell>
          <cell r="H2009" t="str">
            <v>Schoeneck Containers</v>
          </cell>
          <cell r="I2009" t="str">
            <v>COMG</v>
          </cell>
          <cell r="J2009" t="str">
            <v>Commercial O&amp;M</v>
          </cell>
          <cell r="K2009" t="str">
            <v>Commercial</v>
          </cell>
          <cell r="L2009" t="str">
            <v xml:space="preserve">Commercial </v>
          </cell>
          <cell r="M2009" t="str">
            <v>WI</v>
          </cell>
          <cell r="N2009" t="str">
            <v>CONUS</v>
          </cell>
          <cell r="O2009">
            <v>42760</v>
          </cell>
          <cell r="P2009">
            <v>43830</v>
          </cell>
          <cell r="Q2009" t="str">
            <v>Prime</v>
          </cell>
          <cell r="R2009" t="str">
            <v>CPFF</v>
          </cell>
          <cell r="S2009">
            <v>0</v>
          </cell>
          <cell r="T2009">
            <v>1</v>
          </cell>
          <cell r="U2009" t="str">
            <v>CONTRACT</v>
          </cell>
          <cell r="V2009" t="str">
            <v>Base</v>
          </cell>
          <cell r="W2009" t="str">
            <v>05 Won</v>
          </cell>
          <cell r="X2009" t="str">
            <v>Active</v>
          </cell>
          <cell r="Y2009">
            <v>1</v>
          </cell>
          <cell r="Z2009">
            <v>0</v>
          </cell>
          <cell r="AA2009">
            <v>2436698.0899999985</v>
          </cell>
          <cell r="AB2009">
            <v>0</v>
          </cell>
          <cell r="AC2009">
            <v>0</v>
          </cell>
          <cell r="AD2009">
            <v>2436698.0899999985</v>
          </cell>
          <cell r="AL2009">
            <v>0</v>
          </cell>
          <cell r="AM2009">
            <v>0</v>
          </cell>
          <cell r="AN2009">
            <v>-0.34855842101706164</v>
          </cell>
          <cell r="AO2009">
            <v>7.3558606333102461E-2</v>
          </cell>
          <cell r="AP2009">
            <v>5.4345437553637334E-2</v>
          </cell>
          <cell r="AQ2009">
            <v>5.4345437553637334E-2</v>
          </cell>
          <cell r="AR2009">
            <v>5.4345437553637334E-2</v>
          </cell>
          <cell r="AS2009">
            <v>5.4345437553637334E-2</v>
          </cell>
          <cell r="BF2009">
            <v>0</v>
          </cell>
          <cell r="BG2009">
            <v>0</v>
          </cell>
          <cell r="BH2009">
            <v>-421625.58999999997</v>
          </cell>
          <cell r="BI2009">
            <v>43548.320000000007</v>
          </cell>
          <cell r="BJ2009">
            <v>52014.989999999991</v>
          </cell>
          <cell r="BK2009">
            <v>57654.569999999978</v>
          </cell>
          <cell r="BL2009">
            <v>32757.430000000051</v>
          </cell>
          <cell r="BM2009">
            <v>185975.31000000003</v>
          </cell>
          <cell r="BN2009">
            <v>132423.42388716227</v>
          </cell>
          <cell r="BO2009">
            <v>0</v>
          </cell>
          <cell r="BP2009">
            <v>0</v>
          </cell>
          <cell r="BQ2009">
            <v>0</v>
          </cell>
          <cell r="BR2009">
            <v>318398.73388716229</v>
          </cell>
          <cell r="BT2009">
            <v>0</v>
          </cell>
          <cell r="CA2009" t="str">
            <v>SCHNCK - CONTRACT - Base</v>
          </cell>
          <cell r="CC2009" t="str">
            <v>SCHNCK - CONTRACT - Base - COMG</v>
          </cell>
          <cell r="CD2009" t="str">
            <v/>
          </cell>
          <cell r="CF2009" t="str">
            <v>SCHNCK - Base - COMG</v>
          </cell>
        </row>
        <row r="2010">
          <cell r="D2010">
            <v>1996</v>
          </cell>
          <cell r="E2010">
            <v>2</v>
          </cell>
          <cell r="F2010">
            <v>4</v>
          </cell>
          <cell r="G2010" t="str">
            <v>SCHNCK</v>
          </cell>
          <cell r="H2010" t="str">
            <v>Schoeneck Containers</v>
          </cell>
          <cell r="I2010" t="str">
            <v>COMG</v>
          </cell>
          <cell r="J2010" t="str">
            <v>Commercial O&amp;M</v>
          </cell>
          <cell r="K2010" t="str">
            <v>Commercial</v>
          </cell>
          <cell r="L2010" t="str">
            <v xml:space="preserve">Commercial </v>
          </cell>
          <cell r="M2010" t="str">
            <v>WI</v>
          </cell>
          <cell r="N2010" t="str">
            <v>CONUS</v>
          </cell>
          <cell r="O2010">
            <v>0</v>
          </cell>
          <cell r="P2010">
            <v>0</v>
          </cell>
          <cell r="Q2010">
            <v>0</v>
          </cell>
          <cell r="R2010" t="str">
            <v>CPFF</v>
          </cell>
          <cell r="S2010">
            <v>0</v>
          </cell>
          <cell r="T2010">
            <v>1</v>
          </cell>
          <cell r="U2010" t="str">
            <v>CONTRACT</v>
          </cell>
          <cell r="V2010" t="str">
            <v>Identified - Recompete</v>
          </cell>
          <cell r="W2010">
            <v>0</v>
          </cell>
          <cell r="X2010">
            <v>0</v>
          </cell>
          <cell r="Y2010">
            <v>0</v>
          </cell>
          <cell r="Z2010">
            <v>0</v>
          </cell>
          <cell r="AA2010">
            <v>0</v>
          </cell>
          <cell r="AB2010">
            <v>0</v>
          </cell>
          <cell r="AC2010">
            <v>0</v>
          </cell>
          <cell r="AD2010">
            <v>0</v>
          </cell>
          <cell r="AP2010">
            <v>0</v>
          </cell>
          <cell r="AQ2010">
            <v>0</v>
          </cell>
          <cell r="AR2010">
            <v>0</v>
          </cell>
          <cell r="AS2010">
            <v>0</v>
          </cell>
          <cell r="BI2010">
            <v>0</v>
          </cell>
          <cell r="BJ2010">
            <v>0</v>
          </cell>
          <cell r="BK2010">
            <v>0</v>
          </cell>
          <cell r="BL2010">
            <v>0</v>
          </cell>
          <cell r="BM2010">
            <v>0</v>
          </cell>
          <cell r="BN2010">
            <v>0</v>
          </cell>
          <cell r="BO2010">
            <v>0</v>
          </cell>
          <cell r="BP2010">
            <v>0</v>
          </cell>
          <cell r="BQ2010">
            <v>0</v>
          </cell>
          <cell r="BR2010">
            <v>0</v>
          </cell>
          <cell r="BT2010">
            <v>0</v>
          </cell>
          <cell r="CA2010" t="str">
            <v>SCHNCK - CONTRACT - Identified - Recompete</v>
          </cell>
          <cell r="CC2010" t="str">
            <v>SCHNCK - CONTRACT - Identified - Recompete - COMG</v>
          </cell>
          <cell r="CD2010" t="str">
            <v/>
          </cell>
          <cell r="CF2010" t="str">
            <v>SCHNCK - Identified - Recompete - COMG</v>
          </cell>
        </row>
        <row r="2011">
          <cell r="D2011">
            <v>1997</v>
          </cell>
          <cell r="E2011">
            <v>0</v>
          </cell>
          <cell r="F2011">
            <v>5</v>
          </cell>
          <cell r="G2011" t="str">
            <v>SCHNCK</v>
          </cell>
          <cell r="H2011" t="str">
            <v>Schoeneck Containers</v>
          </cell>
          <cell r="I2011" t="str">
            <v>COMG</v>
          </cell>
          <cell r="J2011" t="str">
            <v>Commercial O&amp;M</v>
          </cell>
          <cell r="K2011" t="str">
            <v>Commercial</v>
          </cell>
          <cell r="L2011" t="str">
            <v xml:space="preserve">Commercial </v>
          </cell>
          <cell r="M2011" t="str">
            <v>WI</v>
          </cell>
          <cell r="N2011" t="str">
            <v>CONUS</v>
          </cell>
          <cell r="O2011">
            <v>42760</v>
          </cell>
          <cell r="P2011">
            <v>43830</v>
          </cell>
          <cell r="Q2011" t="str">
            <v>Prime</v>
          </cell>
          <cell r="R2011" t="str">
            <v>CPFF</v>
          </cell>
          <cell r="S2011">
            <v>0</v>
          </cell>
          <cell r="T2011">
            <v>1</v>
          </cell>
          <cell r="U2011" t="str">
            <v>EBITA</v>
          </cell>
          <cell r="V2011" t="str">
            <v>Base</v>
          </cell>
          <cell r="W2011" t="str">
            <v>05 Won</v>
          </cell>
          <cell r="X2011" t="str">
            <v>Active</v>
          </cell>
          <cell r="Y2011">
            <v>1</v>
          </cell>
          <cell r="Z2011">
            <v>0</v>
          </cell>
          <cell r="AA2011">
            <v>2436698.0899999985</v>
          </cell>
          <cell r="AB2011">
            <v>0</v>
          </cell>
          <cell r="AC2011">
            <v>0</v>
          </cell>
          <cell r="AD2011">
            <v>2436698.0899999985</v>
          </cell>
          <cell r="AT2011">
            <v>0</v>
          </cell>
          <cell r="AU2011">
            <v>0</v>
          </cell>
          <cell r="AV2011">
            <v>-0.48256696538829014</v>
          </cell>
          <cell r="AW2011">
            <v>6.4751655966355448E-18</v>
          </cell>
          <cell r="AX2011">
            <v>-9.2031093203119773E-9</v>
          </cell>
          <cell r="AY2011">
            <v>-9.2031093203119773E-9</v>
          </cell>
          <cell r="AZ2011">
            <v>-9.2031093203119773E-9</v>
          </cell>
          <cell r="BA2011">
            <v>-9.2031093203119773E-9</v>
          </cell>
          <cell r="BF2011">
            <v>0</v>
          </cell>
          <cell r="BG2011">
            <v>0</v>
          </cell>
          <cell r="BH2011">
            <v>-583725.90999999992</v>
          </cell>
          <cell r="BI2011">
            <v>-1689.9999999999964</v>
          </cell>
          <cell r="BJ2011">
            <v>-3916.3400000000092</v>
          </cell>
          <cell r="BK2011">
            <v>5606.3599999999715</v>
          </cell>
          <cell r="BL2011">
            <v>-1.9999999949504854E-2</v>
          </cell>
          <cell r="BM2011">
            <v>1.6370904631912708E-11</v>
          </cell>
          <cell r="BN2011">
            <v>-2.242519890286538E-2</v>
          </cell>
          <cell r="BO2011">
            <v>0</v>
          </cell>
          <cell r="BP2011">
            <v>0</v>
          </cell>
          <cell r="BQ2011">
            <v>0</v>
          </cell>
          <cell r="BR2011">
            <v>-2.2425198886494475E-2</v>
          </cell>
          <cell r="BT2011">
            <v>0</v>
          </cell>
          <cell r="CA2011" t="str">
            <v>SCHNCK - EBITA - Base</v>
          </cell>
          <cell r="CC2011" t="str">
            <v>SCHNCK - EBITA - Base - COMG</v>
          </cell>
          <cell r="CD2011" t="str">
            <v/>
          </cell>
          <cell r="CF2011" t="str">
            <v>SCHNCK - Base - COMG</v>
          </cell>
        </row>
        <row r="2012">
          <cell r="D2012">
            <v>1998</v>
          </cell>
          <cell r="E2012">
            <v>0</v>
          </cell>
          <cell r="F2012">
            <v>0</v>
          </cell>
          <cell r="G2012" t="str">
            <v>SCHNCK</v>
          </cell>
          <cell r="H2012" t="str">
            <v>Schoeneck Containers</v>
          </cell>
          <cell r="I2012" t="str">
            <v>COMG</v>
          </cell>
          <cell r="J2012" t="str">
            <v>Commercial O&amp;M</v>
          </cell>
          <cell r="K2012" t="str">
            <v>Commercial</v>
          </cell>
          <cell r="L2012" t="str">
            <v xml:space="preserve">Commercial </v>
          </cell>
          <cell r="M2012" t="str">
            <v>WI</v>
          </cell>
          <cell r="N2012" t="str">
            <v>CONUS</v>
          </cell>
          <cell r="O2012">
            <v>0</v>
          </cell>
          <cell r="P2012">
            <v>0</v>
          </cell>
          <cell r="Q2012">
            <v>0</v>
          </cell>
          <cell r="R2012" t="str">
            <v>CPFF</v>
          </cell>
          <cell r="S2012">
            <v>0</v>
          </cell>
          <cell r="T2012">
            <v>1</v>
          </cell>
          <cell r="U2012" t="str">
            <v>EBITA</v>
          </cell>
          <cell r="V2012" t="str">
            <v>Identified - Recompete</v>
          </cell>
          <cell r="W2012">
            <v>0</v>
          </cell>
          <cell r="X2012">
            <v>0</v>
          </cell>
          <cell r="Y2012">
            <v>0</v>
          </cell>
          <cell r="Z2012">
            <v>0</v>
          </cell>
          <cell r="AA2012">
            <v>0</v>
          </cell>
          <cell r="AB2012">
            <v>0</v>
          </cell>
          <cell r="AC2012">
            <v>0</v>
          </cell>
          <cell r="AD2012">
            <v>0</v>
          </cell>
          <cell r="AX2012">
            <v>0</v>
          </cell>
          <cell r="AY2012">
            <v>0</v>
          </cell>
          <cell r="AZ2012">
            <v>0</v>
          </cell>
          <cell r="BA2012">
            <v>0</v>
          </cell>
          <cell r="BI2012">
            <v>0</v>
          </cell>
          <cell r="BJ2012">
            <v>0</v>
          </cell>
          <cell r="BK2012">
            <v>0</v>
          </cell>
          <cell r="BL2012">
            <v>0</v>
          </cell>
          <cell r="BM2012">
            <v>0</v>
          </cell>
          <cell r="BN2012">
            <v>0</v>
          </cell>
          <cell r="BO2012">
            <v>0</v>
          </cell>
          <cell r="BP2012">
            <v>0</v>
          </cell>
          <cell r="BQ2012">
            <v>0</v>
          </cell>
          <cell r="BR2012">
            <v>0</v>
          </cell>
          <cell r="BT2012">
            <v>0</v>
          </cell>
          <cell r="CA2012" t="str">
            <v>SCHNCK - EBITA - Identified - Recompete</v>
          </cell>
          <cell r="CC2012" t="str">
            <v>SCHNCK - EBITA - Identified - Recompete - COMG</v>
          </cell>
          <cell r="CD2012" t="str">
            <v/>
          </cell>
          <cell r="CF2012" t="str">
            <v>SCHNCK - Identified - Recompete - COMG</v>
          </cell>
        </row>
        <row r="2013">
          <cell r="D2013">
            <v>1999</v>
          </cell>
          <cell r="E2013">
            <v>1</v>
          </cell>
          <cell r="F2013">
            <v>1</v>
          </cell>
          <cell r="G2013" t="str">
            <v>31993X</v>
          </cell>
          <cell r="H2013" t="str">
            <v>Sloan Fac &amp; Process Maint</v>
          </cell>
          <cell r="I2013" t="str">
            <v>COMG</v>
          </cell>
          <cell r="J2013" t="str">
            <v>Commercial O&amp;M</v>
          </cell>
          <cell r="K2013" t="str">
            <v>Commercial</v>
          </cell>
          <cell r="L2013" t="str">
            <v xml:space="preserve">Commercial </v>
          </cell>
          <cell r="M2013" t="str">
            <v>AK</v>
          </cell>
          <cell r="N2013" t="str">
            <v>CONUS</v>
          </cell>
          <cell r="O2013">
            <v>42809</v>
          </cell>
          <cell r="P2013">
            <v>43904</v>
          </cell>
          <cell r="Q2013" t="str">
            <v>Prime</v>
          </cell>
          <cell r="R2013" t="str">
            <v>FFP</v>
          </cell>
          <cell r="S2013">
            <v>0</v>
          </cell>
          <cell r="T2013">
            <v>1</v>
          </cell>
          <cell r="U2013" t="str">
            <v>REVTOT</v>
          </cell>
          <cell r="V2013" t="str">
            <v>Base</v>
          </cell>
          <cell r="W2013" t="str">
            <v>05 Won</v>
          </cell>
          <cell r="X2013" t="str">
            <v>Active</v>
          </cell>
          <cell r="Y2013">
            <v>1</v>
          </cell>
          <cell r="Z2013">
            <v>0</v>
          </cell>
          <cell r="AA2013">
            <v>1139323.399999999</v>
          </cell>
          <cell r="AB2013">
            <v>0</v>
          </cell>
          <cell r="AC2013">
            <v>0</v>
          </cell>
          <cell r="AD2013">
            <v>1139323.399999999</v>
          </cell>
          <cell r="AE2013">
            <v>0</v>
          </cell>
          <cell r="AF2013">
            <v>0.93369576998080372</v>
          </cell>
          <cell r="AG2013">
            <v>-2.3419331890084716E-2</v>
          </cell>
          <cell r="AH2013">
            <v>-0.47490814641594148</v>
          </cell>
          <cell r="AI2013">
            <v>0</v>
          </cell>
          <cell r="AJ2013">
            <v>0</v>
          </cell>
          <cell r="AK2013">
            <v>0</v>
          </cell>
          <cell r="BB2013">
            <v>2035118.7</v>
          </cell>
          <cell r="BC2013">
            <v>2035118.7</v>
          </cell>
          <cell r="BD2013">
            <v>2035118.7</v>
          </cell>
          <cell r="BE2013">
            <v>2035118.7</v>
          </cell>
          <cell r="BF2013">
            <v>0</v>
          </cell>
          <cell r="BG2013">
            <v>1148987.9300000002</v>
          </cell>
          <cell r="BH2013">
            <v>2221793.1</v>
          </cell>
          <cell r="BI2013">
            <v>540314.26</v>
          </cell>
          <cell r="BJ2013">
            <v>532738.41999999993</v>
          </cell>
          <cell r="BK2013">
            <v>517083.27</v>
          </cell>
          <cell r="BL2013">
            <v>579624.24</v>
          </cell>
          <cell r="BM2013">
            <v>2169760.19</v>
          </cell>
          <cell r="BN2013">
            <v>1139323.399999999</v>
          </cell>
          <cell r="BO2013">
            <v>0</v>
          </cell>
          <cell r="BP2013">
            <v>0</v>
          </cell>
          <cell r="BQ2013">
            <v>0</v>
          </cell>
          <cell r="BR2013">
            <v>3309083.5899999989</v>
          </cell>
          <cell r="BT2013">
            <v>0</v>
          </cell>
          <cell r="CA2013" t="str">
            <v>31993X - REVTOT - Base</v>
          </cell>
          <cell r="CC2013" t="str">
            <v>31993X - REVTOT - Base - COMG</v>
          </cell>
          <cell r="CD2013" t="str">
            <v/>
          </cell>
          <cell r="CF2013" t="str">
            <v>31993X - Base - COMG</v>
          </cell>
        </row>
        <row r="2014">
          <cell r="D2014">
            <v>2000</v>
          </cell>
          <cell r="E2014">
            <v>1</v>
          </cell>
          <cell r="F2014">
            <v>2</v>
          </cell>
          <cell r="G2014" t="str">
            <v>31993X</v>
          </cell>
          <cell r="H2014" t="str">
            <v>Sloan Fac &amp; Process Maint</v>
          </cell>
          <cell r="I2014" t="str">
            <v>COMG</v>
          </cell>
          <cell r="J2014" t="str">
            <v>Commercial O&amp;M</v>
          </cell>
          <cell r="K2014" t="str">
            <v>Commercial</v>
          </cell>
          <cell r="L2014" t="str">
            <v xml:space="preserve">Commercial </v>
          </cell>
          <cell r="M2014" t="str">
            <v>AK</v>
          </cell>
          <cell r="N2014" t="str">
            <v>CONUS</v>
          </cell>
          <cell r="O2014">
            <v>0</v>
          </cell>
          <cell r="P2014">
            <v>0</v>
          </cell>
          <cell r="Q2014">
            <v>0</v>
          </cell>
          <cell r="R2014" t="str">
            <v>FFP</v>
          </cell>
          <cell r="S2014">
            <v>0</v>
          </cell>
          <cell r="T2014">
            <v>1</v>
          </cell>
          <cell r="U2014" t="str">
            <v>REVTOT</v>
          </cell>
          <cell r="V2014" t="str">
            <v>Identified - Recompete</v>
          </cell>
          <cell r="W2014">
            <v>0</v>
          </cell>
          <cell r="X2014">
            <v>0</v>
          </cell>
          <cell r="Y2014">
            <v>0</v>
          </cell>
          <cell r="Z2014">
            <v>0</v>
          </cell>
          <cell r="AA2014">
            <v>0</v>
          </cell>
          <cell r="AB2014">
            <v>0</v>
          </cell>
          <cell r="AC2014">
            <v>0</v>
          </cell>
          <cell r="AD2014">
            <v>0</v>
          </cell>
          <cell r="AI2014">
            <v>0</v>
          </cell>
          <cell r="AJ2014">
            <v>0</v>
          </cell>
          <cell r="AK2014">
            <v>0</v>
          </cell>
          <cell r="BB2014">
            <v>0</v>
          </cell>
          <cell r="BC2014">
            <v>0</v>
          </cell>
          <cell r="BD2014">
            <v>0</v>
          </cell>
          <cell r="BE2014">
            <v>0</v>
          </cell>
          <cell r="BI2014">
            <v>0</v>
          </cell>
          <cell r="BJ2014">
            <v>0</v>
          </cell>
          <cell r="BK2014">
            <v>0</v>
          </cell>
          <cell r="BL2014">
            <v>0</v>
          </cell>
          <cell r="BM2014">
            <v>0</v>
          </cell>
          <cell r="BN2014">
            <v>0</v>
          </cell>
          <cell r="BO2014">
            <v>0</v>
          </cell>
          <cell r="BP2014">
            <v>0</v>
          </cell>
          <cell r="BQ2014">
            <v>0</v>
          </cell>
          <cell r="BR2014">
            <v>0</v>
          </cell>
          <cell r="BT2014">
            <v>0</v>
          </cell>
          <cell r="CA2014" t="str">
            <v>31993X - REVTOT - Identified - Recompete</v>
          </cell>
          <cell r="CC2014" t="str">
            <v>31993X - REVTOT - Identified - Recompete - COMG</v>
          </cell>
          <cell r="CD2014" t="str">
            <v/>
          </cell>
          <cell r="CF2014" t="str">
            <v>31993X - Identified - Recompete - COMG</v>
          </cell>
        </row>
        <row r="2015">
          <cell r="D2015">
            <v>2001</v>
          </cell>
          <cell r="E2015">
            <v>2</v>
          </cell>
          <cell r="F2015">
            <v>3</v>
          </cell>
          <cell r="G2015" t="str">
            <v>31993X</v>
          </cell>
          <cell r="H2015" t="str">
            <v>Sloan Fac &amp; Process Maint</v>
          </cell>
          <cell r="I2015" t="str">
            <v>COMG</v>
          </cell>
          <cell r="J2015" t="str">
            <v>Commercial O&amp;M</v>
          </cell>
          <cell r="K2015" t="str">
            <v>Commercial</v>
          </cell>
          <cell r="L2015" t="str">
            <v xml:space="preserve">Commercial </v>
          </cell>
          <cell r="M2015" t="str">
            <v>AK</v>
          </cell>
          <cell r="N2015" t="str">
            <v>CONUS</v>
          </cell>
          <cell r="O2015">
            <v>42809</v>
          </cell>
          <cell r="P2015">
            <v>43904</v>
          </cell>
          <cell r="Q2015" t="str">
            <v>Prime</v>
          </cell>
          <cell r="R2015" t="str">
            <v>FFP</v>
          </cell>
          <cell r="S2015">
            <v>0</v>
          </cell>
          <cell r="T2015">
            <v>1</v>
          </cell>
          <cell r="U2015" t="str">
            <v>CONTRACT</v>
          </cell>
          <cell r="V2015" t="str">
            <v>Base</v>
          </cell>
          <cell r="W2015" t="str">
            <v>05 Won</v>
          </cell>
          <cell r="X2015" t="str">
            <v>Active</v>
          </cell>
          <cell r="Y2015">
            <v>1</v>
          </cell>
          <cell r="Z2015">
            <v>0</v>
          </cell>
          <cell r="AA2015">
            <v>1139323.399999999</v>
          </cell>
          <cell r="AB2015">
            <v>0</v>
          </cell>
          <cell r="AC2015">
            <v>0</v>
          </cell>
          <cell r="AD2015">
            <v>1139323.399999999</v>
          </cell>
          <cell r="AL2015">
            <v>0</v>
          </cell>
          <cell r="AM2015">
            <v>-0.10025701488439479</v>
          </cell>
          <cell r="AN2015">
            <v>0.11378839910880993</v>
          </cell>
          <cell r="AO2015">
            <v>0.12530589843663778</v>
          </cell>
          <cell r="AP2015">
            <v>9.8775825801217437E-2</v>
          </cell>
          <cell r="AQ2015">
            <v>9.8775825801217437E-2</v>
          </cell>
          <cell r="AR2015">
            <v>9.8775825801217437E-2</v>
          </cell>
          <cell r="AS2015">
            <v>9.8775825801217437E-2</v>
          </cell>
          <cell r="BF2015">
            <v>0</v>
          </cell>
          <cell r="BG2015">
            <v>-115194.09999999998</v>
          </cell>
          <cell r="BH2015">
            <v>252814.28000000006</v>
          </cell>
          <cell r="BI2015">
            <v>67643.229999999952</v>
          </cell>
          <cell r="BJ2015">
            <v>67900.669999999955</v>
          </cell>
          <cell r="BK2015">
            <v>75893.75999999998</v>
          </cell>
          <cell r="BL2015">
            <v>60446.09</v>
          </cell>
          <cell r="BM2015">
            <v>271883.74999999988</v>
          </cell>
          <cell r="BN2015">
            <v>112537.60968965068</v>
          </cell>
          <cell r="BO2015">
            <v>0</v>
          </cell>
          <cell r="BP2015">
            <v>0</v>
          </cell>
          <cell r="BQ2015">
            <v>0</v>
          </cell>
          <cell r="BR2015">
            <v>384421.35968965059</v>
          </cell>
          <cell r="BT2015">
            <v>0</v>
          </cell>
          <cell r="CA2015" t="str">
            <v>31993X - CONTRACT - Base</v>
          </cell>
          <cell r="CC2015" t="str">
            <v>31993X - CONTRACT - Base - COMG</v>
          </cell>
          <cell r="CD2015" t="str">
            <v/>
          </cell>
          <cell r="CF2015" t="str">
            <v>31993X - Base - COMG</v>
          </cell>
        </row>
        <row r="2016">
          <cell r="D2016">
            <v>2002</v>
          </cell>
          <cell r="E2016">
            <v>2</v>
          </cell>
          <cell r="F2016">
            <v>4</v>
          </cell>
          <cell r="G2016" t="str">
            <v>31993X</v>
          </cell>
          <cell r="H2016" t="str">
            <v>Sloan Fac &amp; Process Maint</v>
          </cell>
          <cell r="I2016" t="str">
            <v>COMG</v>
          </cell>
          <cell r="J2016" t="str">
            <v>Commercial O&amp;M</v>
          </cell>
          <cell r="K2016" t="str">
            <v>Commercial</v>
          </cell>
          <cell r="L2016" t="str">
            <v xml:space="preserve">Commercial </v>
          </cell>
          <cell r="M2016" t="str">
            <v>AK</v>
          </cell>
          <cell r="N2016" t="str">
            <v>CONUS</v>
          </cell>
          <cell r="O2016">
            <v>0</v>
          </cell>
          <cell r="P2016">
            <v>0</v>
          </cell>
          <cell r="Q2016">
            <v>0</v>
          </cell>
          <cell r="R2016" t="str">
            <v>FFP</v>
          </cell>
          <cell r="S2016">
            <v>0</v>
          </cell>
          <cell r="T2016">
            <v>1</v>
          </cell>
          <cell r="U2016" t="str">
            <v>CONTRACT</v>
          </cell>
          <cell r="V2016" t="str">
            <v>Identified - Recompete</v>
          </cell>
          <cell r="W2016">
            <v>0</v>
          </cell>
          <cell r="X2016">
            <v>0</v>
          </cell>
          <cell r="Y2016">
            <v>0</v>
          </cell>
          <cell r="Z2016">
            <v>0</v>
          </cell>
          <cell r="AA2016">
            <v>0</v>
          </cell>
          <cell r="AB2016">
            <v>0</v>
          </cell>
          <cell r="AC2016">
            <v>0</v>
          </cell>
          <cell r="AD2016">
            <v>0</v>
          </cell>
          <cell r="AP2016">
            <v>0</v>
          </cell>
          <cell r="AQ2016">
            <v>0</v>
          </cell>
          <cell r="AR2016">
            <v>0</v>
          </cell>
          <cell r="AS2016">
            <v>0</v>
          </cell>
          <cell r="BI2016">
            <v>0</v>
          </cell>
          <cell r="BJ2016">
            <v>0</v>
          </cell>
          <cell r="BK2016">
            <v>0</v>
          </cell>
          <cell r="BL2016">
            <v>0</v>
          </cell>
          <cell r="BM2016">
            <v>0</v>
          </cell>
          <cell r="BN2016">
            <v>0</v>
          </cell>
          <cell r="BO2016">
            <v>0</v>
          </cell>
          <cell r="BP2016">
            <v>0</v>
          </cell>
          <cell r="BQ2016">
            <v>0</v>
          </cell>
          <cell r="BR2016">
            <v>0</v>
          </cell>
          <cell r="BT2016">
            <v>0</v>
          </cell>
          <cell r="CA2016" t="str">
            <v>31993X - CONTRACT - Identified - Recompete</v>
          </cell>
          <cell r="CC2016" t="str">
            <v>31993X - CONTRACT - Identified - Recompete - COMG</v>
          </cell>
          <cell r="CD2016" t="str">
            <v/>
          </cell>
          <cell r="CF2016" t="str">
            <v>31993X - Identified - Recompete - COMG</v>
          </cell>
        </row>
        <row r="2017">
          <cell r="D2017">
            <v>2003</v>
          </cell>
          <cell r="E2017">
            <v>0</v>
          </cell>
          <cell r="F2017">
            <v>5</v>
          </cell>
          <cell r="G2017" t="str">
            <v>31993X</v>
          </cell>
          <cell r="H2017" t="str">
            <v>Sloan Fac &amp; Process Maint</v>
          </cell>
          <cell r="I2017" t="str">
            <v>COMG</v>
          </cell>
          <cell r="J2017" t="str">
            <v>Commercial O&amp;M</v>
          </cell>
          <cell r="K2017" t="str">
            <v>Commercial</v>
          </cell>
          <cell r="L2017" t="str">
            <v xml:space="preserve">Commercial </v>
          </cell>
          <cell r="M2017" t="str">
            <v>AK</v>
          </cell>
          <cell r="N2017" t="str">
            <v>CONUS</v>
          </cell>
          <cell r="O2017">
            <v>42809</v>
          </cell>
          <cell r="P2017">
            <v>43904</v>
          </cell>
          <cell r="Q2017" t="str">
            <v>Prime</v>
          </cell>
          <cell r="R2017" t="str">
            <v>FFP</v>
          </cell>
          <cell r="S2017">
            <v>0</v>
          </cell>
          <cell r="T2017">
            <v>1</v>
          </cell>
          <cell r="U2017" t="str">
            <v>EBITA</v>
          </cell>
          <cell r="V2017" t="str">
            <v>Base</v>
          </cell>
          <cell r="W2017" t="str">
            <v>05 Won</v>
          </cell>
          <cell r="X2017" t="str">
            <v>Active</v>
          </cell>
          <cell r="Y2017">
            <v>1</v>
          </cell>
          <cell r="Z2017">
            <v>0</v>
          </cell>
          <cell r="AA2017">
            <v>1139323.399999999</v>
          </cell>
          <cell r="AB2017">
            <v>0</v>
          </cell>
          <cell r="AC2017">
            <v>0</v>
          </cell>
          <cell r="AD2017">
            <v>1139323.399999999</v>
          </cell>
          <cell r="AT2017">
            <v>0</v>
          </cell>
          <cell r="AU2017">
            <v>-0.14254727636695014</v>
          </cell>
          <cell r="AV2017">
            <v>6.1651060127966137E-3</v>
          </cell>
          <cell r="AW2017">
            <v>4.0989405377559213E-2</v>
          </cell>
          <cell r="AX2017">
            <v>1.4631609294009005E-2</v>
          </cell>
          <cell r="AY2017">
            <v>1.5631609294009006E-2</v>
          </cell>
          <cell r="AZ2017">
            <v>1.6631609294009007E-2</v>
          </cell>
          <cell r="BA2017">
            <v>1.7631609294009008E-2</v>
          </cell>
          <cell r="BF2017">
            <v>0</v>
          </cell>
          <cell r="BG2017">
            <v>-163785.09999999998</v>
          </cell>
          <cell r="BH2017">
            <v>13697.590000000029</v>
          </cell>
          <cell r="BI2017">
            <v>22298.069999999956</v>
          </cell>
          <cell r="BJ2017">
            <v>22722.259999999962</v>
          </cell>
          <cell r="BK2017">
            <v>32725.91999999998</v>
          </cell>
          <cell r="BL2017">
            <v>11190.929999999997</v>
          </cell>
          <cell r="BM2017">
            <v>88937.179999999891</v>
          </cell>
          <cell r="BN2017">
            <v>16670.134848321923</v>
          </cell>
          <cell r="BO2017">
            <v>0</v>
          </cell>
          <cell r="BP2017">
            <v>0</v>
          </cell>
          <cell r="BQ2017">
            <v>0</v>
          </cell>
          <cell r="BR2017">
            <v>105607.31484832181</v>
          </cell>
          <cell r="BT2017">
            <v>0</v>
          </cell>
          <cell r="CA2017" t="str">
            <v>31993X - EBITA - Base</v>
          </cell>
          <cell r="CC2017" t="str">
            <v>31993X - EBITA - Base - COMG</v>
          </cell>
          <cell r="CD2017" t="str">
            <v/>
          </cell>
          <cell r="CF2017" t="str">
            <v>31993X - Base - COMG</v>
          </cell>
        </row>
        <row r="2018">
          <cell r="D2018">
            <v>2004</v>
          </cell>
          <cell r="E2018">
            <v>0</v>
          </cell>
          <cell r="F2018">
            <v>0</v>
          </cell>
          <cell r="G2018" t="str">
            <v>31993X</v>
          </cell>
          <cell r="H2018" t="str">
            <v>Sloan Fac &amp; Process Maint</v>
          </cell>
          <cell r="I2018" t="str">
            <v>COMG</v>
          </cell>
          <cell r="J2018" t="str">
            <v>Commercial O&amp;M</v>
          </cell>
          <cell r="K2018" t="str">
            <v>Commercial</v>
          </cell>
          <cell r="L2018" t="str">
            <v xml:space="preserve">Commercial </v>
          </cell>
          <cell r="M2018" t="str">
            <v>AK</v>
          </cell>
          <cell r="N2018" t="str">
            <v>CONUS</v>
          </cell>
          <cell r="O2018">
            <v>0</v>
          </cell>
          <cell r="P2018">
            <v>0</v>
          </cell>
          <cell r="Q2018">
            <v>0</v>
          </cell>
          <cell r="R2018" t="str">
            <v>FFP</v>
          </cell>
          <cell r="S2018">
            <v>0</v>
          </cell>
          <cell r="T2018">
            <v>1</v>
          </cell>
          <cell r="U2018" t="str">
            <v>EBITA</v>
          </cell>
          <cell r="V2018" t="str">
            <v>Identified - Recompete</v>
          </cell>
          <cell r="W2018">
            <v>0</v>
          </cell>
          <cell r="X2018">
            <v>0</v>
          </cell>
          <cell r="Y2018">
            <v>0</v>
          </cell>
          <cell r="Z2018">
            <v>0</v>
          </cell>
          <cell r="AA2018">
            <v>0</v>
          </cell>
          <cell r="AB2018">
            <v>0</v>
          </cell>
          <cell r="AC2018">
            <v>0</v>
          </cell>
          <cell r="AD2018">
            <v>0</v>
          </cell>
          <cell r="AX2018">
            <v>0</v>
          </cell>
          <cell r="AY2018">
            <v>0</v>
          </cell>
          <cell r="AZ2018">
            <v>0</v>
          </cell>
          <cell r="BA2018">
            <v>0</v>
          </cell>
          <cell r="BI2018">
            <v>0</v>
          </cell>
          <cell r="BJ2018">
            <v>0</v>
          </cell>
          <cell r="BK2018">
            <v>0</v>
          </cell>
          <cell r="BL2018">
            <v>0</v>
          </cell>
          <cell r="BM2018">
            <v>0</v>
          </cell>
          <cell r="BN2018">
            <v>0</v>
          </cell>
          <cell r="BO2018">
            <v>0</v>
          </cell>
          <cell r="BP2018">
            <v>0</v>
          </cell>
          <cell r="BQ2018">
            <v>0</v>
          </cell>
          <cell r="BR2018">
            <v>0</v>
          </cell>
          <cell r="BT2018">
            <v>0</v>
          </cell>
          <cell r="CA2018" t="str">
            <v>31993X - EBITA - Identified - Recompete</v>
          </cell>
          <cell r="CC2018" t="str">
            <v>31993X - EBITA - Identified - Recompete - COMG</v>
          </cell>
          <cell r="CD2018" t="str">
            <v/>
          </cell>
          <cell r="CF2018" t="str">
            <v>31993X - Identified - Recompete - COMG</v>
          </cell>
        </row>
        <row r="2019">
          <cell r="D2019">
            <v>2005</v>
          </cell>
          <cell r="E2019">
            <v>1</v>
          </cell>
          <cell r="F2019">
            <v>1</v>
          </cell>
          <cell r="G2019" t="str">
            <v>MBUSIN</v>
          </cell>
          <cell r="H2019" t="str">
            <v>Mercedes Benz Maintenance Services</v>
          </cell>
          <cell r="I2019" t="str">
            <v>COMG</v>
          </cell>
          <cell r="J2019" t="str">
            <v>Commercial O&amp;M</v>
          </cell>
          <cell r="K2019" t="str">
            <v>Commercial</v>
          </cell>
          <cell r="L2019" t="str">
            <v xml:space="preserve">Commercial </v>
          </cell>
          <cell r="M2019" t="str">
            <v>AL</v>
          </cell>
          <cell r="N2019" t="str">
            <v>CONUS</v>
          </cell>
          <cell r="O2019">
            <v>43252</v>
          </cell>
          <cell r="P2019">
            <v>45077</v>
          </cell>
          <cell r="Q2019" t="str">
            <v>Prime</v>
          </cell>
          <cell r="R2019" t="str">
            <v>FFP</v>
          </cell>
          <cell r="S2019">
            <v>0</v>
          </cell>
          <cell r="T2019">
            <v>1</v>
          </cell>
          <cell r="U2019" t="str">
            <v>REVTOT</v>
          </cell>
          <cell r="V2019" t="str">
            <v>Base</v>
          </cell>
          <cell r="W2019" t="str">
            <v>05 Won</v>
          </cell>
          <cell r="X2019" t="str">
            <v>Active</v>
          </cell>
          <cell r="Y2019">
            <v>1</v>
          </cell>
          <cell r="Z2019">
            <v>0</v>
          </cell>
          <cell r="AA2019">
            <v>477301.99999999965</v>
          </cell>
          <cell r="AB2019">
            <v>0</v>
          </cell>
          <cell r="AC2019">
            <v>0</v>
          </cell>
          <cell r="AD2019">
            <v>477301.99999999965</v>
          </cell>
          <cell r="AE2019">
            <v>0</v>
          </cell>
          <cell r="AF2019">
            <v>0</v>
          </cell>
          <cell r="AG2019">
            <v>14.358397727272727</v>
          </cell>
          <cell r="AH2019">
            <v>-0.64684555902567398</v>
          </cell>
          <cell r="AI2019">
            <v>0</v>
          </cell>
          <cell r="AJ2019">
            <v>0</v>
          </cell>
          <cell r="AK2019">
            <v>0</v>
          </cell>
          <cell r="BB2019">
            <v>1682905.8699989258</v>
          </cell>
          <cell r="BC2019">
            <v>1682905.8699989258</v>
          </cell>
          <cell r="BD2019">
            <v>1682905.8699989258</v>
          </cell>
          <cell r="BE2019">
            <v>1682905.8699989258</v>
          </cell>
          <cell r="BF2019">
            <v>0</v>
          </cell>
          <cell r="BG2019">
            <v>0</v>
          </cell>
          <cell r="BH2019">
            <v>88000</v>
          </cell>
          <cell r="BI2019">
            <v>181581.53</v>
          </cell>
          <cell r="BJ2019">
            <v>311519.61</v>
          </cell>
          <cell r="BK2019">
            <v>430757.02</v>
          </cell>
          <cell r="BL2019">
            <v>427680.83999999997</v>
          </cell>
          <cell r="BM2019">
            <v>1351539</v>
          </cell>
          <cell r="BN2019">
            <v>477301.99999999965</v>
          </cell>
          <cell r="BO2019">
            <v>0</v>
          </cell>
          <cell r="BP2019">
            <v>0</v>
          </cell>
          <cell r="BQ2019">
            <v>0</v>
          </cell>
          <cell r="BR2019">
            <v>1828840.9999999995</v>
          </cell>
          <cell r="BT2019">
            <v>0</v>
          </cell>
          <cell r="CA2019" t="str">
            <v>MBUSIN - REVTOT - Base</v>
          </cell>
          <cell r="CC2019" t="str">
            <v>MBUSIN - REVTOT - Base - COMG</v>
          </cell>
          <cell r="CD2019" t="str">
            <v/>
          </cell>
          <cell r="CF2019" t="str">
            <v>MBUSIN - Base - COMG</v>
          </cell>
        </row>
        <row r="2020">
          <cell r="D2020">
            <v>2006</v>
          </cell>
          <cell r="E2020">
            <v>1</v>
          </cell>
          <cell r="F2020">
            <v>2</v>
          </cell>
          <cell r="G2020" t="str">
            <v>MBUSIN</v>
          </cell>
          <cell r="H2020" t="str">
            <v>Mercedes Benz Maintenance Services</v>
          </cell>
          <cell r="I2020" t="str">
            <v>COMG</v>
          </cell>
          <cell r="J2020" t="str">
            <v>Commercial O&amp;M</v>
          </cell>
          <cell r="K2020" t="str">
            <v>Commercial</v>
          </cell>
          <cell r="L2020" t="str">
            <v xml:space="preserve">Commercial </v>
          </cell>
          <cell r="M2020" t="str">
            <v>AL</v>
          </cell>
          <cell r="N2020" t="str">
            <v>CONUS</v>
          </cell>
          <cell r="O2020">
            <v>0</v>
          </cell>
          <cell r="P2020">
            <v>0</v>
          </cell>
          <cell r="Q2020">
            <v>0</v>
          </cell>
          <cell r="R2020" t="str">
            <v>FFP</v>
          </cell>
          <cell r="S2020">
            <v>0</v>
          </cell>
          <cell r="T2020">
            <v>1</v>
          </cell>
          <cell r="U2020" t="str">
            <v>REVTOT</v>
          </cell>
          <cell r="V2020" t="str">
            <v>Identified - Recompete</v>
          </cell>
          <cell r="W2020">
            <v>0</v>
          </cell>
          <cell r="X2020">
            <v>0</v>
          </cell>
          <cell r="Y2020">
            <v>0</v>
          </cell>
          <cell r="Z2020">
            <v>0</v>
          </cell>
          <cell r="AA2020">
            <v>0</v>
          </cell>
          <cell r="AB2020">
            <v>0</v>
          </cell>
          <cell r="AC2020">
            <v>0</v>
          </cell>
          <cell r="AD2020">
            <v>0</v>
          </cell>
          <cell r="AI2020">
            <v>0</v>
          </cell>
          <cell r="AJ2020">
            <v>0</v>
          </cell>
          <cell r="AK2020">
            <v>0</v>
          </cell>
          <cell r="BB2020">
            <v>0</v>
          </cell>
          <cell r="BC2020">
            <v>0</v>
          </cell>
          <cell r="BD2020">
            <v>0</v>
          </cell>
          <cell r="BE2020">
            <v>0</v>
          </cell>
          <cell r="BI2020">
            <v>0</v>
          </cell>
          <cell r="BJ2020">
            <v>0</v>
          </cell>
          <cell r="BK2020">
            <v>0</v>
          </cell>
          <cell r="BL2020">
            <v>0</v>
          </cell>
          <cell r="BM2020">
            <v>0</v>
          </cell>
          <cell r="BN2020">
            <v>0</v>
          </cell>
          <cell r="BO2020">
            <v>0</v>
          </cell>
          <cell r="BP2020">
            <v>0</v>
          </cell>
          <cell r="BQ2020">
            <v>0</v>
          </cell>
          <cell r="BR2020">
            <v>0</v>
          </cell>
          <cell r="BT2020">
            <v>0</v>
          </cell>
          <cell r="CA2020" t="str">
            <v>MBUSIN - REVTOT - Identified - Recompete</v>
          </cell>
          <cell r="CC2020" t="str">
            <v>MBUSIN - REVTOT - Identified - Recompete - COMG</v>
          </cell>
          <cell r="CD2020" t="str">
            <v/>
          </cell>
          <cell r="CF2020" t="str">
            <v>MBUSIN - Identified - Recompete - COMG</v>
          </cell>
        </row>
        <row r="2021">
          <cell r="D2021">
            <v>2007</v>
          </cell>
          <cell r="E2021">
            <v>2</v>
          </cell>
          <cell r="F2021">
            <v>3</v>
          </cell>
          <cell r="G2021" t="str">
            <v>MBUSIN</v>
          </cell>
          <cell r="H2021" t="str">
            <v>Mercedes Benz Maintenance Services</v>
          </cell>
          <cell r="I2021" t="str">
            <v>COMG</v>
          </cell>
          <cell r="J2021" t="str">
            <v>Commercial O&amp;M</v>
          </cell>
          <cell r="K2021" t="str">
            <v>Commercial</v>
          </cell>
          <cell r="L2021" t="str">
            <v xml:space="preserve">Commercial </v>
          </cell>
          <cell r="M2021" t="str">
            <v>AL</v>
          </cell>
          <cell r="N2021" t="str">
            <v>CONUS</v>
          </cell>
          <cell r="O2021">
            <v>43252</v>
          </cell>
          <cell r="P2021">
            <v>45077</v>
          </cell>
          <cell r="Q2021" t="str">
            <v>Prime</v>
          </cell>
          <cell r="R2021" t="str">
            <v>FFP</v>
          </cell>
          <cell r="S2021">
            <v>0</v>
          </cell>
          <cell r="T2021">
            <v>1</v>
          </cell>
          <cell r="U2021" t="str">
            <v>CONTRACT</v>
          </cell>
          <cell r="V2021" t="str">
            <v>Base</v>
          </cell>
          <cell r="W2021" t="str">
            <v>05 Won</v>
          </cell>
          <cell r="X2021" t="str">
            <v>Active</v>
          </cell>
          <cell r="Y2021">
            <v>1</v>
          </cell>
          <cell r="Z2021">
            <v>0</v>
          </cell>
          <cell r="AA2021">
            <v>477301.99999999965</v>
          </cell>
          <cell r="AB2021">
            <v>0</v>
          </cell>
          <cell r="AC2021">
            <v>0</v>
          </cell>
          <cell r="AD2021">
            <v>477301.99999999965</v>
          </cell>
          <cell r="AL2021">
            <v>0</v>
          </cell>
          <cell r="AM2021">
            <v>0</v>
          </cell>
          <cell r="AN2021">
            <v>4.6941363636363635E-2</v>
          </cell>
          <cell r="AO2021">
            <v>0.19796741334883272</v>
          </cell>
          <cell r="AP2021">
            <v>0.18447741152813493</v>
          </cell>
          <cell r="AQ2021">
            <v>0.18447741152813493</v>
          </cell>
          <cell r="AR2021">
            <v>0.18447741152813493</v>
          </cell>
          <cell r="AS2021">
            <v>0.18447741152813493</v>
          </cell>
          <cell r="BF2021">
            <v>0</v>
          </cell>
          <cell r="BG2021">
            <v>0</v>
          </cell>
          <cell r="BH2021">
            <v>4130.84</v>
          </cell>
          <cell r="BI2021">
            <v>18321.570000000003</v>
          </cell>
          <cell r="BJ2021">
            <v>67441.850000000006</v>
          </cell>
          <cell r="BK2021">
            <v>111868.55000000003</v>
          </cell>
          <cell r="BL2021">
            <v>69928.709870068007</v>
          </cell>
          <cell r="BM2021">
            <v>267560.67987006804</v>
          </cell>
          <cell r="BN2021">
            <v>88051.437477201791</v>
          </cell>
          <cell r="BO2021">
            <v>0</v>
          </cell>
          <cell r="BP2021">
            <v>0</v>
          </cell>
          <cell r="BQ2021">
            <v>0</v>
          </cell>
          <cell r="BR2021">
            <v>355612.11734726984</v>
          </cell>
          <cell r="BT2021">
            <v>0</v>
          </cell>
          <cell r="CA2021" t="str">
            <v>MBUSIN - CONTRACT - Base</v>
          </cell>
          <cell r="CC2021" t="str">
            <v>MBUSIN - CONTRACT - Base - COMG</v>
          </cell>
          <cell r="CD2021" t="str">
            <v/>
          </cell>
          <cell r="CF2021" t="str">
            <v>MBUSIN - Base - COMG</v>
          </cell>
        </row>
        <row r="2022">
          <cell r="D2022">
            <v>2008</v>
          </cell>
          <cell r="E2022">
            <v>2</v>
          </cell>
          <cell r="F2022">
            <v>4</v>
          </cell>
          <cell r="G2022" t="str">
            <v>MBUSIN</v>
          </cell>
          <cell r="H2022" t="str">
            <v>Mercedes Benz Maintenance Services</v>
          </cell>
          <cell r="I2022" t="str">
            <v>COMG</v>
          </cell>
          <cell r="J2022" t="str">
            <v>Commercial O&amp;M</v>
          </cell>
          <cell r="K2022" t="str">
            <v>Commercial</v>
          </cell>
          <cell r="L2022" t="str">
            <v xml:space="preserve">Commercial </v>
          </cell>
          <cell r="M2022" t="str">
            <v>AL</v>
          </cell>
          <cell r="N2022" t="str">
            <v>CONUS</v>
          </cell>
          <cell r="O2022">
            <v>0</v>
          </cell>
          <cell r="P2022">
            <v>0</v>
          </cell>
          <cell r="Q2022">
            <v>0</v>
          </cell>
          <cell r="R2022" t="str">
            <v>FFP</v>
          </cell>
          <cell r="S2022">
            <v>0</v>
          </cell>
          <cell r="T2022">
            <v>1</v>
          </cell>
          <cell r="U2022" t="str">
            <v>CONTRACT</v>
          </cell>
          <cell r="V2022" t="str">
            <v>Identified - Recompete</v>
          </cell>
          <cell r="W2022">
            <v>0</v>
          </cell>
          <cell r="X2022">
            <v>0</v>
          </cell>
          <cell r="Y2022">
            <v>0</v>
          </cell>
          <cell r="Z2022">
            <v>0</v>
          </cell>
          <cell r="AA2022">
            <v>0</v>
          </cell>
          <cell r="AB2022">
            <v>0</v>
          </cell>
          <cell r="AC2022">
            <v>0</v>
          </cell>
          <cell r="AD2022">
            <v>0</v>
          </cell>
          <cell r="AP2022">
            <v>0</v>
          </cell>
          <cell r="AQ2022">
            <v>0</v>
          </cell>
          <cell r="AR2022">
            <v>0</v>
          </cell>
          <cell r="AS2022">
            <v>0</v>
          </cell>
          <cell r="BI2022">
            <v>0</v>
          </cell>
          <cell r="BJ2022">
            <v>0</v>
          </cell>
          <cell r="BK2022">
            <v>0</v>
          </cell>
          <cell r="BL2022">
            <v>0</v>
          </cell>
          <cell r="BM2022">
            <v>0</v>
          </cell>
          <cell r="BN2022">
            <v>0</v>
          </cell>
          <cell r="BO2022">
            <v>0</v>
          </cell>
          <cell r="BP2022">
            <v>0</v>
          </cell>
          <cell r="BQ2022">
            <v>0</v>
          </cell>
          <cell r="BR2022">
            <v>0</v>
          </cell>
          <cell r="BT2022">
            <v>0</v>
          </cell>
          <cell r="CA2022" t="str">
            <v>MBUSIN - CONTRACT - Identified - Recompete</v>
          </cell>
          <cell r="CC2022" t="str">
            <v>MBUSIN - CONTRACT - Identified - Recompete - COMG</v>
          </cell>
          <cell r="CD2022" t="str">
            <v/>
          </cell>
          <cell r="CF2022" t="str">
            <v>MBUSIN - Identified - Recompete - COMG</v>
          </cell>
        </row>
        <row r="2023">
          <cell r="D2023">
            <v>2009</v>
          </cell>
          <cell r="E2023">
            <v>0</v>
          </cell>
          <cell r="F2023">
            <v>5</v>
          </cell>
          <cell r="G2023" t="str">
            <v>MBUSIN</v>
          </cell>
          <cell r="H2023" t="str">
            <v>Mercedes Benz Maintenance Services</v>
          </cell>
          <cell r="I2023" t="str">
            <v>COMG</v>
          </cell>
          <cell r="J2023" t="str">
            <v>Commercial O&amp;M</v>
          </cell>
          <cell r="K2023" t="str">
            <v>Commercial</v>
          </cell>
          <cell r="L2023" t="str">
            <v xml:space="preserve">Commercial </v>
          </cell>
          <cell r="M2023" t="str">
            <v>AL</v>
          </cell>
          <cell r="N2023" t="str">
            <v>CONUS</v>
          </cell>
          <cell r="O2023">
            <v>43252</v>
          </cell>
          <cell r="P2023">
            <v>45077</v>
          </cell>
          <cell r="Q2023" t="str">
            <v>Prime</v>
          </cell>
          <cell r="R2023" t="str">
            <v>FFP</v>
          </cell>
          <cell r="S2023">
            <v>0</v>
          </cell>
          <cell r="T2023">
            <v>1</v>
          </cell>
          <cell r="U2023" t="str">
            <v>EBITA</v>
          </cell>
          <cell r="V2023" t="str">
            <v>Base</v>
          </cell>
          <cell r="W2023" t="str">
            <v>05 Won</v>
          </cell>
          <cell r="X2023" t="str">
            <v>Active</v>
          </cell>
          <cell r="Y2023">
            <v>1</v>
          </cell>
          <cell r="Z2023">
            <v>0</v>
          </cell>
          <cell r="AA2023">
            <v>477301.99999999965</v>
          </cell>
          <cell r="AB2023">
            <v>0</v>
          </cell>
          <cell r="AC2023">
            <v>0</v>
          </cell>
          <cell r="AD2023">
            <v>477301.99999999965</v>
          </cell>
          <cell r="AT2023">
            <v>0</v>
          </cell>
          <cell r="AU2023">
            <v>0</v>
          </cell>
          <cell r="AV2023">
            <v>-5.5843636363636359E-2</v>
          </cell>
          <cell r="AW2023">
            <v>0.12505598660125491</v>
          </cell>
          <cell r="AX2023">
            <v>0.11111995457446257</v>
          </cell>
          <cell r="AY2023">
            <v>0.11211995457446257</v>
          </cell>
          <cell r="AZ2023">
            <v>0.11311995457446257</v>
          </cell>
          <cell r="BA2023">
            <v>0.11411995457446257</v>
          </cell>
          <cell r="BF2023">
            <v>0</v>
          </cell>
          <cell r="BG2023">
            <v>0</v>
          </cell>
          <cell r="BH2023">
            <v>-4914.24</v>
          </cell>
          <cell r="BI2023">
            <v>3474.6700000000028</v>
          </cell>
          <cell r="BJ2023">
            <v>45077.26</v>
          </cell>
          <cell r="BK2023">
            <v>82705.040000000037</v>
          </cell>
          <cell r="BL2023">
            <v>37761.073075073407</v>
          </cell>
          <cell r="BM2023">
            <v>169018.04307507345</v>
          </cell>
          <cell r="BN2023">
            <v>53037.776558300095</v>
          </cell>
          <cell r="BO2023">
            <v>0</v>
          </cell>
          <cell r="BP2023">
            <v>0</v>
          </cell>
          <cell r="BQ2023">
            <v>0</v>
          </cell>
          <cell r="BR2023">
            <v>222055.81963337355</v>
          </cell>
          <cell r="BT2023">
            <v>0</v>
          </cell>
          <cell r="CA2023" t="str">
            <v>MBUSIN - EBITA - Base</v>
          </cell>
          <cell r="CC2023" t="str">
            <v>MBUSIN - EBITA - Base - COMG</v>
          </cell>
          <cell r="CD2023" t="str">
            <v/>
          </cell>
          <cell r="CF2023" t="str">
            <v>MBUSIN - Base - COMG</v>
          </cell>
        </row>
        <row r="2024">
          <cell r="D2024">
            <v>2010</v>
          </cell>
          <cell r="E2024">
            <v>0</v>
          </cell>
          <cell r="F2024">
            <v>0</v>
          </cell>
          <cell r="G2024" t="str">
            <v>MBUSIN</v>
          </cell>
          <cell r="H2024" t="str">
            <v>Mercedes Benz Maintenance Services</v>
          </cell>
          <cell r="I2024" t="str">
            <v>COMG</v>
          </cell>
          <cell r="J2024" t="str">
            <v>Commercial O&amp;M</v>
          </cell>
          <cell r="K2024" t="str">
            <v>Commercial</v>
          </cell>
          <cell r="L2024" t="str">
            <v xml:space="preserve">Commercial </v>
          </cell>
          <cell r="M2024" t="str">
            <v>AL</v>
          </cell>
          <cell r="N2024" t="str">
            <v>CONUS</v>
          </cell>
          <cell r="O2024">
            <v>0</v>
          </cell>
          <cell r="P2024">
            <v>0</v>
          </cell>
          <cell r="Q2024">
            <v>0</v>
          </cell>
          <cell r="R2024" t="str">
            <v>FFP</v>
          </cell>
          <cell r="S2024">
            <v>0</v>
          </cell>
          <cell r="T2024">
            <v>1</v>
          </cell>
          <cell r="U2024" t="str">
            <v>EBITA</v>
          </cell>
          <cell r="V2024" t="str">
            <v>Identified - Recompete</v>
          </cell>
          <cell r="W2024">
            <v>0</v>
          </cell>
          <cell r="X2024">
            <v>0</v>
          </cell>
          <cell r="Y2024">
            <v>0</v>
          </cell>
          <cell r="Z2024">
            <v>0</v>
          </cell>
          <cell r="AA2024">
            <v>0</v>
          </cell>
          <cell r="AB2024">
            <v>0</v>
          </cell>
          <cell r="AC2024">
            <v>0</v>
          </cell>
          <cell r="AD2024">
            <v>0</v>
          </cell>
          <cell r="AX2024">
            <v>0</v>
          </cell>
          <cell r="AY2024">
            <v>0</v>
          </cell>
          <cell r="AZ2024">
            <v>0</v>
          </cell>
          <cell r="BA2024">
            <v>0</v>
          </cell>
          <cell r="BI2024">
            <v>0</v>
          </cell>
          <cell r="BJ2024">
            <v>0</v>
          </cell>
          <cell r="BK2024">
            <v>0</v>
          </cell>
          <cell r="BL2024">
            <v>0</v>
          </cell>
          <cell r="BM2024">
            <v>0</v>
          </cell>
          <cell r="BN2024">
            <v>0</v>
          </cell>
          <cell r="BO2024">
            <v>0</v>
          </cell>
          <cell r="BP2024">
            <v>0</v>
          </cell>
          <cell r="BQ2024">
            <v>0</v>
          </cell>
          <cell r="BR2024">
            <v>0</v>
          </cell>
          <cell r="BT2024">
            <v>0</v>
          </cell>
          <cell r="CA2024" t="str">
            <v>MBUSIN - EBITA - Identified - Recompete</v>
          </cell>
          <cell r="CC2024" t="str">
            <v>MBUSIN - EBITA - Identified - Recompete - COMG</v>
          </cell>
          <cell r="CD2024" t="str">
            <v/>
          </cell>
          <cell r="CF2024" t="str">
            <v>MBUSIN - Identified - Recompete - COMG</v>
          </cell>
        </row>
        <row r="2025">
          <cell r="D2025">
            <v>2011</v>
          </cell>
          <cell r="E2025">
            <v>1</v>
          </cell>
          <cell r="F2025">
            <v>1</v>
          </cell>
          <cell r="G2025" t="str">
            <v>GEINHM</v>
          </cell>
          <cell r="H2025" t="str">
            <v>GE Aviation Lafayette IN</v>
          </cell>
          <cell r="I2025" t="str">
            <v>COMG</v>
          </cell>
          <cell r="J2025" t="str">
            <v>Commercial O&amp;M</v>
          </cell>
          <cell r="K2025" t="str">
            <v>Commercial</v>
          </cell>
          <cell r="L2025" t="str">
            <v xml:space="preserve">Commercial </v>
          </cell>
          <cell r="M2025" t="str">
            <v>IN</v>
          </cell>
          <cell r="N2025" t="str">
            <v>CONUS</v>
          </cell>
          <cell r="O2025">
            <v>43586</v>
          </cell>
          <cell r="P2025">
            <v>44681</v>
          </cell>
          <cell r="Q2025" t="str">
            <v>Prime</v>
          </cell>
          <cell r="R2025" t="str">
            <v>T&amp;M</v>
          </cell>
          <cell r="S2025">
            <v>0</v>
          </cell>
          <cell r="T2025">
            <v>1</v>
          </cell>
          <cell r="U2025" t="str">
            <v>REVTOT</v>
          </cell>
          <cell r="V2025" t="str">
            <v>Base</v>
          </cell>
          <cell r="W2025" t="str">
            <v>05 Won</v>
          </cell>
          <cell r="X2025" t="str">
            <v>Active</v>
          </cell>
          <cell r="Y2025">
            <v>1</v>
          </cell>
          <cell r="Z2025">
            <v>0</v>
          </cell>
          <cell r="AA2025">
            <v>1389436.3769230766</v>
          </cell>
          <cell r="AB2025">
            <v>4800000</v>
          </cell>
          <cell r="AC2025">
            <v>0</v>
          </cell>
          <cell r="AD2025">
            <v>6189436.3769230768</v>
          </cell>
          <cell r="AE2025">
            <v>0</v>
          </cell>
          <cell r="AF2025">
            <v>0</v>
          </cell>
          <cell r="AG2025">
            <v>0</v>
          </cell>
          <cell r="AH2025">
            <v>1.2141584645479369</v>
          </cell>
          <cell r="AI2025">
            <v>0</v>
          </cell>
          <cell r="AJ2025">
            <v>0</v>
          </cell>
          <cell r="AK2025">
            <v>0</v>
          </cell>
          <cell r="BB2025">
            <v>2237548</v>
          </cell>
          <cell r="BC2025">
            <v>2237548</v>
          </cell>
          <cell r="BD2025">
            <v>2237548</v>
          </cell>
          <cell r="BE2025">
            <v>2237548</v>
          </cell>
          <cell r="BF2025">
            <v>0</v>
          </cell>
          <cell r="BG2025">
            <v>0</v>
          </cell>
          <cell r="BH2025">
            <v>0</v>
          </cell>
          <cell r="BI2025">
            <v>0</v>
          </cell>
          <cell r="BJ2025">
            <v>5793.41</v>
          </cell>
          <cell r="BK2025">
            <v>401924.73000000004</v>
          </cell>
          <cell r="BL2025">
            <v>602845.48307692306</v>
          </cell>
          <cell r="BM2025">
            <v>1010563.6230769231</v>
          </cell>
          <cell r="BN2025">
            <v>2237548</v>
          </cell>
          <cell r="BO2025">
            <v>2237548</v>
          </cell>
          <cell r="BP2025">
            <v>1714340.3769230768</v>
          </cell>
          <cell r="BQ2025">
            <v>0</v>
          </cell>
          <cell r="BR2025">
            <v>7200000</v>
          </cell>
          <cell r="BT2025">
            <v>0</v>
          </cell>
          <cell r="CA2025" t="str">
            <v>GEINHM - REVTOT - Base</v>
          </cell>
          <cell r="CC2025" t="str">
            <v>GEINHM - REVTOT - Base - COMG</v>
          </cell>
          <cell r="CD2025" t="str">
            <v/>
          </cell>
          <cell r="CF2025" t="str">
            <v>GEINHM - Base - COMG</v>
          </cell>
        </row>
        <row r="2026">
          <cell r="D2026">
            <v>2012</v>
          </cell>
          <cell r="E2026">
            <v>1</v>
          </cell>
          <cell r="F2026">
            <v>2</v>
          </cell>
          <cell r="G2026" t="str">
            <v>GEINHM</v>
          </cell>
          <cell r="H2026" t="str">
            <v>GE Aviation Lafayette IN</v>
          </cell>
          <cell r="I2026" t="str">
            <v>COMG</v>
          </cell>
          <cell r="J2026" t="str">
            <v>Commercial O&amp;M</v>
          </cell>
          <cell r="K2026" t="str">
            <v>Commercial</v>
          </cell>
          <cell r="L2026" t="str">
            <v xml:space="preserve">Commercial </v>
          </cell>
          <cell r="M2026" t="str">
            <v>IN</v>
          </cell>
          <cell r="N2026" t="str">
            <v>CONUS</v>
          </cell>
          <cell r="O2026">
            <v>0</v>
          </cell>
          <cell r="P2026">
            <v>0</v>
          </cell>
          <cell r="Q2026">
            <v>0</v>
          </cell>
          <cell r="R2026" t="str">
            <v>T&amp;M</v>
          </cell>
          <cell r="S2026">
            <v>0</v>
          </cell>
          <cell r="T2026">
            <v>1</v>
          </cell>
          <cell r="U2026" t="str">
            <v>REVTOT</v>
          </cell>
          <cell r="V2026" t="str">
            <v>Identified - Recompete</v>
          </cell>
          <cell r="W2026">
            <v>0</v>
          </cell>
          <cell r="X2026">
            <v>0</v>
          </cell>
          <cell r="Y2026">
            <v>0</v>
          </cell>
          <cell r="Z2026">
            <v>0</v>
          </cell>
          <cell r="AA2026">
            <v>0</v>
          </cell>
          <cell r="AB2026">
            <v>0</v>
          </cell>
          <cell r="AC2026">
            <v>0</v>
          </cell>
          <cell r="AD2026">
            <v>0</v>
          </cell>
          <cell r="AI2026">
            <v>0</v>
          </cell>
          <cell r="AJ2026">
            <v>0</v>
          </cell>
          <cell r="AK2026">
            <v>0</v>
          </cell>
          <cell r="BB2026">
            <v>0</v>
          </cell>
          <cell r="BC2026">
            <v>0</v>
          </cell>
          <cell r="BD2026">
            <v>0</v>
          </cell>
          <cell r="BE2026">
            <v>0</v>
          </cell>
          <cell r="BI2026">
            <v>0</v>
          </cell>
          <cell r="BJ2026">
            <v>0</v>
          </cell>
          <cell r="BK2026">
            <v>0</v>
          </cell>
          <cell r="BL2026">
            <v>0</v>
          </cell>
          <cell r="BM2026">
            <v>0</v>
          </cell>
          <cell r="BN2026">
            <v>0</v>
          </cell>
          <cell r="BO2026">
            <v>0</v>
          </cell>
          <cell r="BP2026">
            <v>0</v>
          </cell>
          <cell r="BQ2026">
            <v>0</v>
          </cell>
          <cell r="BR2026">
            <v>0</v>
          </cell>
          <cell r="BT2026">
            <v>0</v>
          </cell>
          <cell r="CA2026" t="str">
            <v>GEINHM - REVTOT - Identified - Recompete</v>
          </cell>
          <cell r="CC2026" t="str">
            <v>GEINHM - REVTOT - Identified - Recompete - COMG</v>
          </cell>
          <cell r="CD2026" t="str">
            <v/>
          </cell>
          <cell r="CF2026" t="str">
            <v>GEINHM - Identified - Recompete - COMG</v>
          </cell>
        </row>
        <row r="2027">
          <cell r="D2027">
            <v>2013</v>
          </cell>
          <cell r="E2027">
            <v>2</v>
          </cell>
          <cell r="F2027">
            <v>3</v>
          </cell>
          <cell r="G2027" t="str">
            <v>GEINHM</v>
          </cell>
          <cell r="H2027" t="str">
            <v>GE Aviation Lafayette IN</v>
          </cell>
          <cell r="I2027" t="str">
            <v>COMG</v>
          </cell>
          <cell r="J2027" t="str">
            <v>Commercial O&amp;M</v>
          </cell>
          <cell r="K2027" t="str">
            <v>Commercial</v>
          </cell>
          <cell r="L2027" t="str">
            <v xml:space="preserve">Commercial </v>
          </cell>
          <cell r="M2027" t="str">
            <v>IN</v>
          </cell>
          <cell r="N2027" t="str">
            <v>CONUS</v>
          </cell>
          <cell r="O2027">
            <v>43586</v>
          </cell>
          <cell r="P2027">
            <v>44681</v>
          </cell>
          <cell r="Q2027" t="str">
            <v>Prime</v>
          </cell>
          <cell r="R2027" t="str">
            <v>T&amp;M</v>
          </cell>
          <cell r="S2027">
            <v>0</v>
          </cell>
          <cell r="T2027">
            <v>1</v>
          </cell>
          <cell r="U2027" t="str">
            <v>CONTRACT</v>
          </cell>
          <cell r="V2027" t="str">
            <v>Base</v>
          </cell>
          <cell r="W2027" t="str">
            <v>05 Won</v>
          </cell>
          <cell r="X2027" t="str">
            <v>Active</v>
          </cell>
          <cell r="Y2027">
            <v>1</v>
          </cell>
          <cell r="Z2027">
            <v>0</v>
          </cell>
          <cell r="AA2027">
            <v>1389436.3769230766</v>
          </cell>
          <cell r="AB2027">
            <v>4800000</v>
          </cell>
          <cell r="AC2027">
            <v>0</v>
          </cell>
          <cell r="AD2027">
            <v>6189436.3769230768</v>
          </cell>
          <cell r="AL2027">
            <v>0</v>
          </cell>
          <cell r="AM2027">
            <v>0</v>
          </cell>
          <cell r="AN2027">
            <v>0</v>
          </cell>
          <cell r="AO2027">
            <v>0.12514340493265186</v>
          </cell>
          <cell r="AP2027">
            <v>0.14029896225689903</v>
          </cell>
          <cell r="AQ2027">
            <v>0.14029896225689903</v>
          </cell>
          <cell r="AR2027">
            <v>0.14029896225689903</v>
          </cell>
          <cell r="AS2027">
            <v>0.14029896225689903</v>
          </cell>
          <cell r="BF2027">
            <v>0</v>
          </cell>
          <cell r="BG2027">
            <v>0</v>
          </cell>
          <cell r="BH2027">
            <v>0</v>
          </cell>
          <cell r="BI2027">
            <v>0</v>
          </cell>
          <cell r="BJ2027">
            <v>874.48999999999978</v>
          </cell>
          <cell r="BK2027">
            <v>42634.080000000009</v>
          </cell>
          <cell r="BL2027">
            <v>82956.802692923142</v>
          </cell>
          <cell r="BM2027">
            <v>126465.37269292315</v>
          </cell>
          <cell r="BN2027">
            <v>313925.66239999991</v>
          </cell>
          <cell r="BO2027">
            <v>313925.66239999991</v>
          </cell>
          <cell r="BP2027">
            <v>240520.17583740881</v>
          </cell>
          <cell r="BQ2027">
            <v>0</v>
          </cell>
          <cell r="BR2027">
            <v>994836.87333033187</v>
          </cell>
          <cell r="BT2027">
            <v>0</v>
          </cell>
          <cell r="CA2027" t="str">
            <v>GEINHM - CONTRACT - Base</v>
          </cell>
          <cell r="CC2027" t="str">
            <v>GEINHM - CONTRACT - Base - COMG</v>
          </cell>
          <cell r="CD2027" t="str">
            <v/>
          </cell>
          <cell r="CF2027" t="str">
            <v>GEINHM - Base - COMG</v>
          </cell>
        </row>
        <row r="2028">
          <cell r="D2028">
            <v>2014</v>
          </cell>
          <cell r="E2028">
            <v>2</v>
          </cell>
          <cell r="F2028">
            <v>4</v>
          </cell>
          <cell r="G2028" t="str">
            <v>GEINHM</v>
          </cell>
          <cell r="H2028" t="str">
            <v>GE Aviation Lafayette IN</v>
          </cell>
          <cell r="I2028" t="str">
            <v>COMG</v>
          </cell>
          <cell r="J2028" t="str">
            <v>Commercial O&amp;M</v>
          </cell>
          <cell r="K2028" t="str">
            <v>Commercial</v>
          </cell>
          <cell r="L2028" t="str">
            <v xml:space="preserve">Commercial </v>
          </cell>
          <cell r="M2028" t="str">
            <v>IN</v>
          </cell>
          <cell r="N2028" t="str">
            <v>CONUS</v>
          </cell>
          <cell r="O2028">
            <v>0</v>
          </cell>
          <cell r="P2028">
            <v>0</v>
          </cell>
          <cell r="Q2028">
            <v>0</v>
          </cell>
          <cell r="R2028" t="str">
            <v>T&amp;M</v>
          </cell>
          <cell r="S2028">
            <v>0</v>
          </cell>
          <cell r="T2028">
            <v>1</v>
          </cell>
          <cell r="U2028" t="str">
            <v>CONTRACT</v>
          </cell>
          <cell r="V2028" t="str">
            <v>Identified - Recompete</v>
          </cell>
          <cell r="W2028">
            <v>0</v>
          </cell>
          <cell r="X2028">
            <v>0</v>
          </cell>
          <cell r="Y2028">
            <v>0</v>
          </cell>
          <cell r="Z2028">
            <v>0</v>
          </cell>
          <cell r="AA2028">
            <v>0</v>
          </cell>
          <cell r="AB2028">
            <v>0</v>
          </cell>
          <cell r="AC2028">
            <v>0</v>
          </cell>
          <cell r="AD2028">
            <v>0</v>
          </cell>
          <cell r="AP2028">
            <v>0</v>
          </cell>
          <cell r="AQ2028">
            <v>0</v>
          </cell>
          <cell r="AR2028">
            <v>0</v>
          </cell>
          <cell r="AS2028">
            <v>0</v>
          </cell>
          <cell r="BI2028">
            <v>0</v>
          </cell>
          <cell r="BJ2028">
            <v>0</v>
          </cell>
          <cell r="BK2028">
            <v>0</v>
          </cell>
          <cell r="BL2028">
            <v>0</v>
          </cell>
          <cell r="BM2028">
            <v>0</v>
          </cell>
          <cell r="BN2028">
            <v>0</v>
          </cell>
          <cell r="BO2028">
            <v>0</v>
          </cell>
          <cell r="BP2028">
            <v>0</v>
          </cell>
          <cell r="BQ2028">
            <v>0</v>
          </cell>
          <cell r="BR2028">
            <v>0</v>
          </cell>
          <cell r="BT2028">
            <v>0</v>
          </cell>
          <cell r="CA2028" t="str">
            <v>GEINHM - CONTRACT - Identified - Recompete</v>
          </cell>
          <cell r="CC2028" t="str">
            <v>GEINHM - CONTRACT - Identified - Recompete - COMG</v>
          </cell>
          <cell r="CD2028" t="str">
            <v/>
          </cell>
          <cell r="CF2028" t="str">
            <v>GEINHM - Identified - Recompete - COMG</v>
          </cell>
        </row>
        <row r="2029">
          <cell r="D2029">
            <v>2015</v>
          </cell>
          <cell r="E2029">
            <v>0</v>
          </cell>
          <cell r="F2029">
            <v>5</v>
          </cell>
          <cell r="G2029" t="str">
            <v>GEINHM</v>
          </cell>
          <cell r="H2029" t="str">
            <v>GE Aviation Lafayette IN</v>
          </cell>
          <cell r="I2029" t="str">
            <v>COMG</v>
          </cell>
          <cell r="J2029" t="str">
            <v>Commercial O&amp;M</v>
          </cell>
          <cell r="K2029" t="str">
            <v>Commercial</v>
          </cell>
          <cell r="L2029" t="str">
            <v xml:space="preserve">Commercial </v>
          </cell>
          <cell r="M2029" t="str">
            <v>IN</v>
          </cell>
          <cell r="N2029" t="str">
            <v>CONUS</v>
          </cell>
          <cell r="O2029">
            <v>43586</v>
          </cell>
          <cell r="P2029">
            <v>44681</v>
          </cell>
          <cell r="Q2029" t="str">
            <v>Prime</v>
          </cell>
          <cell r="R2029" t="str">
            <v>T&amp;M</v>
          </cell>
          <cell r="S2029">
            <v>0</v>
          </cell>
          <cell r="T2029">
            <v>1</v>
          </cell>
          <cell r="U2029" t="str">
            <v>EBITA</v>
          </cell>
          <cell r="V2029" t="str">
            <v>Base</v>
          </cell>
          <cell r="W2029" t="str">
            <v>05 Won</v>
          </cell>
          <cell r="X2029" t="str">
            <v>Active</v>
          </cell>
          <cell r="Y2029">
            <v>1</v>
          </cell>
          <cell r="Z2029">
            <v>0</v>
          </cell>
          <cell r="AA2029">
            <v>1389436.3769230766</v>
          </cell>
          <cell r="AB2029">
            <v>4800000</v>
          </cell>
          <cell r="AC2029">
            <v>0</v>
          </cell>
          <cell r="AD2029">
            <v>6189436.3769230768</v>
          </cell>
          <cell r="AT2029">
            <v>0</v>
          </cell>
          <cell r="AU2029">
            <v>0</v>
          </cell>
          <cell r="AV2029">
            <v>0</v>
          </cell>
          <cell r="AW2029">
            <v>4.3392854469769274E-2</v>
          </cell>
          <cell r="AX2029">
            <v>6.3284720594376426E-2</v>
          </cell>
          <cell r="AY2029">
            <v>6.4284720594376427E-2</v>
          </cell>
          <cell r="AZ2029">
            <v>6.5284720594376427E-2</v>
          </cell>
          <cell r="BA2029">
            <v>6.6284720594376428E-2</v>
          </cell>
          <cell r="BF2029">
            <v>0</v>
          </cell>
          <cell r="BG2029">
            <v>0</v>
          </cell>
          <cell r="BH2029">
            <v>0</v>
          </cell>
          <cell r="BI2029">
            <v>0</v>
          </cell>
          <cell r="BJ2029">
            <v>0</v>
          </cell>
          <cell r="BK2029">
            <v>8046.5900000000111</v>
          </cell>
          <cell r="BL2029">
            <v>35804.650228619685</v>
          </cell>
          <cell r="BM2029">
            <v>43851.240228619696</v>
          </cell>
          <cell r="BN2029">
            <v>141602.59999650577</v>
          </cell>
          <cell r="BO2029">
            <v>143840.14799650578</v>
          </cell>
          <cell r="BP2029">
            <v>111920.23251108103</v>
          </cell>
          <cell r="BQ2029">
            <v>0</v>
          </cell>
          <cell r="BR2029">
            <v>441214.2207327123</v>
          </cell>
          <cell r="BT2029">
            <v>0</v>
          </cell>
          <cell r="CA2029" t="str">
            <v>GEINHM - EBITA - Base</v>
          </cell>
          <cell r="CC2029" t="str">
            <v>GEINHM - EBITA - Base - COMG</v>
          </cell>
          <cell r="CD2029" t="str">
            <v/>
          </cell>
          <cell r="CF2029" t="str">
            <v>GEINHM - Base - COMG</v>
          </cell>
        </row>
        <row r="2030">
          <cell r="D2030">
            <v>2016</v>
          </cell>
          <cell r="E2030">
            <v>0</v>
          </cell>
          <cell r="F2030">
            <v>0</v>
          </cell>
          <cell r="G2030" t="str">
            <v>GEINHM</v>
          </cell>
          <cell r="H2030" t="str">
            <v>GE Aviation Lafayette IN</v>
          </cell>
          <cell r="I2030" t="str">
            <v>COMG</v>
          </cell>
          <cell r="J2030" t="str">
            <v>Commercial O&amp;M</v>
          </cell>
          <cell r="K2030" t="str">
            <v>Commercial</v>
          </cell>
          <cell r="L2030" t="str">
            <v xml:space="preserve">Commercial </v>
          </cell>
          <cell r="M2030" t="str">
            <v>IN</v>
          </cell>
          <cell r="N2030" t="str">
            <v>CONUS</v>
          </cell>
          <cell r="O2030">
            <v>0</v>
          </cell>
          <cell r="P2030">
            <v>0</v>
          </cell>
          <cell r="Q2030">
            <v>0</v>
          </cell>
          <cell r="R2030" t="str">
            <v>T&amp;M</v>
          </cell>
          <cell r="S2030">
            <v>0</v>
          </cell>
          <cell r="T2030">
            <v>1</v>
          </cell>
          <cell r="U2030" t="str">
            <v>EBITA</v>
          </cell>
          <cell r="V2030" t="str">
            <v>Identified - Recompete</v>
          </cell>
          <cell r="W2030">
            <v>0</v>
          </cell>
          <cell r="X2030">
            <v>0</v>
          </cell>
          <cell r="Y2030">
            <v>0</v>
          </cell>
          <cell r="Z2030">
            <v>0</v>
          </cell>
          <cell r="AA2030">
            <v>0</v>
          </cell>
          <cell r="AB2030">
            <v>0</v>
          </cell>
          <cell r="AC2030">
            <v>0</v>
          </cell>
          <cell r="AD2030">
            <v>0</v>
          </cell>
          <cell r="AX2030">
            <v>0</v>
          </cell>
          <cell r="AY2030">
            <v>0</v>
          </cell>
          <cell r="AZ2030">
            <v>0</v>
          </cell>
          <cell r="BA2030">
            <v>0</v>
          </cell>
          <cell r="BI2030">
            <v>0</v>
          </cell>
          <cell r="BJ2030">
            <v>0</v>
          </cell>
          <cell r="BK2030">
            <v>0</v>
          </cell>
          <cell r="BL2030">
            <v>0</v>
          </cell>
          <cell r="BM2030">
            <v>0</v>
          </cell>
          <cell r="BN2030">
            <v>0</v>
          </cell>
          <cell r="BO2030">
            <v>0</v>
          </cell>
          <cell r="BP2030">
            <v>0</v>
          </cell>
          <cell r="BQ2030">
            <v>0</v>
          </cell>
          <cell r="BR2030">
            <v>0</v>
          </cell>
          <cell r="BT2030">
            <v>0</v>
          </cell>
          <cell r="CA2030" t="str">
            <v>GEINHM - EBITA - Identified - Recompete</v>
          </cell>
          <cell r="CC2030" t="str">
            <v>GEINHM - EBITA - Identified - Recompete - COMG</v>
          </cell>
          <cell r="CD2030" t="str">
            <v/>
          </cell>
          <cell r="CF2030" t="str">
            <v>GEINHM - Identified - Recompete - COMG</v>
          </cell>
        </row>
        <row r="2031">
          <cell r="D2031">
            <v>2017</v>
          </cell>
          <cell r="E2031">
            <v>1</v>
          </cell>
          <cell r="F2031">
            <v>1</v>
          </cell>
          <cell r="G2031" t="str">
            <v>20140X</v>
          </cell>
          <cell r="H2031" t="str">
            <v>Exxon</v>
          </cell>
          <cell r="I2031" t="str">
            <v>COMG</v>
          </cell>
          <cell r="J2031" t="str">
            <v>Commercial O&amp;M</v>
          </cell>
          <cell r="K2031" t="str">
            <v>Commercial</v>
          </cell>
          <cell r="L2031" t="str">
            <v xml:space="preserve">Commercial </v>
          </cell>
          <cell r="M2031" t="str">
            <v>CA</v>
          </cell>
          <cell r="N2031" t="str">
            <v>CONUS</v>
          </cell>
          <cell r="O2031">
            <v>40544</v>
          </cell>
          <cell r="P2031">
            <v>44227</v>
          </cell>
          <cell r="Q2031" t="str">
            <v>Prime</v>
          </cell>
          <cell r="R2031" t="str">
            <v>T&amp;M</v>
          </cell>
          <cell r="S2031">
            <v>0</v>
          </cell>
          <cell r="T2031">
            <v>1</v>
          </cell>
          <cell r="U2031" t="str">
            <v>REVTOT</v>
          </cell>
          <cell r="V2031" t="str">
            <v>Base</v>
          </cell>
          <cell r="W2031" t="str">
            <v>05 Won</v>
          </cell>
          <cell r="X2031" t="str">
            <v>Active</v>
          </cell>
          <cell r="Y2031">
            <v>1</v>
          </cell>
          <cell r="Z2031">
            <v>0</v>
          </cell>
          <cell r="AA2031">
            <v>2591433.35</v>
          </cell>
          <cell r="AB2031">
            <v>0</v>
          </cell>
          <cell r="AC2031">
            <v>0</v>
          </cell>
          <cell r="AD2031">
            <v>2591433.35</v>
          </cell>
          <cell r="AE2031">
            <v>-0.30909172660837736</v>
          </cell>
          <cell r="AF2031">
            <v>8.6177441522573561E-2</v>
          </cell>
          <cell r="AG2031">
            <v>8.278157217579496E-2</v>
          </cell>
          <cell r="AH2031">
            <v>-1.3671478828706007E-2</v>
          </cell>
          <cell r="AI2031">
            <v>0</v>
          </cell>
          <cell r="AJ2031">
            <v>0</v>
          </cell>
          <cell r="AK2031">
            <v>0</v>
          </cell>
          <cell r="BB2031">
            <v>1332936.1599999999</v>
          </cell>
          <cell r="BC2031">
            <v>1332936.1599999999</v>
          </cell>
          <cell r="BD2031">
            <v>1332936.1599999999</v>
          </cell>
          <cell r="BE2031">
            <v>1332936.1599999999</v>
          </cell>
          <cell r="BF2031">
            <v>1663128.21</v>
          </cell>
          <cell r="BG2031">
            <v>1149069.04</v>
          </cell>
          <cell r="BH2031">
            <v>1248092.8699999999</v>
          </cell>
          <cell r="BI2031">
            <v>340205.04</v>
          </cell>
          <cell r="BJ2031">
            <v>315436.16000000003</v>
          </cell>
          <cell r="BK2031">
            <v>333300.95999999996</v>
          </cell>
          <cell r="BL2031">
            <v>362469.8</v>
          </cell>
          <cell r="BM2031">
            <v>1351411.96</v>
          </cell>
          <cell r="BN2031">
            <v>1332936.1599999999</v>
          </cell>
          <cell r="BO2031">
            <v>1258497.1900000002</v>
          </cell>
          <cell r="BP2031">
            <v>0</v>
          </cell>
          <cell r="BQ2031">
            <v>0</v>
          </cell>
          <cell r="BR2031">
            <v>3942845.3100000005</v>
          </cell>
          <cell r="BT2031">
            <v>0</v>
          </cell>
          <cell r="CA2031" t="str">
            <v>20140X - REVTOT - Base</v>
          </cell>
          <cell r="CC2031" t="str">
            <v>20140X - REVTOT - Base - COMG</v>
          </cell>
          <cell r="CD2031" t="str">
            <v/>
          </cell>
          <cell r="CF2031" t="str">
            <v>20140X - Base - COMG</v>
          </cell>
        </row>
        <row r="2032">
          <cell r="D2032">
            <v>2018</v>
          </cell>
          <cell r="E2032">
            <v>1</v>
          </cell>
          <cell r="F2032">
            <v>2</v>
          </cell>
          <cell r="G2032" t="str">
            <v>20140X</v>
          </cell>
          <cell r="H2032" t="str">
            <v>Exxon</v>
          </cell>
          <cell r="I2032" t="str">
            <v>COMG</v>
          </cell>
          <cell r="J2032" t="str">
            <v>Commercial O&amp;M</v>
          </cell>
          <cell r="K2032" t="str">
            <v>Commercial</v>
          </cell>
          <cell r="L2032" t="str">
            <v xml:space="preserve">Commercial </v>
          </cell>
          <cell r="M2032" t="str">
            <v>CA</v>
          </cell>
          <cell r="N2032" t="str">
            <v>CONUS</v>
          </cell>
          <cell r="O2032">
            <v>0</v>
          </cell>
          <cell r="P2032">
            <v>0</v>
          </cell>
          <cell r="Q2032">
            <v>0</v>
          </cell>
          <cell r="R2032" t="str">
            <v>T&amp;M</v>
          </cell>
          <cell r="S2032">
            <v>0</v>
          </cell>
          <cell r="T2032">
            <v>1</v>
          </cell>
          <cell r="U2032" t="str">
            <v>REVTOT</v>
          </cell>
          <cell r="V2032" t="str">
            <v>Identified - Recompete</v>
          </cell>
          <cell r="W2032">
            <v>0</v>
          </cell>
          <cell r="X2032">
            <v>0</v>
          </cell>
          <cell r="Y2032">
            <v>0</v>
          </cell>
          <cell r="Z2032">
            <v>0</v>
          </cell>
          <cell r="AA2032">
            <v>0</v>
          </cell>
          <cell r="AB2032">
            <v>0</v>
          </cell>
          <cell r="AC2032">
            <v>0</v>
          </cell>
          <cell r="AD2032">
            <v>0</v>
          </cell>
          <cell r="AI2032">
            <v>0</v>
          </cell>
          <cell r="AJ2032">
            <v>0</v>
          </cell>
          <cell r="AK2032">
            <v>0</v>
          </cell>
          <cell r="BB2032">
            <v>0</v>
          </cell>
          <cell r="BC2032">
            <v>0</v>
          </cell>
          <cell r="BD2032">
            <v>0</v>
          </cell>
          <cell r="BE2032">
            <v>0</v>
          </cell>
          <cell r="BI2032">
            <v>0</v>
          </cell>
          <cell r="BJ2032">
            <v>0</v>
          </cell>
          <cell r="BK2032">
            <v>0</v>
          </cell>
          <cell r="BL2032">
            <v>0</v>
          </cell>
          <cell r="BM2032">
            <v>0</v>
          </cell>
          <cell r="BN2032">
            <v>0</v>
          </cell>
          <cell r="BO2032">
            <v>0</v>
          </cell>
          <cell r="BP2032">
            <v>0</v>
          </cell>
          <cell r="BQ2032">
            <v>0</v>
          </cell>
          <cell r="BR2032">
            <v>0</v>
          </cell>
          <cell r="BT2032">
            <v>0</v>
          </cell>
          <cell r="CA2032" t="str">
            <v>20140X - REVTOT - Identified - Recompete</v>
          </cell>
          <cell r="CC2032" t="str">
            <v>20140X - REVTOT - Identified - Recompete - COMG</v>
          </cell>
          <cell r="CD2032" t="str">
            <v/>
          </cell>
          <cell r="CF2032" t="str">
            <v>20140X - Identified - Recompete - COMG</v>
          </cell>
        </row>
        <row r="2033">
          <cell r="D2033">
            <v>2019</v>
          </cell>
          <cell r="E2033">
            <v>2</v>
          </cell>
          <cell r="F2033">
            <v>3</v>
          </cell>
          <cell r="G2033" t="str">
            <v>20140X</v>
          </cell>
          <cell r="H2033" t="str">
            <v>Exxon</v>
          </cell>
          <cell r="I2033" t="str">
            <v>COMG</v>
          </cell>
          <cell r="J2033" t="str">
            <v>Commercial O&amp;M</v>
          </cell>
          <cell r="K2033" t="str">
            <v>Commercial</v>
          </cell>
          <cell r="L2033" t="str">
            <v xml:space="preserve">Commercial </v>
          </cell>
          <cell r="M2033" t="str">
            <v>CA</v>
          </cell>
          <cell r="N2033" t="str">
            <v>CONUS</v>
          </cell>
          <cell r="O2033">
            <v>40544</v>
          </cell>
          <cell r="P2033">
            <v>44227</v>
          </cell>
          <cell r="Q2033" t="str">
            <v>Prime</v>
          </cell>
          <cell r="R2033" t="str">
            <v>T&amp;M</v>
          </cell>
          <cell r="S2033">
            <v>0</v>
          </cell>
          <cell r="T2033">
            <v>1</v>
          </cell>
          <cell r="U2033" t="str">
            <v>CONTRACT</v>
          </cell>
          <cell r="V2033" t="str">
            <v>Base</v>
          </cell>
          <cell r="W2033" t="str">
            <v>05 Won</v>
          </cell>
          <cell r="X2033" t="str">
            <v>Active</v>
          </cell>
          <cell r="Y2033">
            <v>1</v>
          </cell>
          <cell r="Z2033">
            <v>0</v>
          </cell>
          <cell r="AA2033">
            <v>2591433.35</v>
          </cell>
          <cell r="AB2033">
            <v>0</v>
          </cell>
          <cell r="AC2033">
            <v>0</v>
          </cell>
          <cell r="AD2033">
            <v>2591433.35</v>
          </cell>
          <cell r="AL2033">
            <v>9.0931287853027259E-2</v>
          </cell>
          <cell r="AM2033">
            <v>0.11474301840035653</v>
          </cell>
          <cell r="AN2033">
            <v>0.1392926473492313</v>
          </cell>
          <cell r="AO2033">
            <v>0.13944670875933346</v>
          </cell>
          <cell r="AP2033">
            <v>0.14403504422297311</v>
          </cell>
          <cell r="AQ2033">
            <v>0.14403504422297311</v>
          </cell>
          <cell r="AR2033">
            <v>0.14403504422297311</v>
          </cell>
          <cell r="AS2033">
            <v>0.14403504422297311</v>
          </cell>
          <cell r="BF2033">
            <v>151230.38999999996</v>
          </cell>
          <cell r="BG2033">
            <v>131847.65000000002</v>
          </cell>
          <cell r="BH2033">
            <v>173850.15999999997</v>
          </cell>
          <cell r="BI2033">
            <v>46722.51999999999</v>
          </cell>
          <cell r="BJ2033">
            <v>39918.460000000021</v>
          </cell>
          <cell r="BK2033">
            <v>44938.44</v>
          </cell>
          <cell r="BL2033">
            <v>56870.53</v>
          </cell>
          <cell r="BM2033">
            <v>188449.95</v>
          </cell>
          <cell r="BN2033">
            <v>191989.51875199995</v>
          </cell>
          <cell r="BO2033">
            <v>181267.69841613743</v>
          </cell>
          <cell r="BP2033">
            <v>0</v>
          </cell>
          <cell r="BQ2033">
            <v>0</v>
          </cell>
          <cell r="BR2033">
            <v>561707.16716813738</v>
          </cell>
          <cell r="BT2033">
            <v>0</v>
          </cell>
          <cell r="CA2033" t="str">
            <v>20140X - CONTRACT - Base</v>
          </cell>
          <cell r="CC2033" t="str">
            <v>20140X - CONTRACT - Base - COMG</v>
          </cell>
          <cell r="CD2033" t="str">
            <v/>
          </cell>
          <cell r="CF2033" t="str">
            <v>20140X - Base - COMG</v>
          </cell>
        </row>
        <row r="2034">
          <cell r="D2034">
            <v>2020</v>
          </cell>
          <cell r="E2034">
            <v>2</v>
          </cell>
          <cell r="F2034">
            <v>4</v>
          </cell>
          <cell r="G2034" t="str">
            <v>20140X</v>
          </cell>
          <cell r="H2034" t="str">
            <v>Exxon</v>
          </cell>
          <cell r="I2034" t="str">
            <v>COMG</v>
          </cell>
          <cell r="J2034" t="str">
            <v>Commercial O&amp;M</v>
          </cell>
          <cell r="K2034" t="str">
            <v>Commercial</v>
          </cell>
          <cell r="L2034" t="str">
            <v xml:space="preserve">Commercial </v>
          </cell>
          <cell r="M2034" t="str">
            <v>CA</v>
          </cell>
          <cell r="N2034" t="str">
            <v>CONUS</v>
          </cell>
          <cell r="O2034">
            <v>0</v>
          </cell>
          <cell r="P2034">
            <v>0</v>
          </cell>
          <cell r="Q2034">
            <v>0</v>
          </cell>
          <cell r="R2034" t="str">
            <v>T&amp;M</v>
          </cell>
          <cell r="S2034">
            <v>0</v>
          </cell>
          <cell r="T2034">
            <v>1</v>
          </cell>
          <cell r="U2034" t="str">
            <v>CONTRACT</v>
          </cell>
          <cell r="V2034" t="str">
            <v>Identified - Recompete</v>
          </cell>
          <cell r="W2034">
            <v>0</v>
          </cell>
          <cell r="X2034">
            <v>0</v>
          </cell>
          <cell r="Y2034">
            <v>0</v>
          </cell>
          <cell r="Z2034">
            <v>0</v>
          </cell>
          <cell r="AA2034">
            <v>0</v>
          </cell>
          <cell r="AB2034">
            <v>0</v>
          </cell>
          <cell r="AC2034">
            <v>0</v>
          </cell>
          <cell r="AD2034">
            <v>0</v>
          </cell>
          <cell r="AP2034">
            <v>0</v>
          </cell>
          <cell r="AQ2034">
            <v>0</v>
          </cell>
          <cell r="AR2034">
            <v>0</v>
          </cell>
          <cell r="AS2034">
            <v>0</v>
          </cell>
          <cell r="BI2034">
            <v>0</v>
          </cell>
          <cell r="BJ2034">
            <v>0</v>
          </cell>
          <cell r="BK2034">
            <v>0</v>
          </cell>
          <cell r="BL2034">
            <v>0</v>
          </cell>
          <cell r="BM2034">
            <v>0</v>
          </cell>
          <cell r="BN2034">
            <v>0</v>
          </cell>
          <cell r="BO2034">
            <v>0</v>
          </cell>
          <cell r="BP2034">
            <v>0</v>
          </cell>
          <cell r="BQ2034">
            <v>0</v>
          </cell>
          <cell r="BR2034">
            <v>0</v>
          </cell>
          <cell r="BT2034">
            <v>0</v>
          </cell>
          <cell r="CA2034" t="str">
            <v>20140X - CONTRACT - Identified - Recompete</v>
          </cell>
          <cell r="CC2034" t="str">
            <v>20140X - CONTRACT - Identified - Recompete - COMG</v>
          </cell>
          <cell r="CD2034" t="str">
            <v/>
          </cell>
          <cell r="CF2034" t="str">
            <v>20140X - Identified - Recompete - COMG</v>
          </cell>
        </row>
        <row r="2035">
          <cell r="D2035">
            <v>2021</v>
          </cell>
          <cell r="E2035">
            <v>0</v>
          </cell>
          <cell r="F2035">
            <v>5</v>
          </cell>
          <cell r="G2035" t="str">
            <v>20140X</v>
          </cell>
          <cell r="H2035" t="str">
            <v>Exxon</v>
          </cell>
          <cell r="I2035" t="str">
            <v>COMG</v>
          </cell>
          <cell r="J2035" t="str">
            <v>Commercial O&amp;M</v>
          </cell>
          <cell r="K2035" t="str">
            <v>Commercial</v>
          </cell>
          <cell r="L2035" t="str">
            <v xml:space="preserve">Commercial </v>
          </cell>
          <cell r="M2035" t="str">
            <v>CA</v>
          </cell>
          <cell r="N2035" t="str">
            <v>CONUS</v>
          </cell>
          <cell r="O2035">
            <v>40544</v>
          </cell>
          <cell r="P2035">
            <v>44227</v>
          </cell>
          <cell r="Q2035" t="str">
            <v>Prime</v>
          </cell>
          <cell r="R2035" t="str">
            <v>T&amp;M</v>
          </cell>
          <cell r="S2035">
            <v>0</v>
          </cell>
          <cell r="T2035">
            <v>1</v>
          </cell>
          <cell r="U2035" t="str">
            <v>EBITA</v>
          </cell>
          <cell r="V2035" t="str">
            <v>Base</v>
          </cell>
          <cell r="W2035" t="str">
            <v>05 Won</v>
          </cell>
          <cell r="X2035" t="str">
            <v>Active</v>
          </cell>
          <cell r="Y2035">
            <v>1</v>
          </cell>
          <cell r="Z2035">
            <v>0</v>
          </cell>
          <cell r="AA2035">
            <v>2591433.35</v>
          </cell>
          <cell r="AB2035">
            <v>0</v>
          </cell>
          <cell r="AC2035">
            <v>0</v>
          </cell>
          <cell r="AD2035">
            <v>2591433.35</v>
          </cell>
          <cell r="AT2035">
            <v>9.0931287853027259E-2</v>
          </cell>
          <cell r="AU2035">
            <v>9.6568314119750392E-2</v>
          </cell>
          <cell r="AV2035">
            <v>5.7900915658624007E-2</v>
          </cell>
          <cell r="AW2035">
            <v>6.4646852762794874E-2</v>
          </cell>
          <cell r="AX2035">
            <v>6.6990146076981241E-2</v>
          </cell>
          <cell r="AY2035">
            <v>6.7990146076981242E-2</v>
          </cell>
          <cell r="AZ2035">
            <v>6.8990146076981243E-2</v>
          </cell>
          <cell r="BA2035">
            <v>6.9990146076981244E-2</v>
          </cell>
          <cell r="BF2035">
            <v>151230.38999999996</v>
          </cell>
          <cell r="BG2035">
            <v>110963.66000000003</v>
          </cell>
          <cell r="BH2035">
            <v>72265.719999999972</v>
          </cell>
          <cell r="BI2035">
            <v>22408.429999999993</v>
          </cell>
          <cell r="BJ2035">
            <v>16295.790000000019</v>
          </cell>
          <cell r="BK2035">
            <v>20335.210000000003</v>
          </cell>
          <cell r="BL2035">
            <v>28325.1</v>
          </cell>
          <cell r="BM2035">
            <v>87364.530000000028</v>
          </cell>
          <cell r="BN2035">
            <v>89293.588069690435</v>
          </cell>
          <cell r="BO2035">
            <v>85565.407785570424</v>
          </cell>
          <cell r="BP2035">
            <v>0</v>
          </cell>
          <cell r="BQ2035">
            <v>0</v>
          </cell>
          <cell r="BR2035">
            <v>262223.5258552609</v>
          </cell>
          <cell r="BT2035">
            <v>0</v>
          </cell>
          <cell r="CA2035" t="str">
            <v>20140X - EBITA - Base</v>
          </cell>
          <cell r="CC2035" t="str">
            <v>20140X - EBITA - Base - COMG</v>
          </cell>
          <cell r="CD2035" t="str">
            <v/>
          </cell>
          <cell r="CF2035" t="str">
            <v>20140X - Base - COMG</v>
          </cell>
        </row>
        <row r="2036">
          <cell r="D2036">
            <v>2022</v>
          </cell>
          <cell r="E2036">
            <v>0</v>
          </cell>
          <cell r="F2036">
            <v>0</v>
          </cell>
          <cell r="G2036" t="str">
            <v>20140X</v>
          </cell>
          <cell r="H2036" t="str">
            <v>Exxon</v>
          </cell>
          <cell r="I2036" t="str">
            <v>COMG</v>
          </cell>
          <cell r="J2036" t="str">
            <v>Commercial O&amp;M</v>
          </cell>
          <cell r="K2036" t="str">
            <v>Commercial</v>
          </cell>
          <cell r="L2036" t="str">
            <v xml:space="preserve">Commercial </v>
          </cell>
          <cell r="M2036" t="str">
            <v>CA</v>
          </cell>
          <cell r="N2036" t="str">
            <v>CONUS</v>
          </cell>
          <cell r="O2036">
            <v>0</v>
          </cell>
          <cell r="P2036">
            <v>0</v>
          </cell>
          <cell r="Q2036">
            <v>0</v>
          </cell>
          <cell r="R2036" t="str">
            <v>T&amp;M</v>
          </cell>
          <cell r="S2036">
            <v>0</v>
          </cell>
          <cell r="T2036">
            <v>1</v>
          </cell>
          <cell r="U2036" t="str">
            <v>EBITA</v>
          </cell>
          <cell r="V2036" t="str">
            <v>Identified - Recompete</v>
          </cell>
          <cell r="W2036">
            <v>0</v>
          </cell>
          <cell r="X2036">
            <v>0</v>
          </cell>
          <cell r="Y2036">
            <v>0</v>
          </cell>
          <cell r="Z2036">
            <v>0</v>
          </cell>
          <cell r="AA2036">
            <v>0</v>
          </cell>
          <cell r="AB2036">
            <v>0</v>
          </cell>
          <cell r="AC2036">
            <v>0</v>
          </cell>
          <cell r="AD2036">
            <v>0</v>
          </cell>
          <cell r="AX2036">
            <v>0</v>
          </cell>
          <cell r="AY2036">
            <v>0</v>
          </cell>
          <cell r="AZ2036">
            <v>0</v>
          </cell>
          <cell r="BA2036">
            <v>0</v>
          </cell>
          <cell r="BI2036">
            <v>0</v>
          </cell>
          <cell r="BJ2036">
            <v>0</v>
          </cell>
          <cell r="BK2036">
            <v>0</v>
          </cell>
          <cell r="BL2036">
            <v>0</v>
          </cell>
          <cell r="BM2036">
            <v>0</v>
          </cell>
          <cell r="BN2036">
            <v>0</v>
          </cell>
          <cell r="BO2036">
            <v>0</v>
          </cell>
          <cell r="BP2036">
            <v>0</v>
          </cell>
          <cell r="BQ2036">
            <v>0</v>
          </cell>
          <cell r="BR2036">
            <v>0</v>
          </cell>
          <cell r="BT2036">
            <v>0</v>
          </cell>
          <cell r="CA2036" t="str">
            <v>20140X - EBITA - Identified - Recompete</v>
          </cell>
          <cell r="CC2036" t="str">
            <v>20140X - EBITA - Identified - Recompete - COMG</v>
          </cell>
          <cell r="CD2036" t="str">
            <v/>
          </cell>
          <cell r="CF2036" t="str">
            <v>20140X - Identified - Recompete - COMG</v>
          </cell>
        </row>
        <row r="2037">
          <cell r="D2037">
            <v>2023</v>
          </cell>
          <cell r="E2037">
            <v>1</v>
          </cell>
          <cell r="F2037">
            <v>1</v>
          </cell>
          <cell r="G2037" t="str">
            <v>30860X</v>
          </cell>
          <cell r="H2037" t="str">
            <v>Pratt &amp; Whitney FM Services</v>
          </cell>
          <cell r="I2037" t="str">
            <v>COMG</v>
          </cell>
          <cell r="J2037" t="str">
            <v>Commercial O&amp;M</v>
          </cell>
          <cell r="K2037" t="str">
            <v>Commercial</v>
          </cell>
          <cell r="L2037" t="str">
            <v xml:space="preserve">Commercial </v>
          </cell>
          <cell r="M2037" t="str">
            <v>GA</v>
          </cell>
          <cell r="N2037" t="str">
            <v>CONUS</v>
          </cell>
          <cell r="O2037">
            <v>43101</v>
          </cell>
          <cell r="P2037">
            <v>44196</v>
          </cell>
          <cell r="Q2037" t="str">
            <v>Prime</v>
          </cell>
          <cell r="R2037" t="str">
            <v>CPNF</v>
          </cell>
          <cell r="S2037">
            <v>0</v>
          </cell>
          <cell r="T2037">
            <v>1</v>
          </cell>
          <cell r="U2037" t="str">
            <v>REVTOT</v>
          </cell>
          <cell r="V2037" t="str">
            <v>Base</v>
          </cell>
          <cell r="W2037" t="str">
            <v>05 Won</v>
          </cell>
          <cell r="X2037" t="str">
            <v>Active</v>
          </cell>
          <cell r="Y2037">
            <v>1</v>
          </cell>
          <cell r="Z2037">
            <v>0</v>
          </cell>
          <cell r="AA2037">
            <v>856599.46999999671</v>
          </cell>
          <cell r="AB2037">
            <v>0</v>
          </cell>
          <cell r="AC2037">
            <v>0</v>
          </cell>
          <cell r="AD2037">
            <v>856599.46999999671</v>
          </cell>
          <cell r="AE2037">
            <v>-9.7599673368690132E-3</v>
          </cell>
          <cell r="AF2037">
            <v>-0.36501975885507976</v>
          </cell>
          <cell r="AG2037">
            <v>-0.79918665601853889</v>
          </cell>
          <cell r="AH2037">
            <v>-0.39007292300049901</v>
          </cell>
          <cell r="AI2037">
            <v>0</v>
          </cell>
          <cell r="AJ2037">
            <v>0</v>
          </cell>
          <cell r="AK2037">
            <v>0</v>
          </cell>
          <cell r="BB2037">
            <v>1239787</v>
          </cell>
          <cell r="BC2037">
            <v>1239787</v>
          </cell>
          <cell r="BD2037">
            <v>1239787</v>
          </cell>
          <cell r="BE2037">
            <v>1239787</v>
          </cell>
          <cell r="BF2037">
            <v>11122607.92</v>
          </cell>
          <cell r="BG2037">
            <v>11014051.629999999</v>
          </cell>
          <cell r="BH2037">
            <v>6993705.1600000011</v>
          </cell>
          <cell r="BI2037">
            <v>484313.72000000003</v>
          </cell>
          <cell r="BJ2037">
            <v>305523.49</v>
          </cell>
          <cell r="BK2037">
            <v>254618.11000000002</v>
          </cell>
          <cell r="BL2037">
            <v>359974</v>
          </cell>
          <cell r="BM2037">
            <v>1404429.3199999998</v>
          </cell>
          <cell r="BN2037">
            <v>856599.46999999671</v>
          </cell>
          <cell r="BO2037">
            <v>0</v>
          </cell>
          <cell r="BP2037">
            <v>0</v>
          </cell>
          <cell r="BQ2037">
            <v>0</v>
          </cell>
          <cell r="BR2037">
            <v>2261028.7899999963</v>
          </cell>
          <cell r="BT2037">
            <v>0</v>
          </cell>
          <cell r="CA2037" t="str">
            <v>30860X - REVTOT - Base</v>
          </cell>
          <cell r="CC2037" t="str">
            <v>30860X - REVTOT - Base - COMG</v>
          </cell>
          <cell r="CD2037" t="str">
            <v/>
          </cell>
          <cell r="CF2037" t="str">
            <v>30860X - Base - COMG</v>
          </cell>
        </row>
        <row r="2038">
          <cell r="D2038">
            <v>2024</v>
          </cell>
          <cell r="E2038">
            <v>1</v>
          </cell>
          <cell r="F2038">
            <v>2</v>
          </cell>
          <cell r="G2038" t="str">
            <v>30860X</v>
          </cell>
          <cell r="H2038" t="str">
            <v>Pratt &amp; Whitney FM Services</v>
          </cell>
          <cell r="I2038" t="str">
            <v>COMG</v>
          </cell>
          <cell r="J2038" t="str">
            <v>Commercial O&amp;M</v>
          </cell>
          <cell r="K2038" t="str">
            <v>Commercial</v>
          </cell>
          <cell r="L2038" t="str">
            <v xml:space="preserve">Commercial </v>
          </cell>
          <cell r="M2038" t="str">
            <v>GA</v>
          </cell>
          <cell r="N2038" t="str">
            <v>CONUS</v>
          </cell>
          <cell r="O2038">
            <v>0</v>
          </cell>
          <cell r="P2038">
            <v>0</v>
          </cell>
          <cell r="Q2038">
            <v>0</v>
          </cell>
          <cell r="R2038" t="str">
            <v>CPNF</v>
          </cell>
          <cell r="S2038">
            <v>0</v>
          </cell>
          <cell r="T2038">
            <v>1</v>
          </cell>
          <cell r="U2038" t="str">
            <v>REVTOT</v>
          </cell>
          <cell r="V2038" t="str">
            <v>Identified - Recompete</v>
          </cell>
          <cell r="W2038">
            <v>0</v>
          </cell>
          <cell r="X2038">
            <v>0</v>
          </cell>
          <cell r="Y2038">
            <v>0</v>
          </cell>
          <cell r="Z2038">
            <v>0</v>
          </cell>
          <cell r="AA2038">
            <v>0</v>
          </cell>
          <cell r="AB2038">
            <v>0</v>
          </cell>
          <cell r="AC2038">
            <v>0</v>
          </cell>
          <cell r="AD2038">
            <v>0</v>
          </cell>
          <cell r="AI2038">
            <v>0</v>
          </cell>
          <cell r="AJ2038">
            <v>0</v>
          </cell>
          <cell r="AK2038">
            <v>0</v>
          </cell>
          <cell r="BB2038">
            <v>0</v>
          </cell>
          <cell r="BC2038">
            <v>0</v>
          </cell>
          <cell r="BD2038">
            <v>0</v>
          </cell>
          <cell r="BE2038">
            <v>0</v>
          </cell>
          <cell r="BI2038">
            <v>0</v>
          </cell>
          <cell r="BJ2038">
            <v>0</v>
          </cell>
          <cell r="BK2038">
            <v>0</v>
          </cell>
          <cell r="BL2038">
            <v>0</v>
          </cell>
          <cell r="BM2038">
            <v>0</v>
          </cell>
          <cell r="BN2038">
            <v>0</v>
          </cell>
          <cell r="BO2038">
            <v>0</v>
          </cell>
          <cell r="BP2038">
            <v>0</v>
          </cell>
          <cell r="BQ2038">
            <v>0</v>
          </cell>
          <cell r="BR2038">
            <v>0</v>
          </cell>
          <cell r="BT2038">
            <v>0</v>
          </cell>
          <cell r="CA2038" t="str">
            <v>30860X - REVTOT - Identified - Recompete</v>
          </cell>
          <cell r="CC2038" t="str">
            <v>30860X - REVTOT - Identified - Recompete - COMG</v>
          </cell>
          <cell r="CD2038" t="str">
            <v/>
          </cell>
          <cell r="CF2038" t="str">
            <v>30860X - Identified - Recompete - COMG</v>
          </cell>
        </row>
        <row r="2039">
          <cell r="D2039">
            <v>2025</v>
          </cell>
          <cell r="E2039">
            <v>2</v>
          </cell>
          <cell r="F2039">
            <v>3</v>
          </cell>
          <cell r="G2039" t="str">
            <v>30860X</v>
          </cell>
          <cell r="H2039" t="str">
            <v>Pratt &amp; Whitney FM Services</v>
          </cell>
          <cell r="I2039" t="str">
            <v>COMG</v>
          </cell>
          <cell r="J2039" t="str">
            <v>Commercial O&amp;M</v>
          </cell>
          <cell r="K2039" t="str">
            <v>Commercial</v>
          </cell>
          <cell r="L2039" t="str">
            <v xml:space="preserve">Commercial </v>
          </cell>
          <cell r="M2039" t="str">
            <v>GA</v>
          </cell>
          <cell r="N2039" t="str">
            <v>CONUS</v>
          </cell>
          <cell r="O2039">
            <v>43101</v>
          </cell>
          <cell r="P2039">
            <v>44196</v>
          </cell>
          <cell r="Q2039" t="str">
            <v>Prime</v>
          </cell>
          <cell r="R2039" t="str">
            <v>CPNF</v>
          </cell>
          <cell r="S2039">
            <v>0</v>
          </cell>
          <cell r="T2039">
            <v>1</v>
          </cell>
          <cell r="U2039" t="str">
            <v>CONTRACT</v>
          </cell>
          <cell r="V2039" t="str">
            <v>Base</v>
          </cell>
          <cell r="W2039" t="str">
            <v>05 Won</v>
          </cell>
          <cell r="X2039" t="str">
            <v>Active</v>
          </cell>
          <cell r="Y2039">
            <v>1</v>
          </cell>
          <cell r="Z2039">
            <v>0</v>
          </cell>
          <cell r="AA2039">
            <v>856599.46999999671</v>
          </cell>
          <cell r="AB2039">
            <v>0</v>
          </cell>
          <cell r="AC2039">
            <v>0</v>
          </cell>
          <cell r="AD2039">
            <v>856599.46999999671</v>
          </cell>
          <cell r="AL2039">
            <v>3.9104816345985172E-2</v>
          </cell>
          <cell r="AM2039">
            <v>4.8677892387907831E-2</v>
          </cell>
          <cell r="AN2039">
            <v>0.10530533860824065</v>
          </cell>
          <cell r="AO2039">
            <v>9.8962189140283707E-2</v>
          </cell>
          <cell r="AP2039">
            <v>0.12438329971196661</v>
          </cell>
          <cell r="AQ2039">
            <v>0.12438329971196661</v>
          </cell>
          <cell r="AR2039">
            <v>0.12438329971196661</v>
          </cell>
          <cell r="AS2039">
            <v>0.12438329971196661</v>
          </cell>
          <cell r="BF2039">
            <v>434947.54000000015</v>
          </cell>
          <cell r="BG2039">
            <v>536140.82000000076</v>
          </cell>
          <cell r="BH2039">
            <v>736474.49</v>
          </cell>
          <cell r="BI2039">
            <v>46042.150000000067</v>
          </cell>
          <cell r="BJ2039">
            <v>29773.049999999981</v>
          </cell>
          <cell r="BK2039">
            <v>32594.199999999975</v>
          </cell>
          <cell r="BL2039">
            <v>30576</v>
          </cell>
          <cell r="BM2039">
            <v>138985.40000000002</v>
          </cell>
          <cell r="BN2039">
            <v>106546.66861012134</v>
          </cell>
          <cell r="BO2039">
            <v>0</v>
          </cell>
          <cell r="BP2039">
            <v>0</v>
          </cell>
          <cell r="BQ2039">
            <v>0</v>
          </cell>
          <cell r="BR2039">
            <v>245532.06861012138</v>
          </cell>
          <cell r="BT2039">
            <v>0</v>
          </cell>
          <cell r="CA2039" t="str">
            <v>30860X - CONTRACT - Base</v>
          </cell>
          <cell r="CC2039" t="str">
            <v>30860X - CONTRACT - Base - COMG</v>
          </cell>
          <cell r="CD2039" t="str">
            <v/>
          </cell>
          <cell r="CF2039" t="str">
            <v>30860X - Base - COMG</v>
          </cell>
        </row>
        <row r="2040">
          <cell r="D2040">
            <v>2026</v>
          </cell>
          <cell r="E2040">
            <v>2</v>
          </cell>
          <cell r="F2040">
            <v>4</v>
          </cell>
          <cell r="G2040" t="str">
            <v>30860X</v>
          </cell>
          <cell r="H2040" t="str">
            <v>Pratt &amp; Whitney FM Services</v>
          </cell>
          <cell r="I2040" t="str">
            <v>COMG</v>
          </cell>
          <cell r="J2040" t="str">
            <v>Commercial O&amp;M</v>
          </cell>
          <cell r="K2040" t="str">
            <v>Commercial</v>
          </cell>
          <cell r="L2040" t="str">
            <v xml:space="preserve">Commercial </v>
          </cell>
          <cell r="M2040" t="str">
            <v>GA</v>
          </cell>
          <cell r="N2040" t="str">
            <v>CONUS</v>
          </cell>
          <cell r="O2040">
            <v>0</v>
          </cell>
          <cell r="P2040">
            <v>0</v>
          </cell>
          <cell r="Q2040">
            <v>0</v>
          </cell>
          <cell r="R2040" t="str">
            <v>CPNF</v>
          </cell>
          <cell r="S2040">
            <v>0</v>
          </cell>
          <cell r="T2040">
            <v>1</v>
          </cell>
          <cell r="U2040" t="str">
            <v>CONTRACT</v>
          </cell>
          <cell r="V2040" t="str">
            <v>Identified - Recompete</v>
          </cell>
          <cell r="W2040">
            <v>0</v>
          </cell>
          <cell r="X2040">
            <v>0</v>
          </cell>
          <cell r="Y2040">
            <v>0</v>
          </cell>
          <cell r="Z2040">
            <v>0</v>
          </cell>
          <cell r="AA2040">
            <v>0</v>
          </cell>
          <cell r="AB2040">
            <v>0</v>
          </cell>
          <cell r="AC2040">
            <v>0</v>
          </cell>
          <cell r="AD2040">
            <v>0</v>
          </cell>
          <cell r="AP2040">
            <v>0</v>
          </cell>
          <cell r="AQ2040">
            <v>0</v>
          </cell>
          <cell r="AR2040">
            <v>0</v>
          </cell>
          <cell r="AS2040">
            <v>0</v>
          </cell>
          <cell r="BI2040">
            <v>0</v>
          </cell>
          <cell r="BJ2040">
            <v>0</v>
          </cell>
          <cell r="BK2040">
            <v>0</v>
          </cell>
          <cell r="BL2040">
            <v>0</v>
          </cell>
          <cell r="BM2040">
            <v>0</v>
          </cell>
          <cell r="BN2040">
            <v>0</v>
          </cell>
          <cell r="BO2040">
            <v>0</v>
          </cell>
          <cell r="BP2040">
            <v>0</v>
          </cell>
          <cell r="BQ2040">
            <v>0</v>
          </cell>
          <cell r="BR2040">
            <v>0</v>
          </cell>
          <cell r="BT2040">
            <v>0</v>
          </cell>
          <cell r="CA2040" t="str">
            <v>30860X - CONTRACT - Identified - Recompete</v>
          </cell>
          <cell r="CC2040" t="str">
            <v>30860X - CONTRACT - Identified - Recompete - COMG</v>
          </cell>
          <cell r="CD2040" t="str">
            <v/>
          </cell>
          <cell r="CF2040" t="str">
            <v>30860X - Identified - Recompete - COMG</v>
          </cell>
        </row>
        <row r="2041">
          <cell r="D2041">
            <v>2027</v>
          </cell>
          <cell r="E2041">
            <v>0</v>
          </cell>
          <cell r="F2041">
            <v>5</v>
          </cell>
          <cell r="G2041" t="str">
            <v>30860X</v>
          </cell>
          <cell r="H2041" t="str">
            <v>Pratt &amp; Whitney FM Services</v>
          </cell>
          <cell r="I2041" t="str">
            <v>COMG</v>
          </cell>
          <cell r="J2041" t="str">
            <v>Commercial O&amp;M</v>
          </cell>
          <cell r="K2041" t="str">
            <v>Commercial</v>
          </cell>
          <cell r="L2041" t="str">
            <v xml:space="preserve">Commercial </v>
          </cell>
          <cell r="M2041" t="str">
            <v>GA</v>
          </cell>
          <cell r="N2041" t="str">
            <v>CONUS</v>
          </cell>
          <cell r="O2041">
            <v>43101</v>
          </cell>
          <cell r="P2041">
            <v>44196</v>
          </cell>
          <cell r="Q2041" t="str">
            <v>Prime</v>
          </cell>
          <cell r="R2041" t="str">
            <v>CPNF</v>
          </cell>
          <cell r="S2041">
            <v>0</v>
          </cell>
          <cell r="T2041">
            <v>1</v>
          </cell>
          <cell r="U2041" t="str">
            <v>EBITA</v>
          </cell>
          <cell r="V2041" t="str">
            <v>Base</v>
          </cell>
          <cell r="W2041" t="str">
            <v>05 Won</v>
          </cell>
          <cell r="X2041" t="str">
            <v>Active</v>
          </cell>
          <cell r="Y2041">
            <v>1</v>
          </cell>
          <cell r="Z2041">
            <v>0</v>
          </cell>
          <cell r="AA2041">
            <v>856599.46999999671</v>
          </cell>
          <cell r="AB2041">
            <v>0</v>
          </cell>
          <cell r="AC2041">
            <v>0</v>
          </cell>
          <cell r="AD2041">
            <v>856599.46999999671</v>
          </cell>
          <cell r="AT2041">
            <v>3.9104816345985172E-2</v>
          </cell>
          <cell r="AU2041">
            <v>3.7835578949433422E-2</v>
          </cell>
          <cell r="AV2041">
            <v>4.1347196283579093E-2</v>
          </cell>
          <cell r="AW2041">
            <v>3.8343567193541664E-2</v>
          </cell>
          <cell r="AX2041">
            <v>2.7082844374640026E-2</v>
          </cell>
          <cell r="AY2041">
            <v>2.7082844374640026E-2</v>
          </cell>
          <cell r="AZ2041">
            <v>2.7082844374640026E-2</v>
          </cell>
          <cell r="BA2041">
            <v>2.7082844374640026E-2</v>
          </cell>
          <cell r="BF2041">
            <v>434947.54000000015</v>
          </cell>
          <cell r="BG2041">
            <v>416723.02000000083</v>
          </cell>
          <cell r="BH2041">
            <v>289170.09999999998</v>
          </cell>
          <cell r="BI2041">
            <v>16521.340000000066</v>
          </cell>
          <cell r="BJ2041">
            <v>10178.809999999981</v>
          </cell>
          <cell r="BK2041">
            <v>15499.679999999977</v>
          </cell>
          <cell r="BL2041">
            <v>11651</v>
          </cell>
          <cell r="BM2041">
            <v>53850.830000000024</v>
          </cell>
          <cell r="BN2041">
            <v>23199.150137409037</v>
          </cell>
          <cell r="BO2041">
            <v>0</v>
          </cell>
          <cell r="BP2041">
            <v>0</v>
          </cell>
          <cell r="BQ2041">
            <v>0</v>
          </cell>
          <cell r="BR2041">
            <v>77049.98013740906</v>
          </cell>
          <cell r="BT2041">
            <v>0</v>
          </cell>
          <cell r="CA2041" t="str">
            <v>30860X - EBITA - Base</v>
          </cell>
          <cell r="CC2041" t="str">
            <v>30860X - EBITA - Base - COMG</v>
          </cell>
          <cell r="CD2041" t="str">
            <v/>
          </cell>
          <cell r="CF2041" t="str">
            <v>30860X - Base - COMG</v>
          </cell>
        </row>
        <row r="2042">
          <cell r="D2042">
            <v>2028</v>
          </cell>
          <cell r="E2042">
            <v>0</v>
          </cell>
          <cell r="F2042">
            <v>0</v>
          </cell>
          <cell r="G2042" t="str">
            <v>30860X</v>
          </cell>
          <cell r="H2042" t="str">
            <v>Pratt &amp; Whitney FM Services</v>
          </cell>
          <cell r="I2042" t="str">
            <v>COMG</v>
          </cell>
          <cell r="J2042" t="str">
            <v>Commercial O&amp;M</v>
          </cell>
          <cell r="K2042" t="str">
            <v>Commercial</v>
          </cell>
          <cell r="L2042" t="str">
            <v xml:space="preserve">Commercial </v>
          </cell>
          <cell r="M2042" t="str">
            <v>GA</v>
          </cell>
          <cell r="N2042" t="str">
            <v>CONUS</v>
          </cell>
          <cell r="O2042">
            <v>0</v>
          </cell>
          <cell r="P2042">
            <v>0</v>
          </cell>
          <cell r="Q2042">
            <v>0</v>
          </cell>
          <cell r="R2042" t="str">
            <v>CPNF</v>
          </cell>
          <cell r="S2042">
            <v>0</v>
          </cell>
          <cell r="T2042">
            <v>1</v>
          </cell>
          <cell r="U2042" t="str">
            <v>EBITA</v>
          </cell>
          <cell r="V2042" t="str">
            <v>Identified - Recompete</v>
          </cell>
          <cell r="W2042">
            <v>0</v>
          </cell>
          <cell r="X2042">
            <v>0</v>
          </cell>
          <cell r="Y2042">
            <v>0</v>
          </cell>
          <cell r="Z2042">
            <v>0</v>
          </cell>
          <cell r="AA2042">
            <v>0</v>
          </cell>
          <cell r="AB2042">
            <v>0</v>
          </cell>
          <cell r="AC2042">
            <v>0</v>
          </cell>
          <cell r="AD2042">
            <v>0</v>
          </cell>
          <cell r="AX2042">
            <v>0</v>
          </cell>
          <cell r="AY2042">
            <v>0</v>
          </cell>
          <cell r="AZ2042">
            <v>0</v>
          </cell>
          <cell r="BA2042">
            <v>0</v>
          </cell>
          <cell r="BI2042">
            <v>0</v>
          </cell>
          <cell r="BJ2042">
            <v>0</v>
          </cell>
          <cell r="BK2042">
            <v>0</v>
          </cell>
          <cell r="BL2042">
            <v>0</v>
          </cell>
          <cell r="BM2042">
            <v>0</v>
          </cell>
          <cell r="BN2042">
            <v>0</v>
          </cell>
          <cell r="BO2042">
            <v>0</v>
          </cell>
          <cell r="BP2042">
            <v>0</v>
          </cell>
          <cell r="BQ2042">
            <v>0</v>
          </cell>
          <cell r="BR2042">
            <v>0</v>
          </cell>
          <cell r="BT2042">
            <v>0</v>
          </cell>
          <cell r="CA2042" t="str">
            <v>30860X - EBITA - Identified - Recompete</v>
          </cell>
          <cell r="CC2042" t="str">
            <v>30860X - EBITA - Identified - Recompete - COMG</v>
          </cell>
          <cell r="CD2042" t="str">
            <v/>
          </cell>
          <cell r="CF2042" t="str">
            <v>30860X - Identified - Recompete - COMG</v>
          </cell>
        </row>
        <row r="2043">
          <cell r="D2043">
            <v>2029</v>
          </cell>
          <cell r="E2043">
            <v>1</v>
          </cell>
          <cell r="F2043">
            <v>1</v>
          </cell>
          <cell r="G2043" t="str">
            <v>ADMILD</v>
          </cell>
          <cell r="H2043" t="str">
            <v>ADM DECATUR</v>
          </cell>
          <cell r="I2043" t="str">
            <v>COMG</v>
          </cell>
          <cell r="J2043" t="str">
            <v>Commercial O&amp;M</v>
          </cell>
          <cell r="K2043" t="str">
            <v>Commercial</v>
          </cell>
          <cell r="L2043" t="str">
            <v xml:space="preserve">Commercial </v>
          </cell>
          <cell r="M2043" t="str">
            <v>IL</v>
          </cell>
          <cell r="N2043" t="str">
            <v>CONUS</v>
          </cell>
          <cell r="O2043">
            <v>43361</v>
          </cell>
          <cell r="P2043">
            <v>43921</v>
          </cell>
          <cell r="Q2043" t="str">
            <v>Prime</v>
          </cell>
          <cell r="R2043" t="str">
            <v>FFP</v>
          </cell>
          <cell r="S2043">
            <v>0</v>
          </cell>
          <cell r="T2043">
            <v>1</v>
          </cell>
          <cell r="U2043" t="str">
            <v>REVTOT</v>
          </cell>
          <cell r="V2043" t="str">
            <v>Base</v>
          </cell>
          <cell r="W2043" t="str">
            <v>05 Won</v>
          </cell>
          <cell r="X2043" t="str">
            <v>Active</v>
          </cell>
          <cell r="Y2043">
            <v>1</v>
          </cell>
          <cell r="Z2043">
            <v>0</v>
          </cell>
          <cell r="AA2043">
            <v>205272.68</v>
          </cell>
          <cell r="AB2043">
            <v>-0.40000000001418812</v>
          </cell>
          <cell r="AC2043">
            <v>0</v>
          </cell>
          <cell r="AD2043">
            <v>205272.27999999997</v>
          </cell>
          <cell r="AE2043">
            <v>0</v>
          </cell>
          <cell r="AF2043">
            <v>0</v>
          </cell>
          <cell r="AG2043">
            <v>0</v>
          </cell>
          <cell r="AH2043">
            <v>-0.64899698072700718</v>
          </cell>
          <cell r="AI2043">
            <v>0</v>
          </cell>
          <cell r="AJ2043">
            <v>0</v>
          </cell>
          <cell r="AK2043">
            <v>0</v>
          </cell>
          <cell r="BB2043">
            <v>675878</v>
          </cell>
          <cell r="BC2043">
            <v>675878</v>
          </cell>
          <cell r="BD2043">
            <v>675878</v>
          </cell>
          <cell r="BE2043">
            <v>675878</v>
          </cell>
          <cell r="BF2043">
            <v>0</v>
          </cell>
          <cell r="BG2043">
            <v>0</v>
          </cell>
          <cell r="BH2043">
            <v>0</v>
          </cell>
          <cell r="BI2043">
            <v>62162.720000000001</v>
          </cell>
          <cell r="BJ2043">
            <v>180841.71999999997</v>
          </cell>
          <cell r="BK2043">
            <v>162544.84</v>
          </cell>
          <cell r="BL2043">
            <v>179267</v>
          </cell>
          <cell r="BM2043">
            <v>584816.28</v>
          </cell>
          <cell r="BN2043">
            <v>205272.27999999997</v>
          </cell>
          <cell r="BO2043">
            <v>0</v>
          </cell>
          <cell r="BP2043">
            <v>0</v>
          </cell>
          <cell r="BQ2043">
            <v>0</v>
          </cell>
          <cell r="BR2043">
            <v>790088.56</v>
          </cell>
          <cell r="BT2043">
            <v>0</v>
          </cell>
          <cell r="CA2043" t="str">
            <v>ADMILD - REVTOT - Base</v>
          </cell>
          <cell r="CC2043" t="str">
            <v>ADMILD - REVTOT - Base - COMG</v>
          </cell>
          <cell r="CD2043" t="str">
            <v/>
          </cell>
          <cell r="CF2043" t="str">
            <v>ADMILD - Base - COMG</v>
          </cell>
        </row>
        <row r="2044">
          <cell r="D2044">
            <v>2030</v>
          </cell>
          <cell r="E2044">
            <v>1</v>
          </cell>
          <cell r="F2044">
            <v>2</v>
          </cell>
          <cell r="G2044" t="str">
            <v>ADMILD</v>
          </cell>
          <cell r="H2044" t="str">
            <v>ADM DECATUR</v>
          </cell>
          <cell r="I2044" t="str">
            <v>COMG</v>
          </cell>
          <cell r="J2044" t="str">
            <v>Commercial O&amp;M</v>
          </cell>
          <cell r="K2044" t="str">
            <v>Commercial</v>
          </cell>
          <cell r="L2044" t="str">
            <v xml:space="preserve">Commercial </v>
          </cell>
          <cell r="M2044" t="str">
            <v>IL</v>
          </cell>
          <cell r="N2044" t="str">
            <v>CONUS</v>
          </cell>
          <cell r="O2044">
            <v>0</v>
          </cell>
          <cell r="P2044">
            <v>0</v>
          </cell>
          <cell r="Q2044">
            <v>0</v>
          </cell>
          <cell r="R2044" t="str">
            <v>FFP</v>
          </cell>
          <cell r="S2044">
            <v>0</v>
          </cell>
          <cell r="T2044">
            <v>1</v>
          </cell>
          <cell r="U2044" t="str">
            <v>REVTOT</v>
          </cell>
          <cell r="V2044" t="str">
            <v>Identified - Recompete</v>
          </cell>
          <cell r="W2044">
            <v>0</v>
          </cell>
          <cell r="X2044">
            <v>0</v>
          </cell>
          <cell r="Y2044">
            <v>0</v>
          </cell>
          <cell r="Z2044">
            <v>0</v>
          </cell>
          <cell r="AA2044">
            <v>0</v>
          </cell>
          <cell r="AB2044">
            <v>0</v>
          </cell>
          <cell r="AC2044">
            <v>0</v>
          </cell>
          <cell r="AD2044">
            <v>0</v>
          </cell>
          <cell r="AI2044">
            <v>0</v>
          </cell>
          <cell r="AJ2044">
            <v>0</v>
          </cell>
          <cell r="AK2044">
            <v>0</v>
          </cell>
          <cell r="BB2044">
            <v>0</v>
          </cell>
          <cell r="BC2044">
            <v>0</v>
          </cell>
          <cell r="BD2044">
            <v>0</v>
          </cell>
          <cell r="BE2044">
            <v>0</v>
          </cell>
          <cell r="BI2044">
            <v>0</v>
          </cell>
          <cell r="BJ2044">
            <v>0</v>
          </cell>
          <cell r="BK2044">
            <v>0</v>
          </cell>
          <cell r="BL2044">
            <v>0</v>
          </cell>
          <cell r="BM2044">
            <v>0</v>
          </cell>
          <cell r="BN2044">
            <v>0</v>
          </cell>
          <cell r="BO2044">
            <v>0</v>
          </cell>
          <cell r="BP2044">
            <v>0</v>
          </cell>
          <cell r="BQ2044">
            <v>0</v>
          </cell>
          <cell r="BR2044">
            <v>0</v>
          </cell>
          <cell r="BT2044">
            <v>0</v>
          </cell>
          <cell r="CA2044" t="str">
            <v>ADMILD - REVTOT - Identified - Recompete</v>
          </cell>
          <cell r="CC2044" t="str">
            <v>ADMILD - REVTOT - Identified - Recompete - COMG</v>
          </cell>
          <cell r="CD2044" t="str">
            <v/>
          </cell>
          <cell r="CF2044" t="str">
            <v>ADMILD - Identified - Recompete - COMG</v>
          </cell>
        </row>
        <row r="2045">
          <cell r="D2045">
            <v>2031</v>
          </cell>
          <cell r="E2045">
            <v>2</v>
          </cell>
          <cell r="F2045">
            <v>3</v>
          </cell>
          <cell r="G2045" t="str">
            <v>ADMILD</v>
          </cell>
          <cell r="H2045" t="str">
            <v>ADM DECATUR</v>
          </cell>
          <cell r="I2045" t="str">
            <v>COMG</v>
          </cell>
          <cell r="J2045" t="str">
            <v>Commercial O&amp;M</v>
          </cell>
          <cell r="K2045" t="str">
            <v>Commercial</v>
          </cell>
          <cell r="L2045" t="str">
            <v xml:space="preserve">Commercial </v>
          </cell>
          <cell r="M2045" t="str">
            <v>IL</v>
          </cell>
          <cell r="N2045" t="str">
            <v>CONUS</v>
          </cell>
          <cell r="O2045">
            <v>43361</v>
          </cell>
          <cell r="P2045">
            <v>43921</v>
          </cell>
          <cell r="Q2045" t="str">
            <v>Prime</v>
          </cell>
          <cell r="R2045" t="str">
            <v>FFP</v>
          </cell>
          <cell r="S2045">
            <v>0</v>
          </cell>
          <cell r="T2045">
            <v>1</v>
          </cell>
          <cell r="U2045" t="str">
            <v>CONTRACT</v>
          </cell>
          <cell r="V2045" t="str">
            <v>Base</v>
          </cell>
          <cell r="W2045" t="str">
            <v>05 Won</v>
          </cell>
          <cell r="X2045" t="str">
            <v>Active</v>
          </cell>
          <cell r="Y2045">
            <v>1</v>
          </cell>
          <cell r="Z2045">
            <v>0</v>
          </cell>
          <cell r="AA2045">
            <v>205272.68</v>
          </cell>
          <cell r="AB2045">
            <v>-0.40000000001418812</v>
          </cell>
          <cell r="AC2045">
            <v>0</v>
          </cell>
          <cell r="AD2045">
            <v>205272.27999999997</v>
          </cell>
          <cell r="AL2045">
            <v>0</v>
          </cell>
          <cell r="AM2045">
            <v>0</v>
          </cell>
          <cell r="AN2045">
            <v>0</v>
          </cell>
          <cell r="AO2045">
            <v>0.30864652057907821</v>
          </cell>
          <cell r="AP2045">
            <v>0.25922773281568573</v>
          </cell>
          <cell r="AQ2045">
            <v>0.25922773281568573</v>
          </cell>
          <cell r="AR2045">
            <v>0.25922773281568573</v>
          </cell>
          <cell r="AS2045">
            <v>0.25922773281568573</v>
          </cell>
          <cell r="BF2045">
            <v>0</v>
          </cell>
          <cell r="BG2045">
            <v>0</v>
          </cell>
          <cell r="BH2045">
            <v>0</v>
          </cell>
          <cell r="BI2045">
            <v>13884.839999999998</v>
          </cell>
          <cell r="BJ2045">
            <v>42235.269999999982</v>
          </cell>
          <cell r="BK2045">
            <v>65636.399999999994</v>
          </cell>
          <cell r="BL2045">
            <v>58745</v>
          </cell>
          <cell r="BM2045">
            <v>180501.50999999998</v>
          </cell>
          <cell r="BN2045">
            <v>53212.267754306624</v>
          </cell>
          <cell r="BO2045">
            <v>0</v>
          </cell>
          <cell r="BP2045">
            <v>0</v>
          </cell>
          <cell r="BQ2045">
            <v>0</v>
          </cell>
          <cell r="BR2045">
            <v>233713.77775430662</v>
          </cell>
          <cell r="BT2045">
            <v>0</v>
          </cell>
          <cell r="CA2045" t="str">
            <v>ADMILD - CONTRACT - Base</v>
          </cell>
          <cell r="CC2045" t="str">
            <v>ADMILD - CONTRACT - Base - COMG</v>
          </cell>
          <cell r="CD2045" t="str">
            <v/>
          </cell>
          <cell r="CF2045" t="str">
            <v>ADMILD - Base - COMG</v>
          </cell>
        </row>
        <row r="2046">
          <cell r="D2046">
            <v>2032</v>
          </cell>
          <cell r="E2046">
            <v>2</v>
          </cell>
          <cell r="F2046">
            <v>4</v>
          </cell>
          <cell r="G2046" t="str">
            <v>ADMILD</v>
          </cell>
          <cell r="H2046" t="str">
            <v>ADM DECATUR</v>
          </cell>
          <cell r="I2046" t="str">
            <v>COMG</v>
          </cell>
          <cell r="J2046" t="str">
            <v>Commercial O&amp;M</v>
          </cell>
          <cell r="K2046" t="str">
            <v>Commercial</v>
          </cell>
          <cell r="L2046" t="str">
            <v xml:space="preserve">Commercial </v>
          </cell>
          <cell r="M2046" t="str">
            <v>IL</v>
          </cell>
          <cell r="N2046" t="str">
            <v>CONUS</v>
          </cell>
          <cell r="O2046">
            <v>0</v>
          </cell>
          <cell r="P2046">
            <v>0</v>
          </cell>
          <cell r="Q2046">
            <v>0</v>
          </cell>
          <cell r="R2046" t="str">
            <v>FFP</v>
          </cell>
          <cell r="S2046">
            <v>0</v>
          </cell>
          <cell r="T2046">
            <v>1</v>
          </cell>
          <cell r="U2046" t="str">
            <v>CONTRACT</v>
          </cell>
          <cell r="V2046" t="str">
            <v>Identified - Recompete</v>
          </cell>
          <cell r="W2046">
            <v>0</v>
          </cell>
          <cell r="X2046">
            <v>0</v>
          </cell>
          <cell r="Y2046">
            <v>0</v>
          </cell>
          <cell r="Z2046">
            <v>0</v>
          </cell>
          <cell r="AA2046">
            <v>0</v>
          </cell>
          <cell r="AB2046">
            <v>0</v>
          </cell>
          <cell r="AC2046">
            <v>0</v>
          </cell>
          <cell r="AD2046">
            <v>0</v>
          </cell>
          <cell r="AP2046">
            <v>0</v>
          </cell>
          <cell r="AQ2046">
            <v>0</v>
          </cell>
          <cell r="AR2046">
            <v>0</v>
          </cell>
          <cell r="AS2046">
            <v>0</v>
          </cell>
          <cell r="BI2046">
            <v>0</v>
          </cell>
          <cell r="BJ2046">
            <v>0</v>
          </cell>
          <cell r="BK2046">
            <v>0</v>
          </cell>
          <cell r="BL2046">
            <v>0</v>
          </cell>
          <cell r="BM2046">
            <v>0</v>
          </cell>
          <cell r="BN2046">
            <v>0</v>
          </cell>
          <cell r="BO2046">
            <v>0</v>
          </cell>
          <cell r="BP2046">
            <v>0</v>
          </cell>
          <cell r="BQ2046">
            <v>0</v>
          </cell>
          <cell r="BR2046">
            <v>0</v>
          </cell>
          <cell r="BT2046">
            <v>0</v>
          </cell>
          <cell r="CA2046" t="str">
            <v>ADMILD - CONTRACT - Identified - Recompete</v>
          </cell>
          <cell r="CC2046" t="str">
            <v>ADMILD - CONTRACT - Identified - Recompete - COMG</v>
          </cell>
          <cell r="CD2046" t="str">
            <v/>
          </cell>
          <cell r="CF2046" t="str">
            <v>ADMILD - Identified - Recompete - COMG</v>
          </cell>
        </row>
        <row r="2047">
          <cell r="D2047">
            <v>2033</v>
          </cell>
          <cell r="E2047">
            <v>0</v>
          </cell>
          <cell r="F2047">
            <v>5</v>
          </cell>
          <cell r="G2047" t="str">
            <v>ADMILD</v>
          </cell>
          <cell r="H2047" t="str">
            <v>ADM DECATUR</v>
          </cell>
          <cell r="I2047" t="str">
            <v>COMG</v>
          </cell>
          <cell r="J2047" t="str">
            <v>Commercial O&amp;M</v>
          </cell>
          <cell r="K2047" t="str">
            <v>Commercial</v>
          </cell>
          <cell r="L2047" t="str">
            <v xml:space="preserve">Commercial </v>
          </cell>
          <cell r="M2047" t="str">
            <v>IL</v>
          </cell>
          <cell r="N2047" t="str">
            <v>CONUS</v>
          </cell>
          <cell r="O2047">
            <v>43361</v>
          </cell>
          <cell r="P2047">
            <v>43921</v>
          </cell>
          <cell r="Q2047" t="str">
            <v>Prime</v>
          </cell>
          <cell r="R2047" t="str">
            <v>FFP</v>
          </cell>
          <cell r="S2047">
            <v>0</v>
          </cell>
          <cell r="T2047">
            <v>1</v>
          </cell>
          <cell r="U2047" t="str">
            <v>EBITA</v>
          </cell>
          <cell r="V2047" t="str">
            <v>Base</v>
          </cell>
          <cell r="W2047" t="str">
            <v>05 Won</v>
          </cell>
          <cell r="X2047" t="str">
            <v>Active</v>
          </cell>
          <cell r="Y2047">
            <v>1</v>
          </cell>
          <cell r="Z2047">
            <v>0</v>
          </cell>
          <cell r="AA2047">
            <v>205272.68</v>
          </cell>
          <cell r="AB2047">
            <v>-0.40000000001418812</v>
          </cell>
          <cell r="AC2047">
            <v>0</v>
          </cell>
          <cell r="AD2047">
            <v>205272.27999999997</v>
          </cell>
          <cell r="AT2047">
            <v>0</v>
          </cell>
          <cell r="AU2047">
            <v>0</v>
          </cell>
          <cell r="AV2047">
            <v>0</v>
          </cell>
          <cell r="AW2047">
            <v>0.23482352440667342</v>
          </cell>
          <cell r="AX2047">
            <v>0.18260434343789109</v>
          </cell>
          <cell r="AY2047">
            <v>0.18360434343789109</v>
          </cell>
          <cell r="AZ2047">
            <v>0.18460434343789109</v>
          </cell>
          <cell r="BA2047">
            <v>0.18560434343789109</v>
          </cell>
          <cell r="BF2047">
            <v>0</v>
          </cell>
          <cell r="BG2047">
            <v>0</v>
          </cell>
          <cell r="BH2047">
            <v>0</v>
          </cell>
          <cell r="BI2047">
            <v>8821.6699999999983</v>
          </cell>
          <cell r="BJ2047">
            <v>28760.089999999982</v>
          </cell>
          <cell r="BK2047">
            <v>54252.859999999993</v>
          </cell>
          <cell r="BL2047">
            <v>45494</v>
          </cell>
          <cell r="BM2047">
            <v>137328.61999999997</v>
          </cell>
          <cell r="BN2047">
            <v>37483.609915398934</v>
          </cell>
          <cell r="BO2047">
            <v>0</v>
          </cell>
          <cell r="BP2047">
            <v>0</v>
          </cell>
          <cell r="BQ2047">
            <v>0</v>
          </cell>
          <cell r="BR2047">
            <v>174812.2299153989</v>
          </cell>
          <cell r="BT2047">
            <v>0</v>
          </cell>
          <cell r="CA2047" t="str">
            <v>ADMILD - EBITA - Base</v>
          </cell>
          <cell r="CC2047" t="str">
            <v>ADMILD - EBITA - Base - COMG</v>
          </cell>
          <cell r="CD2047" t="str">
            <v/>
          </cell>
          <cell r="CF2047" t="str">
            <v>ADMILD - Base - COMG</v>
          </cell>
        </row>
        <row r="2048">
          <cell r="D2048">
            <v>2034</v>
          </cell>
          <cell r="E2048">
            <v>0</v>
          </cell>
          <cell r="F2048">
            <v>0</v>
          </cell>
          <cell r="G2048" t="str">
            <v>ADMILD</v>
          </cell>
          <cell r="H2048" t="str">
            <v>ADM DECATUR</v>
          </cell>
          <cell r="I2048" t="str">
            <v>COMG</v>
          </cell>
          <cell r="J2048" t="str">
            <v>Commercial O&amp;M</v>
          </cell>
          <cell r="K2048" t="str">
            <v>Commercial</v>
          </cell>
          <cell r="L2048" t="str">
            <v xml:space="preserve">Commercial </v>
          </cell>
          <cell r="M2048" t="str">
            <v>IL</v>
          </cell>
          <cell r="N2048" t="str">
            <v>CONUS</v>
          </cell>
          <cell r="O2048">
            <v>0</v>
          </cell>
          <cell r="P2048">
            <v>0</v>
          </cell>
          <cell r="Q2048">
            <v>0</v>
          </cell>
          <cell r="R2048" t="str">
            <v>FFP</v>
          </cell>
          <cell r="S2048">
            <v>0</v>
          </cell>
          <cell r="T2048">
            <v>1</v>
          </cell>
          <cell r="U2048" t="str">
            <v>EBITA</v>
          </cell>
          <cell r="V2048" t="str">
            <v>Identified - Recompete</v>
          </cell>
          <cell r="W2048">
            <v>0</v>
          </cell>
          <cell r="X2048">
            <v>0</v>
          </cell>
          <cell r="Y2048">
            <v>0</v>
          </cell>
          <cell r="Z2048">
            <v>0</v>
          </cell>
          <cell r="AA2048">
            <v>0</v>
          </cell>
          <cell r="AB2048">
            <v>0</v>
          </cell>
          <cell r="AC2048">
            <v>0</v>
          </cell>
          <cell r="AD2048">
            <v>0</v>
          </cell>
          <cell r="AX2048">
            <v>0</v>
          </cell>
          <cell r="AY2048">
            <v>0</v>
          </cell>
          <cell r="AZ2048">
            <v>0</v>
          </cell>
          <cell r="BA2048">
            <v>0</v>
          </cell>
          <cell r="BI2048">
            <v>0</v>
          </cell>
          <cell r="BJ2048">
            <v>0</v>
          </cell>
          <cell r="BK2048">
            <v>0</v>
          </cell>
          <cell r="BL2048">
            <v>0</v>
          </cell>
          <cell r="BM2048">
            <v>0</v>
          </cell>
          <cell r="BN2048">
            <v>0</v>
          </cell>
          <cell r="BO2048">
            <v>0</v>
          </cell>
          <cell r="BP2048">
            <v>0</v>
          </cell>
          <cell r="BQ2048">
            <v>0</v>
          </cell>
          <cell r="BR2048">
            <v>0</v>
          </cell>
          <cell r="BT2048">
            <v>0</v>
          </cell>
          <cell r="CA2048" t="str">
            <v>ADMILD - EBITA - Identified - Recompete</v>
          </cell>
          <cell r="CC2048" t="str">
            <v>ADMILD - EBITA - Identified - Recompete - COMG</v>
          </cell>
          <cell r="CD2048" t="str">
            <v/>
          </cell>
          <cell r="CF2048" t="str">
            <v>ADMILD - Identified - Recompete - COMG</v>
          </cell>
        </row>
        <row r="2049">
          <cell r="D2049">
            <v>2035</v>
          </cell>
          <cell r="E2049">
            <v>1</v>
          </cell>
          <cell r="F2049">
            <v>1</v>
          </cell>
          <cell r="G2049" t="str">
            <v>GMILLS</v>
          </cell>
          <cell r="H2049" t="str">
            <v>General Mills MN</v>
          </cell>
          <cell r="I2049" t="str">
            <v>COMG</v>
          </cell>
          <cell r="J2049" t="str">
            <v>Commercial O&amp;M</v>
          </cell>
          <cell r="K2049" t="str">
            <v>Commercial</v>
          </cell>
          <cell r="L2049" t="str">
            <v xml:space="preserve">Commercial </v>
          </cell>
          <cell r="M2049" t="str">
            <v>MN</v>
          </cell>
          <cell r="N2049" t="str">
            <v>CONUS</v>
          </cell>
          <cell r="O2049">
            <v>43617</v>
          </cell>
          <cell r="P2049">
            <v>44712</v>
          </cell>
          <cell r="Q2049" t="str">
            <v>Prime</v>
          </cell>
          <cell r="R2049" t="str">
            <v>T&amp;M</v>
          </cell>
          <cell r="S2049">
            <v>0</v>
          </cell>
          <cell r="T2049">
            <v>1</v>
          </cell>
          <cell r="U2049" t="str">
            <v>REVTOT</v>
          </cell>
          <cell r="V2049" t="str">
            <v>Base</v>
          </cell>
          <cell r="W2049" t="str">
            <v>05 Won</v>
          </cell>
          <cell r="X2049" t="str">
            <v>Active</v>
          </cell>
          <cell r="Y2049">
            <v>1</v>
          </cell>
          <cell r="Z2049">
            <v>0</v>
          </cell>
          <cell r="AA2049">
            <v>810329.58</v>
          </cell>
          <cell r="AB2049">
            <v>2068768.69</v>
          </cell>
          <cell r="AC2049">
            <v>0</v>
          </cell>
          <cell r="AD2049">
            <v>2879098.27</v>
          </cell>
          <cell r="AE2049">
            <v>0</v>
          </cell>
          <cell r="AF2049">
            <v>0</v>
          </cell>
          <cell r="AG2049">
            <v>0</v>
          </cell>
          <cell r="AH2049">
            <v>1.5580507830176895</v>
          </cell>
          <cell r="AI2049">
            <v>0</v>
          </cell>
          <cell r="AJ2049">
            <v>0</v>
          </cell>
          <cell r="AK2049">
            <v>0</v>
          </cell>
          <cell r="BB2049">
            <v>1076688</v>
          </cell>
          <cell r="BC2049">
            <v>1076688</v>
          </cell>
          <cell r="BD2049">
            <v>1076688</v>
          </cell>
          <cell r="BE2049">
            <v>1076688</v>
          </cell>
          <cell r="BF2049">
            <v>0</v>
          </cell>
          <cell r="BG2049">
            <v>0</v>
          </cell>
          <cell r="BH2049">
            <v>0</v>
          </cell>
          <cell r="BI2049">
            <v>0</v>
          </cell>
          <cell r="BJ2049">
            <v>0</v>
          </cell>
          <cell r="BK2049">
            <v>112161.69</v>
          </cell>
          <cell r="BL2049">
            <v>308740.03999999998</v>
          </cell>
          <cell r="BM2049">
            <v>420901.73</v>
          </cell>
          <cell r="BN2049">
            <v>1076688</v>
          </cell>
          <cell r="BO2049">
            <v>1076688</v>
          </cell>
          <cell r="BP2049">
            <v>725722.27</v>
          </cell>
          <cell r="BQ2049">
            <v>0</v>
          </cell>
          <cell r="BR2049">
            <v>3300000</v>
          </cell>
          <cell r="BT2049">
            <v>0</v>
          </cell>
          <cell r="CA2049" t="str">
            <v>GMILLS - REVTOT - Base</v>
          </cell>
          <cell r="CC2049" t="str">
            <v>GMILLS - REVTOT - Base - COMG</v>
          </cell>
          <cell r="CD2049" t="str">
            <v/>
          </cell>
          <cell r="CF2049" t="str">
            <v>GMILLS - Base - COMG</v>
          </cell>
        </row>
        <row r="2050">
          <cell r="D2050">
            <v>2036</v>
          </cell>
          <cell r="E2050">
            <v>1</v>
          </cell>
          <cell r="F2050">
            <v>2</v>
          </cell>
          <cell r="G2050" t="str">
            <v>GMILLS</v>
          </cell>
          <cell r="H2050" t="str">
            <v>General Mills MN</v>
          </cell>
          <cell r="I2050" t="str">
            <v>COMG</v>
          </cell>
          <cell r="J2050" t="str">
            <v>Commercial O&amp;M</v>
          </cell>
          <cell r="K2050" t="str">
            <v>Commercial</v>
          </cell>
          <cell r="L2050" t="str">
            <v xml:space="preserve">Commercial </v>
          </cell>
          <cell r="M2050" t="str">
            <v>MN</v>
          </cell>
          <cell r="N2050" t="str">
            <v>CONUS</v>
          </cell>
          <cell r="O2050">
            <v>0</v>
          </cell>
          <cell r="P2050">
            <v>0</v>
          </cell>
          <cell r="Q2050">
            <v>0</v>
          </cell>
          <cell r="R2050" t="str">
            <v>T&amp;M</v>
          </cell>
          <cell r="S2050">
            <v>0</v>
          </cell>
          <cell r="T2050">
            <v>1</v>
          </cell>
          <cell r="U2050" t="str">
            <v>REVTOT</v>
          </cell>
          <cell r="V2050" t="str">
            <v>Identified - Recompete</v>
          </cell>
          <cell r="W2050">
            <v>0</v>
          </cell>
          <cell r="X2050">
            <v>0</v>
          </cell>
          <cell r="Y2050">
            <v>0</v>
          </cell>
          <cell r="Z2050">
            <v>0</v>
          </cell>
          <cell r="AA2050">
            <v>0</v>
          </cell>
          <cell r="AB2050">
            <v>0</v>
          </cell>
          <cell r="AC2050">
            <v>0</v>
          </cell>
          <cell r="AD2050">
            <v>0</v>
          </cell>
          <cell r="AI2050">
            <v>0</v>
          </cell>
          <cell r="AJ2050">
            <v>0</v>
          </cell>
          <cell r="AK2050">
            <v>0</v>
          </cell>
          <cell r="BB2050">
            <v>0</v>
          </cell>
          <cell r="BC2050">
            <v>0</v>
          </cell>
          <cell r="BD2050">
            <v>0</v>
          </cell>
          <cell r="BE2050">
            <v>0</v>
          </cell>
          <cell r="BI2050">
            <v>0</v>
          </cell>
          <cell r="BJ2050">
            <v>0</v>
          </cell>
          <cell r="BK2050">
            <v>0</v>
          </cell>
          <cell r="BL2050">
            <v>0</v>
          </cell>
          <cell r="BM2050">
            <v>0</v>
          </cell>
          <cell r="BN2050">
            <v>0</v>
          </cell>
          <cell r="BO2050">
            <v>0</v>
          </cell>
          <cell r="BP2050">
            <v>0</v>
          </cell>
          <cell r="BQ2050">
            <v>0</v>
          </cell>
          <cell r="BR2050">
            <v>0</v>
          </cell>
          <cell r="BT2050">
            <v>0</v>
          </cell>
          <cell r="CA2050" t="str">
            <v>GMILLS - REVTOT - Identified - Recompete</v>
          </cell>
          <cell r="CC2050" t="str">
            <v>GMILLS - REVTOT - Identified - Recompete - COMG</v>
          </cell>
          <cell r="CD2050" t="str">
            <v/>
          </cell>
          <cell r="CF2050" t="str">
            <v>GMILLS - Identified - Recompete - COMG</v>
          </cell>
        </row>
        <row r="2051">
          <cell r="D2051">
            <v>2037</v>
          </cell>
          <cell r="E2051">
            <v>2</v>
          </cell>
          <cell r="F2051">
            <v>3</v>
          </cell>
          <cell r="G2051" t="str">
            <v>GMILLS</v>
          </cell>
          <cell r="H2051" t="str">
            <v>General Mills MN</v>
          </cell>
          <cell r="I2051" t="str">
            <v>COMG</v>
          </cell>
          <cell r="J2051" t="str">
            <v>Commercial O&amp;M</v>
          </cell>
          <cell r="K2051" t="str">
            <v>Commercial</v>
          </cell>
          <cell r="L2051" t="str">
            <v xml:space="preserve">Commercial </v>
          </cell>
          <cell r="M2051" t="str">
            <v>MN</v>
          </cell>
          <cell r="N2051" t="str">
            <v>CONUS</v>
          </cell>
          <cell r="O2051">
            <v>43617</v>
          </cell>
          <cell r="P2051">
            <v>44712</v>
          </cell>
          <cell r="Q2051" t="str">
            <v>Prime</v>
          </cell>
          <cell r="R2051" t="str">
            <v>T&amp;M</v>
          </cell>
          <cell r="S2051">
            <v>0</v>
          </cell>
          <cell r="T2051">
            <v>1</v>
          </cell>
          <cell r="U2051" t="str">
            <v>CONTRACT</v>
          </cell>
          <cell r="V2051" t="str">
            <v>Base</v>
          </cell>
          <cell r="W2051" t="str">
            <v>05 Won</v>
          </cell>
          <cell r="X2051" t="str">
            <v>Active</v>
          </cell>
          <cell r="Y2051">
            <v>1</v>
          </cell>
          <cell r="Z2051">
            <v>0</v>
          </cell>
          <cell r="AA2051">
            <v>810329.58</v>
          </cell>
          <cell r="AB2051">
            <v>2068768.69</v>
          </cell>
          <cell r="AC2051">
            <v>0</v>
          </cell>
          <cell r="AD2051">
            <v>2879098.27</v>
          </cell>
          <cell r="AL2051">
            <v>0</v>
          </cell>
          <cell r="AM2051">
            <v>0</v>
          </cell>
          <cell r="AN2051">
            <v>0</v>
          </cell>
          <cell r="AO2051">
            <v>0.1178167407389844</v>
          </cell>
          <cell r="AP2051">
            <v>0.11682320895189689</v>
          </cell>
          <cell r="AQ2051">
            <v>0.11682320895189689</v>
          </cell>
          <cell r="AR2051">
            <v>0.11682320895189689</v>
          </cell>
          <cell r="AS2051">
            <v>0.11682320895189689</v>
          </cell>
          <cell r="BF2051">
            <v>0</v>
          </cell>
          <cell r="BG2051">
            <v>0</v>
          </cell>
          <cell r="BH2051">
            <v>0</v>
          </cell>
          <cell r="BI2051">
            <v>0</v>
          </cell>
          <cell r="BJ2051">
            <v>0</v>
          </cell>
          <cell r="BK2051">
            <v>13682.820000000012</v>
          </cell>
          <cell r="BL2051">
            <v>35906.449999999997</v>
          </cell>
          <cell r="BM2051">
            <v>49589.270000000011</v>
          </cell>
          <cell r="BN2051">
            <v>125782.14719999996</v>
          </cell>
          <cell r="BO2051">
            <v>125782.14719999996</v>
          </cell>
          <cell r="BP2051">
            <v>84781.204389254941</v>
          </cell>
          <cell r="BQ2051">
            <v>0</v>
          </cell>
          <cell r="BR2051">
            <v>385934.76878925483</v>
          </cell>
          <cell r="BT2051">
            <v>0</v>
          </cell>
          <cell r="CA2051" t="str">
            <v>GMILLS - CONTRACT - Base</v>
          </cell>
          <cell r="CC2051" t="str">
            <v>GMILLS - CONTRACT - Base - COMG</v>
          </cell>
          <cell r="CD2051" t="str">
            <v/>
          </cell>
          <cell r="CF2051" t="str">
            <v>GMILLS - Base - COMG</v>
          </cell>
        </row>
        <row r="2052">
          <cell r="D2052">
            <v>2038</v>
          </cell>
          <cell r="E2052">
            <v>2</v>
          </cell>
          <cell r="F2052">
            <v>4</v>
          </cell>
          <cell r="G2052" t="str">
            <v>GMILLS</v>
          </cell>
          <cell r="H2052" t="str">
            <v>General Mills MN</v>
          </cell>
          <cell r="I2052" t="str">
            <v>COMG</v>
          </cell>
          <cell r="J2052" t="str">
            <v>Commercial O&amp;M</v>
          </cell>
          <cell r="K2052" t="str">
            <v>Commercial</v>
          </cell>
          <cell r="L2052" t="str">
            <v xml:space="preserve">Commercial </v>
          </cell>
          <cell r="M2052" t="str">
            <v>MN</v>
          </cell>
          <cell r="N2052" t="str">
            <v>CONUS</v>
          </cell>
          <cell r="O2052">
            <v>0</v>
          </cell>
          <cell r="P2052">
            <v>0</v>
          </cell>
          <cell r="Q2052">
            <v>0</v>
          </cell>
          <cell r="R2052" t="str">
            <v>T&amp;M</v>
          </cell>
          <cell r="S2052">
            <v>0</v>
          </cell>
          <cell r="T2052">
            <v>1</v>
          </cell>
          <cell r="U2052" t="str">
            <v>CONTRACT</v>
          </cell>
          <cell r="V2052" t="str">
            <v>Identified - Recompete</v>
          </cell>
          <cell r="W2052">
            <v>0</v>
          </cell>
          <cell r="X2052">
            <v>0</v>
          </cell>
          <cell r="Y2052">
            <v>0</v>
          </cell>
          <cell r="Z2052">
            <v>0</v>
          </cell>
          <cell r="AA2052">
            <v>0</v>
          </cell>
          <cell r="AB2052">
            <v>0</v>
          </cell>
          <cell r="AC2052">
            <v>0</v>
          </cell>
          <cell r="AD2052">
            <v>0</v>
          </cell>
          <cell r="AP2052">
            <v>0</v>
          </cell>
          <cell r="AQ2052">
            <v>0</v>
          </cell>
          <cell r="AR2052">
            <v>0</v>
          </cell>
          <cell r="AS2052">
            <v>0</v>
          </cell>
          <cell r="BI2052">
            <v>0</v>
          </cell>
          <cell r="BJ2052">
            <v>0</v>
          </cell>
          <cell r="BK2052">
            <v>0</v>
          </cell>
          <cell r="BL2052">
            <v>0</v>
          </cell>
          <cell r="BM2052">
            <v>0</v>
          </cell>
          <cell r="BN2052">
            <v>0</v>
          </cell>
          <cell r="BO2052">
            <v>0</v>
          </cell>
          <cell r="BP2052">
            <v>0</v>
          </cell>
          <cell r="BQ2052">
            <v>0</v>
          </cell>
          <cell r="BR2052">
            <v>0</v>
          </cell>
          <cell r="BT2052">
            <v>0</v>
          </cell>
          <cell r="CA2052" t="str">
            <v>GMILLS - CONTRACT - Identified - Recompete</v>
          </cell>
          <cell r="CC2052" t="str">
            <v>GMILLS - CONTRACT - Identified - Recompete - COMG</v>
          </cell>
          <cell r="CD2052" t="str">
            <v/>
          </cell>
          <cell r="CF2052" t="str">
            <v>GMILLS - Identified - Recompete - COMG</v>
          </cell>
        </row>
        <row r="2053">
          <cell r="D2053">
            <v>2039</v>
          </cell>
          <cell r="E2053">
            <v>0</v>
          </cell>
          <cell r="F2053">
            <v>5</v>
          </cell>
          <cell r="G2053" t="str">
            <v>GMILLS</v>
          </cell>
          <cell r="H2053" t="str">
            <v>General Mills MN</v>
          </cell>
          <cell r="I2053" t="str">
            <v>COMG</v>
          </cell>
          <cell r="J2053" t="str">
            <v>Commercial O&amp;M</v>
          </cell>
          <cell r="K2053" t="str">
            <v>Commercial</v>
          </cell>
          <cell r="L2053" t="str">
            <v xml:space="preserve">Commercial </v>
          </cell>
          <cell r="M2053" t="str">
            <v>MN</v>
          </cell>
          <cell r="N2053" t="str">
            <v>CONUS</v>
          </cell>
          <cell r="O2053">
            <v>43617</v>
          </cell>
          <cell r="P2053">
            <v>44712</v>
          </cell>
          <cell r="Q2053" t="str">
            <v>Prime</v>
          </cell>
          <cell r="R2053" t="str">
            <v>T&amp;M</v>
          </cell>
          <cell r="S2053">
            <v>0</v>
          </cell>
          <cell r="T2053">
            <v>1</v>
          </cell>
          <cell r="U2053" t="str">
            <v>EBITA</v>
          </cell>
          <cell r="V2053" t="str">
            <v>Base</v>
          </cell>
          <cell r="W2053" t="str">
            <v>05 Won</v>
          </cell>
          <cell r="X2053" t="str">
            <v>Active</v>
          </cell>
          <cell r="Y2053">
            <v>1</v>
          </cell>
          <cell r="Z2053">
            <v>0</v>
          </cell>
          <cell r="AA2053">
            <v>810329.58</v>
          </cell>
          <cell r="AB2053">
            <v>2068768.69</v>
          </cell>
          <cell r="AC2053">
            <v>0</v>
          </cell>
          <cell r="AD2053">
            <v>2879098.27</v>
          </cell>
          <cell r="AT2053">
            <v>0</v>
          </cell>
          <cell r="AU2053">
            <v>0</v>
          </cell>
          <cell r="AV2053">
            <v>0</v>
          </cell>
          <cell r="AW2053">
            <v>4.1365261197667237E-2</v>
          </cell>
          <cell r="AX2053">
            <v>3.8762049917986756E-2</v>
          </cell>
          <cell r="AY2053">
            <v>3.9762049917986757E-2</v>
          </cell>
          <cell r="AZ2053">
            <v>4.0762049917986758E-2</v>
          </cell>
          <cell r="BA2053">
            <v>4.1762049917986759E-2</v>
          </cell>
          <cell r="BF2053">
            <v>0</v>
          </cell>
          <cell r="BG2053">
            <v>0</v>
          </cell>
          <cell r="BH2053">
            <v>0</v>
          </cell>
          <cell r="BI2053">
            <v>0</v>
          </cell>
          <cell r="BJ2053">
            <v>0</v>
          </cell>
          <cell r="BK2053">
            <v>5599.8300000000127</v>
          </cell>
          <cell r="BL2053">
            <v>11810.879999999997</v>
          </cell>
          <cell r="BM2053">
            <v>17410.71000000001</v>
          </cell>
          <cell r="BN2053">
            <v>41734.634002097322</v>
          </cell>
          <cell r="BO2053">
            <v>42811.322002097324</v>
          </cell>
          <cell r="BP2053">
            <v>29581.927396334664</v>
          </cell>
          <cell r="BQ2053">
            <v>0</v>
          </cell>
          <cell r="BR2053">
            <v>131538.59340052932</v>
          </cell>
          <cell r="BT2053">
            <v>0</v>
          </cell>
          <cell r="CA2053" t="str">
            <v>GMILLS - EBITA - Base</v>
          </cell>
          <cell r="CC2053" t="str">
            <v>GMILLS - EBITA - Base - COMG</v>
          </cell>
          <cell r="CD2053" t="str">
            <v/>
          </cell>
          <cell r="CF2053" t="str">
            <v>GMILLS - Base - COMG</v>
          </cell>
        </row>
        <row r="2054">
          <cell r="D2054">
            <v>2040</v>
          </cell>
          <cell r="E2054">
            <v>0</v>
          </cell>
          <cell r="F2054">
            <v>0</v>
          </cell>
          <cell r="G2054" t="str">
            <v>GMILLS</v>
          </cell>
          <cell r="H2054" t="str">
            <v>General Mills MN</v>
          </cell>
          <cell r="I2054" t="str">
            <v>COMG</v>
          </cell>
          <cell r="J2054" t="str">
            <v>Commercial O&amp;M</v>
          </cell>
          <cell r="K2054" t="str">
            <v>Commercial</v>
          </cell>
          <cell r="L2054" t="str">
            <v xml:space="preserve">Commercial </v>
          </cell>
          <cell r="M2054" t="str">
            <v>MN</v>
          </cell>
          <cell r="N2054" t="str">
            <v>CONUS</v>
          </cell>
          <cell r="O2054">
            <v>0</v>
          </cell>
          <cell r="P2054">
            <v>0</v>
          </cell>
          <cell r="Q2054">
            <v>0</v>
          </cell>
          <cell r="R2054" t="str">
            <v>T&amp;M</v>
          </cell>
          <cell r="S2054">
            <v>0</v>
          </cell>
          <cell r="T2054">
            <v>1</v>
          </cell>
          <cell r="U2054" t="str">
            <v>EBITA</v>
          </cell>
          <cell r="V2054" t="str">
            <v>Identified - Recompete</v>
          </cell>
          <cell r="W2054">
            <v>0</v>
          </cell>
          <cell r="X2054">
            <v>0</v>
          </cell>
          <cell r="Y2054">
            <v>0</v>
          </cell>
          <cell r="Z2054">
            <v>0</v>
          </cell>
          <cell r="AA2054">
            <v>0</v>
          </cell>
          <cell r="AB2054">
            <v>0</v>
          </cell>
          <cell r="AC2054">
            <v>0</v>
          </cell>
          <cell r="AD2054">
            <v>0</v>
          </cell>
          <cell r="AX2054">
            <v>0</v>
          </cell>
          <cell r="AY2054">
            <v>0</v>
          </cell>
          <cell r="AZ2054">
            <v>0</v>
          </cell>
          <cell r="BA2054">
            <v>0</v>
          </cell>
          <cell r="BI2054">
            <v>0</v>
          </cell>
          <cell r="BJ2054">
            <v>0</v>
          </cell>
          <cell r="BK2054">
            <v>0</v>
          </cell>
          <cell r="BL2054">
            <v>0</v>
          </cell>
          <cell r="BM2054">
            <v>0</v>
          </cell>
          <cell r="BN2054">
            <v>0</v>
          </cell>
          <cell r="BO2054">
            <v>0</v>
          </cell>
          <cell r="BP2054">
            <v>0</v>
          </cell>
          <cell r="BQ2054">
            <v>0</v>
          </cell>
          <cell r="BR2054">
            <v>0</v>
          </cell>
          <cell r="BT2054">
            <v>0</v>
          </cell>
          <cell r="CA2054" t="str">
            <v>GMILLS - EBITA - Identified - Recompete</v>
          </cell>
          <cell r="CC2054" t="str">
            <v>GMILLS - EBITA - Identified - Recompete - COMG</v>
          </cell>
          <cell r="CD2054" t="str">
            <v/>
          </cell>
          <cell r="CF2054" t="str">
            <v>GMILLS - Identified - Recompete - COMG</v>
          </cell>
        </row>
        <row r="2055">
          <cell r="D2055">
            <v>2041</v>
          </cell>
          <cell r="E2055">
            <v>1</v>
          </cell>
          <cell r="F2055">
            <v>1</v>
          </cell>
          <cell r="G2055" t="str">
            <v>VOLVFM</v>
          </cell>
          <cell r="H2055" t="str">
            <v>Volvo FM Services</v>
          </cell>
          <cell r="I2055" t="str">
            <v>COMG</v>
          </cell>
          <cell r="J2055" t="str">
            <v>Commercial O&amp;M</v>
          </cell>
          <cell r="K2055" t="str">
            <v>Commercial</v>
          </cell>
          <cell r="L2055" t="str">
            <v xml:space="preserve">Commercial </v>
          </cell>
          <cell r="M2055" t="str">
            <v>SC</v>
          </cell>
          <cell r="N2055" t="str">
            <v>CONUS</v>
          </cell>
          <cell r="O2055">
            <v>42943</v>
          </cell>
          <cell r="P2055">
            <v>43830</v>
          </cell>
          <cell r="Q2055" t="str">
            <v>Prime</v>
          </cell>
          <cell r="R2055" t="str">
            <v>T&amp;M</v>
          </cell>
          <cell r="S2055">
            <v>0</v>
          </cell>
          <cell r="T2055">
            <v>1</v>
          </cell>
          <cell r="U2055" t="str">
            <v>REVTOT</v>
          </cell>
          <cell r="V2055" t="str">
            <v>Base</v>
          </cell>
          <cell r="W2055" t="str">
            <v>05 Won</v>
          </cell>
          <cell r="X2055" t="str">
            <v>Active</v>
          </cell>
          <cell r="Y2055">
            <v>1</v>
          </cell>
          <cell r="Z2055">
            <v>0</v>
          </cell>
          <cell r="AA2055">
            <v>-0.49000000004889444</v>
          </cell>
          <cell r="AB2055">
            <v>0</v>
          </cell>
          <cell r="AC2055">
            <v>0</v>
          </cell>
          <cell r="AD2055">
            <v>-0.49000000004889444</v>
          </cell>
          <cell r="AE2055">
            <v>0</v>
          </cell>
          <cell r="AF2055">
            <v>72.680996764455827</v>
          </cell>
          <cell r="AG2055">
            <v>-0.47375066353839046</v>
          </cell>
          <cell r="AH2055">
            <v>-1</v>
          </cell>
          <cell r="AI2055">
            <v>0</v>
          </cell>
          <cell r="AJ2055">
            <v>0</v>
          </cell>
          <cell r="AK2055">
            <v>0</v>
          </cell>
          <cell r="BB2055">
            <v>0</v>
          </cell>
          <cell r="BC2055">
            <v>0</v>
          </cell>
          <cell r="BD2055">
            <v>0</v>
          </cell>
          <cell r="BE2055">
            <v>0</v>
          </cell>
          <cell r="BF2055">
            <v>0</v>
          </cell>
          <cell r="BG2055">
            <v>15125.74</v>
          </cell>
          <cell r="BH2055">
            <v>1114479.6000000001</v>
          </cell>
          <cell r="BI2055">
            <v>260962.63999999998</v>
          </cell>
          <cell r="BJ2055">
            <v>210771.88999999998</v>
          </cell>
          <cell r="BK2055">
            <v>114759.62000000001</v>
          </cell>
          <cell r="BL2055">
            <v>0</v>
          </cell>
          <cell r="BM2055">
            <v>586494.15</v>
          </cell>
          <cell r="BN2055">
            <v>0</v>
          </cell>
          <cell r="BO2055">
            <v>0</v>
          </cell>
          <cell r="BP2055">
            <v>0</v>
          </cell>
          <cell r="BQ2055">
            <v>0</v>
          </cell>
          <cell r="BR2055">
            <v>586494.15</v>
          </cell>
          <cell r="BT2055">
            <v>0</v>
          </cell>
          <cell r="CA2055" t="str">
            <v>VOLVFM - REVTOT - Base</v>
          </cell>
          <cell r="CC2055" t="str">
            <v>VOLVFM - REVTOT - Base - COMG</v>
          </cell>
          <cell r="CD2055" t="str">
            <v/>
          </cell>
          <cell r="CF2055" t="str">
            <v>VOLVFM - Base - COMG</v>
          </cell>
        </row>
        <row r="2056">
          <cell r="D2056">
            <v>2042</v>
          </cell>
          <cell r="E2056">
            <v>1</v>
          </cell>
          <cell r="F2056">
            <v>2</v>
          </cell>
          <cell r="G2056" t="str">
            <v>VOLVFM</v>
          </cell>
          <cell r="H2056" t="str">
            <v>Volvo FM Services</v>
          </cell>
          <cell r="I2056" t="str">
            <v>COMG</v>
          </cell>
          <cell r="J2056" t="str">
            <v>Commercial O&amp;M</v>
          </cell>
          <cell r="K2056" t="str">
            <v>Commercial</v>
          </cell>
          <cell r="L2056" t="str">
            <v xml:space="preserve">Commercial </v>
          </cell>
          <cell r="M2056" t="str">
            <v>SC</v>
          </cell>
          <cell r="N2056" t="str">
            <v>CONUS</v>
          </cell>
          <cell r="O2056">
            <v>0</v>
          </cell>
          <cell r="P2056">
            <v>0</v>
          </cell>
          <cell r="Q2056">
            <v>0</v>
          </cell>
          <cell r="R2056" t="str">
            <v>T&amp;M</v>
          </cell>
          <cell r="S2056">
            <v>0</v>
          </cell>
          <cell r="T2056">
            <v>1</v>
          </cell>
          <cell r="U2056" t="str">
            <v>REVTOT</v>
          </cell>
          <cell r="V2056" t="str">
            <v>Identified - Recompete</v>
          </cell>
          <cell r="W2056">
            <v>0</v>
          </cell>
          <cell r="X2056">
            <v>0</v>
          </cell>
          <cell r="Y2056">
            <v>0</v>
          </cell>
          <cell r="Z2056">
            <v>0</v>
          </cell>
          <cell r="AA2056">
            <v>0</v>
          </cell>
          <cell r="AB2056">
            <v>0</v>
          </cell>
          <cell r="AC2056">
            <v>0</v>
          </cell>
          <cell r="AD2056">
            <v>0</v>
          </cell>
          <cell r="AI2056">
            <v>0</v>
          </cell>
          <cell r="AJ2056">
            <v>0</v>
          </cell>
          <cell r="AK2056">
            <v>0</v>
          </cell>
          <cell r="BB2056">
            <v>0</v>
          </cell>
          <cell r="BC2056">
            <v>0</v>
          </cell>
          <cell r="BD2056">
            <v>0</v>
          </cell>
          <cell r="BE2056">
            <v>0</v>
          </cell>
          <cell r="BI2056">
            <v>0</v>
          </cell>
          <cell r="BJ2056">
            <v>0</v>
          </cell>
          <cell r="BK2056">
            <v>0</v>
          </cell>
          <cell r="BL2056">
            <v>0</v>
          </cell>
          <cell r="BM2056">
            <v>0</v>
          </cell>
          <cell r="BN2056">
            <v>0</v>
          </cell>
          <cell r="BO2056">
            <v>0</v>
          </cell>
          <cell r="BP2056">
            <v>0</v>
          </cell>
          <cell r="BQ2056">
            <v>0</v>
          </cell>
          <cell r="BR2056">
            <v>0</v>
          </cell>
          <cell r="BT2056">
            <v>0</v>
          </cell>
          <cell r="CA2056" t="str">
            <v>VOLVFM - REVTOT - Identified - Recompete</v>
          </cell>
          <cell r="CC2056" t="str">
            <v>VOLVFM - REVTOT - Identified - Recompete - COMG</v>
          </cell>
          <cell r="CD2056" t="str">
            <v/>
          </cell>
          <cell r="CF2056" t="str">
            <v>VOLVFM - Identified - Recompete - COMG</v>
          </cell>
        </row>
        <row r="2057">
          <cell r="D2057">
            <v>2043</v>
          </cell>
          <cell r="E2057">
            <v>2</v>
          </cell>
          <cell r="F2057">
            <v>3</v>
          </cell>
          <cell r="G2057" t="str">
            <v>VOLVFM</v>
          </cell>
          <cell r="H2057" t="str">
            <v>Volvo FM Services</v>
          </cell>
          <cell r="I2057" t="str">
            <v>COMG</v>
          </cell>
          <cell r="J2057" t="str">
            <v>Commercial O&amp;M</v>
          </cell>
          <cell r="K2057" t="str">
            <v>Commercial</v>
          </cell>
          <cell r="L2057" t="str">
            <v xml:space="preserve">Commercial </v>
          </cell>
          <cell r="M2057" t="str">
            <v>SC</v>
          </cell>
          <cell r="N2057" t="str">
            <v>CONUS</v>
          </cell>
          <cell r="O2057">
            <v>42943</v>
          </cell>
          <cell r="P2057">
            <v>43830</v>
          </cell>
          <cell r="Q2057" t="str">
            <v>Prime</v>
          </cell>
          <cell r="R2057" t="str">
            <v>T&amp;M</v>
          </cell>
          <cell r="S2057">
            <v>0</v>
          </cell>
          <cell r="T2057">
            <v>1</v>
          </cell>
          <cell r="U2057" t="str">
            <v>CONTRACT</v>
          </cell>
          <cell r="V2057" t="str">
            <v>Base</v>
          </cell>
          <cell r="W2057" t="str">
            <v>05 Won</v>
          </cell>
          <cell r="X2057" t="str">
            <v>Active</v>
          </cell>
          <cell r="Y2057">
            <v>1</v>
          </cell>
          <cell r="Z2057">
            <v>0</v>
          </cell>
          <cell r="AA2057">
            <v>-0.49000000004889444</v>
          </cell>
          <cell r="AB2057">
            <v>0</v>
          </cell>
          <cell r="AC2057">
            <v>0</v>
          </cell>
          <cell r="AD2057">
            <v>-0.49000000004889444</v>
          </cell>
          <cell r="AL2057">
            <v>0</v>
          </cell>
          <cell r="AM2057">
            <v>0.17660226871544801</v>
          </cell>
          <cell r="AN2057">
            <v>0.19321063391380161</v>
          </cell>
          <cell r="AO2057">
            <v>0.14500016752085249</v>
          </cell>
          <cell r="AP2057">
            <v>0.17658783873888337</v>
          </cell>
          <cell r="AQ2057">
            <v>0.17658783873888337</v>
          </cell>
          <cell r="AR2057">
            <v>0.17658783873888337</v>
          </cell>
          <cell r="AS2057">
            <v>0.17658783873888337</v>
          </cell>
          <cell r="BF2057">
            <v>0</v>
          </cell>
          <cell r="BG2057">
            <v>2671.2400000000007</v>
          </cell>
          <cell r="BH2057">
            <v>215329.31000000006</v>
          </cell>
          <cell r="BI2057">
            <v>39913.360000000001</v>
          </cell>
          <cell r="BJ2057">
            <v>29596.229999999981</v>
          </cell>
          <cell r="BK2057">
            <v>15532.16</v>
          </cell>
          <cell r="BL2057">
            <v>0</v>
          </cell>
          <cell r="BM2057">
            <v>85041.749999999985</v>
          </cell>
          <cell r="BN2057">
            <v>0</v>
          </cell>
          <cell r="BO2057">
            <v>0</v>
          </cell>
          <cell r="BP2057">
            <v>0</v>
          </cell>
          <cell r="BQ2057">
            <v>0</v>
          </cell>
          <cell r="BR2057">
            <v>85041.749999999985</v>
          </cell>
          <cell r="BT2057">
            <v>0</v>
          </cell>
          <cell r="CA2057" t="str">
            <v>VOLVFM - CONTRACT - Base</v>
          </cell>
          <cell r="CC2057" t="str">
            <v>VOLVFM - CONTRACT - Base - COMG</v>
          </cell>
          <cell r="CD2057" t="str">
            <v/>
          </cell>
          <cell r="CF2057" t="str">
            <v>VOLVFM - Base - COMG</v>
          </cell>
        </row>
        <row r="2058">
          <cell r="D2058">
            <v>2044</v>
          </cell>
          <cell r="E2058">
            <v>2</v>
          </cell>
          <cell r="F2058">
            <v>4</v>
          </cell>
          <cell r="G2058" t="str">
            <v>VOLVFM</v>
          </cell>
          <cell r="H2058" t="str">
            <v>Volvo FM Services</v>
          </cell>
          <cell r="I2058" t="str">
            <v>COMG</v>
          </cell>
          <cell r="J2058" t="str">
            <v>Commercial O&amp;M</v>
          </cell>
          <cell r="K2058" t="str">
            <v>Commercial</v>
          </cell>
          <cell r="L2058" t="str">
            <v xml:space="preserve">Commercial </v>
          </cell>
          <cell r="M2058" t="str">
            <v>SC</v>
          </cell>
          <cell r="N2058" t="str">
            <v>CONUS</v>
          </cell>
          <cell r="O2058">
            <v>0</v>
          </cell>
          <cell r="P2058">
            <v>0</v>
          </cell>
          <cell r="Q2058">
            <v>0</v>
          </cell>
          <cell r="R2058" t="str">
            <v>T&amp;M</v>
          </cell>
          <cell r="S2058">
            <v>0</v>
          </cell>
          <cell r="T2058">
            <v>1</v>
          </cell>
          <cell r="U2058" t="str">
            <v>CONTRACT</v>
          </cell>
          <cell r="V2058" t="str">
            <v>Identified - Recompete</v>
          </cell>
          <cell r="W2058">
            <v>0</v>
          </cell>
          <cell r="X2058">
            <v>0</v>
          </cell>
          <cell r="Y2058">
            <v>0</v>
          </cell>
          <cell r="Z2058">
            <v>0</v>
          </cell>
          <cell r="AA2058">
            <v>0</v>
          </cell>
          <cell r="AB2058">
            <v>0</v>
          </cell>
          <cell r="AC2058">
            <v>0</v>
          </cell>
          <cell r="AD2058">
            <v>0</v>
          </cell>
          <cell r="AP2058">
            <v>0</v>
          </cell>
          <cell r="AQ2058">
            <v>0</v>
          </cell>
          <cell r="AR2058">
            <v>0</v>
          </cell>
          <cell r="AS2058">
            <v>0</v>
          </cell>
          <cell r="BI2058">
            <v>0</v>
          </cell>
          <cell r="BJ2058">
            <v>0</v>
          </cell>
          <cell r="BK2058">
            <v>0</v>
          </cell>
          <cell r="BL2058">
            <v>0</v>
          </cell>
          <cell r="BM2058">
            <v>0</v>
          </cell>
          <cell r="BN2058">
            <v>0</v>
          </cell>
          <cell r="BO2058">
            <v>0</v>
          </cell>
          <cell r="BP2058">
            <v>0</v>
          </cell>
          <cell r="BQ2058">
            <v>0</v>
          </cell>
          <cell r="BR2058">
            <v>0</v>
          </cell>
          <cell r="BT2058">
            <v>0</v>
          </cell>
          <cell r="CA2058" t="str">
            <v>VOLVFM - CONTRACT - Identified - Recompete</v>
          </cell>
          <cell r="CC2058" t="str">
            <v>VOLVFM - CONTRACT - Identified - Recompete - COMG</v>
          </cell>
          <cell r="CD2058" t="str">
            <v/>
          </cell>
          <cell r="CF2058" t="str">
            <v>VOLVFM - Identified - Recompete - COMG</v>
          </cell>
        </row>
        <row r="2059">
          <cell r="D2059">
            <v>2045</v>
          </cell>
          <cell r="E2059">
            <v>0</v>
          </cell>
          <cell r="F2059">
            <v>5</v>
          </cell>
          <cell r="G2059" t="str">
            <v>VOLVFM</v>
          </cell>
          <cell r="H2059" t="str">
            <v>Volvo FM Services</v>
          </cell>
          <cell r="I2059" t="str">
            <v>COMG</v>
          </cell>
          <cell r="J2059" t="str">
            <v>Commercial O&amp;M</v>
          </cell>
          <cell r="K2059" t="str">
            <v>Commercial</v>
          </cell>
          <cell r="L2059" t="str">
            <v xml:space="preserve">Commercial </v>
          </cell>
          <cell r="M2059" t="str">
            <v>SC</v>
          </cell>
          <cell r="N2059" t="str">
            <v>CONUS</v>
          </cell>
          <cell r="O2059">
            <v>42943</v>
          </cell>
          <cell r="P2059">
            <v>43830</v>
          </cell>
          <cell r="Q2059" t="str">
            <v>Prime</v>
          </cell>
          <cell r="R2059" t="str">
            <v>T&amp;M</v>
          </cell>
          <cell r="S2059">
            <v>0</v>
          </cell>
          <cell r="T2059">
            <v>1</v>
          </cell>
          <cell r="U2059" t="str">
            <v>EBITA</v>
          </cell>
          <cell r="V2059" t="str">
            <v>Base</v>
          </cell>
          <cell r="W2059" t="str">
            <v>05 Won</v>
          </cell>
          <cell r="X2059" t="str">
            <v>Active</v>
          </cell>
          <cell r="Y2059">
            <v>1</v>
          </cell>
          <cell r="Z2059">
            <v>0</v>
          </cell>
          <cell r="AA2059">
            <v>-0.49000000004889444</v>
          </cell>
          <cell r="AB2059">
            <v>0</v>
          </cell>
          <cell r="AC2059">
            <v>0</v>
          </cell>
          <cell r="AD2059">
            <v>-0.49000000004889444</v>
          </cell>
          <cell r="AT2059">
            <v>0</v>
          </cell>
          <cell r="AU2059">
            <v>7.6040577188289701E-2</v>
          </cell>
          <cell r="AV2059">
            <v>0.10051406055346375</v>
          </cell>
          <cell r="AW2059">
            <v>6.628337213593688E-2</v>
          </cell>
          <cell r="AX2059">
            <v>8.9599670873394419E-2</v>
          </cell>
          <cell r="AY2059">
            <v>9.0599670873394419E-2</v>
          </cell>
          <cell r="AZ2059">
            <v>9.159967087339442E-2</v>
          </cell>
          <cell r="BA2059">
            <v>9.2599670873394421E-2</v>
          </cell>
          <cell r="BF2059">
            <v>0</v>
          </cell>
          <cell r="BG2059">
            <v>1150.170000000001</v>
          </cell>
          <cell r="BH2059">
            <v>112020.87000000007</v>
          </cell>
          <cell r="BI2059">
            <v>19696.21</v>
          </cell>
          <cell r="BJ2059">
            <v>12807.089999999982</v>
          </cell>
          <cell r="BK2059">
            <v>6371.5099999999993</v>
          </cell>
          <cell r="BL2059">
            <v>0</v>
          </cell>
          <cell r="BM2059">
            <v>38874.809999999983</v>
          </cell>
          <cell r="BN2059">
            <v>0</v>
          </cell>
          <cell r="BO2059">
            <v>0</v>
          </cell>
          <cell r="BP2059">
            <v>0</v>
          </cell>
          <cell r="BQ2059">
            <v>0</v>
          </cell>
          <cell r="BR2059">
            <v>38874.809999999983</v>
          </cell>
          <cell r="BT2059">
            <v>0</v>
          </cell>
          <cell r="CA2059" t="str">
            <v>VOLVFM - EBITA - Base</v>
          </cell>
          <cell r="CC2059" t="str">
            <v>VOLVFM - EBITA - Base - COMG</v>
          </cell>
          <cell r="CD2059" t="str">
            <v/>
          </cell>
          <cell r="CF2059" t="str">
            <v>VOLVFM - Base - COMG</v>
          </cell>
        </row>
        <row r="2060">
          <cell r="D2060">
            <v>2046</v>
          </cell>
          <cell r="E2060">
            <v>0</v>
          </cell>
          <cell r="F2060">
            <v>0</v>
          </cell>
          <cell r="G2060" t="str">
            <v>VOLVFM</v>
          </cell>
          <cell r="H2060" t="str">
            <v>Volvo FM Services</v>
          </cell>
          <cell r="I2060" t="str">
            <v>COMG</v>
          </cell>
          <cell r="J2060" t="str">
            <v>Commercial O&amp;M</v>
          </cell>
          <cell r="K2060" t="str">
            <v>Commercial</v>
          </cell>
          <cell r="L2060" t="str">
            <v xml:space="preserve">Commercial </v>
          </cell>
          <cell r="M2060" t="str">
            <v>SC</v>
          </cell>
          <cell r="N2060" t="str">
            <v>CONUS</v>
          </cell>
          <cell r="O2060">
            <v>0</v>
          </cell>
          <cell r="P2060">
            <v>0</v>
          </cell>
          <cell r="Q2060">
            <v>0</v>
          </cell>
          <cell r="R2060" t="str">
            <v>T&amp;M</v>
          </cell>
          <cell r="S2060">
            <v>0</v>
          </cell>
          <cell r="T2060">
            <v>1</v>
          </cell>
          <cell r="U2060" t="str">
            <v>EBITA</v>
          </cell>
          <cell r="V2060" t="str">
            <v>Identified - Recompete</v>
          </cell>
          <cell r="W2060">
            <v>0</v>
          </cell>
          <cell r="X2060">
            <v>0</v>
          </cell>
          <cell r="Y2060">
            <v>0</v>
          </cell>
          <cell r="Z2060">
            <v>0</v>
          </cell>
          <cell r="AA2060">
            <v>0</v>
          </cell>
          <cell r="AB2060">
            <v>0</v>
          </cell>
          <cell r="AC2060">
            <v>0</v>
          </cell>
          <cell r="AD2060">
            <v>0</v>
          </cell>
          <cell r="AX2060">
            <v>0</v>
          </cell>
          <cell r="AY2060">
            <v>0</v>
          </cell>
          <cell r="AZ2060">
            <v>0</v>
          </cell>
          <cell r="BA2060">
            <v>0</v>
          </cell>
          <cell r="BI2060">
            <v>0</v>
          </cell>
          <cell r="BJ2060">
            <v>0</v>
          </cell>
          <cell r="BK2060">
            <v>0</v>
          </cell>
          <cell r="BL2060">
            <v>0</v>
          </cell>
          <cell r="BM2060">
            <v>0</v>
          </cell>
          <cell r="BN2060">
            <v>0</v>
          </cell>
          <cell r="BO2060">
            <v>0</v>
          </cell>
          <cell r="BP2060">
            <v>0</v>
          </cell>
          <cell r="BQ2060">
            <v>0</v>
          </cell>
          <cell r="BR2060">
            <v>0</v>
          </cell>
          <cell r="BT2060">
            <v>0</v>
          </cell>
          <cell r="CA2060" t="str">
            <v>VOLVFM - EBITA - Identified - Recompete</v>
          </cell>
          <cell r="CC2060" t="str">
            <v>VOLVFM - EBITA - Identified - Recompete - COMG</v>
          </cell>
          <cell r="CD2060" t="str">
            <v/>
          </cell>
          <cell r="CF2060" t="str">
            <v>VOLVFM - Identified - Recompete - COMG</v>
          </cell>
        </row>
        <row r="2061">
          <cell r="D2061">
            <v>2047</v>
          </cell>
          <cell r="E2061">
            <v>1</v>
          </cell>
          <cell r="F2061">
            <v>1</v>
          </cell>
          <cell r="G2061" t="str">
            <v>CATOTH</v>
          </cell>
          <cell r="H2061" t="str">
            <v>FM Caterpillar Other</v>
          </cell>
          <cell r="I2061" t="str">
            <v>COMG</v>
          </cell>
          <cell r="J2061" t="str">
            <v>Commercial O&amp;M</v>
          </cell>
          <cell r="K2061" t="str">
            <v>Commercial</v>
          </cell>
          <cell r="L2061" t="str">
            <v xml:space="preserve">Commercial </v>
          </cell>
          <cell r="M2061" t="str">
            <v>Multi_Dom-Intl</v>
          </cell>
          <cell r="N2061" t="str">
            <v>Other</v>
          </cell>
          <cell r="O2061">
            <v>43326</v>
          </cell>
          <cell r="P2061">
            <v>43690</v>
          </cell>
          <cell r="Q2061" t="str">
            <v>Prime</v>
          </cell>
          <cell r="R2061" t="str">
            <v>Multi</v>
          </cell>
          <cell r="S2061">
            <v>0</v>
          </cell>
          <cell r="T2061">
            <v>1</v>
          </cell>
          <cell r="U2061" t="str">
            <v>REVTOT</v>
          </cell>
          <cell r="V2061" t="str">
            <v>Base</v>
          </cell>
          <cell r="W2061" t="str">
            <v>05 Won</v>
          </cell>
          <cell r="X2061" t="str">
            <v>Active</v>
          </cell>
          <cell r="Y2061">
            <v>1</v>
          </cell>
          <cell r="Z2061">
            <v>0</v>
          </cell>
          <cell r="AA2061">
            <v>0</v>
          </cell>
          <cell r="AB2061">
            <v>0</v>
          </cell>
          <cell r="AC2061">
            <v>0</v>
          </cell>
          <cell r="AD2061">
            <v>0</v>
          </cell>
          <cell r="AE2061">
            <v>0</v>
          </cell>
          <cell r="AF2061">
            <v>0</v>
          </cell>
          <cell r="AG2061">
            <v>0</v>
          </cell>
          <cell r="AH2061">
            <v>0</v>
          </cell>
          <cell r="AI2061">
            <v>0</v>
          </cell>
          <cell r="AJ2061">
            <v>0</v>
          </cell>
          <cell r="AK2061">
            <v>0</v>
          </cell>
          <cell r="BB2061">
            <v>0</v>
          </cell>
          <cell r="BC2061">
            <v>0</v>
          </cell>
          <cell r="BD2061">
            <v>0</v>
          </cell>
          <cell r="BE2061">
            <v>0</v>
          </cell>
          <cell r="BF2061">
            <v>0</v>
          </cell>
          <cell r="BG2061">
            <v>0</v>
          </cell>
          <cell r="BH2061">
            <v>0</v>
          </cell>
          <cell r="BI2061">
            <v>0</v>
          </cell>
          <cell r="BJ2061">
            <v>0</v>
          </cell>
          <cell r="BK2061">
            <v>0</v>
          </cell>
          <cell r="BL2061">
            <v>0</v>
          </cell>
          <cell r="BM2061">
            <v>0</v>
          </cell>
          <cell r="BN2061">
            <v>0</v>
          </cell>
          <cell r="BO2061">
            <v>0</v>
          </cell>
          <cell r="BP2061">
            <v>0</v>
          </cell>
          <cell r="BQ2061">
            <v>0</v>
          </cell>
          <cell r="BR2061">
            <v>0</v>
          </cell>
          <cell r="BT2061">
            <v>0</v>
          </cell>
          <cell r="CA2061" t="str">
            <v>CATOTH - REVTOT - Base</v>
          </cell>
          <cell r="CC2061" t="str">
            <v>CATOTH - REVTOT - Base - COMG</v>
          </cell>
          <cell r="CD2061" t="str">
            <v/>
          </cell>
          <cell r="CF2061" t="str">
            <v>CATOTH - Base - COMG</v>
          </cell>
        </row>
        <row r="2062">
          <cell r="D2062">
            <v>2048</v>
          </cell>
          <cell r="E2062">
            <v>1</v>
          </cell>
          <cell r="F2062">
            <v>2</v>
          </cell>
          <cell r="G2062" t="str">
            <v>CATOTH</v>
          </cell>
          <cell r="H2062" t="str">
            <v>FM Caterpillar Other</v>
          </cell>
          <cell r="I2062" t="str">
            <v>COMG</v>
          </cell>
          <cell r="J2062" t="str">
            <v>Commercial O&amp;M</v>
          </cell>
          <cell r="K2062" t="str">
            <v>Commercial</v>
          </cell>
          <cell r="L2062" t="str">
            <v xml:space="preserve">Commercial </v>
          </cell>
          <cell r="M2062" t="str">
            <v>Multi_Dom-Intl</v>
          </cell>
          <cell r="N2062" t="str">
            <v>Other</v>
          </cell>
          <cell r="O2062">
            <v>0</v>
          </cell>
          <cell r="P2062">
            <v>0</v>
          </cell>
          <cell r="Q2062">
            <v>0</v>
          </cell>
          <cell r="R2062" t="str">
            <v>Multi</v>
          </cell>
          <cell r="S2062">
            <v>0</v>
          </cell>
          <cell r="T2062">
            <v>1</v>
          </cell>
          <cell r="U2062" t="str">
            <v>REVTOT</v>
          </cell>
          <cell r="V2062" t="str">
            <v>Identified - Recompete</v>
          </cell>
          <cell r="W2062">
            <v>0</v>
          </cell>
          <cell r="X2062">
            <v>0</v>
          </cell>
          <cell r="Y2062">
            <v>0</v>
          </cell>
          <cell r="Z2062">
            <v>0</v>
          </cell>
          <cell r="AA2062">
            <v>0</v>
          </cell>
          <cell r="AB2062">
            <v>0</v>
          </cell>
          <cell r="AC2062">
            <v>0</v>
          </cell>
          <cell r="AD2062">
            <v>0</v>
          </cell>
          <cell r="AI2062">
            <v>0</v>
          </cell>
          <cell r="AJ2062">
            <v>0</v>
          </cell>
          <cell r="AK2062">
            <v>0</v>
          </cell>
          <cell r="BB2062">
            <v>0</v>
          </cell>
          <cell r="BC2062">
            <v>0</v>
          </cell>
          <cell r="BD2062">
            <v>0</v>
          </cell>
          <cell r="BE2062">
            <v>0</v>
          </cell>
          <cell r="BI2062">
            <v>0</v>
          </cell>
          <cell r="BJ2062">
            <v>0</v>
          </cell>
          <cell r="BK2062">
            <v>0</v>
          </cell>
          <cell r="BL2062">
            <v>0</v>
          </cell>
          <cell r="BM2062">
            <v>0</v>
          </cell>
          <cell r="BN2062">
            <v>0</v>
          </cell>
          <cell r="BO2062">
            <v>0</v>
          </cell>
          <cell r="BP2062">
            <v>0</v>
          </cell>
          <cell r="BQ2062">
            <v>0</v>
          </cell>
          <cell r="BR2062">
            <v>0</v>
          </cell>
          <cell r="BT2062">
            <v>0</v>
          </cell>
          <cell r="CA2062" t="str">
            <v>CATOTH - REVTOT - Identified - Recompete</v>
          </cell>
          <cell r="CC2062" t="str">
            <v>CATOTH - REVTOT - Identified - Recompete - COMG</v>
          </cell>
          <cell r="CD2062" t="str">
            <v/>
          </cell>
          <cell r="CF2062" t="str">
            <v>CATOTH - Identified - Recompete - COMG</v>
          </cell>
        </row>
        <row r="2063">
          <cell r="D2063">
            <v>2049</v>
          </cell>
          <cell r="E2063">
            <v>2</v>
          </cell>
          <cell r="F2063">
            <v>3</v>
          </cell>
          <cell r="G2063" t="str">
            <v>CATOTH</v>
          </cell>
          <cell r="H2063" t="str">
            <v>FM Caterpillar Other</v>
          </cell>
          <cell r="I2063" t="str">
            <v>COMG</v>
          </cell>
          <cell r="J2063" t="str">
            <v>Commercial O&amp;M</v>
          </cell>
          <cell r="K2063" t="str">
            <v>Commercial</v>
          </cell>
          <cell r="L2063" t="str">
            <v xml:space="preserve">Commercial </v>
          </cell>
          <cell r="M2063" t="str">
            <v>Multi_Dom-Intl</v>
          </cell>
          <cell r="N2063" t="str">
            <v>Other</v>
          </cell>
          <cell r="O2063">
            <v>43326</v>
          </cell>
          <cell r="P2063">
            <v>43690</v>
          </cell>
          <cell r="Q2063" t="str">
            <v>Prime</v>
          </cell>
          <cell r="R2063" t="str">
            <v>Multi</v>
          </cell>
          <cell r="S2063">
            <v>0</v>
          </cell>
          <cell r="T2063">
            <v>1</v>
          </cell>
          <cell r="U2063" t="str">
            <v>CONTRACT</v>
          </cell>
          <cell r="V2063" t="str">
            <v>Base</v>
          </cell>
          <cell r="W2063" t="str">
            <v>05 Won</v>
          </cell>
          <cell r="X2063" t="str">
            <v>Active</v>
          </cell>
          <cell r="Y2063">
            <v>1</v>
          </cell>
          <cell r="Z2063">
            <v>0</v>
          </cell>
          <cell r="AA2063">
            <v>0</v>
          </cell>
          <cell r="AB2063">
            <v>0</v>
          </cell>
          <cell r="AC2063">
            <v>0</v>
          </cell>
          <cell r="AD2063">
            <v>0</v>
          </cell>
          <cell r="AL2063">
            <v>0</v>
          </cell>
          <cell r="AM2063">
            <v>0</v>
          </cell>
          <cell r="AN2063">
            <v>0</v>
          </cell>
          <cell r="AO2063">
            <v>0</v>
          </cell>
          <cell r="AP2063">
            <v>0</v>
          </cell>
          <cell r="AQ2063">
            <v>0</v>
          </cell>
          <cell r="AR2063">
            <v>0</v>
          </cell>
          <cell r="AS2063">
            <v>0</v>
          </cell>
          <cell r="BF2063">
            <v>0</v>
          </cell>
          <cell r="BG2063">
            <v>0</v>
          </cell>
          <cell r="BH2063">
            <v>0</v>
          </cell>
          <cell r="BI2063">
            <v>0</v>
          </cell>
          <cell r="BJ2063">
            <v>0</v>
          </cell>
          <cell r="BK2063">
            <v>0</v>
          </cell>
          <cell r="BL2063">
            <v>276084</v>
          </cell>
          <cell r="BM2063">
            <v>276084</v>
          </cell>
          <cell r="BN2063">
            <v>0</v>
          </cell>
          <cell r="BO2063">
            <v>0</v>
          </cell>
          <cell r="BP2063">
            <v>0</v>
          </cell>
          <cell r="BQ2063">
            <v>0</v>
          </cell>
          <cell r="BR2063">
            <v>276084</v>
          </cell>
          <cell r="BT2063">
            <v>0</v>
          </cell>
          <cell r="CA2063" t="str">
            <v>CATOTH - CONTRACT - Base</v>
          </cell>
          <cell r="CC2063" t="str">
            <v>CATOTH - CONTRACT - Base - COMG</v>
          </cell>
          <cell r="CD2063" t="str">
            <v/>
          </cell>
          <cell r="CF2063" t="str">
            <v>CATOTH - Base - COMG</v>
          </cell>
        </row>
        <row r="2064">
          <cell r="D2064">
            <v>2050</v>
          </cell>
          <cell r="E2064">
            <v>2</v>
          </cell>
          <cell r="F2064">
            <v>4</v>
          </cell>
          <cell r="G2064" t="str">
            <v>CATOTH</v>
          </cell>
          <cell r="H2064" t="str">
            <v>FM Caterpillar Other</v>
          </cell>
          <cell r="I2064" t="str">
            <v>COMG</v>
          </cell>
          <cell r="J2064" t="str">
            <v>Commercial O&amp;M</v>
          </cell>
          <cell r="K2064" t="str">
            <v>Commercial</v>
          </cell>
          <cell r="L2064" t="str">
            <v xml:space="preserve">Commercial </v>
          </cell>
          <cell r="M2064" t="str">
            <v>Multi_Dom-Intl</v>
          </cell>
          <cell r="N2064" t="str">
            <v>Other</v>
          </cell>
          <cell r="O2064">
            <v>0</v>
          </cell>
          <cell r="P2064">
            <v>0</v>
          </cell>
          <cell r="Q2064">
            <v>0</v>
          </cell>
          <cell r="R2064" t="str">
            <v>Multi</v>
          </cell>
          <cell r="S2064">
            <v>0</v>
          </cell>
          <cell r="T2064">
            <v>1</v>
          </cell>
          <cell r="U2064" t="str">
            <v>CONTRACT</v>
          </cell>
          <cell r="V2064" t="str">
            <v>Identified - Recompete</v>
          </cell>
          <cell r="W2064">
            <v>0</v>
          </cell>
          <cell r="X2064">
            <v>0</v>
          </cell>
          <cell r="Y2064">
            <v>0</v>
          </cell>
          <cell r="Z2064">
            <v>0</v>
          </cell>
          <cell r="AA2064">
            <v>0</v>
          </cell>
          <cell r="AB2064">
            <v>0</v>
          </cell>
          <cell r="AC2064">
            <v>0</v>
          </cell>
          <cell r="AD2064">
            <v>0</v>
          </cell>
          <cell r="AP2064">
            <v>0</v>
          </cell>
          <cell r="AQ2064">
            <v>0</v>
          </cell>
          <cell r="AR2064">
            <v>0</v>
          </cell>
          <cell r="AS2064">
            <v>0</v>
          </cell>
          <cell r="BI2064">
            <v>0</v>
          </cell>
          <cell r="BJ2064">
            <v>0</v>
          </cell>
          <cell r="BK2064">
            <v>0</v>
          </cell>
          <cell r="BL2064">
            <v>0</v>
          </cell>
          <cell r="BM2064">
            <v>0</v>
          </cell>
          <cell r="BN2064">
            <v>0</v>
          </cell>
          <cell r="BO2064">
            <v>0</v>
          </cell>
          <cell r="BP2064">
            <v>0</v>
          </cell>
          <cell r="BQ2064">
            <v>0</v>
          </cell>
          <cell r="BR2064">
            <v>0</v>
          </cell>
          <cell r="BT2064">
            <v>0</v>
          </cell>
          <cell r="CA2064" t="str">
            <v>CATOTH - CONTRACT - Identified - Recompete</v>
          </cell>
          <cell r="CC2064" t="str">
            <v>CATOTH - CONTRACT - Identified - Recompete - COMG</v>
          </cell>
          <cell r="CD2064" t="str">
            <v/>
          </cell>
          <cell r="CF2064" t="str">
            <v>CATOTH - Identified - Recompete - COMG</v>
          </cell>
        </row>
        <row r="2065">
          <cell r="D2065">
            <v>2051</v>
          </cell>
          <cell r="E2065">
            <v>0</v>
          </cell>
          <cell r="F2065">
            <v>5</v>
          </cell>
          <cell r="G2065" t="str">
            <v>CATOTH</v>
          </cell>
          <cell r="H2065" t="str">
            <v>FM Caterpillar Other</v>
          </cell>
          <cell r="I2065" t="str">
            <v>COMG</v>
          </cell>
          <cell r="J2065" t="str">
            <v>Commercial O&amp;M</v>
          </cell>
          <cell r="K2065" t="str">
            <v>Commercial</v>
          </cell>
          <cell r="L2065" t="str">
            <v xml:space="preserve">Commercial </v>
          </cell>
          <cell r="M2065" t="str">
            <v>Multi_Dom-Intl</v>
          </cell>
          <cell r="N2065" t="str">
            <v>Other</v>
          </cell>
          <cell r="O2065">
            <v>43326</v>
          </cell>
          <cell r="P2065">
            <v>43690</v>
          </cell>
          <cell r="Q2065" t="str">
            <v>Prime</v>
          </cell>
          <cell r="R2065" t="str">
            <v>Multi</v>
          </cell>
          <cell r="S2065">
            <v>0</v>
          </cell>
          <cell r="T2065">
            <v>1</v>
          </cell>
          <cell r="U2065" t="str">
            <v>EBITA</v>
          </cell>
          <cell r="V2065" t="str">
            <v>Base</v>
          </cell>
          <cell r="W2065" t="str">
            <v>05 Won</v>
          </cell>
          <cell r="X2065" t="str">
            <v>Active</v>
          </cell>
          <cell r="Y2065">
            <v>1</v>
          </cell>
          <cell r="Z2065">
            <v>0</v>
          </cell>
          <cell r="AA2065">
            <v>0</v>
          </cell>
          <cell r="AB2065">
            <v>0</v>
          </cell>
          <cell r="AC2065">
            <v>0</v>
          </cell>
          <cell r="AD2065">
            <v>0</v>
          </cell>
          <cell r="AT2065">
            <v>0</v>
          </cell>
          <cell r="AU2065">
            <v>0</v>
          </cell>
          <cell r="AV2065">
            <v>0</v>
          </cell>
          <cell r="AW2065">
            <v>0</v>
          </cell>
          <cell r="AX2065">
            <v>0</v>
          </cell>
          <cell r="AY2065">
            <v>0</v>
          </cell>
          <cell r="AZ2065">
            <v>0</v>
          </cell>
          <cell r="BA2065">
            <v>0</v>
          </cell>
          <cell r="BF2065">
            <v>0</v>
          </cell>
          <cell r="BG2065">
            <v>0</v>
          </cell>
          <cell r="BH2065">
            <v>0</v>
          </cell>
          <cell r="BI2065">
            <v>0</v>
          </cell>
          <cell r="BJ2065">
            <v>0</v>
          </cell>
          <cell r="BK2065">
            <v>0</v>
          </cell>
          <cell r="BL2065">
            <v>276084</v>
          </cell>
          <cell r="BM2065">
            <v>276084</v>
          </cell>
          <cell r="BN2065">
            <v>0</v>
          </cell>
          <cell r="BO2065">
            <v>0</v>
          </cell>
          <cell r="BP2065">
            <v>0</v>
          </cell>
          <cell r="BQ2065">
            <v>0</v>
          </cell>
          <cell r="BR2065">
            <v>276084</v>
          </cell>
          <cell r="BT2065">
            <v>0</v>
          </cell>
          <cell r="CA2065" t="str">
            <v>CATOTH - EBITA - Base</v>
          </cell>
          <cell r="CC2065" t="str">
            <v>CATOTH - EBITA - Base - COMG</v>
          </cell>
          <cell r="CD2065" t="str">
            <v/>
          </cell>
          <cell r="CF2065" t="str">
            <v>CATOTH - Base - COMG</v>
          </cell>
        </row>
        <row r="2066">
          <cell r="D2066">
            <v>2052</v>
          </cell>
          <cell r="E2066">
            <v>0</v>
          </cell>
          <cell r="F2066">
            <v>0</v>
          </cell>
          <cell r="G2066" t="str">
            <v>CATOTH</v>
          </cell>
          <cell r="H2066" t="str">
            <v>FM Caterpillar Other</v>
          </cell>
          <cell r="I2066" t="str">
            <v>COMG</v>
          </cell>
          <cell r="J2066" t="str">
            <v>Commercial O&amp;M</v>
          </cell>
          <cell r="K2066" t="str">
            <v>Commercial</v>
          </cell>
          <cell r="L2066" t="str">
            <v xml:space="preserve">Commercial </v>
          </cell>
          <cell r="M2066" t="str">
            <v>Multi_Dom-Intl</v>
          </cell>
          <cell r="N2066" t="str">
            <v>Other</v>
          </cell>
          <cell r="O2066">
            <v>0</v>
          </cell>
          <cell r="P2066">
            <v>0</v>
          </cell>
          <cell r="Q2066">
            <v>0</v>
          </cell>
          <cell r="R2066" t="str">
            <v>Multi</v>
          </cell>
          <cell r="S2066">
            <v>0</v>
          </cell>
          <cell r="T2066">
            <v>1</v>
          </cell>
          <cell r="U2066" t="str">
            <v>EBITA</v>
          </cell>
          <cell r="V2066" t="str">
            <v>Identified - Recompete</v>
          </cell>
          <cell r="W2066">
            <v>0</v>
          </cell>
          <cell r="X2066">
            <v>0</v>
          </cell>
          <cell r="Y2066">
            <v>0</v>
          </cell>
          <cell r="Z2066">
            <v>0</v>
          </cell>
          <cell r="AA2066">
            <v>0</v>
          </cell>
          <cell r="AB2066">
            <v>0</v>
          </cell>
          <cell r="AC2066">
            <v>0</v>
          </cell>
          <cell r="AD2066">
            <v>0</v>
          </cell>
          <cell r="AX2066">
            <v>0</v>
          </cell>
          <cell r="AY2066">
            <v>0</v>
          </cell>
          <cell r="AZ2066">
            <v>0</v>
          </cell>
          <cell r="BA2066">
            <v>0</v>
          </cell>
          <cell r="BI2066">
            <v>0</v>
          </cell>
          <cell r="BJ2066">
            <v>0</v>
          </cell>
          <cell r="BK2066">
            <v>0</v>
          </cell>
          <cell r="BL2066">
            <v>0</v>
          </cell>
          <cell r="BM2066">
            <v>0</v>
          </cell>
          <cell r="BN2066">
            <v>0</v>
          </cell>
          <cell r="BO2066">
            <v>0</v>
          </cell>
          <cell r="BP2066">
            <v>0</v>
          </cell>
          <cell r="BQ2066">
            <v>0</v>
          </cell>
          <cell r="BR2066">
            <v>0</v>
          </cell>
          <cell r="BT2066">
            <v>0</v>
          </cell>
          <cell r="CA2066" t="str">
            <v>CATOTH - EBITA - Identified - Recompete</v>
          </cell>
          <cell r="CC2066" t="str">
            <v>CATOTH - EBITA - Identified - Recompete - COMG</v>
          </cell>
          <cell r="CD2066" t="str">
            <v/>
          </cell>
          <cell r="CF2066" t="str">
            <v>CATOTH - Identified - Recompete - COMG</v>
          </cell>
        </row>
        <row r="2067">
          <cell r="D2067">
            <v>2053</v>
          </cell>
          <cell r="E2067">
            <v>1</v>
          </cell>
          <cell r="F2067">
            <v>1</v>
          </cell>
          <cell r="G2067" t="str">
            <v>31084X</v>
          </cell>
          <cell r="H2067" t="str">
            <v>Caterpillar India transfer-in project</v>
          </cell>
          <cell r="I2067" t="str">
            <v>COMG</v>
          </cell>
          <cell r="J2067" t="str">
            <v>Commercial O&amp;M</v>
          </cell>
          <cell r="K2067" t="str">
            <v>Commercial</v>
          </cell>
          <cell r="L2067" t="str">
            <v xml:space="preserve">Commercial </v>
          </cell>
          <cell r="M2067" t="str">
            <v>India</v>
          </cell>
          <cell r="N2067" t="str">
            <v>OCONUS</v>
          </cell>
          <cell r="O2067">
            <v>43101</v>
          </cell>
          <cell r="P2067">
            <v>43830</v>
          </cell>
          <cell r="Q2067" t="str">
            <v>Prime</v>
          </cell>
          <cell r="R2067" t="str">
            <v>T&amp;M</v>
          </cell>
          <cell r="S2067">
            <v>0</v>
          </cell>
          <cell r="T2067">
            <v>1</v>
          </cell>
          <cell r="U2067" t="str">
            <v>REVTOT</v>
          </cell>
          <cell r="V2067" t="str">
            <v>Base</v>
          </cell>
          <cell r="W2067" t="str">
            <v>05 Won</v>
          </cell>
          <cell r="X2067" t="str">
            <v>Active</v>
          </cell>
          <cell r="Y2067">
            <v>1</v>
          </cell>
          <cell r="Z2067">
            <v>0</v>
          </cell>
          <cell r="AA2067">
            <v>10550.77636353999</v>
          </cell>
          <cell r="AB2067">
            <v>0</v>
          </cell>
          <cell r="AC2067">
            <v>0</v>
          </cell>
          <cell r="AD2067">
            <v>10550.77636353999</v>
          </cell>
          <cell r="AE2067">
            <v>-0.7318749591518241</v>
          </cell>
          <cell r="AF2067">
            <v>2.7896990015811918E-2</v>
          </cell>
          <cell r="AG2067">
            <v>0.10940754273082631</v>
          </cell>
          <cell r="AH2067">
            <v>-1</v>
          </cell>
          <cell r="AI2067">
            <v>0</v>
          </cell>
          <cell r="AJ2067">
            <v>0</v>
          </cell>
          <cell r="AK2067">
            <v>0</v>
          </cell>
          <cell r="BB2067">
            <v>0</v>
          </cell>
          <cell r="BC2067">
            <v>0</v>
          </cell>
          <cell r="BD2067">
            <v>0</v>
          </cell>
          <cell r="BE2067">
            <v>0</v>
          </cell>
          <cell r="BF2067">
            <v>571010.80999999994</v>
          </cell>
          <cell r="BG2067">
            <v>153102.296756</v>
          </cell>
          <cell r="BH2067">
            <v>157373.39000000001</v>
          </cell>
          <cell r="BI2067">
            <v>56639.76</v>
          </cell>
          <cell r="BJ2067">
            <v>58350.350448480007</v>
          </cell>
          <cell r="BK2067">
            <v>59601.115442640003</v>
          </cell>
          <cell r="BL2067">
            <v>0</v>
          </cell>
          <cell r="BM2067">
            <v>174591.22589112</v>
          </cell>
          <cell r="BN2067">
            <v>0</v>
          </cell>
          <cell r="BO2067">
            <v>0</v>
          </cell>
          <cell r="BP2067">
            <v>0</v>
          </cell>
          <cell r="BQ2067">
            <v>0</v>
          </cell>
          <cell r="BR2067">
            <v>174591.22589112</v>
          </cell>
          <cell r="BT2067">
            <v>0</v>
          </cell>
          <cell r="CA2067" t="str">
            <v>31084X - REVTOT - Base</v>
          </cell>
          <cell r="CC2067" t="str">
            <v>31084X - REVTOT - Base - COMG</v>
          </cell>
          <cell r="CD2067" t="str">
            <v/>
          </cell>
          <cell r="CF2067" t="str">
            <v>31084X - Base - COMG</v>
          </cell>
        </row>
        <row r="2068">
          <cell r="D2068">
            <v>2054</v>
          </cell>
          <cell r="E2068">
            <v>1</v>
          </cell>
          <cell r="F2068">
            <v>2</v>
          </cell>
          <cell r="G2068" t="str">
            <v>31084X</v>
          </cell>
          <cell r="H2068" t="str">
            <v>Caterpillar India transfer-in project</v>
          </cell>
          <cell r="I2068" t="str">
            <v>COMG</v>
          </cell>
          <cell r="J2068" t="str">
            <v>Commercial O&amp;M</v>
          </cell>
          <cell r="K2068" t="str">
            <v>Commercial</v>
          </cell>
          <cell r="L2068" t="str">
            <v xml:space="preserve">Commercial </v>
          </cell>
          <cell r="M2068" t="str">
            <v>India</v>
          </cell>
          <cell r="N2068" t="str">
            <v>OCONUS</v>
          </cell>
          <cell r="O2068">
            <v>0</v>
          </cell>
          <cell r="P2068">
            <v>0</v>
          </cell>
          <cell r="Q2068">
            <v>0</v>
          </cell>
          <cell r="R2068" t="str">
            <v>T&amp;M</v>
          </cell>
          <cell r="S2068">
            <v>0</v>
          </cell>
          <cell r="T2068">
            <v>1</v>
          </cell>
          <cell r="U2068" t="str">
            <v>REVTOT</v>
          </cell>
          <cell r="V2068" t="str">
            <v>Identified - Recompete</v>
          </cell>
          <cell r="W2068">
            <v>0</v>
          </cell>
          <cell r="X2068">
            <v>0</v>
          </cell>
          <cell r="Y2068">
            <v>0</v>
          </cell>
          <cell r="Z2068">
            <v>0</v>
          </cell>
          <cell r="AA2068">
            <v>0</v>
          </cell>
          <cell r="AB2068">
            <v>0</v>
          </cell>
          <cell r="AC2068">
            <v>0</v>
          </cell>
          <cell r="AD2068">
            <v>0</v>
          </cell>
          <cell r="AI2068">
            <v>0</v>
          </cell>
          <cell r="AJ2068">
            <v>0</v>
          </cell>
          <cell r="AK2068">
            <v>0</v>
          </cell>
          <cell r="BB2068">
            <v>0</v>
          </cell>
          <cell r="BC2068">
            <v>0</v>
          </cell>
          <cell r="BD2068">
            <v>0</v>
          </cell>
          <cell r="BE2068">
            <v>0</v>
          </cell>
          <cell r="BI2068">
            <v>0</v>
          </cell>
          <cell r="BJ2068">
            <v>0</v>
          </cell>
          <cell r="BK2068">
            <v>0</v>
          </cell>
          <cell r="BL2068">
            <v>0</v>
          </cell>
          <cell r="BM2068">
            <v>0</v>
          </cell>
          <cell r="BN2068">
            <v>0</v>
          </cell>
          <cell r="BO2068">
            <v>0</v>
          </cell>
          <cell r="BP2068">
            <v>0</v>
          </cell>
          <cell r="BQ2068">
            <v>0</v>
          </cell>
          <cell r="BR2068">
            <v>0</v>
          </cell>
          <cell r="BT2068">
            <v>0</v>
          </cell>
          <cell r="CA2068" t="str">
            <v>31084X - REVTOT - Identified - Recompete</v>
          </cell>
          <cell r="CC2068" t="str">
            <v>31084X - REVTOT - Identified - Recompete - COMG</v>
          </cell>
          <cell r="CD2068" t="str">
            <v/>
          </cell>
          <cell r="CF2068" t="str">
            <v>31084X - Identified - Recompete - COMG</v>
          </cell>
        </row>
        <row r="2069">
          <cell r="D2069">
            <v>2055</v>
          </cell>
          <cell r="E2069">
            <v>2</v>
          </cell>
          <cell r="F2069">
            <v>3</v>
          </cell>
          <cell r="G2069" t="str">
            <v>31084X</v>
          </cell>
          <cell r="H2069" t="str">
            <v>Caterpillar India transfer-in project</v>
          </cell>
          <cell r="I2069" t="str">
            <v>COMG</v>
          </cell>
          <cell r="J2069" t="str">
            <v>Commercial O&amp;M</v>
          </cell>
          <cell r="K2069" t="str">
            <v>Commercial</v>
          </cell>
          <cell r="L2069" t="str">
            <v xml:space="preserve">Commercial </v>
          </cell>
          <cell r="M2069" t="str">
            <v>India</v>
          </cell>
          <cell r="N2069" t="str">
            <v>OCONUS</v>
          </cell>
          <cell r="O2069">
            <v>43101</v>
          </cell>
          <cell r="P2069">
            <v>43830</v>
          </cell>
          <cell r="Q2069" t="str">
            <v>Prime</v>
          </cell>
          <cell r="R2069" t="str">
            <v>T&amp;M</v>
          </cell>
          <cell r="S2069">
            <v>0</v>
          </cell>
          <cell r="T2069">
            <v>1</v>
          </cell>
          <cell r="U2069" t="str">
            <v>CONTRACT</v>
          </cell>
          <cell r="V2069" t="str">
            <v>Base</v>
          </cell>
          <cell r="W2069" t="str">
            <v>05 Won</v>
          </cell>
          <cell r="X2069" t="str">
            <v>Active</v>
          </cell>
          <cell r="Y2069">
            <v>1</v>
          </cell>
          <cell r="Z2069">
            <v>0</v>
          </cell>
          <cell r="AA2069">
            <v>10550.77636353999</v>
          </cell>
          <cell r="AB2069">
            <v>0</v>
          </cell>
          <cell r="AC2069">
            <v>0</v>
          </cell>
          <cell r="AD2069">
            <v>10550.77636353999</v>
          </cell>
          <cell r="AL2069">
            <v>1.3284739740741505E-2</v>
          </cell>
          <cell r="AM2069">
            <v>-0.17030829029008773</v>
          </cell>
          <cell r="AN2069">
            <v>0.17964536444185403</v>
          </cell>
          <cell r="AO2069">
            <v>0.20336960540836627</v>
          </cell>
          <cell r="AP2069">
            <v>4.2884237917376299E-2</v>
          </cell>
          <cell r="AQ2069">
            <v>4.2884237917376299E-2</v>
          </cell>
          <cell r="AR2069">
            <v>4.2884237917376299E-2</v>
          </cell>
          <cell r="AS2069">
            <v>4.2884237917376299E-2</v>
          </cell>
          <cell r="BF2069">
            <v>7585.7299999999959</v>
          </cell>
          <cell r="BG2069">
            <v>-26074.590400000005</v>
          </cell>
          <cell r="BH2069">
            <v>28271.400000000027</v>
          </cell>
          <cell r="BI2069">
            <v>11392.660000000003</v>
          </cell>
          <cell r="BJ2069">
            <v>11519.320047260002</v>
          </cell>
          <cell r="BK2069">
            <v>12594.56866998001</v>
          </cell>
          <cell r="BL2069">
            <v>0</v>
          </cell>
          <cell r="BM2069">
            <v>35506.548717240017</v>
          </cell>
          <cell r="BN2069">
            <v>0</v>
          </cell>
          <cell r="BO2069">
            <v>0</v>
          </cell>
          <cell r="BP2069">
            <v>0</v>
          </cell>
          <cell r="BQ2069">
            <v>0</v>
          </cell>
          <cell r="BR2069">
            <v>35506.548717240017</v>
          </cell>
          <cell r="BT2069">
            <v>0</v>
          </cell>
          <cell r="CA2069" t="str">
            <v>31084X - CONTRACT - Base</v>
          </cell>
          <cell r="CC2069" t="str">
            <v>31084X - CONTRACT - Base - COMG</v>
          </cell>
          <cell r="CD2069" t="str">
            <v/>
          </cell>
          <cell r="CF2069" t="str">
            <v>31084X - Base - COMG</v>
          </cell>
        </row>
        <row r="2070">
          <cell r="D2070">
            <v>2056</v>
          </cell>
          <cell r="E2070">
            <v>2</v>
          </cell>
          <cell r="F2070">
            <v>4</v>
          </cell>
          <cell r="G2070" t="str">
            <v>31084X</v>
          </cell>
          <cell r="H2070" t="str">
            <v>Caterpillar India transfer-in project</v>
          </cell>
          <cell r="I2070" t="str">
            <v>COMG</v>
          </cell>
          <cell r="J2070" t="str">
            <v>Commercial O&amp;M</v>
          </cell>
          <cell r="K2070" t="str">
            <v>Commercial</v>
          </cell>
          <cell r="L2070" t="str">
            <v xml:space="preserve">Commercial </v>
          </cell>
          <cell r="M2070" t="str">
            <v>India</v>
          </cell>
          <cell r="N2070" t="str">
            <v>OCONUS</v>
          </cell>
          <cell r="O2070">
            <v>0</v>
          </cell>
          <cell r="P2070">
            <v>0</v>
          </cell>
          <cell r="Q2070">
            <v>0</v>
          </cell>
          <cell r="R2070" t="str">
            <v>T&amp;M</v>
          </cell>
          <cell r="S2070">
            <v>0</v>
          </cell>
          <cell r="T2070">
            <v>1</v>
          </cell>
          <cell r="U2070" t="str">
            <v>CONTRACT</v>
          </cell>
          <cell r="V2070" t="str">
            <v>Identified - Recompete</v>
          </cell>
          <cell r="W2070">
            <v>0</v>
          </cell>
          <cell r="X2070">
            <v>0</v>
          </cell>
          <cell r="Y2070">
            <v>0</v>
          </cell>
          <cell r="Z2070">
            <v>0</v>
          </cell>
          <cell r="AA2070">
            <v>0</v>
          </cell>
          <cell r="AB2070">
            <v>0</v>
          </cell>
          <cell r="AC2070">
            <v>0</v>
          </cell>
          <cell r="AD2070">
            <v>0</v>
          </cell>
          <cell r="AP2070">
            <v>0</v>
          </cell>
          <cell r="AQ2070">
            <v>0</v>
          </cell>
          <cell r="AR2070">
            <v>0</v>
          </cell>
          <cell r="AS2070">
            <v>0</v>
          </cell>
          <cell r="BI2070">
            <v>0</v>
          </cell>
          <cell r="BJ2070">
            <v>0</v>
          </cell>
          <cell r="BK2070">
            <v>0</v>
          </cell>
          <cell r="BL2070">
            <v>0</v>
          </cell>
          <cell r="BM2070">
            <v>0</v>
          </cell>
          <cell r="BN2070">
            <v>0</v>
          </cell>
          <cell r="BO2070">
            <v>0</v>
          </cell>
          <cell r="BP2070">
            <v>0</v>
          </cell>
          <cell r="BQ2070">
            <v>0</v>
          </cell>
          <cell r="BR2070">
            <v>0</v>
          </cell>
          <cell r="BT2070">
            <v>0</v>
          </cell>
          <cell r="CA2070" t="str">
            <v>31084X - CONTRACT - Identified - Recompete</v>
          </cell>
          <cell r="CC2070" t="str">
            <v>31084X - CONTRACT - Identified - Recompete - COMG</v>
          </cell>
          <cell r="CD2070" t="str">
            <v/>
          </cell>
          <cell r="CF2070" t="str">
            <v>31084X - Identified - Recompete - COMG</v>
          </cell>
        </row>
        <row r="2071">
          <cell r="D2071">
            <v>2057</v>
          </cell>
          <cell r="E2071">
            <v>0</v>
          </cell>
          <cell r="F2071">
            <v>5</v>
          </cell>
          <cell r="G2071" t="str">
            <v>31084X</v>
          </cell>
          <cell r="H2071" t="str">
            <v>Caterpillar India transfer-in project</v>
          </cell>
          <cell r="I2071" t="str">
            <v>COMG</v>
          </cell>
          <cell r="J2071" t="str">
            <v>Commercial O&amp;M</v>
          </cell>
          <cell r="K2071" t="str">
            <v>Commercial</v>
          </cell>
          <cell r="L2071" t="str">
            <v xml:space="preserve">Commercial </v>
          </cell>
          <cell r="M2071" t="str">
            <v>India</v>
          </cell>
          <cell r="N2071" t="str">
            <v>OCONUS</v>
          </cell>
          <cell r="O2071">
            <v>43101</v>
          </cell>
          <cell r="P2071">
            <v>43830</v>
          </cell>
          <cell r="Q2071" t="str">
            <v>Prime</v>
          </cell>
          <cell r="R2071" t="str">
            <v>T&amp;M</v>
          </cell>
          <cell r="S2071">
            <v>0</v>
          </cell>
          <cell r="T2071">
            <v>1</v>
          </cell>
          <cell r="U2071" t="str">
            <v>EBITA</v>
          </cell>
          <cell r="V2071" t="str">
            <v>Base</v>
          </cell>
          <cell r="W2071" t="str">
            <v>05 Won</v>
          </cell>
          <cell r="X2071" t="str">
            <v>Active</v>
          </cell>
          <cell r="Y2071">
            <v>1</v>
          </cell>
          <cell r="Z2071">
            <v>0</v>
          </cell>
          <cell r="AA2071">
            <v>10550.77636353999</v>
          </cell>
          <cell r="AB2071">
            <v>0</v>
          </cell>
          <cell r="AC2071">
            <v>0</v>
          </cell>
          <cell r="AD2071">
            <v>10550.77636353999</v>
          </cell>
          <cell r="AT2071">
            <v>1.3284739740741517E-2</v>
          </cell>
          <cell r="AU2071">
            <v>-0.29702079289165129</v>
          </cell>
          <cell r="AV2071">
            <v>7.5560550611510749E-2</v>
          </cell>
          <cell r="AW2071">
            <v>0.1824494964567413</v>
          </cell>
          <cell r="AX2071">
            <v>6.5454873708731074E-3</v>
          </cell>
          <cell r="AY2071">
            <v>7.5454873708731074E-3</v>
          </cell>
          <cell r="AZ2071">
            <v>8.5454873708731074E-3</v>
          </cell>
          <cell r="BA2071">
            <v>9.5454873708731083E-3</v>
          </cell>
          <cell r="BF2071">
            <v>7585.7300000000032</v>
          </cell>
          <cell r="BG2071">
            <v>-45474.565576000008</v>
          </cell>
          <cell r="BH2071">
            <v>11891.220000000021</v>
          </cell>
          <cell r="BI2071">
            <v>10461.670000000004</v>
          </cell>
          <cell r="BJ2071">
            <v>10077.860047260003</v>
          </cell>
          <cell r="BK2071">
            <v>11314.551202340012</v>
          </cell>
          <cell r="BL2071">
            <v>0</v>
          </cell>
          <cell r="BM2071">
            <v>31854.081249600018</v>
          </cell>
          <cell r="BN2071">
            <v>0</v>
          </cell>
          <cell r="BO2071">
            <v>0</v>
          </cell>
          <cell r="BP2071">
            <v>0</v>
          </cell>
          <cell r="BQ2071">
            <v>0</v>
          </cell>
          <cell r="BR2071">
            <v>31854.081249600018</v>
          </cell>
          <cell r="BT2071">
            <v>0</v>
          </cell>
          <cell r="CA2071" t="str">
            <v>31084X - EBITA - Base</v>
          </cell>
          <cell r="CC2071" t="str">
            <v>31084X - EBITA - Base - COMG</v>
          </cell>
          <cell r="CD2071" t="str">
            <v/>
          </cell>
          <cell r="CF2071" t="str">
            <v>31084X - Base - COMG</v>
          </cell>
        </row>
        <row r="2072">
          <cell r="D2072">
            <v>2058</v>
          </cell>
          <cell r="E2072">
            <v>0</v>
          </cell>
          <cell r="F2072">
            <v>0</v>
          </cell>
          <cell r="G2072" t="str">
            <v>31084X</v>
          </cell>
          <cell r="H2072" t="str">
            <v>Caterpillar India transfer-in project</v>
          </cell>
          <cell r="I2072" t="str">
            <v>COMG</v>
          </cell>
          <cell r="J2072" t="str">
            <v>Commercial O&amp;M</v>
          </cell>
          <cell r="K2072" t="str">
            <v>Commercial</v>
          </cell>
          <cell r="L2072" t="str">
            <v xml:space="preserve">Commercial </v>
          </cell>
          <cell r="M2072" t="str">
            <v>India</v>
          </cell>
          <cell r="N2072" t="str">
            <v>OCONUS</v>
          </cell>
          <cell r="O2072">
            <v>0</v>
          </cell>
          <cell r="P2072">
            <v>0</v>
          </cell>
          <cell r="Q2072">
            <v>0</v>
          </cell>
          <cell r="R2072" t="str">
            <v>T&amp;M</v>
          </cell>
          <cell r="S2072">
            <v>0</v>
          </cell>
          <cell r="T2072">
            <v>1</v>
          </cell>
          <cell r="U2072" t="str">
            <v>EBITA</v>
          </cell>
          <cell r="V2072" t="str">
            <v>Identified - Recompete</v>
          </cell>
          <cell r="W2072">
            <v>0</v>
          </cell>
          <cell r="X2072">
            <v>0</v>
          </cell>
          <cell r="Y2072">
            <v>0</v>
          </cell>
          <cell r="Z2072">
            <v>0</v>
          </cell>
          <cell r="AA2072">
            <v>0</v>
          </cell>
          <cell r="AB2072">
            <v>0</v>
          </cell>
          <cell r="AC2072">
            <v>0</v>
          </cell>
          <cell r="AD2072">
            <v>0</v>
          </cell>
          <cell r="AX2072">
            <v>0</v>
          </cell>
          <cell r="AY2072">
            <v>0</v>
          </cell>
          <cell r="AZ2072">
            <v>0</v>
          </cell>
          <cell r="BA2072">
            <v>0</v>
          </cell>
          <cell r="BI2072">
            <v>0</v>
          </cell>
          <cell r="BJ2072">
            <v>0</v>
          </cell>
          <cell r="BK2072">
            <v>0</v>
          </cell>
          <cell r="BL2072">
            <v>0</v>
          </cell>
          <cell r="BM2072">
            <v>0</v>
          </cell>
          <cell r="BN2072">
            <v>0</v>
          </cell>
          <cell r="BO2072">
            <v>0</v>
          </cell>
          <cell r="BP2072">
            <v>0</v>
          </cell>
          <cell r="BQ2072">
            <v>0</v>
          </cell>
          <cell r="BR2072">
            <v>0</v>
          </cell>
          <cell r="BT2072">
            <v>0</v>
          </cell>
          <cell r="CA2072" t="str">
            <v>31084X - EBITA - Identified - Recompete</v>
          </cell>
          <cell r="CC2072" t="str">
            <v>31084X - EBITA - Identified - Recompete - COMG</v>
          </cell>
          <cell r="CD2072" t="str">
            <v/>
          </cell>
          <cell r="CF2072" t="str">
            <v>31084X - Identified - Recompete - COMG</v>
          </cell>
        </row>
        <row r="2073">
          <cell r="D2073">
            <v>2059</v>
          </cell>
          <cell r="E2073">
            <v>1</v>
          </cell>
          <cell r="F2073">
            <v>1</v>
          </cell>
          <cell r="G2073" t="str">
            <v>28727I</v>
          </cell>
          <cell r="H2073" t="str">
            <v>CAT Australia FM Program (IE Transfer)</v>
          </cell>
          <cell r="I2073" t="str">
            <v>COMG</v>
          </cell>
          <cell r="J2073" t="str">
            <v>Commercial O&amp;M</v>
          </cell>
          <cell r="K2073" t="str">
            <v>Commercial</v>
          </cell>
          <cell r="L2073" t="str">
            <v xml:space="preserve">Commercial </v>
          </cell>
          <cell r="M2073" t="str">
            <v>Australia</v>
          </cell>
          <cell r="N2073" t="str">
            <v>OCONUS</v>
          </cell>
          <cell r="O2073">
            <v>42767</v>
          </cell>
          <cell r="P2073">
            <v>44043</v>
          </cell>
          <cell r="Q2073" t="str">
            <v>Prime</v>
          </cell>
          <cell r="R2073" t="str">
            <v>T&amp;M</v>
          </cell>
          <cell r="S2073">
            <v>0</v>
          </cell>
          <cell r="T2073">
            <v>1</v>
          </cell>
          <cell r="U2073" t="str">
            <v>REVTOT</v>
          </cell>
          <cell r="V2073" t="str">
            <v>Base</v>
          </cell>
          <cell r="W2073" t="str">
            <v>05 Won</v>
          </cell>
          <cell r="X2073" t="str">
            <v>Active</v>
          </cell>
          <cell r="Y2073">
            <v>1</v>
          </cell>
          <cell r="Z2073">
            <v>0</v>
          </cell>
          <cell r="AA2073">
            <v>387421.76954200008</v>
          </cell>
          <cell r="AB2073">
            <v>0</v>
          </cell>
          <cell r="AC2073">
            <v>0</v>
          </cell>
          <cell r="AD2073">
            <v>387421.76954200008</v>
          </cell>
          <cell r="AE2073">
            <v>-0.30223701078793164</v>
          </cell>
          <cell r="AF2073">
            <v>-0.94308413194160146</v>
          </cell>
          <cell r="AG2073">
            <v>-0.11389415286589222</v>
          </cell>
          <cell r="AH2073">
            <v>-1</v>
          </cell>
          <cell r="AI2073">
            <v>0</v>
          </cell>
          <cell r="AJ2073">
            <v>0</v>
          </cell>
          <cell r="AK2073">
            <v>0</v>
          </cell>
          <cell r="BB2073">
            <v>0</v>
          </cell>
          <cell r="BC2073">
            <v>0</v>
          </cell>
          <cell r="BD2073">
            <v>0</v>
          </cell>
          <cell r="BE2073">
            <v>0</v>
          </cell>
          <cell r="BF2073">
            <v>1833670.5439820001</v>
          </cell>
          <cell r="BG2073">
            <v>1279467.4399989999</v>
          </cell>
          <cell r="BH2073">
            <v>72822</v>
          </cell>
          <cell r="BI2073">
            <v>5856</v>
          </cell>
          <cell r="BJ2073">
            <v>34832</v>
          </cell>
          <cell r="BK2073">
            <v>23840</v>
          </cell>
          <cell r="BL2073">
            <v>0</v>
          </cell>
          <cell r="BM2073">
            <v>64528</v>
          </cell>
          <cell r="BN2073">
            <v>0</v>
          </cell>
          <cell r="BO2073">
            <v>0</v>
          </cell>
          <cell r="BP2073">
            <v>0</v>
          </cell>
          <cell r="BQ2073">
            <v>0</v>
          </cell>
          <cell r="BR2073">
            <v>64528</v>
          </cell>
          <cell r="BT2073">
            <v>0</v>
          </cell>
          <cell r="CA2073" t="str">
            <v>28727I - REVTOT - Base</v>
          </cell>
          <cell r="CC2073" t="str">
            <v>28727I - REVTOT - Base - COMG</v>
          </cell>
          <cell r="CD2073" t="str">
            <v/>
          </cell>
          <cell r="CF2073" t="str">
            <v>28727I - Base - COMG</v>
          </cell>
        </row>
        <row r="2074">
          <cell r="D2074">
            <v>2060</v>
          </cell>
          <cell r="E2074">
            <v>1</v>
          </cell>
          <cell r="F2074">
            <v>2</v>
          </cell>
          <cell r="G2074" t="str">
            <v>28727I</v>
          </cell>
          <cell r="H2074" t="str">
            <v>CAT Australia FM Program (IE Transfer)</v>
          </cell>
          <cell r="I2074" t="str">
            <v>COMG</v>
          </cell>
          <cell r="J2074" t="str">
            <v>Commercial O&amp;M</v>
          </cell>
          <cell r="K2074" t="str">
            <v>Commercial</v>
          </cell>
          <cell r="L2074" t="str">
            <v xml:space="preserve">Commercial </v>
          </cell>
          <cell r="M2074" t="str">
            <v>Australia</v>
          </cell>
          <cell r="N2074" t="str">
            <v>OCONUS</v>
          </cell>
          <cell r="O2074">
            <v>0</v>
          </cell>
          <cell r="P2074">
            <v>0</v>
          </cell>
          <cell r="Q2074">
            <v>0</v>
          </cell>
          <cell r="R2074" t="str">
            <v>T&amp;M</v>
          </cell>
          <cell r="S2074">
            <v>0</v>
          </cell>
          <cell r="T2074">
            <v>1</v>
          </cell>
          <cell r="U2074" t="str">
            <v>REVTOT</v>
          </cell>
          <cell r="V2074" t="str">
            <v>Identified - Recompete</v>
          </cell>
          <cell r="W2074">
            <v>0</v>
          </cell>
          <cell r="X2074">
            <v>0</v>
          </cell>
          <cell r="Y2074">
            <v>0</v>
          </cell>
          <cell r="Z2074">
            <v>0</v>
          </cell>
          <cell r="AA2074">
            <v>0</v>
          </cell>
          <cell r="AB2074">
            <v>0</v>
          </cell>
          <cell r="AC2074">
            <v>0</v>
          </cell>
          <cell r="AD2074">
            <v>0</v>
          </cell>
          <cell r="AI2074">
            <v>0</v>
          </cell>
          <cell r="AJ2074">
            <v>0</v>
          </cell>
          <cell r="AK2074">
            <v>0</v>
          </cell>
          <cell r="BB2074">
            <v>0</v>
          </cell>
          <cell r="BC2074">
            <v>0</v>
          </cell>
          <cell r="BD2074">
            <v>0</v>
          </cell>
          <cell r="BE2074">
            <v>0</v>
          </cell>
          <cell r="BI2074">
            <v>0</v>
          </cell>
          <cell r="BJ2074">
            <v>0</v>
          </cell>
          <cell r="BK2074">
            <v>0</v>
          </cell>
          <cell r="BL2074">
            <v>0</v>
          </cell>
          <cell r="BM2074">
            <v>0</v>
          </cell>
          <cell r="BN2074">
            <v>0</v>
          </cell>
          <cell r="BO2074">
            <v>0</v>
          </cell>
          <cell r="BP2074">
            <v>0</v>
          </cell>
          <cell r="BQ2074">
            <v>0</v>
          </cell>
          <cell r="BR2074">
            <v>0</v>
          </cell>
          <cell r="BT2074">
            <v>0</v>
          </cell>
          <cell r="CA2074" t="str">
            <v>28727I - REVTOT - Identified - Recompete</v>
          </cell>
          <cell r="CC2074" t="str">
            <v>28727I - REVTOT - Identified - Recompete - COMG</v>
          </cell>
          <cell r="CD2074" t="str">
            <v/>
          </cell>
          <cell r="CF2074" t="str">
            <v>28727I - Identified - Recompete - COMG</v>
          </cell>
        </row>
        <row r="2075">
          <cell r="D2075">
            <v>2061</v>
          </cell>
          <cell r="E2075">
            <v>2</v>
          </cell>
          <cell r="F2075">
            <v>3</v>
          </cell>
          <cell r="G2075" t="str">
            <v>28727I</v>
          </cell>
          <cell r="H2075" t="str">
            <v>CAT Australia FM Program (IE Transfer)</v>
          </cell>
          <cell r="I2075" t="str">
            <v>COMG</v>
          </cell>
          <cell r="J2075" t="str">
            <v>Commercial O&amp;M</v>
          </cell>
          <cell r="K2075" t="str">
            <v>Commercial</v>
          </cell>
          <cell r="L2075" t="str">
            <v xml:space="preserve">Commercial </v>
          </cell>
          <cell r="M2075" t="str">
            <v>Australia</v>
          </cell>
          <cell r="N2075" t="str">
            <v>OCONUS</v>
          </cell>
          <cell r="O2075">
            <v>42767</v>
          </cell>
          <cell r="P2075">
            <v>44043</v>
          </cell>
          <cell r="Q2075" t="str">
            <v>Prime</v>
          </cell>
          <cell r="R2075" t="str">
            <v>T&amp;M</v>
          </cell>
          <cell r="S2075">
            <v>0</v>
          </cell>
          <cell r="T2075">
            <v>1</v>
          </cell>
          <cell r="U2075" t="str">
            <v>CONTRACT</v>
          </cell>
          <cell r="V2075" t="str">
            <v>Base</v>
          </cell>
          <cell r="W2075" t="str">
            <v>05 Won</v>
          </cell>
          <cell r="X2075" t="str">
            <v>Active</v>
          </cell>
          <cell r="Y2075">
            <v>1</v>
          </cell>
          <cell r="Z2075">
            <v>0</v>
          </cell>
          <cell r="AA2075">
            <v>387421.76954200008</v>
          </cell>
          <cell r="AB2075">
            <v>0</v>
          </cell>
          <cell r="AC2075">
            <v>0</v>
          </cell>
          <cell r="AD2075">
            <v>387421.76954200008</v>
          </cell>
          <cell r="AL2075">
            <v>7.9801885512775422E-2</v>
          </cell>
          <cell r="AM2075">
            <v>7.2745672997409527E-2</v>
          </cell>
          <cell r="AN2075">
            <v>0.64146823762049932</v>
          </cell>
          <cell r="AO2075">
            <v>1</v>
          </cell>
          <cell r="AP2075">
            <v>0.10787521398265527</v>
          </cell>
          <cell r="AQ2075">
            <v>0.10787521398265527</v>
          </cell>
          <cell r="AR2075">
            <v>0.10787521398265527</v>
          </cell>
          <cell r="AS2075">
            <v>0.10787521398265527</v>
          </cell>
          <cell r="BF2075">
            <v>146330.36681900019</v>
          </cell>
          <cell r="BG2075">
            <v>93075.720000999951</v>
          </cell>
          <cell r="BH2075">
            <v>46713</v>
          </cell>
          <cell r="BI2075">
            <v>5856</v>
          </cell>
          <cell r="BJ2075">
            <v>34832</v>
          </cell>
          <cell r="BK2075">
            <v>23840</v>
          </cell>
          <cell r="BL2075">
            <v>0</v>
          </cell>
          <cell r="BM2075">
            <v>64528</v>
          </cell>
          <cell r="BN2075">
            <v>0</v>
          </cell>
          <cell r="BO2075">
            <v>0</v>
          </cell>
          <cell r="BP2075">
            <v>0</v>
          </cell>
          <cell r="BQ2075">
            <v>0</v>
          </cell>
          <cell r="BR2075">
            <v>64528</v>
          </cell>
          <cell r="BT2075">
            <v>0</v>
          </cell>
          <cell r="CA2075" t="str">
            <v>28727I - CONTRACT - Base</v>
          </cell>
          <cell r="CC2075" t="str">
            <v>28727I - CONTRACT - Base - COMG</v>
          </cell>
          <cell r="CD2075" t="str">
            <v/>
          </cell>
          <cell r="CF2075" t="str">
            <v>28727I - Base - COMG</v>
          </cell>
        </row>
        <row r="2076">
          <cell r="D2076">
            <v>2062</v>
          </cell>
          <cell r="E2076">
            <v>2</v>
          </cell>
          <cell r="F2076">
            <v>4</v>
          </cell>
          <cell r="G2076" t="str">
            <v>28727I</v>
          </cell>
          <cell r="H2076" t="str">
            <v>CAT Australia FM Program (IE Transfer)</v>
          </cell>
          <cell r="I2076" t="str">
            <v>COMG</v>
          </cell>
          <cell r="J2076" t="str">
            <v>Commercial O&amp;M</v>
          </cell>
          <cell r="K2076" t="str">
            <v>Commercial</v>
          </cell>
          <cell r="L2076" t="str">
            <v xml:space="preserve">Commercial </v>
          </cell>
          <cell r="M2076" t="str">
            <v>Australia</v>
          </cell>
          <cell r="N2076" t="str">
            <v>OCONUS</v>
          </cell>
          <cell r="O2076">
            <v>0</v>
          </cell>
          <cell r="P2076">
            <v>0</v>
          </cell>
          <cell r="Q2076">
            <v>0</v>
          </cell>
          <cell r="R2076" t="str">
            <v>T&amp;M</v>
          </cell>
          <cell r="S2076">
            <v>0</v>
          </cell>
          <cell r="T2076">
            <v>1</v>
          </cell>
          <cell r="U2076" t="str">
            <v>CONTRACT</v>
          </cell>
          <cell r="V2076" t="str">
            <v>Identified - Recompete</v>
          </cell>
          <cell r="W2076">
            <v>0</v>
          </cell>
          <cell r="X2076">
            <v>0</v>
          </cell>
          <cell r="Y2076">
            <v>0</v>
          </cell>
          <cell r="Z2076">
            <v>0</v>
          </cell>
          <cell r="AA2076">
            <v>0</v>
          </cell>
          <cell r="AB2076">
            <v>0</v>
          </cell>
          <cell r="AC2076">
            <v>0</v>
          </cell>
          <cell r="AD2076">
            <v>0</v>
          </cell>
          <cell r="AP2076">
            <v>0</v>
          </cell>
          <cell r="AQ2076">
            <v>0</v>
          </cell>
          <cell r="AR2076">
            <v>0</v>
          </cell>
          <cell r="AS2076">
            <v>0</v>
          </cell>
          <cell r="BI2076">
            <v>0</v>
          </cell>
          <cell r="BJ2076">
            <v>0</v>
          </cell>
          <cell r="BK2076">
            <v>0</v>
          </cell>
          <cell r="BL2076">
            <v>0</v>
          </cell>
          <cell r="BM2076">
            <v>0</v>
          </cell>
          <cell r="BN2076">
            <v>0</v>
          </cell>
          <cell r="BO2076">
            <v>0</v>
          </cell>
          <cell r="BP2076">
            <v>0</v>
          </cell>
          <cell r="BQ2076">
            <v>0</v>
          </cell>
          <cell r="BR2076">
            <v>0</v>
          </cell>
          <cell r="BT2076">
            <v>0</v>
          </cell>
          <cell r="CA2076" t="str">
            <v>28727I - CONTRACT - Identified - Recompete</v>
          </cell>
          <cell r="CC2076" t="str">
            <v>28727I - CONTRACT - Identified - Recompete - COMG</v>
          </cell>
          <cell r="CD2076" t="str">
            <v/>
          </cell>
          <cell r="CF2076" t="str">
            <v>28727I - Identified - Recompete - COMG</v>
          </cell>
        </row>
        <row r="2077">
          <cell r="D2077">
            <v>2063</v>
          </cell>
          <cell r="E2077">
            <v>0</v>
          </cell>
          <cell r="F2077">
            <v>5</v>
          </cell>
          <cell r="G2077" t="str">
            <v>28727I</v>
          </cell>
          <cell r="H2077" t="str">
            <v>CAT Australia FM Program (IE Transfer)</v>
          </cell>
          <cell r="I2077" t="str">
            <v>COMG</v>
          </cell>
          <cell r="J2077" t="str">
            <v>Commercial O&amp;M</v>
          </cell>
          <cell r="K2077" t="str">
            <v>Commercial</v>
          </cell>
          <cell r="L2077" t="str">
            <v xml:space="preserve">Commercial </v>
          </cell>
          <cell r="M2077" t="str">
            <v>Australia</v>
          </cell>
          <cell r="N2077" t="str">
            <v>OCONUS</v>
          </cell>
          <cell r="O2077">
            <v>42767</v>
          </cell>
          <cell r="P2077">
            <v>44043</v>
          </cell>
          <cell r="Q2077" t="str">
            <v>Prime</v>
          </cell>
          <cell r="R2077" t="str">
            <v>T&amp;M</v>
          </cell>
          <cell r="S2077">
            <v>0</v>
          </cell>
          <cell r="T2077">
            <v>1</v>
          </cell>
          <cell r="U2077" t="str">
            <v>EBITA</v>
          </cell>
          <cell r="V2077" t="str">
            <v>Base</v>
          </cell>
          <cell r="W2077" t="str">
            <v>05 Won</v>
          </cell>
          <cell r="X2077" t="str">
            <v>Active</v>
          </cell>
          <cell r="Y2077">
            <v>1</v>
          </cell>
          <cell r="Z2077">
            <v>0</v>
          </cell>
          <cell r="AA2077">
            <v>387421.76954200008</v>
          </cell>
          <cell r="AB2077">
            <v>0</v>
          </cell>
          <cell r="AC2077">
            <v>0</v>
          </cell>
          <cell r="AD2077">
            <v>387421.76954200008</v>
          </cell>
          <cell r="AT2077">
            <v>7.9801885512775422E-2</v>
          </cell>
          <cell r="AU2077">
            <v>6.7753127036251679E-2</v>
          </cell>
          <cell r="AV2077">
            <v>0.64146823762049932</v>
          </cell>
          <cell r="AW2077">
            <v>1</v>
          </cell>
          <cell r="AX2077">
            <v>0.10691003212950577</v>
          </cell>
          <cell r="AY2077">
            <v>0.10791003212950577</v>
          </cell>
          <cell r="AZ2077">
            <v>0.10891003212950577</v>
          </cell>
          <cell r="BA2077">
            <v>0.10991003212950577</v>
          </cell>
          <cell r="BF2077">
            <v>146330.36681900019</v>
          </cell>
          <cell r="BG2077">
            <v>86687.920000999962</v>
          </cell>
          <cell r="BH2077">
            <v>46713</v>
          </cell>
          <cell r="BI2077">
            <v>5856</v>
          </cell>
          <cell r="BJ2077">
            <v>34832</v>
          </cell>
          <cell r="BK2077">
            <v>23840</v>
          </cell>
          <cell r="BL2077">
            <v>0</v>
          </cell>
          <cell r="BM2077">
            <v>64528</v>
          </cell>
          <cell r="BN2077">
            <v>0</v>
          </cell>
          <cell r="BO2077">
            <v>0</v>
          </cell>
          <cell r="BP2077">
            <v>0</v>
          </cell>
          <cell r="BQ2077">
            <v>0</v>
          </cell>
          <cell r="BR2077">
            <v>64528</v>
          </cell>
          <cell r="BT2077">
            <v>0</v>
          </cell>
          <cell r="CA2077" t="str">
            <v>28727I - EBITA - Base</v>
          </cell>
          <cell r="CC2077" t="str">
            <v>28727I - EBITA - Base - COMG</v>
          </cell>
          <cell r="CD2077" t="str">
            <v/>
          </cell>
          <cell r="CF2077" t="str">
            <v>28727I - Base - COMG</v>
          </cell>
        </row>
        <row r="2078">
          <cell r="D2078">
            <v>2064</v>
          </cell>
          <cell r="E2078">
            <v>0</v>
          </cell>
          <cell r="F2078">
            <v>0</v>
          </cell>
          <cell r="G2078" t="str">
            <v>28727I</v>
          </cell>
          <cell r="H2078" t="str">
            <v>CAT Australia FM Program (IE Transfer)</v>
          </cell>
          <cell r="I2078" t="str">
            <v>COMG</v>
          </cell>
          <cell r="J2078" t="str">
            <v>Commercial O&amp;M</v>
          </cell>
          <cell r="K2078" t="str">
            <v>Commercial</v>
          </cell>
          <cell r="L2078" t="str">
            <v xml:space="preserve">Commercial </v>
          </cell>
          <cell r="M2078" t="str">
            <v>Australia</v>
          </cell>
          <cell r="N2078" t="str">
            <v>OCONUS</v>
          </cell>
          <cell r="O2078">
            <v>0</v>
          </cell>
          <cell r="P2078">
            <v>0</v>
          </cell>
          <cell r="Q2078">
            <v>0</v>
          </cell>
          <cell r="R2078" t="str">
            <v>T&amp;M</v>
          </cell>
          <cell r="S2078">
            <v>0</v>
          </cell>
          <cell r="T2078">
            <v>1</v>
          </cell>
          <cell r="U2078" t="str">
            <v>EBITA</v>
          </cell>
          <cell r="V2078" t="str">
            <v>Identified - Recompete</v>
          </cell>
          <cell r="W2078">
            <v>0</v>
          </cell>
          <cell r="X2078">
            <v>0</v>
          </cell>
          <cell r="Y2078">
            <v>0</v>
          </cell>
          <cell r="Z2078">
            <v>0</v>
          </cell>
          <cell r="AA2078">
            <v>0</v>
          </cell>
          <cell r="AB2078">
            <v>0</v>
          </cell>
          <cell r="AC2078">
            <v>0</v>
          </cell>
          <cell r="AD2078">
            <v>0</v>
          </cell>
          <cell r="AX2078">
            <v>0</v>
          </cell>
          <cell r="AY2078">
            <v>0</v>
          </cell>
          <cell r="AZ2078">
            <v>0</v>
          </cell>
          <cell r="BA2078">
            <v>0</v>
          </cell>
          <cell r="BI2078">
            <v>0</v>
          </cell>
          <cell r="BJ2078">
            <v>0</v>
          </cell>
          <cell r="BK2078">
            <v>0</v>
          </cell>
          <cell r="BL2078">
            <v>0</v>
          </cell>
          <cell r="BM2078">
            <v>0</v>
          </cell>
          <cell r="BN2078">
            <v>0</v>
          </cell>
          <cell r="BO2078">
            <v>0</v>
          </cell>
          <cell r="BP2078">
            <v>0</v>
          </cell>
          <cell r="BQ2078">
            <v>0</v>
          </cell>
          <cell r="BR2078">
            <v>0</v>
          </cell>
          <cell r="BT2078">
            <v>0</v>
          </cell>
          <cell r="CA2078" t="str">
            <v>28727I - EBITA - Identified - Recompete</v>
          </cell>
          <cell r="CC2078" t="str">
            <v>28727I - EBITA - Identified - Recompete - COMG</v>
          </cell>
          <cell r="CD2078" t="str">
            <v/>
          </cell>
          <cell r="CF2078" t="str">
            <v>28727I - Identified - Recompete - COMG</v>
          </cell>
        </row>
        <row r="2079">
          <cell r="D2079">
            <v>2065</v>
          </cell>
          <cell r="E2079">
            <v>1</v>
          </cell>
          <cell r="F2079">
            <v>1</v>
          </cell>
          <cell r="G2079" t="str">
            <v>GEALHM</v>
          </cell>
          <cell r="H2079" t="str">
            <v>GE Aviation Huntsville AL</v>
          </cell>
          <cell r="I2079" t="str">
            <v>COMG</v>
          </cell>
          <cell r="J2079" t="str">
            <v>Commercial O&amp;M</v>
          </cell>
          <cell r="K2079" t="str">
            <v>Commercial</v>
          </cell>
          <cell r="L2079" t="str">
            <v xml:space="preserve">Commercial </v>
          </cell>
          <cell r="M2079" t="str">
            <v>IN</v>
          </cell>
          <cell r="N2079" t="str">
            <v>CONUS</v>
          </cell>
          <cell r="O2079">
            <v>43613</v>
          </cell>
          <cell r="P2079">
            <v>43646</v>
          </cell>
          <cell r="Q2079" t="str">
            <v>Prime</v>
          </cell>
          <cell r="R2079" t="str">
            <v>T&amp;M</v>
          </cell>
          <cell r="S2079">
            <v>0</v>
          </cell>
          <cell r="T2079">
            <v>1</v>
          </cell>
          <cell r="U2079" t="str">
            <v>REVTOT</v>
          </cell>
          <cell r="V2079" t="str">
            <v>Base</v>
          </cell>
          <cell r="W2079" t="str">
            <v>05 Won</v>
          </cell>
          <cell r="X2079" t="str">
            <v>Active</v>
          </cell>
          <cell r="Y2079">
            <v>1</v>
          </cell>
          <cell r="Z2079">
            <v>0</v>
          </cell>
          <cell r="AA2079">
            <v>5430.52</v>
          </cell>
          <cell r="AB2079">
            <v>0</v>
          </cell>
          <cell r="AC2079">
            <v>0</v>
          </cell>
          <cell r="AD2079">
            <v>5430.52</v>
          </cell>
          <cell r="AE2079">
            <v>0</v>
          </cell>
          <cell r="AF2079">
            <v>0</v>
          </cell>
          <cell r="AG2079">
            <v>0</v>
          </cell>
          <cell r="AH2079">
            <v>-1</v>
          </cell>
          <cell r="AI2079">
            <v>0</v>
          </cell>
          <cell r="AJ2079">
            <v>0</v>
          </cell>
          <cell r="AK2079">
            <v>0</v>
          </cell>
          <cell r="BB2079">
            <v>0</v>
          </cell>
          <cell r="BC2079">
            <v>0</v>
          </cell>
          <cell r="BD2079">
            <v>0</v>
          </cell>
          <cell r="BE2079">
            <v>0</v>
          </cell>
          <cell r="BF2079">
            <v>0</v>
          </cell>
          <cell r="BG2079">
            <v>0</v>
          </cell>
          <cell r="BH2079">
            <v>0</v>
          </cell>
          <cell r="BI2079">
            <v>0</v>
          </cell>
          <cell r="BJ2079">
            <v>0</v>
          </cell>
          <cell r="BK2079">
            <v>76276</v>
          </cell>
          <cell r="BL2079">
            <v>8293.48</v>
          </cell>
          <cell r="BM2079">
            <v>84569.48</v>
          </cell>
          <cell r="BN2079">
            <v>0</v>
          </cell>
          <cell r="BO2079">
            <v>0</v>
          </cell>
          <cell r="BP2079">
            <v>0</v>
          </cell>
          <cell r="BQ2079">
            <v>0</v>
          </cell>
          <cell r="BR2079">
            <v>84569.48</v>
          </cell>
          <cell r="BT2079">
            <v>0</v>
          </cell>
          <cell r="CA2079" t="str">
            <v>GEALHM - REVTOT - Base</v>
          </cell>
          <cell r="CC2079" t="str">
            <v>GEALHM - REVTOT - Base - COMG</v>
          </cell>
          <cell r="CD2079" t="str">
            <v/>
          </cell>
          <cell r="CF2079" t="str">
            <v>GEALHM - Base - COMG</v>
          </cell>
        </row>
        <row r="2080">
          <cell r="D2080">
            <v>2066</v>
          </cell>
          <cell r="E2080">
            <v>1</v>
          </cell>
          <cell r="F2080">
            <v>2</v>
          </cell>
          <cell r="G2080" t="str">
            <v>GEALHM</v>
          </cell>
          <cell r="H2080" t="str">
            <v>GE Aviation Huntsville AL</v>
          </cell>
          <cell r="I2080" t="str">
            <v>COMG</v>
          </cell>
          <cell r="J2080" t="str">
            <v>Commercial O&amp;M</v>
          </cell>
          <cell r="K2080" t="str">
            <v>Commercial</v>
          </cell>
          <cell r="L2080" t="str">
            <v xml:space="preserve">Commercial </v>
          </cell>
          <cell r="M2080" t="str">
            <v>IN</v>
          </cell>
          <cell r="N2080" t="str">
            <v>CONUS</v>
          </cell>
          <cell r="O2080">
            <v>0</v>
          </cell>
          <cell r="P2080">
            <v>0</v>
          </cell>
          <cell r="Q2080">
            <v>0</v>
          </cell>
          <cell r="R2080" t="str">
            <v>T&amp;M</v>
          </cell>
          <cell r="S2080">
            <v>0</v>
          </cell>
          <cell r="T2080">
            <v>1</v>
          </cell>
          <cell r="U2080" t="str">
            <v>REVTOT</v>
          </cell>
          <cell r="V2080" t="str">
            <v>Identified - Recompete</v>
          </cell>
          <cell r="W2080">
            <v>0</v>
          </cell>
          <cell r="X2080">
            <v>0</v>
          </cell>
          <cell r="Y2080">
            <v>0</v>
          </cell>
          <cell r="Z2080">
            <v>0</v>
          </cell>
          <cell r="AA2080">
            <v>0</v>
          </cell>
          <cell r="AB2080">
            <v>0</v>
          </cell>
          <cell r="AC2080">
            <v>0</v>
          </cell>
          <cell r="AD2080">
            <v>0</v>
          </cell>
          <cell r="AI2080">
            <v>0</v>
          </cell>
          <cell r="AJ2080">
            <v>0</v>
          </cell>
          <cell r="AK2080">
            <v>0</v>
          </cell>
          <cell r="BB2080">
            <v>0</v>
          </cell>
          <cell r="BC2080">
            <v>0</v>
          </cell>
          <cell r="BD2080">
            <v>0</v>
          </cell>
          <cell r="BE2080">
            <v>0</v>
          </cell>
          <cell r="BI2080">
            <v>0</v>
          </cell>
          <cell r="BJ2080">
            <v>0</v>
          </cell>
          <cell r="BK2080">
            <v>0</v>
          </cell>
          <cell r="BL2080">
            <v>0</v>
          </cell>
          <cell r="BM2080">
            <v>0</v>
          </cell>
          <cell r="BN2080">
            <v>0</v>
          </cell>
          <cell r="BO2080">
            <v>0</v>
          </cell>
          <cell r="BP2080">
            <v>0</v>
          </cell>
          <cell r="BQ2080">
            <v>0</v>
          </cell>
          <cell r="BR2080">
            <v>0</v>
          </cell>
          <cell r="BT2080">
            <v>0</v>
          </cell>
          <cell r="CA2080" t="str">
            <v>GEALHM - REVTOT - Identified - Recompete</v>
          </cell>
          <cell r="CC2080" t="str">
            <v>GEALHM - REVTOT - Identified - Recompete - COMG</v>
          </cell>
          <cell r="CD2080" t="str">
            <v/>
          </cell>
          <cell r="CF2080" t="str">
            <v>GEALHM - Identified - Recompete - COMG</v>
          </cell>
        </row>
        <row r="2081">
          <cell r="D2081">
            <v>2067</v>
          </cell>
          <cell r="E2081">
            <v>2</v>
          </cell>
          <cell r="F2081">
            <v>3</v>
          </cell>
          <cell r="G2081" t="str">
            <v>GEALHM</v>
          </cell>
          <cell r="H2081" t="str">
            <v>GE Aviation Huntsville AL</v>
          </cell>
          <cell r="I2081" t="str">
            <v>COMG</v>
          </cell>
          <cell r="J2081" t="str">
            <v>Commercial O&amp;M</v>
          </cell>
          <cell r="K2081" t="str">
            <v>Commercial</v>
          </cell>
          <cell r="L2081" t="str">
            <v xml:space="preserve">Commercial </v>
          </cell>
          <cell r="M2081" t="str">
            <v>IN</v>
          </cell>
          <cell r="N2081" t="str">
            <v>CONUS</v>
          </cell>
          <cell r="O2081">
            <v>43613</v>
          </cell>
          <cell r="P2081">
            <v>43646</v>
          </cell>
          <cell r="Q2081" t="str">
            <v>Prime</v>
          </cell>
          <cell r="R2081" t="str">
            <v>T&amp;M</v>
          </cell>
          <cell r="S2081">
            <v>0</v>
          </cell>
          <cell r="T2081">
            <v>1</v>
          </cell>
          <cell r="U2081" t="str">
            <v>CONTRACT</v>
          </cell>
          <cell r="V2081" t="str">
            <v>Base</v>
          </cell>
          <cell r="W2081" t="str">
            <v>05 Won</v>
          </cell>
          <cell r="X2081" t="str">
            <v>Active</v>
          </cell>
          <cell r="Y2081">
            <v>1</v>
          </cell>
          <cell r="Z2081">
            <v>0</v>
          </cell>
          <cell r="AA2081">
            <v>5430.52</v>
          </cell>
          <cell r="AB2081">
            <v>0</v>
          </cell>
          <cell r="AC2081">
            <v>0</v>
          </cell>
          <cell r="AD2081">
            <v>5430.52</v>
          </cell>
          <cell r="AL2081">
            <v>0</v>
          </cell>
          <cell r="AM2081">
            <v>0</v>
          </cell>
          <cell r="AN2081">
            <v>0</v>
          </cell>
          <cell r="AO2081">
            <v>0.32166592487029599</v>
          </cell>
          <cell r="AP2081">
            <v>0.32166592487029599</v>
          </cell>
          <cell r="AQ2081">
            <v>0.32166592487029599</v>
          </cell>
          <cell r="AR2081">
            <v>0.32166592487029599</v>
          </cell>
          <cell r="AS2081">
            <v>0.32166592487029599</v>
          </cell>
          <cell r="BF2081">
            <v>0</v>
          </cell>
          <cell r="BG2081">
            <v>0</v>
          </cell>
          <cell r="BH2081">
            <v>0</v>
          </cell>
          <cell r="BI2081">
            <v>0</v>
          </cell>
          <cell r="BJ2081">
            <v>0</v>
          </cell>
          <cell r="BK2081">
            <v>20409.64</v>
          </cell>
          <cell r="BL2081">
            <v>6793.48</v>
          </cell>
          <cell r="BM2081">
            <v>27203.119999999999</v>
          </cell>
          <cell r="BN2081">
            <v>0</v>
          </cell>
          <cell r="BO2081">
            <v>0</v>
          </cell>
          <cell r="BP2081">
            <v>0</v>
          </cell>
          <cell r="BQ2081">
            <v>0</v>
          </cell>
          <cell r="BR2081">
            <v>27203.119999999999</v>
          </cell>
          <cell r="BT2081">
            <v>0</v>
          </cell>
          <cell r="CA2081" t="str">
            <v>GEALHM - CONTRACT - Base</v>
          </cell>
          <cell r="CC2081" t="str">
            <v>GEALHM - CONTRACT - Base - COMG</v>
          </cell>
          <cell r="CD2081" t="str">
            <v/>
          </cell>
          <cell r="CF2081" t="str">
            <v>GEALHM - Base - COMG</v>
          </cell>
        </row>
        <row r="2082">
          <cell r="D2082">
            <v>2068</v>
          </cell>
          <cell r="E2082">
            <v>2</v>
          </cell>
          <cell r="F2082">
            <v>4</v>
          </cell>
          <cell r="G2082" t="str">
            <v>GEALHM</v>
          </cell>
          <cell r="H2082" t="str">
            <v>GE Aviation Huntsville AL</v>
          </cell>
          <cell r="I2082" t="str">
            <v>COMG</v>
          </cell>
          <cell r="J2082" t="str">
            <v>Commercial O&amp;M</v>
          </cell>
          <cell r="K2082" t="str">
            <v>Commercial</v>
          </cell>
          <cell r="L2082" t="str">
            <v xml:space="preserve">Commercial </v>
          </cell>
          <cell r="M2082" t="str">
            <v>IN</v>
          </cell>
          <cell r="N2082" t="str">
            <v>CONUS</v>
          </cell>
          <cell r="O2082">
            <v>0</v>
          </cell>
          <cell r="P2082">
            <v>0</v>
          </cell>
          <cell r="Q2082">
            <v>0</v>
          </cell>
          <cell r="R2082" t="str">
            <v>T&amp;M</v>
          </cell>
          <cell r="S2082">
            <v>0</v>
          </cell>
          <cell r="T2082">
            <v>1</v>
          </cell>
          <cell r="U2082" t="str">
            <v>CONTRACT</v>
          </cell>
          <cell r="V2082" t="str">
            <v>Identified - Recompete</v>
          </cell>
          <cell r="W2082">
            <v>0</v>
          </cell>
          <cell r="X2082">
            <v>0</v>
          </cell>
          <cell r="Y2082">
            <v>0</v>
          </cell>
          <cell r="Z2082">
            <v>0</v>
          </cell>
          <cell r="AA2082">
            <v>0</v>
          </cell>
          <cell r="AB2082">
            <v>0</v>
          </cell>
          <cell r="AC2082">
            <v>0</v>
          </cell>
          <cell r="AD2082">
            <v>0</v>
          </cell>
          <cell r="AP2082">
            <v>0</v>
          </cell>
          <cell r="AQ2082">
            <v>0</v>
          </cell>
          <cell r="AR2082">
            <v>0</v>
          </cell>
          <cell r="AS2082">
            <v>0</v>
          </cell>
          <cell r="BI2082">
            <v>0</v>
          </cell>
          <cell r="BJ2082">
            <v>0</v>
          </cell>
          <cell r="BK2082">
            <v>0</v>
          </cell>
          <cell r="BL2082">
            <v>0</v>
          </cell>
          <cell r="BM2082">
            <v>0</v>
          </cell>
          <cell r="BN2082">
            <v>0</v>
          </cell>
          <cell r="BO2082">
            <v>0</v>
          </cell>
          <cell r="BP2082">
            <v>0</v>
          </cell>
          <cell r="BQ2082">
            <v>0</v>
          </cell>
          <cell r="BR2082">
            <v>0</v>
          </cell>
          <cell r="BT2082">
            <v>0</v>
          </cell>
          <cell r="CA2082" t="str">
            <v>GEALHM - CONTRACT - Identified - Recompete</v>
          </cell>
          <cell r="CC2082" t="str">
            <v>GEALHM - CONTRACT - Identified - Recompete - COMG</v>
          </cell>
          <cell r="CD2082" t="str">
            <v/>
          </cell>
          <cell r="CF2082" t="str">
            <v>GEALHM - Identified - Recompete - COMG</v>
          </cell>
        </row>
        <row r="2083">
          <cell r="D2083">
            <v>2069</v>
          </cell>
          <cell r="E2083">
            <v>0</v>
          </cell>
          <cell r="F2083">
            <v>5</v>
          </cell>
          <cell r="G2083" t="str">
            <v>GEALHM</v>
          </cell>
          <cell r="H2083" t="str">
            <v>GE Aviation Huntsville AL</v>
          </cell>
          <cell r="I2083" t="str">
            <v>COMG</v>
          </cell>
          <cell r="J2083" t="str">
            <v>Commercial O&amp;M</v>
          </cell>
          <cell r="K2083" t="str">
            <v>Commercial</v>
          </cell>
          <cell r="L2083" t="str">
            <v xml:space="preserve">Commercial </v>
          </cell>
          <cell r="M2083" t="str">
            <v>IN</v>
          </cell>
          <cell r="N2083" t="str">
            <v>CONUS</v>
          </cell>
          <cell r="O2083">
            <v>43613</v>
          </cell>
          <cell r="P2083">
            <v>43646</v>
          </cell>
          <cell r="Q2083" t="str">
            <v>Prime</v>
          </cell>
          <cell r="R2083" t="str">
            <v>T&amp;M</v>
          </cell>
          <cell r="S2083">
            <v>0</v>
          </cell>
          <cell r="T2083">
            <v>1</v>
          </cell>
          <cell r="U2083" t="str">
            <v>EBITA</v>
          </cell>
          <cell r="V2083" t="str">
            <v>Base</v>
          </cell>
          <cell r="W2083" t="str">
            <v>05 Won</v>
          </cell>
          <cell r="X2083" t="str">
            <v>Active</v>
          </cell>
          <cell r="Y2083">
            <v>1</v>
          </cell>
          <cell r="Z2083">
            <v>0</v>
          </cell>
          <cell r="AA2083">
            <v>5430.52</v>
          </cell>
          <cell r="AB2083">
            <v>0</v>
          </cell>
          <cell r="AC2083">
            <v>0</v>
          </cell>
          <cell r="AD2083">
            <v>5430.52</v>
          </cell>
          <cell r="AT2083">
            <v>0</v>
          </cell>
          <cell r="AU2083">
            <v>0</v>
          </cell>
          <cell r="AV2083">
            <v>0</v>
          </cell>
          <cell r="AW2083">
            <v>0.22907613952456607</v>
          </cell>
          <cell r="AX2083">
            <v>0.23007613952456607</v>
          </cell>
          <cell r="AY2083">
            <v>0.23107613952456607</v>
          </cell>
          <cell r="AZ2083">
            <v>0.23207613952456607</v>
          </cell>
          <cell r="BA2083">
            <v>0.23307613952456607</v>
          </cell>
          <cell r="BF2083">
            <v>0</v>
          </cell>
          <cell r="BG2083">
            <v>0</v>
          </cell>
          <cell r="BH2083">
            <v>0</v>
          </cell>
          <cell r="BI2083">
            <v>0</v>
          </cell>
          <cell r="BJ2083">
            <v>0</v>
          </cell>
          <cell r="BK2083">
            <v>12579.369999999999</v>
          </cell>
          <cell r="BL2083">
            <v>6793.48</v>
          </cell>
          <cell r="BM2083">
            <v>19372.849999999999</v>
          </cell>
          <cell r="BN2083">
            <v>0</v>
          </cell>
          <cell r="BO2083">
            <v>0</v>
          </cell>
          <cell r="BP2083">
            <v>0</v>
          </cell>
          <cell r="BQ2083">
            <v>0</v>
          </cell>
          <cell r="BR2083">
            <v>19372.849999999999</v>
          </cell>
          <cell r="BT2083">
            <v>0</v>
          </cell>
          <cell r="CA2083" t="str">
            <v>GEALHM - EBITA - Base</v>
          </cell>
          <cell r="CC2083" t="str">
            <v>GEALHM - EBITA - Base - COMG</v>
          </cell>
          <cell r="CD2083" t="str">
            <v/>
          </cell>
          <cell r="CF2083" t="str">
            <v>GEALHM - Base - COMG</v>
          </cell>
        </row>
        <row r="2084">
          <cell r="D2084">
            <v>2070</v>
          </cell>
          <cell r="E2084">
            <v>0</v>
          </cell>
          <cell r="F2084">
            <v>0</v>
          </cell>
          <cell r="G2084" t="str">
            <v>GEALHM</v>
          </cell>
          <cell r="H2084" t="str">
            <v>GE Aviation Huntsville AL</v>
          </cell>
          <cell r="I2084" t="str">
            <v>COMG</v>
          </cell>
          <cell r="J2084" t="str">
            <v>Commercial O&amp;M</v>
          </cell>
          <cell r="K2084" t="str">
            <v>Commercial</v>
          </cell>
          <cell r="L2084" t="str">
            <v xml:space="preserve">Commercial </v>
          </cell>
          <cell r="M2084" t="str">
            <v>IN</v>
          </cell>
          <cell r="N2084" t="str">
            <v>CONUS</v>
          </cell>
          <cell r="O2084">
            <v>0</v>
          </cell>
          <cell r="P2084">
            <v>0</v>
          </cell>
          <cell r="Q2084">
            <v>0</v>
          </cell>
          <cell r="R2084" t="str">
            <v>T&amp;M</v>
          </cell>
          <cell r="S2084">
            <v>0</v>
          </cell>
          <cell r="T2084">
            <v>1</v>
          </cell>
          <cell r="U2084" t="str">
            <v>EBITA</v>
          </cell>
          <cell r="V2084" t="str">
            <v>Identified - Recompete</v>
          </cell>
          <cell r="W2084">
            <v>0</v>
          </cell>
          <cell r="X2084">
            <v>0</v>
          </cell>
          <cell r="Y2084">
            <v>0</v>
          </cell>
          <cell r="Z2084">
            <v>0</v>
          </cell>
          <cell r="AA2084">
            <v>0</v>
          </cell>
          <cell r="AB2084">
            <v>0</v>
          </cell>
          <cell r="AC2084">
            <v>0</v>
          </cell>
          <cell r="AD2084">
            <v>0</v>
          </cell>
          <cell r="AX2084">
            <v>0</v>
          </cell>
          <cell r="AY2084">
            <v>0</v>
          </cell>
          <cell r="AZ2084">
            <v>0</v>
          </cell>
          <cell r="BA2084">
            <v>0</v>
          </cell>
          <cell r="BI2084">
            <v>0</v>
          </cell>
          <cell r="BJ2084">
            <v>0</v>
          </cell>
          <cell r="BK2084">
            <v>0</v>
          </cell>
          <cell r="BL2084">
            <v>0</v>
          </cell>
          <cell r="BM2084">
            <v>0</v>
          </cell>
          <cell r="BN2084">
            <v>0</v>
          </cell>
          <cell r="BO2084">
            <v>0</v>
          </cell>
          <cell r="BP2084">
            <v>0</v>
          </cell>
          <cell r="BQ2084">
            <v>0</v>
          </cell>
          <cell r="BR2084">
            <v>0</v>
          </cell>
          <cell r="BT2084">
            <v>0</v>
          </cell>
          <cell r="CA2084" t="str">
            <v>GEALHM - EBITA - Identified - Recompete</v>
          </cell>
          <cell r="CC2084" t="str">
            <v>GEALHM - EBITA - Identified - Recompete - COMG</v>
          </cell>
          <cell r="CD2084" t="str">
            <v/>
          </cell>
          <cell r="CF2084" t="str">
            <v>GEALHM - Identified - Recompete - COMG</v>
          </cell>
        </row>
        <row r="2085">
          <cell r="CC2085" t="str">
            <v xml:space="preserve"> - </v>
          </cell>
          <cell r="CD2085" t="str">
            <v/>
          </cell>
          <cell r="CF2085" t="str">
            <v xml:space="preserve"> -  - </v>
          </cell>
        </row>
        <row r="2086">
          <cell r="D2086">
            <v>1</v>
          </cell>
          <cell r="E2086">
            <v>1</v>
          </cell>
          <cell r="F2086">
            <v>1</v>
          </cell>
          <cell r="G2086" t="str">
            <v>000036</v>
          </cell>
          <cell r="H2086" t="str">
            <v>Min JV Rock Island</v>
          </cell>
          <cell r="I2086" t="str">
            <v>MR</v>
          </cell>
          <cell r="J2086" t="str">
            <v>MR Maintenance &amp; Sustainment</v>
          </cell>
          <cell r="K2086" t="str">
            <v>Other DOD</v>
          </cell>
          <cell r="L2086" t="str">
            <v>DOD</v>
          </cell>
          <cell r="O2086">
            <v>41120</v>
          </cell>
          <cell r="P2086">
            <v>43904</v>
          </cell>
          <cell r="Q2086" t="str">
            <v>Minority</v>
          </cell>
          <cell r="R2086" t="str">
            <v>MinJV</v>
          </cell>
          <cell r="S2086">
            <v>1</v>
          </cell>
          <cell r="T2086">
            <v>0</v>
          </cell>
          <cell r="U2086" t="str">
            <v>REVTOT</v>
          </cell>
          <cell r="V2086" t="str">
            <v>Base</v>
          </cell>
          <cell r="W2086" t="str">
            <v>05 Won</v>
          </cell>
          <cell r="X2086" t="str">
            <v>Active</v>
          </cell>
          <cell r="Y2086">
            <v>0</v>
          </cell>
          <cell r="Z2086">
            <v>0</v>
          </cell>
          <cell r="AA2086">
            <v>0</v>
          </cell>
          <cell r="AB2086">
            <v>0</v>
          </cell>
          <cell r="AC2086">
            <v>0</v>
          </cell>
          <cell r="AD2086">
            <v>0</v>
          </cell>
          <cell r="BF2086">
            <v>0</v>
          </cell>
          <cell r="BG2086">
            <v>0</v>
          </cell>
          <cell r="BH2086">
            <v>0</v>
          </cell>
          <cell r="BI2086">
            <v>0</v>
          </cell>
          <cell r="BJ2086">
            <v>0</v>
          </cell>
          <cell r="BK2086">
            <v>0</v>
          </cell>
          <cell r="BL2086">
            <v>0</v>
          </cell>
          <cell r="BM2086">
            <v>0</v>
          </cell>
          <cell r="BN2086">
            <v>0</v>
          </cell>
          <cell r="BO2086">
            <v>0</v>
          </cell>
          <cell r="BP2086">
            <v>0</v>
          </cell>
          <cell r="BQ2086">
            <v>0</v>
          </cell>
          <cell r="BR2086">
            <v>0</v>
          </cell>
          <cell r="BT2086">
            <v>29</v>
          </cell>
          <cell r="BV2086">
            <v>51</v>
          </cell>
          <cell r="BW2086">
            <v>60</v>
          </cell>
          <cell r="CA2086" t="str">
            <v>000036 - REVTOT - Base</v>
          </cell>
          <cell r="CC2086" t="str">
            <v>000036 - REVTOT - Base - MR</v>
          </cell>
          <cell r="CD2086" t="str">
            <v>000036 - REVTOT - Base - MR</v>
          </cell>
          <cell r="CF2086" t="str">
            <v>000036 - Base - MR</v>
          </cell>
        </row>
        <row r="2087">
          <cell r="D2087">
            <v>2</v>
          </cell>
          <cell r="E2087">
            <v>1</v>
          </cell>
          <cell r="F2087">
            <v>2</v>
          </cell>
          <cell r="G2087" t="str">
            <v>000036</v>
          </cell>
          <cell r="H2087" t="str">
            <v>Min JV Rock Island</v>
          </cell>
          <cell r="I2087" t="str">
            <v>MR</v>
          </cell>
          <cell r="J2087" t="str">
            <v>MR Maintenance &amp; Sustainment</v>
          </cell>
          <cell r="K2087" t="str">
            <v>Other DOD</v>
          </cell>
          <cell r="L2087" t="str">
            <v>DOD</v>
          </cell>
          <cell r="O2087">
            <v>43930</v>
          </cell>
          <cell r="P2087">
            <v>45391</v>
          </cell>
          <cell r="Q2087" t="str">
            <v>Minority</v>
          </cell>
          <cell r="R2087" t="str">
            <v>Cost Plus</v>
          </cell>
          <cell r="S2087">
            <v>1</v>
          </cell>
          <cell r="T2087">
            <v>0</v>
          </cell>
          <cell r="U2087" t="str">
            <v>REVTOT</v>
          </cell>
          <cell r="V2087" t="str">
            <v>Identified - Recompete</v>
          </cell>
          <cell r="W2087" t="str">
            <v>00 Investigate</v>
          </cell>
          <cell r="X2087" t="str">
            <v>Priority 3</v>
          </cell>
          <cell r="Y2087">
            <v>0.3</v>
          </cell>
          <cell r="Z2087">
            <v>7350000</v>
          </cell>
          <cell r="AA2087">
            <v>0</v>
          </cell>
          <cell r="AB2087">
            <v>0</v>
          </cell>
          <cell r="AC2087">
            <v>0</v>
          </cell>
          <cell r="AD2087">
            <v>0</v>
          </cell>
          <cell r="BM2087">
            <v>0</v>
          </cell>
          <cell r="BN2087">
            <v>0</v>
          </cell>
          <cell r="BO2087">
            <v>0</v>
          </cell>
          <cell r="BP2087">
            <v>0</v>
          </cell>
          <cell r="BQ2087">
            <v>0</v>
          </cell>
          <cell r="BR2087">
            <v>0</v>
          </cell>
          <cell r="BT2087">
            <v>29</v>
          </cell>
          <cell r="BV2087">
            <v>52</v>
          </cell>
          <cell r="BW2087">
            <v>60</v>
          </cell>
          <cell r="CA2087" t="str">
            <v>000036 - REVTOT - Identified - Recompete</v>
          </cell>
          <cell r="CC2087" t="str">
            <v>000036 - REVTOT - Identified - Recompete - MR</v>
          </cell>
          <cell r="CD2087" t="str">
            <v/>
          </cell>
          <cell r="CF2087" t="str">
            <v>000036 - Identified - Recompete - MR</v>
          </cell>
        </row>
        <row r="2088">
          <cell r="D2088">
            <v>3</v>
          </cell>
          <cell r="E2088">
            <v>1</v>
          </cell>
          <cell r="F2088">
            <v>3</v>
          </cell>
          <cell r="G2088" t="str">
            <v>000036</v>
          </cell>
          <cell r="H2088" t="str">
            <v>Min JV Rock Island</v>
          </cell>
          <cell r="I2088" t="str">
            <v>MR</v>
          </cell>
          <cell r="J2088" t="str">
            <v>MR Maintenance &amp; Sustainment</v>
          </cell>
          <cell r="K2088" t="str">
            <v>Other DOD</v>
          </cell>
          <cell r="L2088" t="str">
            <v>DOD</v>
          </cell>
          <cell r="O2088">
            <v>0</v>
          </cell>
          <cell r="P2088">
            <v>0</v>
          </cell>
          <cell r="Q2088">
            <v>0</v>
          </cell>
          <cell r="R2088">
            <v>0</v>
          </cell>
          <cell r="S2088">
            <v>1</v>
          </cell>
          <cell r="T2088">
            <v>0</v>
          </cell>
          <cell r="U2088" t="str">
            <v>REVTOT</v>
          </cell>
          <cell r="V2088" t="str">
            <v>Identified - New</v>
          </cell>
          <cell r="W2088">
            <v>0</v>
          </cell>
          <cell r="X2088">
            <v>0</v>
          </cell>
          <cell r="Y2088">
            <v>0</v>
          </cell>
          <cell r="Z2088">
            <v>0</v>
          </cell>
          <cell r="AA2088">
            <v>0</v>
          </cell>
          <cell r="AB2088">
            <v>0</v>
          </cell>
          <cell r="AC2088">
            <v>0</v>
          </cell>
          <cell r="AD2088">
            <v>0</v>
          </cell>
          <cell r="BM2088">
            <v>0</v>
          </cell>
          <cell r="BN2088">
            <v>0</v>
          </cell>
          <cell r="BO2088">
            <v>0</v>
          </cell>
          <cell r="BP2088">
            <v>0</v>
          </cell>
          <cell r="BQ2088">
            <v>0</v>
          </cell>
          <cell r="BR2088">
            <v>0</v>
          </cell>
          <cell r="BT2088">
            <v>29</v>
          </cell>
          <cell r="BV2088">
            <v>2</v>
          </cell>
          <cell r="BW2088">
            <v>60</v>
          </cell>
          <cell r="CA2088" t="str">
            <v>000036 - REVTOT - Identified - New</v>
          </cell>
          <cell r="CC2088" t="str">
            <v>000036 - REVTOT - Identified - New - MR</v>
          </cell>
          <cell r="CD2088" t="str">
            <v/>
          </cell>
          <cell r="CF2088" t="str">
            <v>000036 - Identified - New - MR</v>
          </cell>
        </row>
        <row r="2089">
          <cell r="D2089">
            <v>4</v>
          </cell>
          <cell r="E2089">
            <v>2</v>
          </cell>
          <cell r="F2089">
            <v>4</v>
          </cell>
          <cell r="G2089" t="str">
            <v>000036</v>
          </cell>
          <cell r="H2089" t="str">
            <v>Min JV Rock Island</v>
          </cell>
          <cell r="I2089" t="str">
            <v>MR</v>
          </cell>
          <cell r="J2089" t="str">
            <v>MR Maintenance &amp; Sustainment</v>
          </cell>
          <cell r="K2089" t="str">
            <v>Other DOD</v>
          </cell>
          <cell r="L2089" t="str">
            <v>DOD</v>
          </cell>
          <cell r="O2089">
            <v>41120</v>
          </cell>
          <cell r="P2089">
            <v>43904</v>
          </cell>
          <cell r="Q2089" t="str">
            <v>Minority</v>
          </cell>
          <cell r="R2089" t="str">
            <v>MinJV</v>
          </cell>
          <cell r="S2089">
            <v>1</v>
          </cell>
          <cell r="T2089">
            <v>0</v>
          </cell>
          <cell r="U2089" t="str">
            <v>CONTRACT</v>
          </cell>
          <cell r="V2089" t="str">
            <v>Base</v>
          </cell>
          <cell r="W2089" t="str">
            <v>05 Won</v>
          </cell>
          <cell r="X2089" t="str">
            <v>Active</v>
          </cell>
          <cell r="Y2089">
            <v>0</v>
          </cell>
          <cell r="Z2089">
            <v>0</v>
          </cell>
          <cell r="AA2089">
            <v>0</v>
          </cell>
          <cell r="AB2089">
            <v>0</v>
          </cell>
          <cell r="AC2089">
            <v>0</v>
          </cell>
          <cell r="AD2089">
            <v>0</v>
          </cell>
          <cell r="BF2089">
            <v>0</v>
          </cell>
          <cell r="BG2089">
            <v>0</v>
          </cell>
          <cell r="BH2089">
            <v>0</v>
          </cell>
          <cell r="BI2089">
            <v>0</v>
          </cell>
          <cell r="BJ2089">
            <v>0</v>
          </cell>
          <cell r="BK2089">
            <v>0</v>
          </cell>
          <cell r="BL2089">
            <v>0</v>
          </cell>
          <cell r="BM2089">
            <v>0</v>
          </cell>
          <cell r="BN2089">
            <v>0</v>
          </cell>
          <cell r="BO2089">
            <v>0</v>
          </cell>
          <cell r="BP2089">
            <v>0</v>
          </cell>
          <cell r="BQ2089">
            <v>0</v>
          </cell>
          <cell r="BR2089">
            <v>0</v>
          </cell>
          <cell r="BT2089">
            <v>29</v>
          </cell>
          <cell r="BV2089">
            <v>51</v>
          </cell>
          <cell r="BW2089">
            <v>78</v>
          </cell>
          <cell r="CA2089" t="str">
            <v>000036 - CONTRACT - Base</v>
          </cell>
          <cell r="CC2089" t="str">
            <v>000036 - CONTRACT - Base - MR - 2</v>
          </cell>
          <cell r="CD2089" t="str">
            <v/>
          </cell>
          <cell r="CF2089" t="str">
            <v>000036 - Base - MR</v>
          </cell>
        </row>
        <row r="2090">
          <cell r="D2090">
            <v>5</v>
          </cell>
          <cell r="E2090">
            <v>2</v>
          </cell>
          <cell r="F2090">
            <v>5</v>
          </cell>
          <cell r="G2090" t="str">
            <v>000036</v>
          </cell>
          <cell r="H2090" t="str">
            <v>Min JV Rock Island</v>
          </cell>
          <cell r="I2090" t="str">
            <v>MR</v>
          </cell>
          <cell r="J2090" t="str">
            <v>MR Maintenance &amp; Sustainment</v>
          </cell>
          <cell r="K2090" t="str">
            <v>Other DOD</v>
          </cell>
          <cell r="L2090" t="str">
            <v>DOD</v>
          </cell>
          <cell r="O2090">
            <v>43930</v>
          </cell>
          <cell r="P2090">
            <v>45391</v>
          </cell>
          <cell r="Q2090" t="str">
            <v>Minority</v>
          </cell>
          <cell r="R2090" t="str">
            <v>Cost Plus</v>
          </cell>
          <cell r="S2090">
            <v>1</v>
          </cell>
          <cell r="T2090">
            <v>0</v>
          </cell>
          <cell r="U2090" t="str">
            <v>CONTRACT</v>
          </cell>
          <cell r="V2090" t="str">
            <v>Identified - Recompete</v>
          </cell>
          <cell r="W2090" t="str">
            <v>00 Investigate</v>
          </cell>
          <cell r="X2090" t="str">
            <v>Priority 3</v>
          </cell>
          <cell r="Y2090">
            <v>0.3</v>
          </cell>
          <cell r="Z2090">
            <v>7350000</v>
          </cell>
          <cell r="AA2090">
            <v>0</v>
          </cell>
          <cell r="AB2090">
            <v>0</v>
          </cell>
          <cell r="AC2090">
            <v>0</v>
          </cell>
          <cell r="AD2090">
            <v>0</v>
          </cell>
          <cell r="BM2090">
            <v>0</v>
          </cell>
          <cell r="BN2090">
            <v>0</v>
          </cell>
          <cell r="BO2090">
            <v>0</v>
          </cell>
          <cell r="BP2090">
            <v>0</v>
          </cell>
          <cell r="BQ2090">
            <v>0</v>
          </cell>
          <cell r="BR2090">
            <v>0</v>
          </cell>
          <cell r="BT2090">
            <v>29</v>
          </cell>
          <cell r="BV2090">
            <v>52</v>
          </cell>
          <cell r="BW2090">
            <v>78</v>
          </cell>
          <cell r="CA2090" t="str">
            <v>000036 - CONTRACT - Identified - Recompete</v>
          </cell>
          <cell r="CC2090" t="str">
            <v>000036 - CONTRACT - Identified - Recompete - MR</v>
          </cell>
          <cell r="CD2090" t="str">
            <v/>
          </cell>
          <cell r="CF2090" t="str">
            <v>000036 - Identified - Recompete - MR</v>
          </cell>
        </row>
        <row r="2091">
          <cell r="D2091">
            <v>6</v>
          </cell>
          <cell r="E2091">
            <v>2</v>
          </cell>
          <cell r="F2091">
            <v>6</v>
          </cell>
          <cell r="G2091" t="str">
            <v>000036</v>
          </cell>
          <cell r="H2091" t="str">
            <v>Min JV Rock Island</v>
          </cell>
          <cell r="I2091" t="str">
            <v>MR</v>
          </cell>
          <cell r="J2091" t="str">
            <v>MR Maintenance &amp; Sustainment</v>
          </cell>
          <cell r="K2091" t="str">
            <v>Other DOD</v>
          </cell>
          <cell r="L2091" t="str">
            <v>DOD</v>
          </cell>
          <cell r="O2091">
            <v>0</v>
          </cell>
          <cell r="P2091">
            <v>0</v>
          </cell>
          <cell r="Q2091">
            <v>0</v>
          </cell>
          <cell r="R2091">
            <v>0</v>
          </cell>
          <cell r="S2091">
            <v>1</v>
          </cell>
          <cell r="T2091">
            <v>0</v>
          </cell>
          <cell r="U2091" t="str">
            <v>CONTRACT</v>
          </cell>
          <cell r="V2091" t="str">
            <v>Identified - New</v>
          </cell>
          <cell r="W2091">
            <v>0</v>
          </cell>
          <cell r="X2091">
            <v>0</v>
          </cell>
          <cell r="Y2091">
            <v>0</v>
          </cell>
          <cell r="Z2091">
            <v>0</v>
          </cell>
          <cell r="AA2091">
            <v>0</v>
          </cell>
          <cell r="AB2091">
            <v>0</v>
          </cell>
          <cell r="AC2091">
            <v>0</v>
          </cell>
          <cell r="AD2091">
            <v>0</v>
          </cell>
          <cell r="BM2091">
            <v>0</v>
          </cell>
          <cell r="BN2091">
            <v>0</v>
          </cell>
          <cell r="BO2091">
            <v>0</v>
          </cell>
          <cell r="BP2091">
            <v>0</v>
          </cell>
          <cell r="BQ2091">
            <v>0</v>
          </cell>
          <cell r="BR2091">
            <v>0</v>
          </cell>
          <cell r="BT2091">
            <v>29</v>
          </cell>
          <cell r="BV2091">
            <v>2</v>
          </cell>
          <cell r="BW2091">
            <v>78</v>
          </cell>
          <cell r="CA2091" t="str">
            <v>000036 - CONTRACT - Identified - New</v>
          </cell>
          <cell r="CC2091" t="str">
            <v>000036 - CONTRACT - Identified - New - MR</v>
          </cell>
          <cell r="CD2091" t="str">
            <v/>
          </cell>
          <cell r="CF2091" t="str">
            <v>000036 - Identified - New - MR</v>
          </cell>
        </row>
        <row r="2092">
          <cell r="D2092">
            <v>7</v>
          </cell>
          <cell r="E2092">
            <v>0</v>
          </cell>
          <cell r="F2092">
            <v>7</v>
          </cell>
          <cell r="G2092" t="str">
            <v>000036</v>
          </cell>
          <cell r="H2092" t="str">
            <v>Min JV Rock Island</v>
          </cell>
          <cell r="I2092" t="str">
            <v>MR</v>
          </cell>
          <cell r="J2092" t="str">
            <v>MR Maintenance &amp; Sustainment</v>
          </cell>
          <cell r="K2092" t="str">
            <v>Other DOD</v>
          </cell>
          <cell r="L2092" t="str">
            <v>DOD</v>
          </cell>
          <cell r="O2092">
            <v>41120</v>
          </cell>
          <cell r="P2092">
            <v>43904</v>
          </cell>
          <cell r="Q2092" t="str">
            <v>Minority</v>
          </cell>
          <cell r="R2092" t="str">
            <v>MinJV</v>
          </cell>
          <cell r="S2092">
            <v>1</v>
          </cell>
          <cell r="T2092">
            <v>0</v>
          </cell>
          <cell r="U2092" t="str">
            <v>EBITA</v>
          </cell>
          <cell r="V2092" t="str">
            <v>Base</v>
          </cell>
          <cell r="W2092" t="str">
            <v>05 Won</v>
          </cell>
          <cell r="X2092" t="str">
            <v>Active</v>
          </cell>
          <cell r="Y2092">
            <v>0</v>
          </cell>
          <cell r="Z2092">
            <v>0</v>
          </cell>
          <cell r="AA2092">
            <v>0</v>
          </cell>
          <cell r="AB2092">
            <v>0</v>
          </cell>
          <cell r="AC2092">
            <v>0</v>
          </cell>
          <cell r="AD2092">
            <v>0</v>
          </cell>
          <cell r="BF2092">
            <v>364809.32</v>
          </cell>
          <cell r="BG2092">
            <v>146091.90999999997</v>
          </cell>
          <cell r="BH2092">
            <v>486436.06000000006</v>
          </cell>
          <cell r="BI2092">
            <v>-105971.5</v>
          </cell>
          <cell r="BJ2092">
            <v>1037280.23</v>
          </cell>
          <cell r="BK2092">
            <v>-45019.850000000006</v>
          </cell>
          <cell r="BL2092">
            <v>170767.63</v>
          </cell>
          <cell r="BM2092">
            <v>1057056.51</v>
          </cell>
          <cell r="BN2092">
            <v>575508.54433333327</v>
          </cell>
          <cell r="BO2092">
            <v>0</v>
          </cell>
          <cell r="BP2092">
            <v>0</v>
          </cell>
          <cell r="BQ2092">
            <v>0</v>
          </cell>
          <cell r="BR2092">
            <v>1632565.0543333334</v>
          </cell>
          <cell r="BT2092">
            <v>29</v>
          </cell>
          <cell r="BV2092">
            <v>51</v>
          </cell>
          <cell r="BW2092">
            <v>87</v>
          </cell>
          <cell r="CA2092" t="str">
            <v>000036 - EBITA - Base</v>
          </cell>
          <cell r="CC2092" t="str">
            <v>000036 - EBITA - Base - MR</v>
          </cell>
          <cell r="CD2092" t="str">
            <v/>
          </cell>
          <cell r="CF2092" t="str">
            <v>000036 - Base - MR</v>
          </cell>
        </row>
        <row r="2093">
          <cell r="D2093">
            <v>8</v>
          </cell>
          <cell r="E2093">
            <v>0</v>
          </cell>
          <cell r="F2093">
            <v>8</v>
          </cell>
          <cell r="G2093" t="str">
            <v>000036</v>
          </cell>
          <cell r="H2093" t="str">
            <v>Min JV Rock Island</v>
          </cell>
          <cell r="I2093" t="str">
            <v>MR</v>
          </cell>
          <cell r="J2093" t="str">
            <v>MR Maintenance &amp; Sustainment</v>
          </cell>
          <cell r="K2093" t="str">
            <v>Other DOD</v>
          </cell>
          <cell r="L2093" t="str">
            <v>DOD</v>
          </cell>
          <cell r="O2093">
            <v>43930</v>
          </cell>
          <cell r="P2093">
            <v>45391</v>
          </cell>
          <cell r="Q2093" t="str">
            <v>Minority</v>
          </cell>
          <cell r="R2093" t="str">
            <v>Cost Plus</v>
          </cell>
          <cell r="S2093">
            <v>1</v>
          </cell>
          <cell r="T2093">
            <v>0</v>
          </cell>
          <cell r="U2093" t="str">
            <v>EBITA</v>
          </cell>
          <cell r="V2093" t="str">
            <v>Identified - Recompete</v>
          </cell>
          <cell r="W2093" t="str">
            <v>00 Investigate</v>
          </cell>
          <cell r="X2093" t="str">
            <v>Priority 3</v>
          </cell>
          <cell r="Y2093">
            <v>0.3</v>
          </cell>
          <cell r="Z2093">
            <v>7350000</v>
          </cell>
          <cell r="AA2093">
            <v>0</v>
          </cell>
          <cell r="AB2093">
            <v>0</v>
          </cell>
          <cell r="AC2093">
            <v>0</v>
          </cell>
          <cell r="AD2093">
            <v>0</v>
          </cell>
          <cell r="BM2093">
            <v>0</v>
          </cell>
          <cell r="BN2093">
            <v>46130.524397750611</v>
          </cell>
          <cell r="BO2093">
            <v>97116.893468948663</v>
          </cell>
          <cell r="BP2093">
            <v>97116.893468948663</v>
          </cell>
          <cell r="BQ2093">
            <v>97116.893468948663</v>
          </cell>
          <cell r="BR2093">
            <v>337481.20480459661</v>
          </cell>
          <cell r="BT2093">
            <v>29</v>
          </cell>
          <cell r="BV2093">
            <v>52</v>
          </cell>
          <cell r="BW2093">
            <v>87</v>
          </cell>
          <cell r="CA2093" t="str">
            <v>000036 - EBITA - Identified - Recompete</v>
          </cell>
          <cell r="CC2093" t="str">
            <v>000036 - EBITA - Identified - Recompete - MR</v>
          </cell>
          <cell r="CD2093" t="str">
            <v/>
          </cell>
          <cell r="CF2093" t="str">
            <v>000036 - Identified - Recompete - MR</v>
          </cell>
        </row>
        <row r="2094">
          <cell r="D2094">
            <v>9</v>
          </cell>
          <cell r="E2094">
            <v>0</v>
          </cell>
          <cell r="F2094">
            <v>0</v>
          </cell>
          <cell r="G2094" t="str">
            <v>000036</v>
          </cell>
          <cell r="H2094" t="str">
            <v>Min JV Rock Island</v>
          </cell>
          <cell r="I2094" t="str">
            <v>MR</v>
          </cell>
          <cell r="J2094" t="str">
            <v>MR Maintenance &amp; Sustainment</v>
          </cell>
          <cell r="K2094" t="str">
            <v>Other DOD</v>
          </cell>
          <cell r="L2094" t="str">
            <v>DOD</v>
          </cell>
          <cell r="O2094">
            <v>0</v>
          </cell>
          <cell r="P2094">
            <v>0</v>
          </cell>
          <cell r="Q2094">
            <v>0</v>
          </cell>
          <cell r="R2094">
            <v>0</v>
          </cell>
          <cell r="S2094">
            <v>1</v>
          </cell>
          <cell r="T2094">
            <v>0</v>
          </cell>
          <cell r="U2094" t="str">
            <v>EBITA</v>
          </cell>
          <cell r="V2094" t="str">
            <v>Identified - New</v>
          </cell>
          <cell r="W2094">
            <v>0</v>
          </cell>
          <cell r="X2094">
            <v>0</v>
          </cell>
          <cell r="Y2094">
            <v>0</v>
          </cell>
          <cell r="Z2094">
            <v>0</v>
          </cell>
          <cell r="AA2094">
            <v>0</v>
          </cell>
          <cell r="AB2094">
            <v>0</v>
          </cell>
          <cell r="AC2094">
            <v>0</v>
          </cell>
          <cell r="AD2094">
            <v>0</v>
          </cell>
          <cell r="BM2094">
            <v>0</v>
          </cell>
          <cell r="BN2094">
            <v>0</v>
          </cell>
          <cell r="BO2094">
            <v>0</v>
          </cell>
          <cell r="BP2094">
            <v>0</v>
          </cell>
          <cell r="BQ2094">
            <v>0</v>
          </cell>
          <cell r="BR2094">
            <v>0</v>
          </cell>
          <cell r="BT2094">
            <v>29</v>
          </cell>
          <cell r="BV2094">
            <v>2</v>
          </cell>
          <cell r="BW2094">
            <v>87</v>
          </cell>
          <cell r="CA2094" t="str">
            <v>000036 - EBITA - Identified - New</v>
          </cell>
          <cell r="CC2094" t="str">
            <v>000036 - EBITA - Identified - New - MR</v>
          </cell>
          <cell r="CD2094" t="str">
            <v/>
          </cell>
          <cell r="CF2094" t="str">
            <v>000036 - Identified - New - MR</v>
          </cell>
        </row>
        <row r="2095">
          <cell r="D2095">
            <v>10</v>
          </cell>
          <cell r="E2095">
            <v>1</v>
          </cell>
          <cell r="F2095">
            <v>1</v>
          </cell>
          <cell r="G2095" t="str">
            <v>JVEGLI</v>
          </cell>
          <cell r="H2095" t="str">
            <v>JV - Eglin</v>
          </cell>
          <cell r="I2095" t="str">
            <v>MR</v>
          </cell>
          <cell r="J2095" t="str">
            <v>MR Warfighter Support</v>
          </cell>
          <cell r="K2095" t="str">
            <v>Air Force</v>
          </cell>
          <cell r="L2095" t="str">
            <v>DOD</v>
          </cell>
          <cell r="M2095" t="str">
            <v>US_State</v>
          </cell>
          <cell r="N2095" t="str">
            <v>CONUS</v>
          </cell>
          <cell r="O2095">
            <v>42461</v>
          </cell>
          <cell r="P2095">
            <v>46295</v>
          </cell>
          <cell r="Q2095" t="str">
            <v>Minority</v>
          </cell>
          <cell r="R2095" t="str">
            <v>CPAF</v>
          </cell>
          <cell r="S2095">
            <v>1</v>
          </cell>
          <cell r="T2095">
            <v>0</v>
          </cell>
          <cell r="U2095" t="str">
            <v>REVTOT</v>
          </cell>
          <cell r="V2095" t="str">
            <v>Base</v>
          </cell>
          <cell r="W2095" t="str">
            <v>05 Won</v>
          </cell>
          <cell r="X2095" t="str">
            <v>Active</v>
          </cell>
          <cell r="Y2095">
            <v>0</v>
          </cell>
          <cell r="Z2095">
            <v>0</v>
          </cell>
          <cell r="AA2095">
            <v>0</v>
          </cell>
          <cell r="AB2095">
            <v>0</v>
          </cell>
          <cell r="AC2095">
            <v>0</v>
          </cell>
          <cell r="AD2095">
            <v>0</v>
          </cell>
          <cell r="BF2095">
            <v>0</v>
          </cell>
          <cell r="BG2095">
            <v>0</v>
          </cell>
          <cell r="BH2095">
            <v>0</v>
          </cell>
          <cell r="BI2095">
            <v>0</v>
          </cell>
          <cell r="BJ2095">
            <v>0</v>
          </cell>
          <cell r="BK2095">
            <v>0</v>
          </cell>
          <cell r="BL2095">
            <v>0</v>
          </cell>
          <cell r="BM2095">
            <v>0</v>
          </cell>
          <cell r="BN2095">
            <v>0</v>
          </cell>
          <cell r="BO2095">
            <v>0</v>
          </cell>
          <cell r="BP2095">
            <v>0</v>
          </cell>
          <cell r="BQ2095">
            <v>0</v>
          </cell>
          <cell r="BR2095">
            <v>0</v>
          </cell>
          <cell r="BT2095">
            <v>25</v>
          </cell>
          <cell r="BV2095">
            <v>53</v>
          </cell>
          <cell r="BW2095">
            <v>60</v>
          </cell>
          <cell r="CA2095" t="str">
            <v>JVEGLI - REVTOT - Base</v>
          </cell>
          <cell r="CC2095" t="str">
            <v>JVEGLI - REVTOT - Base - MR</v>
          </cell>
          <cell r="CD2095" t="str">
            <v>JVEGLI - REVTOT - Base - MR</v>
          </cell>
          <cell r="CF2095" t="str">
            <v>JVEGLI - Base - MR</v>
          </cell>
        </row>
        <row r="2096">
          <cell r="D2096">
            <v>11</v>
          </cell>
          <cell r="E2096">
            <v>1</v>
          </cell>
          <cell r="F2096">
            <v>2</v>
          </cell>
          <cell r="G2096" t="str">
            <v>JVEGLI</v>
          </cell>
          <cell r="H2096" t="str">
            <v>JV - Eglin</v>
          </cell>
          <cell r="I2096" t="str">
            <v>MR</v>
          </cell>
          <cell r="J2096" t="str">
            <v>MR Warfighter Support</v>
          </cell>
          <cell r="K2096" t="str">
            <v>Air Force</v>
          </cell>
          <cell r="L2096" t="str">
            <v>DOD</v>
          </cell>
          <cell r="M2096" t="str">
            <v>US_State</v>
          </cell>
          <cell r="N2096" t="str">
            <v>US_State</v>
          </cell>
          <cell r="O2096">
            <v>0</v>
          </cell>
          <cell r="P2096">
            <v>0</v>
          </cell>
          <cell r="Q2096">
            <v>0</v>
          </cell>
          <cell r="R2096">
            <v>0</v>
          </cell>
          <cell r="S2096">
            <v>1</v>
          </cell>
          <cell r="T2096">
            <v>0</v>
          </cell>
          <cell r="U2096" t="str">
            <v>REVTOT</v>
          </cell>
          <cell r="V2096" t="str">
            <v>Identified - Recompete</v>
          </cell>
          <cell r="W2096">
            <v>0</v>
          </cell>
          <cell r="X2096">
            <v>0</v>
          </cell>
          <cell r="Y2096">
            <v>0</v>
          </cell>
          <cell r="Z2096">
            <v>0</v>
          </cell>
          <cell r="AA2096">
            <v>0</v>
          </cell>
          <cell r="AB2096">
            <v>0</v>
          </cell>
          <cell r="AC2096">
            <v>0</v>
          </cell>
          <cell r="AD2096">
            <v>0</v>
          </cell>
          <cell r="BM2096">
            <v>0</v>
          </cell>
          <cell r="BN2096">
            <v>0</v>
          </cell>
          <cell r="BO2096">
            <v>0</v>
          </cell>
          <cell r="BP2096">
            <v>0</v>
          </cell>
          <cell r="BQ2096">
            <v>0</v>
          </cell>
          <cell r="BR2096">
            <v>0</v>
          </cell>
          <cell r="BT2096">
            <v>25</v>
          </cell>
          <cell r="BV2096">
            <v>2</v>
          </cell>
          <cell r="BW2096">
            <v>60</v>
          </cell>
          <cell r="CA2096" t="str">
            <v>JVEGLI - REVTOT - Identified - Recompete</v>
          </cell>
          <cell r="CC2096" t="str">
            <v>JVEGLI - REVTOT - Identified - Recompete - MR</v>
          </cell>
          <cell r="CD2096" t="str">
            <v/>
          </cell>
          <cell r="CF2096" t="str">
            <v>JVEGLI - Identified - Recompete - MR</v>
          </cell>
        </row>
        <row r="2097">
          <cell r="D2097">
            <v>12</v>
          </cell>
          <cell r="E2097">
            <v>1</v>
          </cell>
          <cell r="F2097">
            <v>3</v>
          </cell>
          <cell r="G2097" t="str">
            <v>JVEGLI</v>
          </cell>
          <cell r="H2097" t="str">
            <v>JV - Eglin</v>
          </cell>
          <cell r="I2097" t="str">
            <v>MR</v>
          </cell>
          <cell r="J2097" t="str">
            <v>MR Warfighter Support</v>
          </cell>
          <cell r="K2097" t="str">
            <v>Air Force</v>
          </cell>
          <cell r="L2097" t="str">
            <v>DOD</v>
          </cell>
          <cell r="M2097" t="str">
            <v>US_State</v>
          </cell>
          <cell r="N2097" t="str">
            <v>US_State</v>
          </cell>
          <cell r="O2097">
            <v>0</v>
          </cell>
          <cell r="P2097">
            <v>0</v>
          </cell>
          <cell r="Q2097">
            <v>0</v>
          </cell>
          <cell r="R2097">
            <v>0</v>
          </cell>
          <cell r="S2097">
            <v>1</v>
          </cell>
          <cell r="T2097">
            <v>0</v>
          </cell>
          <cell r="U2097" t="str">
            <v>REVTOT</v>
          </cell>
          <cell r="V2097" t="str">
            <v>Identified - New</v>
          </cell>
          <cell r="W2097">
            <v>0</v>
          </cell>
          <cell r="X2097">
            <v>0</v>
          </cell>
          <cell r="Y2097">
            <v>0</v>
          </cell>
          <cell r="Z2097">
            <v>0</v>
          </cell>
          <cell r="AA2097">
            <v>0</v>
          </cell>
          <cell r="AB2097">
            <v>0</v>
          </cell>
          <cell r="AC2097">
            <v>0</v>
          </cell>
          <cell r="AD2097">
            <v>0</v>
          </cell>
          <cell r="BM2097">
            <v>0</v>
          </cell>
          <cell r="BN2097">
            <v>0</v>
          </cell>
          <cell r="BO2097">
            <v>0</v>
          </cell>
          <cell r="BP2097">
            <v>0</v>
          </cell>
          <cell r="BQ2097">
            <v>0</v>
          </cell>
          <cell r="BR2097">
            <v>0</v>
          </cell>
          <cell r="BT2097">
            <v>25</v>
          </cell>
          <cell r="BV2097">
            <v>2</v>
          </cell>
          <cell r="BW2097">
            <v>60</v>
          </cell>
          <cell r="CA2097" t="str">
            <v>JVEGLI - REVTOT - Identified - New</v>
          </cell>
          <cell r="CC2097" t="str">
            <v>JVEGLI - REVTOT - Identified - New - MR</v>
          </cell>
          <cell r="CD2097" t="str">
            <v/>
          </cell>
          <cell r="CF2097" t="str">
            <v>JVEGLI - Identified - New - MR</v>
          </cell>
        </row>
        <row r="2098">
          <cell r="D2098">
            <v>13</v>
          </cell>
          <cell r="E2098">
            <v>2</v>
          </cell>
          <cell r="F2098">
            <v>4</v>
          </cell>
          <cell r="G2098" t="str">
            <v>JVEGLI</v>
          </cell>
          <cell r="H2098" t="str">
            <v>JV - Eglin</v>
          </cell>
          <cell r="I2098" t="str">
            <v>MR</v>
          </cell>
          <cell r="J2098" t="str">
            <v>MR Warfighter Support</v>
          </cell>
          <cell r="K2098" t="str">
            <v>Air Force</v>
          </cell>
          <cell r="L2098" t="str">
            <v>DOD</v>
          </cell>
          <cell r="M2098" t="str">
            <v>US_State</v>
          </cell>
          <cell r="N2098" t="str">
            <v>US_State</v>
          </cell>
          <cell r="O2098">
            <v>42461</v>
          </cell>
          <cell r="P2098">
            <v>46295</v>
          </cell>
          <cell r="Q2098" t="str">
            <v>Minority</v>
          </cell>
          <cell r="R2098" t="str">
            <v>CPAF</v>
          </cell>
          <cell r="S2098">
            <v>1</v>
          </cell>
          <cell r="T2098">
            <v>0</v>
          </cell>
          <cell r="U2098" t="str">
            <v>CONTRACT</v>
          </cell>
          <cell r="V2098" t="str">
            <v>Base</v>
          </cell>
          <cell r="W2098" t="str">
            <v>05 Won</v>
          </cell>
          <cell r="X2098" t="str">
            <v>Active</v>
          </cell>
          <cell r="Y2098">
            <v>0</v>
          </cell>
          <cell r="Z2098">
            <v>0</v>
          </cell>
          <cell r="AA2098">
            <v>0</v>
          </cell>
          <cell r="AB2098">
            <v>0</v>
          </cell>
          <cell r="AC2098">
            <v>0</v>
          </cell>
          <cell r="AD2098">
            <v>0</v>
          </cell>
          <cell r="BF2098">
            <v>0</v>
          </cell>
          <cell r="BG2098">
            <v>0</v>
          </cell>
          <cell r="BH2098">
            <v>0</v>
          </cell>
          <cell r="BI2098">
            <v>0</v>
          </cell>
          <cell r="BJ2098">
            <v>0</v>
          </cell>
          <cell r="BK2098">
            <v>0</v>
          </cell>
          <cell r="BL2098">
            <v>0</v>
          </cell>
          <cell r="BM2098">
            <v>0</v>
          </cell>
          <cell r="BN2098">
            <v>0</v>
          </cell>
          <cell r="BO2098">
            <v>0</v>
          </cell>
          <cell r="BP2098">
            <v>0</v>
          </cell>
          <cell r="BQ2098">
            <v>0</v>
          </cell>
          <cell r="BR2098">
            <v>0</v>
          </cell>
          <cell r="BT2098">
            <v>25</v>
          </cell>
          <cell r="BV2098">
            <v>53</v>
          </cell>
          <cell r="BW2098">
            <v>78</v>
          </cell>
          <cell r="CA2098" t="str">
            <v>JVEGLI - CONTRACT - Base</v>
          </cell>
          <cell r="CC2098" t="str">
            <v>JVEGLI - CONTRACT - Base - MR - 2</v>
          </cell>
          <cell r="CD2098" t="str">
            <v/>
          </cell>
          <cell r="CF2098" t="str">
            <v>JVEGLI - Base - MR</v>
          </cell>
        </row>
        <row r="2099">
          <cell r="D2099">
            <v>14</v>
          </cell>
          <cell r="E2099">
            <v>2</v>
          </cell>
          <cell r="F2099">
            <v>5</v>
          </cell>
          <cell r="G2099" t="str">
            <v>JVEGLI</v>
          </cell>
          <cell r="H2099" t="str">
            <v>JV - Eglin</v>
          </cell>
          <cell r="I2099" t="str">
            <v>MR</v>
          </cell>
          <cell r="J2099" t="str">
            <v>MR Warfighter Support</v>
          </cell>
          <cell r="K2099" t="str">
            <v>Air Force</v>
          </cell>
          <cell r="L2099" t="str">
            <v>DOD</v>
          </cell>
          <cell r="M2099" t="str">
            <v>US_State</v>
          </cell>
          <cell r="N2099" t="str">
            <v>US_State</v>
          </cell>
          <cell r="O2099">
            <v>0</v>
          </cell>
          <cell r="P2099">
            <v>0</v>
          </cell>
          <cell r="Q2099">
            <v>0</v>
          </cell>
          <cell r="R2099">
            <v>0</v>
          </cell>
          <cell r="S2099">
            <v>1</v>
          </cell>
          <cell r="T2099">
            <v>0</v>
          </cell>
          <cell r="U2099" t="str">
            <v>CONTRACT</v>
          </cell>
          <cell r="V2099" t="str">
            <v>Identified - Recompete</v>
          </cell>
          <cell r="W2099">
            <v>0</v>
          </cell>
          <cell r="X2099">
            <v>0</v>
          </cell>
          <cell r="Y2099">
            <v>0</v>
          </cell>
          <cell r="Z2099">
            <v>0</v>
          </cell>
          <cell r="AA2099">
            <v>0</v>
          </cell>
          <cell r="AB2099">
            <v>0</v>
          </cell>
          <cell r="AC2099">
            <v>0</v>
          </cell>
          <cell r="AD2099">
            <v>0</v>
          </cell>
          <cell r="BM2099">
            <v>0</v>
          </cell>
          <cell r="BN2099">
            <v>0</v>
          </cell>
          <cell r="BO2099">
            <v>0</v>
          </cell>
          <cell r="BP2099">
            <v>0</v>
          </cell>
          <cell r="BQ2099">
            <v>0</v>
          </cell>
          <cell r="BR2099">
            <v>0</v>
          </cell>
          <cell r="BT2099">
            <v>25</v>
          </cell>
          <cell r="BV2099">
            <v>2</v>
          </cell>
          <cell r="BW2099">
            <v>78</v>
          </cell>
          <cell r="CA2099" t="str">
            <v>JVEGLI - CONTRACT - Identified - Recompete</v>
          </cell>
          <cell r="CC2099" t="str">
            <v>JVEGLI - CONTRACT - Identified - Recompete - MR</v>
          </cell>
          <cell r="CD2099" t="str">
            <v/>
          </cell>
          <cell r="CF2099" t="str">
            <v>JVEGLI - Identified - Recompete - MR</v>
          </cell>
        </row>
        <row r="2100">
          <cell r="D2100">
            <v>15</v>
          </cell>
          <cell r="E2100">
            <v>2</v>
          </cell>
          <cell r="F2100">
            <v>6</v>
          </cell>
          <cell r="G2100" t="str">
            <v>JVEGLI</v>
          </cell>
          <cell r="H2100" t="str">
            <v>JV - Eglin</v>
          </cell>
          <cell r="I2100" t="str">
            <v>MR</v>
          </cell>
          <cell r="J2100" t="str">
            <v>MR Warfighter Support</v>
          </cell>
          <cell r="K2100" t="str">
            <v>Air Force</v>
          </cell>
          <cell r="L2100" t="str">
            <v>DOD</v>
          </cell>
          <cell r="M2100" t="str">
            <v>US_State</v>
          </cell>
          <cell r="N2100" t="str">
            <v>US_State</v>
          </cell>
          <cell r="O2100">
            <v>0</v>
          </cell>
          <cell r="P2100">
            <v>0</v>
          </cell>
          <cell r="Q2100">
            <v>0</v>
          </cell>
          <cell r="R2100">
            <v>0</v>
          </cell>
          <cell r="S2100">
            <v>1</v>
          </cell>
          <cell r="T2100">
            <v>0</v>
          </cell>
          <cell r="U2100" t="str">
            <v>CONTRACT</v>
          </cell>
          <cell r="V2100" t="str">
            <v>Identified - New</v>
          </cell>
          <cell r="W2100">
            <v>0</v>
          </cell>
          <cell r="X2100">
            <v>0</v>
          </cell>
          <cell r="Y2100">
            <v>0</v>
          </cell>
          <cell r="Z2100">
            <v>0</v>
          </cell>
          <cell r="AA2100">
            <v>0</v>
          </cell>
          <cell r="AB2100">
            <v>0</v>
          </cell>
          <cell r="AC2100">
            <v>0</v>
          </cell>
          <cell r="AD2100">
            <v>0</v>
          </cell>
          <cell r="BM2100">
            <v>0</v>
          </cell>
          <cell r="BN2100">
            <v>0</v>
          </cell>
          <cell r="BO2100">
            <v>0</v>
          </cell>
          <cell r="BP2100">
            <v>0</v>
          </cell>
          <cell r="BQ2100">
            <v>0</v>
          </cell>
          <cell r="BR2100">
            <v>0</v>
          </cell>
          <cell r="BT2100">
            <v>25</v>
          </cell>
          <cell r="BV2100">
            <v>2</v>
          </cell>
          <cell r="BW2100">
            <v>78</v>
          </cell>
          <cell r="CA2100" t="str">
            <v>JVEGLI - CONTRACT - Identified - New</v>
          </cell>
          <cell r="CC2100" t="str">
            <v>JVEGLI - CONTRACT - Identified - New - MR</v>
          </cell>
          <cell r="CD2100" t="str">
            <v/>
          </cell>
          <cell r="CF2100" t="str">
            <v>JVEGLI - Identified - New - MR</v>
          </cell>
        </row>
        <row r="2101">
          <cell r="D2101">
            <v>16</v>
          </cell>
          <cell r="E2101">
            <v>0</v>
          </cell>
          <cell r="F2101">
            <v>7</v>
          </cell>
          <cell r="G2101" t="str">
            <v>JVEGLI</v>
          </cell>
          <cell r="H2101" t="str">
            <v>JV - Eglin</v>
          </cell>
          <cell r="I2101" t="str">
            <v>MR</v>
          </cell>
          <cell r="J2101" t="str">
            <v>MR Warfighter Support</v>
          </cell>
          <cell r="K2101" t="str">
            <v>Air Force</v>
          </cell>
          <cell r="L2101" t="str">
            <v>DOD</v>
          </cell>
          <cell r="M2101" t="str">
            <v>US_State</v>
          </cell>
          <cell r="N2101" t="str">
            <v>US_State</v>
          </cell>
          <cell r="O2101">
            <v>42461</v>
          </cell>
          <cell r="P2101">
            <v>46295</v>
          </cell>
          <cell r="Q2101" t="str">
            <v>Minority</v>
          </cell>
          <cell r="R2101" t="str">
            <v>CPAF</v>
          </cell>
          <cell r="S2101">
            <v>1</v>
          </cell>
          <cell r="T2101">
            <v>0</v>
          </cell>
          <cell r="U2101" t="str">
            <v>EBITA</v>
          </cell>
          <cell r="V2101" t="str">
            <v>Base</v>
          </cell>
          <cell r="W2101" t="str">
            <v>05 Won</v>
          </cell>
          <cell r="X2101" t="str">
            <v>Active</v>
          </cell>
          <cell r="Y2101">
            <v>0</v>
          </cell>
          <cell r="Z2101">
            <v>0</v>
          </cell>
          <cell r="AA2101">
            <v>0</v>
          </cell>
          <cell r="AB2101">
            <v>0</v>
          </cell>
          <cell r="AC2101">
            <v>0</v>
          </cell>
          <cell r="AD2101">
            <v>0</v>
          </cell>
          <cell r="BF2101">
            <v>0</v>
          </cell>
          <cell r="BG2101">
            <v>197441.81</v>
          </cell>
          <cell r="BH2101">
            <v>521806.51</v>
          </cell>
          <cell r="BI2101">
            <v>120162.31</v>
          </cell>
          <cell r="BJ2101">
            <v>119352.25</v>
          </cell>
          <cell r="BK2101">
            <v>136685.66</v>
          </cell>
          <cell r="BL2101">
            <v>145570.89501000001</v>
          </cell>
          <cell r="BM2101">
            <v>521771.11500999995</v>
          </cell>
          <cell r="BN2101">
            <v>521771.11501000001</v>
          </cell>
          <cell r="BO2101">
            <v>521771.11501000001</v>
          </cell>
          <cell r="BP2101">
            <v>521771.11501000001</v>
          </cell>
          <cell r="BQ2101">
            <v>521771.11501000001</v>
          </cell>
          <cell r="BR2101">
            <v>2608855.5750500001</v>
          </cell>
          <cell r="BT2101">
            <v>25</v>
          </cell>
          <cell r="BV2101">
            <v>53</v>
          </cell>
          <cell r="BW2101">
            <v>87</v>
          </cell>
          <cell r="CA2101" t="str">
            <v>JVEGLI - EBITA - Base</v>
          </cell>
          <cell r="CC2101" t="str">
            <v>JVEGLI - EBITA - Base - MR</v>
          </cell>
          <cell r="CD2101" t="str">
            <v/>
          </cell>
          <cell r="CF2101" t="str">
            <v>JVEGLI - Base - MR</v>
          </cell>
        </row>
        <row r="2102">
          <cell r="D2102">
            <v>17</v>
          </cell>
          <cell r="E2102">
            <v>0</v>
          </cell>
          <cell r="F2102">
            <v>8</v>
          </cell>
          <cell r="G2102" t="str">
            <v>JVEGLI</v>
          </cell>
          <cell r="H2102" t="str">
            <v>JV - Eglin</v>
          </cell>
          <cell r="I2102" t="str">
            <v>MR</v>
          </cell>
          <cell r="J2102" t="str">
            <v>MR Warfighter Support</v>
          </cell>
          <cell r="K2102" t="str">
            <v>Air Force</v>
          </cell>
          <cell r="L2102" t="str">
            <v>DOD</v>
          </cell>
          <cell r="M2102" t="str">
            <v>US_State</v>
          </cell>
          <cell r="N2102" t="str">
            <v>US_State</v>
          </cell>
          <cell r="O2102">
            <v>0</v>
          </cell>
          <cell r="P2102">
            <v>0</v>
          </cell>
          <cell r="Q2102">
            <v>0</v>
          </cell>
          <cell r="R2102">
            <v>0</v>
          </cell>
          <cell r="S2102">
            <v>1</v>
          </cell>
          <cell r="T2102">
            <v>0</v>
          </cell>
          <cell r="U2102" t="str">
            <v>EBITA</v>
          </cell>
          <cell r="V2102" t="str">
            <v>Identified - Recompete</v>
          </cell>
          <cell r="W2102">
            <v>0</v>
          </cell>
          <cell r="X2102">
            <v>0</v>
          </cell>
          <cell r="Y2102">
            <v>0</v>
          </cell>
          <cell r="Z2102">
            <v>0</v>
          </cell>
          <cell r="AA2102">
            <v>0</v>
          </cell>
          <cell r="AB2102">
            <v>0</v>
          </cell>
          <cell r="AC2102">
            <v>0</v>
          </cell>
          <cell r="AD2102">
            <v>0</v>
          </cell>
          <cell r="BM2102">
            <v>0</v>
          </cell>
          <cell r="BN2102">
            <v>0</v>
          </cell>
          <cell r="BO2102">
            <v>0</v>
          </cell>
          <cell r="BP2102">
            <v>0</v>
          </cell>
          <cell r="BQ2102">
            <v>0</v>
          </cell>
          <cell r="BR2102">
            <v>0</v>
          </cell>
          <cell r="BT2102">
            <v>25</v>
          </cell>
          <cell r="BV2102">
            <v>2</v>
          </cell>
          <cell r="BW2102">
            <v>87</v>
          </cell>
          <cell r="CA2102" t="str">
            <v>JVEGLI - EBITA - Identified - Recompete</v>
          </cell>
          <cell r="CC2102" t="str">
            <v>JVEGLI - EBITA - Identified - Recompete - MR</v>
          </cell>
          <cell r="CD2102" t="str">
            <v/>
          </cell>
          <cell r="CF2102" t="str">
            <v>JVEGLI - Identified - Recompete - MR</v>
          </cell>
        </row>
        <row r="2103">
          <cell r="D2103">
            <v>18</v>
          </cell>
          <cell r="E2103">
            <v>0</v>
          </cell>
          <cell r="F2103">
            <v>0</v>
          </cell>
          <cell r="G2103" t="str">
            <v>JVEGLI</v>
          </cell>
          <cell r="H2103" t="str">
            <v>JV - Eglin</v>
          </cell>
          <cell r="I2103" t="str">
            <v>MR</v>
          </cell>
          <cell r="J2103" t="str">
            <v>MR Warfighter Support</v>
          </cell>
          <cell r="K2103" t="str">
            <v>Air Force</v>
          </cell>
          <cell r="L2103" t="str">
            <v>DOD</v>
          </cell>
          <cell r="M2103" t="str">
            <v>US_State</v>
          </cell>
          <cell r="N2103" t="str">
            <v>US_State</v>
          </cell>
          <cell r="O2103">
            <v>0</v>
          </cell>
          <cell r="P2103">
            <v>0</v>
          </cell>
          <cell r="Q2103">
            <v>0</v>
          </cell>
          <cell r="R2103">
            <v>0</v>
          </cell>
          <cell r="S2103">
            <v>1</v>
          </cell>
          <cell r="T2103">
            <v>0</v>
          </cell>
          <cell r="U2103" t="str">
            <v>EBITA</v>
          </cell>
          <cell r="V2103" t="str">
            <v>Identified - New</v>
          </cell>
          <cell r="W2103">
            <v>0</v>
          </cell>
          <cell r="X2103">
            <v>0</v>
          </cell>
          <cell r="Y2103">
            <v>0</v>
          </cell>
          <cell r="Z2103">
            <v>0</v>
          </cell>
          <cell r="AA2103">
            <v>0</v>
          </cell>
          <cell r="AB2103">
            <v>0</v>
          </cell>
          <cell r="AC2103">
            <v>0</v>
          </cell>
          <cell r="AD2103">
            <v>0</v>
          </cell>
          <cell r="BM2103">
            <v>0</v>
          </cell>
          <cell r="BN2103">
            <v>0</v>
          </cell>
          <cell r="BO2103">
            <v>0</v>
          </cell>
          <cell r="BP2103">
            <v>0</v>
          </cell>
          <cell r="BQ2103">
            <v>0</v>
          </cell>
          <cell r="BR2103">
            <v>0</v>
          </cell>
          <cell r="BT2103">
            <v>25</v>
          </cell>
          <cell r="BV2103">
            <v>2</v>
          </cell>
          <cell r="BW2103">
            <v>87</v>
          </cell>
          <cell r="CA2103" t="str">
            <v>JVEGLI - EBITA - Identified - New</v>
          </cell>
          <cell r="CC2103" t="str">
            <v>JVEGLI - EBITA - Identified - New - MR</v>
          </cell>
          <cell r="CD2103" t="str">
            <v/>
          </cell>
          <cell r="CF2103" t="str">
            <v>JVEGLI - Identified - New - MR</v>
          </cell>
        </row>
        <row r="2104">
          <cell r="D2104">
            <v>19</v>
          </cell>
          <cell r="E2104">
            <v>1</v>
          </cell>
          <cell r="F2104">
            <v>1</v>
          </cell>
          <cell r="G2104" t="str">
            <v>OPP-480972</v>
          </cell>
          <cell r="H2104" t="str">
            <v>Pacific Missile Range Facility (PMRF) Base Operations Service (BOS) / Range Operations Service (ROS)</v>
          </cell>
          <cell r="I2104" t="str">
            <v>MR</v>
          </cell>
          <cell r="J2104" t="str">
            <v>MR Warfighter Support</v>
          </cell>
          <cell r="K2104" t="str">
            <v>Navy</v>
          </cell>
          <cell r="L2104" t="str">
            <v>DOD</v>
          </cell>
          <cell r="O2104">
            <v>0</v>
          </cell>
          <cell r="P2104">
            <v>0</v>
          </cell>
          <cell r="Q2104">
            <v>0</v>
          </cell>
          <cell r="R2104">
            <v>0</v>
          </cell>
          <cell r="S2104">
            <v>1</v>
          </cell>
          <cell r="T2104">
            <v>0</v>
          </cell>
          <cell r="U2104" t="str">
            <v>REVTOT</v>
          </cell>
          <cell r="V2104" t="str">
            <v>Base</v>
          </cell>
          <cell r="W2104">
            <v>0</v>
          </cell>
          <cell r="X2104">
            <v>0</v>
          </cell>
          <cell r="Y2104">
            <v>0</v>
          </cell>
          <cell r="Z2104">
            <v>0</v>
          </cell>
          <cell r="AA2104">
            <v>0</v>
          </cell>
          <cell r="AB2104">
            <v>0</v>
          </cell>
          <cell r="AC2104">
            <v>0</v>
          </cell>
          <cell r="AD2104">
            <v>0</v>
          </cell>
          <cell r="BF2104">
            <v>0</v>
          </cell>
          <cell r="BG2104">
            <v>0</v>
          </cell>
          <cell r="BH2104">
            <v>0</v>
          </cell>
          <cell r="BI2104">
            <v>0</v>
          </cell>
          <cell r="BJ2104">
            <v>0</v>
          </cell>
          <cell r="BK2104">
            <v>0</v>
          </cell>
          <cell r="BL2104">
            <v>0</v>
          </cell>
          <cell r="BM2104">
            <v>0</v>
          </cell>
          <cell r="BN2104">
            <v>0</v>
          </cell>
          <cell r="BO2104">
            <v>0</v>
          </cell>
          <cell r="BP2104">
            <v>0</v>
          </cell>
          <cell r="BQ2104">
            <v>0</v>
          </cell>
          <cell r="BR2104">
            <v>0</v>
          </cell>
          <cell r="BT2104">
            <v>0</v>
          </cell>
          <cell r="BV2104">
            <v>2</v>
          </cell>
          <cell r="BW2104">
            <v>60</v>
          </cell>
          <cell r="CA2104" t="str">
            <v>OPP-480972 - REVTOT - Base</v>
          </cell>
          <cell r="CC2104" t="str">
            <v>OPP-480972 - REVTOT - Base - MR</v>
          </cell>
          <cell r="CD2104" t="str">
            <v>OPP-480972 - REVTOT - Base - MR</v>
          </cell>
          <cell r="CF2104" t="str">
            <v>OPP-480972 - Base - MR</v>
          </cell>
        </row>
        <row r="2105">
          <cell r="D2105">
            <v>20</v>
          </cell>
          <cell r="E2105">
            <v>1</v>
          </cell>
          <cell r="F2105">
            <v>2</v>
          </cell>
          <cell r="G2105" t="str">
            <v>OPP-480972</v>
          </cell>
          <cell r="H2105" t="str">
            <v>Pacific Missile Range Facility (PMRF) Base Operations Service (BOS) / Range Operations Service (ROS)</v>
          </cell>
          <cell r="I2105" t="str">
            <v>MR</v>
          </cell>
          <cell r="J2105" t="str">
            <v>MR Warfighter Support</v>
          </cell>
          <cell r="K2105" t="str">
            <v>Navy</v>
          </cell>
          <cell r="L2105" t="str">
            <v>DOD</v>
          </cell>
          <cell r="O2105">
            <v>0</v>
          </cell>
          <cell r="P2105">
            <v>0</v>
          </cell>
          <cell r="Q2105">
            <v>0</v>
          </cell>
          <cell r="R2105">
            <v>0</v>
          </cell>
          <cell r="S2105">
            <v>1</v>
          </cell>
          <cell r="T2105">
            <v>0</v>
          </cell>
          <cell r="U2105" t="str">
            <v>REVTOT</v>
          </cell>
          <cell r="V2105" t="str">
            <v>Identified - Recompete</v>
          </cell>
          <cell r="W2105">
            <v>0</v>
          </cell>
          <cell r="X2105">
            <v>0</v>
          </cell>
          <cell r="Y2105">
            <v>0</v>
          </cell>
          <cell r="Z2105">
            <v>0</v>
          </cell>
          <cell r="AA2105">
            <v>0</v>
          </cell>
          <cell r="AB2105">
            <v>0</v>
          </cell>
          <cell r="AC2105">
            <v>0</v>
          </cell>
          <cell r="AD2105">
            <v>0</v>
          </cell>
          <cell r="BM2105">
            <v>0</v>
          </cell>
          <cell r="BN2105">
            <v>0</v>
          </cell>
          <cell r="BO2105">
            <v>0</v>
          </cell>
          <cell r="BP2105">
            <v>0</v>
          </cell>
          <cell r="BQ2105">
            <v>0</v>
          </cell>
          <cell r="BR2105">
            <v>0</v>
          </cell>
          <cell r="BT2105">
            <v>0</v>
          </cell>
          <cell r="BV2105">
            <v>2</v>
          </cell>
          <cell r="BW2105">
            <v>60</v>
          </cell>
          <cell r="CA2105" t="str">
            <v>OPP-480972 - REVTOT - Identified - Recompete</v>
          </cell>
          <cell r="CC2105" t="str">
            <v>OPP-480972 - REVTOT - Identified - Recompete - MR</v>
          </cell>
          <cell r="CD2105" t="str">
            <v/>
          </cell>
          <cell r="CF2105" t="str">
            <v>OPP-480972 - Identified - Recompete - MR</v>
          </cell>
        </row>
        <row r="2106">
          <cell r="D2106">
            <v>21</v>
          </cell>
          <cell r="E2106">
            <v>1</v>
          </cell>
          <cell r="F2106">
            <v>3</v>
          </cell>
          <cell r="G2106" t="str">
            <v>OPP-480972</v>
          </cell>
          <cell r="H2106" t="str">
            <v>Pacific Missile Range Facility (PMRF) Base Operations Service (BOS) / Range Operations Service (ROS)</v>
          </cell>
          <cell r="I2106" t="str">
            <v>MR</v>
          </cell>
          <cell r="J2106" t="str">
            <v>MR Warfighter Support</v>
          </cell>
          <cell r="K2106" t="str">
            <v>Navy</v>
          </cell>
          <cell r="L2106" t="str">
            <v>DOD</v>
          </cell>
          <cell r="O2106">
            <v>43862</v>
          </cell>
          <cell r="P2106">
            <v>47515</v>
          </cell>
          <cell r="Q2106" t="str">
            <v>Minority</v>
          </cell>
          <cell r="R2106" t="str">
            <v>Multi</v>
          </cell>
          <cell r="S2106">
            <v>1</v>
          </cell>
          <cell r="T2106">
            <v>0</v>
          </cell>
          <cell r="U2106" t="str">
            <v>REVTOT</v>
          </cell>
          <cell r="V2106" t="str">
            <v>Identified - New</v>
          </cell>
          <cell r="W2106" t="str">
            <v>03 Proposal</v>
          </cell>
          <cell r="X2106" t="str">
            <v>Priority 1</v>
          </cell>
          <cell r="Y2106">
            <v>0.45</v>
          </cell>
          <cell r="Z2106">
            <v>200000000</v>
          </cell>
          <cell r="AA2106">
            <v>0</v>
          </cell>
          <cell r="AB2106">
            <v>0</v>
          </cell>
          <cell r="AC2106">
            <v>0</v>
          </cell>
          <cell r="AD2106">
            <v>0</v>
          </cell>
          <cell r="BM2106">
            <v>0</v>
          </cell>
          <cell r="BN2106">
            <v>0</v>
          </cell>
          <cell r="BO2106">
            <v>0</v>
          </cell>
          <cell r="BP2106">
            <v>0</v>
          </cell>
          <cell r="BQ2106">
            <v>0</v>
          </cell>
          <cell r="BR2106">
            <v>0</v>
          </cell>
          <cell r="BT2106">
            <v>0</v>
          </cell>
          <cell r="BV2106">
            <v>57</v>
          </cell>
          <cell r="BW2106">
            <v>60</v>
          </cell>
          <cell r="CA2106" t="str">
            <v>OPP-480972 - REVTOT - Identified - New</v>
          </cell>
          <cell r="CC2106" t="str">
            <v>OPP-480972 - REVTOT - Identified - New - MR</v>
          </cell>
          <cell r="CD2106" t="str">
            <v/>
          </cell>
          <cell r="CF2106" t="str">
            <v>OPP-480972 - Identified - New - MR</v>
          </cell>
        </row>
        <row r="2107">
          <cell r="D2107">
            <v>22</v>
          </cell>
          <cell r="E2107">
            <v>2</v>
          </cell>
          <cell r="F2107">
            <v>4</v>
          </cell>
          <cell r="G2107" t="str">
            <v>OPP-480972</v>
          </cell>
          <cell r="H2107" t="str">
            <v>Pacific Missile Range Facility (PMRF) Base Operations Service (BOS) / Range Operations Service (ROS)</v>
          </cell>
          <cell r="I2107" t="str">
            <v>MR</v>
          </cell>
          <cell r="J2107" t="str">
            <v>MR Warfighter Support</v>
          </cell>
          <cell r="K2107" t="str">
            <v>Navy</v>
          </cell>
          <cell r="L2107" t="str">
            <v>DOD</v>
          </cell>
          <cell r="O2107">
            <v>0</v>
          </cell>
          <cell r="P2107">
            <v>0</v>
          </cell>
          <cell r="Q2107">
            <v>0</v>
          </cell>
          <cell r="R2107">
            <v>0</v>
          </cell>
          <cell r="S2107">
            <v>1</v>
          </cell>
          <cell r="T2107">
            <v>0</v>
          </cell>
          <cell r="U2107" t="str">
            <v>CONTRACT</v>
          </cell>
          <cell r="V2107" t="str">
            <v>Base</v>
          </cell>
          <cell r="W2107">
            <v>0</v>
          </cell>
          <cell r="X2107">
            <v>0</v>
          </cell>
          <cell r="Y2107">
            <v>0</v>
          </cell>
          <cell r="Z2107">
            <v>0</v>
          </cell>
          <cell r="AA2107">
            <v>0</v>
          </cell>
          <cell r="AB2107">
            <v>0</v>
          </cell>
          <cell r="AC2107">
            <v>0</v>
          </cell>
          <cell r="AD2107">
            <v>0</v>
          </cell>
          <cell r="BF2107">
            <v>0</v>
          </cell>
          <cell r="BG2107">
            <v>0</v>
          </cell>
          <cell r="BH2107">
            <v>0</v>
          </cell>
          <cell r="BI2107">
            <v>0</v>
          </cell>
          <cell r="BJ2107">
            <v>0</v>
          </cell>
          <cell r="BK2107">
            <v>0</v>
          </cell>
          <cell r="BL2107">
            <v>0</v>
          </cell>
          <cell r="BM2107">
            <v>0</v>
          </cell>
          <cell r="BN2107">
            <v>0</v>
          </cell>
          <cell r="BO2107">
            <v>0</v>
          </cell>
          <cell r="BP2107">
            <v>0</v>
          </cell>
          <cell r="BQ2107">
            <v>0</v>
          </cell>
          <cell r="BR2107">
            <v>0</v>
          </cell>
          <cell r="BT2107">
            <v>0</v>
          </cell>
          <cell r="BV2107">
            <v>2</v>
          </cell>
          <cell r="BW2107">
            <v>78</v>
          </cell>
          <cell r="CA2107" t="str">
            <v>OPP-480972 - CONTRACT - Base</v>
          </cell>
          <cell r="CC2107" t="str">
            <v>OPP-480972 - CONTRACT - Base - MR - 2</v>
          </cell>
          <cell r="CD2107" t="str">
            <v/>
          </cell>
          <cell r="CF2107" t="str">
            <v>OPP-480972 - Base - MR</v>
          </cell>
        </row>
        <row r="2108">
          <cell r="D2108">
            <v>23</v>
          </cell>
          <cell r="E2108">
            <v>2</v>
          </cell>
          <cell r="F2108">
            <v>5</v>
          </cell>
          <cell r="G2108" t="str">
            <v>OPP-480972</v>
          </cell>
          <cell r="H2108" t="str">
            <v>Pacific Missile Range Facility (PMRF) Base Operations Service (BOS) / Range Operations Service (ROS)</v>
          </cell>
          <cell r="I2108" t="str">
            <v>MR</v>
          </cell>
          <cell r="J2108" t="str">
            <v>MR Warfighter Support</v>
          </cell>
          <cell r="K2108" t="str">
            <v>Navy</v>
          </cell>
          <cell r="L2108" t="str">
            <v>DOD</v>
          </cell>
          <cell r="O2108">
            <v>0</v>
          </cell>
          <cell r="P2108">
            <v>0</v>
          </cell>
          <cell r="Q2108">
            <v>0</v>
          </cell>
          <cell r="R2108">
            <v>0</v>
          </cell>
          <cell r="S2108">
            <v>1</v>
          </cell>
          <cell r="T2108">
            <v>0</v>
          </cell>
          <cell r="U2108" t="str">
            <v>CONTRACT</v>
          </cell>
          <cell r="V2108" t="str">
            <v>Identified - Recompete</v>
          </cell>
          <cell r="W2108">
            <v>0</v>
          </cell>
          <cell r="X2108">
            <v>0</v>
          </cell>
          <cell r="Y2108">
            <v>0</v>
          </cell>
          <cell r="Z2108">
            <v>0</v>
          </cell>
          <cell r="AA2108">
            <v>0</v>
          </cell>
          <cell r="AB2108">
            <v>0</v>
          </cell>
          <cell r="AC2108">
            <v>0</v>
          </cell>
          <cell r="AD2108">
            <v>0</v>
          </cell>
          <cell r="BM2108">
            <v>0</v>
          </cell>
          <cell r="BN2108">
            <v>0</v>
          </cell>
          <cell r="BO2108">
            <v>0</v>
          </cell>
          <cell r="BP2108">
            <v>0</v>
          </cell>
          <cell r="BQ2108">
            <v>0</v>
          </cell>
          <cell r="BR2108">
            <v>0</v>
          </cell>
          <cell r="BT2108">
            <v>0</v>
          </cell>
          <cell r="BV2108">
            <v>2</v>
          </cell>
          <cell r="BW2108">
            <v>78</v>
          </cell>
          <cell r="CA2108" t="str">
            <v>OPP-480972 - CONTRACT - Identified - Recompete</v>
          </cell>
          <cell r="CC2108" t="str">
            <v>OPP-480972 - CONTRACT - Identified - Recompete - MR</v>
          </cell>
          <cell r="CD2108" t="str">
            <v/>
          </cell>
          <cell r="CF2108" t="str">
            <v>OPP-480972 - Identified - Recompete - MR</v>
          </cell>
        </row>
        <row r="2109">
          <cell r="D2109">
            <v>24</v>
          </cell>
          <cell r="E2109">
            <v>2</v>
          </cell>
          <cell r="F2109">
            <v>6</v>
          </cell>
          <cell r="G2109" t="str">
            <v>OPP-480972</v>
          </cell>
          <cell r="H2109" t="str">
            <v>Pacific Missile Range Facility (PMRF) Base Operations Service (BOS) / Range Operations Service (ROS)</v>
          </cell>
          <cell r="I2109" t="str">
            <v>MR</v>
          </cell>
          <cell r="J2109" t="str">
            <v>MR Warfighter Support</v>
          </cell>
          <cell r="K2109" t="str">
            <v>Navy</v>
          </cell>
          <cell r="L2109" t="str">
            <v>DOD</v>
          </cell>
          <cell r="O2109">
            <v>43862</v>
          </cell>
          <cell r="P2109">
            <v>47515</v>
          </cell>
          <cell r="Q2109" t="str">
            <v>Minority</v>
          </cell>
          <cell r="R2109" t="str">
            <v>Multi</v>
          </cell>
          <cell r="S2109">
            <v>1</v>
          </cell>
          <cell r="T2109">
            <v>0</v>
          </cell>
          <cell r="U2109" t="str">
            <v>CONTRACT</v>
          </cell>
          <cell r="V2109" t="str">
            <v>Identified - New</v>
          </cell>
          <cell r="W2109" t="str">
            <v>03 Proposal</v>
          </cell>
          <cell r="X2109" t="str">
            <v>Priority 1</v>
          </cell>
          <cell r="Y2109">
            <v>0.45</v>
          </cell>
          <cell r="Z2109">
            <v>200000000</v>
          </cell>
          <cell r="AA2109">
            <v>0</v>
          </cell>
          <cell r="AB2109">
            <v>0</v>
          </cell>
          <cell r="AC2109">
            <v>0</v>
          </cell>
          <cell r="AD2109">
            <v>0</v>
          </cell>
          <cell r="BM2109">
            <v>0</v>
          </cell>
          <cell r="BN2109">
            <v>0</v>
          </cell>
          <cell r="BO2109">
            <v>0</v>
          </cell>
          <cell r="BP2109">
            <v>0</v>
          </cell>
          <cell r="BQ2109">
            <v>0</v>
          </cell>
          <cell r="BR2109">
            <v>0</v>
          </cell>
          <cell r="BT2109">
            <v>0</v>
          </cell>
          <cell r="BV2109">
            <v>57</v>
          </cell>
          <cell r="BW2109">
            <v>78</v>
          </cell>
          <cell r="CA2109" t="str">
            <v>OPP-480972 - CONTRACT - Identified - New</v>
          </cell>
          <cell r="CC2109" t="str">
            <v>OPP-480972 - CONTRACT - Identified - New - MR</v>
          </cell>
          <cell r="CD2109" t="str">
            <v/>
          </cell>
          <cell r="CF2109" t="str">
            <v>OPP-480972 - Identified - New - MR</v>
          </cell>
        </row>
        <row r="2110">
          <cell r="D2110">
            <v>25</v>
          </cell>
          <cell r="E2110">
            <v>0</v>
          </cell>
          <cell r="F2110">
            <v>7</v>
          </cell>
          <cell r="G2110" t="str">
            <v>OPP-480972</v>
          </cell>
          <cell r="H2110" t="str">
            <v>Pacific Missile Range Facility (PMRF) Base Operations Service (BOS) / Range Operations Service (ROS)</v>
          </cell>
          <cell r="I2110" t="str">
            <v>MR</v>
          </cell>
          <cell r="J2110" t="str">
            <v>MR Warfighter Support</v>
          </cell>
          <cell r="K2110" t="str">
            <v>Navy</v>
          </cell>
          <cell r="L2110" t="str">
            <v>DOD</v>
          </cell>
          <cell r="O2110">
            <v>0</v>
          </cell>
          <cell r="P2110">
            <v>0</v>
          </cell>
          <cell r="Q2110">
            <v>0</v>
          </cell>
          <cell r="R2110">
            <v>0</v>
          </cell>
          <cell r="S2110">
            <v>1</v>
          </cell>
          <cell r="T2110">
            <v>0</v>
          </cell>
          <cell r="U2110" t="str">
            <v>EBITA</v>
          </cell>
          <cell r="V2110" t="str">
            <v>Base</v>
          </cell>
          <cell r="W2110">
            <v>0</v>
          </cell>
          <cell r="X2110">
            <v>0</v>
          </cell>
          <cell r="Y2110">
            <v>0</v>
          </cell>
          <cell r="Z2110">
            <v>0</v>
          </cell>
          <cell r="AA2110">
            <v>0</v>
          </cell>
          <cell r="AB2110">
            <v>0</v>
          </cell>
          <cell r="AC2110">
            <v>0</v>
          </cell>
          <cell r="AD2110">
            <v>0</v>
          </cell>
          <cell r="BF2110">
            <v>0</v>
          </cell>
          <cell r="BG2110">
            <v>0</v>
          </cell>
          <cell r="BH2110">
            <v>0</v>
          </cell>
          <cell r="BI2110">
            <v>0</v>
          </cell>
          <cell r="BJ2110">
            <v>0</v>
          </cell>
          <cell r="BK2110">
            <v>0</v>
          </cell>
          <cell r="BL2110">
            <v>0</v>
          </cell>
          <cell r="BM2110">
            <v>0</v>
          </cell>
          <cell r="BN2110">
            <v>0</v>
          </cell>
          <cell r="BO2110">
            <v>0</v>
          </cell>
          <cell r="BP2110">
            <v>0</v>
          </cell>
          <cell r="BQ2110">
            <v>0</v>
          </cell>
          <cell r="BR2110">
            <v>0</v>
          </cell>
          <cell r="BT2110">
            <v>0</v>
          </cell>
          <cell r="BV2110">
            <v>2</v>
          </cell>
          <cell r="BW2110">
            <v>87</v>
          </cell>
          <cell r="CA2110" t="str">
            <v>OPP-480972 - EBITA - Base</v>
          </cell>
          <cell r="CC2110" t="str">
            <v>OPP-480972 - EBITA - Base - MR</v>
          </cell>
          <cell r="CD2110" t="str">
            <v/>
          </cell>
          <cell r="CF2110" t="str">
            <v>OPP-480972 - Base - MR</v>
          </cell>
        </row>
        <row r="2111">
          <cell r="D2111">
            <v>26</v>
          </cell>
          <cell r="E2111">
            <v>0</v>
          </cell>
          <cell r="F2111">
            <v>8</v>
          </cell>
          <cell r="G2111" t="str">
            <v>OPP-480972</v>
          </cell>
          <cell r="H2111" t="str">
            <v>Pacific Missile Range Facility (PMRF) Base Operations Service (BOS) / Range Operations Service (ROS)</v>
          </cell>
          <cell r="I2111" t="str">
            <v>MR</v>
          </cell>
          <cell r="J2111" t="str">
            <v>MR Warfighter Support</v>
          </cell>
          <cell r="K2111" t="str">
            <v>Navy</v>
          </cell>
          <cell r="L2111" t="str">
            <v>DOD</v>
          </cell>
          <cell r="O2111">
            <v>0</v>
          </cell>
          <cell r="P2111">
            <v>0</v>
          </cell>
          <cell r="Q2111">
            <v>0</v>
          </cell>
          <cell r="R2111">
            <v>0</v>
          </cell>
          <cell r="S2111">
            <v>1</v>
          </cell>
          <cell r="T2111">
            <v>0</v>
          </cell>
          <cell r="U2111" t="str">
            <v>EBITA</v>
          </cell>
          <cell r="V2111" t="str">
            <v>Identified - Recompete</v>
          </cell>
          <cell r="W2111">
            <v>0</v>
          </cell>
          <cell r="X2111">
            <v>0</v>
          </cell>
          <cell r="Y2111">
            <v>0</v>
          </cell>
          <cell r="Z2111">
            <v>0</v>
          </cell>
          <cell r="AA2111">
            <v>0</v>
          </cell>
          <cell r="AB2111">
            <v>0</v>
          </cell>
          <cell r="AC2111">
            <v>0</v>
          </cell>
          <cell r="AD2111">
            <v>0</v>
          </cell>
          <cell r="BM2111">
            <v>0</v>
          </cell>
          <cell r="BN2111">
            <v>0</v>
          </cell>
          <cell r="BO2111">
            <v>0</v>
          </cell>
          <cell r="BP2111">
            <v>0</v>
          </cell>
          <cell r="BQ2111">
            <v>0</v>
          </cell>
          <cell r="BR2111">
            <v>0</v>
          </cell>
          <cell r="BT2111">
            <v>0</v>
          </cell>
          <cell r="BV2111">
            <v>2</v>
          </cell>
          <cell r="BW2111">
            <v>87</v>
          </cell>
          <cell r="CA2111" t="str">
            <v>OPP-480972 - EBITA - Identified - Recompete</v>
          </cell>
          <cell r="CC2111" t="str">
            <v>OPP-480972 - EBITA - Identified - Recompete - MR</v>
          </cell>
          <cell r="CD2111" t="str">
            <v/>
          </cell>
          <cell r="CF2111" t="str">
            <v>OPP-480972 - Identified - Recompete - MR</v>
          </cell>
        </row>
        <row r="2112">
          <cell r="D2112">
            <v>27</v>
          </cell>
          <cell r="E2112">
            <v>0</v>
          </cell>
          <cell r="F2112">
            <v>0</v>
          </cell>
          <cell r="G2112" t="str">
            <v>OPP-480972</v>
          </cell>
          <cell r="H2112" t="str">
            <v>Pacific Missile Range Facility (PMRF) Base Operations Service (BOS) / Range Operations Service (ROS)</v>
          </cell>
          <cell r="I2112" t="str">
            <v>MR</v>
          </cell>
          <cell r="J2112" t="str">
            <v>MR Warfighter Support</v>
          </cell>
          <cell r="K2112" t="str">
            <v>Navy</v>
          </cell>
          <cell r="L2112" t="str">
            <v>DOD</v>
          </cell>
          <cell r="O2112">
            <v>43862</v>
          </cell>
          <cell r="P2112">
            <v>47515</v>
          </cell>
          <cell r="Q2112" t="str">
            <v>Minority</v>
          </cell>
          <cell r="R2112" t="str">
            <v>Multi</v>
          </cell>
          <cell r="S2112">
            <v>1</v>
          </cell>
          <cell r="T2112">
            <v>0</v>
          </cell>
          <cell r="U2112" t="str">
            <v>EBITA</v>
          </cell>
          <cell r="V2112" t="str">
            <v>Identified - New</v>
          </cell>
          <cell r="W2112" t="str">
            <v>03 Proposal</v>
          </cell>
          <cell r="X2112" t="str">
            <v>Priority 1</v>
          </cell>
          <cell r="Y2112">
            <v>0.45</v>
          </cell>
          <cell r="Z2112">
            <v>200000000</v>
          </cell>
          <cell r="AA2112">
            <v>0</v>
          </cell>
          <cell r="AB2112">
            <v>0</v>
          </cell>
          <cell r="AC2112">
            <v>0</v>
          </cell>
          <cell r="AD2112">
            <v>0</v>
          </cell>
          <cell r="BM2112">
            <v>0</v>
          </cell>
          <cell r="BN2112">
            <v>358500</v>
          </cell>
          <cell r="BO2112">
            <v>540000</v>
          </cell>
          <cell r="BP2112">
            <v>540000</v>
          </cell>
          <cell r="BQ2112">
            <v>540000</v>
          </cell>
          <cell r="BR2112">
            <v>1978500</v>
          </cell>
          <cell r="BT2112">
            <v>0</v>
          </cell>
          <cell r="BV2112">
            <v>57</v>
          </cell>
          <cell r="BW2112">
            <v>87</v>
          </cell>
          <cell r="CA2112" t="str">
            <v>OPP-480972 - EBITA - Identified - New</v>
          </cell>
          <cell r="CC2112" t="str">
            <v>OPP-480972 - EBITA - Identified - New - MR</v>
          </cell>
          <cell r="CD2112" t="str">
            <v/>
          </cell>
          <cell r="CF2112" t="str">
            <v>OPP-480972 - Identified - New - MR</v>
          </cell>
        </row>
        <row r="2113">
          <cell r="D2113">
            <v>28</v>
          </cell>
          <cell r="E2113">
            <v>1</v>
          </cell>
          <cell r="F2113">
            <v>1</v>
          </cell>
          <cell r="G2113" t="str">
            <v>OPP-482048</v>
          </cell>
          <cell r="H2113" t="str">
            <v>Range Technical Support Services for the Atlantic Test Range (ATR) and Atlantic Test &amp; Marine Operations Division (ATMO)</v>
          </cell>
          <cell r="I2113" t="str">
            <v>MR</v>
          </cell>
          <cell r="J2113" t="str">
            <v>MR Warfighter Support</v>
          </cell>
          <cell r="K2113" t="str">
            <v>Navy</v>
          </cell>
          <cell r="L2113" t="str">
            <v>DOD</v>
          </cell>
          <cell r="O2113">
            <v>0</v>
          </cell>
          <cell r="P2113">
            <v>0</v>
          </cell>
          <cell r="Q2113">
            <v>0</v>
          </cell>
          <cell r="R2113">
            <v>0</v>
          </cell>
          <cell r="S2113">
            <v>1</v>
          </cell>
          <cell r="T2113">
            <v>0</v>
          </cell>
          <cell r="U2113" t="str">
            <v>REVTOT</v>
          </cell>
          <cell r="V2113" t="str">
            <v>Base</v>
          </cell>
          <cell r="W2113">
            <v>0</v>
          </cell>
          <cell r="X2113">
            <v>0</v>
          </cell>
          <cell r="Y2113">
            <v>0</v>
          </cell>
          <cell r="Z2113">
            <v>0</v>
          </cell>
          <cell r="AA2113">
            <v>0</v>
          </cell>
          <cell r="AB2113">
            <v>0</v>
          </cell>
          <cell r="AC2113">
            <v>0</v>
          </cell>
          <cell r="AD2113">
            <v>0</v>
          </cell>
          <cell r="BF2113">
            <v>0</v>
          </cell>
          <cell r="BG2113">
            <v>0</v>
          </cell>
          <cell r="BH2113">
            <v>0</v>
          </cell>
          <cell r="BI2113">
            <v>0</v>
          </cell>
          <cell r="BJ2113">
            <v>0</v>
          </cell>
          <cell r="BK2113">
            <v>0</v>
          </cell>
          <cell r="BL2113">
            <v>0</v>
          </cell>
          <cell r="BM2113">
            <v>0</v>
          </cell>
          <cell r="BN2113">
            <v>0</v>
          </cell>
          <cell r="BO2113">
            <v>0</v>
          </cell>
          <cell r="BP2113">
            <v>0</v>
          </cell>
          <cell r="BQ2113">
            <v>0</v>
          </cell>
          <cell r="BR2113">
            <v>0</v>
          </cell>
          <cell r="BT2113">
            <v>0</v>
          </cell>
          <cell r="BV2113">
            <v>2</v>
          </cell>
          <cell r="BW2113">
            <v>60</v>
          </cell>
          <cell r="CA2113" t="str">
            <v>OPP-482048 - REVTOT - Base</v>
          </cell>
          <cell r="CC2113" t="str">
            <v>OPP-482048 - REVTOT - Base - MR</v>
          </cell>
          <cell r="CD2113" t="str">
            <v>OPP-482048 - REVTOT - Base - MR</v>
          </cell>
          <cell r="CF2113" t="str">
            <v>OPP-482048 - Base - MR</v>
          </cell>
        </row>
        <row r="2114">
          <cell r="D2114">
            <v>29</v>
          </cell>
          <cell r="E2114">
            <v>1</v>
          </cell>
          <cell r="F2114">
            <v>2</v>
          </cell>
          <cell r="G2114" t="str">
            <v>OPP-482048</v>
          </cell>
          <cell r="H2114" t="str">
            <v>Range Technical Support Services for the Atlantic Test Range (ATR) and Atlantic Test &amp; Marine Operations Division (ATMO)</v>
          </cell>
          <cell r="I2114" t="str">
            <v>MR</v>
          </cell>
          <cell r="J2114" t="str">
            <v>MR Warfighter Support</v>
          </cell>
          <cell r="K2114" t="str">
            <v>Navy</v>
          </cell>
          <cell r="L2114" t="str">
            <v>DOD</v>
          </cell>
          <cell r="O2114">
            <v>0</v>
          </cell>
          <cell r="P2114">
            <v>0</v>
          </cell>
          <cell r="Q2114">
            <v>0</v>
          </cell>
          <cell r="R2114">
            <v>0</v>
          </cell>
          <cell r="S2114">
            <v>1</v>
          </cell>
          <cell r="T2114">
            <v>0</v>
          </cell>
          <cell r="U2114" t="str">
            <v>REVTOT</v>
          </cell>
          <cell r="V2114" t="str">
            <v>Identified - Recompete</v>
          </cell>
          <cell r="W2114">
            <v>0</v>
          </cell>
          <cell r="X2114">
            <v>0</v>
          </cell>
          <cell r="Y2114">
            <v>0</v>
          </cell>
          <cell r="Z2114">
            <v>0</v>
          </cell>
          <cell r="AA2114">
            <v>0</v>
          </cell>
          <cell r="AB2114">
            <v>0</v>
          </cell>
          <cell r="AC2114">
            <v>0</v>
          </cell>
          <cell r="AD2114">
            <v>0</v>
          </cell>
          <cell r="BM2114">
            <v>0</v>
          </cell>
          <cell r="BN2114">
            <v>0</v>
          </cell>
          <cell r="BO2114">
            <v>0</v>
          </cell>
          <cell r="BP2114">
            <v>0</v>
          </cell>
          <cell r="BQ2114">
            <v>0</v>
          </cell>
          <cell r="BR2114">
            <v>0</v>
          </cell>
          <cell r="BT2114">
            <v>0</v>
          </cell>
          <cell r="BV2114">
            <v>2</v>
          </cell>
          <cell r="BW2114">
            <v>60</v>
          </cell>
          <cell r="CA2114" t="str">
            <v>OPP-482048 - REVTOT - Identified - Recompete</v>
          </cell>
          <cell r="CC2114" t="str">
            <v>OPP-482048 - REVTOT - Identified - Recompete - MR</v>
          </cell>
          <cell r="CD2114" t="str">
            <v/>
          </cell>
          <cell r="CF2114" t="str">
            <v>OPP-482048 - Identified - Recompete - MR</v>
          </cell>
        </row>
        <row r="2115">
          <cell r="D2115">
            <v>30</v>
          </cell>
          <cell r="E2115">
            <v>1</v>
          </cell>
          <cell r="F2115">
            <v>3</v>
          </cell>
          <cell r="G2115" t="str">
            <v>OPP-482048</v>
          </cell>
          <cell r="H2115" t="str">
            <v>Range Technical Support Services for the Atlantic Test Range (ATR) and Atlantic Test &amp; Marine Operations Division (ATMO)</v>
          </cell>
          <cell r="I2115" t="str">
            <v>MR</v>
          </cell>
          <cell r="J2115" t="str">
            <v>MR Warfighter Support</v>
          </cell>
          <cell r="K2115" t="str">
            <v>Navy</v>
          </cell>
          <cell r="L2115" t="str">
            <v>DOD</v>
          </cell>
          <cell r="O2115">
            <v>44046</v>
          </cell>
          <cell r="P2115">
            <v>47698</v>
          </cell>
          <cell r="Q2115" t="str">
            <v>Minority</v>
          </cell>
          <cell r="R2115" t="str">
            <v>Cost Plus</v>
          </cell>
          <cell r="S2115">
            <v>1</v>
          </cell>
          <cell r="T2115">
            <v>0</v>
          </cell>
          <cell r="U2115" t="str">
            <v>REVTOT</v>
          </cell>
          <cell r="V2115" t="str">
            <v>Identified - New</v>
          </cell>
          <cell r="W2115" t="str">
            <v>03 Proposal</v>
          </cell>
          <cell r="X2115" t="str">
            <v>Priority 3</v>
          </cell>
          <cell r="Y2115">
            <v>0.25</v>
          </cell>
          <cell r="Z2115">
            <v>244999999.99999997</v>
          </cell>
          <cell r="AA2115">
            <v>0</v>
          </cell>
          <cell r="AB2115">
            <v>0</v>
          </cell>
          <cell r="AC2115">
            <v>0</v>
          </cell>
          <cell r="AD2115">
            <v>0</v>
          </cell>
          <cell r="BM2115">
            <v>0</v>
          </cell>
          <cell r="BN2115">
            <v>0</v>
          </cell>
          <cell r="BO2115">
            <v>0</v>
          </cell>
          <cell r="BP2115">
            <v>0</v>
          </cell>
          <cell r="BQ2115">
            <v>0</v>
          </cell>
          <cell r="BR2115">
            <v>0</v>
          </cell>
          <cell r="BT2115">
            <v>0</v>
          </cell>
          <cell r="BV2115">
            <v>58</v>
          </cell>
          <cell r="BW2115">
            <v>60</v>
          </cell>
          <cell r="CA2115" t="str">
            <v>OPP-482048 - REVTOT - Identified - New</v>
          </cell>
          <cell r="CC2115" t="str">
            <v>OPP-482048 - REVTOT - Identified - New - MR</v>
          </cell>
          <cell r="CD2115" t="str">
            <v/>
          </cell>
          <cell r="CF2115" t="str">
            <v>OPP-482048 - Identified - New - MR</v>
          </cell>
        </row>
        <row r="2116">
          <cell r="D2116">
            <v>31</v>
          </cell>
          <cell r="E2116">
            <v>2</v>
          </cell>
          <cell r="F2116">
            <v>4</v>
          </cell>
          <cell r="G2116" t="str">
            <v>OPP-482048</v>
          </cell>
          <cell r="H2116" t="str">
            <v>Range Technical Support Services for the Atlantic Test Range (ATR) and Atlantic Test &amp; Marine Operations Division (ATMO)</v>
          </cell>
          <cell r="I2116" t="str">
            <v>MR</v>
          </cell>
          <cell r="J2116" t="str">
            <v>MR Warfighter Support</v>
          </cell>
          <cell r="K2116" t="str">
            <v>Navy</v>
          </cell>
          <cell r="L2116" t="str">
            <v>DOD</v>
          </cell>
          <cell r="O2116">
            <v>0</v>
          </cell>
          <cell r="P2116">
            <v>0</v>
          </cell>
          <cell r="Q2116">
            <v>0</v>
          </cell>
          <cell r="R2116">
            <v>0</v>
          </cell>
          <cell r="S2116">
            <v>1</v>
          </cell>
          <cell r="T2116">
            <v>0</v>
          </cell>
          <cell r="U2116" t="str">
            <v>CONTRACT</v>
          </cell>
          <cell r="V2116" t="str">
            <v>Base</v>
          </cell>
          <cell r="W2116">
            <v>0</v>
          </cell>
          <cell r="X2116">
            <v>0</v>
          </cell>
          <cell r="Y2116">
            <v>0</v>
          </cell>
          <cell r="Z2116">
            <v>0</v>
          </cell>
          <cell r="AA2116">
            <v>0</v>
          </cell>
          <cell r="AB2116">
            <v>0</v>
          </cell>
          <cell r="AC2116">
            <v>0</v>
          </cell>
          <cell r="AD2116">
            <v>0</v>
          </cell>
          <cell r="BF2116">
            <v>0</v>
          </cell>
          <cell r="BG2116">
            <v>0</v>
          </cell>
          <cell r="BH2116">
            <v>0</v>
          </cell>
          <cell r="BI2116">
            <v>0</v>
          </cell>
          <cell r="BJ2116">
            <v>0</v>
          </cell>
          <cell r="BK2116">
            <v>0</v>
          </cell>
          <cell r="BL2116">
            <v>0</v>
          </cell>
          <cell r="BM2116">
            <v>0</v>
          </cell>
          <cell r="BN2116">
            <v>0</v>
          </cell>
          <cell r="BO2116">
            <v>0</v>
          </cell>
          <cell r="BP2116">
            <v>0</v>
          </cell>
          <cell r="BQ2116">
            <v>0</v>
          </cell>
          <cell r="BR2116">
            <v>0</v>
          </cell>
          <cell r="BT2116">
            <v>0</v>
          </cell>
          <cell r="BV2116">
            <v>2</v>
          </cell>
          <cell r="BW2116">
            <v>78</v>
          </cell>
          <cell r="CA2116" t="str">
            <v>OPP-482048 - CONTRACT - Base</v>
          </cell>
          <cell r="CC2116" t="str">
            <v>OPP-482048 - CONTRACT - Base - MR - 2</v>
          </cell>
          <cell r="CD2116" t="str">
            <v/>
          </cell>
          <cell r="CF2116" t="str">
            <v>OPP-482048 - Base - MR</v>
          </cell>
        </row>
        <row r="2117">
          <cell r="D2117">
            <v>32</v>
          </cell>
          <cell r="E2117">
            <v>2</v>
          </cell>
          <cell r="F2117">
            <v>5</v>
          </cell>
          <cell r="G2117" t="str">
            <v>OPP-482048</v>
          </cell>
          <cell r="H2117" t="str">
            <v>Range Technical Support Services for the Atlantic Test Range (ATR) and Atlantic Test &amp; Marine Operations Division (ATMO)</v>
          </cell>
          <cell r="I2117" t="str">
            <v>MR</v>
          </cell>
          <cell r="J2117" t="str">
            <v>MR Warfighter Support</v>
          </cell>
          <cell r="K2117" t="str">
            <v>Navy</v>
          </cell>
          <cell r="L2117" t="str">
            <v>DOD</v>
          </cell>
          <cell r="O2117">
            <v>0</v>
          </cell>
          <cell r="P2117">
            <v>0</v>
          </cell>
          <cell r="Q2117">
            <v>0</v>
          </cell>
          <cell r="R2117">
            <v>0</v>
          </cell>
          <cell r="S2117">
            <v>1</v>
          </cell>
          <cell r="T2117">
            <v>0</v>
          </cell>
          <cell r="U2117" t="str">
            <v>CONTRACT</v>
          </cell>
          <cell r="V2117" t="str">
            <v>Identified - Recompete</v>
          </cell>
          <cell r="W2117">
            <v>0</v>
          </cell>
          <cell r="X2117">
            <v>0</v>
          </cell>
          <cell r="Y2117">
            <v>0</v>
          </cell>
          <cell r="Z2117">
            <v>0</v>
          </cell>
          <cell r="AA2117">
            <v>0</v>
          </cell>
          <cell r="AB2117">
            <v>0</v>
          </cell>
          <cell r="AC2117">
            <v>0</v>
          </cell>
          <cell r="AD2117">
            <v>0</v>
          </cell>
          <cell r="BM2117">
            <v>0</v>
          </cell>
          <cell r="BN2117">
            <v>0</v>
          </cell>
          <cell r="BO2117">
            <v>0</v>
          </cell>
          <cell r="BP2117">
            <v>0</v>
          </cell>
          <cell r="BQ2117">
            <v>0</v>
          </cell>
          <cell r="BR2117">
            <v>0</v>
          </cell>
          <cell r="BT2117">
            <v>0</v>
          </cell>
          <cell r="BV2117">
            <v>2</v>
          </cell>
          <cell r="BW2117">
            <v>78</v>
          </cell>
          <cell r="CA2117" t="str">
            <v>OPP-482048 - CONTRACT - Identified - Recompete</v>
          </cell>
          <cell r="CC2117" t="str">
            <v>OPP-482048 - CONTRACT - Identified - Recompete - MR</v>
          </cell>
          <cell r="CD2117" t="str">
            <v/>
          </cell>
          <cell r="CF2117" t="str">
            <v>OPP-482048 - Identified - Recompete - MR</v>
          </cell>
        </row>
        <row r="2118">
          <cell r="D2118">
            <v>33</v>
          </cell>
          <cell r="E2118">
            <v>2</v>
          </cell>
          <cell r="F2118">
            <v>6</v>
          </cell>
          <cell r="G2118" t="str">
            <v>OPP-482048</v>
          </cell>
          <cell r="H2118" t="str">
            <v>Range Technical Support Services for the Atlantic Test Range (ATR) and Atlantic Test &amp; Marine Operations Division (ATMO)</v>
          </cell>
          <cell r="I2118" t="str">
            <v>MR</v>
          </cell>
          <cell r="J2118" t="str">
            <v>MR Warfighter Support</v>
          </cell>
          <cell r="K2118" t="str">
            <v>Navy</v>
          </cell>
          <cell r="L2118" t="str">
            <v>DOD</v>
          </cell>
          <cell r="O2118">
            <v>44046</v>
          </cell>
          <cell r="P2118">
            <v>47698</v>
          </cell>
          <cell r="Q2118" t="str">
            <v>Minority</v>
          </cell>
          <cell r="R2118" t="str">
            <v>Cost Plus</v>
          </cell>
          <cell r="S2118">
            <v>1</v>
          </cell>
          <cell r="T2118">
            <v>0</v>
          </cell>
          <cell r="U2118" t="str">
            <v>CONTRACT</v>
          </cell>
          <cell r="V2118" t="str">
            <v>Identified - New</v>
          </cell>
          <cell r="W2118" t="str">
            <v>03 Proposal</v>
          </cell>
          <cell r="X2118" t="str">
            <v>Priority 3</v>
          </cell>
          <cell r="Y2118">
            <v>0.25</v>
          </cell>
          <cell r="Z2118">
            <v>244999999.99999997</v>
          </cell>
          <cell r="AA2118">
            <v>0</v>
          </cell>
          <cell r="AB2118">
            <v>0</v>
          </cell>
          <cell r="AC2118">
            <v>0</v>
          </cell>
          <cell r="AD2118">
            <v>0</v>
          </cell>
          <cell r="BM2118">
            <v>0</v>
          </cell>
          <cell r="BN2118">
            <v>0</v>
          </cell>
          <cell r="BO2118">
            <v>0</v>
          </cell>
          <cell r="BP2118">
            <v>0</v>
          </cell>
          <cell r="BQ2118">
            <v>0</v>
          </cell>
          <cell r="BR2118">
            <v>0</v>
          </cell>
          <cell r="BT2118">
            <v>0</v>
          </cell>
          <cell r="BV2118">
            <v>58</v>
          </cell>
          <cell r="BW2118">
            <v>78</v>
          </cell>
          <cell r="CA2118" t="str">
            <v>OPP-482048 - CONTRACT - Identified - New</v>
          </cell>
          <cell r="CC2118" t="str">
            <v>OPP-482048 - CONTRACT - Identified - New - MR</v>
          </cell>
          <cell r="CD2118" t="str">
            <v/>
          </cell>
          <cell r="CF2118" t="str">
            <v>OPP-482048 - Identified - New - MR</v>
          </cell>
        </row>
        <row r="2119">
          <cell r="D2119">
            <v>34</v>
          </cell>
          <cell r="E2119">
            <v>0</v>
          </cell>
          <cell r="F2119">
            <v>7</v>
          </cell>
          <cell r="G2119" t="str">
            <v>OPP-482048</v>
          </cell>
          <cell r="H2119" t="str">
            <v>Range Technical Support Services for the Atlantic Test Range (ATR) and Atlantic Test &amp; Marine Operations Division (ATMO)</v>
          </cell>
          <cell r="I2119" t="str">
            <v>MR</v>
          </cell>
          <cell r="J2119" t="str">
            <v>MR Warfighter Support</v>
          </cell>
          <cell r="K2119" t="str">
            <v>Navy</v>
          </cell>
          <cell r="L2119" t="str">
            <v>DOD</v>
          </cell>
          <cell r="O2119">
            <v>0</v>
          </cell>
          <cell r="P2119">
            <v>0</v>
          </cell>
          <cell r="Q2119">
            <v>0</v>
          </cell>
          <cell r="R2119">
            <v>0</v>
          </cell>
          <cell r="S2119">
            <v>1</v>
          </cell>
          <cell r="T2119">
            <v>0</v>
          </cell>
          <cell r="U2119" t="str">
            <v>EBITA</v>
          </cell>
          <cell r="V2119" t="str">
            <v>Base</v>
          </cell>
          <cell r="W2119">
            <v>0</v>
          </cell>
          <cell r="X2119">
            <v>0</v>
          </cell>
          <cell r="Y2119">
            <v>0</v>
          </cell>
          <cell r="Z2119">
            <v>0</v>
          </cell>
          <cell r="AA2119">
            <v>0</v>
          </cell>
          <cell r="AB2119">
            <v>0</v>
          </cell>
          <cell r="AC2119">
            <v>0</v>
          </cell>
          <cell r="AD2119">
            <v>0</v>
          </cell>
          <cell r="BF2119">
            <v>0</v>
          </cell>
          <cell r="BG2119">
            <v>0</v>
          </cell>
          <cell r="BH2119">
            <v>0</v>
          </cell>
          <cell r="BI2119">
            <v>0</v>
          </cell>
          <cell r="BJ2119">
            <v>0</v>
          </cell>
          <cell r="BK2119">
            <v>0</v>
          </cell>
          <cell r="BL2119">
            <v>0</v>
          </cell>
          <cell r="BM2119">
            <v>0</v>
          </cell>
          <cell r="BN2119">
            <v>0</v>
          </cell>
          <cell r="BO2119">
            <v>0</v>
          </cell>
          <cell r="BP2119">
            <v>0</v>
          </cell>
          <cell r="BQ2119">
            <v>0</v>
          </cell>
          <cell r="BR2119">
            <v>0</v>
          </cell>
          <cell r="BT2119">
            <v>0</v>
          </cell>
          <cell r="BV2119">
            <v>2</v>
          </cell>
          <cell r="BW2119">
            <v>87</v>
          </cell>
          <cell r="CA2119" t="str">
            <v>OPP-482048 - EBITA - Base</v>
          </cell>
          <cell r="CC2119" t="str">
            <v>OPP-482048 - EBITA - Base - MR</v>
          </cell>
          <cell r="CD2119" t="str">
            <v/>
          </cell>
          <cell r="CF2119" t="str">
            <v>OPP-482048 - Base - MR</v>
          </cell>
        </row>
        <row r="2120">
          <cell r="D2120">
            <v>35</v>
          </cell>
          <cell r="E2120">
            <v>0</v>
          </cell>
          <cell r="F2120">
            <v>8</v>
          </cell>
          <cell r="G2120" t="str">
            <v>OPP-482048</v>
          </cell>
          <cell r="H2120" t="str">
            <v>Range Technical Support Services for the Atlantic Test Range (ATR) and Atlantic Test &amp; Marine Operations Division (ATMO)</v>
          </cell>
          <cell r="I2120" t="str">
            <v>MR</v>
          </cell>
          <cell r="J2120" t="str">
            <v>MR Warfighter Support</v>
          </cell>
          <cell r="K2120" t="str">
            <v>Navy</v>
          </cell>
          <cell r="L2120" t="str">
            <v>DOD</v>
          </cell>
          <cell r="O2120">
            <v>0</v>
          </cell>
          <cell r="P2120">
            <v>0</v>
          </cell>
          <cell r="Q2120">
            <v>0</v>
          </cell>
          <cell r="R2120">
            <v>0</v>
          </cell>
          <cell r="S2120">
            <v>1</v>
          </cell>
          <cell r="T2120">
            <v>0</v>
          </cell>
          <cell r="U2120" t="str">
            <v>EBITA</v>
          </cell>
          <cell r="V2120" t="str">
            <v>Identified - Recompete</v>
          </cell>
          <cell r="W2120">
            <v>0</v>
          </cell>
          <cell r="X2120">
            <v>0</v>
          </cell>
          <cell r="Y2120">
            <v>0</v>
          </cell>
          <cell r="Z2120">
            <v>0</v>
          </cell>
          <cell r="AA2120">
            <v>0</v>
          </cell>
          <cell r="AB2120">
            <v>0</v>
          </cell>
          <cell r="AC2120">
            <v>0</v>
          </cell>
          <cell r="AD2120">
            <v>0</v>
          </cell>
          <cell r="BM2120">
            <v>0</v>
          </cell>
          <cell r="BN2120">
            <v>0</v>
          </cell>
          <cell r="BO2120">
            <v>0</v>
          </cell>
          <cell r="BP2120">
            <v>0</v>
          </cell>
          <cell r="BQ2120">
            <v>0</v>
          </cell>
          <cell r="BR2120">
            <v>0</v>
          </cell>
          <cell r="BT2120">
            <v>0</v>
          </cell>
          <cell r="BV2120">
            <v>2</v>
          </cell>
          <cell r="BW2120">
            <v>87</v>
          </cell>
          <cell r="CA2120" t="str">
            <v>OPP-482048 - EBITA - Identified - Recompete</v>
          </cell>
          <cell r="CC2120" t="str">
            <v>OPP-482048 - EBITA - Identified - Recompete - MR</v>
          </cell>
          <cell r="CD2120" t="str">
            <v/>
          </cell>
          <cell r="CF2120" t="str">
            <v>OPP-482048 - Identified - Recompete - MR</v>
          </cell>
        </row>
        <row r="2121">
          <cell r="D2121">
            <v>36</v>
          </cell>
          <cell r="E2121">
            <v>0</v>
          </cell>
          <cell r="F2121">
            <v>0</v>
          </cell>
          <cell r="G2121" t="str">
            <v>OPP-482048</v>
          </cell>
          <cell r="H2121" t="str">
            <v>Range Technical Support Services for the Atlantic Test Range (ATR) and Atlantic Test &amp; Marine Operations Division (ATMO)</v>
          </cell>
          <cell r="I2121" t="str">
            <v>MR</v>
          </cell>
          <cell r="J2121" t="str">
            <v>MR Warfighter Support</v>
          </cell>
          <cell r="K2121" t="str">
            <v>Navy</v>
          </cell>
          <cell r="L2121" t="str">
            <v>DOD</v>
          </cell>
          <cell r="O2121">
            <v>44046</v>
          </cell>
          <cell r="P2121">
            <v>47698</v>
          </cell>
          <cell r="Q2121" t="str">
            <v>Minority</v>
          </cell>
          <cell r="R2121" t="str">
            <v>Cost Plus</v>
          </cell>
          <cell r="S2121">
            <v>1</v>
          </cell>
          <cell r="T2121">
            <v>0</v>
          </cell>
          <cell r="U2121" t="str">
            <v>EBITA</v>
          </cell>
          <cell r="V2121" t="str">
            <v>Identified - New</v>
          </cell>
          <cell r="W2121" t="str">
            <v>03 Proposal</v>
          </cell>
          <cell r="X2121" t="str">
            <v>Priority 3</v>
          </cell>
          <cell r="Y2121">
            <v>0.25</v>
          </cell>
          <cell r="Z2121">
            <v>244999999.99999997</v>
          </cell>
          <cell r="AA2121">
            <v>0</v>
          </cell>
          <cell r="AB2121">
            <v>0</v>
          </cell>
          <cell r="AC2121">
            <v>0</v>
          </cell>
          <cell r="AD2121">
            <v>0</v>
          </cell>
          <cell r="BM2121">
            <v>0</v>
          </cell>
          <cell r="BN2121">
            <v>25452.083333333332</v>
          </cell>
          <cell r="BO2121">
            <v>160750</v>
          </cell>
          <cell r="BP2121">
            <v>160750</v>
          </cell>
          <cell r="BQ2121">
            <v>160750</v>
          </cell>
          <cell r="BR2121">
            <v>507702.08333333337</v>
          </cell>
          <cell r="BT2121">
            <v>0</v>
          </cell>
          <cell r="BV2121">
            <v>58</v>
          </cell>
          <cell r="BW2121">
            <v>87</v>
          </cell>
          <cell r="CA2121" t="str">
            <v>OPP-482048 - EBITA - Identified - New</v>
          </cell>
          <cell r="CC2121" t="str">
            <v>OPP-482048 - EBITA - Identified - New - MR</v>
          </cell>
          <cell r="CD2121" t="str">
            <v/>
          </cell>
          <cell r="CF2121" t="str">
            <v>OPP-482048 - Identified - New - MR</v>
          </cell>
        </row>
        <row r="2122">
          <cell r="D2122">
            <v>37</v>
          </cell>
          <cell r="E2122">
            <v>1</v>
          </cell>
          <cell r="F2122">
            <v>1</v>
          </cell>
          <cell r="G2122" t="str">
            <v>000033</v>
          </cell>
          <cell r="H2122" t="str">
            <v>MIN JV- FSA</v>
          </cell>
          <cell r="I2122" t="str">
            <v>IS4</v>
          </cell>
          <cell r="J2122" t="str">
            <v>IS4 Engineering and Technology Services</v>
          </cell>
          <cell r="K2122" t="str">
            <v>Other DOD</v>
          </cell>
          <cell r="L2122" t="str">
            <v>DOD</v>
          </cell>
          <cell r="M2122" t="str">
            <v>US_State</v>
          </cell>
          <cell r="N2122" t="str">
            <v>CONUS</v>
          </cell>
          <cell r="O2122">
            <v>40634</v>
          </cell>
          <cell r="P2122">
            <v>43738</v>
          </cell>
          <cell r="Q2122" t="str">
            <v>Minority</v>
          </cell>
          <cell r="R2122" t="str">
            <v>Fixed Price</v>
          </cell>
          <cell r="S2122">
            <v>1</v>
          </cell>
          <cell r="T2122">
            <v>0</v>
          </cell>
          <cell r="U2122" t="str">
            <v>REVTOT</v>
          </cell>
          <cell r="V2122" t="str">
            <v>Base</v>
          </cell>
          <cell r="W2122" t="str">
            <v>05 Won</v>
          </cell>
          <cell r="X2122" t="str">
            <v>Active</v>
          </cell>
          <cell r="Y2122">
            <v>0</v>
          </cell>
          <cell r="Z2122">
            <v>0</v>
          </cell>
          <cell r="AA2122">
            <v>0</v>
          </cell>
          <cell r="AB2122">
            <v>0</v>
          </cell>
          <cell r="AC2122">
            <v>0</v>
          </cell>
          <cell r="AD2122">
            <v>0</v>
          </cell>
          <cell r="BF2122">
            <v>0</v>
          </cell>
          <cell r="BG2122">
            <v>0</v>
          </cell>
          <cell r="BH2122">
            <v>0</v>
          </cell>
          <cell r="BI2122">
            <v>0</v>
          </cell>
          <cell r="BJ2122">
            <v>0</v>
          </cell>
          <cell r="BK2122">
            <v>0</v>
          </cell>
          <cell r="BL2122">
            <v>0</v>
          </cell>
          <cell r="BM2122">
            <v>0</v>
          </cell>
          <cell r="BN2122">
            <v>0</v>
          </cell>
          <cell r="BO2122">
            <v>0</v>
          </cell>
          <cell r="BP2122">
            <v>0</v>
          </cell>
          <cell r="BQ2122">
            <v>0</v>
          </cell>
          <cell r="BR2122">
            <v>0</v>
          </cell>
          <cell r="BT2122">
            <v>35</v>
          </cell>
          <cell r="BV2122">
            <v>65</v>
          </cell>
          <cell r="BW2122">
            <v>60</v>
          </cell>
          <cell r="CA2122" t="str">
            <v>000033 - REVTOT - Base</v>
          </cell>
          <cell r="CC2122" t="str">
            <v>000033 - REVTOT - Base - IS4</v>
          </cell>
          <cell r="CD2122" t="str">
            <v/>
          </cell>
          <cell r="CF2122" t="str">
            <v>000033 - Base - IS4</v>
          </cell>
        </row>
        <row r="2123">
          <cell r="D2123">
            <v>38</v>
          </cell>
          <cell r="E2123">
            <v>1</v>
          </cell>
          <cell r="F2123">
            <v>2</v>
          </cell>
          <cell r="G2123" t="str">
            <v>000033</v>
          </cell>
          <cell r="H2123" t="str">
            <v>MIN JV- FSA</v>
          </cell>
          <cell r="I2123" t="str">
            <v>IS4</v>
          </cell>
          <cell r="J2123" t="str">
            <v>IS4 Engineering and Technology Services</v>
          </cell>
          <cell r="K2123" t="str">
            <v>Other DOD</v>
          </cell>
          <cell r="L2123" t="str">
            <v>DOD</v>
          </cell>
          <cell r="M2123" t="str">
            <v>US_State</v>
          </cell>
          <cell r="N2123" t="str">
            <v>US_State</v>
          </cell>
          <cell r="O2123">
            <v>43739</v>
          </cell>
          <cell r="P2123">
            <v>46296</v>
          </cell>
          <cell r="Q2123" t="str">
            <v>Minority</v>
          </cell>
          <cell r="R2123" t="str">
            <v>Fixed Price</v>
          </cell>
          <cell r="S2123">
            <v>1</v>
          </cell>
          <cell r="T2123">
            <v>0</v>
          </cell>
          <cell r="U2123" t="str">
            <v>REVTOT</v>
          </cell>
          <cell r="V2123" t="str">
            <v>Identified - Recompete</v>
          </cell>
          <cell r="W2123" t="str">
            <v>04 Submitted</v>
          </cell>
          <cell r="X2123" t="str">
            <v>Priority 2</v>
          </cell>
          <cell r="Y2123">
            <v>0.9</v>
          </cell>
          <cell r="Z2123">
            <v>461434562.92486</v>
          </cell>
          <cell r="AA2123">
            <v>0</v>
          </cell>
          <cell r="AB2123">
            <v>0</v>
          </cell>
          <cell r="AC2123">
            <v>0</v>
          </cell>
          <cell r="AD2123">
            <v>0</v>
          </cell>
          <cell r="BM2123">
            <v>0</v>
          </cell>
          <cell r="BN2123">
            <v>0</v>
          </cell>
          <cell r="BO2123">
            <v>0</v>
          </cell>
          <cell r="BP2123">
            <v>0</v>
          </cell>
          <cell r="BQ2123">
            <v>0</v>
          </cell>
          <cell r="BR2123">
            <v>0</v>
          </cell>
          <cell r="BT2123">
            <v>35</v>
          </cell>
          <cell r="BV2123">
            <v>66</v>
          </cell>
          <cell r="BW2123">
            <v>60</v>
          </cell>
          <cell r="CA2123" t="str">
            <v>000033 - REVTOT - Identified - Recompete</v>
          </cell>
          <cell r="CC2123" t="str">
            <v>000033 - REVTOT - Identified - Recompete - IS4</v>
          </cell>
          <cell r="CD2123" t="str">
            <v/>
          </cell>
          <cell r="CF2123" t="str">
            <v>000033 - Identified - Recompete - IS4</v>
          </cell>
        </row>
        <row r="2124">
          <cell r="D2124">
            <v>39</v>
          </cell>
          <cell r="E2124">
            <v>1</v>
          </cell>
          <cell r="F2124">
            <v>3</v>
          </cell>
          <cell r="G2124" t="str">
            <v>000033</v>
          </cell>
          <cell r="H2124" t="str">
            <v>MIN JV- FSA</v>
          </cell>
          <cell r="I2124" t="str">
            <v>IS4</v>
          </cell>
          <cell r="J2124" t="str">
            <v>IS4 Engineering and Technology Services</v>
          </cell>
          <cell r="K2124" t="str">
            <v>Other DOD</v>
          </cell>
          <cell r="L2124" t="str">
            <v>DOD</v>
          </cell>
          <cell r="M2124" t="str">
            <v>US_State</v>
          </cell>
          <cell r="N2124" t="str">
            <v>US_State</v>
          </cell>
          <cell r="O2124">
            <v>0</v>
          </cell>
          <cell r="P2124">
            <v>0</v>
          </cell>
          <cell r="Q2124">
            <v>0</v>
          </cell>
          <cell r="R2124">
            <v>0</v>
          </cell>
          <cell r="S2124">
            <v>1</v>
          </cell>
          <cell r="T2124">
            <v>0</v>
          </cell>
          <cell r="U2124" t="str">
            <v>REVTOT</v>
          </cell>
          <cell r="V2124" t="str">
            <v>Identified - New</v>
          </cell>
          <cell r="W2124">
            <v>0</v>
          </cell>
          <cell r="X2124">
            <v>0</v>
          </cell>
          <cell r="Y2124">
            <v>0</v>
          </cell>
          <cell r="Z2124">
            <v>0</v>
          </cell>
          <cell r="AA2124">
            <v>0</v>
          </cell>
          <cell r="AB2124">
            <v>0</v>
          </cell>
          <cell r="AC2124">
            <v>0</v>
          </cell>
          <cell r="AD2124">
            <v>0</v>
          </cell>
          <cell r="BM2124">
            <v>0</v>
          </cell>
          <cell r="BN2124">
            <v>0</v>
          </cell>
          <cell r="BO2124">
            <v>0</v>
          </cell>
          <cell r="BP2124">
            <v>0</v>
          </cell>
          <cell r="BQ2124">
            <v>0</v>
          </cell>
          <cell r="BR2124">
            <v>0</v>
          </cell>
          <cell r="BT2124">
            <v>35</v>
          </cell>
          <cell r="BV2124">
            <v>2</v>
          </cell>
          <cell r="BW2124">
            <v>60</v>
          </cell>
          <cell r="CA2124" t="str">
            <v>000033 - REVTOT - Identified - New</v>
          </cell>
          <cell r="CC2124" t="str">
            <v>000033 - REVTOT - Identified - New - IS4</v>
          </cell>
          <cell r="CD2124" t="str">
            <v/>
          </cell>
          <cell r="CF2124" t="str">
            <v>000033 - Identified - New - IS4</v>
          </cell>
        </row>
        <row r="2125">
          <cell r="D2125">
            <v>40</v>
          </cell>
          <cell r="E2125">
            <v>2</v>
          </cell>
          <cell r="F2125">
            <v>4</v>
          </cell>
          <cell r="G2125" t="str">
            <v>000033</v>
          </cell>
          <cell r="H2125" t="str">
            <v>MIN JV- FSA</v>
          </cell>
          <cell r="I2125" t="str">
            <v>IS4</v>
          </cell>
          <cell r="J2125" t="str">
            <v>IS4 Engineering and Technology Services</v>
          </cell>
          <cell r="K2125" t="str">
            <v>Other DOD</v>
          </cell>
          <cell r="L2125" t="str">
            <v>DOD</v>
          </cell>
          <cell r="M2125" t="str">
            <v>US_State</v>
          </cell>
          <cell r="N2125" t="str">
            <v>US_State</v>
          </cell>
          <cell r="O2125">
            <v>40634</v>
          </cell>
          <cell r="P2125">
            <v>43738</v>
          </cell>
          <cell r="Q2125" t="str">
            <v>Minority</v>
          </cell>
          <cell r="R2125" t="str">
            <v>Fixed Price</v>
          </cell>
          <cell r="S2125">
            <v>1</v>
          </cell>
          <cell r="T2125">
            <v>0</v>
          </cell>
          <cell r="U2125" t="str">
            <v>CONTRACT</v>
          </cell>
          <cell r="V2125" t="str">
            <v>Base</v>
          </cell>
          <cell r="W2125" t="str">
            <v>05 Won</v>
          </cell>
          <cell r="X2125" t="str">
            <v>Active</v>
          </cell>
          <cell r="Y2125">
            <v>0</v>
          </cell>
          <cell r="Z2125">
            <v>0</v>
          </cell>
          <cell r="AA2125">
            <v>0</v>
          </cell>
          <cell r="AB2125">
            <v>0</v>
          </cell>
          <cell r="AC2125">
            <v>0</v>
          </cell>
          <cell r="AD2125">
            <v>0</v>
          </cell>
          <cell r="BF2125">
            <v>-217779</v>
          </cell>
          <cell r="BG2125">
            <v>0</v>
          </cell>
          <cell r="BH2125">
            <v>-168788</v>
          </cell>
          <cell r="BI2125">
            <v>0</v>
          </cell>
          <cell r="BJ2125">
            <v>0</v>
          </cell>
          <cell r="BK2125">
            <v>-71384</v>
          </cell>
          <cell r="BL2125">
            <v>0</v>
          </cell>
          <cell r="BM2125">
            <v>-71384</v>
          </cell>
          <cell r="BN2125">
            <v>0</v>
          </cell>
          <cell r="BO2125">
            <v>0</v>
          </cell>
          <cell r="BP2125">
            <v>0</v>
          </cell>
          <cell r="BQ2125">
            <v>0</v>
          </cell>
          <cell r="BR2125">
            <v>-71384</v>
          </cell>
          <cell r="BT2125">
            <v>35</v>
          </cell>
          <cell r="BV2125">
            <v>65</v>
          </cell>
          <cell r="BW2125">
            <v>78</v>
          </cell>
          <cell r="CA2125" t="str">
            <v>000033 - CONTRACT - Base</v>
          </cell>
          <cell r="CC2125" t="str">
            <v>000033 - CONTRACT - Base - IS4 - 2</v>
          </cell>
          <cell r="CD2125" t="str">
            <v/>
          </cell>
          <cell r="CF2125" t="str">
            <v>000033 - Base - IS4</v>
          </cell>
        </row>
        <row r="2126">
          <cell r="D2126">
            <v>41</v>
          </cell>
          <cell r="E2126">
            <v>2</v>
          </cell>
          <cell r="F2126">
            <v>5</v>
          </cell>
          <cell r="G2126" t="str">
            <v>000033</v>
          </cell>
          <cell r="H2126" t="str">
            <v>MIN JV- FSA</v>
          </cell>
          <cell r="I2126" t="str">
            <v>IS4</v>
          </cell>
          <cell r="J2126" t="str">
            <v>IS4 Engineering and Technology Services</v>
          </cell>
          <cell r="K2126" t="str">
            <v>Other DOD</v>
          </cell>
          <cell r="L2126" t="str">
            <v>DOD</v>
          </cell>
          <cell r="M2126" t="str">
            <v>US_State</v>
          </cell>
          <cell r="N2126" t="str">
            <v>US_State</v>
          </cell>
          <cell r="O2126">
            <v>43739</v>
          </cell>
          <cell r="P2126">
            <v>46296</v>
          </cell>
          <cell r="Q2126" t="str">
            <v>Minority</v>
          </cell>
          <cell r="R2126" t="str">
            <v>Fixed Price</v>
          </cell>
          <cell r="S2126">
            <v>1</v>
          </cell>
          <cell r="T2126">
            <v>0</v>
          </cell>
          <cell r="U2126" t="str">
            <v>CONTRACT</v>
          </cell>
          <cell r="V2126" t="str">
            <v>Identified - Recompete</v>
          </cell>
          <cell r="W2126" t="str">
            <v>04 Submitted</v>
          </cell>
          <cell r="X2126" t="str">
            <v>Priority 2</v>
          </cell>
          <cell r="Y2126">
            <v>0.9</v>
          </cell>
          <cell r="Z2126">
            <v>461434562.92486</v>
          </cell>
          <cell r="AA2126">
            <v>0</v>
          </cell>
          <cell r="AB2126">
            <v>0</v>
          </cell>
          <cell r="AC2126">
            <v>0</v>
          </cell>
          <cell r="AD2126">
            <v>0</v>
          </cell>
          <cell r="BM2126">
            <v>0</v>
          </cell>
          <cell r="BN2126">
            <v>0</v>
          </cell>
          <cell r="BO2126">
            <v>0</v>
          </cell>
          <cell r="BP2126">
            <v>0</v>
          </cell>
          <cell r="BQ2126">
            <v>0</v>
          </cell>
          <cell r="BR2126">
            <v>0</v>
          </cell>
          <cell r="BT2126">
            <v>35</v>
          </cell>
          <cell r="BV2126">
            <v>66</v>
          </cell>
          <cell r="BW2126">
            <v>78</v>
          </cell>
          <cell r="CA2126" t="str">
            <v>000033 - CONTRACT - Identified - Recompete</v>
          </cell>
          <cell r="CC2126" t="str">
            <v>000033 - CONTRACT - Identified - Recompete - IS4</v>
          </cell>
          <cell r="CD2126" t="str">
            <v/>
          </cell>
          <cell r="CF2126" t="str">
            <v>000033 - Identified - Recompete - IS4</v>
          </cell>
        </row>
        <row r="2127">
          <cell r="D2127">
            <v>42</v>
          </cell>
          <cell r="E2127">
            <v>2</v>
          </cell>
          <cell r="F2127">
            <v>6</v>
          </cell>
          <cell r="G2127" t="str">
            <v>000033</v>
          </cell>
          <cell r="H2127" t="str">
            <v>MIN JV- FSA</v>
          </cell>
          <cell r="I2127" t="str">
            <v>IS4</v>
          </cell>
          <cell r="J2127" t="str">
            <v>IS4 Engineering and Technology Services</v>
          </cell>
          <cell r="K2127" t="str">
            <v>Other DOD</v>
          </cell>
          <cell r="L2127" t="str">
            <v>DOD</v>
          </cell>
          <cell r="M2127" t="str">
            <v>US_State</v>
          </cell>
          <cell r="N2127" t="str">
            <v>US_State</v>
          </cell>
          <cell r="O2127">
            <v>0</v>
          </cell>
          <cell r="P2127">
            <v>0</v>
          </cell>
          <cell r="Q2127">
            <v>0</v>
          </cell>
          <cell r="R2127">
            <v>0</v>
          </cell>
          <cell r="S2127">
            <v>1</v>
          </cell>
          <cell r="T2127">
            <v>0</v>
          </cell>
          <cell r="U2127" t="str">
            <v>CONTRACT</v>
          </cell>
          <cell r="V2127" t="str">
            <v>Identified - New</v>
          </cell>
          <cell r="W2127">
            <v>0</v>
          </cell>
          <cell r="X2127">
            <v>0</v>
          </cell>
          <cell r="Y2127">
            <v>0</v>
          </cell>
          <cell r="Z2127">
            <v>0</v>
          </cell>
          <cell r="AA2127">
            <v>0</v>
          </cell>
          <cell r="AB2127">
            <v>0</v>
          </cell>
          <cell r="AC2127">
            <v>0</v>
          </cell>
          <cell r="AD2127">
            <v>0</v>
          </cell>
          <cell r="BM2127">
            <v>0</v>
          </cell>
          <cell r="BN2127">
            <v>0</v>
          </cell>
          <cell r="BO2127">
            <v>0</v>
          </cell>
          <cell r="BP2127">
            <v>0</v>
          </cell>
          <cell r="BQ2127">
            <v>0</v>
          </cell>
          <cell r="BR2127">
            <v>0</v>
          </cell>
          <cell r="BT2127">
            <v>35</v>
          </cell>
          <cell r="BV2127">
            <v>2</v>
          </cell>
          <cell r="BW2127">
            <v>78</v>
          </cell>
          <cell r="CA2127" t="str">
            <v>000033 - CONTRACT - Identified - New</v>
          </cell>
          <cell r="CC2127" t="str">
            <v>000033 - CONTRACT - Identified - New - IS4</v>
          </cell>
          <cell r="CD2127" t="str">
            <v/>
          </cell>
          <cell r="CF2127" t="str">
            <v>000033 - Identified - New - IS4</v>
          </cell>
        </row>
        <row r="2128">
          <cell r="D2128">
            <v>43</v>
          </cell>
          <cell r="E2128">
            <v>0</v>
          </cell>
          <cell r="F2128">
            <v>7</v>
          </cell>
          <cell r="G2128" t="str">
            <v>000033</v>
          </cell>
          <cell r="H2128" t="str">
            <v>MIN JV- FSA</v>
          </cell>
          <cell r="I2128" t="str">
            <v>IS4</v>
          </cell>
          <cell r="J2128" t="str">
            <v>IS4 Engineering and Technology Services</v>
          </cell>
          <cell r="K2128" t="str">
            <v>Other DOD</v>
          </cell>
          <cell r="L2128" t="str">
            <v>DOD</v>
          </cell>
          <cell r="M2128" t="str">
            <v>US_State</v>
          </cell>
          <cell r="N2128" t="str">
            <v>US_State</v>
          </cell>
          <cell r="O2128">
            <v>40634</v>
          </cell>
          <cell r="P2128">
            <v>43738</v>
          </cell>
          <cell r="Q2128" t="str">
            <v>Minority</v>
          </cell>
          <cell r="R2128" t="str">
            <v>Fixed Price</v>
          </cell>
          <cell r="S2128">
            <v>1</v>
          </cell>
          <cell r="T2128">
            <v>0</v>
          </cell>
          <cell r="U2128" t="str">
            <v>EBITA</v>
          </cell>
          <cell r="V2128" t="str">
            <v>Base</v>
          </cell>
          <cell r="W2128" t="str">
            <v>05 Won</v>
          </cell>
          <cell r="X2128" t="str">
            <v>Active</v>
          </cell>
          <cell r="Y2128">
            <v>0</v>
          </cell>
          <cell r="Z2128">
            <v>0</v>
          </cell>
          <cell r="AA2128">
            <v>0</v>
          </cell>
          <cell r="AB2128">
            <v>0</v>
          </cell>
          <cell r="AC2128">
            <v>0</v>
          </cell>
          <cell r="AD2128">
            <v>0</v>
          </cell>
          <cell r="BF2128">
            <v>4718639.46</v>
          </cell>
          <cell r="BG2128">
            <v>4436089.1400000006</v>
          </cell>
          <cell r="BH2128">
            <v>3662482.47</v>
          </cell>
          <cell r="BI2128">
            <v>788786</v>
          </cell>
          <cell r="BJ2128">
            <v>1360824</v>
          </cell>
          <cell r="BK2128">
            <v>558932.5</v>
          </cell>
          <cell r="BL2128">
            <v>1122144.3026000001</v>
          </cell>
          <cell r="BM2128">
            <v>3830686.8026000001</v>
          </cell>
          <cell r="BN2128">
            <v>0</v>
          </cell>
          <cell r="BO2128">
            <v>0</v>
          </cell>
          <cell r="BP2128">
            <v>0</v>
          </cell>
          <cell r="BQ2128">
            <v>0</v>
          </cell>
          <cell r="BR2128">
            <v>3830686.8026000001</v>
          </cell>
          <cell r="BT2128">
            <v>35</v>
          </cell>
          <cell r="BV2128">
            <v>65</v>
          </cell>
          <cell r="BW2128">
            <v>87</v>
          </cell>
          <cell r="CA2128" t="str">
            <v>000033 - EBITA - Base</v>
          </cell>
          <cell r="CC2128" t="str">
            <v>000033 - EBITA - Base - IS4</v>
          </cell>
          <cell r="CD2128" t="str">
            <v/>
          </cell>
          <cell r="CF2128" t="str">
            <v>000033 - Base - IS4</v>
          </cell>
        </row>
        <row r="2129">
          <cell r="D2129">
            <v>44</v>
          </cell>
          <cell r="E2129">
            <v>0</v>
          </cell>
          <cell r="F2129">
            <v>8</v>
          </cell>
          <cell r="G2129" t="str">
            <v>000033</v>
          </cell>
          <cell r="H2129" t="str">
            <v>MIN JV- FSA</v>
          </cell>
          <cell r="I2129" t="str">
            <v>IS4</v>
          </cell>
          <cell r="J2129" t="str">
            <v>IS4 Engineering and Technology Services</v>
          </cell>
          <cell r="K2129" t="str">
            <v>Other DOD</v>
          </cell>
          <cell r="L2129" t="str">
            <v>DOD</v>
          </cell>
          <cell r="M2129" t="str">
            <v>US_State</v>
          </cell>
          <cell r="N2129" t="str">
            <v>US_State</v>
          </cell>
          <cell r="O2129">
            <v>43739</v>
          </cell>
          <cell r="P2129">
            <v>46296</v>
          </cell>
          <cell r="Q2129" t="str">
            <v>Minority</v>
          </cell>
          <cell r="R2129" t="str">
            <v>Fixed Price</v>
          </cell>
          <cell r="S2129">
            <v>1</v>
          </cell>
          <cell r="T2129">
            <v>0</v>
          </cell>
          <cell r="U2129" t="str">
            <v>EBITA</v>
          </cell>
          <cell r="V2129" t="str">
            <v>Identified - Recompete</v>
          </cell>
          <cell r="W2129" t="str">
            <v>04 Submitted</v>
          </cell>
          <cell r="X2129" t="str">
            <v>Priority 2</v>
          </cell>
          <cell r="Y2129">
            <v>0.9</v>
          </cell>
          <cell r="Z2129">
            <v>461434562.92486</v>
          </cell>
          <cell r="AA2129">
            <v>0</v>
          </cell>
          <cell r="AB2129">
            <v>0</v>
          </cell>
          <cell r="AC2129">
            <v>0</v>
          </cell>
          <cell r="AD2129">
            <v>0</v>
          </cell>
          <cell r="BM2129">
            <v>0</v>
          </cell>
          <cell r="BN2129">
            <v>3934306.4421380879</v>
          </cell>
          <cell r="BO2129">
            <v>4392815.8395301215</v>
          </cell>
          <cell r="BP2129">
            <v>4903684.0519791804</v>
          </cell>
          <cell r="BQ2129">
            <v>5472797.7485227501</v>
          </cell>
          <cell r="BR2129">
            <v>18703604.08217014</v>
          </cell>
          <cell r="BT2129">
            <v>35</v>
          </cell>
          <cell r="BV2129">
            <v>66</v>
          </cell>
          <cell r="BW2129">
            <v>87</v>
          </cell>
          <cell r="CA2129" t="str">
            <v>000033 - EBITA - Identified - Recompete</v>
          </cell>
          <cell r="CC2129" t="str">
            <v>000033 - EBITA - Identified - Recompete - IS4</v>
          </cell>
          <cell r="CD2129" t="str">
            <v/>
          </cell>
          <cell r="CF2129" t="str">
            <v>000033 - Identified - Recompete - IS4</v>
          </cell>
        </row>
        <row r="2130">
          <cell r="D2130">
            <v>45</v>
          </cell>
          <cell r="E2130">
            <v>0</v>
          </cell>
          <cell r="F2130">
            <v>0</v>
          </cell>
          <cell r="G2130" t="str">
            <v>000033</v>
          </cell>
          <cell r="H2130" t="str">
            <v>MIN JV- FSA</v>
          </cell>
          <cell r="I2130" t="str">
            <v>IS4</v>
          </cell>
          <cell r="J2130" t="str">
            <v>IS4 Engineering and Technology Services</v>
          </cell>
          <cell r="K2130" t="str">
            <v>Other DOD</v>
          </cell>
          <cell r="L2130" t="str">
            <v>DOD</v>
          </cell>
          <cell r="M2130" t="str">
            <v>US_State</v>
          </cell>
          <cell r="N2130" t="str">
            <v>US_State</v>
          </cell>
          <cell r="O2130">
            <v>0</v>
          </cell>
          <cell r="P2130">
            <v>0</v>
          </cell>
          <cell r="Q2130">
            <v>0</v>
          </cell>
          <cell r="R2130">
            <v>0</v>
          </cell>
          <cell r="S2130">
            <v>1</v>
          </cell>
          <cell r="T2130">
            <v>0</v>
          </cell>
          <cell r="U2130" t="str">
            <v>EBITA</v>
          </cell>
          <cell r="V2130" t="str">
            <v>Identified - New</v>
          </cell>
          <cell r="W2130">
            <v>0</v>
          </cell>
          <cell r="X2130">
            <v>0</v>
          </cell>
          <cell r="Y2130">
            <v>0</v>
          </cell>
          <cell r="Z2130">
            <v>0</v>
          </cell>
          <cell r="AA2130">
            <v>0</v>
          </cell>
          <cell r="AB2130">
            <v>0</v>
          </cell>
          <cell r="AC2130">
            <v>0</v>
          </cell>
          <cell r="AD2130">
            <v>0</v>
          </cell>
          <cell r="BM2130">
            <v>0</v>
          </cell>
          <cell r="BN2130">
            <v>0</v>
          </cell>
          <cell r="BO2130">
            <v>0</v>
          </cell>
          <cell r="BP2130">
            <v>0</v>
          </cell>
          <cell r="BQ2130">
            <v>0</v>
          </cell>
          <cell r="BR2130">
            <v>0</v>
          </cell>
          <cell r="BT2130">
            <v>35</v>
          </cell>
          <cell r="BV2130">
            <v>2</v>
          </cell>
          <cell r="BW2130">
            <v>87</v>
          </cell>
          <cell r="CA2130" t="str">
            <v>000033 - EBITA - Identified - New</v>
          </cell>
          <cell r="CC2130" t="str">
            <v>000033 - EBITA - Identified - New - IS4</v>
          </cell>
          <cell r="CD2130" t="str">
            <v/>
          </cell>
          <cell r="CF2130" t="str">
            <v>000033 - Identified - New - IS4</v>
          </cell>
        </row>
        <row r="2131">
          <cell r="D2131">
            <v>46</v>
          </cell>
          <cell r="E2131">
            <v>1</v>
          </cell>
          <cell r="F2131">
            <v>1</v>
          </cell>
          <cell r="G2131" t="str">
            <v>000107</v>
          </cell>
          <cell r="H2131" t="str">
            <v>Equity JV- GLS</v>
          </cell>
          <cell r="I2131" t="str">
            <v>IS4</v>
          </cell>
          <cell r="J2131" t="str">
            <v>IS4 Global Mission Solutions</v>
          </cell>
          <cell r="K2131" t="str">
            <v>Army</v>
          </cell>
          <cell r="L2131" t="str">
            <v>DOD</v>
          </cell>
          <cell r="M2131" t="str">
            <v>US_State</v>
          </cell>
          <cell r="N2131" t="str">
            <v>CONUS</v>
          </cell>
          <cell r="O2131">
            <v>42917</v>
          </cell>
          <cell r="P2131">
            <v>43738</v>
          </cell>
          <cell r="Q2131" t="str">
            <v>Minority</v>
          </cell>
          <cell r="R2131" t="str">
            <v>Cost Plus</v>
          </cell>
          <cell r="S2131">
            <v>1</v>
          </cell>
          <cell r="T2131">
            <v>0</v>
          </cell>
          <cell r="U2131" t="str">
            <v>REVTOT</v>
          </cell>
          <cell r="V2131" t="str">
            <v>Base</v>
          </cell>
          <cell r="W2131" t="str">
            <v>05 Won</v>
          </cell>
          <cell r="X2131" t="str">
            <v>Active</v>
          </cell>
          <cell r="Y2131">
            <v>0</v>
          </cell>
          <cell r="Z2131">
            <v>0</v>
          </cell>
          <cell r="AA2131">
            <v>0</v>
          </cell>
          <cell r="AB2131">
            <v>0</v>
          </cell>
          <cell r="AC2131">
            <v>0</v>
          </cell>
          <cell r="AD2131">
            <v>0</v>
          </cell>
          <cell r="BF2131">
            <v>0</v>
          </cell>
          <cell r="BG2131">
            <v>0</v>
          </cell>
          <cell r="BH2131">
            <v>0</v>
          </cell>
          <cell r="BI2131">
            <v>0</v>
          </cell>
          <cell r="BJ2131">
            <v>0</v>
          </cell>
          <cell r="BK2131">
            <v>0</v>
          </cell>
          <cell r="BL2131">
            <v>0</v>
          </cell>
          <cell r="BM2131">
            <v>0</v>
          </cell>
          <cell r="BN2131">
            <v>0</v>
          </cell>
          <cell r="BO2131">
            <v>0</v>
          </cell>
          <cell r="BP2131">
            <v>0</v>
          </cell>
          <cell r="BQ2131">
            <v>0</v>
          </cell>
          <cell r="BR2131">
            <v>0</v>
          </cell>
          <cell r="BT2131">
            <v>43</v>
          </cell>
          <cell r="BV2131">
            <v>67</v>
          </cell>
          <cell r="BW2131">
            <v>60</v>
          </cell>
          <cell r="CA2131" t="str">
            <v>000107 - REVTOT - Base</v>
          </cell>
          <cell r="CC2131" t="str">
            <v>000107 - REVTOT - Base - IS4</v>
          </cell>
          <cell r="CD2131" t="str">
            <v/>
          </cell>
          <cell r="CF2131" t="str">
            <v>000107 - Base - IS4</v>
          </cell>
        </row>
        <row r="2132">
          <cell r="D2132">
            <v>47</v>
          </cell>
          <cell r="E2132">
            <v>1</v>
          </cell>
          <cell r="F2132">
            <v>2</v>
          </cell>
          <cell r="G2132" t="str">
            <v>000107</v>
          </cell>
          <cell r="H2132" t="str">
            <v>Equity JV- GLS</v>
          </cell>
          <cell r="I2132" t="str">
            <v>IS4</v>
          </cell>
          <cell r="J2132" t="str">
            <v>IS4 Global Mission Solutions</v>
          </cell>
          <cell r="K2132" t="str">
            <v>Army</v>
          </cell>
          <cell r="L2132" t="str">
            <v>DOD</v>
          </cell>
          <cell r="M2132" t="str">
            <v>US_State</v>
          </cell>
          <cell r="N2132" t="str">
            <v>US_State</v>
          </cell>
          <cell r="O2132">
            <v>43755</v>
          </cell>
          <cell r="P2132">
            <v>45582</v>
          </cell>
          <cell r="Q2132" t="str">
            <v>Minority</v>
          </cell>
          <cell r="R2132" t="str">
            <v>Cost Plus</v>
          </cell>
          <cell r="S2132">
            <v>1</v>
          </cell>
          <cell r="T2132">
            <v>0</v>
          </cell>
          <cell r="U2132" t="str">
            <v>REVTOT</v>
          </cell>
          <cell r="V2132" t="str">
            <v>Identified - Recompete</v>
          </cell>
          <cell r="W2132" t="str">
            <v>04 Submitted</v>
          </cell>
          <cell r="X2132" t="str">
            <v>Priority 2</v>
          </cell>
          <cell r="Y2132">
            <v>0.3</v>
          </cell>
          <cell r="Z2132">
            <v>435966530.37</v>
          </cell>
          <cell r="AA2132">
            <v>0</v>
          </cell>
          <cell r="AB2132">
            <v>0</v>
          </cell>
          <cell r="AC2132">
            <v>0</v>
          </cell>
          <cell r="AD2132">
            <v>0</v>
          </cell>
          <cell r="BM2132">
            <v>0</v>
          </cell>
          <cell r="BN2132">
            <v>0</v>
          </cell>
          <cell r="BO2132">
            <v>0</v>
          </cell>
          <cell r="BP2132">
            <v>0</v>
          </cell>
          <cell r="BQ2132">
            <v>0</v>
          </cell>
          <cell r="BR2132">
            <v>0</v>
          </cell>
          <cell r="BT2132">
            <v>43</v>
          </cell>
          <cell r="BV2132">
            <v>68</v>
          </cell>
          <cell r="BW2132">
            <v>60</v>
          </cell>
          <cell r="CA2132" t="str">
            <v>000107 - REVTOT - Identified - Recompete</v>
          </cell>
          <cell r="CC2132" t="str">
            <v>000107 - REVTOT - Identified - Recompete - IS4</v>
          </cell>
          <cell r="CD2132" t="str">
            <v/>
          </cell>
          <cell r="CF2132" t="str">
            <v>000107 - Identified - Recompete - IS4</v>
          </cell>
        </row>
        <row r="2133">
          <cell r="D2133">
            <v>48</v>
          </cell>
          <cell r="E2133">
            <v>1</v>
          </cell>
          <cell r="F2133">
            <v>3</v>
          </cell>
          <cell r="G2133" t="str">
            <v>000107</v>
          </cell>
          <cell r="H2133" t="str">
            <v>Equity JV- GLS</v>
          </cell>
          <cell r="I2133" t="str">
            <v>IS4</v>
          </cell>
          <cell r="J2133" t="str">
            <v>IS4 Global Mission Solutions</v>
          </cell>
          <cell r="K2133" t="str">
            <v>Army</v>
          </cell>
          <cell r="L2133" t="str">
            <v>DOD</v>
          </cell>
          <cell r="M2133" t="str">
            <v>US_State</v>
          </cell>
          <cell r="N2133" t="str">
            <v>US_State</v>
          </cell>
          <cell r="O2133">
            <v>0</v>
          </cell>
          <cell r="P2133">
            <v>0</v>
          </cell>
          <cell r="Q2133">
            <v>0</v>
          </cell>
          <cell r="R2133">
            <v>0</v>
          </cell>
          <cell r="S2133">
            <v>1</v>
          </cell>
          <cell r="T2133">
            <v>0</v>
          </cell>
          <cell r="U2133" t="str">
            <v>REVTOT</v>
          </cell>
          <cell r="V2133" t="str">
            <v>Identified - New</v>
          </cell>
          <cell r="W2133">
            <v>0</v>
          </cell>
          <cell r="X2133">
            <v>0</v>
          </cell>
          <cell r="Y2133">
            <v>0</v>
          </cell>
          <cell r="Z2133">
            <v>0</v>
          </cell>
          <cell r="AA2133">
            <v>0</v>
          </cell>
          <cell r="AB2133">
            <v>0</v>
          </cell>
          <cell r="AC2133">
            <v>0</v>
          </cell>
          <cell r="AD2133">
            <v>0</v>
          </cell>
          <cell r="BM2133">
            <v>0</v>
          </cell>
          <cell r="BN2133">
            <v>0</v>
          </cell>
          <cell r="BO2133">
            <v>0</v>
          </cell>
          <cell r="BP2133">
            <v>0</v>
          </cell>
          <cell r="BQ2133">
            <v>0</v>
          </cell>
          <cell r="BR2133">
            <v>0</v>
          </cell>
          <cell r="BT2133">
            <v>43</v>
          </cell>
          <cell r="BV2133">
            <v>2</v>
          </cell>
          <cell r="BW2133">
            <v>60</v>
          </cell>
          <cell r="CA2133" t="str">
            <v>000107 - REVTOT - Identified - New</v>
          </cell>
          <cell r="CC2133" t="str">
            <v>000107 - REVTOT - Identified - New - IS4</v>
          </cell>
          <cell r="CD2133" t="str">
            <v/>
          </cell>
          <cell r="CF2133" t="str">
            <v>000107 - Identified - New - IS4</v>
          </cell>
        </row>
        <row r="2134">
          <cell r="D2134">
            <v>49</v>
          </cell>
          <cell r="E2134">
            <v>2</v>
          </cell>
          <cell r="F2134">
            <v>4</v>
          </cell>
          <cell r="G2134" t="str">
            <v>000107</v>
          </cell>
          <cell r="H2134" t="str">
            <v>Equity JV- GLS</v>
          </cell>
          <cell r="I2134" t="str">
            <v>IS4</v>
          </cell>
          <cell r="J2134" t="str">
            <v>IS4 Global Mission Solutions</v>
          </cell>
          <cell r="K2134" t="str">
            <v>Army</v>
          </cell>
          <cell r="L2134" t="str">
            <v>DOD</v>
          </cell>
          <cell r="M2134" t="str">
            <v>US_State</v>
          </cell>
          <cell r="N2134" t="str">
            <v>US_State</v>
          </cell>
          <cell r="O2134">
            <v>42917</v>
          </cell>
          <cell r="P2134">
            <v>43738</v>
          </cell>
          <cell r="Q2134" t="str">
            <v>Minority</v>
          </cell>
          <cell r="R2134" t="str">
            <v>Cost Plus</v>
          </cell>
          <cell r="S2134">
            <v>1</v>
          </cell>
          <cell r="T2134">
            <v>0</v>
          </cell>
          <cell r="U2134" t="str">
            <v>CONTRACT</v>
          </cell>
          <cell r="V2134" t="str">
            <v>Base</v>
          </cell>
          <cell r="W2134" t="str">
            <v>05 Won</v>
          </cell>
          <cell r="X2134" t="str">
            <v>Active</v>
          </cell>
          <cell r="Y2134">
            <v>0</v>
          </cell>
          <cell r="Z2134">
            <v>0</v>
          </cell>
          <cell r="AA2134">
            <v>0</v>
          </cell>
          <cell r="AB2134">
            <v>0</v>
          </cell>
          <cell r="AC2134">
            <v>0</v>
          </cell>
          <cell r="AD2134">
            <v>0</v>
          </cell>
          <cell r="BF2134">
            <v>0</v>
          </cell>
          <cell r="BG2134">
            <v>0</v>
          </cell>
          <cell r="BH2134">
            <v>0</v>
          </cell>
          <cell r="BI2134">
            <v>0</v>
          </cell>
          <cell r="BJ2134">
            <v>-215961.18</v>
          </cell>
          <cell r="BK2134">
            <v>-216932.26</v>
          </cell>
          <cell r="BL2134">
            <v>0</v>
          </cell>
          <cell r="BM2134">
            <v>-432893.44</v>
          </cell>
          <cell r="BN2134">
            <v>0</v>
          </cell>
          <cell r="BO2134">
            <v>0</v>
          </cell>
          <cell r="BP2134">
            <v>0</v>
          </cell>
          <cell r="BQ2134">
            <v>0</v>
          </cell>
          <cell r="BR2134">
            <v>-432893.44</v>
          </cell>
          <cell r="BT2134">
            <v>43</v>
          </cell>
          <cell r="BV2134">
            <v>67</v>
          </cell>
          <cell r="BW2134">
            <v>78</v>
          </cell>
          <cell r="CA2134" t="str">
            <v>000107 - CONTRACT - Base</v>
          </cell>
          <cell r="CC2134" t="str">
            <v>000107 - CONTRACT - Base - IS4 - 2</v>
          </cell>
          <cell r="CD2134" t="str">
            <v/>
          </cell>
          <cell r="CF2134" t="str">
            <v>000107 - Base - IS4</v>
          </cell>
        </row>
        <row r="2135">
          <cell r="D2135">
            <v>50</v>
          </cell>
          <cell r="E2135">
            <v>2</v>
          </cell>
          <cell r="F2135">
            <v>5</v>
          </cell>
          <cell r="G2135" t="str">
            <v>000107</v>
          </cell>
          <cell r="H2135" t="str">
            <v>Equity JV- GLS</v>
          </cell>
          <cell r="I2135" t="str">
            <v>IS4</v>
          </cell>
          <cell r="J2135" t="str">
            <v>IS4 Global Mission Solutions</v>
          </cell>
          <cell r="K2135" t="str">
            <v>Army</v>
          </cell>
          <cell r="L2135" t="str">
            <v>DOD</v>
          </cell>
          <cell r="M2135" t="str">
            <v>US_State</v>
          </cell>
          <cell r="N2135" t="str">
            <v>US_State</v>
          </cell>
          <cell r="O2135">
            <v>43755</v>
          </cell>
          <cell r="P2135">
            <v>45582</v>
          </cell>
          <cell r="Q2135" t="str">
            <v>Minority</v>
          </cell>
          <cell r="R2135" t="str">
            <v>Cost Plus</v>
          </cell>
          <cell r="S2135">
            <v>1</v>
          </cell>
          <cell r="T2135">
            <v>0</v>
          </cell>
          <cell r="U2135" t="str">
            <v>CONTRACT</v>
          </cell>
          <cell r="V2135" t="str">
            <v>Identified - Recompete</v>
          </cell>
          <cell r="W2135" t="str">
            <v>04 Submitted</v>
          </cell>
          <cell r="X2135" t="str">
            <v>Priority 2</v>
          </cell>
          <cell r="Y2135">
            <v>0.3</v>
          </cell>
          <cell r="Z2135">
            <v>435966530.37</v>
          </cell>
          <cell r="AA2135">
            <v>0</v>
          </cell>
          <cell r="AB2135">
            <v>0</v>
          </cell>
          <cell r="AC2135">
            <v>0</v>
          </cell>
          <cell r="AD2135">
            <v>0</v>
          </cell>
          <cell r="BM2135">
            <v>0</v>
          </cell>
          <cell r="BN2135">
            <v>0</v>
          </cell>
          <cell r="BO2135">
            <v>0</v>
          </cell>
          <cell r="BP2135">
            <v>0</v>
          </cell>
          <cell r="BQ2135">
            <v>0</v>
          </cell>
          <cell r="BR2135">
            <v>0</v>
          </cell>
          <cell r="BT2135">
            <v>43</v>
          </cell>
          <cell r="BV2135">
            <v>68</v>
          </cell>
          <cell r="BW2135">
            <v>78</v>
          </cell>
          <cell r="CA2135" t="str">
            <v>000107 - CONTRACT - Identified - Recompete</v>
          </cell>
          <cell r="CC2135" t="str">
            <v>000107 - CONTRACT - Identified - Recompete - IS4</v>
          </cell>
          <cell r="CD2135" t="str">
            <v/>
          </cell>
          <cell r="CF2135" t="str">
            <v>000107 - Identified - Recompete - IS4</v>
          </cell>
        </row>
        <row r="2136">
          <cell r="D2136">
            <v>51</v>
          </cell>
          <cell r="E2136">
            <v>2</v>
          </cell>
          <cell r="F2136">
            <v>6</v>
          </cell>
          <cell r="G2136" t="str">
            <v>000107</v>
          </cell>
          <cell r="H2136" t="str">
            <v>Equity JV- GLS</v>
          </cell>
          <cell r="I2136" t="str">
            <v>IS4</v>
          </cell>
          <cell r="J2136" t="str">
            <v>IS4 Global Mission Solutions</v>
          </cell>
          <cell r="K2136" t="str">
            <v>Army</v>
          </cell>
          <cell r="L2136" t="str">
            <v>DOD</v>
          </cell>
          <cell r="M2136" t="str">
            <v>US_State</v>
          </cell>
          <cell r="N2136" t="str">
            <v>US_State</v>
          </cell>
          <cell r="O2136">
            <v>0</v>
          </cell>
          <cell r="P2136">
            <v>0</v>
          </cell>
          <cell r="Q2136">
            <v>0</v>
          </cell>
          <cell r="R2136">
            <v>0</v>
          </cell>
          <cell r="S2136">
            <v>1</v>
          </cell>
          <cell r="T2136">
            <v>0</v>
          </cell>
          <cell r="U2136" t="str">
            <v>CONTRACT</v>
          </cell>
          <cell r="V2136" t="str">
            <v>Identified - New</v>
          </cell>
          <cell r="W2136">
            <v>0</v>
          </cell>
          <cell r="X2136">
            <v>0</v>
          </cell>
          <cell r="Y2136">
            <v>0</v>
          </cell>
          <cell r="Z2136">
            <v>0</v>
          </cell>
          <cell r="AA2136">
            <v>0</v>
          </cell>
          <cell r="AB2136">
            <v>0</v>
          </cell>
          <cell r="AC2136">
            <v>0</v>
          </cell>
          <cell r="AD2136">
            <v>0</v>
          </cell>
          <cell r="BM2136">
            <v>0</v>
          </cell>
          <cell r="BN2136">
            <v>0</v>
          </cell>
          <cell r="BO2136">
            <v>0</v>
          </cell>
          <cell r="BP2136">
            <v>0</v>
          </cell>
          <cell r="BQ2136">
            <v>0</v>
          </cell>
          <cell r="BR2136">
            <v>0</v>
          </cell>
          <cell r="BT2136">
            <v>43</v>
          </cell>
          <cell r="BV2136">
            <v>2</v>
          </cell>
          <cell r="BW2136">
            <v>78</v>
          </cell>
          <cell r="CA2136" t="str">
            <v>000107 - CONTRACT - Identified - New</v>
          </cell>
          <cell r="CC2136" t="str">
            <v>000107 - CONTRACT - Identified - New - IS4</v>
          </cell>
          <cell r="CD2136" t="str">
            <v/>
          </cell>
          <cell r="CF2136" t="str">
            <v>000107 - Identified - New - IS4</v>
          </cell>
        </row>
        <row r="2137">
          <cell r="D2137">
            <v>52</v>
          </cell>
          <cell r="E2137">
            <v>0</v>
          </cell>
          <cell r="F2137">
            <v>7</v>
          </cell>
          <cell r="G2137" t="str">
            <v>000107</v>
          </cell>
          <cell r="H2137" t="str">
            <v>Equity JV- GLS</v>
          </cell>
          <cell r="I2137" t="str">
            <v>IS4</v>
          </cell>
          <cell r="J2137" t="str">
            <v>IS4 Global Mission Solutions</v>
          </cell>
          <cell r="K2137" t="str">
            <v>Army</v>
          </cell>
          <cell r="L2137" t="str">
            <v>DOD</v>
          </cell>
          <cell r="M2137" t="str">
            <v>US_State</v>
          </cell>
          <cell r="N2137" t="str">
            <v>US_State</v>
          </cell>
          <cell r="O2137">
            <v>42917</v>
          </cell>
          <cell r="P2137">
            <v>43738</v>
          </cell>
          <cell r="Q2137" t="str">
            <v>Minority</v>
          </cell>
          <cell r="R2137" t="str">
            <v>Cost Plus</v>
          </cell>
          <cell r="S2137">
            <v>1</v>
          </cell>
          <cell r="T2137">
            <v>0</v>
          </cell>
          <cell r="U2137" t="str">
            <v>EBITA</v>
          </cell>
          <cell r="V2137" t="str">
            <v>Base</v>
          </cell>
          <cell r="W2137" t="str">
            <v>05 Won</v>
          </cell>
          <cell r="X2137" t="str">
            <v>Active</v>
          </cell>
          <cell r="Y2137">
            <v>0</v>
          </cell>
          <cell r="Z2137">
            <v>0</v>
          </cell>
          <cell r="AA2137">
            <v>0</v>
          </cell>
          <cell r="AB2137">
            <v>0</v>
          </cell>
          <cell r="AC2137">
            <v>0</v>
          </cell>
          <cell r="AD2137">
            <v>0</v>
          </cell>
          <cell r="BF2137">
            <v>-2782844.6500000004</v>
          </cell>
          <cell r="BG2137">
            <v>-1710364</v>
          </cell>
          <cell r="BH2137">
            <v>1482281</v>
          </cell>
          <cell r="BI2137">
            <v>1062161</v>
          </cell>
          <cell r="BJ2137">
            <v>454185.82</v>
          </cell>
          <cell r="BK2137">
            <v>358645.74</v>
          </cell>
          <cell r="BL2137">
            <v>325008</v>
          </cell>
          <cell r="BM2137">
            <v>2200000.56</v>
          </cell>
          <cell r="BN2137">
            <v>0</v>
          </cell>
          <cell r="BO2137">
            <v>0</v>
          </cell>
          <cell r="BP2137">
            <v>0</v>
          </cell>
          <cell r="BQ2137">
            <v>0</v>
          </cell>
          <cell r="BR2137">
            <v>2200000.56</v>
          </cell>
          <cell r="BT2137">
            <v>43</v>
          </cell>
          <cell r="BV2137">
            <v>67</v>
          </cell>
          <cell r="BW2137">
            <v>87</v>
          </cell>
          <cell r="CA2137" t="str">
            <v>000107 - EBITA - Base</v>
          </cell>
          <cell r="CC2137" t="str">
            <v>000107 - EBITA - Base - IS4</v>
          </cell>
          <cell r="CD2137" t="str">
            <v/>
          </cell>
          <cell r="CF2137" t="str">
            <v>000107 - Base - IS4</v>
          </cell>
        </row>
        <row r="2138">
          <cell r="D2138">
            <v>53</v>
          </cell>
          <cell r="E2138">
            <v>0</v>
          </cell>
          <cell r="F2138">
            <v>8</v>
          </cell>
          <cell r="G2138" t="str">
            <v>000107</v>
          </cell>
          <cell r="H2138" t="str">
            <v>Equity JV- GLS</v>
          </cell>
          <cell r="I2138" t="str">
            <v>IS4</v>
          </cell>
          <cell r="J2138" t="str">
            <v>IS4 Global Mission Solutions</v>
          </cell>
          <cell r="K2138" t="str">
            <v>Army</v>
          </cell>
          <cell r="L2138" t="str">
            <v>DOD</v>
          </cell>
          <cell r="M2138" t="str">
            <v>US_State</v>
          </cell>
          <cell r="N2138" t="str">
            <v>US_State</v>
          </cell>
          <cell r="O2138">
            <v>43755</v>
          </cell>
          <cell r="P2138">
            <v>45582</v>
          </cell>
          <cell r="Q2138" t="str">
            <v>Minority</v>
          </cell>
          <cell r="R2138" t="str">
            <v>Cost Plus</v>
          </cell>
          <cell r="S2138">
            <v>1</v>
          </cell>
          <cell r="T2138">
            <v>0</v>
          </cell>
          <cell r="U2138" t="str">
            <v>EBITA</v>
          </cell>
          <cell r="V2138" t="str">
            <v>Identified - Recompete</v>
          </cell>
          <cell r="W2138" t="str">
            <v>04 Submitted</v>
          </cell>
          <cell r="X2138" t="str">
            <v>Priority 2</v>
          </cell>
          <cell r="Y2138">
            <v>0.3</v>
          </cell>
          <cell r="Z2138">
            <v>435966530.37</v>
          </cell>
          <cell r="AA2138">
            <v>0</v>
          </cell>
          <cell r="AB2138">
            <v>0</v>
          </cell>
          <cell r="AC2138">
            <v>0</v>
          </cell>
          <cell r="AD2138">
            <v>0</v>
          </cell>
          <cell r="BM2138">
            <v>0</v>
          </cell>
          <cell r="BN2138">
            <v>429781.82517666661</v>
          </cell>
          <cell r="BO2138">
            <v>451082.96519999998</v>
          </cell>
          <cell r="BP2138">
            <v>451082.96519999998</v>
          </cell>
          <cell r="BQ2138">
            <v>451082.96519999998</v>
          </cell>
          <cell r="BR2138">
            <v>1783030.7207766664</v>
          </cell>
          <cell r="BT2138">
            <v>43</v>
          </cell>
          <cell r="BV2138">
            <v>68</v>
          </cell>
          <cell r="BW2138">
            <v>87</v>
          </cell>
          <cell r="CA2138" t="str">
            <v>000107 - EBITA - Identified - Recompete</v>
          </cell>
          <cell r="CC2138" t="str">
            <v>000107 - EBITA - Identified - Recompete - IS4</v>
          </cell>
          <cell r="CD2138" t="str">
            <v/>
          </cell>
          <cell r="CF2138" t="str">
            <v>000107 - Identified - Recompete - IS4</v>
          </cell>
        </row>
        <row r="2139">
          <cell r="D2139">
            <v>54</v>
          </cell>
          <cell r="E2139">
            <v>0</v>
          </cell>
          <cell r="F2139">
            <v>0</v>
          </cell>
          <cell r="G2139" t="str">
            <v>000107</v>
          </cell>
          <cell r="H2139" t="str">
            <v>Equity JV- GLS</v>
          </cell>
          <cell r="I2139" t="str">
            <v>IS4</v>
          </cell>
          <cell r="J2139" t="str">
            <v>IS4 Global Mission Solutions</v>
          </cell>
          <cell r="K2139" t="str">
            <v>Army</v>
          </cell>
          <cell r="L2139" t="str">
            <v>DOD</v>
          </cell>
          <cell r="M2139" t="str">
            <v>US_State</v>
          </cell>
          <cell r="N2139" t="str">
            <v>US_State</v>
          </cell>
          <cell r="O2139">
            <v>0</v>
          </cell>
          <cell r="P2139">
            <v>0</v>
          </cell>
          <cell r="Q2139">
            <v>0</v>
          </cell>
          <cell r="R2139">
            <v>0</v>
          </cell>
          <cell r="S2139">
            <v>1</v>
          </cell>
          <cell r="T2139">
            <v>0</v>
          </cell>
          <cell r="U2139" t="str">
            <v>EBITA</v>
          </cell>
          <cell r="V2139" t="str">
            <v>Identified - New</v>
          </cell>
          <cell r="W2139">
            <v>0</v>
          </cell>
          <cell r="X2139">
            <v>0</v>
          </cell>
          <cell r="Y2139">
            <v>0</v>
          </cell>
          <cell r="Z2139">
            <v>0</v>
          </cell>
          <cell r="AA2139">
            <v>0</v>
          </cell>
          <cell r="AB2139">
            <v>0</v>
          </cell>
          <cell r="AC2139">
            <v>0</v>
          </cell>
          <cell r="AD2139">
            <v>0</v>
          </cell>
          <cell r="BM2139">
            <v>0</v>
          </cell>
          <cell r="BN2139">
            <v>0</v>
          </cell>
          <cell r="BO2139">
            <v>0</v>
          </cell>
          <cell r="BP2139">
            <v>0</v>
          </cell>
          <cell r="BQ2139">
            <v>0</v>
          </cell>
          <cell r="BR2139">
            <v>0</v>
          </cell>
          <cell r="BT2139">
            <v>43</v>
          </cell>
          <cell r="BV2139">
            <v>2</v>
          </cell>
          <cell r="BW2139">
            <v>87</v>
          </cell>
          <cell r="CA2139" t="str">
            <v>000107 - EBITA - Identified - New</v>
          </cell>
          <cell r="CC2139" t="str">
            <v>000107 - EBITA - Identified - New - IS4</v>
          </cell>
          <cell r="CD2139" t="str">
            <v/>
          </cell>
          <cell r="CF2139" t="str">
            <v>000107 - Identified - New - IS4</v>
          </cell>
        </row>
        <row r="2140">
          <cell r="D2140">
            <v>55</v>
          </cell>
          <cell r="E2140">
            <v>1</v>
          </cell>
          <cell r="F2140">
            <v>1</v>
          </cell>
          <cell r="G2140" t="str">
            <v>OPP-902466</v>
          </cell>
          <cell r="H2140" t="str">
            <v>DLITE II KOSOVO</v>
          </cell>
          <cell r="I2140" t="str">
            <v>IS4</v>
          </cell>
          <cell r="J2140" t="str">
            <v>IS4 Global Mission Solutions</v>
          </cell>
          <cell r="K2140" t="str">
            <v>Army</v>
          </cell>
          <cell r="L2140" t="str">
            <v>DOD</v>
          </cell>
          <cell r="M2140" t="str">
            <v>US_State</v>
          </cell>
          <cell r="N2140" t="str">
            <v>CONUS</v>
          </cell>
          <cell r="O2140">
            <v>0</v>
          </cell>
          <cell r="P2140">
            <v>0</v>
          </cell>
          <cell r="Q2140">
            <v>0</v>
          </cell>
          <cell r="R2140">
            <v>0</v>
          </cell>
          <cell r="S2140">
            <v>1</v>
          </cell>
          <cell r="T2140">
            <v>0</v>
          </cell>
          <cell r="U2140" t="str">
            <v>REVTOT</v>
          </cell>
          <cell r="V2140" t="str">
            <v>Base</v>
          </cell>
          <cell r="W2140">
            <v>0</v>
          </cell>
          <cell r="X2140">
            <v>0</v>
          </cell>
          <cell r="Y2140">
            <v>0</v>
          </cell>
          <cell r="Z2140">
            <v>0</v>
          </cell>
          <cell r="AA2140">
            <v>0</v>
          </cell>
          <cell r="AB2140">
            <v>0</v>
          </cell>
          <cell r="AC2140">
            <v>0</v>
          </cell>
          <cell r="AD2140">
            <v>0</v>
          </cell>
          <cell r="BF2140">
            <v>0</v>
          </cell>
          <cell r="BG2140">
            <v>0</v>
          </cell>
          <cell r="BH2140">
            <v>0</v>
          </cell>
          <cell r="BI2140">
            <v>0</v>
          </cell>
          <cell r="BJ2140">
            <v>0</v>
          </cell>
          <cell r="BK2140">
            <v>0</v>
          </cell>
          <cell r="BL2140">
            <v>0</v>
          </cell>
          <cell r="BM2140">
            <v>0</v>
          </cell>
          <cell r="BN2140">
            <v>0</v>
          </cell>
          <cell r="BO2140">
            <v>0</v>
          </cell>
          <cell r="BP2140">
            <v>0</v>
          </cell>
          <cell r="BQ2140">
            <v>0</v>
          </cell>
          <cell r="BR2140">
            <v>0</v>
          </cell>
          <cell r="BT2140">
            <v>0</v>
          </cell>
          <cell r="BV2140">
            <v>2</v>
          </cell>
          <cell r="BW2140">
            <v>60</v>
          </cell>
          <cell r="CA2140" t="str">
            <v>OPP-902466 - REVTOT - Base</v>
          </cell>
          <cell r="CC2140" t="str">
            <v>OPP-902466 - REVTOT - Base - IS4</v>
          </cell>
          <cell r="CD2140" t="str">
            <v/>
          </cell>
          <cell r="CF2140" t="str">
            <v>OPP-902466 - Base - IS4</v>
          </cell>
        </row>
        <row r="2141">
          <cell r="D2141">
            <v>56</v>
          </cell>
          <cell r="E2141">
            <v>1</v>
          </cell>
          <cell r="F2141">
            <v>2</v>
          </cell>
          <cell r="G2141" t="str">
            <v>OPP-902466</v>
          </cell>
          <cell r="H2141" t="str">
            <v>DLITE II KOSOVO</v>
          </cell>
          <cell r="I2141" t="str">
            <v>IS4</v>
          </cell>
          <cell r="J2141" t="str">
            <v>IS4 Global Mission Solutions</v>
          </cell>
          <cell r="K2141" t="str">
            <v>Army</v>
          </cell>
          <cell r="L2141" t="str">
            <v>DOD</v>
          </cell>
          <cell r="M2141" t="str">
            <v>US_State</v>
          </cell>
          <cell r="N2141" t="str">
            <v>US_State</v>
          </cell>
          <cell r="O2141">
            <v>0</v>
          </cell>
          <cell r="P2141">
            <v>0</v>
          </cell>
          <cell r="Q2141">
            <v>0</v>
          </cell>
          <cell r="R2141">
            <v>0</v>
          </cell>
          <cell r="S2141">
            <v>1</v>
          </cell>
          <cell r="T2141">
            <v>0</v>
          </cell>
          <cell r="U2141" t="str">
            <v>REVTOT</v>
          </cell>
          <cell r="V2141" t="str">
            <v>Identified - Recompete</v>
          </cell>
          <cell r="W2141">
            <v>0</v>
          </cell>
          <cell r="X2141">
            <v>0</v>
          </cell>
          <cell r="Y2141">
            <v>0</v>
          </cell>
          <cell r="Z2141">
            <v>0</v>
          </cell>
          <cell r="AA2141">
            <v>0</v>
          </cell>
          <cell r="AB2141">
            <v>0</v>
          </cell>
          <cell r="AC2141">
            <v>0</v>
          </cell>
          <cell r="AD2141">
            <v>0</v>
          </cell>
          <cell r="BM2141">
            <v>0</v>
          </cell>
          <cell r="BN2141">
            <v>0</v>
          </cell>
          <cell r="BO2141">
            <v>0</v>
          </cell>
          <cell r="BP2141">
            <v>0</v>
          </cell>
          <cell r="BQ2141">
            <v>0</v>
          </cell>
          <cell r="BR2141">
            <v>0</v>
          </cell>
          <cell r="BT2141">
            <v>0</v>
          </cell>
          <cell r="BV2141">
            <v>2</v>
          </cell>
          <cell r="BW2141">
            <v>60</v>
          </cell>
          <cell r="CA2141" t="str">
            <v>OPP-902466 - REVTOT - Identified - Recompete</v>
          </cell>
          <cell r="CC2141" t="str">
            <v>OPP-902466 - REVTOT - Identified - Recompete - IS4</v>
          </cell>
          <cell r="CD2141" t="str">
            <v/>
          </cell>
          <cell r="CF2141" t="str">
            <v>OPP-902466 - Identified - Recompete - IS4</v>
          </cell>
        </row>
        <row r="2142">
          <cell r="D2142">
            <v>57</v>
          </cell>
          <cell r="E2142">
            <v>1</v>
          </cell>
          <cell r="F2142">
            <v>3</v>
          </cell>
          <cell r="G2142" t="str">
            <v>OPP-902466</v>
          </cell>
          <cell r="H2142" t="str">
            <v>DLITE II KOSOVO</v>
          </cell>
          <cell r="I2142" t="str">
            <v>IS4</v>
          </cell>
          <cell r="J2142" t="str">
            <v>IS4 Global Mission Solutions</v>
          </cell>
          <cell r="K2142" t="str">
            <v>Army</v>
          </cell>
          <cell r="L2142" t="str">
            <v>DOD</v>
          </cell>
          <cell r="M2142" t="str">
            <v>US_State</v>
          </cell>
          <cell r="N2142" t="str">
            <v>US_State</v>
          </cell>
          <cell r="O2142">
            <v>43739</v>
          </cell>
          <cell r="P2142">
            <v>45566</v>
          </cell>
          <cell r="Q2142" t="str">
            <v>Minority</v>
          </cell>
          <cell r="R2142" t="str">
            <v>Fixed Price</v>
          </cell>
          <cell r="S2142">
            <v>1</v>
          </cell>
          <cell r="T2142">
            <v>0</v>
          </cell>
          <cell r="U2142" t="str">
            <v>REVTOT</v>
          </cell>
          <cell r="V2142" t="str">
            <v>Identified - New</v>
          </cell>
          <cell r="W2142" t="str">
            <v>03 Proposal</v>
          </cell>
          <cell r="X2142" t="str">
            <v>Priority 2</v>
          </cell>
          <cell r="Y2142">
            <v>0.3</v>
          </cell>
          <cell r="Z2142">
            <v>11140071.6</v>
          </cell>
          <cell r="AA2142">
            <v>0</v>
          </cell>
          <cell r="AB2142">
            <v>0</v>
          </cell>
          <cell r="AC2142">
            <v>0</v>
          </cell>
          <cell r="AD2142">
            <v>0</v>
          </cell>
          <cell r="BM2142">
            <v>0</v>
          </cell>
          <cell r="BN2142">
            <v>0</v>
          </cell>
          <cell r="BO2142">
            <v>0</v>
          </cell>
          <cell r="BP2142">
            <v>0</v>
          </cell>
          <cell r="BQ2142">
            <v>0</v>
          </cell>
          <cell r="BR2142">
            <v>0</v>
          </cell>
          <cell r="BT2142">
            <v>0</v>
          </cell>
          <cell r="BV2142">
            <v>72</v>
          </cell>
          <cell r="BW2142">
            <v>60</v>
          </cell>
          <cell r="CA2142" t="str">
            <v>OPP-902466 - REVTOT - Identified - New</v>
          </cell>
          <cell r="CC2142" t="str">
            <v>OPP-902466 - REVTOT - Identified - New - IS4</v>
          </cell>
          <cell r="CD2142" t="str">
            <v/>
          </cell>
          <cell r="CF2142" t="str">
            <v>OPP-902466 - Identified - New - IS4</v>
          </cell>
        </row>
        <row r="2143">
          <cell r="D2143">
            <v>58</v>
          </cell>
          <cell r="E2143">
            <v>2</v>
          </cell>
          <cell r="F2143">
            <v>4</v>
          </cell>
          <cell r="G2143" t="str">
            <v>OPP-902466</v>
          </cell>
          <cell r="H2143" t="str">
            <v>DLITE II KOSOVO</v>
          </cell>
          <cell r="I2143" t="str">
            <v>IS4</v>
          </cell>
          <cell r="J2143" t="str">
            <v>IS4 Global Mission Solutions</v>
          </cell>
          <cell r="K2143" t="str">
            <v>Army</v>
          </cell>
          <cell r="L2143" t="str">
            <v>DOD</v>
          </cell>
          <cell r="M2143" t="str">
            <v>US_State</v>
          </cell>
          <cell r="N2143" t="str">
            <v>US_State</v>
          </cell>
          <cell r="O2143">
            <v>0</v>
          </cell>
          <cell r="P2143">
            <v>0</v>
          </cell>
          <cell r="Q2143">
            <v>0</v>
          </cell>
          <cell r="R2143">
            <v>0</v>
          </cell>
          <cell r="S2143">
            <v>1</v>
          </cell>
          <cell r="T2143">
            <v>0</v>
          </cell>
          <cell r="U2143" t="str">
            <v>CONTRACT</v>
          </cell>
          <cell r="V2143" t="str">
            <v>Base</v>
          </cell>
          <cell r="W2143">
            <v>0</v>
          </cell>
          <cell r="X2143">
            <v>0</v>
          </cell>
          <cell r="Y2143">
            <v>0</v>
          </cell>
          <cell r="Z2143">
            <v>0</v>
          </cell>
          <cell r="AA2143">
            <v>0</v>
          </cell>
          <cell r="AB2143">
            <v>0</v>
          </cell>
          <cell r="AC2143">
            <v>0</v>
          </cell>
          <cell r="AD2143">
            <v>0</v>
          </cell>
          <cell r="BF2143">
            <v>0</v>
          </cell>
          <cell r="BG2143">
            <v>0</v>
          </cell>
          <cell r="BH2143">
            <v>0</v>
          </cell>
          <cell r="BI2143">
            <v>0</v>
          </cell>
          <cell r="BJ2143">
            <v>0</v>
          </cell>
          <cell r="BK2143">
            <v>0</v>
          </cell>
          <cell r="BL2143">
            <v>0</v>
          </cell>
          <cell r="BM2143">
            <v>0</v>
          </cell>
          <cell r="BN2143">
            <v>0</v>
          </cell>
          <cell r="BO2143">
            <v>0</v>
          </cell>
          <cell r="BP2143">
            <v>0</v>
          </cell>
          <cell r="BQ2143">
            <v>0</v>
          </cell>
          <cell r="BR2143">
            <v>0</v>
          </cell>
          <cell r="BT2143">
            <v>0</v>
          </cell>
          <cell r="BV2143">
            <v>2</v>
          </cell>
          <cell r="BW2143">
            <v>78</v>
          </cell>
          <cell r="CA2143" t="str">
            <v>OPP-902466 - CONTRACT - Base</v>
          </cell>
          <cell r="CC2143" t="str">
            <v>OPP-902466 - CONTRACT - Base - IS4 - 2</v>
          </cell>
          <cell r="CD2143" t="str">
            <v/>
          </cell>
          <cell r="CF2143" t="str">
            <v>OPP-902466 - Base - IS4</v>
          </cell>
        </row>
        <row r="2144">
          <cell r="D2144">
            <v>59</v>
          </cell>
          <cell r="E2144">
            <v>2</v>
          </cell>
          <cell r="F2144">
            <v>5</v>
          </cell>
          <cell r="G2144" t="str">
            <v>OPP-902466</v>
          </cell>
          <cell r="H2144" t="str">
            <v>DLITE II KOSOVO</v>
          </cell>
          <cell r="I2144" t="str">
            <v>IS4</v>
          </cell>
          <cell r="J2144" t="str">
            <v>IS4 Global Mission Solutions</v>
          </cell>
          <cell r="K2144" t="str">
            <v>Army</v>
          </cell>
          <cell r="L2144" t="str">
            <v>DOD</v>
          </cell>
          <cell r="M2144" t="str">
            <v>US_State</v>
          </cell>
          <cell r="N2144" t="str">
            <v>US_State</v>
          </cell>
          <cell r="O2144">
            <v>0</v>
          </cell>
          <cell r="P2144">
            <v>0</v>
          </cell>
          <cell r="Q2144">
            <v>0</v>
          </cell>
          <cell r="R2144">
            <v>0</v>
          </cell>
          <cell r="S2144">
            <v>1</v>
          </cell>
          <cell r="T2144">
            <v>0</v>
          </cell>
          <cell r="U2144" t="str">
            <v>CONTRACT</v>
          </cell>
          <cell r="V2144" t="str">
            <v>Identified - Recompete</v>
          </cell>
          <cell r="W2144">
            <v>0</v>
          </cell>
          <cell r="X2144">
            <v>0</v>
          </cell>
          <cell r="Y2144">
            <v>0</v>
          </cell>
          <cell r="Z2144">
            <v>0</v>
          </cell>
          <cell r="AA2144">
            <v>0</v>
          </cell>
          <cell r="AB2144">
            <v>0</v>
          </cell>
          <cell r="AC2144">
            <v>0</v>
          </cell>
          <cell r="AD2144">
            <v>0</v>
          </cell>
          <cell r="BM2144">
            <v>0</v>
          </cell>
          <cell r="BN2144">
            <v>0</v>
          </cell>
          <cell r="BO2144">
            <v>0</v>
          </cell>
          <cell r="BP2144">
            <v>0</v>
          </cell>
          <cell r="BQ2144">
            <v>0</v>
          </cell>
          <cell r="BR2144">
            <v>0</v>
          </cell>
          <cell r="BT2144">
            <v>0</v>
          </cell>
          <cell r="BV2144">
            <v>2</v>
          </cell>
          <cell r="BW2144">
            <v>78</v>
          </cell>
          <cell r="CA2144" t="str">
            <v>OPP-902466 - CONTRACT - Identified - Recompete</v>
          </cell>
          <cell r="CC2144" t="str">
            <v>OPP-902466 - CONTRACT - Identified - Recompete - IS4</v>
          </cell>
          <cell r="CD2144" t="str">
            <v/>
          </cell>
          <cell r="CF2144" t="str">
            <v>OPP-902466 - Identified - Recompete - IS4</v>
          </cell>
        </row>
        <row r="2145">
          <cell r="D2145">
            <v>60</v>
          </cell>
          <cell r="E2145">
            <v>2</v>
          </cell>
          <cell r="F2145">
            <v>6</v>
          </cell>
          <cell r="G2145" t="str">
            <v>OPP-902466</v>
          </cell>
          <cell r="H2145" t="str">
            <v>DLITE II KOSOVO</v>
          </cell>
          <cell r="I2145" t="str">
            <v>IS4</v>
          </cell>
          <cell r="J2145" t="str">
            <v>IS4 Global Mission Solutions</v>
          </cell>
          <cell r="K2145" t="str">
            <v>Army</v>
          </cell>
          <cell r="L2145" t="str">
            <v>DOD</v>
          </cell>
          <cell r="M2145" t="str">
            <v>US_State</v>
          </cell>
          <cell r="N2145" t="str">
            <v>US_State</v>
          </cell>
          <cell r="O2145">
            <v>43739</v>
          </cell>
          <cell r="P2145">
            <v>45566</v>
          </cell>
          <cell r="Q2145" t="str">
            <v>Minority</v>
          </cell>
          <cell r="R2145" t="str">
            <v>Fixed Price</v>
          </cell>
          <cell r="S2145">
            <v>1</v>
          </cell>
          <cell r="T2145">
            <v>0</v>
          </cell>
          <cell r="U2145" t="str">
            <v>CONTRACT</v>
          </cell>
          <cell r="V2145" t="str">
            <v>Identified - New</v>
          </cell>
          <cell r="W2145" t="str">
            <v>03 Proposal</v>
          </cell>
          <cell r="X2145" t="str">
            <v>Priority 2</v>
          </cell>
          <cell r="Y2145">
            <v>0.3</v>
          </cell>
          <cell r="Z2145">
            <v>11140071.6</v>
          </cell>
          <cell r="AA2145">
            <v>0</v>
          </cell>
          <cell r="AB2145">
            <v>0</v>
          </cell>
          <cell r="AC2145">
            <v>0</v>
          </cell>
          <cell r="AD2145">
            <v>0</v>
          </cell>
          <cell r="BM2145">
            <v>0</v>
          </cell>
          <cell r="BN2145">
            <v>0</v>
          </cell>
          <cell r="BO2145">
            <v>0</v>
          </cell>
          <cell r="BP2145">
            <v>0</v>
          </cell>
          <cell r="BQ2145">
            <v>0</v>
          </cell>
          <cell r="BR2145">
            <v>0</v>
          </cell>
          <cell r="BT2145">
            <v>0</v>
          </cell>
          <cell r="BV2145">
            <v>72</v>
          </cell>
          <cell r="BW2145">
            <v>78</v>
          </cell>
          <cell r="CA2145" t="str">
            <v>OPP-902466 - CONTRACT - Identified - New</v>
          </cell>
          <cell r="CC2145" t="str">
            <v>OPP-902466 - CONTRACT - Identified - New - IS4</v>
          </cell>
          <cell r="CD2145" t="str">
            <v/>
          </cell>
          <cell r="CF2145" t="str">
            <v>OPP-902466 - Identified - New - IS4</v>
          </cell>
        </row>
        <row r="2146">
          <cell r="D2146">
            <v>61</v>
          </cell>
          <cell r="E2146">
            <v>0</v>
          </cell>
          <cell r="F2146">
            <v>7</v>
          </cell>
          <cell r="G2146" t="str">
            <v>OPP-902466</v>
          </cell>
          <cell r="H2146" t="str">
            <v>DLITE II KOSOVO</v>
          </cell>
          <cell r="I2146" t="str">
            <v>IS4</v>
          </cell>
          <cell r="J2146" t="str">
            <v>IS4 Global Mission Solutions</v>
          </cell>
          <cell r="K2146" t="str">
            <v>Army</v>
          </cell>
          <cell r="L2146" t="str">
            <v>DOD</v>
          </cell>
          <cell r="M2146" t="str">
            <v>US_State</v>
          </cell>
          <cell r="N2146" t="str">
            <v>US_State</v>
          </cell>
          <cell r="O2146">
            <v>0</v>
          </cell>
          <cell r="P2146">
            <v>0</v>
          </cell>
          <cell r="Q2146">
            <v>0</v>
          </cell>
          <cell r="R2146">
            <v>0</v>
          </cell>
          <cell r="S2146">
            <v>1</v>
          </cell>
          <cell r="T2146">
            <v>0</v>
          </cell>
          <cell r="U2146" t="str">
            <v>EBITA</v>
          </cell>
          <cell r="V2146" t="str">
            <v>Base</v>
          </cell>
          <cell r="W2146">
            <v>0</v>
          </cell>
          <cell r="X2146">
            <v>0</v>
          </cell>
          <cell r="Y2146">
            <v>0</v>
          </cell>
          <cell r="Z2146">
            <v>0</v>
          </cell>
          <cell r="AA2146">
            <v>0</v>
          </cell>
          <cell r="AB2146">
            <v>0</v>
          </cell>
          <cell r="AC2146">
            <v>0</v>
          </cell>
          <cell r="AD2146">
            <v>0</v>
          </cell>
          <cell r="BF2146">
            <v>0</v>
          </cell>
          <cell r="BG2146">
            <v>0</v>
          </cell>
          <cell r="BH2146">
            <v>0</v>
          </cell>
          <cell r="BI2146">
            <v>0</v>
          </cell>
          <cell r="BJ2146">
            <v>0</v>
          </cell>
          <cell r="BK2146">
            <v>0</v>
          </cell>
          <cell r="BL2146">
            <v>0</v>
          </cell>
          <cell r="BM2146">
            <v>0</v>
          </cell>
          <cell r="BN2146">
            <v>0</v>
          </cell>
          <cell r="BO2146">
            <v>0</v>
          </cell>
          <cell r="BP2146">
            <v>0</v>
          </cell>
          <cell r="BQ2146">
            <v>0</v>
          </cell>
          <cell r="BR2146">
            <v>0</v>
          </cell>
          <cell r="BT2146">
            <v>0</v>
          </cell>
          <cell r="BV2146">
            <v>2</v>
          </cell>
          <cell r="BW2146">
            <v>87</v>
          </cell>
          <cell r="CA2146" t="str">
            <v>OPP-902466 - EBITA - Base</v>
          </cell>
          <cell r="CC2146" t="str">
            <v>OPP-902466 - EBITA - Base - IS4</v>
          </cell>
          <cell r="CD2146" t="str">
            <v/>
          </cell>
          <cell r="CF2146" t="str">
            <v>OPP-902466 - Base - IS4</v>
          </cell>
        </row>
        <row r="2147">
          <cell r="D2147">
            <v>62</v>
          </cell>
          <cell r="E2147">
            <v>0</v>
          </cell>
          <cell r="F2147">
            <v>8</v>
          </cell>
          <cell r="G2147" t="str">
            <v>OPP-902466</v>
          </cell>
          <cell r="H2147" t="str">
            <v>DLITE II KOSOVO</v>
          </cell>
          <cell r="I2147" t="str">
            <v>IS4</v>
          </cell>
          <cell r="J2147" t="str">
            <v>IS4 Global Mission Solutions</v>
          </cell>
          <cell r="K2147" t="str">
            <v>Army</v>
          </cell>
          <cell r="L2147" t="str">
            <v>DOD</v>
          </cell>
          <cell r="M2147" t="str">
            <v>US_State</v>
          </cell>
          <cell r="N2147" t="str">
            <v>US_State</v>
          </cell>
          <cell r="O2147">
            <v>0</v>
          </cell>
          <cell r="P2147">
            <v>0</v>
          </cell>
          <cell r="Q2147">
            <v>0</v>
          </cell>
          <cell r="R2147">
            <v>0</v>
          </cell>
          <cell r="S2147">
            <v>1</v>
          </cell>
          <cell r="T2147">
            <v>0</v>
          </cell>
          <cell r="U2147" t="str">
            <v>EBITA</v>
          </cell>
          <cell r="V2147" t="str">
            <v>Identified - Recompete</v>
          </cell>
          <cell r="W2147">
            <v>0</v>
          </cell>
          <cell r="X2147">
            <v>0</v>
          </cell>
          <cell r="Y2147">
            <v>0</v>
          </cell>
          <cell r="Z2147">
            <v>0</v>
          </cell>
          <cell r="AA2147">
            <v>0</v>
          </cell>
          <cell r="AB2147">
            <v>0</v>
          </cell>
          <cell r="AC2147">
            <v>0</v>
          </cell>
          <cell r="AD2147">
            <v>0</v>
          </cell>
          <cell r="BM2147">
            <v>0</v>
          </cell>
          <cell r="BN2147">
            <v>0</v>
          </cell>
          <cell r="BO2147">
            <v>0</v>
          </cell>
          <cell r="BP2147">
            <v>0</v>
          </cell>
          <cell r="BQ2147">
            <v>0</v>
          </cell>
          <cell r="BR2147">
            <v>0</v>
          </cell>
          <cell r="BT2147">
            <v>0</v>
          </cell>
          <cell r="BV2147">
            <v>2</v>
          </cell>
          <cell r="BW2147">
            <v>87</v>
          </cell>
          <cell r="CA2147" t="str">
            <v>OPP-902466 - EBITA - Identified - Recompete</v>
          </cell>
          <cell r="CC2147" t="str">
            <v>OPP-902466 - EBITA - Identified - Recompete - IS4</v>
          </cell>
          <cell r="CD2147" t="str">
            <v/>
          </cell>
          <cell r="CF2147" t="str">
            <v>OPP-902466 - Identified - Recompete - IS4</v>
          </cell>
        </row>
        <row r="2148">
          <cell r="D2148">
            <v>63</v>
          </cell>
          <cell r="E2148">
            <v>0</v>
          </cell>
          <cell r="F2148">
            <v>0</v>
          </cell>
          <cell r="G2148" t="str">
            <v>OPP-902466</v>
          </cell>
          <cell r="H2148" t="str">
            <v>DLITE II KOSOVO</v>
          </cell>
          <cell r="I2148" t="str">
            <v>IS4</v>
          </cell>
          <cell r="J2148" t="str">
            <v>IS4 Global Mission Solutions</v>
          </cell>
          <cell r="K2148" t="str">
            <v>Army</v>
          </cell>
          <cell r="L2148" t="str">
            <v>DOD</v>
          </cell>
          <cell r="M2148" t="str">
            <v>US_State</v>
          </cell>
          <cell r="N2148" t="str">
            <v>US_State</v>
          </cell>
          <cell r="O2148">
            <v>43739</v>
          </cell>
          <cell r="P2148">
            <v>45566</v>
          </cell>
          <cell r="Q2148" t="str">
            <v>Minority</v>
          </cell>
          <cell r="R2148" t="str">
            <v>Fixed Price</v>
          </cell>
          <cell r="S2148">
            <v>1</v>
          </cell>
          <cell r="T2148">
            <v>0</v>
          </cell>
          <cell r="U2148" t="str">
            <v>EBITA</v>
          </cell>
          <cell r="V2148" t="str">
            <v>Identified - New</v>
          </cell>
          <cell r="W2148" t="str">
            <v>03 Proposal</v>
          </cell>
          <cell r="X2148" t="str">
            <v>Priority 2</v>
          </cell>
          <cell r="Y2148">
            <v>0.3</v>
          </cell>
          <cell r="Z2148">
            <v>11140071.6</v>
          </cell>
          <cell r="AA2148">
            <v>0</v>
          </cell>
          <cell r="AB2148">
            <v>0</v>
          </cell>
          <cell r="AC2148">
            <v>0</v>
          </cell>
          <cell r="AD2148">
            <v>0</v>
          </cell>
          <cell r="BM2148">
            <v>0</v>
          </cell>
          <cell r="BN2148">
            <v>19996.428521999998</v>
          </cell>
          <cell r="BO2148">
            <v>20052.12888</v>
          </cell>
          <cell r="BP2148">
            <v>20052.12888</v>
          </cell>
          <cell r="BQ2148">
            <v>20052.12888</v>
          </cell>
          <cell r="BR2148">
            <v>80152.815161999999</v>
          </cell>
          <cell r="BT2148">
            <v>0</v>
          </cell>
          <cell r="BV2148">
            <v>72</v>
          </cell>
          <cell r="BW2148">
            <v>87</v>
          </cell>
          <cell r="CA2148" t="str">
            <v>OPP-902466 - EBITA - Identified - New</v>
          </cell>
          <cell r="CC2148" t="str">
            <v>OPP-902466 - EBITA - Identified - New - IS4</v>
          </cell>
          <cell r="CD2148" t="str">
            <v/>
          </cell>
          <cell r="CF2148" t="str">
            <v>OPP-902466 - Identified - New - IS4</v>
          </cell>
        </row>
        <row r="2149">
          <cell r="D2149">
            <v>64</v>
          </cell>
          <cell r="E2149">
            <v>1</v>
          </cell>
          <cell r="F2149">
            <v>1</v>
          </cell>
          <cell r="G2149" t="str">
            <v>OPP-902468</v>
          </cell>
          <cell r="H2149" t="str">
            <v>DLITE II NAVCENT</v>
          </cell>
          <cell r="I2149" t="str">
            <v>IS4</v>
          </cell>
          <cell r="J2149" t="str">
            <v>IS4 Global Mission Solutions</v>
          </cell>
          <cell r="K2149" t="str">
            <v>Army</v>
          </cell>
          <cell r="L2149" t="str">
            <v>DOD</v>
          </cell>
          <cell r="O2149">
            <v>0</v>
          </cell>
          <cell r="P2149">
            <v>0</v>
          </cell>
          <cell r="Q2149">
            <v>0</v>
          </cell>
          <cell r="R2149">
            <v>0</v>
          </cell>
          <cell r="S2149">
            <v>1</v>
          </cell>
          <cell r="T2149">
            <v>0</v>
          </cell>
          <cell r="U2149" t="str">
            <v>REVTOT</v>
          </cell>
          <cell r="V2149" t="str">
            <v>Base</v>
          </cell>
          <cell r="W2149">
            <v>0</v>
          </cell>
          <cell r="X2149">
            <v>0</v>
          </cell>
          <cell r="Y2149">
            <v>0</v>
          </cell>
          <cell r="Z2149">
            <v>0</v>
          </cell>
          <cell r="AA2149">
            <v>0</v>
          </cell>
          <cell r="AB2149">
            <v>0</v>
          </cell>
          <cell r="AC2149">
            <v>0</v>
          </cell>
          <cell r="AD2149">
            <v>0</v>
          </cell>
          <cell r="BF2149">
            <v>0</v>
          </cell>
          <cell r="BG2149">
            <v>0</v>
          </cell>
          <cell r="BH2149">
            <v>0</v>
          </cell>
          <cell r="BI2149">
            <v>0</v>
          </cell>
          <cell r="BJ2149">
            <v>0</v>
          </cell>
          <cell r="BK2149">
            <v>0</v>
          </cell>
          <cell r="BL2149">
            <v>0</v>
          </cell>
          <cell r="BM2149">
            <v>0</v>
          </cell>
          <cell r="BN2149">
            <v>0</v>
          </cell>
          <cell r="BO2149">
            <v>0</v>
          </cell>
          <cell r="BP2149">
            <v>0</v>
          </cell>
          <cell r="BQ2149">
            <v>0</v>
          </cell>
          <cell r="BR2149">
            <v>0</v>
          </cell>
          <cell r="BT2149">
            <v>0</v>
          </cell>
          <cell r="BV2149">
            <v>2</v>
          </cell>
          <cell r="BW2149">
            <v>60</v>
          </cell>
          <cell r="CA2149" t="str">
            <v>OPP-902468 - REVTOT - Base</v>
          </cell>
          <cell r="CC2149" t="str">
            <v>OPP-902468 - REVTOT - Base - IS4</v>
          </cell>
          <cell r="CD2149" t="str">
            <v/>
          </cell>
          <cell r="CF2149" t="str">
            <v>OPP-902468 - Base - IS4</v>
          </cell>
        </row>
        <row r="2150">
          <cell r="D2150">
            <v>65</v>
          </cell>
          <cell r="E2150">
            <v>1</v>
          </cell>
          <cell r="F2150">
            <v>2</v>
          </cell>
          <cell r="G2150" t="str">
            <v>OPP-902468</v>
          </cell>
          <cell r="H2150" t="str">
            <v>DLITE II NAVCENT</v>
          </cell>
          <cell r="I2150" t="str">
            <v>IS4</v>
          </cell>
          <cell r="J2150" t="str">
            <v>IS4 Global Mission Solutions</v>
          </cell>
          <cell r="K2150" t="str">
            <v>Army</v>
          </cell>
          <cell r="L2150" t="str">
            <v>DOD</v>
          </cell>
          <cell r="O2150">
            <v>0</v>
          </cell>
          <cell r="P2150">
            <v>0</v>
          </cell>
          <cell r="Q2150">
            <v>0</v>
          </cell>
          <cell r="R2150">
            <v>0</v>
          </cell>
          <cell r="S2150">
            <v>1</v>
          </cell>
          <cell r="T2150">
            <v>0</v>
          </cell>
          <cell r="U2150" t="str">
            <v>REVTOT</v>
          </cell>
          <cell r="V2150" t="str">
            <v>Identified - Recompete</v>
          </cell>
          <cell r="W2150">
            <v>0</v>
          </cell>
          <cell r="X2150">
            <v>0</v>
          </cell>
          <cell r="Y2150">
            <v>0</v>
          </cell>
          <cell r="Z2150">
            <v>0</v>
          </cell>
          <cell r="AA2150">
            <v>0</v>
          </cell>
          <cell r="AB2150">
            <v>0</v>
          </cell>
          <cell r="AC2150">
            <v>0</v>
          </cell>
          <cell r="AD2150">
            <v>0</v>
          </cell>
          <cell r="BM2150">
            <v>0</v>
          </cell>
          <cell r="BN2150">
            <v>0</v>
          </cell>
          <cell r="BO2150">
            <v>0</v>
          </cell>
          <cell r="BP2150">
            <v>0</v>
          </cell>
          <cell r="BQ2150">
            <v>0</v>
          </cell>
          <cell r="BR2150">
            <v>0</v>
          </cell>
          <cell r="BT2150">
            <v>0</v>
          </cell>
          <cell r="BV2150">
            <v>2</v>
          </cell>
          <cell r="BW2150">
            <v>60</v>
          </cell>
          <cell r="CA2150" t="str">
            <v>OPP-902468 - REVTOT - Identified - Recompete</v>
          </cell>
          <cell r="CC2150" t="str">
            <v>OPP-902468 - REVTOT - Identified - Recompete - IS4</v>
          </cell>
          <cell r="CD2150" t="str">
            <v/>
          </cell>
          <cell r="CF2150" t="str">
            <v>OPP-902468 - Identified - Recompete - IS4</v>
          </cell>
        </row>
        <row r="2151">
          <cell r="D2151">
            <v>66</v>
          </cell>
          <cell r="E2151">
            <v>1</v>
          </cell>
          <cell r="F2151">
            <v>3</v>
          </cell>
          <cell r="G2151" t="str">
            <v>OPP-902468</v>
          </cell>
          <cell r="H2151" t="str">
            <v>DLITE II NAVCENT</v>
          </cell>
          <cell r="I2151" t="str">
            <v>IS4</v>
          </cell>
          <cell r="J2151" t="str">
            <v>IS4 Global Mission Solutions</v>
          </cell>
          <cell r="K2151" t="str">
            <v>Army</v>
          </cell>
          <cell r="L2151" t="str">
            <v>DOD</v>
          </cell>
          <cell r="O2151">
            <v>43805</v>
          </cell>
          <cell r="P2151">
            <v>45632</v>
          </cell>
          <cell r="Q2151" t="str">
            <v>Minority</v>
          </cell>
          <cell r="R2151" t="str">
            <v>Cost Plus</v>
          </cell>
          <cell r="S2151">
            <v>1</v>
          </cell>
          <cell r="T2151">
            <v>0</v>
          </cell>
          <cell r="U2151" t="str">
            <v>REVTOT</v>
          </cell>
          <cell r="V2151" t="str">
            <v>Identified - New</v>
          </cell>
          <cell r="W2151" t="str">
            <v>02 Capture</v>
          </cell>
          <cell r="X2151" t="str">
            <v>Priority 2</v>
          </cell>
          <cell r="Y2151">
            <v>0.3</v>
          </cell>
          <cell r="Z2151">
            <v>19600000</v>
          </cell>
          <cell r="AA2151">
            <v>0</v>
          </cell>
          <cell r="AB2151">
            <v>0</v>
          </cell>
          <cell r="AC2151">
            <v>0</v>
          </cell>
          <cell r="AD2151">
            <v>0</v>
          </cell>
          <cell r="BM2151">
            <v>0</v>
          </cell>
          <cell r="BN2151">
            <v>0</v>
          </cell>
          <cell r="BO2151">
            <v>0</v>
          </cell>
          <cell r="BP2151">
            <v>0</v>
          </cell>
          <cell r="BQ2151">
            <v>0</v>
          </cell>
          <cell r="BR2151">
            <v>0</v>
          </cell>
          <cell r="BT2151">
            <v>0</v>
          </cell>
          <cell r="BV2151">
            <v>73</v>
          </cell>
          <cell r="BW2151">
            <v>60</v>
          </cell>
          <cell r="CA2151" t="str">
            <v>OPP-902468 - REVTOT - Identified - New</v>
          </cell>
          <cell r="CC2151" t="str">
            <v>OPP-902468 - REVTOT - Identified - New - IS4</v>
          </cell>
          <cell r="CD2151" t="str">
            <v/>
          </cell>
          <cell r="CF2151" t="str">
            <v>OPP-902468 - Identified - New - IS4</v>
          </cell>
        </row>
        <row r="2152">
          <cell r="D2152">
            <v>67</v>
          </cell>
          <cell r="E2152">
            <v>2</v>
          </cell>
          <cell r="F2152">
            <v>4</v>
          </cell>
          <cell r="G2152" t="str">
            <v>OPP-902468</v>
          </cell>
          <cell r="H2152" t="str">
            <v>DLITE II NAVCENT</v>
          </cell>
          <cell r="I2152" t="str">
            <v>IS4</v>
          </cell>
          <cell r="J2152" t="str">
            <v>IS4 Global Mission Solutions</v>
          </cell>
          <cell r="K2152" t="str">
            <v>Army</v>
          </cell>
          <cell r="L2152" t="str">
            <v>DOD</v>
          </cell>
          <cell r="O2152">
            <v>0</v>
          </cell>
          <cell r="P2152">
            <v>0</v>
          </cell>
          <cell r="Q2152">
            <v>0</v>
          </cell>
          <cell r="R2152">
            <v>0</v>
          </cell>
          <cell r="S2152">
            <v>1</v>
          </cell>
          <cell r="T2152">
            <v>0</v>
          </cell>
          <cell r="U2152" t="str">
            <v>CONTRACT</v>
          </cell>
          <cell r="V2152" t="str">
            <v>Base</v>
          </cell>
          <cell r="W2152">
            <v>0</v>
          </cell>
          <cell r="X2152">
            <v>0</v>
          </cell>
          <cell r="Y2152">
            <v>0</v>
          </cell>
          <cell r="Z2152">
            <v>0</v>
          </cell>
          <cell r="AA2152">
            <v>0</v>
          </cell>
          <cell r="AB2152">
            <v>0</v>
          </cell>
          <cell r="AC2152">
            <v>0</v>
          </cell>
          <cell r="AD2152">
            <v>0</v>
          </cell>
          <cell r="BF2152">
            <v>0</v>
          </cell>
          <cell r="BG2152">
            <v>0</v>
          </cell>
          <cell r="BH2152">
            <v>0</v>
          </cell>
          <cell r="BI2152">
            <v>0</v>
          </cell>
          <cell r="BJ2152">
            <v>0</v>
          </cell>
          <cell r="BK2152">
            <v>0</v>
          </cell>
          <cell r="BL2152">
            <v>0</v>
          </cell>
          <cell r="BM2152">
            <v>0</v>
          </cell>
          <cell r="BN2152">
            <v>0</v>
          </cell>
          <cell r="BO2152">
            <v>0</v>
          </cell>
          <cell r="BP2152">
            <v>0</v>
          </cell>
          <cell r="BQ2152">
            <v>0</v>
          </cell>
          <cell r="BR2152">
            <v>0</v>
          </cell>
          <cell r="BT2152">
            <v>0</v>
          </cell>
          <cell r="BV2152">
            <v>2</v>
          </cell>
          <cell r="BW2152">
            <v>78</v>
          </cell>
          <cell r="CA2152" t="str">
            <v>OPP-902468 - CONTRACT - Base</v>
          </cell>
          <cell r="CC2152" t="str">
            <v>OPP-902468 - CONTRACT - Base - IS4 - 2</v>
          </cell>
          <cell r="CD2152" t="str">
            <v/>
          </cell>
          <cell r="CF2152" t="str">
            <v>OPP-902468 - Base - IS4</v>
          </cell>
        </row>
        <row r="2153">
          <cell r="D2153">
            <v>68</v>
          </cell>
          <cell r="E2153">
            <v>2</v>
          </cell>
          <cell r="F2153">
            <v>5</v>
          </cell>
          <cell r="G2153" t="str">
            <v>OPP-902468</v>
          </cell>
          <cell r="H2153" t="str">
            <v>DLITE II NAVCENT</v>
          </cell>
          <cell r="I2153" t="str">
            <v>IS4</v>
          </cell>
          <cell r="J2153" t="str">
            <v>IS4 Global Mission Solutions</v>
          </cell>
          <cell r="K2153" t="str">
            <v>Army</v>
          </cell>
          <cell r="L2153" t="str">
            <v>DOD</v>
          </cell>
          <cell r="O2153">
            <v>0</v>
          </cell>
          <cell r="P2153">
            <v>0</v>
          </cell>
          <cell r="Q2153">
            <v>0</v>
          </cell>
          <cell r="R2153">
            <v>0</v>
          </cell>
          <cell r="S2153">
            <v>1</v>
          </cell>
          <cell r="T2153">
            <v>0</v>
          </cell>
          <cell r="U2153" t="str">
            <v>CONTRACT</v>
          </cell>
          <cell r="V2153" t="str">
            <v>Identified - Recompete</v>
          </cell>
          <cell r="W2153">
            <v>0</v>
          </cell>
          <cell r="X2153">
            <v>0</v>
          </cell>
          <cell r="Y2153">
            <v>0</v>
          </cell>
          <cell r="Z2153">
            <v>0</v>
          </cell>
          <cell r="AA2153">
            <v>0</v>
          </cell>
          <cell r="AB2153">
            <v>0</v>
          </cell>
          <cell r="AC2153">
            <v>0</v>
          </cell>
          <cell r="AD2153">
            <v>0</v>
          </cell>
          <cell r="BM2153">
            <v>0</v>
          </cell>
          <cell r="BN2153">
            <v>0</v>
          </cell>
          <cell r="BO2153">
            <v>0</v>
          </cell>
          <cell r="BP2153">
            <v>0</v>
          </cell>
          <cell r="BQ2153">
            <v>0</v>
          </cell>
          <cell r="BR2153">
            <v>0</v>
          </cell>
          <cell r="BT2153">
            <v>0</v>
          </cell>
          <cell r="BV2153">
            <v>2</v>
          </cell>
          <cell r="BW2153">
            <v>78</v>
          </cell>
          <cell r="CA2153" t="str">
            <v>OPP-902468 - CONTRACT - Identified - Recompete</v>
          </cell>
          <cell r="CC2153" t="str">
            <v>OPP-902468 - CONTRACT - Identified - Recompete - IS4</v>
          </cell>
          <cell r="CD2153" t="str">
            <v/>
          </cell>
          <cell r="CF2153" t="str">
            <v>OPP-902468 - Identified - Recompete - IS4</v>
          </cell>
        </row>
        <row r="2154">
          <cell r="D2154">
            <v>69</v>
          </cell>
          <cell r="E2154">
            <v>2</v>
          </cell>
          <cell r="F2154">
            <v>6</v>
          </cell>
          <cell r="G2154" t="str">
            <v>OPP-902468</v>
          </cell>
          <cell r="H2154" t="str">
            <v>DLITE II NAVCENT</v>
          </cell>
          <cell r="I2154" t="str">
            <v>IS4</v>
          </cell>
          <cell r="J2154" t="str">
            <v>IS4 Global Mission Solutions</v>
          </cell>
          <cell r="K2154" t="str">
            <v>Army</v>
          </cell>
          <cell r="L2154" t="str">
            <v>DOD</v>
          </cell>
          <cell r="O2154">
            <v>43805</v>
          </cell>
          <cell r="P2154">
            <v>45632</v>
          </cell>
          <cell r="Q2154" t="str">
            <v>Minority</v>
          </cell>
          <cell r="R2154" t="str">
            <v>Cost Plus</v>
          </cell>
          <cell r="S2154">
            <v>1</v>
          </cell>
          <cell r="T2154">
            <v>0</v>
          </cell>
          <cell r="U2154" t="str">
            <v>CONTRACT</v>
          </cell>
          <cell r="V2154" t="str">
            <v>Identified - New</v>
          </cell>
          <cell r="W2154" t="str">
            <v>02 Capture</v>
          </cell>
          <cell r="X2154" t="str">
            <v>Priority 2</v>
          </cell>
          <cell r="Y2154">
            <v>0.3</v>
          </cell>
          <cell r="Z2154">
            <v>19600000</v>
          </cell>
          <cell r="AA2154">
            <v>0</v>
          </cell>
          <cell r="AB2154">
            <v>0</v>
          </cell>
          <cell r="AC2154">
            <v>0</v>
          </cell>
          <cell r="AD2154">
            <v>0</v>
          </cell>
          <cell r="BM2154">
            <v>0</v>
          </cell>
          <cell r="BN2154">
            <v>0</v>
          </cell>
          <cell r="BO2154">
            <v>0</v>
          </cell>
          <cell r="BP2154">
            <v>0</v>
          </cell>
          <cell r="BQ2154">
            <v>0</v>
          </cell>
          <cell r="BR2154">
            <v>0</v>
          </cell>
          <cell r="BT2154">
            <v>0</v>
          </cell>
          <cell r="BV2154">
            <v>73</v>
          </cell>
          <cell r="BW2154">
            <v>78</v>
          </cell>
          <cell r="CA2154" t="str">
            <v>OPP-902468 - CONTRACT - Identified - New</v>
          </cell>
          <cell r="CC2154" t="str">
            <v>OPP-902468 - CONTRACT - Identified - New - IS4</v>
          </cell>
          <cell r="CD2154" t="str">
            <v/>
          </cell>
          <cell r="CF2154" t="str">
            <v>OPP-902468 - Identified - New - IS4</v>
          </cell>
        </row>
        <row r="2155">
          <cell r="D2155">
            <v>70</v>
          </cell>
          <cell r="E2155">
            <v>0</v>
          </cell>
          <cell r="F2155">
            <v>7</v>
          </cell>
          <cell r="G2155" t="str">
            <v>OPP-902468</v>
          </cell>
          <cell r="H2155" t="str">
            <v>DLITE II NAVCENT</v>
          </cell>
          <cell r="I2155" t="str">
            <v>IS4</v>
          </cell>
          <cell r="J2155" t="str">
            <v>IS4 Global Mission Solutions</v>
          </cell>
          <cell r="K2155" t="str">
            <v>Army</v>
          </cell>
          <cell r="L2155" t="str">
            <v>DOD</v>
          </cell>
          <cell r="O2155">
            <v>0</v>
          </cell>
          <cell r="P2155">
            <v>0</v>
          </cell>
          <cell r="Q2155">
            <v>0</v>
          </cell>
          <cell r="R2155">
            <v>0</v>
          </cell>
          <cell r="S2155">
            <v>1</v>
          </cell>
          <cell r="T2155">
            <v>0</v>
          </cell>
          <cell r="U2155" t="str">
            <v>EBITA</v>
          </cell>
          <cell r="V2155" t="str">
            <v>Base</v>
          </cell>
          <cell r="W2155">
            <v>0</v>
          </cell>
          <cell r="X2155">
            <v>0</v>
          </cell>
          <cell r="Y2155">
            <v>0</v>
          </cell>
          <cell r="Z2155">
            <v>0</v>
          </cell>
          <cell r="AA2155">
            <v>0</v>
          </cell>
          <cell r="AB2155">
            <v>0</v>
          </cell>
          <cell r="AC2155">
            <v>0</v>
          </cell>
          <cell r="AD2155">
            <v>0</v>
          </cell>
          <cell r="BF2155">
            <v>0</v>
          </cell>
          <cell r="BG2155">
            <v>0</v>
          </cell>
          <cell r="BH2155">
            <v>0</v>
          </cell>
          <cell r="BI2155">
            <v>0</v>
          </cell>
          <cell r="BJ2155">
            <v>0</v>
          </cell>
          <cell r="BK2155">
            <v>0</v>
          </cell>
          <cell r="BL2155">
            <v>0</v>
          </cell>
          <cell r="BM2155">
            <v>0</v>
          </cell>
          <cell r="BN2155">
            <v>0</v>
          </cell>
          <cell r="BO2155">
            <v>0</v>
          </cell>
          <cell r="BP2155">
            <v>0</v>
          </cell>
          <cell r="BQ2155">
            <v>0</v>
          </cell>
          <cell r="BR2155">
            <v>0</v>
          </cell>
          <cell r="BT2155">
            <v>0</v>
          </cell>
          <cell r="BV2155">
            <v>2</v>
          </cell>
          <cell r="BW2155">
            <v>87</v>
          </cell>
          <cell r="CA2155" t="str">
            <v>OPP-902468 - EBITA - Base</v>
          </cell>
          <cell r="CC2155" t="str">
            <v>OPP-902468 - EBITA - Base - IS4</v>
          </cell>
          <cell r="CD2155" t="str">
            <v/>
          </cell>
          <cell r="CF2155" t="str">
            <v>OPP-902468 - Base - IS4</v>
          </cell>
        </row>
        <row r="2156">
          <cell r="D2156">
            <v>71</v>
          </cell>
          <cell r="E2156">
            <v>0</v>
          </cell>
          <cell r="F2156">
            <v>8</v>
          </cell>
          <cell r="G2156" t="str">
            <v>OPP-902468</v>
          </cell>
          <cell r="H2156" t="str">
            <v>DLITE II NAVCENT</v>
          </cell>
          <cell r="I2156" t="str">
            <v>IS4</v>
          </cell>
          <cell r="J2156" t="str">
            <v>IS4 Global Mission Solutions</v>
          </cell>
          <cell r="K2156" t="str">
            <v>Army</v>
          </cell>
          <cell r="L2156" t="str">
            <v>DOD</v>
          </cell>
          <cell r="O2156">
            <v>0</v>
          </cell>
          <cell r="P2156">
            <v>0</v>
          </cell>
          <cell r="Q2156">
            <v>0</v>
          </cell>
          <cell r="R2156">
            <v>0</v>
          </cell>
          <cell r="S2156">
            <v>1</v>
          </cell>
          <cell r="T2156">
            <v>0</v>
          </cell>
          <cell r="U2156" t="str">
            <v>EBITA</v>
          </cell>
          <cell r="V2156" t="str">
            <v>Identified - Recompete</v>
          </cell>
          <cell r="W2156">
            <v>0</v>
          </cell>
          <cell r="X2156">
            <v>0</v>
          </cell>
          <cell r="Y2156">
            <v>0</v>
          </cell>
          <cell r="Z2156">
            <v>0</v>
          </cell>
          <cell r="AA2156">
            <v>0</v>
          </cell>
          <cell r="AB2156">
            <v>0</v>
          </cell>
          <cell r="AC2156">
            <v>0</v>
          </cell>
          <cell r="AD2156">
            <v>0</v>
          </cell>
          <cell r="BM2156">
            <v>0</v>
          </cell>
          <cell r="BN2156">
            <v>0</v>
          </cell>
          <cell r="BO2156">
            <v>0</v>
          </cell>
          <cell r="BP2156">
            <v>0</v>
          </cell>
          <cell r="BQ2156">
            <v>0</v>
          </cell>
          <cell r="BR2156">
            <v>0</v>
          </cell>
          <cell r="BT2156">
            <v>0</v>
          </cell>
          <cell r="BV2156">
            <v>2</v>
          </cell>
          <cell r="BW2156">
            <v>87</v>
          </cell>
          <cell r="CA2156" t="str">
            <v>OPP-902468 - EBITA - Identified - Recompete</v>
          </cell>
          <cell r="CC2156" t="str">
            <v>OPP-902468 - EBITA - Identified - Recompete - IS4</v>
          </cell>
          <cell r="CD2156" t="str">
            <v/>
          </cell>
          <cell r="CF2156" t="str">
            <v>OPP-902468 - Identified - Recompete - IS4</v>
          </cell>
        </row>
        <row r="2157">
          <cell r="D2157">
            <v>72</v>
          </cell>
          <cell r="E2157">
            <v>0</v>
          </cell>
          <cell r="F2157">
            <v>0</v>
          </cell>
          <cell r="G2157" t="str">
            <v>OPP-902468</v>
          </cell>
          <cell r="H2157" t="str">
            <v>DLITE II NAVCENT</v>
          </cell>
          <cell r="I2157" t="str">
            <v>IS4</v>
          </cell>
          <cell r="J2157" t="str">
            <v>IS4 Global Mission Solutions</v>
          </cell>
          <cell r="K2157" t="str">
            <v>Army</v>
          </cell>
          <cell r="L2157" t="str">
            <v>DOD</v>
          </cell>
          <cell r="O2157">
            <v>43805</v>
          </cell>
          <cell r="P2157">
            <v>45632</v>
          </cell>
          <cell r="Q2157" t="str">
            <v>Minority</v>
          </cell>
          <cell r="R2157" t="str">
            <v>Cost Plus</v>
          </cell>
          <cell r="S2157">
            <v>1</v>
          </cell>
          <cell r="T2157">
            <v>0</v>
          </cell>
          <cell r="U2157" t="str">
            <v>EBITA</v>
          </cell>
          <cell r="V2157" t="str">
            <v>Identified - New</v>
          </cell>
          <cell r="W2157" t="str">
            <v>02 Capture</v>
          </cell>
          <cell r="X2157" t="str">
            <v>Priority 2</v>
          </cell>
          <cell r="Y2157">
            <v>0.3</v>
          </cell>
          <cell r="Z2157">
            <v>19600000</v>
          </cell>
          <cell r="AA2157">
            <v>0</v>
          </cell>
          <cell r="AB2157">
            <v>0</v>
          </cell>
          <cell r="AC2157">
            <v>0</v>
          </cell>
          <cell r="AD2157">
            <v>0</v>
          </cell>
          <cell r="BM2157">
            <v>0</v>
          </cell>
          <cell r="BN2157">
            <v>28812</v>
          </cell>
          <cell r="BO2157">
            <v>35280</v>
          </cell>
          <cell r="BP2157">
            <v>35280</v>
          </cell>
          <cell r="BQ2157">
            <v>35280</v>
          </cell>
          <cell r="BR2157">
            <v>134652</v>
          </cell>
          <cell r="BT2157">
            <v>0</v>
          </cell>
          <cell r="BV2157">
            <v>73</v>
          </cell>
          <cell r="BW2157">
            <v>87</v>
          </cell>
          <cell r="CA2157" t="str">
            <v>OPP-902468 - EBITA - Identified - New</v>
          </cell>
          <cell r="CC2157" t="str">
            <v>OPP-902468 - EBITA - Identified - New - IS4</v>
          </cell>
          <cell r="CD2157" t="str">
            <v/>
          </cell>
          <cell r="CF2157" t="str">
            <v>OPP-902468 - Identified - New - IS4</v>
          </cell>
        </row>
        <row r="2158">
          <cell r="D2158">
            <v>73</v>
          </cell>
          <cell r="E2158">
            <v>1</v>
          </cell>
          <cell r="F2158">
            <v>1</v>
          </cell>
          <cell r="G2158" t="str">
            <v>OPP-817075</v>
          </cell>
          <cell r="H2158" t="str">
            <v>DLITE II AFRICOM III</v>
          </cell>
          <cell r="I2158" t="str">
            <v>IS4</v>
          </cell>
          <cell r="J2158" t="str">
            <v>IS4 Global Mission Solutions</v>
          </cell>
          <cell r="K2158" t="str">
            <v>Army</v>
          </cell>
          <cell r="L2158" t="str">
            <v>DOD</v>
          </cell>
          <cell r="O2158">
            <v>0</v>
          </cell>
          <cell r="P2158">
            <v>0</v>
          </cell>
          <cell r="Q2158">
            <v>0</v>
          </cell>
          <cell r="R2158">
            <v>0</v>
          </cell>
          <cell r="S2158">
            <v>1</v>
          </cell>
          <cell r="T2158">
            <v>0</v>
          </cell>
          <cell r="U2158" t="str">
            <v>REVTOT</v>
          </cell>
          <cell r="V2158" t="str">
            <v>Base</v>
          </cell>
          <cell r="W2158">
            <v>0</v>
          </cell>
          <cell r="X2158">
            <v>0</v>
          </cell>
          <cell r="Y2158">
            <v>0</v>
          </cell>
          <cell r="Z2158">
            <v>0</v>
          </cell>
          <cell r="AA2158">
            <v>0</v>
          </cell>
          <cell r="AB2158">
            <v>0</v>
          </cell>
          <cell r="AC2158">
            <v>0</v>
          </cell>
          <cell r="AD2158">
            <v>0</v>
          </cell>
          <cell r="BF2158">
            <v>0</v>
          </cell>
          <cell r="BG2158">
            <v>0</v>
          </cell>
          <cell r="BH2158">
            <v>0</v>
          </cell>
          <cell r="BI2158">
            <v>0</v>
          </cell>
          <cell r="BJ2158">
            <v>0</v>
          </cell>
          <cell r="BK2158">
            <v>0</v>
          </cell>
          <cell r="BL2158">
            <v>0</v>
          </cell>
          <cell r="BM2158">
            <v>0</v>
          </cell>
          <cell r="BN2158">
            <v>0</v>
          </cell>
          <cell r="BO2158">
            <v>0</v>
          </cell>
          <cell r="BP2158">
            <v>0</v>
          </cell>
          <cell r="BQ2158">
            <v>0</v>
          </cell>
          <cell r="BR2158">
            <v>0</v>
          </cell>
          <cell r="BT2158">
            <v>0</v>
          </cell>
          <cell r="BV2158">
            <v>2</v>
          </cell>
          <cell r="BW2158">
            <v>60</v>
          </cell>
          <cell r="CA2158" t="str">
            <v>OPP-817075 - REVTOT - Base</v>
          </cell>
          <cell r="CC2158" t="str">
            <v>OPP-817075 - REVTOT - Base - IS4</v>
          </cell>
          <cell r="CD2158" t="str">
            <v/>
          </cell>
          <cell r="CF2158" t="str">
            <v>OPP-817075 - Base - IS4</v>
          </cell>
        </row>
        <row r="2159">
          <cell r="D2159">
            <v>74</v>
          </cell>
          <cell r="E2159">
            <v>1</v>
          </cell>
          <cell r="F2159">
            <v>2</v>
          </cell>
          <cell r="G2159" t="str">
            <v>OPP-817075</v>
          </cell>
          <cell r="H2159" t="str">
            <v>DLITE II AFRICOM III</v>
          </cell>
          <cell r="I2159" t="str">
            <v>IS4</v>
          </cell>
          <cell r="J2159" t="str">
            <v>IS4 Global Mission Solutions</v>
          </cell>
          <cell r="K2159" t="str">
            <v>Army</v>
          </cell>
          <cell r="L2159" t="str">
            <v>DOD</v>
          </cell>
          <cell r="O2159">
            <v>0</v>
          </cell>
          <cell r="P2159">
            <v>0</v>
          </cell>
          <cell r="Q2159">
            <v>0</v>
          </cell>
          <cell r="R2159">
            <v>0</v>
          </cell>
          <cell r="S2159">
            <v>1</v>
          </cell>
          <cell r="T2159">
            <v>0</v>
          </cell>
          <cell r="U2159" t="str">
            <v>REVTOT</v>
          </cell>
          <cell r="V2159" t="str">
            <v>Identified - Recompete</v>
          </cell>
          <cell r="W2159">
            <v>0</v>
          </cell>
          <cell r="X2159">
            <v>0</v>
          </cell>
          <cell r="Y2159">
            <v>0</v>
          </cell>
          <cell r="Z2159">
            <v>0</v>
          </cell>
          <cell r="AA2159">
            <v>0</v>
          </cell>
          <cell r="AB2159">
            <v>0</v>
          </cell>
          <cell r="AC2159">
            <v>0</v>
          </cell>
          <cell r="AD2159">
            <v>0</v>
          </cell>
          <cell r="BM2159">
            <v>0</v>
          </cell>
          <cell r="BN2159">
            <v>0</v>
          </cell>
          <cell r="BO2159">
            <v>0</v>
          </cell>
          <cell r="BP2159">
            <v>0</v>
          </cell>
          <cell r="BQ2159">
            <v>0</v>
          </cell>
          <cell r="BR2159">
            <v>0</v>
          </cell>
          <cell r="BT2159">
            <v>0</v>
          </cell>
          <cell r="BV2159">
            <v>2</v>
          </cell>
          <cell r="BW2159">
            <v>60</v>
          </cell>
          <cell r="CA2159" t="str">
            <v>OPP-817075 - REVTOT - Identified - Recompete</v>
          </cell>
          <cell r="CC2159" t="str">
            <v>OPP-817075 - REVTOT - Identified - Recompete - IS4</v>
          </cell>
          <cell r="CD2159" t="str">
            <v/>
          </cell>
          <cell r="CF2159" t="str">
            <v>OPP-817075 - Identified - Recompete - IS4</v>
          </cell>
        </row>
        <row r="2160">
          <cell r="D2160">
            <v>75</v>
          </cell>
          <cell r="E2160">
            <v>1</v>
          </cell>
          <cell r="F2160">
            <v>3</v>
          </cell>
          <cell r="G2160" t="str">
            <v>OPP-817075</v>
          </cell>
          <cell r="H2160" t="str">
            <v>DLITE II AFRICOM III</v>
          </cell>
          <cell r="I2160" t="str">
            <v>IS4</v>
          </cell>
          <cell r="J2160" t="str">
            <v>IS4 Global Mission Solutions</v>
          </cell>
          <cell r="K2160" t="str">
            <v>Army</v>
          </cell>
          <cell r="L2160" t="str">
            <v>DOD</v>
          </cell>
          <cell r="O2160">
            <v>43818</v>
          </cell>
          <cell r="P2160">
            <v>45645</v>
          </cell>
          <cell r="Q2160" t="str">
            <v>Minority</v>
          </cell>
          <cell r="R2160" t="str">
            <v>Cost Plus</v>
          </cell>
          <cell r="S2160">
            <v>1</v>
          </cell>
          <cell r="T2160">
            <v>0</v>
          </cell>
          <cell r="U2160" t="str">
            <v>REVTOT</v>
          </cell>
          <cell r="V2160" t="str">
            <v>Identified - New</v>
          </cell>
          <cell r="W2160" t="str">
            <v>02 Capture</v>
          </cell>
          <cell r="X2160" t="str">
            <v>Priority 2</v>
          </cell>
          <cell r="Y2160">
            <v>0.2</v>
          </cell>
          <cell r="Z2160">
            <v>21070000</v>
          </cell>
          <cell r="AA2160">
            <v>0</v>
          </cell>
          <cell r="AB2160">
            <v>0</v>
          </cell>
          <cell r="AC2160">
            <v>0</v>
          </cell>
          <cell r="AD2160">
            <v>0</v>
          </cell>
          <cell r="BM2160">
            <v>0</v>
          </cell>
          <cell r="BN2160">
            <v>0</v>
          </cell>
          <cell r="BO2160">
            <v>0</v>
          </cell>
          <cell r="BP2160">
            <v>0</v>
          </cell>
          <cell r="BQ2160">
            <v>0</v>
          </cell>
          <cell r="BR2160">
            <v>0</v>
          </cell>
          <cell r="BT2160">
            <v>0</v>
          </cell>
          <cell r="BV2160">
            <v>74</v>
          </cell>
          <cell r="BW2160">
            <v>60</v>
          </cell>
          <cell r="CA2160" t="str">
            <v>OPP-817075 - REVTOT - Identified - New</v>
          </cell>
          <cell r="CC2160" t="str">
            <v>OPP-817075 - REVTOT - Identified - New - IS4</v>
          </cell>
          <cell r="CD2160" t="str">
            <v/>
          </cell>
          <cell r="CF2160" t="str">
            <v>OPP-817075 - Identified - New - IS4</v>
          </cell>
        </row>
        <row r="2161">
          <cell r="D2161">
            <v>76</v>
          </cell>
          <cell r="E2161">
            <v>2</v>
          </cell>
          <cell r="F2161">
            <v>4</v>
          </cell>
          <cell r="G2161" t="str">
            <v>OPP-817075</v>
          </cell>
          <cell r="H2161" t="str">
            <v>DLITE II AFRICOM III</v>
          </cell>
          <cell r="I2161" t="str">
            <v>IS4</v>
          </cell>
          <cell r="J2161" t="str">
            <v>IS4 Global Mission Solutions</v>
          </cell>
          <cell r="K2161" t="str">
            <v>Army</v>
          </cell>
          <cell r="L2161" t="str">
            <v>DOD</v>
          </cell>
          <cell r="O2161">
            <v>0</v>
          </cell>
          <cell r="P2161">
            <v>0</v>
          </cell>
          <cell r="Q2161">
            <v>0</v>
          </cell>
          <cell r="R2161">
            <v>0</v>
          </cell>
          <cell r="S2161">
            <v>1</v>
          </cell>
          <cell r="T2161">
            <v>0</v>
          </cell>
          <cell r="U2161" t="str">
            <v>CONTRACT</v>
          </cell>
          <cell r="V2161" t="str">
            <v>Base</v>
          </cell>
          <cell r="W2161">
            <v>0</v>
          </cell>
          <cell r="X2161">
            <v>0</v>
          </cell>
          <cell r="Y2161">
            <v>0</v>
          </cell>
          <cell r="Z2161">
            <v>0</v>
          </cell>
          <cell r="AA2161">
            <v>0</v>
          </cell>
          <cell r="AB2161">
            <v>0</v>
          </cell>
          <cell r="AC2161">
            <v>0</v>
          </cell>
          <cell r="AD2161">
            <v>0</v>
          </cell>
          <cell r="BF2161">
            <v>0</v>
          </cell>
          <cell r="BG2161">
            <v>0</v>
          </cell>
          <cell r="BH2161">
            <v>0</v>
          </cell>
          <cell r="BI2161">
            <v>0</v>
          </cell>
          <cell r="BJ2161">
            <v>0</v>
          </cell>
          <cell r="BK2161">
            <v>0</v>
          </cell>
          <cell r="BL2161">
            <v>0</v>
          </cell>
          <cell r="BM2161">
            <v>0</v>
          </cell>
          <cell r="BN2161">
            <v>0</v>
          </cell>
          <cell r="BO2161">
            <v>0</v>
          </cell>
          <cell r="BP2161">
            <v>0</v>
          </cell>
          <cell r="BQ2161">
            <v>0</v>
          </cell>
          <cell r="BR2161">
            <v>0</v>
          </cell>
          <cell r="BT2161">
            <v>0</v>
          </cell>
          <cell r="BV2161">
            <v>2</v>
          </cell>
          <cell r="BW2161">
            <v>78</v>
          </cell>
          <cell r="CA2161" t="str">
            <v>OPP-817075 - CONTRACT - Base</v>
          </cell>
          <cell r="CC2161" t="str">
            <v>OPP-817075 - CONTRACT - Base - IS4 - 2</v>
          </cell>
          <cell r="CD2161" t="str">
            <v/>
          </cell>
          <cell r="CF2161" t="str">
            <v>OPP-817075 - Base - IS4</v>
          </cell>
        </row>
        <row r="2162">
          <cell r="D2162">
            <v>77</v>
          </cell>
          <cell r="E2162">
            <v>2</v>
          </cell>
          <cell r="F2162">
            <v>5</v>
          </cell>
          <cell r="G2162" t="str">
            <v>OPP-817075</v>
          </cell>
          <cell r="H2162" t="str">
            <v>DLITE II AFRICOM III</v>
          </cell>
          <cell r="I2162" t="str">
            <v>IS4</v>
          </cell>
          <cell r="J2162" t="str">
            <v>IS4 Global Mission Solutions</v>
          </cell>
          <cell r="K2162" t="str">
            <v>Army</v>
          </cell>
          <cell r="L2162" t="str">
            <v>DOD</v>
          </cell>
          <cell r="O2162">
            <v>0</v>
          </cell>
          <cell r="P2162">
            <v>0</v>
          </cell>
          <cell r="Q2162">
            <v>0</v>
          </cell>
          <cell r="R2162">
            <v>0</v>
          </cell>
          <cell r="S2162">
            <v>1</v>
          </cell>
          <cell r="T2162">
            <v>0</v>
          </cell>
          <cell r="U2162" t="str">
            <v>CONTRACT</v>
          </cell>
          <cell r="V2162" t="str">
            <v>Identified - Recompete</v>
          </cell>
          <cell r="W2162">
            <v>0</v>
          </cell>
          <cell r="X2162">
            <v>0</v>
          </cell>
          <cell r="Y2162">
            <v>0</v>
          </cell>
          <cell r="Z2162">
            <v>0</v>
          </cell>
          <cell r="AA2162">
            <v>0</v>
          </cell>
          <cell r="AB2162">
            <v>0</v>
          </cell>
          <cell r="AC2162">
            <v>0</v>
          </cell>
          <cell r="AD2162">
            <v>0</v>
          </cell>
          <cell r="BM2162">
            <v>0</v>
          </cell>
          <cell r="BN2162">
            <v>0</v>
          </cell>
          <cell r="BO2162">
            <v>0</v>
          </cell>
          <cell r="BP2162">
            <v>0</v>
          </cell>
          <cell r="BQ2162">
            <v>0</v>
          </cell>
          <cell r="BR2162">
            <v>0</v>
          </cell>
          <cell r="BT2162">
            <v>0</v>
          </cell>
          <cell r="BV2162">
            <v>2</v>
          </cell>
          <cell r="BW2162">
            <v>78</v>
          </cell>
          <cell r="CA2162" t="str">
            <v>OPP-817075 - CONTRACT - Identified - Recompete</v>
          </cell>
          <cell r="CC2162" t="str">
            <v>OPP-817075 - CONTRACT - Identified - Recompete - IS4</v>
          </cell>
          <cell r="CD2162" t="str">
            <v/>
          </cell>
          <cell r="CF2162" t="str">
            <v>OPP-817075 - Identified - Recompete - IS4</v>
          </cell>
        </row>
        <row r="2163">
          <cell r="D2163">
            <v>78</v>
          </cell>
          <cell r="E2163">
            <v>2</v>
          </cell>
          <cell r="F2163">
            <v>6</v>
          </cell>
          <cell r="G2163" t="str">
            <v>OPP-817075</v>
          </cell>
          <cell r="H2163" t="str">
            <v>DLITE II AFRICOM III</v>
          </cell>
          <cell r="I2163" t="str">
            <v>IS4</v>
          </cell>
          <cell r="J2163" t="str">
            <v>IS4 Global Mission Solutions</v>
          </cell>
          <cell r="K2163" t="str">
            <v>Army</v>
          </cell>
          <cell r="L2163" t="str">
            <v>DOD</v>
          </cell>
          <cell r="O2163">
            <v>43818</v>
          </cell>
          <cell r="P2163">
            <v>45645</v>
          </cell>
          <cell r="Q2163" t="str">
            <v>Minority</v>
          </cell>
          <cell r="R2163" t="str">
            <v>Cost Plus</v>
          </cell>
          <cell r="S2163">
            <v>1</v>
          </cell>
          <cell r="T2163">
            <v>0</v>
          </cell>
          <cell r="U2163" t="str">
            <v>CONTRACT</v>
          </cell>
          <cell r="V2163" t="str">
            <v>Identified - New</v>
          </cell>
          <cell r="W2163" t="str">
            <v>02 Capture</v>
          </cell>
          <cell r="X2163" t="str">
            <v>Priority 2</v>
          </cell>
          <cell r="Y2163">
            <v>0.2</v>
          </cell>
          <cell r="Z2163">
            <v>21070000</v>
          </cell>
          <cell r="AA2163">
            <v>0</v>
          </cell>
          <cell r="AB2163">
            <v>0</v>
          </cell>
          <cell r="AC2163">
            <v>0</v>
          </cell>
          <cell r="AD2163">
            <v>0</v>
          </cell>
          <cell r="BM2163">
            <v>0</v>
          </cell>
          <cell r="BN2163">
            <v>0</v>
          </cell>
          <cell r="BO2163">
            <v>0</v>
          </cell>
          <cell r="BP2163">
            <v>0</v>
          </cell>
          <cell r="BQ2163">
            <v>0</v>
          </cell>
          <cell r="BR2163">
            <v>0</v>
          </cell>
          <cell r="BT2163">
            <v>0</v>
          </cell>
          <cell r="BV2163">
            <v>74</v>
          </cell>
          <cell r="BW2163">
            <v>78</v>
          </cell>
          <cell r="CA2163" t="str">
            <v>OPP-817075 - CONTRACT - Identified - New</v>
          </cell>
          <cell r="CC2163" t="str">
            <v>OPP-817075 - CONTRACT - Identified - New - IS4</v>
          </cell>
          <cell r="CD2163" t="str">
            <v/>
          </cell>
          <cell r="CF2163" t="str">
            <v>OPP-817075 - Identified - New - IS4</v>
          </cell>
        </row>
        <row r="2164">
          <cell r="D2164">
            <v>79</v>
          </cell>
          <cell r="E2164">
            <v>0</v>
          </cell>
          <cell r="F2164">
            <v>7</v>
          </cell>
          <cell r="G2164" t="str">
            <v>OPP-817075</v>
          </cell>
          <cell r="H2164" t="str">
            <v>DLITE II AFRICOM III</v>
          </cell>
          <cell r="I2164" t="str">
            <v>IS4</v>
          </cell>
          <cell r="J2164" t="str">
            <v>IS4 Global Mission Solutions</v>
          </cell>
          <cell r="K2164" t="str">
            <v>Army</v>
          </cell>
          <cell r="L2164" t="str">
            <v>DOD</v>
          </cell>
          <cell r="O2164">
            <v>0</v>
          </cell>
          <cell r="P2164">
            <v>0</v>
          </cell>
          <cell r="Q2164">
            <v>0</v>
          </cell>
          <cell r="R2164">
            <v>0</v>
          </cell>
          <cell r="S2164">
            <v>1</v>
          </cell>
          <cell r="T2164">
            <v>0</v>
          </cell>
          <cell r="U2164" t="str">
            <v>EBITA</v>
          </cell>
          <cell r="V2164" t="str">
            <v>Base</v>
          </cell>
          <cell r="W2164">
            <v>0</v>
          </cell>
          <cell r="X2164">
            <v>0</v>
          </cell>
          <cell r="Y2164">
            <v>0</v>
          </cell>
          <cell r="Z2164">
            <v>0</v>
          </cell>
          <cell r="AA2164">
            <v>0</v>
          </cell>
          <cell r="AB2164">
            <v>0</v>
          </cell>
          <cell r="AC2164">
            <v>0</v>
          </cell>
          <cell r="AD2164">
            <v>0</v>
          </cell>
          <cell r="BF2164">
            <v>0</v>
          </cell>
          <cell r="BG2164">
            <v>0</v>
          </cell>
          <cell r="BH2164">
            <v>0</v>
          </cell>
          <cell r="BI2164">
            <v>0</v>
          </cell>
          <cell r="BJ2164">
            <v>0</v>
          </cell>
          <cell r="BK2164">
            <v>0</v>
          </cell>
          <cell r="BL2164">
            <v>0</v>
          </cell>
          <cell r="BM2164">
            <v>0</v>
          </cell>
          <cell r="BN2164">
            <v>0</v>
          </cell>
          <cell r="BO2164">
            <v>0</v>
          </cell>
          <cell r="BP2164">
            <v>0</v>
          </cell>
          <cell r="BQ2164">
            <v>0</v>
          </cell>
          <cell r="BR2164">
            <v>0</v>
          </cell>
          <cell r="BT2164">
            <v>0</v>
          </cell>
          <cell r="BV2164">
            <v>2</v>
          </cell>
          <cell r="BW2164">
            <v>87</v>
          </cell>
          <cell r="CA2164" t="str">
            <v>OPP-817075 - EBITA - Base</v>
          </cell>
          <cell r="CC2164" t="str">
            <v>OPP-817075 - EBITA - Base - IS4</v>
          </cell>
          <cell r="CD2164" t="str">
            <v/>
          </cell>
          <cell r="CF2164" t="str">
            <v>OPP-817075 - Base - IS4</v>
          </cell>
        </row>
        <row r="2165">
          <cell r="D2165">
            <v>80</v>
          </cell>
          <cell r="E2165">
            <v>0</v>
          </cell>
          <cell r="F2165">
            <v>8</v>
          </cell>
          <cell r="G2165" t="str">
            <v>OPP-817075</v>
          </cell>
          <cell r="H2165" t="str">
            <v>DLITE II AFRICOM III</v>
          </cell>
          <cell r="I2165" t="str">
            <v>IS4</v>
          </cell>
          <cell r="J2165" t="str">
            <v>IS4 Global Mission Solutions</v>
          </cell>
          <cell r="K2165" t="str">
            <v>Army</v>
          </cell>
          <cell r="L2165" t="str">
            <v>DOD</v>
          </cell>
          <cell r="O2165">
            <v>0</v>
          </cell>
          <cell r="P2165">
            <v>0</v>
          </cell>
          <cell r="Q2165">
            <v>0</v>
          </cell>
          <cell r="R2165">
            <v>0</v>
          </cell>
          <cell r="S2165">
            <v>1</v>
          </cell>
          <cell r="T2165">
            <v>0</v>
          </cell>
          <cell r="U2165" t="str">
            <v>EBITA</v>
          </cell>
          <cell r="V2165" t="str">
            <v>Identified - Recompete</v>
          </cell>
          <cell r="W2165">
            <v>0</v>
          </cell>
          <cell r="X2165">
            <v>0</v>
          </cell>
          <cell r="Y2165">
            <v>0</v>
          </cell>
          <cell r="Z2165">
            <v>0</v>
          </cell>
          <cell r="AA2165">
            <v>0</v>
          </cell>
          <cell r="AB2165">
            <v>0</v>
          </cell>
          <cell r="AC2165">
            <v>0</v>
          </cell>
          <cell r="AD2165">
            <v>0</v>
          </cell>
          <cell r="BM2165">
            <v>0</v>
          </cell>
          <cell r="BN2165">
            <v>0</v>
          </cell>
          <cell r="BO2165">
            <v>0</v>
          </cell>
          <cell r="BP2165">
            <v>0</v>
          </cell>
          <cell r="BQ2165">
            <v>0</v>
          </cell>
          <cell r="BR2165">
            <v>0</v>
          </cell>
          <cell r="BT2165">
            <v>0</v>
          </cell>
          <cell r="BV2165">
            <v>2</v>
          </cell>
          <cell r="BW2165">
            <v>87</v>
          </cell>
          <cell r="CA2165" t="str">
            <v>OPP-817075 - EBITA - Identified - Recompete</v>
          </cell>
          <cell r="CC2165" t="str">
            <v>OPP-817075 - EBITA - Identified - Recompete - IS4</v>
          </cell>
          <cell r="CD2165" t="str">
            <v/>
          </cell>
          <cell r="CF2165" t="str">
            <v>OPP-817075 - Identified - Recompete - IS4</v>
          </cell>
        </row>
        <row r="2166">
          <cell r="D2166">
            <v>81</v>
          </cell>
          <cell r="E2166">
            <v>0</v>
          </cell>
          <cell r="F2166">
            <v>0</v>
          </cell>
          <cell r="G2166" t="str">
            <v>OPP-817075</v>
          </cell>
          <cell r="H2166" t="str">
            <v>DLITE II AFRICOM III</v>
          </cell>
          <cell r="I2166" t="str">
            <v>IS4</v>
          </cell>
          <cell r="J2166" t="str">
            <v>IS4 Global Mission Solutions</v>
          </cell>
          <cell r="K2166" t="str">
            <v>Army</v>
          </cell>
          <cell r="L2166" t="str">
            <v>DOD</v>
          </cell>
          <cell r="O2166">
            <v>43818</v>
          </cell>
          <cell r="P2166">
            <v>45645</v>
          </cell>
          <cell r="Q2166" t="str">
            <v>Minority</v>
          </cell>
          <cell r="R2166" t="str">
            <v>Cost Plus</v>
          </cell>
          <cell r="S2166">
            <v>1</v>
          </cell>
          <cell r="T2166">
            <v>0</v>
          </cell>
          <cell r="U2166" t="str">
            <v>EBITA</v>
          </cell>
          <cell r="V2166" t="str">
            <v>Identified - New</v>
          </cell>
          <cell r="W2166" t="str">
            <v>02 Capture</v>
          </cell>
          <cell r="X2166" t="str">
            <v>Priority 2</v>
          </cell>
          <cell r="Y2166">
            <v>0.2</v>
          </cell>
          <cell r="Z2166">
            <v>21070000</v>
          </cell>
          <cell r="AA2166">
            <v>0</v>
          </cell>
          <cell r="AB2166">
            <v>0</v>
          </cell>
          <cell r="AC2166">
            <v>0</v>
          </cell>
          <cell r="AD2166">
            <v>0</v>
          </cell>
          <cell r="BM2166">
            <v>0</v>
          </cell>
          <cell r="BN2166">
            <v>19735.566666666666</v>
          </cell>
          <cell r="BO2166">
            <v>25284</v>
          </cell>
          <cell r="BP2166">
            <v>25284</v>
          </cell>
          <cell r="BQ2166">
            <v>25284</v>
          </cell>
          <cell r="BR2166">
            <v>95587.566666666666</v>
          </cell>
          <cell r="BT2166">
            <v>0</v>
          </cell>
          <cell r="BV2166">
            <v>74</v>
          </cell>
          <cell r="BW2166">
            <v>87</v>
          </cell>
          <cell r="CA2166" t="str">
            <v>OPP-817075 - EBITA - Identified - New</v>
          </cell>
          <cell r="CC2166" t="str">
            <v>OPP-817075 - EBITA - Identified - New - IS4</v>
          </cell>
          <cell r="CD2166" t="str">
            <v/>
          </cell>
          <cell r="CF2166" t="str">
            <v>OPP-817075 - Identified - New - IS4</v>
          </cell>
        </row>
        <row r="2167">
          <cell r="D2167">
            <v>82</v>
          </cell>
          <cell r="E2167">
            <v>1</v>
          </cell>
          <cell r="F2167">
            <v>1</v>
          </cell>
          <cell r="G2167" t="str">
            <v>OPP-935036</v>
          </cell>
          <cell r="H2167" t="str">
            <v>NATIONAL BENEFITS CENTER RECORDS OPERATIONS CONTRACT</v>
          </cell>
          <cell r="I2167" t="str">
            <v>IS4</v>
          </cell>
          <cell r="J2167" t="str">
            <v>IS4 Engineering and Technology Services</v>
          </cell>
          <cell r="K2167" t="str">
            <v>Homeland Security</v>
          </cell>
          <cell r="L2167" t="str">
            <v>DOD</v>
          </cell>
          <cell r="O2167">
            <v>0</v>
          </cell>
          <cell r="P2167">
            <v>0</v>
          </cell>
          <cell r="Q2167">
            <v>0</v>
          </cell>
          <cell r="R2167">
            <v>0</v>
          </cell>
          <cell r="S2167">
            <v>1</v>
          </cell>
          <cell r="T2167">
            <v>0</v>
          </cell>
          <cell r="U2167" t="str">
            <v>REVTOT</v>
          </cell>
          <cell r="V2167" t="str">
            <v>Base</v>
          </cell>
          <cell r="W2167">
            <v>0</v>
          </cell>
          <cell r="X2167">
            <v>0</v>
          </cell>
          <cell r="Y2167">
            <v>0</v>
          </cell>
          <cell r="Z2167">
            <v>0</v>
          </cell>
          <cell r="AA2167">
            <v>0</v>
          </cell>
          <cell r="AB2167">
            <v>0</v>
          </cell>
          <cell r="AC2167">
            <v>0</v>
          </cell>
          <cell r="AD2167">
            <v>0</v>
          </cell>
          <cell r="BF2167">
            <v>0</v>
          </cell>
          <cell r="BG2167">
            <v>0</v>
          </cell>
          <cell r="BH2167">
            <v>0</v>
          </cell>
          <cell r="BI2167">
            <v>0</v>
          </cell>
          <cell r="BJ2167">
            <v>0</v>
          </cell>
          <cell r="BK2167">
            <v>0</v>
          </cell>
          <cell r="BL2167">
            <v>0</v>
          </cell>
          <cell r="BM2167">
            <v>0</v>
          </cell>
          <cell r="BN2167">
            <v>0</v>
          </cell>
          <cell r="BO2167">
            <v>0</v>
          </cell>
          <cell r="BP2167">
            <v>0</v>
          </cell>
          <cell r="BQ2167">
            <v>0</v>
          </cell>
          <cell r="BR2167">
            <v>0</v>
          </cell>
          <cell r="BT2167">
            <v>0</v>
          </cell>
          <cell r="BV2167">
            <v>2</v>
          </cell>
          <cell r="BW2167">
            <v>60</v>
          </cell>
          <cell r="CA2167" t="str">
            <v>OPP-935036 - REVTOT - Base</v>
          </cell>
          <cell r="CC2167" t="str">
            <v>OPP-935036 - REVTOT - Base - IS4</v>
          </cell>
          <cell r="CD2167" t="str">
            <v/>
          </cell>
          <cell r="CF2167" t="str">
            <v>OPP-935036 - Base - IS4</v>
          </cell>
        </row>
        <row r="2168">
          <cell r="D2168">
            <v>83</v>
          </cell>
          <cell r="E2168">
            <v>1</v>
          </cell>
          <cell r="F2168">
            <v>2</v>
          </cell>
          <cell r="G2168" t="str">
            <v>OPP-935036</v>
          </cell>
          <cell r="H2168" t="str">
            <v>NATIONAL BENEFITS CENTER RECORDS OPERATIONS CONTRACT</v>
          </cell>
          <cell r="I2168" t="str">
            <v>IS4</v>
          </cell>
          <cell r="J2168" t="str">
            <v>IS4 Engineering and Technology Services</v>
          </cell>
          <cell r="K2168" t="str">
            <v>Homeland Security</v>
          </cell>
          <cell r="L2168" t="str">
            <v>DOD</v>
          </cell>
          <cell r="O2168">
            <v>0</v>
          </cell>
          <cell r="P2168">
            <v>0</v>
          </cell>
          <cell r="Q2168">
            <v>0</v>
          </cell>
          <cell r="R2168">
            <v>0</v>
          </cell>
          <cell r="S2168">
            <v>1</v>
          </cell>
          <cell r="T2168">
            <v>0</v>
          </cell>
          <cell r="U2168" t="str">
            <v>REVTOT</v>
          </cell>
          <cell r="V2168" t="str">
            <v>Identified - Recompete</v>
          </cell>
          <cell r="W2168">
            <v>0</v>
          </cell>
          <cell r="X2168">
            <v>0</v>
          </cell>
          <cell r="Y2168">
            <v>0</v>
          </cell>
          <cell r="Z2168">
            <v>0</v>
          </cell>
          <cell r="AA2168">
            <v>0</v>
          </cell>
          <cell r="AB2168">
            <v>0</v>
          </cell>
          <cell r="AC2168">
            <v>0</v>
          </cell>
          <cell r="AD2168">
            <v>0</v>
          </cell>
          <cell r="BM2168">
            <v>0</v>
          </cell>
          <cell r="BN2168">
            <v>0</v>
          </cell>
          <cell r="BO2168">
            <v>0</v>
          </cell>
          <cell r="BP2168">
            <v>0</v>
          </cell>
          <cell r="BQ2168">
            <v>0</v>
          </cell>
          <cell r="BR2168">
            <v>0</v>
          </cell>
          <cell r="BT2168">
            <v>0</v>
          </cell>
          <cell r="BV2168">
            <v>2</v>
          </cell>
          <cell r="BW2168">
            <v>60</v>
          </cell>
          <cell r="CA2168" t="str">
            <v>OPP-935036 - REVTOT - Identified - Recompete</v>
          </cell>
          <cell r="CC2168" t="str">
            <v>OPP-935036 - REVTOT - Identified - Recompete - IS4</v>
          </cell>
          <cell r="CD2168" t="str">
            <v/>
          </cell>
          <cell r="CF2168" t="str">
            <v>OPP-935036 - Identified - Recompete - IS4</v>
          </cell>
        </row>
        <row r="2169">
          <cell r="D2169">
            <v>84</v>
          </cell>
          <cell r="E2169">
            <v>1</v>
          </cell>
          <cell r="F2169">
            <v>3</v>
          </cell>
          <cell r="G2169" t="str">
            <v>OPP-935036</v>
          </cell>
          <cell r="H2169" t="str">
            <v>NATIONAL BENEFITS CENTER RECORDS OPERATIONS CONTRACT</v>
          </cell>
          <cell r="I2169" t="str">
            <v>IS4</v>
          </cell>
          <cell r="J2169" t="str">
            <v>IS4 Engineering and Technology Services</v>
          </cell>
          <cell r="K2169" t="str">
            <v>Homeland Security</v>
          </cell>
          <cell r="L2169" t="str">
            <v>DOD</v>
          </cell>
          <cell r="O2169">
            <v>44166</v>
          </cell>
          <cell r="P2169">
            <v>45992</v>
          </cell>
          <cell r="Q2169" t="str">
            <v>Minority</v>
          </cell>
          <cell r="R2169" t="str">
            <v>Multi</v>
          </cell>
          <cell r="S2169">
            <v>1</v>
          </cell>
          <cell r="T2169">
            <v>0</v>
          </cell>
          <cell r="U2169" t="str">
            <v>REVTOT</v>
          </cell>
          <cell r="V2169" t="str">
            <v>Identified - New</v>
          </cell>
          <cell r="W2169" t="str">
            <v>00 Investigate</v>
          </cell>
          <cell r="X2169" t="str">
            <v>Priority 2</v>
          </cell>
          <cell r="Y2169">
            <v>0.25</v>
          </cell>
          <cell r="Z2169">
            <v>9800000</v>
          </cell>
          <cell r="AA2169">
            <v>0</v>
          </cell>
          <cell r="AB2169">
            <v>0</v>
          </cell>
          <cell r="AC2169">
            <v>0</v>
          </cell>
          <cell r="AD2169">
            <v>0</v>
          </cell>
          <cell r="BM2169">
            <v>0</v>
          </cell>
          <cell r="BN2169">
            <v>0</v>
          </cell>
          <cell r="BO2169">
            <v>0</v>
          </cell>
          <cell r="BP2169">
            <v>0</v>
          </cell>
          <cell r="BQ2169">
            <v>0</v>
          </cell>
          <cell r="BR2169">
            <v>0</v>
          </cell>
          <cell r="BT2169">
            <v>0</v>
          </cell>
          <cell r="BV2169">
            <v>75</v>
          </cell>
          <cell r="BW2169">
            <v>60</v>
          </cell>
          <cell r="CA2169" t="str">
            <v>OPP-935036 - REVTOT - Identified - New</v>
          </cell>
          <cell r="CC2169" t="str">
            <v>OPP-935036 - REVTOT - Identified - New - IS4</v>
          </cell>
          <cell r="CD2169" t="str">
            <v/>
          </cell>
          <cell r="CF2169" t="str">
            <v>OPP-935036 - Identified - New - IS4</v>
          </cell>
        </row>
        <row r="2170">
          <cell r="D2170">
            <v>85</v>
          </cell>
          <cell r="E2170">
            <v>2</v>
          </cell>
          <cell r="F2170">
            <v>4</v>
          </cell>
          <cell r="G2170" t="str">
            <v>OPP-935036</v>
          </cell>
          <cell r="H2170" t="str">
            <v>NATIONAL BENEFITS CENTER RECORDS OPERATIONS CONTRACT</v>
          </cell>
          <cell r="I2170" t="str">
            <v>IS4</v>
          </cell>
          <cell r="J2170" t="str">
            <v>IS4 Engineering and Technology Services</v>
          </cell>
          <cell r="K2170" t="str">
            <v>Homeland Security</v>
          </cell>
          <cell r="L2170" t="str">
            <v>DOD</v>
          </cell>
          <cell r="O2170">
            <v>0</v>
          </cell>
          <cell r="P2170">
            <v>0</v>
          </cell>
          <cell r="Q2170">
            <v>0</v>
          </cell>
          <cell r="R2170">
            <v>0</v>
          </cell>
          <cell r="S2170">
            <v>1</v>
          </cell>
          <cell r="T2170">
            <v>0</v>
          </cell>
          <cell r="U2170" t="str">
            <v>CONTRACT</v>
          </cell>
          <cell r="V2170" t="str">
            <v>Base</v>
          </cell>
          <cell r="W2170">
            <v>0</v>
          </cell>
          <cell r="X2170">
            <v>0</v>
          </cell>
          <cell r="Y2170">
            <v>0</v>
          </cell>
          <cell r="Z2170">
            <v>0</v>
          </cell>
          <cell r="AA2170">
            <v>0</v>
          </cell>
          <cell r="AB2170">
            <v>0</v>
          </cell>
          <cell r="AC2170">
            <v>0</v>
          </cell>
          <cell r="AD2170">
            <v>0</v>
          </cell>
          <cell r="BF2170">
            <v>0</v>
          </cell>
          <cell r="BG2170">
            <v>0</v>
          </cell>
          <cell r="BH2170">
            <v>0</v>
          </cell>
          <cell r="BI2170">
            <v>0</v>
          </cell>
          <cell r="BJ2170">
            <v>0</v>
          </cell>
          <cell r="BK2170">
            <v>0</v>
          </cell>
          <cell r="BL2170">
            <v>0</v>
          </cell>
          <cell r="BM2170">
            <v>0</v>
          </cell>
          <cell r="BN2170">
            <v>0</v>
          </cell>
          <cell r="BO2170">
            <v>0</v>
          </cell>
          <cell r="BP2170">
            <v>0</v>
          </cell>
          <cell r="BQ2170">
            <v>0</v>
          </cell>
          <cell r="BR2170">
            <v>0</v>
          </cell>
          <cell r="BT2170">
            <v>0</v>
          </cell>
          <cell r="BV2170">
            <v>2</v>
          </cell>
          <cell r="BW2170">
            <v>78</v>
          </cell>
          <cell r="CA2170" t="str">
            <v>OPP-935036 - CONTRACT - Base</v>
          </cell>
          <cell r="CC2170" t="str">
            <v>OPP-935036 - CONTRACT - Base - IS4 - 2</v>
          </cell>
          <cell r="CD2170" t="str">
            <v/>
          </cell>
          <cell r="CF2170" t="str">
            <v>OPP-935036 - Base - IS4</v>
          </cell>
        </row>
        <row r="2171">
          <cell r="D2171">
            <v>86</v>
          </cell>
          <cell r="E2171">
            <v>2</v>
          </cell>
          <cell r="F2171">
            <v>5</v>
          </cell>
          <cell r="G2171" t="str">
            <v>OPP-935036</v>
          </cell>
          <cell r="H2171" t="str">
            <v>NATIONAL BENEFITS CENTER RECORDS OPERATIONS CONTRACT</v>
          </cell>
          <cell r="I2171" t="str">
            <v>IS4</v>
          </cell>
          <cell r="J2171" t="str">
            <v>IS4 Engineering and Technology Services</v>
          </cell>
          <cell r="K2171" t="str">
            <v>Homeland Security</v>
          </cell>
          <cell r="L2171" t="str">
            <v>DOD</v>
          </cell>
          <cell r="O2171">
            <v>0</v>
          </cell>
          <cell r="P2171">
            <v>0</v>
          </cell>
          <cell r="Q2171">
            <v>0</v>
          </cell>
          <cell r="R2171">
            <v>0</v>
          </cell>
          <cell r="S2171">
            <v>1</v>
          </cell>
          <cell r="T2171">
            <v>0</v>
          </cell>
          <cell r="U2171" t="str">
            <v>CONTRACT</v>
          </cell>
          <cell r="V2171" t="str">
            <v>Identified - Recompete</v>
          </cell>
          <cell r="W2171">
            <v>0</v>
          </cell>
          <cell r="X2171">
            <v>0</v>
          </cell>
          <cell r="Y2171">
            <v>0</v>
          </cell>
          <cell r="Z2171">
            <v>0</v>
          </cell>
          <cell r="AA2171">
            <v>0</v>
          </cell>
          <cell r="AB2171">
            <v>0</v>
          </cell>
          <cell r="AC2171">
            <v>0</v>
          </cell>
          <cell r="AD2171">
            <v>0</v>
          </cell>
          <cell r="BM2171">
            <v>0</v>
          </cell>
          <cell r="BN2171">
            <v>0</v>
          </cell>
          <cell r="BO2171">
            <v>0</v>
          </cell>
          <cell r="BP2171">
            <v>0</v>
          </cell>
          <cell r="BQ2171">
            <v>0</v>
          </cell>
          <cell r="BR2171">
            <v>0</v>
          </cell>
          <cell r="BT2171">
            <v>0</v>
          </cell>
          <cell r="BV2171">
            <v>2</v>
          </cell>
          <cell r="BW2171">
            <v>78</v>
          </cell>
          <cell r="CA2171" t="str">
            <v>OPP-935036 - CONTRACT - Identified - Recompete</v>
          </cell>
          <cell r="CC2171" t="str">
            <v>OPP-935036 - CONTRACT - Identified - Recompete - IS4</v>
          </cell>
          <cell r="CD2171" t="str">
            <v/>
          </cell>
          <cell r="CF2171" t="str">
            <v>OPP-935036 - Identified - Recompete - IS4</v>
          </cell>
        </row>
        <row r="2172">
          <cell r="D2172">
            <v>87</v>
          </cell>
          <cell r="E2172">
            <v>2</v>
          </cell>
          <cell r="F2172">
            <v>6</v>
          </cell>
          <cell r="G2172" t="str">
            <v>OPP-935036</v>
          </cell>
          <cell r="H2172" t="str">
            <v>NATIONAL BENEFITS CENTER RECORDS OPERATIONS CONTRACT</v>
          </cell>
          <cell r="I2172" t="str">
            <v>IS4</v>
          </cell>
          <cell r="J2172" t="str">
            <v>IS4 Engineering and Technology Services</v>
          </cell>
          <cell r="K2172" t="str">
            <v>Homeland Security</v>
          </cell>
          <cell r="L2172" t="str">
            <v>DOD</v>
          </cell>
          <cell r="O2172">
            <v>44166</v>
          </cell>
          <cell r="P2172">
            <v>45992</v>
          </cell>
          <cell r="Q2172" t="str">
            <v>Minority</v>
          </cell>
          <cell r="R2172" t="str">
            <v>Multi</v>
          </cell>
          <cell r="S2172">
            <v>1</v>
          </cell>
          <cell r="T2172">
            <v>0</v>
          </cell>
          <cell r="U2172" t="str">
            <v>CONTRACT</v>
          </cell>
          <cell r="V2172" t="str">
            <v>Identified - New</v>
          </cell>
          <cell r="W2172" t="str">
            <v>00 Investigate</v>
          </cell>
          <cell r="X2172" t="str">
            <v>Priority 2</v>
          </cell>
          <cell r="Y2172">
            <v>0.25</v>
          </cell>
          <cell r="Z2172">
            <v>9800000</v>
          </cell>
          <cell r="AA2172">
            <v>0</v>
          </cell>
          <cell r="AB2172">
            <v>0</v>
          </cell>
          <cell r="AC2172">
            <v>0</v>
          </cell>
          <cell r="AD2172">
            <v>0</v>
          </cell>
          <cell r="BM2172">
            <v>0</v>
          </cell>
          <cell r="BN2172">
            <v>0</v>
          </cell>
          <cell r="BO2172">
            <v>0</v>
          </cell>
          <cell r="BP2172">
            <v>0</v>
          </cell>
          <cell r="BQ2172">
            <v>0</v>
          </cell>
          <cell r="BR2172">
            <v>0</v>
          </cell>
          <cell r="BT2172">
            <v>0</v>
          </cell>
          <cell r="BV2172">
            <v>75</v>
          </cell>
          <cell r="BW2172">
            <v>78</v>
          </cell>
          <cell r="CA2172" t="str">
            <v>OPP-935036 - CONTRACT - Identified - New</v>
          </cell>
          <cell r="CC2172" t="str">
            <v>OPP-935036 - CONTRACT - Identified - New - IS4</v>
          </cell>
          <cell r="CD2172" t="str">
            <v/>
          </cell>
          <cell r="CF2172" t="str">
            <v>OPP-935036 - Identified - New - IS4</v>
          </cell>
        </row>
        <row r="2173">
          <cell r="D2173">
            <v>88</v>
          </cell>
          <cell r="E2173">
            <v>0</v>
          </cell>
          <cell r="F2173">
            <v>7</v>
          </cell>
          <cell r="G2173" t="str">
            <v>OPP-935036</v>
          </cell>
          <cell r="H2173" t="str">
            <v>NATIONAL BENEFITS CENTER RECORDS OPERATIONS CONTRACT</v>
          </cell>
          <cell r="I2173" t="str">
            <v>IS4</v>
          </cell>
          <cell r="J2173" t="str">
            <v>IS4 Engineering and Technology Services</v>
          </cell>
          <cell r="K2173" t="str">
            <v>Homeland Security</v>
          </cell>
          <cell r="L2173" t="str">
            <v>DOD</v>
          </cell>
          <cell r="O2173">
            <v>0</v>
          </cell>
          <cell r="P2173">
            <v>0</v>
          </cell>
          <cell r="Q2173">
            <v>0</v>
          </cell>
          <cell r="R2173">
            <v>0</v>
          </cell>
          <cell r="S2173">
            <v>1</v>
          </cell>
          <cell r="T2173">
            <v>0</v>
          </cell>
          <cell r="U2173" t="str">
            <v>EBITA</v>
          </cell>
          <cell r="V2173" t="str">
            <v>Base</v>
          </cell>
          <cell r="W2173">
            <v>0</v>
          </cell>
          <cell r="X2173">
            <v>0</v>
          </cell>
          <cell r="Y2173">
            <v>0</v>
          </cell>
          <cell r="Z2173">
            <v>0</v>
          </cell>
          <cell r="AA2173">
            <v>0</v>
          </cell>
          <cell r="AB2173">
            <v>0</v>
          </cell>
          <cell r="AC2173">
            <v>0</v>
          </cell>
          <cell r="AD2173">
            <v>0</v>
          </cell>
          <cell r="BF2173">
            <v>0</v>
          </cell>
          <cell r="BG2173">
            <v>0</v>
          </cell>
          <cell r="BH2173">
            <v>0</v>
          </cell>
          <cell r="BI2173">
            <v>0</v>
          </cell>
          <cell r="BJ2173">
            <v>0</v>
          </cell>
          <cell r="BK2173">
            <v>0</v>
          </cell>
          <cell r="BL2173">
            <v>0</v>
          </cell>
          <cell r="BM2173">
            <v>0</v>
          </cell>
          <cell r="BN2173">
            <v>0</v>
          </cell>
          <cell r="BO2173">
            <v>0</v>
          </cell>
          <cell r="BP2173">
            <v>0</v>
          </cell>
          <cell r="BQ2173">
            <v>0</v>
          </cell>
          <cell r="BR2173">
            <v>0</v>
          </cell>
          <cell r="BT2173">
            <v>0</v>
          </cell>
          <cell r="BV2173">
            <v>2</v>
          </cell>
          <cell r="BW2173">
            <v>87</v>
          </cell>
          <cell r="CA2173" t="str">
            <v>OPP-935036 - EBITA - Base</v>
          </cell>
          <cell r="CC2173" t="str">
            <v>OPP-935036 - EBITA - Base - IS4</v>
          </cell>
          <cell r="CD2173" t="str">
            <v/>
          </cell>
          <cell r="CF2173" t="str">
            <v>OPP-935036 - Base - IS4</v>
          </cell>
        </row>
        <row r="2174">
          <cell r="D2174">
            <v>89</v>
          </cell>
          <cell r="E2174">
            <v>0</v>
          </cell>
          <cell r="F2174">
            <v>8</v>
          </cell>
          <cell r="G2174" t="str">
            <v>OPP-935036</v>
          </cell>
          <cell r="H2174" t="str">
            <v>NATIONAL BENEFITS CENTER RECORDS OPERATIONS CONTRACT</v>
          </cell>
          <cell r="I2174" t="str">
            <v>IS4</v>
          </cell>
          <cell r="J2174" t="str">
            <v>IS4 Engineering and Technology Services</v>
          </cell>
          <cell r="K2174" t="str">
            <v>Homeland Security</v>
          </cell>
          <cell r="L2174" t="str">
            <v>DOD</v>
          </cell>
          <cell r="O2174">
            <v>0</v>
          </cell>
          <cell r="P2174">
            <v>0</v>
          </cell>
          <cell r="Q2174">
            <v>0</v>
          </cell>
          <cell r="R2174">
            <v>0</v>
          </cell>
          <cell r="S2174">
            <v>1</v>
          </cell>
          <cell r="T2174">
            <v>0</v>
          </cell>
          <cell r="U2174" t="str">
            <v>EBITA</v>
          </cell>
          <cell r="V2174" t="str">
            <v>Identified - Recompete</v>
          </cell>
          <cell r="W2174">
            <v>0</v>
          </cell>
          <cell r="X2174">
            <v>0</v>
          </cell>
          <cell r="Y2174">
            <v>0</v>
          </cell>
          <cell r="Z2174">
            <v>0</v>
          </cell>
          <cell r="AA2174">
            <v>0</v>
          </cell>
          <cell r="AB2174">
            <v>0</v>
          </cell>
          <cell r="AC2174">
            <v>0</v>
          </cell>
          <cell r="AD2174">
            <v>0</v>
          </cell>
          <cell r="BM2174">
            <v>0</v>
          </cell>
          <cell r="BN2174">
            <v>0</v>
          </cell>
          <cell r="BO2174">
            <v>0</v>
          </cell>
          <cell r="BP2174">
            <v>0</v>
          </cell>
          <cell r="BQ2174">
            <v>0</v>
          </cell>
          <cell r="BR2174">
            <v>0</v>
          </cell>
          <cell r="BT2174">
            <v>0</v>
          </cell>
          <cell r="BV2174">
            <v>2</v>
          </cell>
          <cell r="BW2174">
            <v>87</v>
          </cell>
          <cell r="CA2174" t="str">
            <v>OPP-935036 - EBITA - Identified - Recompete</v>
          </cell>
          <cell r="CC2174" t="str">
            <v>OPP-935036 - EBITA - Identified - Recompete - IS4</v>
          </cell>
          <cell r="CD2174" t="str">
            <v/>
          </cell>
          <cell r="CF2174" t="str">
            <v>OPP-935036 - Identified - Recompete - IS4</v>
          </cell>
        </row>
        <row r="2175">
          <cell r="D2175">
            <v>90</v>
          </cell>
          <cell r="E2175">
            <v>0</v>
          </cell>
          <cell r="F2175">
            <v>0</v>
          </cell>
          <cell r="G2175" t="str">
            <v>OPP-935036</v>
          </cell>
          <cell r="H2175" t="str">
            <v>NATIONAL BENEFITS CENTER RECORDS OPERATIONS CONTRACT</v>
          </cell>
          <cell r="I2175" t="str">
            <v>IS4</v>
          </cell>
          <cell r="J2175" t="str">
            <v>IS4 Engineering and Technology Services</v>
          </cell>
          <cell r="K2175" t="str">
            <v>Homeland Security</v>
          </cell>
          <cell r="L2175" t="str">
            <v>DOD</v>
          </cell>
          <cell r="O2175">
            <v>44166</v>
          </cell>
          <cell r="P2175">
            <v>45992</v>
          </cell>
          <cell r="Q2175" t="str">
            <v>Minority</v>
          </cell>
          <cell r="R2175" t="str">
            <v>Multi</v>
          </cell>
          <cell r="S2175">
            <v>1</v>
          </cell>
          <cell r="T2175">
            <v>0</v>
          </cell>
          <cell r="U2175" t="str">
            <v>EBITA</v>
          </cell>
          <cell r="V2175" t="str">
            <v>Identified - New</v>
          </cell>
          <cell r="W2175" t="str">
            <v>00 Investigate</v>
          </cell>
          <cell r="X2175" t="str">
            <v>Priority 2</v>
          </cell>
          <cell r="Y2175">
            <v>0.25</v>
          </cell>
          <cell r="Z2175">
            <v>9800000</v>
          </cell>
          <cell r="AA2175">
            <v>0</v>
          </cell>
          <cell r="AB2175">
            <v>0</v>
          </cell>
          <cell r="AC2175">
            <v>0</v>
          </cell>
          <cell r="AD2175">
            <v>0</v>
          </cell>
          <cell r="BM2175">
            <v>0</v>
          </cell>
          <cell r="BN2175">
            <v>0</v>
          </cell>
          <cell r="BO2175">
            <v>24418.333333333336</v>
          </cell>
          <cell r="BP2175">
            <v>29400</v>
          </cell>
          <cell r="BQ2175">
            <v>29400</v>
          </cell>
          <cell r="BR2175">
            <v>83218.333333333343</v>
          </cell>
          <cell r="BT2175">
            <v>0</v>
          </cell>
          <cell r="BV2175">
            <v>75</v>
          </cell>
          <cell r="BW2175">
            <v>87</v>
          </cell>
          <cell r="CA2175" t="str">
            <v>OPP-935036 - EBITA - Identified - New</v>
          </cell>
          <cell r="CC2175" t="str">
            <v>OPP-935036 - EBITA - Identified - New - IS4</v>
          </cell>
          <cell r="CD2175" t="str">
            <v/>
          </cell>
          <cell r="CF2175" t="str">
            <v>OPP-935036 - Identified - New - IS4</v>
          </cell>
        </row>
        <row r="2176">
          <cell r="D2176">
            <v>91</v>
          </cell>
          <cell r="E2176">
            <v>1</v>
          </cell>
          <cell r="F2176">
            <v>1</v>
          </cell>
          <cell r="G2176" t="str">
            <v>OPP-693600</v>
          </cell>
          <cell r="H2176" t="str">
            <v>DLITE II PACOM</v>
          </cell>
          <cell r="I2176" t="str">
            <v>IS4</v>
          </cell>
          <cell r="J2176" t="str">
            <v>IS4 Global Mission Solutions</v>
          </cell>
          <cell r="K2176" t="str">
            <v>Army</v>
          </cell>
          <cell r="L2176" t="str">
            <v>DOD</v>
          </cell>
          <cell r="O2176">
            <v>0</v>
          </cell>
          <cell r="P2176">
            <v>0</v>
          </cell>
          <cell r="Q2176">
            <v>0</v>
          </cell>
          <cell r="R2176">
            <v>0</v>
          </cell>
          <cell r="S2176">
            <v>1</v>
          </cell>
          <cell r="T2176">
            <v>0</v>
          </cell>
          <cell r="U2176" t="str">
            <v>REVTOT</v>
          </cell>
          <cell r="V2176" t="str">
            <v>Base</v>
          </cell>
          <cell r="W2176">
            <v>0</v>
          </cell>
          <cell r="X2176">
            <v>0</v>
          </cell>
          <cell r="Y2176">
            <v>0</v>
          </cell>
          <cell r="Z2176">
            <v>0</v>
          </cell>
          <cell r="AA2176">
            <v>0</v>
          </cell>
          <cell r="AB2176">
            <v>0</v>
          </cell>
          <cell r="AC2176">
            <v>0</v>
          </cell>
          <cell r="AD2176">
            <v>0</v>
          </cell>
          <cell r="BF2176">
            <v>0</v>
          </cell>
          <cell r="BG2176">
            <v>0</v>
          </cell>
          <cell r="BH2176">
            <v>0</v>
          </cell>
          <cell r="BI2176">
            <v>0</v>
          </cell>
          <cell r="BJ2176">
            <v>0</v>
          </cell>
          <cell r="BK2176">
            <v>0</v>
          </cell>
          <cell r="BL2176">
            <v>0</v>
          </cell>
          <cell r="BM2176">
            <v>0</v>
          </cell>
          <cell r="BN2176">
            <v>0</v>
          </cell>
          <cell r="BO2176">
            <v>0</v>
          </cell>
          <cell r="BP2176">
            <v>0</v>
          </cell>
          <cell r="BQ2176">
            <v>0</v>
          </cell>
          <cell r="BR2176">
            <v>0</v>
          </cell>
          <cell r="BT2176">
            <v>0</v>
          </cell>
          <cell r="BV2176">
            <v>2</v>
          </cell>
          <cell r="BW2176">
            <v>60</v>
          </cell>
          <cell r="CA2176" t="str">
            <v>OPP-693600 - REVTOT - Base</v>
          </cell>
          <cell r="CC2176" t="str">
            <v>OPP-693600 - REVTOT - Base - IS4</v>
          </cell>
          <cell r="CD2176" t="str">
            <v/>
          </cell>
          <cell r="CF2176" t="str">
            <v>OPP-693600 - Base - IS4</v>
          </cell>
        </row>
        <row r="2177">
          <cell r="D2177">
            <v>92</v>
          </cell>
          <cell r="E2177">
            <v>1</v>
          </cell>
          <cell r="F2177">
            <v>2</v>
          </cell>
          <cell r="G2177" t="str">
            <v>OPP-693600</v>
          </cell>
          <cell r="H2177" t="str">
            <v>DLITE II PACOM</v>
          </cell>
          <cell r="I2177" t="str">
            <v>IS4</v>
          </cell>
          <cell r="J2177" t="str">
            <v>IS4 Global Mission Solutions</v>
          </cell>
          <cell r="K2177" t="str">
            <v>Army</v>
          </cell>
          <cell r="L2177" t="str">
            <v>DOD</v>
          </cell>
          <cell r="O2177">
            <v>0</v>
          </cell>
          <cell r="P2177">
            <v>0</v>
          </cell>
          <cell r="Q2177">
            <v>0</v>
          </cell>
          <cell r="R2177">
            <v>0</v>
          </cell>
          <cell r="S2177">
            <v>1</v>
          </cell>
          <cell r="T2177">
            <v>0</v>
          </cell>
          <cell r="U2177" t="str">
            <v>REVTOT</v>
          </cell>
          <cell r="V2177" t="str">
            <v>Identified - Recompete</v>
          </cell>
          <cell r="W2177">
            <v>0</v>
          </cell>
          <cell r="X2177">
            <v>0</v>
          </cell>
          <cell r="Y2177">
            <v>0</v>
          </cell>
          <cell r="Z2177">
            <v>0</v>
          </cell>
          <cell r="AA2177">
            <v>0</v>
          </cell>
          <cell r="AB2177">
            <v>0</v>
          </cell>
          <cell r="AC2177">
            <v>0</v>
          </cell>
          <cell r="AD2177">
            <v>0</v>
          </cell>
          <cell r="BM2177">
            <v>0</v>
          </cell>
          <cell r="BN2177">
            <v>0</v>
          </cell>
          <cell r="BO2177">
            <v>0</v>
          </cell>
          <cell r="BP2177">
            <v>0</v>
          </cell>
          <cell r="BQ2177">
            <v>0</v>
          </cell>
          <cell r="BR2177">
            <v>0</v>
          </cell>
          <cell r="BT2177">
            <v>0</v>
          </cell>
          <cell r="BV2177">
            <v>2</v>
          </cell>
          <cell r="BW2177">
            <v>60</v>
          </cell>
          <cell r="CA2177" t="str">
            <v>OPP-693600 - REVTOT - Identified - Recompete</v>
          </cell>
          <cell r="CC2177" t="str">
            <v>OPP-693600 - REVTOT - Identified - Recompete - IS4</v>
          </cell>
          <cell r="CD2177" t="str">
            <v/>
          </cell>
          <cell r="CF2177" t="str">
            <v>OPP-693600 - Identified - Recompete - IS4</v>
          </cell>
        </row>
        <row r="2178">
          <cell r="D2178">
            <v>93</v>
          </cell>
          <cell r="E2178">
            <v>1</v>
          </cell>
          <cell r="F2178">
            <v>3</v>
          </cell>
          <cell r="G2178" t="str">
            <v>OPP-693600</v>
          </cell>
          <cell r="H2178" t="str">
            <v>DLITE II PACOM</v>
          </cell>
          <cell r="I2178" t="str">
            <v>IS4</v>
          </cell>
          <cell r="J2178" t="str">
            <v>IS4 Global Mission Solutions</v>
          </cell>
          <cell r="K2178" t="str">
            <v>Army</v>
          </cell>
          <cell r="L2178" t="str">
            <v>DOD</v>
          </cell>
          <cell r="O2178">
            <v>43892</v>
          </cell>
          <cell r="P2178">
            <v>45718</v>
          </cell>
          <cell r="Q2178" t="str">
            <v>Minority</v>
          </cell>
          <cell r="R2178" t="str">
            <v>Cost Plus</v>
          </cell>
          <cell r="S2178">
            <v>1</v>
          </cell>
          <cell r="T2178">
            <v>0</v>
          </cell>
          <cell r="U2178" t="str">
            <v>REVTOT</v>
          </cell>
          <cell r="V2178" t="str">
            <v>Identified - New</v>
          </cell>
          <cell r="W2178" t="str">
            <v>01 Prospect</v>
          </cell>
          <cell r="X2178" t="str">
            <v>Priority 3</v>
          </cell>
          <cell r="Y2178">
            <v>0.2</v>
          </cell>
          <cell r="Z2178">
            <v>30285559.849999998</v>
          </cell>
          <cell r="AA2178">
            <v>0</v>
          </cell>
          <cell r="AB2178">
            <v>0</v>
          </cell>
          <cell r="AC2178">
            <v>0</v>
          </cell>
          <cell r="AD2178">
            <v>0</v>
          </cell>
          <cell r="BM2178">
            <v>0</v>
          </cell>
          <cell r="BN2178">
            <v>0</v>
          </cell>
          <cell r="BO2178">
            <v>0</v>
          </cell>
          <cell r="BP2178">
            <v>0</v>
          </cell>
          <cell r="BQ2178">
            <v>0</v>
          </cell>
          <cell r="BR2178">
            <v>0</v>
          </cell>
          <cell r="BT2178">
            <v>0</v>
          </cell>
          <cell r="BV2178">
            <v>76</v>
          </cell>
          <cell r="BW2178">
            <v>60</v>
          </cell>
          <cell r="CA2178" t="str">
            <v>OPP-693600 - REVTOT - Identified - New</v>
          </cell>
          <cell r="CC2178" t="str">
            <v>OPP-693600 - REVTOT - Identified - New - IS4</v>
          </cell>
          <cell r="CD2178" t="str">
            <v/>
          </cell>
          <cell r="CF2178" t="str">
            <v>OPP-693600 - Identified - New - IS4</v>
          </cell>
        </row>
        <row r="2179">
          <cell r="D2179">
            <v>94</v>
          </cell>
          <cell r="E2179">
            <v>2</v>
          </cell>
          <cell r="F2179">
            <v>4</v>
          </cell>
          <cell r="G2179" t="str">
            <v>OPP-693600</v>
          </cell>
          <cell r="H2179" t="str">
            <v>DLITE II PACOM</v>
          </cell>
          <cell r="I2179" t="str">
            <v>IS4</v>
          </cell>
          <cell r="J2179" t="str">
            <v>IS4 Global Mission Solutions</v>
          </cell>
          <cell r="K2179" t="str">
            <v>Army</v>
          </cell>
          <cell r="L2179" t="str">
            <v>DOD</v>
          </cell>
          <cell r="O2179">
            <v>0</v>
          </cell>
          <cell r="P2179">
            <v>0</v>
          </cell>
          <cell r="Q2179">
            <v>0</v>
          </cell>
          <cell r="R2179">
            <v>0</v>
          </cell>
          <cell r="S2179">
            <v>1</v>
          </cell>
          <cell r="T2179">
            <v>0</v>
          </cell>
          <cell r="U2179" t="str">
            <v>CONTRACT</v>
          </cell>
          <cell r="V2179" t="str">
            <v>Base</v>
          </cell>
          <cell r="W2179">
            <v>0</v>
          </cell>
          <cell r="X2179">
            <v>0</v>
          </cell>
          <cell r="Y2179">
            <v>0</v>
          </cell>
          <cell r="Z2179">
            <v>0</v>
          </cell>
          <cell r="AA2179">
            <v>0</v>
          </cell>
          <cell r="AB2179">
            <v>0</v>
          </cell>
          <cell r="AC2179">
            <v>0</v>
          </cell>
          <cell r="AD2179">
            <v>0</v>
          </cell>
          <cell r="BF2179">
            <v>0</v>
          </cell>
          <cell r="BG2179">
            <v>0</v>
          </cell>
          <cell r="BH2179">
            <v>0</v>
          </cell>
          <cell r="BI2179">
            <v>0</v>
          </cell>
          <cell r="BJ2179">
            <v>0</v>
          </cell>
          <cell r="BK2179">
            <v>0</v>
          </cell>
          <cell r="BL2179">
            <v>0</v>
          </cell>
          <cell r="BM2179">
            <v>0</v>
          </cell>
          <cell r="BN2179">
            <v>0</v>
          </cell>
          <cell r="BO2179">
            <v>0</v>
          </cell>
          <cell r="BP2179">
            <v>0</v>
          </cell>
          <cell r="BQ2179">
            <v>0</v>
          </cell>
          <cell r="BR2179">
            <v>0</v>
          </cell>
          <cell r="BT2179">
            <v>0</v>
          </cell>
          <cell r="BV2179">
            <v>2</v>
          </cell>
          <cell r="BW2179">
            <v>78</v>
          </cell>
          <cell r="CA2179" t="str">
            <v>OPP-693600 - CONTRACT - Base</v>
          </cell>
          <cell r="CC2179" t="str">
            <v>OPP-693600 - CONTRACT - Base - IS4 - 2</v>
          </cell>
          <cell r="CD2179" t="str">
            <v/>
          </cell>
          <cell r="CF2179" t="str">
            <v>OPP-693600 - Base - IS4</v>
          </cell>
        </row>
        <row r="2180">
          <cell r="D2180">
            <v>95</v>
          </cell>
          <cell r="E2180">
            <v>2</v>
          </cell>
          <cell r="F2180">
            <v>5</v>
          </cell>
          <cell r="G2180" t="str">
            <v>OPP-693600</v>
          </cell>
          <cell r="H2180" t="str">
            <v>DLITE II PACOM</v>
          </cell>
          <cell r="I2180" t="str">
            <v>IS4</v>
          </cell>
          <cell r="J2180" t="str">
            <v>IS4 Global Mission Solutions</v>
          </cell>
          <cell r="K2180" t="str">
            <v>Army</v>
          </cell>
          <cell r="L2180" t="str">
            <v>DOD</v>
          </cell>
          <cell r="O2180">
            <v>0</v>
          </cell>
          <cell r="P2180">
            <v>0</v>
          </cell>
          <cell r="Q2180">
            <v>0</v>
          </cell>
          <cell r="R2180">
            <v>0</v>
          </cell>
          <cell r="S2180">
            <v>1</v>
          </cell>
          <cell r="T2180">
            <v>0</v>
          </cell>
          <cell r="U2180" t="str">
            <v>CONTRACT</v>
          </cell>
          <cell r="V2180" t="str">
            <v>Identified - Recompete</v>
          </cell>
          <cell r="W2180">
            <v>0</v>
          </cell>
          <cell r="X2180">
            <v>0</v>
          </cell>
          <cell r="Y2180">
            <v>0</v>
          </cell>
          <cell r="Z2180">
            <v>0</v>
          </cell>
          <cell r="AA2180">
            <v>0</v>
          </cell>
          <cell r="AB2180">
            <v>0</v>
          </cell>
          <cell r="AC2180">
            <v>0</v>
          </cell>
          <cell r="AD2180">
            <v>0</v>
          </cell>
          <cell r="BM2180">
            <v>0</v>
          </cell>
          <cell r="BN2180">
            <v>0</v>
          </cell>
          <cell r="BO2180">
            <v>0</v>
          </cell>
          <cell r="BP2180">
            <v>0</v>
          </cell>
          <cell r="BQ2180">
            <v>0</v>
          </cell>
          <cell r="BR2180">
            <v>0</v>
          </cell>
          <cell r="BT2180">
            <v>0</v>
          </cell>
          <cell r="BV2180">
            <v>2</v>
          </cell>
          <cell r="BW2180">
            <v>78</v>
          </cell>
          <cell r="CA2180" t="str">
            <v>OPP-693600 - CONTRACT - Identified - Recompete</v>
          </cell>
          <cell r="CC2180" t="str">
            <v>OPP-693600 - CONTRACT - Identified - Recompete - IS4</v>
          </cell>
          <cell r="CD2180" t="str">
            <v/>
          </cell>
          <cell r="CF2180" t="str">
            <v>OPP-693600 - Identified - Recompete - IS4</v>
          </cell>
        </row>
        <row r="2181">
          <cell r="D2181">
            <v>96</v>
          </cell>
          <cell r="E2181">
            <v>2</v>
          </cell>
          <cell r="F2181">
            <v>6</v>
          </cell>
          <cell r="G2181" t="str">
            <v>OPP-693600</v>
          </cell>
          <cell r="H2181" t="str">
            <v>DLITE II PACOM</v>
          </cell>
          <cell r="I2181" t="str">
            <v>IS4</v>
          </cell>
          <cell r="J2181" t="str">
            <v>IS4 Global Mission Solutions</v>
          </cell>
          <cell r="K2181" t="str">
            <v>Army</v>
          </cell>
          <cell r="L2181" t="str">
            <v>DOD</v>
          </cell>
          <cell r="O2181">
            <v>43892</v>
          </cell>
          <cell r="P2181">
            <v>45718</v>
          </cell>
          <cell r="Q2181" t="str">
            <v>Minority</v>
          </cell>
          <cell r="R2181" t="str">
            <v>Cost Plus</v>
          </cell>
          <cell r="S2181">
            <v>1</v>
          </cell>
          <cell r="T2181">
            <v>0</v>
          </cell>
          <cell r="U2181" t="str">
            <v>CONTRACT</v>
          </cell>
          <cell r="V2181" t="str">
            <v>Identified - New</v>
          </cell>
          <cell r="W2181" t="str">
            <v>01 Prospect</v>
          </cell>
          <cell r="X2181" t="str">
            <v>Priority 3</v>
          </cell>
          <cell r="Y2181">
            <v>0.2</v>
          </cell>
          <cell r="Z2181">
            <v>30285559.849999998</v>
          </cell>
          <cell r="AA2181">
            <v>0</v>
          </cell>
          <cell r="AB2181">
            <v>0</v>
          </cell>
          <cell r="AC2181">
            <v>0</v>
          </cell>
          <cell r="AD2181">
            <v>0</v>
          </cell>
          <cell r="BM2181">
            <v>0</v>
          </cell>
          <cell r="BN2181">
            <v>0</v>
          </cell>
          <cell r="BO2181">
            <v>0</v>
          </cell>
          <cell r="BP2181">
            <v>0</v>
          </cell>
          <cell r="BQ2181">
            <v>0</v>
          </cell>
          <cell r="BR2181">
            <v>0</v>
          </cell>
          <cell r="BT2181">
            <v>0</v>
          </cell>
          <cell r="BV2181">
            <v>76</v>
          </cell>
          <cell r="BW2181">
            <v>78</v>
          </cell>
          <cell r="CA2181" t="str">
            <v>OPP-693600 - CONTRACT - Identified - New</v>
          </cell>
          <cell r="CC2181" t="str">
            <v>OPP-693600 - CONTRACT - Identified - New - IS4</v>
          </cell>
          <cell r="CD2181" t="str">
            <v/>
          </cell>
          <cell r="CF2181" t="str">
            <v>OPP-693600 - Identified - New - IS4</v>
          </cell>
        </row>
        <row r="2182">
          <cell r="D2182">
            <v>97</v>
          </cell>
          <cell r="E2182">
            <v>0</v>
          </cell>
          <cell r="F2182">
            <v>7</v>
          </cell>
          <cell r="G2182" t="str">
            <v>OPP-693600</v>
          </cell>
          <cell r="H2182" t="str">
            <v>DLITE II PACOM</v>
          </cell>
          <cell r="I2182" t="str">
            <v>IS4</v>
          </cell>
          <cell r="J2182" t="str">
            <v>IS4 Global Mission Solutions</v>
          </cell>
          <cell r="K2182" t="str">
            <v>Army</v>
          </cell>
          <cell r="L2182" t="str">
            <v>DOD</v>
          </cell>
          <cell r="O2182">
            <v>0</v>
          </cell>
          <cell r="P2182">
            <v>0</v>
          </cell>
          <cell r="Q2182">
            <v>0</v>
          </cell>
          <cell r="R2182">
            <v>0</v>
          </cell>
          <cell r="S2182">
            <v>1</v>
          </cell>
          <cell r="T2182">
            <v>0</v>
          </cell>
          <cell r="U2182" t="str">
            <v>EBITA</v>
          </cell>
          <cell r="V2182" t="str">
            <v>Base</v>
          </cell>
          <cell r="W2182">
            <v>0</v>
          </cell>
          <cell r="X2182">
            <v>0</v>
          </cell>
          <cell r="Y2182">
            <v>0</v>
          </cell>
          <cell r="Z2182">
            <v>0</v>
          </cell>
          <cell r="AA2182">
            <v>0</v>
          </cell>
          <cell r="AB2182">
            <v>0</v>
          </cell>
          <cell r="AC2182">
            <v>0</v>
          </cell>
          <cell r="AD2182">
            <v>0</v>
          </cell>
          <cell r="BF2182">
            <v>0</v>
          </cell>
          <cell r="BG2182">
            <v>0</v>
          </cell>
          <cell r="BH2182">
            <v>0</v>
          </cell>
          <cell r="BI2182">
            <v>0</v>
          </cell>
          <cell r="BJ2182">
            <v>0</v>
          </cell>
          <cell r="BK2182">
            <v>0</v>
          </cell>
          <cell r="BL2182">
            <v>0</v>
          </cell>
          <cell r="BM2182">
            <v>0</v>
          </cell>
          <cell r="BN2182">
            <v>0</v>
          </cell>
          <cell r="BO2182">
            <v>0</v>
          </cell>
          <cell r="BP2182">
            <v>0</v>
          </cell>
          <cell r="BQ2182">
            <v>0</v>
          </cell>
          <cell r="BR2182">
            <v>0</v>
          </cell>
          <cell r="BT2182">
            <v>0</v>
          </cell>
          <cell r="BV2182">
            <v>2</v>
          </cell>
          <cell r="BW2182">
            <v>87</v>
          </cell>
          <cell r="CA2182" t="str">
            <v>OPP-693600 - EBITA - Base</v>
          </cell>
          <cell r="CC2182" t="str">
            <v>OPP-693600 - EBITA - Base - IS4</v>
          </cell>
          <cell r="CD2182" t="str">
            <v/>
          </cell>
          <cell r="CF2182" t="str">
            <v>OPP-693600 - Base - IS4</v>
          </cell>
        </row>
        <row r="2183">
          <cell r="D2183">
            <v>98</v>
          </cell>
          <cell r="E2183">
            <v>0</v>
          </cell>
          <cell r="F2183">
            <v>8</v>
          </cell>
          <cell r="G2183" t="str">
            <v>OPP-693600</v>
          </cell>
          <cell r="H2183" t="str">
            <v>DLITE II PACOM</v>
          </cell>
          <cell r="I2183" t="str">
            <v>IS4</v>
          </cell>
          <cell r="J2183" t="str">
            <v>IS4 Global Mission Solutions</v>
          </cell>
          <cell r="K2183" t="str">
            <v>Army</v>
          </cell>
          <cell r="L2183" t="str">
            <v>DOD</v>
          </cell>
          <cell r="O2183">
            <v>0</v>
          </cell>
          <cell r="P2183">
            <v>0</v>
          </cell>
          <cell r="Q2183">
            <v>0</v>
          </cell>
          <cell r="R2183">
            <v>0</v>
          </cell>
          <cell r="S2183">
            <v>1</v>
          </cell>
          <cell r="T2183">
            <v>0</v>
          </cell>
          <cell r="U2183" t="str">
            <v>EBITA</v>
          </cell>
          <cell r="V2183" t="str">
            <v>Identified - Recompete</v>
          </cell>
          <cell r="W2183">
            <v>0</v>
          </cell>
          <cell r="X2183">
            <v>0</v>
          </cell>
          <cell r="Y2183">
            <v>0</v>
          </cell>
          <cell r="Z2183">
            <v>0</v>
          </cell>
          <cell r="AA2183">
            <v>0</v>
          </cell>
          <cell r="AB2183">
            <v>0</v>
          </cell>
          <cell r="AC2183">
            <v>0</v>
          </cell>
          <cell r="AD2183">
            <v>0</v>
          </cell>
          <cell r="BM2183">
            <v>0</v>
          </cell>
          <cell r="BN2183">
            <v>0</v>
          </cell>
          <cell r="BO2183">
            <v>0</v>
          </cell>
          <cell r="BP2183">
            <v>0</v>
          </cell>
          <cell r="BQ2183">
            <v>0</v>
          </cell>
          <cell r="BR2183">
            <v>0</v>
          </cell>
          <cell r="BT2183">
            <v>0</v>
          </cell>
          <cell r="BV2183">
            <v>2</v>
          </cell>
          <cell r="BW2183">
            <v>87</v>
          </cell>
          <cell r="CA2183" t="str">
            <v>OPP-693600 - EBITA - Identified - Recompete</v>
          </cell>
          <cell r="CC2183" t="str">
            <v>OPP-693600 - EBITA - Identified - Recompete - IS4</v>
          </cell>
          <cell r="CD2183" t="str">
            <v/>
          </cell>
          <cell r="CF2183" t="str">
            <v>OPP-693600 - Identified - Recompete - IS4</v>
          </cell>
        </row>
        <row r="2184">
          <cell r="D2184">
            <v>99</v>
          </cell>
          <cell r="E2184">
            <v>0</v>
          </cell>
          <cell r="F2184">
            <v>0</v>
          </cell>
          <cell r="G2184" t="str">
            <v>OPP-693600</v>
          </cell>
          <cell r="H2184" t="str">
            <v>DLITE II PACOM</v>
          </cell>
          <cell r="I2184" t="str">
            <v>IS4</v>
          </cell>
          <cell r="J2184" t="str">
            <v>IS4 Global Mission Solutions</v>
          </cell>
          <cell r="K2184" t="str">
            <v>Army</v>
          </cell>
          <cell r="L2184" t="str">
            <v>DOD</v>
          </cell>
          <cell r="O2184">
            <v>43892</v>
          </cell>
          <cell r="P2184">
            <v>45718</v>
          </cell>
          <cell r="Q2184" t="str">
            <v>Minority</v>
          </cell>
          <cell r="R2184" t="str">
            <v>Cost Plus</v>
          </cell>
          <cell r="S2184">
            <v>1</v>
          </cell>
          <cell r="T2184">
            <v>0</v>
          </cell>
          <cell r="U2184" t="str">
            <v>EBITA</v>
          </cell>
          <cell r="V2184" t="str">
            <v>Identified - New</v>
          </cell>
          <cell r="W2184" t="str">
            <v>01 Prospect</v>
          </cell>
          <cell r="X2184" t="str">
            <v>Priority 3</v>
          </cell>
          <cell r="Y2184">
            <v>0.2</v>
          </cell>
          <cell r="Z2184">
            <v>30285559.849999998</v>
          </cell>
          <cell r="AA2184">
            <v>0</v>
          </cell>
          <cell r="AB2184">
            <v>0</v>
          </cell>
          <cell r="AC2184">
            <v>0</v>
          </cell>
          <cell r="AD2184">
            <v>0</v>
          </cell>
          <cell r="BM2184">
            <v>0</v>
          </cell>
          <cell r="BN2184">
            <v>20997.988162666665</v>
          </cell>
          <cell r="BO2184">
            <v>36342.671820000003</v>
          </cell>
          <cell r="BP2184">
            <v>36342.671820000003</v>
          </cell>
          <cell r="BQ2184">
            <v>36342.671820000003</v>
          </cell>
          <cell r="BR2184">
            <v>130026.00362266667</v>
          </cell>
          <cell r="BT2184">
            <v>0</v>
          </cell>
          <cell r="BV2184">
            <v>76</v>
          </cell>
          <cell r="BW2184">
            <v>87</v>
          </cell>
          <cell r="CA2184" t="str">
            <v>OPP-693600 - EBITA - Identified - New</v>
          </cell>
          <cell r="CC2184" t="str">
            <v>OPP-693600 - EBITA - Identified - New - IS4</v>
          </cell>
          <cell r="CD2184" t="str">
            <v/>
          </cell>
          <cell r="CF2184" t="str">
            <v>OPP-693600 - Identified - New - IS4</v>
          </cell>
        </row>
        <row r="2185">
          <cell r="D2185">
            <v>100</v>
          </cell>
          <cell r="E2185">
            <v>1</v>
          </cell>
          <cell r="F2185">
            <v>1</v>
          </cell>
          <cell r="G2185" t="str">
            <v>OPP-748382</v>
          </cell>
          <cell r="H2185" t="str">
            <v>RCAF Future Fighter Capability Project (FFCP) - Infrastructure DBO</v>
          </cell>
          <cell r="I2185" t="str">
            <v>IS4</v>
          </cell>
          <cell r="J2185" t="str">
            <v>IS4 Infrastructure and Engineering</v>
          </cell>
          <cell r="K2185" t="str">
            <v>Foreign Government</v>
          </cell>
          <cell r="L2185" t="str">
            <v>Non-US Gov't</v>
          </cell>
          <cell r="O2185">
            <v>0</v>
          </cell>
          <cell r="P2185">
            <v>0</v>
          </cell>
          <cell r="Q2185">
            <v>0</v>
          </cell>
          <cell r="R2185">
            <v>0</v>
          </cell>
          <cell r="S2185">
            <v>1</v>
          </cell>
          <cell r="T2185">
            <v>0</v>
          </cell>
          <cell r="U2185" t="str">
            <v>REVTOT</v>
          </cell>
          <cell r="V2185" t="str">
            <v>Base</v>
          </cell>
          <cell r="W2185">
            <v>0</v>
          </cell>
          <cell r="X2185">
            <v>0</v>
          </cell>
          <cell r="Y2185">
            <v>0</v>
          </cell>
          <cell r="Z2185">
            <v>0</v>
          </cell>
          <cell r="AA2185">
            <v>0</v>
          </cell>
          <cell r="AB2185">
            <v>0</v>
          </cell>
          <cell r="AC2185">
            <v>0</v>
          </cell>
          <cell r="AD2185">
            <v>0</v>
          </cell>
          <cell r="BF2185">
            <v>0</v>
          </cell>
          <cell r="BG2185">
            <v>0</v>
          </cell>
          <cell r="BH2185">
            <v>0</v>
          </cell>
          <cell r="BI2185">
            <v>0</v>
          </cell>
          <cell r="BJ2185">
            <v>0</v>
          </cell>
          <cell r="BK2185">
            <v>0</v>
          </cell>
          <cell r="BL2185">
            <v>0</v>
          </cell>
          <cell r="BM2185">
            <v>0</v>
          </cell>
          <cell r="BN2185">
            <v>0</v>
          </cell>
          <cell r="BO2185">
            <v>0</v>
          </cell>
          <cell r="BP2185">
            <v>0</v>
          </cell>
          <cell r="BQ2185">
            <v>0</v>
          </cell>
          <cell r="BR2185">
            <v>0</v>
          </cell>
          <cell r="BT2185">
            <v>0</v>
          </cell>
          <cell r="BV2185">
            <v>2</v>
          </cell>
          <cell r="BW2185">
            <v>60</v>
          </cell>
          <cell r="CA2185" t="str">
            <v>OPP-748382 - REVTOT - Base</v>
          </cell>
          <cell r="CC2185" t="str">
            <v>OPP-748382 - REVTOT - Base - IS4</v>
          </cell>
          <cell r="CD2185" t="str">
            <v/>
          </cell>
          <cell r="CF2185" t="str">
            <v>OPP-748382 - Base - IS4</v>
          </cell>
        </row>
        <row r="2186">
          <cell r="D2186">
            <v>101</v>
          </cell>
          <cell r="E2186">
            <v>1</v>
          </cell>
          <cell r="F2186">
            <v>2</v>
          </cell>
          <cell r="G2186" t="str">
            <v>OPP-748382</v>
          </cell>
          <cell r="H2186" t="str">
            <v>RCAF Future Fighter Capability Project (FFCP) - Infrastructure DBO</v>
          </cell>
          <cell r="I2186" t="str">
            <v>IS4</v>
          </cell>
          <cell r="J2186" t="str">
            <v>IS4 Infrastructure and Engineering</v>
          </cell>
          <cell r="K2186" t="str">
            <v>Foreign Government</v>
          </cell>
          <cell r="L2186" t="str">
            <v>Non-US Gov't</v>
          </cell>
          <cell r="O2186">
            <v>0</v>
          </cell>
          <cell r="P2186">
            <v>0</v>
          </cell>
          <cell r="Q2186">
            <v>0</v>
          </cell>
          <cell r="R2186">
            <v>0</v>
          </cell>
          <cell r="S2186">
            <v>1</v>
          </cell>
          <cell r="T2186">
            <v>0</v>
          </cell>
          <cell r="U2186" t="str">
            <v>REVTOT</v>
          </cell>
          <cell r="V2186" t="str">
            <v>Identified - Recompete</v>
          </cell>
          <cell r="W2186">
            <v>0</v>
          </cell>
          <cell r="X2186">
            <v>0</v>
          </cell>
          <cell r="Y2186">
            <v>0</v>
          </cell>
          <cell r="Z2186">
            <v>0</v>
          </cell>
          <cell r="AA2186">
            <v>0</v>
          </cell>
          <cell r="AB2186">
            <v>0</v>
          </cell>
          <cell r="AC2186">
            <v>0</v>
          </cell>
          <cell r="AD2186">
            <v>0</v>
          </cell>
          <cell r="BM2186">
            <v>0</v>
          </cell>
          <cell r="BN2186">
            <v>0</v>
          </cell>
          <cell r="BO2186">
            <v>0</v>
          </cell>
          <cell r="BP2186">
            <v>0</v>
          </cell>
          <cell r="BQ2186">
            <v>0</v>
          </cell>
          <cell r="BR2186">
            <v>0</v>
          </cell>
          <cell r="BT2186">
            <v>0</v>
          </cell>
          <cell r="BV2186">
            <v>2</v>
          </cell>
          <cell r="BW2186">
            <v>60</v>
          </cell>
          <cell r="CA2186" t="str">
            <v>OPP-748382 - REVTOT - Identified - Recompete</v>
          </cell>
          <cell r="CC2186" t="str">
            <v>OPP-748382 - REVTOT - Identified - Recompete - IS4</v>
          </cell>
          <cell r="CD2186" t="str">
            <v/>
          </cell>
          <cell r="CF2186" t="str">
            <v>OPP-748382 - Identified - Recompete - IS4</v>
          </cell>
        </row>
        <row r="2187">
          <cell r="D2187">
            <v>102</v>
          </cell>
          <cell r="E2187">
            <v>1</v>
          </cell>
          <cell r="F2187">
            <v>3</v>
          </cell>
          <cell r="G2187" t="str">
            <v>OPP-748382</v>
          </cell>
          <cell r="H2187" t="str">
            <v>RCAF Future Fighter Capability Project (FFCP) - Infrastructure DBO</v>
          </cell>
          <cell r="I2187" t="str">
            <v>IS4</v>
          </cell>
          <cell r="J2187" t="str">
            <v>IS4 Infrastructure and Engineering</v>
          </cell>
          <cell r="K2187" t="str">
            <v>Foreign Government</v>
          </cell>
          <cell r="L2187" t="str">
            <v>Non-US Gov't</v>
          </cell>
          <cell r="O2187">
            <v>44075</v>
          </cell>
          <cell r="P2187">
            <v>45901</v>
          </cell>
          <cell r="Q2187" t="str">
            <v>Minority</v>
          </cell>
          <cell r="R2187" t="str">
            <v>Cost Plus</v>
          </cell>
          <cell r="S2187">
            <v>1</v>
          </cell>
          <cell r="T2187">
            <v>0</v>
          </cell>
          <cell r="U2187" t="str">
            <v>REVTOT</v>
          </cell>
          <cell r="V2187" t="str">
            <v>Identified - New</v>
          </cell>
          <cell r="W2187" t="str">
            <v>01 Prospect</v>
          </cell>
          <cell r="X2187" t="str">
            <v>Priority 3</v>
          </cell>
          <cell r="Y2187">
            <v>0.2</v>
          </cell>
          <cell r="Z2187">
            <v>19000006.84</v>
          </cell>
          <cell r="AA2187">
            <v>0</v>
          </cell>
          <cell r="AB2187">
            <v>0</v>
          </cell>
          <cell r="AC2187">
            <v>0</v>
          </cell>
          <cell r="AD2187">
            <v>0</v>
          </cell>
          <cell r="BM2187">
            <v>0</v>
          </cell>
          <cell r="BN2187">
            <v>0</v>
          </cell>
          <cell r="BO2187">
            <v>0</v>
          </cell>
          <cell r="BP2187">
            <v>0</v>
          </cell>
          <cell r="BQ2187">
            <v>0</v>
          </cell>
          <cell r="BR2187">
            <v>0</v>
          </cell>
          <cell r="BT2187">
            <v>0</v>
          </cell>
          <cell r="BV2187">
            <v>77</v>
          </cell>
          <cell r="BW2187">
            <v>60</v>
          </cell>
          <cell r="CA2187" t="str">
            <v>OPP-748382 - REVTOT - Identified - New</v>
          </cell>
          <cell r="CC2187" t="str">
            <v>OPP-748382 - REVTOT - Identified - New - IS4</v>
          </cell>
          <cell r="CD2187" t="str">
            <v/>
          </cell>
          <cell r="CF2187" t="str">
            <v>OPP-748382 - Identified - New - IS4</v>
          </cell>
        </row>
        <row r="2188">
          <cell r="D2188">
            <v>103</v>
          </cell>
          <cell r="E2188">
            <v>2</v>
          </cell>
          <cell r="F2188">
            <v>4</v>
          </cell>
          <cell r="G2188" t="str">
            <v>OPP-748382</v>
          </cell>
          <cell r="H2188" t="str">
            <v>RCAF Future Fighter Capability Project (FFCP) - Infrastructure DBO</v>
          </cell>
          <cell r="I2188" t="str">
            <v>IS4</v>
          </cell>
          <cell r="J2188" t="str">
            <v>IS4 Infrastructure and Engineering</v>
          </cell>
          <cell r="K2188" t="str">
            <v>Foreign Government</v>
          </cell>
          <cell r="L2188" t="str">
            <v>Non-US Gov't</v>
          </cell>
          <cell r="O2188">
            <v>0</v>
          </cell>
          <cell r="P2188">
            <v>0</v>
          </cell>
          <cell r="Q2188">
            <v>0</v>
          </cell>
          <cell r="R2188">
            <v>0</v>
          </cell>
          <cell r="S2188">
            <v>1</v>
          </cell>
          <cell r="T2188">
            <v>0</v>
          </cell>
          <cell r="U2188" t="str">
            <v>CONTRACT</v>
          </cell>
          <cell r="V2188" t="str">
            <v>Base</v>
          </cell>
          <cell r="W2188">
            <v>0</v>
          </cell>
          <cell r="X2188">
            <v>0</v>
          </cell>
          <cell r="Y2188">
            <v>0</v>
          </cell>
          <cell r="Z2188">
            <v>0</v>
          </cell>
          <cell r="AA2188">
            <v>0</v>
          </cell>
          <cell r="AB2188">
            <v>0</v>
          </cell>
          <cell r="AC2188">
            <v>0</v>
          </cell>
          <cell r="AD2188">
            <v>0</v>
          </cell>
          <cell r="BF2188">
            <v>0</v>
          </cell>
          <cell r="BG2188">
            <v>0</v>
          </cell>
          <cell r="BH2188">
            <v>0</v>
          </cell>
          <cell r="BI2188">
            <v>0</v>
          </cell>
          <cell r="BJ2188">
            <v>0</v>
          </cell>
          <cell r="BK2188">
            <v>0</v>
          </cell>
          <cell r="BL2188">
            <v>0</v>
          </cell>
          <cell r="BM2188">
            <v>0</v>
          </cell>
          <cell r="BN2188">
            <v>0</v>
          </cell>
          <cell r="BO2188">
            <v>0</v>
          </cell>
          <cell r="BP2188">
            <v>0</v>
          </cell>
          <cell r="BQ2188">
            <v>0</v>
          </cell>
          <cell r="BR2188">
            <v>0</v>
          </cell>
          <cell r="BT2188">
            <v>0</v>
          </cell>
          <cell r="BV2188">
            <v>2</v>
          </cell>
          <cell r="BW2188">
            <v>78</v>
          </cell>
          <cell r="CA2188" t="str">
            <v>OPP-748382 - CONTRACT - Base</v>
          </cell>
          <cell r="CC2188" t="str">
            <v>OPP-748382 - CONTRACT - Base - IS4 - 2</v>
          </cell>
          <cell r="CD2188" t="str">
            <v/>
          </cell>
          <cell r="CF2188" t="str">
            <v>OPP-748382 - Base - IS4</v>
          </cell>
        </row>
        <row r="2189">
          <cell r="D2189">
            <v>104</v>
          </cell>
          <cell r="E2189">
            <v>2</v>
          </cell>
          <cell r="F2189">
            <v>5</v>
          </cell>
          <cell r="G2189" t="str">
            <v>OPP-748382</v>
          </cell>
          <cell r="H2189" t="str">
            <v>RCAF Future Fighter Capability Project (FFCP) - Infrastructure DBO</v>
          </cell>
          <cell r="I2189" t="str">
            <v>IS4</v>
          </cell>
          <cell r="J2189" t="str">
            <v>IS4 Infrastructure and Engineering</v>
          </cell>
          <cell r="K2189" t="str">
            <v>Foreign Government</v>
          </cell>
          <cell r="L2189" t="str">
            <v>Non-US Gov't</v>
          </cell>
          <cell r="O2189">
            <v>0</v>
          </cell>
          <cell r="P2189">
            <v>0</v>
          </cell>
          <cell r="Q2189">
            <v>0</v>
          </cell>
          <cell r="R2189">
            <v>0</v>
          </cell>
          <cell r="S2189">
            <v>1</v>
          </cell>
          <cell r="T2189">
            <v>0</v>
          </cell>
          <cell r="U2189" t="str">
            <v>CONTRACT</v>
          </cell>
          <cell r="V2189" t="str">
            <v>Identified - Recompete</v>
          </cell>
          <cell r="W2189">
            <v>0</v>
          </cell>
          <cell r="X2189">
            <v>0</v>
          </cell>
          <cell r="Y2189">
            <v>0</v>
          </cell>
          <cell r="Z2189">
            <v>0</v>
          </cell>
          <cell r="AA2189">
            <v>0</v>
          </cell>
          <cell r="AB2189">
            <v>0</v>
          </cell>
          <cell r="AC2189">
            <v>0</v>
          </cell>
          <cell r="AD2189">
            <v>0</v>
          </cell>
          <cell r="BM2189">
            <v>0</v>
          </cell>
          <cell r="BN2189">
            <v>0</v>
          </cell>
          <cell r="BO2189">
            <v>0</v>
          </cell>
          <cell r="BP2189">
            <v>0</v>
          </cell>
          <cell r="BQ2189">
            <v>0</v>
          </cell>
          <cell r="BR2189">
            <v>0</v>
          </cell>
          <cell r="BT2189">
            <v>0</v>
          </cell>
          <cell r="BV2189">
            <v>2</v>
          </cell>
          <cell r="BW2189">
            <v>78</v>
          </cell>
          <cell r="CA2189" t="str">
            <v>OPP-748382 - CONTRACT - Identified - Recompete</v>
          </cell>
          <cell r="CC2189" t="str">
            <v>OPP-748382 - CONTRACT - Identified - Recompete - IS4</v>
          </cell>
          <cell r="CD2189" t="str">
            <v/>
          </cell>
          <cell r="CF2189" t="str">
            <v>OPP-748382 - Identified - Recompete - IS4</v>
          </cell>
        </row>
        <row r="2190">
          <cell r="D2190">
            <v>105</v>
          </cell>
          <cell r="E2190">
            <v>2</v>
          </cell>
          <cell r="F2190">
            <v>6</v>
          </cell>
          <cell r="G2190" t="str">
            <v>OPP-748382</v>
          </cell>
          <cell r="H2190" t="str">
            <v>RCAF Future Fighter Capability Project (FFCP) - Infrastructure DBO</v>
          </cell>
          <cell r="I2190" t="str">
            <v>IS4</v>
          </cell>
          <cell r="J2190" t="str">
            <v>IS4 Infrastructure and Engineering</v>
          </cell>
          <cell r="K2190" t="str">
            <v>Foreign Government</v>
          </cell>
          <cell r="L2190" t="str">
            <v>Non-US Gov't</v>
          </cell>
          <cell r="O2190">
            <v>44075</v>
          </cell>
          <cell r="P2190">
            <v>45901</v>
          </cell>
          <cell r="Q2190" t="str">
            <v>Minority</v>
          </cell>
          <cell r="R2190" t="str">
            <v>Cost Plus</v>
          </cell>
          <cell r="S2190">
            <v>1</v>
          </cell>
          <cell r="T2190">
            <v>0</v>
          </cell>
          <cell r="U2190" t="str">
            <v>CONTRACT</v>
          </cell>
          <cell r="V2190" t="str">
            <v>Identified - New</v>
          </cell>
          <cell r="W2190" t="str">
            <v>01 Prospect</v>
          </cell>
          <cell r="X2190" t="str">
            <v>Priority 3</v>
          </cell>
          <cell r="Y2190">
            <v>0.2</v>
          </cell>
          <cell r="Z2190">
            <v>19000006.84</v>
          </cell>
          <cell r="AA2190">
            <v>0</v>
          </cell>
          <cell r="AB2190">
            <v>0</v>
          </cell>
          <cell r="AC2190">
            <v>0</v>
          </cell>
          <cell r="AD2190">
            <v>0</v>
          </cell>
          <cell r="BM2190">
            <v>0</v>
          </cell>
          <cell r="BN2190">
            <v>0</v>
          </cell>
          <cell r="BO2190">
            <v>0</v>
          </cell>
          <cell r="BP2190">
            <v>0</v>
          </cell>
          <cell r="BQ2190">
            <v>0</v>
          </cell>
          <cell r="BR2190">
            <v>0</v>
          </cell>
          <cell r="BT2190">
            <v>0</v>
          </cell>
          <cell r="BV2190">
            <v>77</v>
          </cell>
          <cell r="BW2190">
            <v>78</v>
          </cell>
          <cell r="CA2190" t="str">
            <v>OPP-748382 - CONTRACT - Identified - New</v>
          </cell>
          <cell r="CC2190" t="str">
            <v>OPP-748382 - CONTRACT - Identified - New - IS4</v>
          </cell>
          <cell r="CD2190" t="str">
            <v/>
          </cell>
          <cell r="CF2190" t="str">
            <v>OPP-748382 - Identified - New - IS4</v>
          </cell>
        </row>
        <row r="2191">
          <cell r="D2191">
            <v>106</v>
          </cell>
          <cell r="E2191">
            <v>0</v>
          </cell>
          <cell r="F2191">
            <v>7</v>
          </cell>
          <cell r="G2191" t="str">
            <v>OPP-748382</v>
          </cell>
          <cell r="H2191" t="str">
            <v>RCAF Future Fighter Capability Project (FFCP) - Infrastructure DBO</v>
          </cell>
          <cell r="I2191" t="str">
            <v>IS4</v>
          </cell>
          <cell r="J2191" t="str">
            <v>IS4 Infrastructure and Engineering</v>
          </cell>
          <cell r="K2191" t="str">
            <v>Foreign Government</v>
          </cell>
          <cell r="L2191" t="str">
            <v>Non-US Gov't</v>
          </cell>
          <cell r="O2191">
            <v>0</v>
          </cell>
          <cell r="P2191">
            <v>0</v>
          </cell>
          <cell r="Q2191">
            <v>0</v>
          </cell>
          <cell r="R2191">
            <v>0</v>
          </cell>
          <cell r="S2191">
            <v>1</v>
          </cell>
          <cell r="T2191">
            <v>0</v>
          </cell>
          <cell r="U2191" t="str">
            <v>EBITA</v>
          </cell>
          <cell r="V2191" t="str">
            <v>Base</v>
          </cell>
          <cell r="W2191">
            <v>0</v>
          </cell>
          <cell r="X2191">
            <v>0</v>
          </cell>
          <cell r="Y2191">
            <v>0</v>
          </cell>
          <cell r="Z2191">
            <v>0</v>
          </cell>
          <cell r="AA2191">
            <v>0</v>
          </cell>
          <cell r="AB2191">
            <v>0</v>
          </cell>
          <cell r="AC2191">
            <v>0</v>
          </cell>
          <cell r="AD2191">
            <v>0</v>
          </cell>
          <cell r="BF2191">
            <v>0</v>
          </cell>
          <cell r="BG2191">
            <v>0</v>
          </cell>
          <cell r="BH2191">
            <v>0</v>
          </cell>
          <cell r="BI2191">
            <v>0</v>
          </cell>
          <cell r="BJ2191">
            <v>0</v>
          </cell>
          <cell r="BK2191">
            <v>0</v>
          </cell>
          <cell r="BL2191">
            <v>0</v>
          </cell>
          <cell r="BM2191">
            <v>0</v>
          </cell>
          <cell r="BN2191">
            <v>0</v>
          </cell>
          <cell r="BO2191">
            <v>0</v>
          </cell>
          <cell r="BP2191">
            <v>0</v>
          </cell>
          <cell r="BQ2191">
            <v>0</v>
          </cell>
          <cell r="BR2191">
            <v>0</v>
          </cell>
          <cell r="BT2191">
            <v>0</v>
          </cell>
          <cell r="BV2191">
            <v>2</v>
          </cell>
          <cell r="BW2191">
            <v>87</v>
          </cell>
          <cell r="CA2191" t="str">
            <v>OPP-748382 - EBITA - Base</v>
          </cell>
          <cell r="CC2191" t="str">
            <v>OPP-748382 - EBITA - Base - IS4</v>
          </cell>
          <cell r="CD2191" t="str">
            <v/>
          </cell>
          <cell r="CF2191" t="str">
            <v>OPP-748382 - Base - IS4</v>
          </cell>
        </row>
        <row r="2192">
          <cell r="D2192">
            <v>107</v>
          </cell>
          <cell r="E2192">
            <v>0</v>
          </cell>
          <cell r="F2192">
            <v>8</v>
          </cell>
          <cell r="G2192" t="str">
            <v>OPP-748382</v>
          </cell>
          <cell r="H2192" t="str">
            <v>RCAF Future Fighter Capability Project (FFCP) - Infrastructure DBO</v>
          </cell>
          <cell r="I2192" t="str">
            <v>IS4</v>
          </cell>
          <cell r="J2192" t="str">
            <v>IS4 Infrastructure and Engineering</v>
          </cell>
          <cell r="K2192" t="str">
            <v>Foreign Government</v>
          </cell>
          <cell r="L2192" t="str">
            <v>Non-US Gov't</v>
          </cell>
          <cell r="O2192">
            <v>0</v>
          </cell>
          <cell r="P2192">
            <v>0</v>
          </cell>
          <cell r="Q2192">
            <v>0</v>
          </cell>
          <cell r="R2192">
            <v>0</v>
          </cell>
          <cell r="S2192">
            <v>1</v>
          </cell>
          <cell r="T2192">
            <v>0</v>
          </cell>
          <cell r="U2192" t="str">
            <v>EBITA</v>
          </cell>
          <cell r="V2192" t="str">
            <v>Identified - Recompete</v>
          </cell>
          <cell r="W2192">
            <v>0</v>
          </cell>
          <cell r="X2192">
            <v>0</v>
          </cell>
          <cell r="Y2192">
            <v>0</v>
          </cell>
          <cell r="Z2192">
            <v>0</v>
          </cell>
          <cell r="AA2192">
            <v>0</v>
          </cell>
          <cell r="AB2192">
            <v>0</v>
          </cell>
          <cell r="AC2192">
            <v>0</v>
          </cell>
          <cell r="AD2192">
            <v>0</v>
          </cell>
          <cell r="BM2192">
            <v>0</v>
          </cell>
          <cell r="BN2192">
            <v>0</v>
          </cell>
          <cell r="BO2192">
            <v>0</v>
          </cell>
          <cell r="BP2192">
            <v>0</v>
          </cell>
          <cell r="BQ2192">
            <v>0</v>
          </cell>
          <cell r="BR2192">
            <v>0</v>
          </cell>
          <cell r="BT2192">
            <v>0</v>
          </cell>
          <cell r="BV2192">
            <v>2</v>
          </cell>
          <cell r="BW2192">
            <v>87</v>
          </cell>
          <cell r="CA2192" t="str">
            <v>OPP-748382 - EBITA - Identified - Recompete</v>
          </cell>
          <cell r="CC2192" t="str">
            <v>OPP-748382 - EBITA - Identified - Recompete - IS4</v>
          </cell>
          <cell r="CD2192" t="str">
            <v/>
          </cell>
          <cell r="CF2192" t="str">
            <v>OPP-748382 - Identified - Recompete - IS4</v>
          </cell>
        </row>
        <row r="2193">
          <cell r="D2193">
            <v>108</v>
          </cell>
          <cell r="E2193">
            <v>0</v>
          </cell>
          <cell r="F2193">
            <v>0</v>
          </cell>
          <cell r="G2193" t="str">
            <v>OPP-748382</v>
          </cell>
          <cell r="H2193" t="str">
            <v>RCAF Future Fighter Capability Project (FFCP) - Infrastructure DBO</v>
          </cell>
          <cell r="I2193" t="str">
            <v>IS4</v>
          </cell>
          <cell r="J2193" t="str">
            <v>IS4 Infrastructure and Engineering</v>
          </cell>
          <cell r="K2193" t="str">
            <v>Foreign Government</v>
          </cell>
          <cell r="L2193" t="str">
            <v>Non-US Gov't</v>
          </cell>
          <cell r="O2193">
            <v>44075</v>
          </cell>
          <cell r="P2193">
            <v>45901</v>
          </cell>
          <cell r="Q2193" t="str">
            <v>Minority</v>
          </cell>
          <cell r="R2193" t="str">
            <v>Cost Plus</v>
          </cell>
          <cell r="S2193">
            <v>1</v>
          </cell>
          <cell r="T2193">
            <v>0</v>
          </cell>
          <cell r="U2193" t="str">
            <v>EBITA</v>
          </cell>
          <cell r="V2193" t="str">
            <v>Identified - New</v>
          </cell>
          <cell r="W2193" t="str">
            <v>01 Prospect</v>
          </cell>
          <cell r="X2193" t="str">
            <v>Priority 3</v>
          </cell>
          <cell r="Y2193">
            <v>0.2</v>
          </cell>
          <cell r="Z2193">
            <v>19000006.84</v>
          </cell>
          <cell r="AA2193">
            <v>0</v>
          </cell>
          <cell r="AB2193">
            <v>0</v>
          </cell>
          <cell r="AC2193">
            <v>0</v>
          </cell>
          <cell r="AD2193">
            <v>0</v>
          </cell>
          <cell r="BM2193">
            <v>0</v>
          </cell>
          <cell r="BN2193">
            <v>1775.4450836044448</v>
          </cell>
          <cell r="BO2193">
            <v>22040.007934400001</v>
          </cell>
          <cell r="BP2193">
            <v>22040.007934400001</v>
          </cell>
          <cell r="BQ2193">
            <v>22040.007934400001</v>
          </cell>
          <cell r="BR2193">
            <v>67895.468886804447</v>
          </cell>
          <cell r="BT2193">
            <v>0</v>
          </cell>
          <cell r="BV2193">
            <v>77</v>
          </cell>
          <cell r="BW2193">
            <v>87</v>
          </cell>
          <cell r="CA2193" t="str">
            <v>OPP-748382 - EBITA - Identified - New</v>
          </cell>
          <cell r="CC2193" t="str">
            <v>OPP-748382 - EBITA - Identified - New - IS4</v>
          </cell>
          <cell r="CD2193" t="str">
            <v/>
          </cell>
          <cell r="CF2193" t="str">
            <v>OPP-748382 - Identified - New - IS4</v>
          </cell>
        </row>
        <row r="2194">
          <cell r="D2194">
            <v>109</v>
          </cell>
          <cell r="E2194">
            <v>1</v>
          </cell>
          <cell r="F2194">
            <v>1</v>
          </cell>
          <cell r="G2194" t="str">
            <v>OPP-410520</v>
          </cell>
          <cell r="H2194" t="str">
            <v>HHS FNLCR NCI O&amp;M</v>
          </cell>
          <cell r="I2194" t="str">
            <v>IS4</v>
          </cell>
          <cell r="J2194" t="str">
            <v>IS4 Infrastructure and Engineering</v>
          </cell>
          <cell r="K2194" t="str">
            <v>DHHS</v>
          </cell>
          <cell r="L2194" t="str">
            <v>DHHS</v>
          </cell>
          <cell r="O2194">
            <v>0</v>
          </cell>
          <cell r="P2194">
            <v>0</v>
          </cell>
          <cell r="Q2194">
            <v>0</v>
          </cell>
          <cell r="R2194">
            <v>0</v>
          </cell>
          <cell r="S2194">
            <v>1</v>
          </cell>
          <cell r="T2194">
            <v>0</v>
          </cell>
          <cell r="U2194" t="str">
            <v>REVTOT</v>
          </cell>
          <cell r="V2194" t="str">
            <v>Base</v>
          </cell>
          <cell r="W2194">
            <v>0</v>
          </cell>
          <cell r="X2194">
            <v>0</v>
          </cell>
          <cell r="Y2194">
            <v>0</v>
          </cell>
          <cell r="Z2194">
            <v>0</v>
          </cell>
          <cell r="AA2194">
            <v>0</v>
          </cell>
          <cell r="AB2194">
            <v>0</v>
          </cell>
          <cell r="AC2194">
            <v>0</v>
          </cell>
          <cell r="AD2194">
            <v>0</v>
          </cell>
          <cell r="BF2194">
            <v>0</v>
          </cell>
          <cell r="BG2194">
            <v>0</v>
          </cell>
          <cell r="BH2194">
            <v>0</v>
          </cell>
          <cell r="BI2194">
            <v>0</v>
          </cell>
          <cell r="BJ2194">
            <v>0</v>
          </cell>
          <cell r="BK2194">
            <v>0</v>
          </cell>
          <cell r="BL2194">
            <v>0</v>
          </cell>
          <cell r="BM2194">
            <v>0</v>
          </cell>
          <cell r="BN2194">
            <v>0</v>
          </cell>
          <cell r="BO2194">
            <v>0</v>
          </cell>
          <cell r="BP2194">
            <v>0</v>
          </cell>
          <cell r="BQ2194">
            <v>0</v>
          </cell>
          <cell r="BR2194">
            <v>0</v>
          </cell>
          <cell r="BT2194">
            <v>0</v>
          </cell>
          <cell r="BV2194">
            <v>2</v>
          </cell>
          <cell r="BW2194">
            <v>60</v>
          </cell>
          <cell r="CA2194" t="str">
            <v>OPP-410520 - REVTOT - Base</v>
          </cell>
          <cell r="CC2194" t="str">
            <v>OPP-410520 - REVTOT - Base - IS4</v>
          </cell>
          <cell r="CD2194" t="str">
            <v/>
          </cell>
          <cell r="CF2194" t="str">
            <v>OPP-410520 - Base - IS4</v>
          </cell>
        </row>
        <row r="2195">
          <cell r="D2195">
            <v>110</v>
          </cell>
          <cell r="E2195">
            <v>1</v>
          </cell>
          <cell r="F2195">
            <v>2</v>
          </cell>
          <cell r="G2195" t="str">
            <v>OPP-410520</v>
          </cell>
          <cell r="H2195" t="str">
            <v>HHS FNLCR NCI O&amp;M</v>
          </cell>
          <cell r="I2195" t="str">
            <v>IS4</v>
          </cell>
          <cell r="J2195" t="str">
            <v>IS4 Infrastructure and Engineering</v>
          </cell>
          <cell r="K2195" t="str">
            <v>DHHS</v>
          </cell>
          <cell r="L2195" t="str">
            <v>DHHS</v>
          </cell>
          <cell r="O2195">
            <v>0</v>
          </cell>
          <cell r="P2195">
            <v>0</v>
          </cell>
          <cell r="Q2195">
            <v>0</v>
          </cell>
          <cell r="R2195">
            <v>0</v>
          </cell>
          <cell r="S2195">
            <v>1</v>
          </cell>
          <cell r="T2195">
            <v>0</v>
          </cell>
          <cell r="U2195" t="str">
            <v>REVTOT</v>
          </cell>
          <cell r="V2195" t="str">
            <v>Identified - Recompete</v>
          </cell>
          <cell r="W2195">
            <v>0</v>
          </cell>
          <cell r="X2195">
            <v>0</v>
          </cell>
          <cell r="Y2195">
            <v>0</v>
          </cell>
          <cell r="Z2195">
            <v>0</v>
          </cell>
          <cell r="AA2195">
            <v>0</v>
          </cell>
          <cell r="AB2195">
            <v>0</v>
          </cell>
          <cell r="AC2195">
            <v>0</v>
          </cell>
          <cell r="AD2195">
            <v>0</v>
          </cell>
          <cell r="BM2195">
            <v>0</v>
          </cell>
          <cell r="BN2195">
            <v>0</v>
          </cell>
          <cell r="BO2195">
            <v>0</v>
          </cell>
          <cell r="BP2195">
            <v>0</v>
          </cell>
          <cell r="BQ2195">
            <v>0</v>
          </cell>
          <cell r="BR2195">
            <v>0</v>
          </cell>
          <cell r="BT2195">
            <v>0</v>
          </cell>
          <cell r="BV2195">
            <v>2</v>
          </cell>
          <cell r="BW2195">
            <v>60</v>
          </cell>
          <cell r="CA2195" t="str">
            <v>OPP-410520 - REVTOT - Identified - Recompete</v>
          </cell>
          <cell r="CC2195" t="str">
            <v>OPP-410520 - REVTOT - Identified - Recompete - IS4</v>
          </cell>
          <cell r="CD2195" t="str">
            <v/>
          </cell>
          <cell r="CF2195" t="str">
            <v>OPP-410520 - Identified - Recompete - IS4</v>
          </cell>
        </row>
        <row r="2196">
          <cell r="D2196">
            <v>111</v>
          </cell>
          <cell r="E2196">
            <v>1</v>
          </cell>
          <cell r="F2196">
            <v>3</v>
          </cell>
          <cell r="G2196" t="str">
            <v>OPP-410520</v>
          </cell>
          <cell r="H2196" t="str">
            <v>HHS FNLCR NCI O&amp;M</v>
          </cell>
          <cell r="I2196" t="str">
            <v>IS4</v>
          </cell>
          <cell r="J2196" t="str">
            <v>IS4 Infrastructure and Engineering</v>
          </cell>
          <cell r="K2196" t="str">
            <v>DHHS</v>
          </cell>
          <cell r="L2196" t="str">
            <v>DHHS</v>
          </cell>
          <cell r="O2196">
            <v>44837</v>
          </cell>
          <cell r="P2196">
            <v>52142</v>
          </cell>
          <cell r="Q2196" t="str">
            <v>Minority</v>
          </cell>
          <cell r="R2196" t="str">
            <v>Cost Plus</v>
          </cell>
          <cell r="S2196">
            <v>1</v>
          </cell>
          <cell r="T2196">
            <v>0</v>
          </cell>
          <cell r="U2196" t="str">
            <v>REVTOT</v>
          </cell>
          <cell r="V2196" t="str">
            <v>Identified - New</v>
          </cell>
          <cell r="W2196" t="str">
            <v>02 Capture</v>
          </cell>
          <cell r="X2196" t="str">
            <v>Priority 2</v>
          </cell>
          <cell r="Y2196">
            <v>0.3</v>
          </cell>
          <cell r="Z2196">
            <v>17500000</v>
          </cell>
          <cell r="AA2196">
            <v>0</v>
          </cell>
          <cell r="AB2196">
            <v>0</v>
          </cell>
          <cell r="AC2196">
            <v>0</v>
          </cell>
          <cell r="AD2196">
            <v>0</v>
          </cell>
          <cell r="BM2196">
            <v>0</v>
          </cell>
          <cell r="BN2196">
            <v>0</v>
          </cell>
          <cell r="BO2196">
            <v>0</v>
          </cell>
          <cell r="BP2196">
            <v>0</v>
          </cell>
          <cell r="BQ2196">
            <v>0</v>
          </cell>
          <cell r="BR2196">
            <v>0</v>
          </cell>
          <cell r="BT2196">
            <v>0</v>
          </cell>
          <cell r="BV2196">
            <v>78</v>
          </cell>
          <cell r="BW2196">
            <v>60</v>
          </cell>
          <cell r="CA2196" t="str">
            <v>OPP-410520 - REVTOT - Identified - New</v>
          </cell>
          <cell r="CC2196" t="str">
            <v>OPP-410520 - REVTOT - Identified - New - IS4</v>
          </cell>
          <cell r="CD2196" t="str">
            <v/>
          </cell>
          <cell r="CF2196" t="str">
            <v>OPP-410520 - Identified - New - IS4</v>
          </cell>
        </row>
        <row r="2197">
          <cell r="D2197">
            <v>112</v>
          </cell>
          <cell r="E2197">
            <v>2</v>
          </cell>
          <cell r="F2197">
            <v>4</v>
          </cell>
          <cell r="G2197" t="str">
            <v>OPP-410520</v>
          </cell>
          <cell r="H2197" t="str">
            <v>HHS FNLCR NCI O&amp;M</v>
          </cell>
          <cell r="I2197" t="str">
            <v>IS4</v>
          </cell>
          <cell r="J2197" t="str">
            <v>IS4 Infrastructure and Engineering</v>
          </cell>
          <cell r="K2197" t="str">
            <v>DHHS</v>
          </cell>
          <cell r="L2197" t="str">
            <v>DHHS</v>
          </cell>
          <cell r="O2197">
            <v>0</v>
          </cell>
          <cell r="P2197">
            <v>0</v>
          </cell>
          <cell r="Q2197">
            <v>0</v>
          </cell>
          <cell r="R2197">
            <v>0</v>
          </cell>
          <cell r="S2197">
            <v>1</v>
          </cell>
          <cell r="T2197">
            <v>0</v>
          </cell>
          <cell r="U2197" t="str">
            <v>CONTRACT</v>
          </cell>
          <cell r="V2197" t="str">
            <v>Base</v>
          </cell>
          <cell r="W2197">
            <v>0</v>
          </cell>
          <cell r="X2197">
            <v>0</v>
          </cell>
          <cell r="Y2197">
            <v>0</v>
          </cell>
          <cell r="Z2197">
            <v>0</v>
          </cell>
          <cell r="AA2197">
            <v>0</v>
          </cell>
          <cell r="AB2197">
            <v>0</v>
          </cell>
          <cell r="AC2197">
            <v>0</v>
          </cell>
          <cell r="AD2197">
            <v>0</v>
          </cell>
          <cell r="BF2197">
            <v>0</v>
          </cell>
          <cell r="BG2197">
            <v>0</v>
          </cell>
          <cell r="BH2197">
            <v>0</v>
          </cell>
          <cell r="BI2197">
            <v>0</v>
          </cell>
          <cell r="BJ2197">
            <v>0</v>
          </cell>
          <cell r="BK2197">
            <v>0</v>
          </cell>
          <cell r="BL2197">
            <v>0</v>
          </cell>
          <cell r="BM2197">
            <v>0</v>
          </cell>
          <cell r="BN2197">
            <v>0</v>
          </cell>
          <cell r="BO2197">
            <v>0</v>
          </cell>
          <cell r="BP2197">
            <v>0</v>
          </cell>
          <cell r="BQ2197">
            <v>0</v>
          </cell>
          <cell r="BR2197">
            <v>0</v>
          </cell>
          <cell r="BT2197">
            <v>0</v>
          </cell>
          <cell r="BV2197">
            <v>2</v>
          </cell>
          <cell r="BW2197">
            <v>78</v>
          </cell>
          <cell r="CA2197" t="str">
            <v>OPP-410520 - CONTRACT - Base</v>
          </cell>
          <cell r="CC2197" t="str">
            <v>OPP-410520 - CONTRACT - Base - IS4 - 2</v>
          </cell>
          <cell r="CD2197" t="str">
            <v/>
          </cell>
          <cell r="CF2197" t="str">
            <v>OPP-410520 - Base - IS4</v>
          </cell>
        </row>
        <row r="2198">
          <cell r="D2198">
            <v>113</v>
          </cell>
          <cell r="E2198">
            <v>2</v>
          </cell>
          <cell r="F2198">
            <v>5</v>
          </cell>
          <cell r="G2198" t="str">
            <v>OPP-410520</v>
          </cell>
          <cell r="H2198" t="str">
            <v>HHS FNLCR NCI O&amp;M</v>
          </cell>
          <cell r="I2198" t="str">
            <v>IS4</v>
          </cell>
          <cell r="J2198" t="str">
            <v>IS4 Infrastructure and Engineering</v>
          </cell>
          <cell r="K2198" t="str">
            <v>DHHS</v>
          </cell>
          <cell r="L2198" t="str">
            <v>DHHS</v>
          </cell>
          <cell r="O2198">
            <v>0</v>
          </cell>
          <cell r="P2198">
            <v>0</v>
          </cell>
          <cell r="Q2198">
            <v>0</v>
          </cell>
          <cell r="R2198">
            <v>0</v>
          </cell>
          <cell r="S2198">
            <v>1</v>
          </cell>
          <cell r="T2198">
            <v>0</v>
          </cell>
          <cell r="U2198" t="str">
            <v>CONTRACT</v>
          </cell>
          <cell r="V2198" t="str">
            <v>Identified - Recompete</v>
          </cell>
          <cell r="W2198">
            <v>0</v>
          </cell>
          <cell r="X2198">
            <v>0</v>
          </cell>
          <cell r="Y2198">
            <v>0</v>
          </cell>
          <cell r="Z2198">
            <v>0</v>
          </cell>
          <cell r="AA2198">
            <v>0</v>
          </cell>
          <cell r="AB2198">
            <v>0</v>
          </cell>
          <cell r="AC2198">
            <v>0</v>
          </cell>
          <cell r="AD2198">
            <v>0</v>
          </cell>
          <cell r="BM2198">
            <v>0</v>
          </cell>
          <cell r="BN2198">
            <v>0</v>
          </cell>
          <cell r="BO2198">
            <v>0</v>
          </cell>
          <cell r="BP2198">
            <v>0</v>
          </cell>
          <cell r="BQ2198">
            <v>0</v>
          </cell>
          <cell r="BR2198">
            <v>0</v>
          </cell>
          <cell r="BT2198">
            <v>0</v>
          </cell>
          <cell r="BV2198">
            <v>2</v>
          </cell>
          <cell r="BW2198">
            <v>78</v>
          </cell>
          <cell r="CA2198" t="str">
            <v>OPP-410520 - CONTRACT - Identified - Recompete</v>
          </cell>
          <cell r="CC2198" t="str">
            <v>OPP-410520 - CONTRACT - Identified - Recompete - IS4</v>
          </cell>
          <cell r="CD2198" t="str">
            <v/>
          </cell>
          <cell r="CF2198" t="str">
            <v>OPP-410520 - Identified - Recompete - IS4</v>
          </cell>
        </row>
        <row r="2199">
          <cell r="D2199">
            <v>114</v>
          </cell>
          <cell r="E2199">
            <v>2</v>
          </cell>
          <cell r="F2199">
            <v>6</v>
          </cell>
          <cell r="G2199" t="str">
            <v>OPP-410520</v>
          </cell>
          <cell r="H2199" t="str">
            <v>HHS FNLCR NCI O&amp;M</v>
          </cell>
          <cell r="I2199" t="str">
            <v>IS4</v>
          </cell>
          <cell r="J2199" t="str">
            <v>IS4 Infrastructure and Engineering</v>
          </cell>
          <cell r="K2199" t="str">
            <v>DHHS</v>
          </cell>
          <cell r="L2199" t="str">
            <v>DHHS</v>
          </cell>
          <cell r="O2199">
            <v>44837</v>
          </cell>
          <cell r="P2199">
            <v>52142</v>
          </cell>
          <cell r="Q2199" t="str">
            <v>Minority</v>
          </cell>
          <cell r="R2199" t="str">
            <v>Cost Plus</v>
          </cell>
          <cell r="S2199">
            <v>1</v>
          </cell>
          <cell r="T2199">
            <v>0</v>
          </cell>
          <cell r="U2199" t="str">
            <v>CONTRACT</v>
          </cell>
          <cell r="V2199" t="str">
            <v>Identified - New</v>
          </cell>
          <cell r="W2199" t="str">
            <v>02 Capture</v>
          </cell>
          <cell r="X2199" t="str">
            <v>Priority 2</v>
          </cell>
          <cell r="Y2199">
            <v>0.3</v>
          </cell>
          <cell r="Z2199">
            <v>17500000</v>
          </cell>
          <cell r="AA2199">
            <v>0</v>
          </cell>
          <cell r="AB2199">
            <v>0</v>
          </cell>
          <cell r="AC2199">
            <v>0</v>
          </cell>
          <cell r="AD2199">
            <v>0</v>
          </cell>
          <cell r="BM2199">
            <v>0</v>
          </cell>
          <cell r="BN2199">
            <v>0</v>
          </cell>
          <cell r="BO2199">
            <v>0</v>
          </cell>
          <cell r="BP2199">
            <v>0</v>
          </cell>
          <cell r="BQ2199">
            <v>0</v>
          </cell>
          <cell r="BR2199">
            <v>0</v>
          </cell>
          <cell r="BT2199">
            <v>0</v>
          </cell>
          <cell r="BV2199">
            <v>78</v>
          </cell>
          <cell r="BW2199">
            <v>78</v>
          </cell>
          <cell r="CA2199" t="str">
            <v>OPP-410520 - CONTRACT - Identified - New</v>
          </cell>
          <cell r="CC2199" t="str">
            <v>OPP-410520 - CONTRACT - Identified - New - IS4</v>
          </cell>
          <cell r="CD2199" t="str">
            <v/>
          </cell>
          <cell r="CF2199" t="str">
            <v>OPP-410520 - Identified - New - IS4</v>
          </cell>
        </row>
        <row r="2200">
          <cell r="D2200">
            <v>115</v>
          </cell>
          <cell r="E2200">
            <v>0</v>
          </cell>
          <cell r="F2200">
            <v>7</v>
          </cell>
          <cell r="G2200" t="str">
            <v>OPP-410520</v>
          </cell>
          <cell r="H2200" t="str">
            <v>HHS FNLCR NCI O&amp;M</v>
          </cell>
          <cell r="I2200" t="str">
            <v>IS4</v>
          </cell>
          <cell r="J2200" t="str">
            <v>IS4 Infrastructure and Engineering</v>
          </cell>
          <cell r="K2200" t="str">
            <v>DHHS</v>
          </cell>
          <cell r="L2200" t="str">
            <v>DHHS</v>
          </cell>
          <cell r="O2200">
            <v>0</v>
          </cell>
          <cell r="P2200">
            <v>0</v>
          </cell>
          <cell r="Q2200">
            <v>0</v>
          </cell>
          <cell r="R2200">
            <v>0</v>
          </cell>
          <cell r="S2200">
            <v>1</v>
          </cell>
          <cell r="T2200">
            <v>0</v>
          </cell>
          <cell r="U2200" t="str">
            <v>EBITA</v>
          </cell>
          <cell r="V2200" t="str">
            <v>Base</v>
          </cell>
          <cell r="W2200">
            <v>0</v>
          </cell>
          <cell r="X2200">
            <v>0</v>
          </cell>
          <cell r="Y2200">
            <v>0</v>
          </cell>
          <cell r="Z2200">
            <v>0</v>
          </cell>
          <cell r="AA2200">
            <v>0</v>
          </cell>
          <cell r="AB2200">
            <v>0</v>
          </cell>
          <cell r="AC2200">
            <v>0</v>
          </cell>
          <cell r="AD2200">
            <v>0</v>
          </cell>
          <cell r="BF2200">
            <v>0</v>
          </cell>
          <cell r="BG2200">
            <v>0</v>
          </cell>
          <cell r="BH2200">
            <v>0</v>
          </cell>
          <cell r="BI2200">
            <v>0</v>
          </cell>
          <cell r="BJ2200">
            <v>0</v>
          </cell>
          <cell r="BK2200">
            <v>0</v>
          </cell>
          <cell r="BL2200">
            <v>0</v>
          </cell>
          <cell r="BM2200">
            <v>0</v>
          </cell>
          <cell r="BN2200">
            <v>0</v>
          </cell>
          <cell r="BO2200">
            <v>0</v>
          </cell>
          <cell r="BP2200">
            <v>0</v>
          </cell>
          <cell r="BQ2200">
            <v>0</v>
          </cell>
          <cell r="BR2200">
            <v>0</v>
          </cell>
          <cell r="BT2200">
            <v>0</v>
          </cell>
          <cell r="BV2200">
            <v>2</v>
          </cell>
          <cell r="BW2200">
            <v>87</v>
          </cell>
          <cell r="CA2200" t="str">
            <v>OPP-410520 - EBITA - Base</v>
          </cell>
          <cell r="CC2200" t="str">
            <v>OPP-410520 - EBITA - Base - IS4</v>
          </cell>
          <cell r="CD2200" t="str">
            <v/>
          </cell>
          <cell r="CF2200" t="str">
            <v>OPP-410520 - Base - IS4</v>
          </cell>
        </row>
        <row r="2201">
          <cell r="D2201">
            <v>116</v>
          </cell>
          <cell r="E2201">
            <v>0</v>
          </cell>
          <cell r="F2201">
            <v>8</v>
          </cell>
          <cell r="G2201" t="str">
            <v>OPP-410520</v>
          </cell>
          <cell r="H2201" t="str">
            <v>HHS FNLCR NCI O&amp;M</v>
          </cell>
          <cell r="I2201" t="str">
            <v>IS4</v>
          </cell>
          <cell r="J2201" t="str">
            <v>IS4 Infrastructure and Engineering</v>
          </cell>
          <cell r="K2201" t="str">
            <v>DHHS</v>
          </cell>
          <cell r="L2201" t="str">
            <v>DHHS</v>
          </cell>
          <cell r="O2201">
            <v>0</v>
          </cell>
          <cell r="P2201">
            <v>0</v>
          </cell>
          <cell r="Q2201">
            <v>0</v>
          </cell>
          <cell r="R2201">
            <v>0</v>
          </cell>
          <cell r="S2201">
            <v>1</v>
          </cell>
          <cell r="T2201">
            <v>0</v>
          </cell>
          <cell r="U2201" t="str">
            <v>EBITA</v>
          </cell>
          <cell r="V2201" t="str">
            <v>Identified - Recompete</v>
          </cell>
          <cell r="W2201">
            <v>0</v>
          </cell>
          <cell r="X2201">
            <v>0</v>
          </cell>
          <cell r="Y2201">
            <v>0</v>
          </cell>
          <cell r="Z2201">
            <v>0</v>
          </cell>
          <cell r="AA2201">
            <v>0</v>
          </cell>
          <cell r="AB2201">
            <v>0</v>
          </cell>
          <cell r="AC2201">
            <v>0</v>
          </cell>
          <cell r="AD2201">
            <v>0</v>
          </cell>
          <cell r="BM2201">
            <v>0</v>
          </cell>
          <cell r="BN2201">
            <v>0</v>
          </cell>
          <cell r="BO2201">
            <v>0</v>
          </cell>
          <cell r="BP2201">
            <v>0</v>
          </cell>
          <cell r="BQ2201">
            <v>0</v>
          </cell>
          <cell r="BR2201">
            <v>0</v>
          </cell>
          <cell r="BT2201">
            <v>0</v>
          </cell>
          <cell r="BV2201">
            <v>2</v>
          </cell>
          <cell r="BW2201">
            <v>87</v>
          </cell>
          <cell r="CA2201" t="str">
            <v>OPP-410520 - EBITA - Identified - Recompete</v>
          </cell>
          <cell r="CC2201" t="str">
            <v>OPP-410520 - EBITA - Identified - Recompete - IS4</v>
          </cell>
          <cell r="CD2201" t="str">
            <v/>
          </cell>
          <cell r="CF2201" t="str">
            <v>OPP-410520 - Identified - Recompete - IS4</v>
          </cell>
        </row>
        <row r="2202">
          <cell r="D2202">
            <v>117</v>
          </cell>
          <cell r="E2202">
            <v>0</v>
          </cell>
          <cell r="F2202">
            <v>0</v>
          </cell>
          <cell r="G2202" t="str">
            <v>OPP-410520</v>
          </cell>
          <cell r="H2202" t="str">
            <v>HHS FNLCR NCI O&amp;M</v>
          </cell>
          <cell r="I2202" t="str">
            <v>IS4</v>
          </cell>
          <cell r="J2202" t="str">
            <v>IS4 Infrastructure and Engineering</v>
          </cell>
          <cell r="K2202" t="str">
            <v>DHHS</v>
          </cell>
          <cell r="L2202" t="str">
            <v>DHHS</v>
          </cell>
          <cell r="O2202">
            <v>44837</v>
          </cell>
          <cell r="P2202">
            <v>52142</v>
          </cell>
          <cell r="Q2202" t="str">
            <v>Minority</v>
          </cell>
          <cell r="R2202" t="str">
            <v>Cost Plus</v>
          </cell>
          <cell r="S2202">
            <v>1</v>
          </cell>
          <cell r="T2202">
            <v>0</v>
          </cell>
          <cell r="U2202" t="str">
            <v>EBITA</v>
          </cell>
          <cell r="V2202" t="str">
            <v>Identified - New</v>
          </cell>
          <cell r="W2202" t="str">
            <v>02 Capture</v>
          </cell>
          <cell r="X2202" t="str">
            <v>Priority 2</v>
          </cell>
          <cell r="Y2202">
            <v>0.3</v>
          </cell>
          <cell r="Z2202">
            <v>17500000</v>
          </cell>
          <cell r="AA2202">
            <v>0</v>
          </cell>
          <cell r="AB2202">
            <v>0</v>
          </cell>
          <cell r="AC2202">
            <v>0</v>
          </cell>
          <cell r="AD2202">
            <v>0</v>
          </cell>
          <cell r="BM2202">
            <v>0</v>
          </cell>
          <cell r="BN2202">
            <v>0</v>
          </cell>
          <cell r="BO2202">
            <v>0</v>
          </cell>
          <cell r="BP2202">
            <v>0</v>
          </cell>
          <cell r="BQ2202">
            <v>7549.0625</v>
          </cell>
          <cell r="BR2202">
            <v>7549.0625</v>
          </cell>
          <cell r="BT2202">
            <v>0</v>
          </cell>
          <cell r="BV2202">
            <v>78</v>
          </cell>
          <cell r="BW2202">
            <v>87</v>
          </cell>
          <cell r="CA2202" t="str">
            <v>OPP-410520 - EBITA - Identified - New</v>
          </cell>
          <cell r="CC2202" t="str">
            <v>OPP-410520 - EBITA - Identified - New - IS4</v>
          </cell>
          <cell r="CD2202" t="str">
            <v/>
          </cell>
          <cell r="CF2202" t="str">
            <v>OPP-410520 - Identified - New - IS4</v>
          </cell>
        </row>
        <row r="2203">
          <cell r="D2203">
            <v>1</v>
          </cell>
          <cell r="E2203">
            <v>1</v>
          </cell>
          <cell r="F2203">
            <v>1</v>
          </cell>
          <cell r="G2203" t="str">
            <v>SRR</v>
          </cell>
          <cell r="H2203" t="str">
            <v>SRR Total</v>
          </cell>
          <cell r="I2203" t="str">
            <v>NE</v>
          </cell>
          <cell r="J2203" t="str">
            <v>NE HLW &amp; NNSA Operations</v>
          </cell>
          <cell r="K2203" t="str">
            <v>DOE-EM</v>
          </cell>
          <cell r="L2203" t="str">
            <v>DOE</v>
          </cell>
          <cell r="M2203" t="str">
            <v>SC</v>
          </cell>
          <cell r="N2203" t="str">
            <v>CONUS</v>
          </cell>
          <cell r="O2203">
            <v>39995</v>
          </cell>
          <cell r="P2203">
            <v>44104</v>
          </cell>
          <cell r="Q2203" t="str">
            <v>Majority</v>
          </cell>
          <cell r="R2203" t="str">
            <v>CPAF</v>
          </cell>
          <cell r="S2203">
            <v>1</v>
          </cell>
          <cell r="T2203">
            <v>1</v>
          </cell>
          <cell r="U2203" t="str">
            <v>REVTOT</v>
          </cell>
          <cell r="V2203" t="str">
            <v>Base</v>
          </cell>
          <cell r="W2203" t="str">
            <v>05 Won</v>
          </cell>
          <cell r="X2203" t="str">
            <v>Active</v>
          </cell>
          <cell r="Y2203">
            <v>0</v>
          </cell>
          <cell r="Z2203">
            <v>0</v>
          </cell>
          <cell r="AA2203">
            <v>698743920</v>
          </cell>
          <cell r="AB2203">
            <v>0</v>
          </cell>
          <cell r="AC2203">
            <v>0</v>
          </cell>
          <cell r="AD2203">
            <v>698743920</v>
          </cell>
          <cell r="BF2203">
            <v>452987540.90000004</v>
          </cell>
          <cell r="BG2203">
            <v>464349498.23000002</v>
          </cell>
          <cell r="BH2203">
            <v>494211020.13</v>
          </cell>
          <cell r="BI2203">
            <v>132326023.19999999</v>
          </cell>
          <cell r="BJ2203">
            <v>149119140.91999999</v>
          </cell>
          <cell r="BK2203">
            <v>143834577.86000001</v>
          </cell>
          <cell r="BL2203">
            <v>152761182</v>
          </cell>
          <cell r="BM2203">
            <v>578040923.98000002</v>
          </cell>
          <cell r="BN2203">
            <v>698743920</v>
          </cell>
          <cell r="BO2203">
            <v>0</v>
          </cell>
          <cell r="BP2203">
            <v>0</v>
          </cell>
          <cell r="BQ2203">
            <v>0</v>
          </cell>
          <cell r="BR2203">
            <v>1276784843.98</v>
          </cell>
          <cell r="BT2203">
            <v>49</v>
          </cell>
          <cell r="BV2203">
            <v>7</v>
          </cell>
          <cell r="BW2203">
            <v>60</v>
          </cell>
          <cell r="CA2203" t="str">
            <v>SRR - REVTOT - Base</v>
          </cell>
          <cell r="CC2203" t="str">
            <v>SRR - REVTOT - Base - NE</v>
          </cell>
          <cell r="CD2203" t="str">
            <v/>
          </cell>
          <cell r="CF2203" t="str">
            <v>SRR - Base - NE</v>
          </cell>
        </row>
        <row r="2204">
          <cell r="D2204">
            <v>2</v>
          </cell>
          <cell r="E2204">
            <v>1</v>
          </cell>
          <cell r="F2204">
            <v>2</v>
          </cell>
          <cell r="G2204" t="str">
            <v>SRR</v>
          </cell>
          <cell r="H2204" t="str">
            <v>SRR Total</v>
          </cell>
          <cell r="I2204" t="str">
            <v>NE</v>
          </cell>
          <cell r="J2204" t="str">
            <v>NE HLW &amp; NNSA Operations</v>
          </cell>
          <cell r="K2204" t="str">
            <v>DOE-EM</v>
          </cell>
          <cell r="L2204" t="str">
            <v>DOE</v>
          </cell>
          <cell r="M2204" t="str">
            <v>SC</v>
          </cell>
          <cell r="N2204" t="str">
            <v>CONUS</v>
          </cell>
          <cell r="O2204">
            <v>44105</v>
          </cell>
          <cell r="P2204">
            <v>47757</v>
          </cell>
          <cell r="Q2204" t="str">
            <v>Majority</v>
          </cell>
          <cell r="R2204" t="str">
            <v>Multi</v>
          </cell>
          <cell r="S2204">
            <v>1</v>
          </cell>
          <cell r="T2204">
            <v>1</v>
          </cell>
          <cell r="U2204" t="str">
            <v>REVTOT</v>
          </cell>
          <cell r="V2204" t="str">
            <v>Identified - Recompete</v>
          </cell>
          <cell r="W2204" t="str">
            <v>00 Investigate</v>
          </cell>
          <cell r="X2204" t="str">
            <v>Priority 1</v>
          </cell>
          <cell r="Y2204">
            <v>0.5</v>
          </cell>
          <cell r="Z2204">
            <v>5000000000</v>
          </cell>
          <cell r="AA2204">
            <v>0</v>
          </cell>
          <cell r="AB2204">
            <v>0</v>
          </cell>
          <cell r="AC2204">
            <v>0</v>
          </cell>
          <cell r="AD2204">
            <v>0</v>
          </cell>
          <cell r="BM2204">
            <v>0</v>
          </cell>
          <cell r="BN2204">
            <v>0</v>
          </cell>
          <cell r="BO2204">
            <v>500000000</v>
          </cell>
          <cell r="BP2204">
            <v>500000000</v>
          </cell>
          <cell r="BQ2204">
            <v>500000000</v>
          </cell>
          <cell r="BR2204">
            <v>1500000000</v>
          </cell>
          <cell r="BT2204">
            <v>49</v>
          </cell>
          <cell r="BV2204">
            <v>8</v>
          </cell>
          <cell r="BW2204">
            <v>60</v>
          </cell>
          <cell r="CA2204" t="str">
            <v>SRR - REVTOT - Identified - Recompete</v>
          </cell>
          <cell r="CC2204" t="str">
            <v>SRR - REVTOT - Identified - Recompete - NE</v>
          </cell>
          <cell r="CD2204" t="str">
            <v/>
          </cell>
          <cell r="CF2204" t="str">
            <v>SRR - Identified - Recompete - NE</v>
          </cell>
        </row>
        <row r="2205">
          <cell r="D2205">
            <v>3</v>
          </cell>
          <cell r="E2205">
            <v>1</v>
          </cell>
          <cell r="F2205">
            <v>3</v>
          </cell>
          <cell r="G2205" t="str">
            <v>SRR</v>
          </cell>
          <cell r="H2205" t="str">
            <v>SRR Total</v>
          </cell>
          <cell r="I2205" t="str">
            <v>NE</v>
          </cell>
          <cell r="J2205" t="str">
            <v>NE HLW &amp; NNSA Operations</v>
          </cell>
          <cell r="K2205" t="str">
            <v>DOE-EM</v>
          </cell>
          <cell r="L2205" t="str">
            <v>DOE</v>
          </cell>
          <cell r="M2205" t="str">
            <v>SC</v>
          </cell>
          <cell r="N2205" t="str">
            <v>CONUS</v>
          </cell>
          <cell r="O2205">
            <v>0</v>
          </cell>
          <cell r="P2205">
            <v>0</v>
          </cell>
          <cell r="Q2205">
            <v>0</v>
          </cell>
          <cell r="R2205">
            <v>0</v>
          </cell>
          <cell r="S2205">
            <v>1</v>
          </cell>
          <cell r="T2205">
            <v>0</v>
          </cell>
          <cell r="U2205" t="str">
            <v>REVTOT</v>
          </cell>
          <cell r="V2205" t="str">
            <v>Identified - New</v>
          </cell>
          <cell r="W2205">
            <v>0</v>
          </cell>
          <cell r="X2205">
            <v>0</v>
          </cell>
          <cell r="Y2205">
            <v>0</v>
          </cell>
          <cell r="Z2205">
            <v>0</v>
          </cell>
          <cell r="AA2205">
            <v>0</v>
          </cell>
          <cell r="AB2205">
            <v>0</v>
          </cell>
          <cell r="AC2205">
            <v>0</v>
          </cell>
          <cell r="AD2205">
            <v>0</v>
          </cell>
          <cell r="BM2205">
            <v>0</v>
          </cell>
          <cell r="BN2205">
            <v>0</v>
          </cell>
          <cell r="BO2205">
            <v>0</v>
          </cell>
          <cell r="BP2205">
            <v>0</v>
          </cell>
          <cell r="BQ2205">
            <v>0</v>
          </cell>
          <cell r="BR2205">
            <v>0</v>
          </cell>
          <cell r="BT2205">
            <v>49</v>
          </cell>
          <cell r="BV2205">
            <v>2</v>
          </cell>
          <cell r="BW2205">
            <v>60</v>
          </cell>
          <cell r="CA2205" t="str">
            <v>SRR - REVTOT - Identified - New</v>
          </cell>
          <cell r="CC2205" t="str">
            <v>SRR - REVTOT - Identified - New - NE</v>
          </cell>
          <cell r="CD2205" t="str">
            <v/>
          </cell>
          <cell r="CF2205" t="str">
            <v>SRR - Identified - New - NE</v>
          </cell>
        </row>
        <row r="2206">
          <cell r="D2206">
            <v>4</v>
          </cell>
          <cell r="E2206">
            <v>2</v>
          </cell>
          <cell r="F2206">
            <v>4</v>
          </cell>
          <cell r="G2206" t="str">
            <v>SRR</v>
          </cell>
          <cell r="H2206" t="str">
            <v>SRR Total</v>
          </cell>
          <cell r="I2206" t="str">
            <v>NE</v>
          </cell>
          <cell r="J2206" t="str">
            <v>NE HLW &amp; NNSA Operations</v>
          </cell>
          <cell r="K2206" t="str">
            <v>DOE-EM</v>
          </cell>
          <cell r="L2206" t="str">
            <v>DOE</v>
          </cell>
          <cell r="M2206" t="str">
            <v>SC</v>
          </cell>
          <cell r="N2206" t="str">
            <v>CONUS</v>
          </cell>
          <cell r="O2206">
            <v>39995</v>
          </cell>
          <cell r="P2206">
            <v>44104</v>
          </cell>
          <cell r="Q2206" t="str">
            <v>Majority</v>
          </cell>
          <cell r="R2206" t="str">
            <v>CPAF</v>
          </cell>
          <cell r="S2206">
            <v>1</v>
          </cell>
          <cell r="T2206">
            <v>1</v>
          </cell>
          <cell r="U2206" t="str">
            <v>CONTRACT</v>
          </cell>
          <cell r="V2206" t="str">
            <v>Base</v>
          </cell>
          <cell r="W2206" t="str">
            <v>05 Won</v>
          </cell>
          <cell r="X2206" t="str">
            <v>Active</v>
          </cell>
          <cell r="Y2206">
            <v>0</v>
          </cell>
          <cell r="Z2206">
            <v>0</v>
          </cell>
          <cell r="AA2206">
            <v>698743920</v>
          </cell>
          <cell r="AB2206">
            <v>0</v>
          </cell>
          <cell r="AC2206">
            <v>0</v>
          </cell>
          <cell r="AD2206">
            <v>698743920</v>
          </cell>
          <cell r="BF2206">
            <v>17725793.679999977</v>
          </cell>
          <cell r="BG2206">
            <v>19707267.710000012</v>
          </cell>
          <cell r="BH2206">
            <v>22240371.34</v>
          </cell>
          <cell r="BI2206">
            <v>6157405.7199999914</v>
          </cell>
          <cell r="BJ2206">
            <v>8251246.450000003</v>
          </cell>
          <cell r="BK2206">
            <v>6662594.2099999934</v>
          </cell>
          <cell r="BL2206">
            <v>7001779</v>
          </cell>
          <cell r="BM2206">
            <v>28073025.379999988</v>
          </cell>
          <cell r="BN2206">
            <v>33935064.087191485</v>
          </cell>
          <cell r="BO2206">
            <v>0</v>
          </cell>
          <cell r="BP2206">
            <v>0</v>
          </cell>
          <cell r="BQ2206">
            <v>0</v>
          </cell>
          <cell r="BR2206">
            <v>62008089.467191473</v>
          </cell>
          <cell r="BT2206">
            <v>49</v>
          </cell>
          <cell r="BV2206">
            <v>7</v>
          </cell>
          <cell r="BW2206">
            <v>78</v>
          </cell>
          <cell r="CA2206" t="str">
            <v>SRR - CONTRACT - Base</v>
          </cell>
          <cell r="CC2206" t="str">
            <v>SRR - CONTRACT - Base - NE - 2</v>
          </cell>
          <cell r="CD2206" t="str">
            <v/>
          </cell>
          <cell r="CF2206" t="str">
            <v>SRR - Base - NE</v>
          </cell>
        </row>
        <row r="2207">
          <cell r="D2207">
            <v>5</v>
          </cell>
          <cell r="E2207">
            <v>2</v>
          </cell>
          <cell r="F2207">
            <v>5</v>
          </cell>
          <cell r="G2207" t="str">
            <v>SRR</v>
          </cell>
          <cell r="H2207" t="str">
            <v>SRR Total</v>
          </cell>
          <cell r="I2207" t="str">
            <v>NE</v>
          </cell>
          <cell r="J2207" t="str">
            <v>NE HLW &amp; NNSA Operations</v>
          </cell>
          <cell r="K2207" t="str">
            <v>DOE-EM</v>
          </cell>
          <cell r="L2207" t="str">
            <v>DOE</v>
          </cell>
          <cell r="M2207" t="str">
            <v>SC</v>
          </cell>
          <cell r="N2207" t="str">
            <v>CONUS</v>
          </cell>
          <cell r="O2207">
            <v>44105</v>
          </cell>
          <cell r="P2207">
            <v>47757</v>
          </cell>
          <cell r="Q2207" t="str">
            <v>Majority</v>
          </cell>
          <cell r="R2207" t="str">
            <v>Multi</v>
          </cell>
          <cell r="S2207">
            <v>1</v>
          </cell>
          <cell r="T2207">
            <v>1</v>
          </cell>
          <cell r="U2207" t="str">
            <v>CONTRACT</v>
          </cell>
          <cell r="V2207" t="str">
            <v>Identified - Recompete</v>
          </cell>
          <cell r="W2207" t="str">
            <v>00 Investigate</v>
          </cell>
          <cell r="X2207" t="str">
            <v>Priority 1</v>
          </cell>
          <cell r="Y2207">
            <v>0.5</v>
          </cell>
          <cell r="Z2207">
            <v>5000000000</v>
          </cell>
          <cell r="AA2207">
            <v>0</v>
          </cell>
          <cell r="AB2207">
            <v>0</v>
          </cell>
          <cell r="AC2207">
            <v>0</v>
          </cell>
          <cell r="AD2207">
            <v>0</v>
          </cell>
          <cell r="BM2207">
            <v>0</v>
          </cell>
          <cell r="BN2207">
            <v>0</v>
          </cell>
          <cell r="BO2207">
            <v>25497724.868760273</v>
          </cell>
          <cell r="BP2207">
            <v>25497724.868760273</v>
          </cell>
          <cell r="BQ2207">
            <v>25497724.868760273</v>
          </cell>
          <cell r="BR2207">
            <v>76493174.606280819</v>
          </cell>
          <cell r="BT2207">
            <v>49</v>
          </cell>
          <cell r="BV2207">
            <v>8</v>
          </cell>
          <cell r="BW2207">
            <v>78</v>
          </cell>
          <cell r="CA2207" t="str">
            <v>SRR - CONTRACT - Identified - Recompete</v>
          </cell>
          <cell r="CC2207" t="str">
            <v>SRR - CONTRACT - Identified - Recompete - NE</v>
          </cell>
          <cell r="CD2207" t="str">
            <v/>
          </cell>
          <cell r="CF2207" t="str">
            <v>SRR - Identified - Recompete - NE</v>
          </cell>
        </row>
        <row r="2208">
          <cell r="D2208">
            <v>6</v>
          </cell>
          <cell r="E2208">
            <v>2</v>
          </cell>
          <cell r="F2208">
            <v>6</v>
          </cell>
          <cell r="G2208" t="str">
            <v>SRR</v>
          </cell>
          <cell r="H2208" t="str">
            <v>SRR Total</v>
          </cell>
          <cell r="I2208" t="str">
            <v>NE</v>
          </cell>
          <cell r="J2208" t="str">
            <v>NE HLW &amp; NNSA Operations</v>
          </cell>
          <cell r="K2208" t="str">
            <v>DOE-EM</v>
          </cell>
          <cell r="L2208" t="str">
            <v>DOE</v>
          </cell>
          <cell r="M2208" t="str">
            <v>SC</v>
          </cell>
          <cell r="N2208" t="str">
            <v>CONUS</v>
          </cell>
          <cell r="O2208">
            <v>0</v>
          </cell>
          <cell r="P2208">
            <v>0</v>
          </cell>
          <cell r="Q2208">
            <v>0</v>
          </cell>
          <cell r="R2208">
            <v>0</v>
          </cell>
          <cell r="S2208">
            <v>1</v>
          </cell>
          <cell r="T2208">
            <v>0</v>
          </cell>
          <cell r="U2208" t="str">
            <v>CONTRACT</v>
          </cell>
          <cell r="V2208" t="str">
            <v>Identified - New</v>
          </cell>
          <cell r="W2208">
            <v>0</v>
          </cell>
          <cell r="X2208">
            <v>0</v>
          </cell>
          <cell r="Y2208">
            <v>0</v>
          </cell>
          <cell r="Z2208">
            <v>0</v>
          </cell>
          <cell r="AA2208">
            <v>0</v>
          </cell>
          <cell r="AB2208">
            <v>0</v>
          </cell>
          <cell r="AC2208">
            <v>0</v>
          </cell>
          <cell r="AD2208">
            <v>0</v>
          </cell>
          <cell r="BM2208">
            <v>0</v>
          </cell>
          <cell r="BN2208">
            <v>0</v>
          </cell>
          <cell r="BO2208">
            <v>0</v>
          </cell>
          <cell r="BP2208">
            <v>0</v>
          </cell>
          <cell r="BQ2208">
            <v>0</v>
          </cell>
          <cell r="BR2208">
            <v>0</v>
          </cell>
          <cell r="BT2208">
            <v>49</v>
          </cell>
          <cell r="BV2208">
            <v>2</v>
          </cell>
          <cell r="BW2208">
            <v>78</v>
          </cell>
          <cell r="CA2208" t="str">
            <v>SRR - CONTRACT - Identified - New</v>
          </cell>
          <cell r="CC2208" t="str">
            <v>SRR - CONTRACT - Identified - New - NE</v>
          </cell>
          <cell r="CD2208" t="str">
            <v/>
          </cell>
          <cell r="CF2208" t="str">
            <v>SRR - Identified - New - NE</v>
          </cell>
        </row>
        <row r="2209">
          <cell r="D2209">
            <v>7</v>
          </cell>
          <cell r="E2209">
            <v>0</v>
          </cell>
          <cell r="F2209">
            <v>7</v>
          </cell>
          <cell r="G2209" t="str">
            <v>SRR</v>
          </cell>
          <cell r="H2209" t="str">
            <v>SRR Total</v>
          </cell>
          <cell r="I2209" t="str">
            <v>NE</v>
          </cell>
          <cell r="J2209" t="str">
            <v>NE HLW &amp; NNSA Operations</v>
          </cell>
          <cell r="K2209" t="str">
            <v>DOE-EM</v>
          </cell>
          <cell r="L2209" t="str">
            <v>DOE</v>
          </cell>
          <cell r="M2209" t="str">
            <v>SC</v>
          </cell>
          <cell r="N2209" t="str">
            <v>CONUS</v>
          </cell>
          <cell r="O2209">
            <v>39995</v>
          </cell>
          <cell r="P2209">
            <v>44104</v>
          </cell>
          <cell r="Q2209" t="str">
            <v>Majority</v>
          </cell>
          <cell r="R2209" t="str">
            <v>CPAF</v>
          </cell>
          <cell r="S2209">
            <v>1</v>
          </cell>
          <cell r="T2209">
            <v>1</v>
          </cell>
          <cell r="U2209" t="str">
            <v>EBITA</v>
          </cell>
          <cell r="V2209" t="str">
            <v>Base</v>
          </cell>
          <cell r="W2209" t="str">
            <v>05 Won</v>
          </cell>
          <cell r="X2209" t="str">
            <v>Active</v>
          </cell>
          <cell r="Y2209">
            <v>0</v>
          </cell>
          <cell r="Z2209">
            <v>0</v>
          </cell>
          <cell r="AA2209">
            <v>698743920</v>
          </cell>
          <cell r="AB2209">
            <v>0</v>
          </cell>
          <cell r="AC2209">
            <v>0</v>
          </cell>
          <cell r="AD2209">
            <v>698743920</v>
          </cell>
          <cell r="BF2209">
            <v>2685110.2599999765</v>
          </cell>
          <cell r="BG2209">
            <v>3169992.6000000117</v>
          </cell>
          <cell r="BH2209">
            <v>6074582.6299999999</v>
          </cell>
          <cell r="BI2209">
            <v>3033605.1799999913</v>
          </cell>
          <cell r="BJ2209">
            <v>3809623.950000003</v>
          </cell>
          <cell r="BK2209">
            <v>3037524.7299999935</v>
          </cell>
          <cell r="BL2209">
            <v>3433921.6100000003</v>
          </cell>
          <cell r="BM2209">
            <v>13314675.469999988</v>
          </cell>
          <cell r="BN2209">
            <v>16782515.518988483</v>
          </cell>
          <cell r="BO2209">
            <v>0</v>
          </cell>
          <cell r="BP2209">
            <v>0</v>
          </cell>
          <cell r="BQ2209">
            <v>0</v>
          </cell>
          <cell r="BR2209">
            <v>30097190.98898847</v>
          </cell>
          <cell r="BT2209">
            <v>49</v>
          </cell>
          <cell r="BV2209">
            <v>7</v>
          </cell>
          <cell r="BW2209">
            <v>87</v>
          </cell>
          <cell r="CA2209" t="str">
            <v>SRR - EBITA - Base</v>
          </cell>
          <cell r="CC2209" t="str">
            <v>SRR - EBITA - Base - NE</v>
          </cell>
          <cell r="CD2209" t="str">
            <v/>
          </cell>
          <cell r="CF2209" t="str">
            <v>SRR - Base - NE</v>
          </cell>
        </row>
        <row r="2210">
          <cell r="D2210">
            <v>8</v>
          </cell>
          <cell r="E2210">
            <v>0</v>
          </cell>
          <cell r="F2210">
            <v>8</v>
          </cell>
          <cell r="G2210" t="str">
            <v>SRR</v>
          </cell>
          <cell r="H2210" t="str">
            <v>SRR Total</v>
          </cell>
          <cell r="I2210" t="str">
            <v>NE</v>
          </cell>
          <cell r="J2210" t="str">
            <v>NE HLW &amp; NNSA Operations</v>
          </cell>
          <cell r="K2210" t="str">
            <v>DOE-EM</v>
          </cell>
          <cell r="L2210" t="str">
            <v>DOE</v>
          </cell>
          <cell r="M2210" t="str">
            <v>SC</v>
          </cell>
          <cell r="N2210" t="str">
            <v>CONUS</v>
          </cell>
          <cell r="O2210">
            <v>44105</v>
          </cell>
          <cell r="P2210">
            <v>47757</v>
          </cell>
          <cell r="Q2210" t="str">
            <v>Majority</v>
          </cell>
          <cell r="R2210" t="str">
            <v>Multi</v>
          </cell>
          <cell r="S2210">
            <v>1</v>
          </cell>
          <cell r="T2210">
            <v>1</v>
          </cell>
          <cell r="U2210" t="str">
            <v>EBITA</v>
          </cell>
          <cell r="V2210" t="str">
            <v>Identified - Recompete</v>
          </cell>
          <cell r="W2210" t="str">
            <v>00 Investigate</v>
          </cell>
          <cell r="X2210" t="str">
            <v>Priority 1</v>
          </cell>
          <cell r="Y2210">
            <v>0.5</v>
          </cell>
          <cell r="Z2210">
            <v>5000000000</v>
          </cell>
          <cell r="AA2210">
            <v>0</v>
          </cell>
          <cell r="AB2210">
            <v>0</v>
          </cell>
          <cell r="AC2210">
            <v>0</v>
          </cell>
          <cell r="AD2210">
            <v>0</v>
          </cell>
          <cell r="BM2210">
            <v>0</v>
          </cell>
          <cell r="BN2210">
            <v>0</v>
          </cell>
          <cell r="BO2210">
            <v>12009060.142511496</v>
          </cell>
          <cell r="BP2210">
            <v>12009060.142511496</v>
          </cell>
          <cell r="BQ2210">
            <v>12009060.142511496</v>
          </cell>
          <cell r="BR2210">
            <v>36027180.427534491</v>
          </cell>
          <cell r="BT2210">
            <v>49</v>
          </cell>
          <cell r="BV2210">
            <v>8</v>
          </cell>
          <cell r="BW2210">
            <v>87</v>
          </cell>
          <cell r="CA2210" t="str">
            <v>SRR - EBITA - Identified - Recompete</v>
          </cell>
          <cell r="CC2210" t="str">
            <v>SRR - EBITA - Identified - Recompete - NE</v>
          </cell>
          <cell r="CD2210" t="str">
            <v/>
          </cell>
          <cell r="CF2210" t="str">
            <v>SRR - Identified - Recompete - NE</v>
          </cell>
        </row>
        <row r="2211">
          <cell r="D2211">
            <v>9</v>
          </cell>
          <cell r="E2211">
            <v>0</v>
          </cell>
          <cell r="F2211">
            <v>0</v>
          </cell>
          <cell r="G2211" t="str">
            <v>SRR</v>
          </cell>
          <cell r="H2211" t="str">
            <v>SRR Total</v>
          </cell>
          <cell r="I2211" t="str">
            <v>NE</v>
          </cell>
          <cell r="J2211" t="str">
            <v>NE HLW &amp; NNSA Operations</v>
          </cell>
          <cell r="K2211" t="str">
            <v>DOE-EM</v>
          </cell>
          <cell r="L2211" t="str">
            <v>DOE</v>
          </cell>
          <cell r="M2211" t="str">
            <v>SC</v>
          </cell>
          <cell r="N2211" t="str">
            <v>CONUS</v>
          </cell>
          <cell r="O2211">
            <v>0</v>
          </cell>
          <cell r="P2211">
            <v>0</v>
          </cell>
          <cell r="Q2211">
            <v>0</v>
          </cell>
          <cell r="R2211">
            <v>0</v>
          </cell>
          <cell r="S2211">
            <v>1</v>
          </cell>
          <cell r="T2211">
            <v>0</v>
          </cell>
          <cell r="U2211" t="str">
            <v>EBITA</v>
          </cell>
          <cell r="V2211" t="str">
            <v>Identified - New</v>
          </cell>
          <cell r="W2211">
            <v>0</v>
          </cell>
          <cell r="X2211">
            <v>0</v>
          </cell>
          <cell r="Y2211">
            <v>0</v>
          </cell>
          <cell r="Z2211">
            <v>0</v>
          </cell>
          <cell r="AA2211">
            <v>0</v>
          </cell>
          <cell r="AB2211">
            <v>0</v>
          </cell>
          <cell r="AC2211">
            <v>0</v>
          </cell>
          <cell r="AD2211">
            <v>0</v>
          </cell>
          <cell r="BM2211">
            <v>0</v>
          </cell>
          <cell r="BN2211">
            <v>0</v>
          </cell>
          <cell r="BO2211">
            <v>0</v>
          </cell>
          <cell r="BP2211">
            <v>0</v>
          </cell>
          <cell r="BQ2211">
            <v>0</v>
          </cell>
          <cell r="BR2211">
            <v>0</v>
          </cell>
          <cell r="BT2211">
            <v>49</v>
          </cell>
          <cell r="BV2211">
            <v>2</v>
          </cell>
          <cell r="BW2211">
            <v>87</v>
          </cell>
          <cell r="CA2211" t="str">
            <v>SRR - EBITA - Identified - New</v>
          </cell>
          <cell r="CC2211" t="str">
            <v>SRR - EBITA - Identified - New - NE</v>
          </cell>
          <cell r="CD2211" t="str">
            <v/>
          </cell>
          <cell r="CF2211" t="str">
            <v>SRR - Identified - New - NE</v>
          </cell>
        </row>
        <row r="2212">
          <cell r="D2212">
            <v>10</v>
          </cell>
          <cell r="E2212">
            <v>1</v>
          </cell>
          <cell r="F2212">
            <v>1</v>
          </cell>
          <cell r="G2212" t="str">
            <v>ETTP</v>
          </cell>
          <cell r="H2212" t="str">
            <v>ETTP Total</v>
          </cell>
          <cell r="I2212" t="str">
            <v>NE</v>
          </cell>
          <cell r="J2212" t="str">
            <v>NE DD and WM Projects</v>
          </cell>
          <cell r="K2212" t="str">
            <v>DOE-EM</v>
          </cell>
          <cell r="L2212" t="str">
            <v>DOE</v>
          </cell>
          <cell r="M2212" t="str">
            <v>TN</v>
          </cell>
          <cell r="N2212" t="str">
            <v>CONUS</v>
          </cell>
          <cell r="O2212">
            <v>40756</v>
          </cell>
          <cell r="P2212">
            <v>44227</v>
          </cell>
          <cell r="Q2212" t="str">
            <v>Majority</v>
          </cell>
          <cell r="R2212" t="str">
            <v>CPAF</v>
          </cell>
          <cell r="S2212">
            <v>1</v>
          </cell>
          <cell r="T2212">
            <v>1</v>
          </cell>
          <cell r="U2212" t="str">
            <v>REVTOT</v>
          </cell>
          <cell r="V2212" t="str">
            <v>Base</v>
          </cell>
          <cell r="W2212" t="str">
            <v>05 Won</v>
          </cell>
          <cell r="X2212" t="str">
            <v>Active</v>
          </cell>
          <cell r="Y2212">
            <v>0</v>
          </cell>
          <cell r="Z2212">
            <v>0</v>
          </cell>
          <cell r="AA2212">
            <v>38635108.483007818</v>
          </cell>
          <cell r="AB2212">
            <v>5404774.0099999998</v>
          </cell>
          <cell r="AC2212">
            <v>0</v>
          </cell>
          <cell r="AD2212">
            <v>44039882.493007816</v>
          </cell>
          <cell r="BF2212">
            <v>16286085.310000001</v>
          </cell>
          <cell r="BG2212">
            <v>27398949.120000001</v>
          </cell>
          <cell r="BH2212">
            <v>20041219.25</v>
          </cell>
          <cell r="BI2212">
            <v>5151386.9499999993</v>
          </cell>
          <cell r="BJ2212">
            <v>4322140.26</v>
          </cell>
          <cell r="BK2212">
            <v>12906388.510000002</v>
          </cell>
          <cell r="BL2212">
            <v>8187174.4800000004</v>
          </cell>
          <cell r="BM2212">
            <v>30567090.199999999</v>
          </cell>
          <cell r="BN2212">
            <v>33540000</v>
          </cell>
          <cell r="BO2212">
            <v>10499882.493007816</v>
          </cell>
          <cell r="BP2212">
            <v>0</v>
          </cell>
          <cell r="BQ2212">
            <v>0</v>
          </cell>
          <cell r="BR2212">
            <v>74606972.693007827</v>
          </cell>
          <cell r="BT2212">
            <v>50</v>
          </cell>
          <cell r="BV2212">
            <v>9</v>
          </cell>
          <cell r="BW2212">
            <v>60</v>
          </cell>
          <cell r="CA2212" t="str">
            <v>ETTP - REVTOT - Base</v>
          </cell>
          <cell r="CC2212" t="str">
            <v>ETTP - REVTOT - Base - NE</v>
          </cell>
          <cell r="CD2212" t="str">
            <v/>
          </cell>
          <cell r="CF2212" t="str">
            <v>ETTP - Base - NE</v>
          </cell>
        </row>
        <row r="2213">
          <cell r="D2213">
            <v>11</v>
          </cell>
          <cell r="E2213">
            <v>1</v>
          </cell>
          <cell r="F2213">
            <v>2</v>
          </cell>
          <cell r="G2213" t="str">
            <v>ETTP</v>
          </cell>
          <cell r="H2213" t="str">
            <v>ETTP Total</v>
          </cell>
          <cell r="I2213" t="str">
            <v>NE</v>
          </cell>
          <cell r="J2213" t="str">
            <v>NE DD and WM Projects</v>
          </cell>
          <cell r="K2213" t="str">
            <v>DOE-EM</v>
          </cell>
          <cell r="L2213" t="str">
            <v>DOE</v>
          </cell>
          <cell r="M2213" t="str">
            <v>TN</v>
          </cell>
          <cell r="N2213" t="str">
            <v>CONUS</v>
          </cell>
          <cell r="O2213">
            <v>44228</v>
          </cell>
          <cell r="P2213">
            <v>47879</v>
          </cell>
          <cell r="Q2213" t="str">
            <v>Majority</v>
          </cell>
          <cell r="R2213" t="str">
            <v>Cost Plus</v>
          </cell>
          <cell r="S2213">
            <v>1</v>
          </cell>
          <cell r="T2213">
            <v>0</v>
          </cell>
          <cell r="U2213" t="str">
            <v>REVTOT</v>
          </cell>
          <cell r="V2213" t="str">
            <v>Identified - Recompete</v>
          </cell>
          <cell r="W2213" t="str">
            <v>02 Capture</v>
          </cell>
          <cell r="X2213" t="str">
            <v>Priority 1</v>
          </cell>
          <cell r="Y2213">
            <v>0.5</v>
          </cell>
          <cell r="Z2213">
            <v>2600000000</v>
          </cell>
          <cell r="AA2213">
            <v>0</v>
          </cell>
          <cell r="AB2213">
            <v>0</v>
          </cell>
          <cell r="AC2213">
            <v>0</v>
          </cell>
          <cell r="AD2213">
            <v>0</v>
          </cell>
          <cell r="BM2213">
            <v>0</v>
          </cell>
          <cell r="BN2213">
            <v>0</v>
          </cell>
          <cell r="BO2213">
            <v>0</v>
          </cell>
          <cell r="BP2213">
            <v>0</v>
          </cell>
          <cell r="BQ2213">
            <v>0</v>
          </cell>
          <cell r="BR2213">
            <v>0</v>
          </cell>
          <cell r="BT2213">
            <v>50</v>
          </cell>
          <cell r="BV2213">
            <v>10</v>
          </cell>
          <cell r="BW2213">
            <v>60</v>
          </cell>
          <cell r="CA2213" t="str">
            <v>ETTP - REVTOT - Identified - Recompete</v>
          </cell>
          <cell r="CC2213" t="str">
            <v>ETTP - REVTOT - Identified - Recompete - NE</v>
          </cell>
          <cell r="CD2213" t="str">
            <v/>
          </cell>
          <cell r="CF2213" t="str">
            <v>ETTP - Identified - Recompete - NE</v>
          </cell>
        </row>
        <row r="2214">
          <cell r="D2214">
            <v>12</v>
          </cell>
          <cell r="E2214">
            <v>1</v>
          </cell>
          <cell r="F2214">
            <v>3</v>
          </cell>
          <cell r="G2214" t="str">
            <v>ETTP</v>
          </cell>
          <cell r="H2214" t="str">
            <v>ETTP Total</v>
          </cell>
          <cell r="I2214" t="str">
            <v>NE</v>
          </cell>
          <cell r="J2214" t="str">
            <v>NE DD and WM Projects</v>
          </cell>
          <cell r="K2214" t="str">
            <v>DOE-EM</v>
          </cell>
          <cell r="L2214" t="str">
            <v>DOE</v>
          </cell>
          <cell r="M2214" t="str">
            <v>TN</v>
          </cell>
          <cell r="N2214" t="str">
            <v>CONUS</v>
          </cell>
          <cell r="O2214">
            <v>0</v>
          </cell>
          <cell r="P2214">
            <v>0</v>
          </cell>
          <cell r="Q2214">
            <v>0</v>
          </cell>
          <cell r="R2214">
            <v>0</v>
          </cell>
          <cell r="S2214">
            <v>1</v>
          </cell>
          <cell r="T2214">
            <v>0</v>
          </cell>
          <cell r="U2214" t="str">
            <v>REVTOT</v>
          </cell>
          <cell r="V2214" t="str">
            <v>Identified - New</v>
          </cell>
          <cell r="W2214">
            <v>0</v>
          </cell>
          <cell r="X2214">
            <v>0</v>
          </cell>
          <cell r="Y2214">
            <v>0</v>
          </cell>
          <cell r="Z2214">
            <v>0</v>
          </cell>
          <cell r="AA2214">
            <v>0</v>
          </cell>
          <cell r="AB2214">
            <v>0</v>
          </cell>
          <cell r="AC2214">
            <v>0</v>
          </cell>
          <cell r="AD2214">
            <v>0</v>
          </cell>
          <cell r="BM2214">
            <v>0</v>
          </cell>
          <cell r="BN2214">
            <v>0</v>
          </cell>
          <cell r="BO2214">
            <v>0</v>
          </cell>
          <cell r="BP2214">
            <v>0</v>
          </cell>
          <cell r="BQ2214">
            <v>0</v>
          </cell>
          <cell r="BR2214">
            <v>0</v>
          </cell>
          <cell r="BT2214">
            <v>50</v>
          </cell>
          <cell r="BV2214">
            <v>2</v>
          </cell>
          <cell r="BW2214">
            <v>60</v>
          </cell>
          <cell r="CA2214" t="str">
            <v>ETTP - REVTOT - Identified - New</v>
          </cell>
          <cell r="CC2214" t="str">
            <v>ETTP - REVTOT - Identified - New - NE</v>
          </cell>
          <cell r="CD2214" t="str">
            <v/>
          </cell>
          <cell r="CF2214" t="str">
            <v>ETTP - Identified - New - NE</v>
          </cell>
        </row>
        <row r="2215">
          <cell r="D2215">
            <v>13</v>
          </cell>
          <cell r="E2215">
            <v>2</v>
          </cell>
          <cell r="F2215">
            <v>4</v>
          </cell>
          <cell r="G2215" t="str">
            <v>ETTP</v>
          </cell>
          <cell r="H2215" t="str">
            <v>ETTP Total</v>
          </cell>
          <cell r="I2215" t="str">
            <v>NE</v>
          </cell>
          <cell r="J2215" t="str">
            <v>NE DD and WM Projects</v>
          </cell>
          <cell r="K2215" t="str">
            <v>DOE-EM</v>
          </cell>
          <cell r="L2215" t="str">
            <v>DOE</v>
          </cell>
          <cell r="M2215" t="str">
            <v>TN</v>
          </cell>
          <cell r="N2215" t="str">
            <v>CONUS</v>
          </cell>
          <cell r="O2215">
            <v>40756</v>
          </cell>
          <cell r="P2215">
            <v>44227</v>
          </cell>
          <cell r="Q2215" t="str">
            <v>Majority</v>
          </cell>
          <cell r="R2215" t="str">
            <v>CPAF</v>
          </cell>
          <cell r="S2215">
            <v>1</v>
          </cell>
          <cell r="T2215">
            <v>1</v>
          </cell>
          <cell r="U2215" t="str">
            <v>CONTRACT</v>
          </cell>
          <cell r="V2215" t="str">
            <v>Base</v>
          </cell>
          <cell r="W2215" t="str">
            <v>05 Won</v>
          </cell>
          <cell r="X2215" t="str">
            <v>Active</v>
          </cell>
          <cell r="Y2215">
            <v>0</v>
          </cell>
          <cell r="Z2215">
            <v>0</v>
          </cell>
          <cell r="AA2215">
            <v>38635108.483007818</v>
          </cell>
          <cell r="AB2215">
            <v>5404774.0099999998</v>
          </cell>
          <cell r="AC2215">
            <v>0</v>
          </cell>
          <cell r="AD2215">
            <v>44039882.493007816</v>
          </cell>
          <cell r="BF2215">
            <v>11138441.100000001</v>
          </cell>
          <cell r="BG2215">
            <v>21351826.890000001</v>
          </cell>
          <cell r="BH2215">
            <v>14711552.920000002</v>
          </cell>
          <cell r="BI2215">
            <v>3995667.2800000003</v>
          </cell>
          <cell r="BJ2215">
            <v>3250184.09</v>
          </cell>
          <cell r="BK2215">
            <v>9193756.0900000017</v>
          </cell>
          <cell r="BL2215">
            <v>7984985.9600000009</v>
          </cell>
          <cell r="BM2215">
            <v>24424593.420000002</v>
          </cell>
          <cell r="BN2215">
            <v>27291180.539999999</v>
          </cell>
          <cell r="BO2215">
            <v>8543655.0019517466</v>
          </cell>
          <cell r="BP2215">
            <v>0</v>
          </cell>
          <cell r="BQ2215">
            <v>0</v>
          </cell>
          <cell r="BR2215">
            <v>60259428.961951748</v>
          </cell>
          <cell r="BT2215">
            <v>50</v>
          </cell>
          <cell r="BV2215">
            <v>9</v>
          </cell>
          <cell r="BW2215">
            <v>78</v>
          </cell>
          <cell r="CA2215" t="str">
            <v>ETTP - CONTRACT - Base</v>
          </cell>
          <cell r="CC2215" t="str">
            <v>ETTP - CONTRACT - Base - NE - 2</v>
          </cell>
          <cell r="CD2215" t="str">
            <v/>
          </cell>
          <cell r="CF2215" t="str">
            <v>ETTP - Base - NE</v>
          </cell>
        </row>
        <row r="2216">
          <cell r="D2216">
            <v>14</v>
          </cell>
          <cell r="E2216">
            <v>2</v>
          </cell>
          <cell r="F2216">
            <v>5</v>
          </cell>
          <cell r="G2216" t="str">
            <v>ETTP</v>
          </cell>
          <cell r="H2216" t="str">
            <v>ETTP Total</v>
          </cell>
          <cell r="I2216" t="str">
            <v>NE</v>
          </cell>
          <cell r="J2216" t="str">
            <v>NE DD and WM Projects</v>
          </cell>
          <cell r="K2216" t="str">
            <v>DOE-EM</v>
          </cell>
          <cell r="L2216" t="str">
            <v>DOE</v>
          </cell>
          <cell r="M2216" t="str">
            <v>TN</v>
          </cell>
          <cell r="N2216" t="str">
            <v>CONUS</v>
          </cell>
          <cell r="O2216">
            <v>44228</v>
          </cell>
          <cell r="P2216">
            <v>47879</v>
          </cell>
          <cell r="Q2216" t="str">
            <v>Majority</v>
          </cell>
          <cell r="R2216" t="str">
            <v>Cost Plus</v>
          </cell>
          <cell r="S2216">
            <v>1</v>
          </cell>
          <cell r="T2216">
            <v>0</v>
          </cell>
          <cell r="U2216" t="str">
            <v>CONTRACT</v>
          </cell>
          <cell r="V2216" t="str">
            <v>Identified - Recompete</v>
          </cell>
          <cell r="W2216" t="str">
            <v>02 Capture</v>
          </cell>
          <cell r="X2216" t="str">
            <v>Priority 1</v>
          </cell>
          <cell r="Y2216">
            <v>0.5</v>
          </cell>
          <cell r="Z2216">
            <v>2600000000</v>
          </cell>
          <cell r="AA2216">
            <v>0</v>
          </cell>
          <cell r="AB2216">
            <v>0</v>
          </cell>
          <cell r="AC2216">
            <v>0</v>
          </cell>
          <cell r="AD2216">
            <v>0</v>
          </cell>
          <cell r="BM2216">
            <v>0</v>
          </cell>
          <cell r="BN2216">
            <v>0</v>
          </cell>
          <cell r="BO2216">
            <v>0</v>
          </cell>
          <cell r="BP2216">
            <v>0</v>
          </cell>
          <cell r="BQ2216">
            <v>0</v>
          </cell>
          <cell r="BR2216">
            <v>0</v>
          </cell>
          <cell r="BT2216">
            <v>50</v>
          </cell>
          <cell r="BV2216">
            <v>10</v>
          </cell>
          <cell r="BW2216">
            <v>78</v>
          </cell>
          <cell r="CA2216" t="str">
            <v>ETTP - CONTRACT - Identified - Recompete</v>
          </cell>
          <cell r="CC2216" t="str">
            <v>ETTP - CONTRACT - Identified - Recompete - NE</v>
          </cell>
          <cell r="CD2216" t="str">
            <v/>
          </cell>
          <cell r="CF2216" t="str">
            <v>ETTP - Identified - Recompete - NE</v>
          </cell>
        </row>
        <row r="2217">
          <cell r="D2217">
            <v>15</v>
          </cell>
          <cell r="E2217">
            <v>2</v>
          </cell>
          <cell r="F2217">
            <v>6</v>
          </cell>
          <cell r="G2217" t="str">
            <v>ETTP</v>
          </cell>
          <cell r="H2217" t="str">
            <v>ETTP Total</v>
          </cell>
          <cell r="I2217" t="str">
            <v>NE</v>
          </cell>
          <cell r="J2217" t="str">
            <v>NE DD and WM Projects</v>
          </cell>
          <cell r="K2217" t="str">
            <v>DOE-EM</v>
          </cell>
          <cell r="L2217" t="str">
            <v>DOE</v>
          </cell>
          <cell r="M2217" t="str">
            <v>TN</v>
          </cell>
          <cell r="N2217" t="str">
            <v>CONUS</v>
          </cell>
          <cell r="O2217">
            <v>0</v>
          </cell>
          <cell r="P2217">
            <v>0</v>
          </cell>
          <cell r="Q2217">
            <v>0</v>
          </cell>
          <cell r="R2217">
            <v>0</v>
          </cell>
          <cell r="S2217">
            <v>1</v>
          </cell>
          <cell r="T2217">
            <v>0</v>
          </cell>
          <cell r="U2217" t="str">
            <v>CONTRACT</v>
          </cell>
          <cell r="V2217" t="str">
            <v>Identified - New</v>
          </cell>
          <cell r="W2217">
            <v>0</v>
          </cell>
          <cell r="X2217">
            <v>0</v>
          </cell>
          <cell r="Y2217">
            <v>0</v>
          </cell>
          <cell r="Z2217">
            <v>0</v>
          </cell>
          <cell r="AA2217">
            <v>0</v>
          </cell>
          <cell r="AB2217">
            <v>0</v>
          </cell>
          <cell r="AC2217">
            <v>0</v>
          </cell>
          <cell r="AD2217">
            <v>0</v>
          </cell>
          <cell r="BM2217">
            <v>0</v>
          </cell>
          <cell r="BN2217">
            <v>0</v>
          </cell>
          <cell r="BO2217">
            <v>0</v>
          </cell>
          <cell r="BP2217">
            <v>0</v>
          </cell>
          <cell r="BQ2217">
            <v>0</v>
          </cell>
          <cell r="BR2217">
            <v>0</v>
          </cell>
          <cell r="BT2217">
            <v>50</v>
          </cell>
          <cell r="BV2217">
            <v>2</v>
          </cell>
          <cell r="BW2217">
            <v>78</v>
          </cell>
          <cell r="CA2217" t="str">
            <v>ETTP - CONTRACT - Identified - New</v>
          </cell>
          <cell r="CC2217" t="str">
            <v>ETTP - CONTRACT - Identified - New - NE</v>
          </cell>
          <cell r="CD2217" t="str">
            <v/>
          </cell>
          <cell r="CF2217" t="str">
            <v>ETTP - Identified - New - NE</v>
          </cell>
        </row>
        <row r="2218">
          <cell r="D2218">
            <v>16</v>
          </cell>
          <cell r="E2218">
            <v>0</v>
          </cell>
          <cell r="F2218">
            <v>7</v>
          </cell>
          <cell r="G2218" t="str">
            <v>ETTP</v>
          </cell>
          <cell r="H2218" t="str">
            <v>ETTP Total</v>
          </cell>
          <cell r="I2218" t="str">
            <v>NE</v>
          </cell>
          <cell r="J2218" t="str">
            <v>NE DD and WM Projects</v>
          </cell>
          <cell r="K2218" t="str">
            <v>DOE-EM</v>
          </cell>
          <cell r="L2218" t="str">
            <v>DOE</v>
          </cell>
          <cell r="M2218" t="str">
            <v>TN</v>
          </cell>
          <cell r="N2218" t="str">
            <v>CONUS</v>
          </cell>
          <cell r="O2218">
            <v>40756</v>
          </cell>
          <cell r="P2218">
            <v>44227</v>
          </cell>
          <cell r="Q2218" t="str">
            <v>Majority</v>
          </cell>
          <cell r="R2218" t="str">
            <v>CPAF</v>
          </cell>
          <cell r="S2218">
            <v>1</v>
          </cell>
          <cell r="T2218">
            <v>1</v>
          </cell>
          <cell r="U2218" t="str">
            <v>EBITA</v>
          </cell>
          <cell r="V2218" t="str">
            <v>Base</v>
          </cell>
          <cell r="W2218" t="str">
            <v>05 Won</v>
          </cell>
          <cell r="X2218" t="str">
            <v>Active</v>
          </cell>
          <cell r="Y2218">
            <v>0</v>
          </cell>
          <cell r="Z2218">
            <v>0</v>
          </cell>
          <cell r="AA2218">
            <v>38635108.483007818</v>
          </cell>
          <cell r="AB2218">
            <v>5404774.0099999998</v>
          </cell>
          <cell r="AC2218">
            <v>0</v>
          </cell>
          <cell r="AD2218">
            <v>44039882.493007816</v>
          </cell>
          <cell r="BF2218">
            <v>5512885.7199999997</v>
          </cell>
          <cell r="BG2218">
            <v>10645868.050000001</v>
          </cell>
          <cell r="BH2218">
            <v>7374728.2200000007</v>
          </cell>
          <cell r="BI2218">
            <v>1966172.5100000005</v>
          </cell>
          <cell r="BJ2218">
            <v>1424953.2800000003</v>
          </cell>
          <cell r="BK2218">
            <v>4455548.370000001</v>
          </cell>
          <cell r="BL2218">
            <v>4063323.97</v>
          </cell>
          <cell r="BM2218">
            <v>11909998.130000003</v>
          </cell>
          <cell r="BN2218">
            <v>13513292.25</v>
          </cell>
          <cell r="BO2218">
            <v>4230410.8741405252</v>
          </cell>
          <cell r="BP2218">
            <v>0</v>
          </cell>
          <cell r="BQ2218">
            <v>0</v>
          </cell>
          <cell r="BR2218">
            <v>29653701.254140526</v>
          </cell>
          <cell r="BT2218">
            <v>50</v>
          </cell>
          <cell r="BV2218">
            <v>9</v>
          </cell>
          <cell r="BW2218">
            <v>87</v>
          </cell>
          <cell r="CA2218" t="str">
            <v>ETTP - EBITA - Base</v>
          </cell>
          <cell r="CC2218" t="str">
            <v>ETTP - EBITA - Base - NE</v>
          </cell>
          <cell r="CD2218" t="str">
            <v/>
          </cell>
          <cell r="CF2218" t="str">
            <v>ETTP - Base - NE</v>
          </cell>
        </row>
        <row r="2219">
          <cell r="D2219">
            <v>17</v>
          </cell>
          <cell r="E2219">
            <v>0</v>
          </cell>
          <cell r="F2219">
            <v>8</v>
          </cell>
          <cell r="G2219" t="str">
            <v>ETTP</v>
          </cell>
          <cell r="H2219" t="str">
            <v>ETTP Total</v>
          </cell>
          <cell r="I2219" t="str">
            <v>NE</v>
          </cell>
          <cell r="J2219" t="str">
            <v>NE DD and WM Projects</v>
          </cell>
          <cell r="K2219" t="str">
            <v>DOE-EM</v>
          </cell>
          <cell r="L2219" t="str">
            <v>DOE</v>
          </cell>
          <cell r="M2219" t="str">
            <v>TN</v>
          </cell>
          <cell r="N2219" t="str">
            <v>CONUS</v>
          </cell>
          <cell r="O2219">
            <v>44228</v>
          </cell>
          <cell r="P2219">
            <v>47879</v>
          </cell>
          <cell r="Q2219" t="str">
            <v>Majority</v>
          </cell>
          <cell r="R2219" t="str">
            <v>Cost Plus</v>
          </cell>
          <cell r="S2219">
            <v>1</v>
          </cell>
          <cell r="T2219">
            <v>0</v>
          </cell>
          <cell r="U2219" t="str">
            <v>EBITA</v>
          </cell>
          <cell r="V2219" t="str">
            <v>Identified - Recompete</v>
          </cell>
          <cell r="W2219" t="str">
            <v>02 Capture</v>
          </cell>
          <cell r="X2219" t="str">
            <v>Priority 1</v>
          </cell>
          <cell r="Y2219">
            <v>0.5</v>
          </cell>
          <cell r="Z2219">
            <v>2600000000</v>
          </cell>
          <cell r="AA2219">
            <v>0</v>
          </cell>
          <cell r="AB2219">
            <v>0</v>
          </cell>
          <cell r="AC2219">
            <v>0</v>
          </cell>
          <cell r="AD2219">
            <v>0</v>
          </cell>
          <cell r="BM2219">
            <v>0</v>
          </cell>
          <cell r="BN2219">
            <v>0</v>
          </cell>
          <cell r="BO2219">
            <v>3711138.8888888885</v>
          </cell>
          <cell r="BP2219">
            <v>5590000</v>
          </cell>
          <cell r="BQ2219">
            <v>5590000</v>
          </cell>
          <cell r="BR2219">
            <v>14891138.888888888</v>
          </cell>
          <cell r="BT2219">
            <v>50</v>
          </cell>
          <cell r="BV2219">
            <v>10</v>
          </cell>
          <cell r="BW2219">
            <v>87</v>
          </cell>
          <cell r="CA2219" t="str">
            <v>ETTP - EBITA - Identified - Recompete</v>
          </cell>
          <cell r="CC2219" t="str">
            <v>ETTP - EBITA - Identified - Recompete - NE</v>
          </cell>
          <cell r="CD2219" t="str">
            <v/>
          </cell>
          <cell r="CF2219" t="str">
            <v>ETTP - Identified - Recompete - NE</v>
          </cell>
        </row>
        <row r="2220">
          <cell r="D2220">
            <v>18</v>
          </cell>
          <cell r="E2220">
            <v>0</v>
          </cell>
          <cell r="F2220">
            <v>0</v>
          </cell>
          <cell r="G2220" t="str">
            <v>ETTP</v>
          </cell>
          <cell r="H2220" t="str">
            <v>ETTP Total</v>
          </cell>
          <cell r="I2220" t="str">
            <v>NE</v>
          </cell>
          <cell r="J2220" t="str">
            <v>NE DD and WM Projects</v>
          </cell>
          <cell r="K2220" t="str">
            <v>DOE-EM</v>
          </cell>
          <cell r="L2220" t="str">
            <v>DOE</v>
          </cell>
          <cell r="M2220" t="str">
            <v>TN</v>
          </cell>
          <cell r="N2220" t="str">
            <v>CONUS</v>
          </cell>
          <cell r="O2220">
            <v>0</v>
          </cell>
          <cell r="P2220">
            <v>0</v>
          </cell>
          <cell r="Q2220">
            <v>0</v>
          </cell>
          <cell r="R2220">
            <v>0</v>
          </cell>
          <cell r="S2220">
            <v>1</v>
          </cell>
          <cell r="T2220">
            <v>0</v>
          </cell>
          <cell r="U2220" t="str">
            <v>EBITA</v>
          </cell>
          <cell r="V2220" t="str">
            <v>Identified - New</v>
          </cell>
          <cell r="W2220">
            <v>0</v>
          </cell>
          <cell r="X2220">
            <v>0</v>
          </cell>
          <cell r="Y2220">
            <v>0</v>
          </cell>
          <cell r="Z2220">
            <v>0</v>
          </cell>
          <cell r="AA2220">
            <v>0</v>
          </cell>
          <cell r="AB2220">
            <v>0</v>
          </cell>
          <cell r="AC2220">
            <v>0</v>
          </cell>
          <cell r="AD2220">
            <v>0</v>
          </cell>
          <cell r="BM2220">
            <v>0</v>
          </cell>
          <cell r="BN2220">
            <v>0</v>
          </cell>
          <cell r="BO2220">
            <v>0</v>
          </cell>
          <cell r="BP2220">
            <v>0</v>
          </cell>
          <cell r="BQ2220">
            <v>0</v>
          </cell>
          <cell r="BR2220">
            <v>0</v>
          </cell>
          <cell r="BT2220">
            <v>50</v>
          </cell>
          <cell r="BV2220">
            <v>2</v>
          </cell>
          <cell r="BW2220">
            <v>87</v>
          </cell>
          <cell r="CA2220" t="str">
            <v>ETTP - EBITA - Identified - New</v>
          </cell>
          <cell r="CC2220" t="str">
            <v>ETTP - EBITA - Identified - New - NE</v>
          </cell>
          <cell r="CD2220" t="str">
            <v/>
          </cell>
          <cell r="CF2220" t="str">
            <v>ETTP - Identified - New - NE</v>
          </cell>
        </row>
        <row r="2221">
          <cell r="D2221">
            <v>19</v>
          </cell>
          <cell r="E2221">
            <v>1</v>
          </cell>
          <cell r="F2221">
            <v>1</v>
          </cell>
          <cell r="G2221" t="str">
            <v>WIPP</v>
          </cell>
          <cell r="H2221" t="str">
            <v>WIPP</v>
          </cell>
          <cell r="I2221" t="str">
            <v>NE</v>
          </cell>
          <cell r="J2221" t="str">
            <v>NE DD and WM Projects</v>
          </cell>
          <cell r="K2221" t="str">
            <v>DOE-EM</v>
          </cell>
          <cell r="L2221" t="str">
            <v>DOE</v>
          </cell>
          <cell r="M2221" t="str">
            <v>NM</v>
          </cell>
          <cell r="N2221" t="str">
            <v>CONUS</v>
          </cell>
          <cell r="O2221">
            <v>41183</v>
          </cell>
          <cell r="P2221">
            <v>44834</v>
          </cell>
          <cell r="Q2221" t="str">
            <v>Majority</v>
          </cell>
          <cell r="R2221" t="str">
            <v>CPAF</v>
          </cell>
          <cell r="S2221">
            <v>1</v>
          </cell>
          <cell r="T2221">
            <v>1</v>
          </cell>
          <cell r="U2221" t="str">
            <v>REVTOT</v>
          </cell>
          <cell r="V2221" t="str">
            <v>Base</v>
          </cell>
          <cell r="W2221" t="str">
            <v>05 Won</v>
          </cell>
          <cell r="X2221" t="str">
            <v>Active</v>
          </cell>
          <cell r="Y2221">
            <v>0</v>
          </cell>
          <cell r="Z2221">
            <v>0</v>
          </cell>
          <cell r="AA2221">
            <v>10549253.159709524</v>
          </cell>
          <cell r="AB2221">
            <v>17653096</v>
          </cell>
          <cell r="AC2221">
            <v>20144730</v>
          </cell>
          <cell r="AD2221">
            <v>48347079.159709528</v>
          </cell>
          <cell r="BF2221">
            <v>12475599.199999999</v>
          </cell>
          <cell r="BG2221">
            <v>13712219.100000001</v>
          </cell>
          <cell r="BH2221">
            <v>13361624.300000001</v>
          </cell>
          <cell r="BI2221">
            <v>2037318.02</v>
          </cell>
          <cell r="BJ2221">
            <v>4711294.6399999997</v>
          </cell>
          <cell r="BK2221">
            <v>4176728.49</v>
          </cell>
          <cell r="BL2221">
            <v>7984107.0099999998</v>
          </cell>
          <cell r="BM2221">
            <v>18909448.16</v>
          </cell>
          <cell r="BN2221">
            <v>17615693</v>
          </cell>
          <cell r="BO2221">
            <v>17615693</v>
          </cell>
          <cell r="BP2221">
            <v>17615693</v>
          </cell>
          <cell r="BQ2221">
            <v>0</v>
          </cell>
          <cell r="BR2221">
            <v>71756527.159999996</v>
          </cell>
          <cell r="BT2221">
            <v>52</v>
          </cell>
          <cell r="BV2221">
            <v>11</v>
          </cell>
          <cell r="BW2221">
            <v>60</v>
          </cell>
          <cell r="CA2221" t="str">
            <v>WIPP - REVTOT - Base</v>
          </cell>
          <cell r="CC2221" t="str">
            <v>WIPP - REVTOT - Base - NE</v>
          </cell>
          <cell r="CD2221" t="str">
            <v/>
          </cell>
          <cell r="CF2221" t="str">
            <v>WIPP - Base - NE</v>
          </cell>
        </row>
        <row r="2222">
          <cell r="D2222">
            <v>20</v>
          </cell>
          <cell r="E2222">
            <v>1</v>
          </cell>
          <cell r="F2222">
            <v>2</v>
          </cell>
          <cell r="G2222" t="str">
            <v>WIPP</v>
          </cell>
          <cell r="H2222" t="str">
            <v>WIPP</v>
          </cell>
          <cell r="I2222" t="str">
            <v>NE</v>
          </cell>
          <cell r="J2222" t="str">
            <v>NE DD and WM Projects</v>
          </cell>
          <cell r="K2222" t="str">
            <v>DOE-EM</v>
          </cell>
          <cell r="L2222" t="str">
            <v>DOE</v>
          </cell>
          <cell r="M2222" t="str">
            <v>NM</v>
          </cell>
          <cell r="N2222" t="str">
            <v>CONUS</v>
          </cell>
          <cell r="O2222">
            <v>44835</v>
          </cell>
          <cell r="P2222">
            <v>48487</v>
          </cell>
          <cell r="Q2222" t="str">
            <v>Minority</v>
          </cell>
          <cell r="R2222" t="str">
            <v>Multi</v>
          </cell>
          <cell r="S2222">
            <v>1</v>
          </cell>
          <cell r="T2222">
            <v>0</v>
          </cell>
          <cell r="U2222" t="str">
            <v>REVTOT</v>
          </cell>
          <cell r="V2222" t="str">
            <v>Identified - Recompete</v>
          </cell>
          <cell r="W2222" t="str">
            <v>00 Investigate</v>
          </cell>
          <cell r="X2222" t="str">
            <v>Priority 1</v>
          </cell>
          <cell r="Y2222">
            <v>0.5</v>
          </cell>
          <cell r="Z2222">
            <v>1200000000</v>
          </cell>
          <cell r="AA2222">
            <v>0</v>
          </cell>
          <cell r="AB2222">
            <v>0</v>
          </cell>
          <cell r="AC2222">
            <v>0</v>
          </cell>
          <cell r="AD2222">
            <v>0</v>
          </cell>
          <cell r="BM2222">
            <v>0</v>
          </cell>
          <cell r="BN2222">
            <v>0</v>
          </cell>
          <cell r="BO2222">
            <v>0</v>
          </cell>
          <cell r="BP2222">
            <v>0</v>
          </cell>
          <cell r="BQ2222">
            <v>0</v>
          </cell>
          <cell r="BR2222">
            <v>0</v>
          </cell>
          <cell r="BT2222">
            <v>52</v>
          </cell>
          <cell r="BV2222">
            <v>12</v>
          </cell>
          <cell r="BW2222">
            <v>60</v>
          </cell>
          <cell r="CA2222" t="str">
            <v>WIPP - REVTOT - Identified - Recompete</v>
          </cell>
          <cell r="CC2222" t="str">
            <v>WIPP - REVTOT - Identified - Recompete - NE</v>
          </cell>
          <cell r="CD2222" t="str">
            <v/>
          </cell>
          <cell r="CF2222" t="str">
            <v>WIPP - Identified - Recompete - NE</v>
          </cell>
        </row>
        <row r="2223">
          <cell r="D2223">
            <v>21</v>
          </cell>
          <cell r="E2223">
            <v>1</v>
          </cell>
          <cell r="F2223">
            <v>3</v>
          </cell>
          <cell r="G2223" t="str">
            <v>WIPP</v>
          </cell>
          <cell r="H2223" t="str">
            <v>WIPP</v>
          </cell>
          <cell r="I2223" t="str">
            <v>NE</v>
          </cell>
          <cell r="J2223" t="str">
            <v>NE DD and WM Projects</v>
          </cell>
          <cell r="K2223" t="str">
            <v>DOE-EM</v>
          </cell>
          <cell r="L2223" t="str">
            <v>DOE</v>
          </cell>
          <cell r="M2223" t="str">
            <v>NM</v>
          </cell>
          <cell r="N2223" t="str">
            <v>CONUS</v>
          </cell>
          <cell r="O2223">
            <v>0</v>
          </cell>
          <cell r="P2223">
            <v>0</v>
          </cell>
          <cell r="Q2223">
            <v>0</v>
          </cell>
          <cell r="R2223">
            <v>0</v>
          </cell>
          <cell r="S2223">
            <v>1</v>
          </cell>
          <cell r="T2223">
            <v>0</v>
          </cell>
          <cell r="U2223" t="str">
            <v>REVTOT</v>
          </cell>
          <cell r="V2223" t="str">
            <v>Identified - New</v>
          </cell>
          <cell r="W2223">
            <v>0</v>
          </cell>
          <cell r="X2223">
            <v>0</v>
          </cell>
          <cell r="Y2223">
            <v>0</v>
          </cell>
          <cell r="Z2223">
            <v>0</v>
          </cell>
          <cell r="AA2223">
            <v>0</v>
          </cell>
          <cell r="AB2223">
            <v>0</v>
          </cell>
          <cell r="AC2223">
            <v>0</v>
          </cell>
          <cell r="AD2223">
            <v>0</v>
          </cell>
          <cell r="BM2223">
            <v>0</v>
          </cell>
          <cell r="BN2223">
            <v>0</v>
          </cell>
          <cell r="BO2223">
            <v>0</v>
          </cell>
          <cell r="BP2223">
            <v>0</v>
          </cell>
          <cell r="BQ2223">
            <v>0</v>
          </cell>
          <cell r="BR2223">
            <v>0</v>
          </cell>
          <cell r="BT2223">
            <v>52</v>
          </cell>
          <cell r="BV2223">
            <v>2</v>
          </cell>
          <cell r="BW2223">
            <v>60</v>
          </cell>
          <cell r="CA2223" t="str">
            <v>WIPP - REVTOT - Identified - New</v>
          </cell>
          <cell r="CC2223" t="str">
            <v>WIPP - REVTOT - Identified - New - NE</v>
          </cell>
          <cell r="CD2223" t="str">
            <v/>
          </cell>
          <cell r="CF2223" t="str">
            <v>WIPP - Identified - New - NE</v>
          </cell>
        </row>
        <row r="2224">
          <cell r="D2224">
            <v>22</v>
          </cell>
          <cell r="E2224">
            <v>2</v>
          </cell>
          <cell r="F2224">
            <v>4</v>
          </cell>
          <cell r="G2224" t="str">
            <v>WIPP</v>
          </cell>
          <cell r="H2224" t="str">
            <v>WIPP</v>
          </cell>
          <cell r="I2224" t="str">
            <v>NE</v>
          </cell>
          <cell r="J2224" t="str">
            <v>NE DD and WM Projects</v>
          </cell>
          <cell r="K2224" t="str">
            <v>DOE-EM</v>
          </cell>
          <cell r="L2224" t="str">
            <v>DOE</v>
          </cell>
          <cell r="M2224" t="str">
            <v>NM</v>
          </cell>
          <cell r="N2224" t="str">
            <v>CONUS</v>
          </cell>
          <cell r="O2224">
            <v>41183</v>
          </cell>
          <cell r="P2224">
            <v>44834</v>
          </cell>
          <cell r="Q2224" t="str">
            <v>Majority</v>
          </cell>
          <cell r="R2224" t="str">
            <v>CPAF</v>
          </cell>
          <cell r="S2224">
            <v>1</v>
          </cell>
          <cell r="T2224">
            <v>1</v>
          </cell>
          <cell r="U2224" t="str">
            <v>CONTRACT</v>
          </cell>
          <cell r="V2224" t="str">
            <v>Base</v>
          </cell>
          <cell r="W2224" t="str">
            <v>05 Won</v>
          </cell>
          <cell r="X2224" t="str">
            <v>Active</v>
          </cell>
          <cell r="Y2224">
            <v>0</v>
          </cell>
          <cell r="Z2224">
            <v>0</v>
          </cell>
          <cell r="AA2224">
            <v>10549253.159709524</v>
          </cell>
          <cell r="AB2224">
            <v>17653096</v>
          </cell>
          <cell r="AC2224">
            <v>20144730</v>
          </cell>
          <cell r="AD2224">
            <v>48347079.159709528</v>
          </cell>
          <cell r="BF2224">
            <v>6793830.0899999999</v>
          </cell>
          <cell r="BG2224">
            <v>7495785.6800000006</v>
          </cell>
          <cell r="BH2224">
            <v>7819147.6799999997</v>
          </cell>
          <cell r="BI2224">
            <v>1102547.6400000001</v>
          </cell>
          <cell r="BJ2224">
            <v>3299342.2199999997</v>
          </cell>
          <cell r="BK2224">
            <v>2415260.4</v>
          </cell>
          <cell r="BL2224">
            <v>4841553.7699999996</v>
          </cell>
          <cell r="BM2224">
            <v>11658704.029999999</v>
          </cell>
          <cell r="BN2224">
            <v>10939849.4</v>
          </cell>
          <cell r="BO2224">
            <v>10939849.4</v>
          </cell>
          <cell r="BP2224">
            <v>10939849.4</v>
          </cell>
          <cell r="BQ2224">
            <v>0</v>
          </cell>
          <cell r="BR2224">
            <v>44478252.229999997</v>
          </cell>
          <cell r="BT2224">
            <v>52</v>
          </cell>
          <cell r="BV2224">
            <v>11</v>
          </cell>
          <cell r="BW2224">
            <v>78</v>
          </cell>
          <cell r="CA2224" t="str">
            <v>WIPP - CONTRACT - Base</v>
          </cell>
          <cell r="CC2224" t="str">
            <v>WIPP - CONTRACT - Base - NE - 2</v>
          </cell>
          <cell r="CD2224" t="str">
            <v/>
          </cell>
          <cell r="CF2224" t="str">
            <v>WIPP - Base - NE</v>
          </cell>
        </row>
        <row r="2225">
          <cell r="D2225">
            <v>23</v>
          </cell>
          <cell r="E2225">
            <v>2</v>
          </cell>
          <cell r="F2225">
            <v>5</v>
          </cell>
          <cell r="G2225" t="str">
            <v>WIPP</v>
          </cell>
          <cell r="H2225" t="str">
            <v>WIPP</v>
          </cell>
          <cell r="I2225" t="str">
            <v>NE</v>
          </cell>
          <cell r="J2225" t="str">
            <v>NE DD and WM Projects</v>
          </cell>
          <cell r="K2225" t="str">
            <v>DOE-EM</v>
          </cell>
          <cell r="L2225" t="str">
            <v>DOE</v>
          </cell>
          <cell r="M2225" t="str">
            <v>NM</v>
          </cell>
          <cell r="N2225" t="str">
            <v>CONUS</v>
          </cell>
          <cell r="O2225">
            <v>44835</v>
          </cell>
          <cell r="P2225">
            <v>48487</v>
          </cell>
          <cell r="Q2225" t="str">
            <v>Minority</v>
          </cell>
          <cell r="R2225" t="str">
            <v>Multi</v>
          </cell>
          <cell r="S2225">
            <v>1</v>
          </cell>
          <cell r="T2225">
            <v>0</v>
          </cell>
          <cell r="U2225" t="str">
            <v>CONTRACT</v>
          </cell>
          <cell r="V2225" t="str">
            <v>Identified - Recompete</v>
          </cell>
          <cell r="W2225" t="str">
            <v>00 Investigate</v>
          </cell>
          <cell r="X2225" t="str">
            <v>Priority 1</v>
          </cell>
          <cell r="Y2225">
            <v>0.5</v>
          </cell>
          <cell r="Z2225">
            <v>1200000000</v>
          </cell>
          <cell r="AA2225">
            <v>0</v>
          </cell>
          <cell r="AB2225">
            <v>0</v>
          </cell>
          <cell r="AC2225">
            <v>0</v>
          </cell>
          <cell r="AD2225">
            <v>0</v>
          </cell>
          <cell r="BM2225">
            <v>0</v>
          </cell>
          <cell r="BN2225">
            <v>0</v>
          </cell>
          <cell r="BO2225">
            <v>0</v>
          </cell>
          <cell r="BP2225">
            <v>0</v>
          </cell>
          <cell r="BQ2225">
            <v>0</v>
          </cell>
          <cell r="BR2225">
            <v>0</v>
          </cell>
          <cell r="BT2225">
            <v>52</v>
          </cell>
          <cell r="BV2225">
            <v>12</v>
          </cell>
          <cell r="BW2225">
            <v>78</v>
          </cell>
          <cell r="CA2225" t="str">
            <v>WIPP - CONTRACT - Identified - Recompete</v>
          </cell>
          <cell r="CC2225" t="str">
            <v>WIPP - CONTRACT - Identified - Recompete - NE</v>
          </cell>
          <cell r="CD2225" t="str">
            <v/>
          </cell>
          <cell r="CF2225" t="str">
            <v>WIPP - Identified - Recompete - NE</v>
          </cell>
        </row>
        <row r="2226">
          <cell r="D2226">
            <v>24</v>
          </cell>
          <cell r="E2226">
            <v>2</v>
          </cell>
          <cell r="F2226">
            <v>6</v>
          </cell>
          <cell r="G2226" t="str">
            <v>WIPP</v>
          </cell>
          <cell r="H2226" t="str">
            <v>WIPP</v>
          </cell>
          <cell r="I2226" t="str">
            <v>NE</v>
          </cell>
          <cell r="J2226" t="str">
            <v>NE DD and WM Projects</v>
          </cell>
          <cell r="K2226" t="str">
            <v>DOE-EM</v>
          </cell>
          <cell r="L2226" t="str">
            <v>DOE</v>
          </cell>
          <cell r="M2226" t="str">
            <v>NM</v>
          </cell>
          <cell r="N2226" t="str">
            <v>CONUS</v>
          </cell>
          <cell r="O2226">
            <v>0</v>
          </cell>
          <cell r="P2226">
            <v>0</v>
          </cell>
          <cell r="Q2226">
            <v>0</v>
          </cell>
          <cell r="R2226">
            <v>0</v>
          </cell>
          <cell r="S2226">
            <v>1</v>
          </cell>
          <cell r="T2226">
            <v>0</v>
          </cell>
          <cell r="U2226" t="str">
            <v>CONTRACT</v>
          </cell>
          <cell r="V2226" t="str">
            <v>Identified - New</v>
          </cell>
          <cell r="W2226">
            <v>0</v>
          </cell>
          <cell r="X2226">
            <v>0</v>
          </cell>
          <cell r="Y2226">
            <v>0</v>
          </cell>
          <cell r="Z2226">
            <v>0</v>
          </cell>
          <cell r="AA2226">
            <v>0</v>
          </cell>
          <cell r="AB2226">
            <v>0</v>
          </cell>
          <cell r="AC2226">
            <v>0</v>
          </cell>
          <cell r="AD2226">
            <v>0</v>
          </cell>
          <cell r="BM2226">
            <v>0</v>
          </cell>
          <cell r="BN2226">
            <v>0</v>
          </cell>
          <cell r="BO2226">
            <v>0</v>
          </cell>
          <cell r="BP2226">
            <v>0</v>
          </cell>
          <cell r="BQ2226">
            <v>0</v>
          </cell>
          <cell r="BR2226">
            <v>0</v>
          </cell>
          <cell r="BT2226">
            <v>52</v>
          </cell>
          <cell r="BV2226">
            <v>2</v>
          </cell>
          <cell r="BW2226">
            <v>78</v>
          </cell>
          <cell r="CA2226" t="str">
            <v>WIPP - CONTRACT - Identified - New</v>
          </cell>
          <cell r="CC2226" t="str">
            <v>WIPP - CONTRACT - Identified - New - NE</v>
          </cell>
          <cell r="CD2226" t="str">
            <v/>
          </cell>
          <cell r="CF2226" t="str">
            <v>WIPP - Identified - New - NE</v>
          </cell>
        </row>
        <row r="2227">
          <cell r="D2227">
            <v>25</v>
          </cell>
          <cell r="E2227">
            <v>0</v>
          </cell>
          <cell r="F2227">
            <v>7</v>
          </cell>
          <cell r="G2227" t="str">
            <v>WIPP</v>
          </cell>
          <cell r="H2227" t="str">
            <v>WIPP</v>
          </cell>
          <cell r="I2227" t="str">
            <v>NE</v>
          </cell>
          <cell r="J2227" t="str">
            <v>NE DD and WM Projects</v>
          </cell>
          <cell r="K2227" t="str">
            <v>DOE-EM</v>
          </cell>
          <cell r="L2227" t="str">
            <v>DOE</v>
          </cell>
          <cell r="M2227" t="str">
            <v>NM</v>
          </cell>
          <cell r="N2227" t="str">
            <v>CONUS</v>
          </cell>
          <cell r="O2227">
            <v>41183</v>
          </cell>
          <cell r="P2227">
            <v>44834</v>
          </cell>
          <cell r="Q2227" t="str">
            <v>Majority</v>
          </cell>
          <cell r="R2227" t="str">
            <v>CPAF</v>
          </cell>
          <cell r="S2227">
            <v>1</v>
          </cell>
          <cell r="T2227">
            <v>1</v>
          </cell>
          <cell r="U2227" t="str">
            <v>EBITA</v>
          </cell>
          <cell r="V2227" t="str">
            <v>Base</v>
          </cell>
          <cell r="W2227" t="str">
            <v>05 Won</v>
          </cell>
          <cell r="X2227" t="str">
            <v>Active</v>
          </cell>
          <cell r="Y2227">
            <v>0</v>
          </cell>
          <cell r="Z2227">
            <v>0</v>
          </cell>
          <cell r="AA2227">
            <v>10549253.159709524</v>
          </cell>
          <cell r="AB2227">
            <v>17653096</v>
          </cell>
          <cell r="AC2227">
            <v>20144730</v>
          </cell>
          <cell r="AD2227">
            <v>48347079.159709528</v>
          </cell>
          <cell r="BF2227">
            <v>3749620.37</v>
          </cell>
          <cell r="BG2227">
            <v>3981836.5900000008</v>
          </cell>
          <cell r="BH2227">
            <v>4369025.3099999996</v>
          </cell>
          <cell r="BI2227">
            <v>480018.39000000013</v>
          </cell>
          <cell r="BJ2227">
            <v>1845075.8299999998</v>
          </cell>
          <cell r="BK2227">
            <v>1255188.8599999999</v>
          </cell>
          <cell r="BL2227">
            <v>2839473.75</v>
          </cell>
          <cell r="BM2227">
            <v>6419756.8300000001</v>
          </cell>
          <cell r="BN2227">
            <v>5965681.0710000005</v>
          </cell>
          <cell r="BO2227">
            <v>5965681.0710000005</v>
          </cell>
          <cell r="BP2227">
            <v>5965681.0710000005</v>
          </cell>
          <cell r="BQ2227">
            <v>0</v>
          </cell>
          <cell r="BR2227">
            <v>24316800.043000005</v>
          </cell>
          <cell r="BT2227">
            <v>52</v>
          </cell>
          <cell r="BV2227">
            <v>11</v>
          </cell>
          <cell r="BW2227">
            <v>87</v>
          </cell>
          <cell r="CA2227" t="str">
            <v>WIPP - EBITA - Base</v>
          </cell>
          <cell r="CC2227" t="str">
            <v>WIPP - EBITA - Base - NE</v>
          </cell>
          <cell r="CD2227" t="str">
            <v/>
          </cell>
          <cell r="CF2227" t="str">
            <v>WIPP - Base - NE</v>
          </cell>
        </row>
        <row r="2228">
          <cell r="D2228">
            <v>26</v>
          </cell>
          <cell r="E2228">
            <v>0</v>
          </cell>
          <cell r="F2228">
            <v>8</v>
          </cell>
          <cell r="G2228" t="str">
            <v>WIPP</v>
          </cell>
          <cell r="H2228" t="str">
            <v>WIPP</v>
          </cell>
          <cell r="I2228" t="str">
            <v>NE</v>
          </cell>
          <cell r="J2228" t="str">
            <v>NE DD and WM Projects</v>
          </cell>
          <cell r="K2228" t="str">
            <v>DOE-EM</v>
          </cell>
          <cell r="L2228" t="str">
            <v>DOE</v>
          </cell>
          <cell r="M2228" t="str">
            <v>NM</v>
          </cell>
          <cell r="N2228" t="str">
            <v>CONUS</v>
          </cell>
          <cell r="O2228">
            <v>44835</v>
          </cell>
          <cell r="P2228">
            <v>48487</v>
          </cell>
          <cell r="Q2228" t="str">
            <v>Minority</v>
          </cell>
          <cell r="R2228" t="str">
            <v>Multi</v>
          </cell>
          <cell r="S2228">
            <v>1</v>
          </cell>
          <cell r="T2228">
            <v>0</v>
          </cell>
          <cell r="U2228" t="str">
            <v>EBITA</v>
          </cell>
          <cell r="V2228" t="str">
            <v>Identified - Recompete</v>
          </cell>
          <cell r="W2228" t="str">
            <v>00 Investigate</v>
          </cell>
          <cell r="X2228" t="str">
            <v>Priority 1</v>
          </cell>
          <cell r="Y2228">
            <v>0.5</v>
          </cell>
          <cell r="Z2228">
            <v>1200000000</v>
          </cell>
          <cell r="AA2228">
            <v>0</v>
          </cell>
          <cell r="AB2228">
            <v>0</v>
          </cell>
          <cell r="AC2228">
            <v>0</v>
          </cell>
          <cell r="AD2228">
            <v>0</v>
          </cell>
          <cell r="BM2228">
            <v>0</v>
          </cell>
          <cell r="BN2228">
            <v>0</v>
          </cell>
          <cell r="BO2228">
            <v>0</v>
          </cell>
          <cell r="BP2228">
            <v>0</v>
          </cell>
          <cell r="BQ2228">
            <v>2580716.8657960542</v>
          </cell>
          <cell r="BR2228">
            <v>2580716.8657960542</v>
          </cell>
          <cell r="BT2228">
            <v>52</v>
          </cell>
          <cell r="BV2228">
            <v>12</v>
          </cell>
          <cell r="BW2228">
            <v>87</v>
          </cell>
          <cell r="CA2228" t="str">
            <v>WIPP - EBITA - Identified - Recompete</v>
          </cell>
          <cell r="CC2228" t="str">
            <v>WIPP - EBITA - Identified - Recompete - NE</v>
          </cell>
          <cell r="CD2228" t="str">
            <v/>
          </cell>
          <cell r="CF2228" t="str">
            <v>WIPP - Identified - Recompete - NE</v>
          </cell>
        </row>
        <row r="2229">
          <cell r="D2229">
            <v>27</v>
          </cell>
          <cell r="E2229">
            <v>0</v>
          </cell>
          <cell r="F2229">
            <v>0</v>
          </cell>
          <cell r="G2229" t="str">
            <v>WIPP</v>
          </cell>
          <cell r="H2229" t="str">
            <v>WIPP</v>
          </cell>
          <cell r="I2229" t="str">
            <v>NE</v>
          </cell>
          <cell r="J2229" t="str">
            <v>NE DD and WM Projects</v>
          </cell>
          <cell r="K2229" t="str">
            <v>DOE-EM</v>
          </cell>
          <cell r="L2229" t="str">
            <v>DOE</v>
          </cell>
          <cell r="M2229" t="str">
            <v>NM</v>
          </cell>
          <cell r="N2229" t="str">
            <v>CONUS</v>
          </cell>
          <cell r="O2229">
            <v>0</v>
          </cell>
          <cell r="P2229">
            <v>0</v>
          </cell>
          <cell r="Q2229">
            <v>0</v>
          </cell>
          <cell r="R2229">
            <v>0</v>
          </cell>
          <cell r="S2229">
            <v>1</v>
          </cell>
          <cell r="T2229">
            <v>0</v>
          </cell>
          <cell r="U2229" t="str">
            <v>EBITA</v>
          </cell>
          <cell r="V2229" t="str">
            <v>Identified - New</v>
          </cell>
          <cell r="W2229">
            <v>0</v>
          </cell>
          <cell r="X2229">
            <v>0</v>
          </cell>
          <cell r="Y2229">
            <v>0</v>
          </cell>
          <cell r="Z2229">
            <v>0</v>
          </cell>
          <cell r="AA2229">
            <v>0</v>
          </cell>
          <cell r="AB2229">
            <v>0</v>
          </cell>
          <cell r="AC2229">
            <v>0</v>
          </cell>
          <cell r="AD2229">
            <v>0</v>
          </cell>
          <cell r="BM2229">
            <v>0</v>
          </cell>
          <cell r="BN2229">
            <v>0</v>
          </cell>
          <cell r="BO2229">
            <v>0</v>
          </cell>
          <cell r="BP2229">
            <v>0</v>
          </cell>
          <cell r="BQ2229">
            <v>0</v>
          </cell>
          <cell r="BR2229">
            <v>0</v>
          </cell>
          <cell r="BT2229">
            <v>52</v>
          </cell>
          <cell r="BV2229">
            <v>2</v>
          </cell>
          <cell r="BW2229">
            <v>87</v>
          </cell>
          <cell r="CA2229" t="str">
            <v>WIPP - EBITA - Identified - New</v>
          </cell>
          <cell r="CC2229" t="str">
            <v>WIPP - EBITA - Identified - New - NE</v>
          </cell>
          <cell r="CD2229" t="str">
            <v/>
          </cell>
          <cell r="CF2229" t="str">
            <v>WIPP - Identified - New - NE</v>
          </cell>
        </row>
        <row r="2230">
          <cell r="D2230">
            <v>28</v>
          </cell>
          <cell r="E2230">
            <v>1</v>
          </cell>
          <cell r="F2230">
            <v>1</v>
          </cell>
          <cell r="G2230" t="str">
            <v>TOC</v>
          </cell>
          <cell r="H2230" t="str">
            <v>TOC Total</v>
          </cell>
          <cell r="I2230" t="str">
            <v>NE</v>
          </cell>
          <cell r="J2230" t="str">
            <v>NE HLW &amp; NNSA Operations</v>
          </cell>
          <cell r="K2230" t="str">
            <v>DOE-EM</v>
          </cell>
          <cell r="L2230" t="str">
            <v>DOE</v>
          </cell>
          <cell r="M2230" t="str">
            <v>WA</v>
          </cell>
          <cell r="N2230" t="str">
            <v>CONUS</v>
          </cell>
          <cell r="O2230">
            <v>39722</v>
          </cell>
          <cell r="P2230">
            <v>44104</v>
          </cell>
          <cell r="Q2230" t="str">
            <v>Majority</v>
          </cell>
          <cell r="R2230" t="str">
            <v>CPAF</v>
          </cell>
          <cell r="S2230">
            <v>1</v>
          </cell>
          <cell r="T2230">
            <v>1</v>
          </cell>
          <cell r="U2230" t="str">
            <v>REVTOT</v>
          </cell>
          <cell r="V2230" t="str">
            <v>Base</v>
          </cell>
          <cell r="W2230" t="str">
            <v>05 Won</v>
          </cell>
          <cell r="X2230" t="str">
            <v>Active</v>
          </cell>
          <cell r="Y2230">
            <v>0</v>
          </cell>
          <cell r="Z2230">
            <v>0</v>
          </cell>
          <cell r="AA2230">
            <v>0</v>
          </cell>
          <cell r="AB2230">
            <v>0</v>
          </cell>
          <cell r="AC2230">
            <v>48145893.724999994</v>
          </cell>
          <cell r="AD2230">
            <v>48145893.724999994</v>
          </cell>
          <cell r="BF2230">
            <v>35957871.040000007</v>
          </cell>
          <cell r="BG2230">
            <v>51926341.469999999</v>
          </cell>
          <cell r="BH2230">
            <v>56361580.569999993</v>
          </cell>
          <cell r="BI2230">
            <v>10827266.9</v>
          </cell>
          <cell r="BJ2230">
            <v>8789133.4299999997</v>
          </cell>
          <cell r="BK2230">
            <v>12508477.669999998</v>
          </cell>
          <cell r="BL2230">
            <v>16021015.449999999</v>
          </cell>
          <cell r="BM2230">
            <v>48145893.449999996</v>
          </cell>
          <cell r="BN2230">
            <v>48145893.449999996</v>
          </cell>
          <cell r="BO2230">
            <v>0</v>
          </cell>
          <cell r="BP2230">
            <v>0</v>
          </cell>
          <cell r="BQ2230">
            <v>0</v>
          </cell>
          <cell r="BR2230">
            <v>96291786.899999991</v>
          </cell>
          <cell r="BT2230">
            <v>53</v>
          </cell>
          <cell r="BV2230">
            <v>13</v>
          </cell>
          <cell r="BW2230">
            <v>60</v>
          </cell>
          <cell r="CA2230" t="str">
            <v>TOC - REVTOT - Base</v>
          </cell>
          <cell r="CC2230" t="str">
            <v>TOC - REVTOT - Base - NE</v>
          </cell>
          <cell r="CD2230" t="str">
            <v/>
          </cell>
          <cell r="CF2230" t="str">
            <v>TOC - Base - NE</v>
          </cell>
        </row>
        <row r="2231">
          <cell r="D2231">
            <v>29</v>
          </cell>
          <cell r="E2231">
            <v>1</v>
          </cell>
          <cell r="F2231">
            <v>2</v>
          </cell>
          <cell r="G2231" t="str">
            <v>TOC</v>
          </cell>
          <cell r="H2231" t="str">
            <v>TOC Total</v>
          </cell>
          <cell r="I2231" t="str">
            <v>NE</v>
          </cell>
          <cell r="J2231" t="str">
            <v>NE HLW &amp; NNSA Operations</v>
          </cell>
          <cell r="K2231" t="str">
            <v>DOE-EM</v>
          </cell>
          <cell r="L2231" t="str">
            <v>DOE</v>
          </cell>
          <cell r="M2231" t="str">
            <v>WA</v>
          </cell>
          <cell r="N2231" t="str">
            <v>CONUS</v>
          </cell>
          <cell r="O2231">
            <v>44105</v>
          </cell>
          <cell r="P2231">
            <v>49582</v>
          </cell>
          <cell r="Q2231" t="str">
            <v>Minority</v>
          </cell>
          <cell r="R2231" t="str">
            <v>Multi</v>
          </cell>
          <cell r="S2231">
            <v>1</v>
          </cell>
          <cell r="T2231">
            <v>0</v>
          </cell>
          <cell r="U2231" t="str">
            <v>REVTOT</v>
          </cell>
          <cell r="V2231" t="str">
            <v>Identified - Recompete</v>
          </cell>
          <cell r="W2231" t="str">
            <v>04 Submitted</v>
          </cell>
          <cell r="X2231" t="str">
            <v>Priority 2</v>
          </cell>
          <cell r="Y2231">
            <v>0.5</v>
          </cell>
          <cell r="Z2231">
            <v>5330000000</v>
          </cell>
          <cell r="AA2231">
            <v>0</v>
          </cell>
          <cell r="AB2231">
            <v>0</v>
          </cell>
          <cell r="AC2231">
            <v>0</v>
          </cell>
          <cell r="AD2231">
            <v>0</v>
          </cell>
          <cell r="BM2231">
            <v>0</v>
          </cell>
          <cell r="BN2231">
            <v>0</v>
          </cell>
          <cell r="BO2231">
            <v>0</v>
          </cell>
          <cell r="BP2231">
            <v>0</v>
          </cell>
          <cell r="BQ2231">
            <v>0</v>
          </cell>
          <cell r="BR2231">
            <v>0</v>
          </cell>
          <cell r="BT2231">
            <v>53</v>
          </cell>
          <cell r="BV2231">
            <v>14</v>
          </cell>
          <cell r="BW2231">
            <v>60</v>
          </cell>
          <cell r="CA2231" t="str">
            <v>TOC - REVTOT - Identified - Recompete</v>
          </cell>
          <cell r="CC2231" t="str">
            <v>TOC - REVTOT - Identified - Recompete - NE</v>
          </cell>
          <cell r="CD2231" t="str">
            <v/>
          </cell>
          <cell r="CF2231" t="str">
            <v>TOC - Identified - Recompete - NE</v>
          </cell>
        </row>
        <row r="2232">
          <cell r="D2232">
            <v>30</v>
          </cell>
          <cell r="E2232">
            <v>1</v>
          </cell>
          <cell r="F2232">
            <v>3</v>
          </cell>
          <cell r="G2232" t="str">
            <v>TOC</v>
          </cell>
          <cell r="H2232" t="str">
            <v>TOC Total</v>
          </cell>
          <cell r="I2232" t="str">
            <v>NE</v>
          </cell>
          <cell r="J2232" t="str">
            <v>NE HLW &amp; NNSA Operations</v>
          </cell>
          <cell r="K2232" t="str">
            <v>DOE-EM</v>
          </cell>
          <cell r="L2232" t="str">
            <v>DOE</v>
          </cell>
          <cell r="M2232" t="str">
            <v>WA</v>
          </cell>
          <cell r="N2232" t="str">
            <v>CONUS</v>
          </cell>
          <cell r="O2232">
            <v>0</v>
          </cell>
          <cell r="P2232">
            <v>0</v>
          </cell>
          <cell r="Q2232">
            <v>0</v>
          </cell>
          <cell r="R2232">
            <v>0</v>
          </cell>
          <cell r="S2232">
            <v>1</v>
          </cell>
          <cell r="T2232">
            <v>0</v>
          </cell>
          <cell r="U2232" t="str">
            <v>REVTOT</v>
          </cell>
          <cell r="V2232" t="str">
            <v>Identified - New</v>
          </cell>
          <cell r="W2232">
            <v>0</v>
          </cell>
          <cell r="X2232">
            <v>0</v>
          </cell>
          <cell r="Y2232">
            <v>0</v>
          </cell>
          <cell r="Z2232">
            <v>0</v>
          </cell>
          <cell r="AA2232">
            <v>0</v>
          </cell>
          <cell r="AB2232">
            <v>0</v>
          </cell>
          <cell r="AC2232">
            <v>0</v>
          </cell>
          <cell r="AD2232">
            <v>0</v>
          </cell>
          <cell r="BM2232">
            <v>0</v>
          </cell>
          <cell r="BN2232">
            <v>0</v>
          </cell>
          <cell r="BO2232">
            <v>0</v>
          </cell>
          <cell r="BP2232">
            <v>0</v>
          </cell>
          <cell r="BQ2232">
            <v>0</v>
          </cell>
          <cell r="BR2232">
            <v>0</v>
          </cell>
          <cell r="BT2232">
            <v>53</v>
          </cell>
          <cell r="BV2232">
            <v>2</v>
          </cell>
          <cell r="BW2232">
            <v>60</v>
          </cell>
          <cell r="CA2232" t="str">
            <v>TOC - REVTOT - Identified - New</v>
          </cell>
          <cell r="CC2232" t="str">
            <v>TOC - REVTOT - Identified - New - NE</v>
          </cell>
          <cell r="CD2232" t="str">
            <v/>
          </cell>
          <cell r="CF2232" t="str">
            <v>TOC - Identified - New - NE</v>
          </cell>
        </row>
        <row r="2233">
          <cell r="D2233">
            <v>31</v>
          </cell>
          <cell r="E2233">
            <v>2</v>
          </cell>
          <cell r="F2233">
            <v>4</v>
          </cell>
          <cell r="G2233" t="str">
            <v>TOC</v>
          </cell>
          <cell r="H2233" t="str">
            <v>TOC Total</v>
          </cell>
          <cell r="I2233" t="str">
            <v>NE</v>
          </cell>
          <cell r="J2233" t="str">
            <v>NE HLW &amp; NNSA Operations</v>
          </cell>
          <cell r="K2233" t="str">
            <v>DOE-EM</v>
          </cell>
          <cell r="L2233" t="str">
            <v>DOE</v>
          </cell>
          <cell r="M2233" t="str">
            <v>WA</v>
          </cell>
          <cell r="N2233" t="str">
            <v>CONUS</v>
          </cell>
          <cell r="O2233">
            <v>39722</v>
          </cell>
          <cell r="P2233">
            <v>44104</v>
          </cell>
          <cell r="Q2233" t="str">
            <v>Majority</v>
          </cell>
          <cell r="R2233" t="str">
            <v>CPAF</v>
          </cell>
          <cell r="S2233">
            <v>1</v>
          </cell>
          <cell r="T2233">
            <v>1</v>
          </cell>
          <cell r="U2233" t="str">
            <v>CONTRACT</v>
          </cell>
          <cell r="V2233" t="str">
            <v>Base</v>
          </cell>
          <cell r="W2233" t="str">
            <v>05 Won</v>
          </cell>
          <cell r="X2233" t="str">
            <v>Active</v>
          </cell>
          <cell r="Y2233">
            <v>0</v>
          </cell>
          <cell r="Z2233">
            <v>0</v>
          </cell>
          <cell r="AA2233">
            <v>0</v>
          </cell>
          <cell r="AB2233">
            <v>0</v>
          </cell>
          <cell r="AC2233">
            <v>48145893.724999994</v>
          </cell>
          <cell r="AD2233">
            <v>48145893.724999994</v>
          </cell>
          <cell r="BF2233">
            <v>28485679.110000003</v>
          </cell>
          <cell r="BG2233">
            <v>30551597.559999999</v>
          </cell>
          <cell r="BH2233">
            <v>32830725.419999998</v>
          </cell>
          <cell r="BI2233">
            <v>5337837.57</v>
          </cell>
          <cell r="BJ2233">
            <v>4838487.33</v>
          </cell>
          <cell r="BK2233">
            <v>7044202.8699999992</v>
          </cell>
          <cell r="BL2233">
            <v>8877628.2700000014</v>
          </cell>
          <cell r="BM2233">
            <v>26098156.039999999</v>
          </cell>
          <cell r="BN2233">
            <v>26098156.040000003</v>
          </cell>
          <cell r="BO2233">
            <v>0</v>
          </cell>
          <cell r="BP2233">
            <v>0</v>
          </cell>
          <cell r="BQ2233">
            <v>0</v>
          </cell>
          <cell r="BR2233">
            <v>52196312.079999998</v>
          </cell>
          <cell r="BT2233">
            <v>53</v>
          </cell>
          <cell r="BV2233">
            <v>13</v>
          </cell>
          <cell r="BW2233">
            <v>78</v>
          </cell>
          <cell r="CA2233" t="str">
            <v>TOC - CONTRACT - Base</v>
          </cell>
          <cell r="CC2233" t="str">
            <v>TOC - CONTRACT - Base - NE - 2</v>
          </cell>
          <cell r="CD2233" t="str">
            <v/>
          </cell>
          <cell r="CF2233" t="str">
            <v>TOC - Base - NE</v>
          </cell>
        </row>
        <row r="2234">
          <cell r="D2234">
            <v>32</v>
          </cell>
          <cell r="E2234">
            <v>2</v>
          </cell>
          <cell r="F2234">
            <v>5</v>
          </cell>
          <cell r="G2234" t="str">
            <v>TOC</v>
          </cell>
          <cell r="H2234" t="str">
            <v>TOC Total</v>
          </cell>
          <cell r="I2234" t="str">
            <v>NE</v>
          </cell>
          <cell r="J2234" t="str">
            <v>NE HLW &amp; NNSA Operations</v>
          </cell>
          <cell r="K2234" t="str">
            <v>DOE-EM</v>
          </cell>
          <cell r="L2234" t="str">
            <v>DOE</v>
          </cell>
          <cell r="M2234" t="str">
            <v>WA</v>
          </cell>
          <cell r="N2234" t="str">
            <v>CONUS</v>
          </cell>
          <cell r="O2234">
            <v>44105</v>
          </cell>
          <cell r="P2234">
            <v>49582</v>
          </cell>
          <cell r="Q2234" t="str">
            <v>Minority</v>
          </cell>
          <cell r="R2234" t="str">
            <v>Multi</v>
          </cell>
          <cell r="S2234">
            <v>1</v>
          </cell>
          <cell r="T2234">
            <v>0</v>
          </cell>
          <cell r="U2234" t="str">
            <v>CONTRACT</v>
          </cell>
          <cell r="V2234" t="str">
            <v>Identified - Recompete</v>
          </cell>
          <cell r="W2234" t="str">
            <v>04 Submitted</v>
          </cell>
          <cell r="X2234" t="str">
            <v>Priority 2</v>
          </cell>
          <cell r="Y2234">
            <v>0.5</v>
          </cell>
          <cell r="Z2234">
            <v>5330000000</v>
          </cell>
          <cell r="AA2234">
            <v>0</v>
          </cell>
          <cell r="AB2234">
            <v>0</v>
          </cell>
          <cell r="AC2234">
            <v>0</v>
          </cell>
          <cell r="AD2234">
            <v>0</v>
          </cell>
          <cell r="BM2234">
            <v>0</v>
          </cell>
          <cell r="BN2234">
            <v>0</v>
          </cell>
          <cell r="BO2234">
            <v>0</v>
          </cell>
          <cell r="BP2234">
            <v>0</v>
          </cell>
          <cell r="BQ2234">
            <v>0</v>
          </cell>
          <cell r="BR2234">
            <v>0</v>
          </cell>
          <cell r="BT2234">
            <v>53</v>
          </cell>
          <cell r="BV2234">
            <v>14</v>
          </cell>
          <cell r="BW2234">
            <v>78</v>
          </cell>
          <cell r="CA2234" t="str">
            <v>TOC - CONTRACT - Identified - Recompete</v>
          </cell>
          <cell r="CC2234" t="str">
            <v>TOC - CONTRACT - Identified - Recompete - NE</v>
          </cell>
          <cell r="CD2234" t="str">
            <v/>
          </cell>
          <cell r="CF2234" t="str">
            <v>TOC - Identified - Recompete - NE</v>
          </cell>
        </row>
        <row r="2235">
          <cell r="D2235">
            <v>33</v>
          </cell>
          <cell r="E2235">
            <v>2</v>
          </cell>
          <cell r="F2235">
            <v>6</v>
          </cell>
          <cell r="G2235" t="str">
            <v>TOC</v>
          </cell>
          <cell r="H2235" t="str">
            <v>TOC Total</v>
          </cell>
          <cell r="I2235" t="str">
            <v>NE</v>
          </cell>
          <cell r="J2235" t="str">
            <v>NE HLW &amp; NNSA Operations</v>
          </cell>
          <cell r="K2235" t="str">
            <v>DOE-EM</v>
          </cell>
          <cell r="L2235" t="str">
            <v>DOE</v>
          </cell>
          <cell r="M2235" t="str">
            <v>WA</v>
          </cell>
          <cell r="N2235" t="str">
            <v>CONUS</v>
          </cell>
          <cell r="O2235">
            <v>0</v>
          </cell>
          <cell r="P2235">
            <v>0</v>
          </cell>
          <cell r="Q2235">
            <v>0</v>
          </cell>
          <cell r="R2235">
            <v>0</v>
          </cell>
          <cell r="S2235">
            <v>1</v>
          </cell>
          <cell r="T2235">
            <v>0</v>
          </cell>
          <cell r="U2235" t="str">
            <v>CONTRACT</v>
          </cell>
          <cell r="V2235" t="str">
            <v>Identified - New</v>
          </cell>
          <cell r="W2235">
            <v>0</v>
          </cell>
          <cell r="X2235">
            <v>0</v>
          </cell>
          <cell r="Y2235">
            <v>0</v>
          </cell>
          <cell r="Z2235">
            <v>0</v>
          </cell>
          <cell r="AA2235">
            <v>0</v>
          </cell>
          <cell r="AB2235">
            <v>0</v>
          </cell>
          <cell r="AC2235">
            <v>0</v>
          </cell>
          <cell r="AD2235">
            <v>0</v>
          </cell>
          <cell r="BM2235">
            <v>0</v>
          </cell>
          <cell r="BN2235">
            <v>0</v>
          </cell>
          <cell r="BO2235">
            <v>0</v>
          </cell>
          <cell r="BP2235">
            <v>0</v>
          </cell>
          <cell r="BQ2235">
            <v>0</v>
          </cell>
          <cell r="BR2235">
            <v>0</v>
          </cell>
          <cell r="BT2235">
            <v>53</v>
          </cell>
          <cell r="BV2235">
            <v>2</v>
          </cell>
          <cell r="BW2235">
            <v>78</v>
          </cell>
          <cell r="CA2235" t="str">
            <v>TOC - CONTRACT - Identified - New</v>
          </cell>
          <cell r="CC2235" t="str">
            <v>TOC - CONTRACT - Identified - New - NE</v>
          </cell>
          <cell r="CD2235" t="str">
            <v/>
          </cell>
          <cell r="CF2235" t="str">
            <v>TOC - Identified - New - NE</v>
          </cell>
        </row>
        <row r="2236">
          <cell r="D2236">
            <v>34</v>
          </cell>
          <cell r="E2236">
            <v>0</v>
          </cell>
          <cell r="F2236">
            <v>7</v>
          </cell>
          <cell r="G2236" t="str">
            <v>TOC</v>
          </cell>
          <cell r="H2236" t="str">
            <v>TOC Total</v>
          </cell>
          <cell r="I2236" t="str">
            <v>NE</v>
          </cell>
          <cell r="J2236" t="str">
            <v>NE HLW &amp; NNSA Operations</v>
          </cell>
          <cell r="K2236" t="str">
            <v>DOE-EM</v>
          </cell>
          <cell r="L2236" t="str">
            <v>DOE</v>
          </cell>
          <cell r="M2236" t="str">
            <v>WA</v>
          </cell>
          <cell r="N2236" t="str">
            <v>CONUS</v>
          </cell>
          <cell r="O2236">
            <v>39722</v>
          </cell>
          <cell r="P2236">
            <v>44104</v>
          </cell>
          <cell r="Q2236" t="str">
            <v>Majority</v>
          </cell>
          <cell r="R2236" t="str">
            <v>CPAF</v>
          </cell>
          <cell r="S2236">
            <v>1</v>
          </cell>
          <cell r="T2236">
            <v>1</v>
          </cell>
          <cell r="U2236" t="str">
            <v>EBITA</v>
          </cell>
          <cell r="V2236" t="str">
            <v>Base</v>
          </cell>
          <cell r="W2236" t="str">
            <v>05 Won</v>
          </cell>
          <cell r="X2236" t="str">
            <v>Active</v>
          </cell>
          <cell r="Y2236">
            <v>0</v>
          </cell>
          <cell r="Z2236">
            <v>0</v>
          </cell>
          <cell r="AA2236">
            <v>0</v>
          </cell>
          <cell r="AB2236">
            <v>0</v>
          </cell>
          <cell r="AC2236">
            <v>48145893.724999994</v>
          </cell>
          <cell r="AD2236">
            <v>48145893.724999994</v>
          </cell>
          <cell r="BF2236">
            <v>14125425.99</v>
          </cell>
          <cell r="BG2236">
            <v>15343607.729999999</v>
          </cell>
          <cell r="BH2236">
            <v>16652504.369999997</v>
          </cell>
          <cell r="BI2236">
            <v>2462651.3600000003</v>
          </cell>
          <cell r="BJ2236">
            <v>2022401.6500000004</v>
          </cell>
          <cell r="BK2236">
            <v>3153153.3399999994</v>
          </cell>
          <cell r="BL2236">
            <v>3831059.1300000004</v>
          </cell>
          <cell r="BM2236">
            <v>11469265.48</v>
          </cell>
          <cell r="BN2236">
            <v>11469265.48</v>
          </cell>
          <cell r="BO2236">
            <v>0</v>
          </cell>
          <cell r="BP2236">
            <v>0</v>
          </cell>
          <cell r="BQ2236">
            <v>0</v>
          </cell>
          <cell r="BR2236">
            <v>22938530.960000001</v>
          </cell>
          <cell r="BT2236">
            <v>53</v>
          </cell>
          <cell r="BV2236">
            <v>13</v>
          </cell>
          <cell r="BW2236">
            <v>87</v>
          </cell>
          <cell r="CA2236" t="str">
            <v>TOC - EBITA - Base</v>
          </cell>
          <cell r="CC2236" t="str">
            <v>TOC - EBITA - Base - NE</v>
          </cell>
          <cell r="CD2236" t="str">
            <v/>
          </cell>
          <cell r="CF2236" t="str">
            <v>TOC - Base - NE</v>
          </cell>
        </row>
        <row r="2237">
          <cell r="D2237">
            <v>35</v>
          </cell>
          <cell r="E2237">
            <v>0</v>
          </cell>
          <cell r="F2237">
            <v>8</v>
          </cell>
          <cell r="G2237" t="str">
            <v>TOC</v>
          </cell>
          <cell r="H2237" t="str">
            <v>TOC Total</v>
          </cell>
          <cell r="I2237" t="str">
            <v>NE</v>
          </cell>
          <cell r="J2237" t="str">
            <v>NE HLW &amp; NNSA Operations</v>
          </cell>
          <cell r="K2237" t="str">
            <v>DOE-EM</v>
          </cell>
          <cell r="L2237" t="str">
            <v>DOE</v>
          </cell>
          <cell r="M2237" t="str">
            <v>WA</v>
          </cell>
          <cell r="N2237" t="str">
            <v>CONUS</v>
          </cell>
          <cell r="O2237">
            <v>44105</v>
          </cell>
          <cell r="P2237">
            <v>49582</v>
          </cell>
          <cell r="Q2237" t="str">
            <v>Minority</v>
          </cell>
          <cell r="R2237" t="str">
            <v>Multi</v>
          </cell>
          <cell r="S2237">
            <v>1</v>
          </cell>
          <cell r="T2237">
            <v>0</v>
          </cell>
          <cell r="U2237" t="str">
            <v>EBITA</v>
          </cell>
          <cell r="V2237" t="str">
            <v>Identified - Recompete</v>
          </cell>
          <cell r="W2237" t="str">
            <v>04 Submitted</v>
          </cell>
          <cell r="X2237" t="str">
            <v>Priority 2</v>
          </cell>
          <cell r="Y2237">
            <v>0.5</v>
          </cell>
          <cell r="Z2237">
            <v>5330000000</v>
          </cell>
          <cell r="AA2237">
            <v>0</v>
          </cell>
          <cell r="AB2237">
            <v>0</v>
          </cell>
          <cell r="AC2237">
            <v>0</v>
          </cell>
          <cell r="AD2237">
            <v>0</v>
          </cell>
          <cell r="BM2237">
            <v>0</v>
          </cell>
          <cell r="BN2237">
            <v>0</v>
          </cell>
          <cell r="BO2237">
            <v>5864085.9418410826</v>
          </cell>
          <cell r="BP2237">
            <v>5864085.9418410826</v>
          </cell>
          <cell r="BQ2237">
            <v>5864085.9418410826</v>
          </cell>
          <cell r="BR2237">
            <v>17592257.82552325</v>
          </cell>
          <cell r="BT2237">
            <v>53</v>
          </cell>
          <cell r="BV2237">
            <v>14</v>
          </cell>
          <cell r="BW2237">
            <v>87</v>
          </cell>
          <cell r="CA2237" t="str">
            <v>TOC - EBITA - Identified - Recompete</v>
          </cell>
          <cell r="CC2237" t="str">
            <v>TOC - EBITA - Identified - Recompete - NE</v>
          </cell>
          <cell r="CD2237" t="str">
            <v/>
          </cell>
          <cell r="CF2237" t="str">
            <v>TOC - Identified - Recompete - NE</v>
          </cell>
        </row>
        <row r="2238">
          <cell r="D2238">
            <v>36</v>
          </cell>
          <cell r="E2238">
            <v>0</v>
          </cell>
          <cell r="F2238">
            <v>0</v>
          </cell>
          <cell r="G2238" t="str">
            <v>TOC</v>
          </cell>
          <cell r="H2238" t="str">
            <v>TOC Total</v>
          </cell>
          <cell r="I2238" t="str">
            <v>NE</v>
          </cell>
          <cell r="J2238" t="str">
            <v>NE HLW &amp; NNSA Operations</v>
          </cell>
          <cell r="K2238" t="str">
            <v>DOE-EM</v>
          </cell>
          <cell r="L2238" t="str">
            <v>DOE</v>
          </cell>
          <cell r="M2238" t="str">
            <v>WA</v>
          </cell>
          <cell r="N2238" t="str">
            <v>CONUS</v>
          </cell>
          <cell r="O2238">
            <v>0</v>
          </cell>
          <cell r="P2238">
            <v>0</v>
          </cell>
          <cell r="Q2238">
            <v>0</v>
          </cell>
          <cell r="R2238">
            <v>0</v>
          </cell>
          <cell r="S2238">
            <v>1</v>
          </cell>
          <cell r="T2238">
            <v>0</v>
          </cell>
          <cell r="U2238" t="str">
            <v>EBITA</v>
          </cell>
          <cell r="V2238" t="str">
            <v>Identified - New</v>
          </cell>
          <cell r="W2238">
            <v>0</v>
          </cell>
          <cell r="X2238">
            <v>0</v>
          </cell>
          <cell r="Y2238">
            <v>0</v>
          </cell>
          <cell r="Z2238">
            <v>0</v>
          </cell>
          <cell r="AA2238">
            <v>0</v>
          </cell>
          <cell r="AB2238">
            <v>0</v>
          </cell>
          <cell r="AC2238">
            <v>0</v>
          </cell>
          <cell r="AD2238">
            <v>0</v>
          </cell>
          <cell r="BM2238">
            <v>0</v>
          </cell>
          <cell r="BN2238">
            <v>0</v>
          </cell>
          <cell r="BO2238">
            <v>0</v>
          </cell>
          <cell r="BP2238">
            <v>0</v>
          </cell>
          <cell r="BQ2238">
            <v>0</v>
          </cell>
          <cell r="BR2238">
            <v>0</v>
          </cell>
          <cell r="BT2238">
            <v>53</v>
          </cell>
          <cell r="BV2238">
            <v>2</v>
          </cell>
          <cell r="BW2238">
            <v>87</v>
          </cell>
          <cell r="CA2238" t="str">
            <v>TOC - EBITA - Identified - New</v>
          </cell>
          <cell r="CC2238" t="str">
            <v>TOC - EBITA - Identified - New - NE</v>
          </cell>
          <cell r="CD2238" t="str">
            <v/>
          </cell>
          <cell r="CF2238" t="str">
            <v>TOC - Identified - New - NE</v>
          </cell>
        </row>
        <row r="2239">
          <cell r="D2239">
            <v>37</v>
          </cell>
          <cell r="E2239">
            <v>1</v>
          </cell>
          <cell r="F2239">
            <v>1</v>
          </cell>
          <cell r="G2239" t="str">
            <v>SONGS</v>
          </cell>
          <cell r="H2239" t="str">
            <v>SONGS Total</v>
          </cell>
          <cell r="I2239" t="str">
            <v>NE</v>
          </cell>
          <cell r="J2239" t="str">
            <v>NE DD and WM Projects</v>
          </cell>
          <cell r="K2239" t="str">
            <v>Commercial</v>
          </cell>
          <cell r="L2239" t="str">
            <v xml:space="preserve">Commercial </v>
          </cell>
          <cell r="M2239" t="str">
            <v>CA</v>
          </cell>
          <cell r="N2239" t="str">
            <v>CONUS</v>
          </cell>
          <cell r="O2239">
            <v>42724</v>
          </cell>
          <cell r="P2239">
            <v>46691</v>
          </cell>
          <cell r="Q2239" t="str">
            <v>Majority</v>
          </cell>
          <cell r="R2239" t="str">
            <v>FFP</v>
          </cell>
          <cell r="S2239">
            <v>1</v>
          </cell>
          <cell r="T2239">
            <v>1</v>
          </cell>
          <cell r="U2239" t="str">
            <v>REVTOT</v>
          </cell>
          <cell r="V2239" t="str">
            <v>Base</v>
          </cell>
          <cell r="W2239" t="str">
            <v>05 Won</v>
          </cell>
          <cell r="X2239" t="str">
            <v>Active</v>
          </cell>
          <cell r="Y2239">
            <v>0</v>
          </cell>
          <cell r="Z2239">
            <v>0</v>
          </cell>
          <cell r="AA2239">
            <v>1197342139</v>
          </cell>
          <cell r="AB2239">
            <v>0</v>
          </cell>
          <cell r="AC2239">
            <v>0</v>
          </cell>
          <cell r="AD2239">
            <v>1197342139</v>
          </cell>
          <cell r="BF2239">
            <v>0</v>
          </cell>
          <cell r="BG2239">
            <v>1229271.82</v>
          </cell>
          <cell r="BH2239">
            <v>1394123.7799999998</v>
          </cell>
          <cell r="BI2239">
            <v>375268.05</v>
          </cell>
          <cell r="BJ2239">
            <v>312833.45999999996</v>
          </cell>
          <cell r="BK2239">
            <v>274116.23</v>
          </cell>
          <cell r="BL2239">
            <v>404346.24</v>
          </cell>
          <cell r="BM2239">
            <v>1366563.98</v>
          </cell>
          <cell r="BN2239">
            <v>153786472</v>
          </cell>
          <cell r="BO2239">
            <v>162693412</v>
          </cell>
          <cell r="BP2239">
            <v>162693412</v>
          </cell>
          <cell r="BQ2239">
            <v>162693412</v>
          </cell>
          <cell r="BR2239">
            <v>643233271.98000002</v>
          </cell>
          <cell r="BT2239">
            <v>54</v>
          </cell>
          <cell r="BV2239">
            <v>15</v>
          </cell>
          <cell r="BW2239">
            <v>60</v>
          </cell>
          <cell r="CA2239" t="str">
            <v>SONGS - REVTOT - Base</v>
          </cell>
          <cell r="CC2239" t="str">
            <v>SONGS - REVTOT - Base - NE</v>
          </cell>
          <cell r="CD2239" t="str">
            <v/>
          </cell>
          <cell r="CF2239" t="str">
            <v>SONGS - Base - NE</v>
          </cell>
        </row>
        <row r="2240">
          <cell r="D2240">
            <v>38</v>
          </cell>
          <cell r="E2240">
            <v>1</v>
          </cell>
          <cell r="F2240">
            <v>2</v>
          </cell>
          <cell r="G2240" t="str">
            <v>SONGS</v>
          </cell>
          <cell r="H2240" t="str">
            <v>SONGS Total</v>
          </cell>
          <cell r="I2240" t="str">
            <v>NE</v>
          </cell>
          <cell r="J2240" t="str">
            <v>NE DD and WM Projects</v>
          </cell>
          <cell r="K2240" t="str">
            <v>Commercial</v>
          </cell>
          <cell r="L2240" t="str">
            <v xml:space="preserve">Commercial </v>
          </cell>
          <cell r="M2240" t="str">
            <v>CA</v>
          </cell>
          <cell r="N2240" t="str">
            <v>CONUS</v>
          </cell>
          <cell r="O2240">
            <v>0</v>
          </cell>
          <cell r="P2240">
            <v>0</v>
          </cell>
          <cell r="Q2240">
            <v>0</v>
          </cell>
          <cell r="R2240">
            <v>0</v>
          </cell>
          <cell r="S2240">
            <v>1</v>
          </cell>
          <cell r="T2240">
            <v>0</v>
          </cell>
          <cell r="U2240" t="str">
            <v>REVTOT</v>
          </cell>
          <cell r="V2240" t="str">
            <v>Identified - Recompete</v>
          </cell>
          <cell r="W2240">
            <v>0</v>
          </cell>
          <cell r="X2240">
            <v>0</v>
          </cell>
          <cell r="Y2240">
            <v>0</v>
          </cell>
          <cell r="Z2240">
            <v>0</v>
          </cell>
          <cell r="AA2240">
            <v>0</v>
          </cell>
          <cell r="AB2240">
            <v>0</v>
          </cell>
          <cell r="AC2240">
            <v>0</v>
          </cell>
          <cell r="AD2240">
            <v>0</v>
          </cell>
          <cell r="BM2240">
            <v>0</v>
          </cell>
          <cell r="BN2240">
            <v>0</v>
          </cell>
          <cell r="BO2240">
            <v>0</v>
          </cell>
          <cell r="BP2240">
            <v>0</v>
          </cell>
          <cell r="BQ2240">
            <v>0</v>
          </cell>
          <cell r="BR2240">
            <v>0</v>
          </cell>
          <cell r="BT2240">
            <v>54</v>
          </cell>
          <cell r="BV2240">
            <v>2</v>
          </cell>
          <cell r="BW2240">
            <v>60</v>
          </cell>
          <cell r="CA2240" t="str">
            <v>SONGS - REVTOT - Identified - Recompete</v>
          </cell>
          <cell r="CC2240" t="str">
            <v>SONGS - REVTOT - Identified - Recompete - NE</v>
          </cell>
          <cell r="CD2240" t="str">
            <v/>
          </cell>
          <cell r="CF2240" t="str">
            <v>SONGS - Identified - Recompete - NE</v>
          </cell>
        </row>
        <row r="2241">
          <cell r="D2241">
            <v>39</v>
          </cell>
          <cell r="E2241">
            <v>1</v>
          </cell>
          <cell r="F2241">
            <v>3</v>
          </cell>
          <cell r="G2241" t="str">
            <v>SONGS</v>
          </cell>
          <cell r="H2241" t="str">
            <v>SONGS Total</v>
          </cell>
          <cell r="I2241" t="str">
            <v>NE</v>
          </cell>
          <cell r="J2241" t="str">
            <v>NE DD and WM Projects</v>
          </cell>
          <cell r="K2241" t="str">
            <v>Commercial</v>
          </cell>
          <cell r="L2241" t="str">
            <v xml:space="preserve">Commercial </v>
          </cell>
          <cell r="M2241" t="str">
            <v>CA</v>
          </cell>
          <cell r="N2241" t="str">
            <v>CONUS</v>
          </cell>
          <cell r="O2241">
            <v>0</v>
          </cell>
          <cell r="P2241">
            <v>0</v>
          </cell>
          <cell r="Q2241">
            <v>0</v>
          </cell>
          <cell r="R2241">
            <v>0</v>
          </cell>
          <cell r="S2241">
            <v>1</v>
          </cell>
          <cell r="T2241">
            <v>0</v>
          </cell>
          <cell r="U2241" t="str">
            <v>REVTOT</v>
          </cell>
          <cell r="V2241" t="str">
            <v>Identified - New</v>
          </cell>
          <cell r="W2241">
            <v>0</v>
          </cell>
          <cell r="X2241">
            <v>0</v>
          </cell>
          <cell r="Y2241">
            <v>0</v>
          </cell>
          <cell r="Z2241">
            <v>0</v>
          </cell>
          <cell r="AA2241">
            <v>0</v>
          </cell>
          <cell r="AB2241">
            <v>0</v>
          </cell>
          <cell r="AC2241">
            <v>0</v>
          </cell>
          <cell r="AD2241">
            <v>0</v>
          </cell>
          <cell r="BM2241">
            <v>0</v>
          </cell>
          <cell r="BN2241">
            <v>0</v>
          </cell>
          <cell r="BO2241">
            <v>0</v>
          </cell>
          <cell r="BP2241">
            <v>0</v>
          </cell>
          <cell r="BQ2241">
            <v>0</v>
          </cell>
          <cell r="BR2241">
            <v>0</v>
          </cell>
          <cell r="BT2241">
            <v>54</v>
          </cell>
          <cell r="BV2241">
            <v>2</v>
          </cell>
          <cell r="BW2241">
            <v>60</v>
          </cell>
          <cell r="CA2241" t="str">
            <v>SONGS - REVTOT - Identified - New</v>
          </cell>
          <cell r="CC2241" t="str">
            <v>SONGS - REVTOT - Identified - New - NE</v>
          </cell>
          <cell r="CD2241" t="str">
            <v/>
          </cell>
          <cell r="CF2241" t="str">
            <v>SONGS - Identified - New - NE</v>
          </cell>
        </row>
        <row r="2242">
          <cell r="D2242">
            <v>40</v>
          </cell>
          <cell r="E2242">
            <v>2</v>
          </cell>
          <cell r="F2242">
            <v>4</v>
          </cell>
          <cell r="G2242" t="str">
            <v>SONGS</v>
          </cell>
          <cell r="H2242" t="str">
            <v>SONGS Total</v>
          </cell>
          <cell r="I2242" t="str">
            <v>NE</v>
          </cell>
          <cell r="J2242" t="str">
            <v>NE DD and WM Projects</v>
          </cell>
          <cell r="K2242" t="str">
            <v>Commercial</v>
          </cell>
          <cell r="L2242" t="str">
            <v xml:space="preserve">Commercial </v>
          </cell>
          <cell r="M2242" t="str">
            <v>CA</v>
          </cell>
          <cell r="N2242" t="str">
            <v>CONUS</v>
          </cell>
          <cell r="O2242">
            <v>42724</v>
          </cell>
          <cell r="P2242">
            <v>46691</v>
          </cell>
          <cell r="Q2242" t="str">
            <v>Majority</v>
          </cell>
          <cell r="R2242" t="str">
            <v>FFP</v>
          </cell>
          <cell r="S2242">
            <v>1</v>
          </cell>
          <cell r="T2242">
            <v>1</v>
          </cell>
          <cell r="U2242" t="str">
            <v>CONTRACT</v>
          </cell>
          <cell r="V2242" t="str">
            <v>Base</v>
          </cell>
          <cell r="W2242" t="str">
            <v>05 Won</v>
          </cell>
          <cell r="X2242" t="str">
            <v>Active</v>
          </cell>
          <cell r="Y2242">
            <v>0</v>
          </cell>
          <cell r="Z2242">
            <v>0</v>
          </cell>
          <cell r="AA2242">
            <v>1197342139</v>
          </cell>
          <cell r="AB2242">
            <v>0</v>
          </cell>
          <cell r="AC2242">
            <v>0</v>
          </cell>
          <cell r="AD2242">
            <v>1197342139</v>
          </cell>
          <cell r="BF2242">
            <v>0</v>
          </cell>
          <cell r="BG2242">
            <v>45550.449999999983</v>
          </cell>
          <cell r="BH2242">
            <v>-2868.0300000000279</v>
          </cell>
          <cell r="BI2242">
            <v>46375.049999999974</v>
          </cell>
          <cell r="BJ2242">
            <v>19707.020000000004</v>
          </cell>
          <cell r="BK2242">
            <v>37885.360000000015</v>
          </cell>
          <cell r="BL2242">
            <v>84359.92</v>
          </cell>
          <cell r="BM2242">
            <v>188327.34999999998</v>
          </cell>
          <cell r="BN2242">
            <v>14668863.483076923</v>
          </cell>
          <cell r="BO2242">
            <v>15518448.52923077</v>
          </cell>
          <cell r="BP2242">
            <v>15518448.52923077</v>
          </cell>
          <cell r="BQ2242">
            <v>15518448.52923077</v>
          </cell>
          <cell r="BR2242">
            <v>61412536.42076923</v>
          </cell>
          <cell r="BT2242">
            <v>54</v>
          </cell>
          <cell r="BV2242">
            <v>15</v>
          </cell>
          <cell r="BW2242">
            <v>78</v>
          </cell>
          <cell r="CA2242" t="str">
            <v>SONGS - CONTRACT - Base</v>
          </cell>
          <cell r="CC2242" t="str">
            <v>SONGS - CONTRACT - Base - NE - 2</v>
          </cell>
          <cell r="CD2242" t="str">
            <v/>
          </cell>
          <cell r="CF2242" t="str">
            <v>SONGS - Base - NE</v>
          </cell>
        </row>
        <row r="2243">
          <cell r="D2243">
            <v>41</v>
          </cell>
          <cell r="E2243">
            <v>2</v>
          </cell>
          <cell r="F2243">
            <v>5</v>
          </cell>
          <cell r="G2243" t="str">
            <v>SONGS</v>
          </cell>
          <cell r="H2243" t="str">
            <v>SONGS Total</v>
          </cell>
          <cell r="I2243" t="str">
            <v>NE</v>
          </cell>
          <cell r="J2243" t="str">
            <v>NE DD and WM Projects</v>
          </cell>
          <cell r="K2243" t="str">
            <v>Commercial</v>
          </cell>
          <cell r="L2243" t="str">
            <v xml:space="preserve">Commercial </v>
          </cell>
          <cell r="M2243" t="str">
            <v>CA</v>
          </cell>
          <cell r="N2243" t="str">
            <v>CONUS</v>
          </cell>
          <cell r="O2243">
            <v>0</v>
          </cell>
          <cell r="P2243">
            <v>0</v>
          </cell>
          <cell r="Q2243">
            <v>0</v>
          </cell>
          <cell r="R2243">
            <v>0</v>
          </cell>
          <cell r="S2243">
            <v>1</v>
          </cell>
          <cell r="T2243">
            <v>0</v>
          </cell>
          <cell r="U2243" t="str">
            <v>CONTRACT</v>
          </cell>
          <cell r="V2243" t="str">
            <v>Identified - Recompete</v>
          </cell>
          <cell r="W2243">
            <v>0</v>
          </cell>
          <cell r="X2243">
            <v>0</v>
          </cell>
          <cell r="Y2243">
            <v>0</v>
          </cell>
          <cell r="Z2243">
            <v>0</v>
          </cell>
          <cell r="AA2243">
            <v>0</v>
          </cell>
          <cell r="AB2243">
            <v>0</v>
          </cell>
          <cell r="AC2243">
            <v>0</v>
          </cell>
          <cell r="AD2243">
            <v>0</v>
          </cell>
          <cell r="BM2243">
            <v>0</v>
          </cell>
          <cell r="BN2243">
            <v>0</v>
          </cell>
          <cell r="BO2243">
            <v>0</v>
          </cell>
          <cell r="BP2243">
            <v>0</v>
          </cell>
          <cell r="BQ2243">
            <v>0</v>
          </cell>
          <cell r="BR2243">
            <v>0</v>
          </cell>
          <cell r="BT2243">
            <v>54</v>
          </cell>
          <cell r="BV2243">
            <v>2</v>
          </cell>
          <cell r="BW2243">
            <v>78</v>
          </cell>
          <cell r="CA2243" t="str">
            <v>SONGS - CONTRACT - Identified - Recompete</v>
          </cell>
          <cell r="CC2243" t="str">
            <v>SONGS - CONTRACT - Identified - Recompete - NE</v>
          </cell>
          <cell r="CD2243" t="str">
            <v/>
          </cell>
          <cell r="CF2243" t="str">
            <v>SONGS - Identified - Recompete - NE</v>
          </cell>
        </row>
        <row r="2244">
          <cell r="D2244">
            <v>42</v>
          </cell>
          <cell r="E2244">
            <v>2</v>
          </cell>
          <cell r="F2244">
            <v>6</v>
          </cell>
          <cell r="G2244" t="str">
            <v>SONGS</v>
          </cell>
          <cell r="H2244" t="str">
            <v>SONGS Total</v>
          </cell>
          <cell r="I2244" t="str">
            <v>NE</v>
          </cell>
          <cell r="J2244" t="str">
            <v>NE DD and WM Projects</v>
          </cell>
          <cell r="K2244" t="str">
            <v>Commercial</v>
          </cell>
          <cell r="L2244" t="str">
            <v xml:space="preserve">Commercial </v>
          </cell>
          <cell r="M2244" t="str">
            <v>CA</v>
          </cell>
          <cell r="N2244" t="str">
            <v>CONUS</v>
          </cell>
          <cell r="O2244">
            <v>0</v>
          </cell>
          <cell r="P2244">
            <v>0</v>
          </cell>
          <cell r="Q2244">
            <v>0</v>
          </cell>
          <cell r="R2244">
            <v>0</v>
          </cell>
          <cell r="S2244">
            <v>1</v>
          </cell>
          <cell r="T2244">
            <v>0</v>
          </cell>
          <cell r="U2244" t="str">
            <v>CONTRACT</v>
          </cell>
          <cell r="V2244" t="str">
            <v>Identified - New</v>
          </cell>
          <cell r="W2244">
            <v>0</v>
          </cell>
          <cell r="X2244">
            <v>0</v>
          </cell>
          <cell r="Y2244">
            <v>0</v>
          </cell>
          <cell r="Z2244">
            <v>0</v>
          </cell>
          <cell r="AA2244">
            <v>0</v>
          </cell>
          <cell r="AB2244">
            <v>0</v>
          </cell>
          <cell r="AC2244">
            <v>0</v>
          </cell>
          <cell r="AD2244">
            <v>0</v>
          </cell>
          <cell r="BM2244">
            <v>0</v>
          </cell>
          <cell r="BN2244">
            <v>0</v>
          </cell>
          <cell r="BO2244">
            <v>0</v>
          </cell>
          <cell r="BP2244">
            <v>0</v>
          </cell>
          <cell r="BQ2244">
            <v>0</v>
          </cell>
          <cell r="BR2244">
            <v>0</v>
          </cell>
          <cell r="BT2244">
            <v>54</v>
          </cell>
          <cell r="BV2244">
            <v>2</v>
          </cell>
          <cell r="BW2244">
            <v>78</v>
          </cell>
          <cell r="CA2244" t="str">
            <v>SONGS - CONTRACT - Identified - New</v>
          </cell>
          <cell r="CC2244" t="str">
            <v>SONGS - CONTRACT - Identified - New - NE</v>
          </cell>
          <cell r="CD2244" t="str">
            <v/>
          </cell>
          <cell r="CF2244" t="str">
            <v>SONGS - Identified - New - NE</v>
          </cell>
        </row>
        <row r="2245">
          <cell r="D2245">
            <v>43</v>
          </cell>
          <cell r="E2245">
            <v>0</v>
          </cell>
          <cell r="F2245">
            <v>7</v>
          </cell>
          <cell r="G2245" t="str">
            <v>SONGS</v>
          </cell>
          <cell r="H2245" t="str">
            <v>SONGS Total</v>
          </cell>
          <cell r="I2245" t="str">
            <v>NE</v>
          </cell>
          <cell r="J2245" t="str">
            <v>NE DD and WM Projects</v>
          </cell>
          <cell r="K2245" t="str">
            <v>Commercial</v>
          </cell>
          <cell r="L2245" t="str">
            <v xml:space="preserve">Commercial </v>
          </cell>
          <cell r="M2245" t="str">
            <v>CA</v>
          </cell>
          <cell r="N2245" t="str">
            <v>CONUS</v>
          </cell>
          <cell r="O2245">
            <v>42724</v>
          </cell>
          <cell r="P2245">
            <v>46691</v>
          </cell>
          <cell r="Q2245" t="str">
            <v>Majority</v>
          </cell>
          <cell r="R2245" t="str">
            <v>FFP</v>
          </cell>
          <cell r="S2245">
            <v>1</v>
          </cell>
          <cell r="T2245">
            <v>1</v>
          </cell>
          <cell r="U2245" t="str">
            <v>EBITA</v>
          </cell>
          <cell r="V2245" t="str">
            <v>Base</v>
          </cell>
          <cell r="W2245" t="str">
            <v>05 Won</v>
          </cell>
          <cell r="X2245" t="str">
            <v>Active</v>
          </cell>
          <cell r="Y2245">
            <v>0</v>
          </cell>
          <cell r="Z2245">
            <v>0</v>
          </cell>
          <cell r="AA2245">
            <v>1197342139</v>
          </cell>
          <cell r="AB2245">
            <v>0</v>
          </cell>
          <cell r="AC2245">
            <v>0</v>
          </cell>
          <cell r="AD2245">
            <v>1197342139</v>
          </cell>
          <cell r="BF2245">
            <v>0</v>
          </cell>
          <cell r="BG2245">
            <v>1273207.5699999998</v>
          </cell>
          <cell r="BH2245">
            <v>510396.77</v>
          </cell>
          <cell r="BI2245">
            <v>340101.50999999995</v>
          </cell>
          <cell r="BJ2245">
            <v>1404148.4500000002</v>
          </cell>
          <cell r="BK2245">
            <v>59824.940000000017</v>
          </cell>
          <cell r="BL2245">
            <v>33403.575010799992</v>
          </cell>
          <cell r="BM2245">
            <v>1837478.4750108002</v>
          </cell>
          <cell r="BN2245">
            <v>9534761.2640000004</v>
          </cell>
          <cell r="BO2245">
            <v>10086991.544</v>
          </cell>
          <cell r="BP2245">
            <v>10086991.544</v>
          </cell>
          <cell r="BQ2245">
            <v>10086991.544</v>
          </cell>
          <cell r="BR2245">
            <v>41633214.371010795</v>
          </cell>
          <cell r="BT2245">
            <v>54</v>
          </cell>
          <cell r="BV2245">
            <v>15</v>
          </cell>
          <cell r="BW2245">
            <v>87</v>
          </cell>
          <cell r="CA2245" t="str">
            <v>SONGS - EBITA - Base</v>
          </cell>
          <cell r="CC2245" t="str">
            <v>SONGS - EBITA - Base - NE</v>
          </cell>
          <cell r="CD2245" t="str">
            <v/>
          </cell>
          <cell r="CF2245" t="str">
            <v>SONGS - Base - NE</v>
          </cell>
        </row>
        <row r="2246">
          <cell r="D2246">
            <v>44</v>
          </cell>
          <cell r="E2246">
            <v>0</v>
          </cell>
          <cell r="F2246">
            <v>8</v>
          </cell>
          <cell r="G2246" t="str">
            <v>SONGS</v>
          </cell>
          <cell r="H2246" t="str">
            <v>SONGS Total</v>
          </cell>
          <cell r="I2246" t="str">
            <v>NE</v>
          </cell>
          <cell r="J2246" t="str">
            <v>NE DD and WM Projects</v>
          </cell>
          <cell r="K2246" t="str">
            <v>Commercial</v>
          </cell>
          <cell r="L2246" t="str">
            <v xml:space="preserve">Commercial </v>
          </cell>
          <cell r="M2246" t="str">
            <v>CA</v>
          </cell>
          <cell r="N2246" t="str">
            <v>CONUS</v>
          </cell>
          <cell r="O2246">
            <v>0</v>
          </cell>
          <cell r="P2246">
            <v>0</v>
          </cell>
          <cell r="Q2246">
            <v>0</v>
          </cell>
          <cell r="R2246">
            <v>0</v>
          </cell>
          <cell r="S2246">
            <v>1</v>
          </cell>
          <cell r="T2246">
            <v>0</v>
          </cell>
          <cell r="U2246" t="str">
            <v>EBITA</v>
          </cell>
          <cell r="V2246" t="str">
            <v>Identified - Recompete</v>
          </cell>
          <cell r="W2246">
            <v>0</v>
          </cell>
          <cell r="X2246">
            <v>0</v>
          </cell>
          <cell r="Y2246">
            <v>0</v>
          </cell>
          <cell r="Z2246">
            <v>0</v>
          </cell>
          <cell r="AA2246">
            <v>0</v>
          </cell>
          <cell r="AB2246">
            <v>0</v>
          </cell>
          <cell r="AC2246">
            <v>0</v>
          </cell>
          <cell r="AD2246">
            <v>0</v>
          </cell>
          <cell r="BM2246">
            <v>0</v>
          </cell>
          <cell r="BN2246">
            <v>0</v>
          </cell>
          <cell r="BO2246">
            <v>0</v>
          </cell>
          <cell r="BP2246">
            <v>0</v>
          </cell>
          <cell r="BQ2246">
            <v>0</v>
          </cell>
          <cell r="BR2246">
            <v>0</v>
          </cell>
          <cell r="BT2246">
            <v>54</v>
          </cell>
          <cell r="BV2246">
            <v>2</v>
          </cell>
          <cell r="BW2246">
            <v>87</v>
          </cell>
          <cell r="CA2246" t="str">
            <v>SONGS - EBITA - Identified - Recompete</v>
          </cell>
          <cell r="CC2246" t="str">
            <v>SONGS - EBITA - Identified - Recompete - NE</v>
          </cell>
          <cell r="CD2246" t="str">
            <v/>
          </cell>
          <cell r="CF2246" t="str">
            <v>SONGS - Identified - Recompete - NE</v>
          </cell>
        </row>
        <row r="2247">
          <cell r="D2247">
            <v>45</v>
          </cell>
          <cell r="E2247">
            <v>0</v>
          </cell>
          <cell r="F2247">
            <v>0</v>
          </cell>
          <cell r="G2247" t="str">
            <v>SONGS</v>
          </cell>
          <cell r="H2247" t="str">
            <v>SONGS Total</v>
          </cell>
          <cell r="I2247" t="str">
            <v>NE</v>
          </cell>
          <cell r="J2247" t="str">
            <v>NE DD and WM Projects</v>
          </cell>
          <cell r="K2247" t="str">
            <v>Commercial</v>
          </cell>
          <cell r="L2247" t="str">
            <v xml:space="preserve">Commercial </v>
          </cell>
          <cell r="M2247" t="str">
            <v>CA</v>
          </cell>
          <cell r="N2247" t="str">
            <v>CONUS</v>
          </cell>
          <cell r="O2247">
            <v>0</v>
          </cell>
          <cell r="P2247">
            <v>0</v>
          </cell>
          <cell r="Q2247">
            <v>0</v>
          </cell>
          <cell r="R2247">
            <v>0</v>
          </cell>
          <cell r="S2247">
            <v>1</v>
          </cell>
          <cell r="T2247">
            <v>0</v>
          </cell>
          <cell r="U2247" t="str">
            <v>EBITA</v>
          </cell>
          <cell r="V2247" t="str">
            <v>Identified - New</v>
          </cell>
          <cell r="W2247">
            <v>0</v>
          </cell>
          <cell r="X2247">
            <v>0</v>
          </cell>
          <cell r="Y2247">
            <v>0</v>
          </cell>
          <cell r="Z2247">
            <v>0</v>
          </cell>
          <cell r="AA2247">
            <v>0</v>
          </cell>
          <cell r="AB2247">
            <v>0</v>
          </cell>
          <cell r="AC2247">
            <v>0</v>
          </cell>
          <cell r="AD2247">
            <v>0</v>
          </cell>
          <cell r="BM2247">
            <v>0</v>
          </cell>
          <cell r="BN2247">
            <v>0</v>
          </cell>
          <cell r="BO2247">
            <v>0</v>
          </cell>
          <cell r="BP2247">
            <v>0</v>
          </cell>
          <cell r="BQ2247">
            <v>0</v>
          </cell>
          <cell r="BR2247">
            <v>0</v>
          </cell>
          <cell r="BT2247">
            <v>54</v>
          </cell>
          <cell r="BV2247">
            <v>2</v>
          </cell>
          <cell r="BW2247">
            <v>87</v>
          </cell>
          <cell r="CA2247" t="str">
            <v>SONGS - EBITA - Identified - New</v>
          </cell>
          <cell r="CC2247" t="str">
            <v>SONGS - EBITA - Identified - New - NE</v>
          </cell>
          <cell r="CD2247" t="str">
            <v/>
          </cell>
          <cell r="CF2247" t="str">
            <v>SONGS - Identified - New - NE</v>
          </cell>
        </row>
        <row r="2248">
          <cell r="D2248">
            <v>46</v>
          </cell>
          <cell r="E2248">
            <v>1</v>
          </cell>
          <cell r="F2248">
            <v>1</v>
          </cell>
          <cell r="G2248" t="str">
            <v>WTP</v>
          </cell>
          <cell r="H2248" t="str">
            <v>WTP Total</v>
          </cell>
          <cell r="I2248" t="str">
            <v>NE</v>
          </cell>
          <cell r="J2248" t="str">
            <v>NE HLW &amp; NNSA Operations</v>
          </cell>
          <cell r="K2248" t="str">
            <v>DOE-EM</v>
          </cell>
          <cell r="L2248" t="str">
            <v>DOE</v>
          </cell>
          <cell r="M2248" t="str">
            <v>WA</v>
          </cell>
          <cell r="N2248" t="str">
            <v>CONUS</v>
          </cell>
          <cell r="O2248">
            <v>36871</v>
          </cell>
          <cell r="P2248">
            <v>44926</v>
          </cell>
          <cell r="Q2248" t="str">
            <v>n.a.</v>
          </cell>
          <cell r="R2248" t="str">
            <v>CPAF</v>
          </cell>
          <cell r="S2248">
            <v>0</v>
          </cell>
          <cell r="T2248">
            <v>1</v>
          </cell>
          <cell r="U2248" t="str">
            <v>REVTOT</v>
          </cell>
          <cell r="V2248" t="str">
            <v>Base</v>
          </cell>
          <cell r="W2248" t="str">
            <v>05 Won</v>
          </cell>
          <cell r="X2248" t="str">
            <v>Active</v>
          </cell>
          <cell r="Y2248">
            <v>0</v>
          </cell>
          <cell r="Z2248">
            <v>0</v>
          </cell>
          <cell r="AA2248">
            <v>342275207.63796222</v>
          </cell>
          <cell r="AB2248">
            <v>0</v>
          </cell>
          <cell r="AC2248">
            <v>92367633.362037778</v>
          </cell>
          <cell r="AD2248">
            <v>434642841</v>
          </cell>
          <cell r="BF2248">
            <v>96630313.75</v>
          </cell>
          <cell r="BG2248">
            <v>92698932.199999988</v>
          </cell>
          <cell r="BH2248">
            <v>94861933.49000001</v>
          </cell>
          <cell r="BI2248">
            <v>20098908.159999996</v>
          </cell>
          <cell r="BJ2248">
            <v>23822816.270000003</v>
          </cell>
          <cell r="BK2248">
            <v>26381150.799999997</v>
          </cell>
          <cell r="BL2248">
            <v>27323350.699999999</v>
          </cell>
          <cell r="BM2248">
            <v>97626225.929999992</v>
          </cell>
          <cell r="BN2248">
            <v>123422002</v>
          </cell>
          <cell r="BO2248">
            <v>130135595</v>
          </cell>
          <cell r="BP2248">
            <v>143081595</v>
          </cell>
          <cell r="BQ2248">
            <v>38003649</v>
          </cell>
          <cell r="BR2248">
            <v>532269066.93000001</v>
          </cell>
          <cell r="BT2248">
            <v>51</v>
          </cell>
          <cell r="BV2248">
            <v>16</v>
          </cell>
          <cell r="BW2248">
            <v>60</v>
          </cell>
          <cell r="CA2248" t="str">
            <v>WTP - REVTOT - Base</v>
          </cell>
          <cell r="CC2248" t="str">
            <v>WTP - REVTOT - Base - NE</v>
          </cell>
          <cell r="CD2248" t="str">
            <v/>
          </cell>
          <cell r="CF2248" t="str">
            <v>WTP - Base - NE</v>
          </cell>
        </row>
        <row r="2249">
          <cell r="D2249">
            <v>47</v>
          </cell>
          <cell r="E2249">
            <v>1</v>
          </cell>
          <cell r="F2249">
            <v>2</v>
          </cell>
          <cell r="G2249" t="str">
            <v>WTP</v>
          </cell>
          <cell r="H2249" t="str">
            <v>WTP Total</v>
          </cell>
          <cell r="I2249" t="str">
            <v>NE</v>
          </cell>
          <cell r="J2249" t="str">
            <v>NE HLW &amp; NNSA Operations</v>
          </cell>
          <cell r="K2249" t="str">
            <v>DOE-EM</v>
          </cell>
          <cell r="L2249" t="str">
            <v>DOE</v>
          </cell>
          <cell r="M2249" t="str">
            <v>WA</v>
          </cell>
          <cell r="N2249" t="str">
            <v>CONUS</v>
          </cell>
          <cell r="O2249">
            <v>44927</v>
          </cell>
          <cell r="P2249">
            <v>48579</v>
          </cell>
          <cell r="Q2249" t="str">
            <v>n.a.</v>
          </cell>
          <cell r="R2249" t="str">
            <v>CPAF</v>
          </cell>
          <cell r="S2249">
            <v>1</v>
          </cell>
          <cell r="T2249">
            <v>0</v>
          </cell>
          <cell r="U2249" t="str">
            <v>REVTOT</v>
          </cell>
          <cell r="V2249" t="str">
            <v>Base</v>
          </cell>
          <cell r="W2249" t="str">
            <v>05 Won</v>
          </cell>
          <cell r="X2249" t="str">
            <v>Active</v>
          </cell>
          <cell r="Y2249">
            <v>0</v>
          </cell>
          <cell r="Z2249">
            <v>0</v>
          </cell>
          <cell r="AA2249">
            <v>0</v>
          </cell>
          <cell r="AB2249">
            <v>0</v>
          </cell>
          <cell r="AC2249">
            <v>0</v>
          </cell>
          <cell r="AD2249">
            <v>0</v>
          </cell>
          <cell r="BM2249">
            <v>0</v>
          </cell>
          <cell r="BN2249">
            <v>0</v>
          </cell>
          <cell r="BO2249">
            <v>0</v>
          </cell>
          <cell r="BP2249">
            <v>0</v>
          </cell>
          <cell r="BQ2249">
            <v>0</v>
          </cell>
          <cell r="BR2249">
            <v>0</v>
          </cell>
          <cell r="BT2249">
            <v>51</v>
          </cell>
          <cell r="BV2249">
            <v>16</v>
          </cell>
          <cell r="BW2249">
            <v>60</v>
          </cell>
          <cell r="CA2249" t="str">
            <v>WTP - REVTOT - Base</v>
          </cell>
          <cell r="CC2249" t="str">
            <v>WTP - REVTOT - Base - NE - 2</v>
          </cell>
          <cell r="CD2249" t="str">
            <v/>
          </cell>
          <cell r="CF2249" t="str">
            <v>WTP - Base - NE</v>
          </cell>
        </row>
        <row r="2250">
          <cell r="D2250">
            <v>48</v>
          </cell>
          <cell r="E2250">
            <v>1</v>
          </cell>
          <cell r="F2250">
            <v>3</v>
          </cell>
          <cell r="G2250" t="str">
            <v>WTP</v>
          </cell>
          <cell r="H2250" t="str">
            <v>WTP Total</v>
          </cell>
          <cell r="I2250" t="str">
            <v>NE</v>
          </cell>
          <cell r="J2250" t="str">
            <v>NE HLW &amp; NNSA Operations</v>
          </cell>
          <cell r="K2250" t="str">
            <v>DOE-EM</v>
          </cell>
          <cell r="L2250" t="str">
            <v>DOE</v>
          </cell>
          <cell r="M2250" t="str">
            <v>WA</v>
          </cell>
          <cell r="N2250" t="str">
            <v>CONUS</v>
          </cell>
          <cell r="O2250">
            <v>0</v>
          </cell>
          <cell r="P2250">
            <v>0</v>
          </cell>
          <cell r="Q2250">
            <v>0</v>
          </cell>
          <cell r="R2250">
            <v>0</v>
          </cell>
          <cell r="S2250">
            <v>1</v>
          </cell>
          <cell r="T2250">
            <v>0</v>
          </cell>
          <cell r="U2250" t="str">
            <v>REVTOT</v>
          </cell>
          <cell r="V2250" t="str">
            <v>Identified - New</v>
          </cell>
          <cell r="W2250">
            <v>0</v>
          </cell>
          <cell r="X2250">
            <v>0</v>
          </cell>
          <cell r="Y2250">
            <v>0</v>
          </cell>
          <cell r="Z2250">
            <v>0</v>
          </cell>
          <cell r="AA2250">
            <v>0</v>
          </cell>
          <cell r="AB2250">
            <v>0</v>
          </cell>
          <cell r="AC2250">
            <v>0</v>
          </cell>
          <cell r="AD2250">
            <v>0</v>
          </cell>
          <cell r="BM2250">
            <v>0</v>
          </cell>
          <cell r="BN2250">
            <v>0</v>
          </cell>
          <cell r="BO2250">
            <v>0</v>
          </cell>
          <cell r="BP2250">
            <v>0</v>
          </cell>
          <cell r="BQ2250">
            <v>0</v>
          </cell>
          <cell r="BR2250">
            <v>0</v>
          </cell>
          <cell r="BT2250">
            <v>51</v>
          </cell>
          <cell r="BV2250">
            <v>2</v>
          </cell>
          <cell r="BW2250">
            <v>60</v>
          </cell>
          <cell r="CA2250" t="str">
            <v>WTP - REVTOT - Identified - New</v>
          </cell>
          <cell r="CC2250" t="str">
            <v>WTP - REVTOT - Identified - New - NE</v>
          </cell>
          <cell r="CD2250" t="str">
            <v/>
          </cell>
          <cell r="CF2250" t="str">
            <v>WTP - Identified - New - NE</v>
          </cell>
        </row>
        <row r="2251">
          <cell r="D2251">
            <v>49</v>
          </cell>
          <cell r="E2251">
            <v>2</v>
          </cell>
          <cell r="F2251">
            <v>4</v>
          </cell>
          <cell r="G2251" t="str">
            <v>WTP</v>
          </cell>
          <cell r="H2251" t="str">
            <v>WTP Total</v>
          </cell>
          <cell r="I2251" t="str">
            <v>NE</v>
          </cell>
          <cell r="J2251" t="str">
            <v>NE HLW &amp; NNSA Operations</v>
          </cell>
          <cell r="K2251" t="str">
            <v>DOE-EM</v>
          </cell>
          <cell r="L2251" t="str">
            <v>DOE</v>
          </cell>
          <cell r="M2251" t="str">
            <v>WA</v>
          </cell>
          <cell r="N2251" t="str">
            <v>CONUS</v>
          </cell>
          <cell r="O2251">
            <v>36871</v>
          </cell>
          <cell r="P2251">
            <v>44926</v>
          </cell>
          <cell r="Q2251" t="str">
            <v>n.a.</v>
          </cell>
          <cell r="R2251" t="str">
            <v>CPAF</v>
          </cell>
          <cell r="S2251">
            <v>0</v>
          </cell>
          <cell r="T2251">
            <v>1</v>
          </cell>
          <cell r="U2251" t="str">
            <v>CONTRACT</v>
          </cell>
          <cell r="V2251" t="str">
            <v>Base</v>
          </cell>
          <cell r="W2251" t="str">
            <v>05 Won</v>
          </cell>
          <cell r="X2251" t="str">
            <v>Active</v>
          </cell>
          <cell r="Y2251">
            <v>0</v>
          </cell>
          <cell r="Z2251">
            <v>0</v>
          </cell>
          <cell r="AA2251">
            <v>342275207.63796222</v>
          </cell>
          <cell r="AB2251">
            <v>0</v>
          </cell>
          <cell r="AC2251">
            <v>92367633.362037778</v>
          </cell>
          <cell r="AD2251">
            <v>434642841</v>
          </cell>
          <cell r="BF2251">
            <v>33894527.899999999</v>
          </cell>
          <cell r="BG2251">
            <v>24476303.189999994</v>
          </cell>
          <cell r="BH2251">
            <v>33379728.170000002</v>
          </cell>
          <cell r="BI2251">
            <v>3053307.269999994</v>
          </cell>
          <cell r="BJ2251">
            <v>3530701.4300000006</v>
          </cell>
          <cell r="BK2251">
            <v>3629307.660000002</v>
          </cell>
          <cell r="BL2251">
            <v>5584067.4900000012</v>
          </cell>
          <cell r="BM2251">
            <v>15797383.849999998</v>
          </cell>
          <cell r="BN2251">
            <v>19525474</v>
          </cell>
          <cell r="BO2251">
            <v>19414692</v>
          </cell>
          <cell r="BP2251">
            <v>34768665</v>
          </cell>
          <cell r="BQ2251">
            <v>10323423.25</v>
          </cell>
          <cell r="BR2251">
            <v>99829638.099999994</v>
          </cell>
          <cell r="BT2251">
            <v>51</v>
          </cell>
          <cell r="BV2251">
            <v>16</v>
          </cell>
          <cell r="BW2251">
            <v>78</v>
          </cell>
          <cell r="CA2251" t="str">
            <v>WTP - CONTRACT - Base</v>
          </cell>
          <cell r="CC2251" t="str">
            <v>WTP - CONTRACT - Base - NE - 2</v>
          </cell>
          <cell r="CD2251" t="str">
            <v/>
          </cell>
          <cell r="CF2251" t="str">
            <v>WTP - Base - NE</v>
          </cell>
        </row>
        <row r="2252">
          <cell r="D2252">
            <v>50</v>
          </cell>
          <cell r="E2252">
            <v>2</v>
          </cell>
          <cell r="F2252">
            <v>5</v>
          </cell>
          <cell r="G2252" t="str">
            <v>WTP</v>
          </cell>
          <cell r="H2252" t="str">
            <v>WTP Total</v>
          </cell>
          <cell r="I2252" t="str">
            <v>NE</v>
          </cell>
          <cell r="J2252" t="str">
            <v>NE HLW &amp; NNSA Operations</v>
          </cell>
          <cell r="K2252" t="str">
            <v>DOE-EM</v>
          </cell>
          <cell r="L2252" t="str">
            <v>DOE</v>
          </cell>
          <cell r="M2252" t="str">
            <v>WA</v>
          </cell>
          <cell r="N2252" t="str">
            <v>CONUS</v>
          </cell>
          <cell r="O2252">
            <v>44927</v>
          </cell>
          <cell r="P2252">
            <v>48579</v>
          </cell>
          <cell r="Q2252" t="str">
            <v>n.a.</v>
          </cell>
          <cell r="R2252" t="str">
            <v>CPAF</v>
          </cell>
          <cell r="S2252">
            <v>1</v>
          </cell>
          <cell r="T2252">
            <v>0</v>
          </cell>
          <cell r="U2252" t="str">
            <v>CONTRACT</v>
          </cell>
          <cell r="V2252" t="str">
            <v>Base</v>
          </cell>
          <cell r="W2252" t="str">
            <v>05 Won</v>
          </cell>
          <cell r="X2252" t="str">
            <v>Active</v>
          </cell>
          <cell r="Y2252">
            <v>0</v>
          </cell>
          <cell r="Z2252">
            <v>0</v>
          </cell>
          <cell r="AA2252">
            <v>0</v>
          </cell>
          <cell r="AB2252">
            <v>0</v>
          </cell>
          <cell r="AC2252">
            <v>0</v>
          </cell>
          <cell r="AD2252">
            <v>0</v>
          </cell>
          <cell r="BM2252">
            <v>0</v>
          </cell>
          <cell r="BN2252">
            <v>0</v>
          </cell>
          <cell r="BO2252">
            <v>0</v>
          </cell>
          <cell r="BP2252">
            <v>0</v>
          </cell>
          <cell r="BQ2252">
            <v>0</v>
          </cell>
          <cell r="BR2252">
            <v>0</v>
          </cell>
          <cell r="BT2252">
            <v>51</v>
          </cell>
          <cell r="BV2252">
            <v>16</v>
          </cell>
          <cell r="BW2252">
            <v>78</v>
          </cell>
          <cell r="CA2252" t="str">
            <v>WTP - CONTRACT - Base</v>
          </cell>
          <cell r="CC2252" t="str">
            <v>WTP - CONTRACT - Base - NE</v>
          </cell>
          <cell r="CD2252" t="str">
            <v/>
          </cell>
          <cell r="CF2252" t="str">
            <v>WTP - Base - NE</v>
          </cell>
        </row>
        <row r="2253">
          <cell r="D2253">
            <v>51</v>
          </cell>
          <cell r="E2253">
            <v>2</v>
          </cell>
          <cell r="F2253">
            <v>6</v>
          </cell>
          <cell r="G2253" t="str">
            <v>WTP</v>
          </cell>
          <cell r="H2253" t="str">
            <v>WTP Total</v>
          </cell>
          <cell r="I2253" t="str">
            <v>NE</v>
          </cell>
          <cell r="J2253" t="str">
            <v>NE HLW &amp; NNSA Operations</v>
          </cell>
          <cell r="K2253" t="str">
            <v>DOE-EM</v>
          </cell>
          <cell r="L2253" t="str">
            <v>DOE</v>
          </cell>
          <cell r="M2253" t="str">
            <v>WA</v>
          </cell>
          <cell r="N2253" t="str">
            <v>CONUS</v>
          </cell>
          <cell r="O2253">
            <v>0</v>
          </cell>
          <cell r="P2253">
            <v>0</v>
          </cell>
          <cell r="Q2253">
            <v>0</v>
          </cell>
          <cell r="R2253">
            <v>0</v>
          </cell>
          <cell r="S2253">
            <v>1</v>
          </cell>
          <cell r="T2253">
            <v>0</v>
          </cell>
          <cell r="U2253" t="str">
            <v>CONTRACT</v>
          </cell>
          <cell r="V2253" t="str">
            <v>Identified - New</v>
          </cell>
          <cell r="W2253">
            <v>0</v>
          </cell>
          <cell r="X2253">
            <v>0</v>
          </cell>
          <cell r="Y2253">
            <v>0</v>
          </cell>
          <cell r="Z2253">
            <v>0</v>
          </cell>
          <cell r="AA2253">
            <v>0</v>
          </cell>
          <cell r="AB2253">
            <v>0</v>
          </cell>
          <cell r="AC2253">
            <v>0</v>
          </cell>
          <cell r="AD2253">
            <v>0</v>
          </cell>
          <cell r="BM2253">
            <v>0</v>
          </cell>
          <cell r="BN2253">
            <v>0</v>
          </cell>
          <cell r="BO2253">
            <v>0</v>
          </cell>
          <cell r="BP2253">
            <v>0</v>
          </cell>
          <cell r="BQ2253">
            <v>0</v>
          </cell>
          <cell r="BR2253">
            <v>0</v>
          </cell>
          <cell r="BT2253">
            <v>51</v>
          </cell>
          <cell r="BV2253">
            <v>2</v>
          </cell>
          <cell r="BW2253">
            <v>78</v>
          </cell>
          <cell r="CA2253" t="str">
            <v>WTP - CONTRACT - Identified - New</v>
          </cell>
          <cell r="CC2253" t="str">
            <v>WTP - CONTRACT - Identified - New - NE</v>
          </cell>
          <cell r="CD2253" t="str">
            <v/>
          </cell>
          <cell r="CF2253" t="str">
            <v>WTP - Identified - New - NE</v>
          </cell>
        </row>
        <row r="2254">
          <cell r="D2254">
            <v>52</v>
          </cell>
          <cell r="E2254">
            <v>0</v>
          </cell>
          <cell r="F2254">
            <v>7</v>
          </cell>
          <cell r="G2254" t="str">
            <v>WTP</v>
          </cell>
          <cell r="H2254" t="str">
            <v>WTP Total</v>
          </cell>
          <cell r="I2254" t="str">
            <v>NE</v>
          </cell>
          <cell r="J2254" t="str">
            <v>NE HLW &amp; NNSA Operations</v>
          </cell>
          <cell r="K2254" t="str">
            <v>DOE-EM</v>
          </cell>
          <cell r="L2254" t="str">
            <v>DOE</v>
          </cell>
          <cell r="M2254" t="str">
            <v>WA</v>
          </cell>
          <cell r="N2254" t="str">
            <v>CONUS</v>
          </cell>
          <cell r="O2254">
            <v>36871</v>
          </cell>
          <cell r="P2254">
            <v>44926</v>
          </cell>
          <cell r="Q2254" t="str">
            <v>n.a.</v>
          </cell>
          <cell r="R2254" t="str">
            <v>CPAF</v>
          </cell>
          <cell r="S2254">
            <v>0</v>
          </cell>
          <cell r="T2254">
            <v>1</v>
          </cell>
          <cell r="U2254" t="str">
            <v>EBITA</v>
          </cell>
          <cell r="V2254" t="str">
            <v>Base</v>
          </cell>
          <cell r="W2254" t="str">
            <v>05 Won</v>
          </cell>
          <cell r="X2254" t="str">
            <v>Active</v>
          </cell>
          <cell r="Y2254">
            <v>0</v>
          </cell>
          <cell r="Z2254">
            <v>0</v>
          </cell>
          <cell r="AA2254">
            <v>342275207.63796222</v>
          </cell>
          <cell r="AB2254">
            <v>0</v>
          </cell>
          <cell r="AC2254">
            <v>92367633.362037778</v>
          </cell>
          <cell r="AD2254">
            <v>434642841</v>
          </cell>
          <cell r="BF2254">
            <v>27382285.560000002</v>
          </cell>
          <cell r="BG2254">
            <v>16595407.859999996</v>
          </cell>
          <cell r="BH2254">
            <v>26549840.68</v>
          </cell>
          <cell r="BI2254">
            <v>470185.46999999403</v>
          </cell>
          <cell r="BJ2254">
            <v>655111.94000000099</v>
          </cell>
          <cell r="BK2254">
            <v>417220.52000000235</v>
          </cell>
          <cell r="BL2254">
            <v>2777529.350000001</v>
          </cell>
          <cell r="BM2254">
            <v>4320047.2799999984</v>
          </cell>
          <cell r="BN2254">
            <v>6468920</v>
          </cell>
          <cell r="BO2254">
            <v>5449893.3760000002</v>
          </cell>
          <cell r="BP2254">
            <v>20803866.376000002</v>
          </cell>
          <cell r="BQ2254">
            <v>6832223.5940000005</v>
          </cell>
          <cell r="BR2254">
            <v>43874950.626000002</v>
          </cell>
          <cell r="BT2254">
            <v>51</v>
          </cell>
          <cell r="BV2254">
            <v>16</v>
          </cell>
          <cell r="BW2254">
            <v>87</v>
          </cell>
          <cell r="CA2254" t="str">
            <v>WTP - EBITA - Base</v>
          </cell>
          <cell r="CC2254" t="str">
            <v>WTP - EBITA - Base - NE</v>
          </cell>
          <cell r="CD2254" t="str">
            <v/>
          </cell>
          <cell r="CF2254" t="str">
            <v>WTP - Base - NE</v>
          </cell>
        </row>
        <row r="2255">
          <cell r="D2255">
            <v>53</v>
          </cell>
          <cell r="E2255">
            <v>0</v>
          </cell>
          <cell r="F2255">
            <v>8</v>
          </cell>
          <cell r="G2255" t="str">
            <v>WTP</v>
          </cell>
          <cell r="H2255" t="str">
            <v>WTP Total</v>
          </cell>
          <cell r="I2255" t="str">
            <v>NE</v>
          </cell>
          <cell r="J2255" t="str">
            <v>NE HLW &amp; NNSA Operations</v>
          </cell>
          <cell r="K2255" t="str">
            <v>DOE-EM</v>
          </cell>
          <cell r="L2255" t="str">
            <v>DOE</v>
          </cell>
          <cell r="M2255" t="str">
            <v>WA</v>
          </cell>
          <cell r="N2255" t="str">
            <v>CONUS</v>
          </cell>
          <cell r="O2255">
            <v>44927</v>
          </cell>
          <cell r="P2255">
            <v>48579</v>
          </cell>
          <cell r="Q2255" t="str">
            <v>n.a.</v>
          </cell>
          <cell r="R2255" t="str">
            <v>CPAF</v>
          </cell>
          <cell r="S2255">
            <v>1</v>
          </cell>
          <cell r="T2255">
            <v>0</v>
          </cell>
          <cell r="U2255" t="str">
            <v>EBITA</v>
          </cell>
          <cell r="V2255" t="str">
            <v>Base</v>
          </cell>
          <cell r="W2255" t="str">
            <v>05 Won</v>
          </cell>
          <cell r="X2255" t="str">
            <v>Active</v>
          </cell>
          <cell r="Y2255">
            <v>0</v>
          </cell>
          <cell r="Z2255">
            <v>0</v>
          </cell>
          <cell r="AA2255">
            <v>0</v>
          </cell>
          <cell r="AB2255">
            <v>0</v>
          </cell>
          <cell r="AC2255">
            <v>0</v>
          </cell>
          <cell r="AD2255">
            <v>0</v>
          </cell>
          <cell r="BM2255">
            <v>0</v>
          </cell>
          <cell r="BN2255">
            <v>0</v>
          </cell>
          <cell r="BO2255">
            <v>0</v>
          </cell>
          <cell r="BP2255">
            <v>0</v>
          </cell>
          <cell r="BQ2255">
            <v>9415000</v>
          </cell>
          <cell r="BR2255">
            <v>9415000</v>
          </cell>
          <cell r="BT2255">
            <v>51</v>
          </cell>
          <cell r="BV2255">
            <v>16</v>
          </cell>
          <cell r="BW2255">
            <v>87</v>
          </cell>
          <cell r="CA2255" t="str">
            <v>WTP - EBITA - Base</v>
          </cell>
          <cell r="CC2255" t="str">
            <v>WTP - EBITA - Base - NE - 2</v>
          </cell>
          <cell r="CD2255" t="str">
            <v/>
          </cell>
          <cell r="CF2255" t="str">
            <v>WTP - Base - NE</v>
          </cell>
        </row>
        <row r="2256">
          <cell r="D2256">
            <v>54</v>
          </cell>
          <cell r="E2256">
            <v>0</v>
          </cell>
          <cell r="F2256">
            <v>0</v>
          </cell>
          <cell r="G2256" t="str">
            <v>WTP</v>
          </cell>
          <cell r="H2256" t="str">
            <v>WTP Total</v>
          </cell>
          <cell r="I2256" t="str">
            <v>NE</v>
          </cell>
          <cell r="J2256" t="str">
            <v>NE HLW &amp; NNSA Operations</v>
          </cell>
          <cell r="K2256" t="str">
            <v>DOE-EM</v>
          </cell>
          <cell r="L2256" t="str">
            <v>DOE</v>
          </cell>
          <cell r="M2256" t="str">
            <v>WA</v>
          </cell>
          <cell r="N2256" t="str">
            <v>CONUS</v>
          </cell>
          <cell r="O2256">
            <v>0</v>
          </cell>
          <cell r="P2256">
            <v>0</v>
          </cell>
          <cell r="Q2256">
            <v>0</v>
          </cell>
          <cell r="R2256">
            <v>0</v>
          </cell>
          <cell r="S2256">
            <v>1</v>
          </cell>
          <cell r="T2256">
            <v>0</v>
          </cell>
          <cell r="U2256" t="str">
            <v>EBITA</v>
          </cell>
          <cell r="V2256" t="str">
            <v>Identified - New</v>
          </cell>
          <cell r="W2256">
            <v>0</v>
          </cell>
          <cell r="X2256">
            <v>0</v>
          </cell>
          <cell r="Y2256">
            <v>0</v>
          </cell>
          <cell r="Z2256">
            <v>0</v>
          </cell>
          <cell r="AA2256">
            <v>0</v>
          </cell>
          <cell r="AB2256">
            <v>0</v>
          </cell>
          <cell r="AC2256">
            <v>0</v>
          </cell>
          <cell r="AD2256">
            <v>0</v>
          </cell>
          <cell r="BM2256">
            <v>0</v>
          </cell>
          <cell r="BN2256">
            <v>0</v>
          </cell>
          <cell r="BO2256">
            <v>0</v>
          </cell>
          <cell r="BP2256">
            <v>0</v>
          </cell>
          <cell r="BQ2256">
            <v>0</v>
          </cell>
          <cell r="BR2256">
            <v>0</v>
          </cell>
          <cell r="BT2256">
            <v>51</v>
          </cell>
          <cell r="BV2256">
            <v>2</v>
          </cell>
          <cell r="BW2256">
            <v>87</v>
          </cell>
          <cell r="CA2256" t="str">
            <v>WTP - EBITA - Identified - New</v>
          </cell>
          <cell r="CC2256" t="str">
            <v>WTP - EBITA - Identified - New - NE</v>
          </cell>
          <cell r="CD2256" t="str">
            <v/>
          </cell>
          <cell r="CF2256" t="str">
            <v>WTP - Identified - New - NE</v>
          </cell>
        </row>
        <row r="2257">
          <cell r="D2257">
            <v>55</v>
          </cell>
          <cell r="E2257">
            <v>1</v>
          </cell>
          <cell r="F2257">
            <v>1</v>
          </cell>
          <cell r="G2257" t="str">
            <v>LLWRTOT</v>
          </cell>
          <cell r="H2257" t="str">
            <v>LLWR Total</v>
          </cell>
          <cell r="I2257" t="str">
            <v>NE</v>
          </cell>
          <cell r="J2257" t="str">
            <v>NE International Programs</v>
          </cell>
          <cell r="K2257" t="str">
            <v>UK-NDA</v>
          </cell>
          <cell r="L2257" t="str">
            <v>Non-US Gov't</v>
          </cell>
          <cell r="M2257" t="str">
            <v>UK</v>
          </cell>
          <cell r="N2257" t="str">
            <v>OCONUS</v>
          </cell>
          <cell r="O2257">
            <v>39539</v>
          </cell>
          <cell r="P2257">
            <v>45016</v>
          </cell>
          <cell r="Q2257" t="str">
            <v>Minority</v>
          </cell>
          <cell r="R2257" t="str">
            <v>CPFF</v>
          </cell>
          <cell r="S2257">
            <v>1</v>
          </cell>
          <cell r="T2257">
            <v>0</v>
          </cell>
          <cell r="U2257" t="str">
            <v>REVTOT</v>
          </cell>
          <cell r="V2257" t="str">
            <v>Base</v>
          </cell>
          <cell r="W2257" t="str">
            <v>05 Won</v>
          </cell>
          <cell r="X2257" t="str">
            <v>Active</v>
          </cell>
          <cell r="Y2257">
            <v>0</v>
          </cell>
          <cell r="Z2257">
            <v>0</v>
          </cell>
          <cell r="AA2257">
            <v>0</v>
          </cell>
          <cell r="AB2257">
            <v>0</v>
          </cell>
          <cell r="AC2257">
            <v>0</v>
          </cell>
          <cell r="AD2257">
            <v>0</v>
          </cell>
          <cell r="BF2257">
            <v>1945834.34</v>
          </cell>
          <cell r="BG2257">
            <v>2285434.5999999996</v>
          </cell>
          <cell r="BH2257">
            <v>2223747.33</v>
          </cell>
          <cell r="BI2257">
            <v>678014.47000000009</v>
          </cell>
          <cell r="BJ2257">
            <v>492844.93000000005</v>
          </cell>
          <cell r="BK2257">
            <v>403845.97120633</v>
          </cell>
          <cell r="BL2257">
            <v>323053.46999999997</v>
          </cell>
          <cell r="BM2257">
            <v>1897758.8412063301</v>
          </cell>
          <cell r="BN2257">
            <v>1398497</v>
          </cell>
          <cell r="BO2257">
            <v>0</v>
          </cell>
          <cell r="BP2257">
            <v>0</v>
          </cell>
          <cell r="BQ2257">
            <v>0</v>
          </cell>
          <cell r="BR2257">
            <v>3296255.8412063299</v>
          </cell>
          <cell r="BT2257">
            <v>59</v>
          </cell>
          <cell r="BV2257">
            <v>18</v>
          </cell>
          <cell r="BW2257">
            <v>60</v>
          </cell>
          <cell r="CA2257" t="str">
            <v>LLWRTOT - REVTOT - Base</v>
          </cell>
          <cell r="CC2257" t="str">
            <v>LLWRTOT - REVTOT - Base - NE</v>
          </cell>
          <cell r="CD2257" t="str">
            <v/>
          </cell>
          <cell r="CF2257" t="str">
            <v>LLWRTOT - Base - NE</v>
          </cell>
        </row>
        <row r="2258">
          <cell r="D2258">
            <v>56</v>
          </cell>
          <cell r="E2258">
            <v>1</v>
          </cell>
          <cell r="F2258">
            <v>2</v>
          </cell>
          <cell r="G2258" t="str">
            <v>LLWRTOT</v>
          </cell>
          <cell r="H2258" t="str">
            <v>LLWR Total</v>
          </cell>
          <cell r="I2258" t="str">
            <v>NE</v>
          </cell>
          <cell r="J2258" t="str">
            <v>NE International Programs</v>
          </cell>
          <cell r="K2258" t="str">
            <v>UK-NDA</v>
          </cell>
          <cell r="L2258" t="str">
            <v>Non-US Gov't</v>
          </cell>
          <cell r="M2258" t="str">
            <v>UK</v>
          </cell>
          <cell r="N2258" t="str">
            <v>OCONUS</v>
          </cell>
          <cell r="O2258">
            <v>0</v>
          </cell>
          <cell r="P2258">
            <v>0</v>
          </cell>
          <cell r="Q2258">
            <v>0</v>
          </cell>
          <cell r="R2258">
            <v>0</v>
          </cell>
          <cell r="S2258">
            <v>1</v>
          </cell>
          <cell r="T2258">
            <v>0</v>
          </cell>
          <cell r="U2258" t="str">
            <v>REVTOT</v>
          </cell>
          <cell r="V2258" t="str">
            <v>Identified - Recompete</v>
          </cell>
          <cell r="W2258">
            <v>0</v>
          </cell>
          <cell r="X2258">
            <v>0</v>
          </cell>
          <cell r="Y2258">
            <v>0</v>
          </cell>
          <cell r="Z2258">
            <v>0</v>
          </cell>
          <cell r="AA2258">
            <v>0</v>
          </cell>
          <cell r="AB2258">
            <v>0</v>
          </cell>
          <cell r="AC2258">
            <v>0</v>
          </cell>
          <cell r="AD2258">
            <v>0</v>
          </cell>
          <cell r="BM2258">
            <v>0</v>
          </cell>
          <cell r="BN2258">
            <v>0</v>
          </cell>
          <cell r="BO2258">
            <v>0</v>
          </cell>
          <cell r="BP2258">
            <v>0</v>
          </cell>
          <cell r="BQ2258">
            <v>0</v>
          </cell>
          <cell r="BR2258">
            <v>0</v>
          </cell>
          <cell r="BT2258">
            <v>59</v>
          </cell>
          <cell r="BV2258">
            <v>2</v>
          </cell>
          <cell r="BW2258">
            <v>60</v>
          </cell>
          <cell r="CA2258" t="str">
            <v>LLWRTOT - REVTOT - Identified - Recompete</v>
          </cell>
          <cell r="CC2258" t="str">
            <v>LLWRTOT - REVTOT - Identified - Recompete - NE</v>
          </cell>
          <cell r="CD2258" t="str">
            <v/>
          </cell>
          <cell r="CF2258" t="str">
            <v>LLWRTOT - Identified - Recompete - NE</v>
          </cell>
        </row>
        <row r="2259">
          <cell r="D2259">
            <v>57</v>
          </cell>
          <cell r="E2259">
            <v>1</v>
          </cell>
          <cell r="F2259">
            <v>3</v>
          </cell>
          <cell r="G2259" t="str">
            <v>LLWRTOT</v>
          </cell>
          <cell r="H2259" t="str">
            <v>LLWR Total</v>
          </cell>
          <cell r="I2259" t="str">
            <v>NE</v>
          </cell>
          <cell r="J2259" t="str">
            <v>NE International Programs</v>
          </cell>
          <cell r="K2259" t="str">
            <v>UK-NDA</v>
          </cell>
          <cell r="L2259" t="str">
            <v>Non-US Gov't</v>
          </cell>
          <cell r="M2259" t="str">
            <v>UK</v>
          </cell>
          <cell r="N2259" t="str">
            <v>OCONUS</v>
          </cell>
          <cell r="O2259">
            <v>0</v>
          </cell>
          <cell r="P2259">
            <v>0</v>
          </cell>
          <cell r="Q2259">
            <v>0</v>
          </cell>
          <cell r="R2259">
            <v>0</v>
          </cell>
          <cell r="S2259">
            <v>1</v>
          </cell>
          <cell r="T2259">
            <v>0</v>
          </cell>
          <cell r="U2259" t="str">
            <v>REVTOT</v>
          </cell>
          <cell r="V2259" t="str">
            <v>Identified - New</v>
          </cell>
          <cell r="W2259">
            <v>0</v>
          </cell>
          <cell r="X2259">
            <v>0</v>
          </cell>
          <cell r="Y2259">
            <v>0</v>
          </cell>
          <cell r="Z2259">
            <v>0</v>
          </cell>
          <cell r="AA2259">
            <v>0</v>
          </cell>
          <cell r="AB2259">
            <v>0</v>
          </cell>
          <cell r="AC2259">
            <v>0</v>
          </cell>
          <cell r="AD2259">
            <v>0</v>
          </cell>
          <cell r="BM2259">
            <v>0</v>
          </cell>
          <cell r="BN2259">
            <v>0</v>
          </cell>
          <cell r="BO2259">
            <v>0</v>
          </cell>
          <cell r="BP2259">
            <v>0</v>
          </cell>
          <cell r="BQ2259">
            <v>0</v>
          </cell>
          <cell r="BR2259">
            <v>0</v>
          </cell>
          <cell r="BT2259">
            <v>59</v>
          </cell>
          <cell r="BV2259">
            <v>2</v>
          </cell>
          <cell r="BW2259">
            <v>60</v>
          </cell>
          <cell r="CA2259" t="str">
            <v>LLWRTOT - REVTOT - Identified - New</v>
          </cell>
          <cell r="CC2259" t="str">
            <v>LLWRTOT - REVTOT - Identified - New - NE</v>
          </cell>
          <cell r="CD2259" t="str">
            <v/>
          </cell>
          <cell r="CF2259" t="str">
            <v>LLWRTOT - Identified - New - NE</v>
          </cell>
        </row>
        <row r="2260">
          <cell r="D2260">
            <v>58</v>
          </cell>
          <cell r="E2260">
            <v>2</v>
          </cell>
          <cell r="F2260">
            <v>4</v>
          </cell>
          <cell r="G2260" t="str">
            <v>LLWRTOT</v>
          </cell>
          <cell r="H2260" t="str">
            <v>LLWR Total</v>
          </cell>
          <cell r="I2260" t="str">
            <v>NE</v>
          </cell>
          <cell r="J2260" t="str">
            <v>NE International Programs</v>
          </cell>
          <cell r="K2260" t="str">
            <v>UK-NDA</v>
          </cell>
          <cell r="L2260" t="str">
            <v>Non-US Gov't</v>
          </cell>
          <cell r="M2260" t="str">
            <v>UK</v>
          </cell>
          <cell r="N2260" t="str">
            <v>OCONUS</v>
          </cell>
          <cell r="O2260">
            <v>39539</v>
          </cell>
          <cell r="P2260">
            <v>45016</v>
          </cell>
          <cell r="Q2260" t="str">
            <v>Minority</v>
          </cell>
          <cell r="R2260" t="str">
            <v>CPFF</v>
          </cell>
          <cell r="S2260">
            <v>1</v>
          </cell>
          <cell r="T2260">
            <v>0</v>
          </cell>
          <cell r="U2260" t="str">
            <v>CONTRACT</v>
          </cell>
          <cell r="V2260" t="str">
            <v>Base</v>
          </cell>
          <cell r="W2260" t="str">
            <v>05 Won</v>
          </cell>
          <cell r="X2260" t="str">
            <v>Active</v>
          </cell>
          <cell r="Y2260">
            <v>0</v>
          </cell>
          <cell r="Z2260">
            <v>0</v>
          </cell>
          <cell r="AA2260">
            <v>0</v>
          </cell>
          <cell r="AB2260">
            <v>0</v>
          </cell>
          <cell r="AC2260">
            <v>0</v>
          </cell>
          <cell r="AD2260">
            <v>0</v>
          </cell>
          <cell r="BF2260">
            <v>-356990.2699999999</v>
          </cell>
          <cell r="BG2260">
            <v>-206153.65000000005</v>
          </cell>
          <cell r="BH2260">
            <v>-196837.12220243798</v>
          </cell>
          <cell r="BI2260">
            <v>-58055.670000000013</v>
          </cell>
          <cell r="BJ2260">
            <v>36447.64</v>
          </cell>
          <cell r="BK2260">
            <v>36238.181206330002</v>
          </cell>
          <cell r="BL2260">
            <v>49716.100000000006</v>
          </cell>
          <cell r="BM2260">
            <v>64346.251206329995</v>
          </cell>
          <cell r="BN2260">
            <v>0</v>
          </cell>
          <cell r="BO2260">
            <v>0</v>
          </cell>
          <cell r="BP2260">
            <v>0</v>
          </cell>
          <cell r="BQ2260">
            <v>0</v>
          </cell>
          <cell r="BR2260">
            <v>64346.251206329995</v>
          </cell>
          <cell r="BT2260">
            <v>59</v>
          </cell>
          <cell r="BV2260">
            <v>18</v>
          </cell>
          <cell r="BW2260">
            <v>78</v>
          </cell>
          <cell r="CA2260" t="str">
            <v>LLWRTOT - CONTRACT - Base</v>
          </cell>
          <cell r="CC2260" t="str">
            <v>LLWRTOT - CONTRACT - Base - NE - 2</v>
          </cell>
          <cell r="CD2260" t="str">
            <v/>
          </cell>
          <cell r="CF2260" t="str">
            <v>LLWRTOT - Base - NE</v>
          </cell>
        </row>
        <row r="2261">
          <cell r="D2261">
            <v>59</v>
          </cell>
          <cell r="E2261">
            <v>2</v>
          </cell>
          <cell r="F2261">
            <v>5</v>
          </cell>
          <cell r="G2261" t="str">
            <v>LLWRTOT</v>
          </cell>
          <cell r="H2261" t="str">
            <v>LLWR Total</v>
          </cell>
          <cell r="I2261" t="str">
            <v>NE</v>
          </cell>
          <cell r="J2261" t="str">
            <v>NE International Programs</v>
          </cell>
          <cell r="K2261" t="str">
            <v>UK-NDA</v>
          </cell>
          <cell r="L2261" t="str">
            <v>Non-US Gov't</v>
          </cell>
          <cell r="M2261" t="str">
            <v>UK</v>
          </cell>
          <cell r="N2261" t="str">
            <v>OCONUS</v>
          </cell>
          <cell r="O2261">
            <v>0</v>
          </cell>
          <cell r="P2261">
            <v>0</v>
          </cell>
          <cell r="Q2261">
            <v>0</v>
          </cell>
          <cell r="R2261">
            <v>0</v>
          </cell>
          <cell r="S2261">
            <v>1</v>
          </cell>
          <cell r="T2261">
            <v>0</v>
          </cell>
          <cell r="U2261" t="str">
            <v>CONTRACT</v>
          </cell>
          <cell r="V2261" t="str">
            <v>Identified - Recompete</v>
          </cell>
          <cell r="W2261">
            <v>0</v>
          </cell>
          <cell r="X2261">
            <v>0</v>
          </cell>
          <cell r="Y2261">
            <v>0</v>
          </cell>
          <cell r="Z2261">
            <v>0</v>
          </cell>
          <cell r="AA2261">
            <v>0</v>
          </cell>
          <cell r="AB2261">
            <v>0</v>
          </cell>
          <cell r="AC2261">
            <v>0</v>
          </cell>
          <cell r="AD2261">
            <v>0</v>
          </cell>
          <cell r="BM2261">
            <v>0</v>
          </cell>
          <cell r="BN2261">
            <v>0</v>
          </cell>
          <cell r="BO2261">
            <v>0</v>
          </cell>
          <cell r="BP2261">
            <v>0</v>
          </cell>
          <cell r="BQ2261">
            <v>0</v>
          </cell>
          <cell r="BR2261">
            <v>0</v>
          </cell>
          <cell r="BT2261">
            <v>59</v>
          </cell>
          <cell r="BV2261">
            <v>2</v>
          </cell>
          <cell r="BW2261">
            <v>78</v>
          </cell>
          <cell r="CA2261" t="str">
            <v>LLWRTOT - CONTRACT - Identified - Recompete</v>
          </cell>
          <cell r="CC2261" t="str">
            <v>LLWRTOT - CONTRACT - Identified - Recompete - NE</v>
          </cell>
          <cell r="CD2261" t="str">
            <v/>
          </cell>
          <cell r="CF2261" t="str">
            <v>LLWRTOT - Identified - Recompete - NE</v>
          </cell>
        </row>
        <row r="2262">
          <cell r="D2262">
            <v>60</v>
          </cell>
          <cell r="E2262">
            <v>2</v>
          </cell>
          <cell r="F2262">
            <v>6</v>
          </cell>
          <cell r="G2262" t="str">
            <v>LLWRTOT</v>
          </cell>
          <cell r="H2262" t="str">
            <v>LLWR Total</v>
          </cell>
          <cell r="I2262" t="str">
            <v>NE</v>
          </cell>
          <cell r="J2262" t="str">
            <v>NE International Programs</v>
          </cell>
          <cell r="K2262" t="str">
            <v>UK-NDA</v>
          </cell>
          <cell r="L2262" t="str">
            <v>Non-US Gov't</v>
          </cell>
          <cell r="M2262" t="str">
            <v>UK</v>
          </cell>
          <cell r="N2262" t="str">
            <v>OCONUS</v>
          </cell>
          <cell r="O2262">
            <v>0</v>
          </cell>
          <cell r="P2262">
            <v>0</v>
          </cell>
          <cell r="Q2262">
            <v>0</v>
          </cell>
          <cell r="R2262">
            <v>0</v>
          </cell>
          <cell r="S2262">
            <v>1</v>
          </cell>
          <cell r="T2262">
            <v>0</v>
          </cell>
          <cell r="U2262" t="str">
            <v>CONTRACT</v>
          </cell>
          <cell r="V2262" t="str">
            <v>Identified - New</v>
          </cell>
          <cell r="W2262">
            <v>0</v>
          </cell>
          <cell r="X2262">
            <v>0</v>
          </cell>
          <cell r="Y2262">
            <v>0</v>
          </cell>
          <cell r="Z2262">
            <v>0</v>
          </cell>
          <cell r="AA2262">
            <v>0</v>
          </cell>
          <cell r="AB2262">
            <v>0</v>
          </cell>
          <cell r="AC2262">
            <v>0</v>
          </cell>
          <cell r="AD2262">
            <v>0</v>
          </cell>
          <cell r="BM2262">
            <v>0</v>
          </cell>
          <cell r="BN2262">
            <v>0</v>
          </cell>
          <cell r="BO2262">
            <v>0</v>
          </cell>
          <cell r="BP2262">
            <v>0</v>
          </cell>
          <cell r="BQ2262">
            <v>0</v>
          </cell>
          <cell r="BR2262">
            <v>0</v>
          </cell>
          <cell r="BT2262">
            <v>59</v>
          </cell>
          <cell r="BV2262">
            <v>2</v>
          </cell>
          <cell r="BW2262">
            <v>78</v>
          </cell>
          <cell r="CA2262" t="str">
            <v>LLWRTOT - CONTRACT - Identified - New</v>
          </cell>
          <cell r="CC2262" t="str">
            <v>LLWRTOT - CONTRACT - Identified - New - NE</v>
          </cell>
          <cell r="CD2262" t="str">
            <v/>
          </cell>
          <cell r="CF2262" t="str">
            <v>LLWRTOT - Identified - New - NE</v>
          </cell>
        </row>
        <row r="2263">
          <cell r="D2263">
            <v>61</v>
          </cell>
          <cell r="E2263">
            <v>0</v>
          </cell>
          <cell r="F2263">
            <v>7</v>
          </cell>
          <cell r="G2263" t="str">
            <v>LLWRTOT</v>
          </cell>
          <cell r="H2263" t="str">
            <v>LLWR Total</v>
          </cell>
          <cell r="I2263" t="str">
            <v>NE</v>
          </cell>
          <cell r="J2263" t="str">
            <v>NE International Programs</v>
          </cell>
          <cell r="K2263" t="str">
            <v>UK-NDA</v>
          </cell>
          <cell r="L2263" t="str">
            <v>Non-US Gov't</v>
          </cell>
          <cell r="M2263" t="str">
            <v>UK</v>
          </cell>
          <cell r="N2263" t="str">
            <v>OCONUS</v>
          </cell>
          <cell r="O2263">
            <v>39539</v>
          </cell>
          <cell r="P2263">
            <v>45016</v>
          </cell>
          <cell r="Q2263" t="str">
            <v>Minority</v>
          </cell>
          <cell r="R2263" t="str">
            <v>CPFF</v>
          </cell>
          <cell r="S2263">
            <v>1</v>
          </cell>
          <cell r="T2263">
            <v>0</v>
          </cell>
          <cell r="U2263" t="str">
            <v>EBITA</v>
          </cell>
          <cell r="V2263" t="str">
            <v>Base</v>
          </cell>
          <cell r="W2263" t="str">
            <v>05 Won</v>
          </cell>
          <cell r="X2263" t="str">
            <v>Active</v>
          </cell>
          <cell r="Y2263">
            <v>0</v>
          </cell>
          <cell r="Z2263">
            <v>0</v>
          </cell>
          <cell r="AA2263">
            <v>0</v>
          </cell>
          <cell r="AB2263">
            <v>0</v>
          </cell>
          <cell r="AC2263">
            <v>0</v>
          </cell>
          <cell r="AD2263">
            <v>0</v>
          </cell>
          <cell r="BF2263">
            <v>6931998.370000001</v>
          </cell>
          <cell r="BG2263">
            <v>5712560.3357309997</v>
          </cell>
          <cell r="BH2263">
            <v>5262903.424586717</v>
          </cell>
          <cell r="BI2263">
            <v>859206.47</v>
          </cell>
          <cell r="BJ2263">
            <v>626598.40000000002</v>
          </cell>
          <cell r="BK2263">
            <v>657232.54120633006</v>
          </cell>
          <cell r="BL2263">
            <v>-195999.54000000007</v>
          </cell>
          <cell r="BM2263">
            <v>1947037.8712063301</v>
          </cell>
          <cell r="BN2263">
            <v>1934057.6187316214</v>
          </cell>
          <cell r="BO2263">
            <v>1934057.6187316214</v>
          </cell>
          <cell r="BP2263">
            <v>1934057.6187316214</v>
          </cell>
          <cell r="BQ2263">
            <v>967028.80936581071</v>
          </cell>
          <cell r="BR2263">
            <v>8716239.5367670059</v>
          </cell>
          <cell r="BT2263">
            <v>59</v>
          </cell>
          <cell r="BV2263">
            <v>18</v>
          </cell>
          <cell r="BW2263">
            <v>87</v>
          </cell>
          <cell r="CA2263" t="str">
            <v>LLWRTOT - EBITA - Base</v>
          </cell>
          <cell r="CC2263" t="str">
            <v>LLWRTOT - EBITA - Base - NE</v>
          </cell>
          <cell r="CD2263" t="str">
            <v/>
          </cell>
          <cell r="CF2263" t="str">
            <v>LLWRTOT - Base - NE</v>
          </cell>
        </row>
        <row r="2264">
          <cell r="D2264">
            <v>62</v>
          </cell>
          <cell r="E2264">
            <v>0</v>
          </cell>
          <cell r="F2264">
            <v>8</v>
          </cell>
          <cell r="G2264" t="str">
            <v>LLWRTOT</v>
          </cell>
          <cell r="H2264" t="str">
            <v>LLWR Total</v>
          </cell>
          <cell r="I2264" t="str">
            <v>NE</v>
          </cell>
          <cell r="J2264" t="str">
            <v>NE International Programs</v>
          </cell>
          <cell r="K2264" t="str">
            <v>UK-NDA</v>
          </cell>
          <cell r="L2264" t="str">
            <v>Non-US Gov't</v>
          </cell>
          <cell r="M2264" t="str">
            <v>UK</v>
          </cell>
          <cell r="N2264" t="str">
            <v>OCONUS</v>
          </cell>
          <cell r="O2264">
            <v>0</v>
          </cell>
          <cell r="P2264">
            <v>0</v>
          </cell>
          <cell r="Q2264">
            <v>0</v>
          </cell>
          <cell r="R2264">
            <v>0</v>
          </cell>
          <cell r="S2264">
            <v>1</v>
          </cell>
          <cell r="T2264">
            <v>0</v>
          </cell>
          <cell r="U2264" t="str">
            <v>EBITA</v>
          </cell>
          <cell r="V2264" t="str">
            <v>Identified - Recompete</v>
          </cell>
          <cell r="W2264">
            <v>0</v>
          </cell>
          <cell r="X2264">
            <v>0</v>
          </cell>
          <cell r="Y2264">
            <v>0</v>
          </cell>
          <cell r="Z2264">
            <v>0</v>
          </cell>
          <cell r="AA2264">
            <v>0</v>
          </cell>
          <cell r="AB2264">
            <v>0</v>
          </cell>
          <cell r="AC2264">
            <v>0</v>
          </cell>
          <cell r="AD2264">
            <v>0</v>
          </cell>
          <cell r="BM2264">
            <v>0</v>
          </cell>
          <cell r="BN2264">
            <v>0</v>
          </cell>
          <cell r="BO2264">
            <v>0</v>
          </cell>
          <cell r="BP2264">
            <v>0</v>
          </cell>
          <cell r="BQ2264">
            <v>0</v>
          </cell>
          <cell r="BR2264">
            <v>0</v>
          </cell>
          <cell r="BT2264">
            <v>59</v>
          </cell>
          <cell r="BV2264">
            <v>2</v>
          </cell>
          <cell r="BW2264">
            <v>87</v>
          </cell>
          <cell r="CA2264" t="str">
            <v>LLWRTOT - EBITA - Identified - Recompete</v>
          </cell>
          <cell r="CC2264" t="str">
            <v>LLWRTOT - EBITA - Identified - Recompete - NE</v>
          </cell>
          <cell r="CD2264" t="str">
            <v/>
          </cell>
          <cell r="CF2264" t="str">
            <v>LLWRTOT - Identified - Recompete - NE</v>
          </cell>
        </row>
        <row r="2265">
          <cell r="D2265">
            <v>63</v>
          </cell>
          <cell r="E2265">
            <v>0</v>
          </cell>
          <cell r="F2265">
            <v>0</v>
          </cell>
          <cell r="G2265" t="str">
            <v>LLWRTOT</v>
          </cell>
          <cell r="H2265" t="str">
            <v>LLWR Total</v>
          </cell>
          <cell r="I2265" t="str">
            <v>NE</v>
          </cell>
          <cell r="J2265" t="str">
            <v>NE International Programs</v>
          </cell>
          <cell r="K2265" t="str">
            <v>UK-NDA</v>
          </cell>
          <cell r="L2265" t="str">
            <v>Non-US Gov't</v>
          </cell>
          <cell r="M2265" t="str">
            <v>UK</v>
          </cell>
          <cell r="N2265" t="str">
            <v>OCONUS</v>
          </cell>
          <cell r="O2265">
            <v>0</v>
          </cell>
          <cell r="P2265">
            <v>0</v>
          </cell>
          <cell r="Q2265">
            <v>0</v>
          </cell>
          <cell r="R2265">
            <v>0</v>
          </cell>
          <cell r="S2265">
            <v>1</v>
          </cell>
          <cell r="T2265">
            <v>0</v>
          </cell>
          <cell r="U2265" t="str">
            <v>EBITA</v>
          </cell>
          <cell r="V2265" t="str">
            <v>Identified - New</v>
          </cell>
          <cell r="W2265">
            <v>0</v>
          </cell>
          <cell r="X2265">
            <v>0</v>
          </cell>
          <cell r="Y2265">
            <v>0</v>
          </cell>
          <cell r="Z2265">
            <v>0</v>
          </cell>
          <cell r="AA2265">
            <v>0</v>
          </cell>
          <cell r="AB2265">
            <v>0</v>
          </cell>
          <cell r="AC2265">
            <v>0</v>
          </cell>
          <cell r="AD2265">
            <v>0</v>
          </cell>
          <cell r="BM2265">
            <v>0</v>
          </cell>
          <cell r="BN2265">
            <v>0</v>
          </cell>
          <cell r="BO2265">
            <v>0</v>
          </cell>
          <cell r="BP2265">
            <v>0</v>
          </cell>
          <cell r="BQ2265">
            <v>0</v>
          </cell>
          <cell r="BR2265">
            <v>0</v>
          </cell>
          <cell r="BT2265">
            <v>59</v>
          </cell>
          <cell r="BV2265">
            <v>2</v>
          </cell>
          <cell r="BW2265">
            <v>87</v>
          </cell>
          <cell r="CA2265" t="str">
            <v>LLWRTOT - EBITA - Identified - New</v>
          </cell>
          <cell r="CC2265" t="str">
            <v>LLWRTOT - EBITA - Identified - New - NE</v>
          </cell>
          <cell r="CD2265" t="str">
            <v/>
          </cell>
          <cell r="CF2265" t="str">
            <v>LLWRTOT - Identified - New - NE</v>
          </cell>
        </row>
        <row r="2266">
          <cell r="D2266">
            <v>64</v>
          </cell>
          <cell r="E2266">
            <v>1</v>
          </cell>
          <cell r="F2266">
            <v>1</v>
          </cell>
          <cell r="G2266" t="str">
            <v>LLNL</v>
          </cell>
          <cell r="H2266" t="str">
            <v>LLNL Total</v>
          </cell>
          <cell r="I2266" t="str">
            <v>NE</v>
          </cell>
          <cell r="J2266" t="str">
            <v>NE HLW &amp; NNSA Operations</v>
          </cell>
          <cell r="K2266" t="str">
            <v>DOE-NNSA</v>
          </cell>
          <cell r="L2266" t="str">
            <v>DOE</v>
          </cell>
          <cell r="M2266" t="str">
            <v>CA</v>
          </cell>
          <cell r="N2266" t="str">
            <v>CONUS</v>
          </cell>
          <cell r="O2266">
            <v>39356</v>
          </cell>
          <cell r="P2266">
            <v>46295</v>
          </cell>
          <cell r="Q2266" t="str">
            <v>Minority</v>
          </cell>
          <cell r="R2266" t="str">
            <v>CPAF</v>
          </cell>
          <cell r="S2266">
            <v>1</v>
          </cell>
          <cell r="T2266">
            <v>0</v>
          </cell>
          <cell r="U2266" t="str">
            <v>REVTOT</v>
          </cell>
          <cell r="V2266" t="str">
            <v>Base</v>
          </cell>
          <cell r="W2266" t="str">
            <v>05 Won</v>
          </cell>
          <cell r="X2266" t="str">
            <v>Active</v>
          </cell>
          <cell r="Y2266">
            <v>0</v>
          </cell>
          <cell r="Z2266">
            <v>0</v>
          </cell>
          <cell r="AA2266">
            <v>0</v>
          </cell>
          <cell r="AB2266">
            <v>0</v>
          </cell>
          <cell r="AC2266">
            <v>0</v>
          </cell>
          <cell r="AD2266">
            <v>0</v>
          </cell>
          <cell r="BF2266">
            <v>192149.25000000003</v>
          </cell>
          <cell r="BG2266">
            <v>53287.02</v>
          </cell>
          <cell r="BH2266">
            <v>29900.639999999999</v>
          </cell>
          <cell r="BI2266">
            <v>8482.61</v>
          </cell>
          <cell r="BJ2266">
            <v>7729.97</v>
          </cell>
          <cell r="BK2266">
            <v>11541.15</v>
          </cell>
          <cell r="BL2266">
            <v>30000</v>
          </cell>
          <cell r="BM2266">
            <v>57753.73</v>
          </cell>
          <cell r="BN2266">
            <v>60000</v>
          </cell>
          <cell r="BO2266">
            <v>0</v>
          </cell>
          <cell r="BP2266">
            <v>0</v>
          </cell>
          <cell r="BQ2266">
            <v>0</v>
          </cell>
          <cell r="BR2266">
            <v>117753.73000000001</v>
          </cell>
          <cell r="BT2266">
            <v>60</v>
          </cell>
          <cell r="BV2266">
            <v>19</v>
          </cell>
          <cell r="BW2266">
            <v>60</v>
          </cell>
          <cell r="CA2266" t="str">
            <v>LLNL - REVTOT - Base</v>
          </cell>
          <cell r="CC2266" t="str">
            <v>LLNL - REVTOT - Base - NE</v>
          </cell>
          <cell r="CD2266" t="str">
            <v/>
          </cell>
          <cell r="CF2266" t="str">
            <v>LLNL - Base - NE</v>
          </cell>
        </row>
        <row r="2267">
          <cell r="D2267">
            <v>65</v>
          </cell>
          <cell r="E2267">
            <v>1</v>
          </cell>
          <cell r="F2267">
            <v>2</v>
          </cell>
          <cell r="G2267" t="str">
            <v>LLNL</v>
          </cell>
          <cell r="H2267" t="str">
            <v>LLNL Total</v>
          </cell>
          <cell r="I2267" t="str">
            <v>NE</v>
          </cell>
          <cell r="J2267" t="str">
            <v>NE HLW &amp; NNSA Operations</v>
          </cell>
          <cell r="K2267" t="str">
            <v>DOE-NNSA</v>
          </cell>
          <cell r="L2267" t="str">
            <v>DOE</v>
          </cell>
          <cell r="M2267" t="str">
            <v>CA</v>
          </cell>
          <cell r="N2267" t="str">
            <v>CONUS</v>
          </cell>
          <cell r="O2267">
            <v>0</v>
          </cell>
          <cell r="P2267">
            <v>0</v>
          </cell>
          <cell r="Q2267">
            <v>0</v>
          </cell>
          <cell r="R2267">
            <v>0</v>
          </cell>
          <cell r="S2267">
            <v>1</v>
          </cell>
          <cell r="T2267">
            <v>0</v>
          </cell>
          <cell r="U2267" t="str">
            <v>REVTOT</v>
          </cell>
          <cell r="V2267" t="str">
            <v>Identified - Recompete</v>
          </cell>
          <cell r="W2267">
            <v>0</v>
          </cell>
          <cell r="X2267">
            <v>0</v>
          </cell>
          <cell r="Y2267">
            <v>0</v>
          </cell>
          <cell r="Z2267">
            <v>0</v>
          </cell>
          <cell r="AA2267">
            <v>0</v>
          </cell>
          <cell r="AB2267">
            <v>0</v>
          </cell>
          <cell r="AC2267">
            <v>0</v>
          </cell>
          <cell r="AD2267">
            <v>0</v>
          </cell>
          <cell r="BM2267">
            <v>0</v>
          </cell>
          <cell r="BN2267">
            <v>0</v>
          </cell>
          <cell r="BO2267">
            <v>0</v>
          </cell>
          <cell r="BP2267">
            <v>0</v>
          </cell>
          <cell r="BQ2267">
            <v>0</v>
          </cell>
          <cell r="BR2267">
            <v>0</v>
          </cell>
          <cell r="BT2267">
            <v>60</v>
          </cell>
          <cell r="BV2267">
            <v>2</v>
          </cell>
          <cell r="BW2267">
            <v>60</v>
          </cell>
          <cell r="CA2267" t="str">
            <v>LLNL - REVTOT - Identified - Recompete</v>
          </cell>
          <cell r="CC2267" t="str">
            <v>LLNL - REVTOT - Identified - Recompete - NE</v>
          </cell>
          <cell r="CD2267" t="str">
            <v/>
          </cell>
          <cell r="CF2267" t="str">
            <v>LLNL - Identified - Recompete - NE</v>
          </cell>
        </row>
        <row r="2268">
          <cell r="D2268">
            <v>66</v>
          </cell>
          <cell r="E2268">
            <v>1</v>
          </cell>
          <cell r="F2268">
            <v>3</v>
          </cell>
          <cell r="G2268" t="str">
            <v>LLNL</v>
          </cell>
          <cell r="H2268" t="str">
            <v>LLNL Total</v>
          </cell>
          <cell r="I2268" t="str">
            <v>NE</v>
          </cell>
          <cell r="J2268" t="str">
            <v>NE HLW &amp; NNSA Operations</v>
          </cell>
          <cell r="K2268" t="str">
            <v>DOE-NNSA</v>
          </cell>
          <cell r="L2268" t="str">
            <v>DOE</v>
          </cell>
          <cell r="M2268" t="str">
            <v>CA</v>
          </cell>
          <cell r="N2268" t="str">
            <v>CONUS</v>
          </cell>
          <cell r="O2268">
            <v>0</v>
          </cell>
          <cell r="P2268">
            <v>0</v>
          </cell>
          <cell r="Q2268">
            <v>0</v>
          </cell>
          <cell r="R2268">
            <v>0</v>
          </cell>
          <cell r="S2268">
            <v>1</v>
          </cell>
          <cell r="T2268">
            <v>0</v>
          </cell>
          <cell r="U2268" t="str">
            <v>REVTOT</v>
          </cell>
          <cell r="V2268" t="str">
            <v>Identified - New</v>
          </cell>
          <cell r="W2268">
            <v>0</v>
          </cell>
          <cell r="X2268">
            <v>0</v>
          </cell>
          <cell r="Y2268">
            <v>0</v>
          </cell>
          <cell r="Z2268">
            <v>0</v>
          </cell>
          <cell r="AA2268">
            <v>0</v>
          </cell>
          <cell r="AB2268">
            <v>0</v>
          </cell>
          <cell r="AC2268">
            <v>0</v>
          </cell>
          <cell r="AD2268">
            <v>0</v>
          </cell>
          <cell r="BM2268">
            <v>0</v>
          </cell>
          <cell r="BN2268">
            <v>0</v>
          </cell>
          <cell r="BO2268">
            <v>0</v>
          </cell>
          <cell r="BP2268">
            <v>0</v>
          </cell>
          <cell r="BQ2268">
            <v>0</v>
          </cell>
          <cell r="BR2268">
            <v>0</v>
          </cell>
          <cell r="BT2268">
            <v>60</v>
          </cell>
          <cell r="BV2268">
            <v>2</v>
          </cell>
          <cell r="BW2268">
            <v>60</v>
          </cell>
          <cell r="CA2268" t="str">
            <v>LLNL - REVTOT - Identified - New</v>
          </cell>
          <cell r="CC2268" t="str">
            <v>LLNL - REVTOT - Identified - New - NE</v>
          </cell>
          <cell r="CD2268" t="str">
            <v/>
          </cell>
          <cell r="CF2268" t="str">
            <v>LLNL - Identified - New - NE</v>
          </cell>
        </row>
        <row r="2269">
          <cell r="D2269">
            <v>67</v>
          </cell>
          <cell r="E2269">
            <v>2</v>
          </cell>
          <cell r="F2269">
            <v>4</v>
          </cell>
          <cell r="G2269" t="str">
            <v>LLNL</v>
          </cell>
          <cell r="H2269" t="str">
            <v>LLNL Total</v>
          </cell>
          <cell r="I2269" t="str">
            <v>NE</v>
          </cell>
          <cell r="J2269" t="str">
            <v>NE HLW &amp; NNSA Operations</v>
          </cell>
          <cell r="K2269" t="str">
            <v>DOE-NNSA</v>
          </cell>
          <cell r="L2269" t="str">
            <v>DOE</v>
          </cell>
          <cell r="M2269" t="str">
            <v>CA</v>
          </cell>
          <cell r="N2269" t="str">
            <v>CONUS</v>
          </cell>
          <cell r="O2269">
            <v>39356</v>
          </cell>
          <cell r="P2269">
            <v>46295</v>
          </cell>
          <cell r="Q2269" t="str">
            <v>Minority</v>
          </cell>
          <cell r="R2269" t="str">
            <v>CPAF</v>
          </cell>
          <cell r="S2269">
            <v>1</v>
          </cell>
          <cell r="T2269">
            <v>0</v>
          </cell>
          <cell r="U2269" t="str">
            <v>CONTRACT</v>
          </cell>
          <cell r="V2269" t="str">
            <v>Base</v>
          </cell>
          <cell r="W2269" t="str">
            <v>05 Won</v>
          </cell>
          <cell r="X2269" t="str">
            <v>Active</v>
          </cell>
          <cell r="Y2269">
            <v>0</v>
          </cell>
          <cell r="Z2269">
            <v>0</v>
          </cell>
          <cell r="AA2269">
            <v>0</v>
          </cell>
          <cell r="AB2269">
            <v>0</v>
          </cell>
          <cell r="AC2269">
            <v>0</v>
          </cell>
          <cell r="AD2269">
            <v>0</v>
          </cell>
          <cell r="BF2269">
            <v>-265016.68</v>
          </cell>
          <cell r="BG2269">
            <v>-224636.36</v>
          </cell>
          <cell r="BH2269">
            <v>-386401.97</v>
          </cell>
          <cell r="BI2269">
            <v>-51606.64</v>
          </cell>
          <cell r="BJ2269">
            <v>-32809.14</v>
          </cell>
          <cell r="BK2269">
            <v>-89202.829999999987</v>
          </cell>
          <cell r="BL2269">
            <v>-11620</v>
          </cell>
          <cell r="BM2269">
            <v>-185238.61</v>
          </cell>
          <cell r="BN2269">
            <v>0</v>
          </cell>
          <cell r="BO2269">
            <v>0</v>
          </cell>
          <cell r="BP2269">
            <v>0</v>
          </cell>
          <cell r="BQ2269">
            <v>0</v>
          </cell>
          <cell r="BR2269">
            <v>-185238.61</v>
          </cell>
          <cell r="BT2269">
            <v>60</v>
          </cell>
          <cell r="BV2269">
            <v>19</v>
          </cell>
          <cell r="BW2269">
            <v>78</v>
          </cell>
          <cell r="CA2269" t="str">
            <v>LLNL - CONTRACT - Base</v>
          </cell>
          <cell r="CC2269" t="str">
            <v>LLNL - CONTRACT - Base - NE - 2</v>
          </cell>
          <cell r="CD2269" t="str">
            <v/>
          </cell>
          <cell r="CF2269" t="str">
            <v>LLNL - Base - NE</v>
          </cell>
        </row>
        <row r="2270">
          <cell r="D2270">
            <v>68</v>
          </cell>
          <cell r="E2270">
            <v>2</v>
          </cell>
          <cell r="F2270">
            <v>5</v>
          </cell>
          <cell r="G2270" t="str">
            <v>LLNL</v>
          </cell>
          <cell r="H2270" t="str">
            <v>LLNL Total</v>
          </cell>
          <cell r="I2270" t="str">
            <v>NE</v>
          </cell>
          <cell r="J2270" t="str">
            <v>NE HLW &amp; NNSA Operations</v>
          </cell>
          <cell r="K2270" t="str">
            <v>DOE-NNSA</v>
          </cell>
          <cell r="L2270" t="str">
            <v>DOE</v>
          </cell>
          <cell r="M2270" t="str">
            <v>CA</v>
          </cell>
          <cell r="N2270" t="str">
            <v>CONUS</v>
          </cell>
          <cell r="O2270">
            <v>0</v>
          </cell>
          <cell r="P2270">
            <v>0</v>
          </cell>
          <cell r="Q2270">
            <v>0</v>
          </cell>
          <cell r="R2270">
            <v>0</v>
          </cell>
          <cell r="S2270">
            <v>1</v>
          </cell>
          <cell r="T2270">
            <v>0</v>
          </cell>
          <cell r="U2270" t="str">
            <v>CONTRACT</v>
          </cell>
          <cell r="V2270" t="str">
            <v>Identified - Recompete</v>
          </cell>
          <cell r="W2270">
            <v>0</v>
          </cell>
          <cell r="X2270">
            <v>0</v>
          </cell>
          <cell r="Y2270">
            <v>0</v>
          </cell>
          <cell r="Z2270">
            <v>0</v>
          </cell>
          <cell r="AA2270">
            <v>0</v>
          </cell>
          <cell r="AB2270">
            <v>0</v>
          </cell>
          <cell r="AC2270">
            <v>0</v>
          </cell>
          <cell r="AD2270">
            <v>0</v>
          </cell>
          <cell r="BM2270">
            <v>0</v>
          </cell>
          <cell r="BN2270">
            <v>0</v>
          </cell>
          <cell r="BO2270">
            <v>0</v>
          </cell>
          <cell r="BP2270">
            <v>0</v>
          </cell>
          <cell r="BQ2270">
            <v>0</v>
          </cell>
          <cell r="BR2270">
            <v>0</v>
          </cell>
          <cell r="BT2270">
            <v>60</v>
          </cell>
          <cell r="BV2270">
            <v>2</v>
          </cell>
          <cell r="BW2270">
            <v>78</v>
          </cell>
          <cell r="CA2270" t="str">
            <v>LLNL - CONTRACT - Identified - Recompete</v>
          </cell>
          <cell r="CC2270" t="str">
            <v>LLNL - CONTRACT - Identified - Recompete - NE</v>
          </cell>
          <cell r="CD2270" t="str">
            <v/>
          </cell>
          <cell r="CF2270" t="str">
            <v>LLNL - Identified - Recompete - NE</v>
          </cell>
        </row>
        <row r="2271">
          <cell r="D2271">
            <v>69</v>
          </cell>
          <cell r="E2271">
            <v>2</v>
          </cell>
          <cell r="F2271">
            <v>6</v>
          </cell>
          <cell r="G2271" t="str">
            <v>LLNL</v>
          </cell>
          <cell r="H2271" t="str">
            <v>LLNL Total</v>
          </cell>
          <cell r="I2271" t="str">
            <v>NE</v>
          </cell>
          <cell r="J2271" t="str">
            <v>NE HLW &amp; NNSA Operations</v>
          </cell>
          <cell r="K2271" t="str">
            <v>DOE-NNSA</v>
          </cell>
          <cell r="L2271" t="str">
            <v>DOE</v>
          </cell>
          <cell r="M2271" t="str">
            <v>CA</v>
          </cell>
          <cell r="N2271" t="str">
            <v>CONUS</v>
          </cell>
          <cell r="O2271">
            <v>0</v>
          </cell>
          <cell r="P2271">
            <v>0</v>
          </cell>
          <cell r="Q2271">
            <v>0</v>
          </cell>
          <cell r="R2271">
            <v>0</v>
          </cell>
          <cell r="S2271">
            <v>1</v>
          </cell>
          <cell r="T2271">
            <v>0</v>
          </cell>
          <cell r="U2271" t="str">
            <v>CONTRACT</v>
          </cell>
          <cell r="V2271" t="str">
            <v>Identified - New</v>
          </cell>
          <cell r="W2271">
            <v>0</v>
          </cell>
          <cell r="X2271">
            <v>0</v>
          </cell>
          <cell r="Y2271">
            <v>0</v>
          </cell>
          <cell r="Z2271">
            <v>0</v>
          </cell>
          <cell r="AA2271">
            <v>0</v>
          </cell>
          <cell r="AB2271">
            <v>0</v>
          </cell>
          <cell r="AC2271">
            <v>0</v>
          </cell>
          <cell r="AD2271">
            <v>0</v>
          </cell>
          <cell r="BM2271">
            <v>0</v>
          </cell>
          <cell r="BN2271">
            <v>0</v>
          </cell>
          <cell r="BO2271">
            <v>0</v>
          </cell>
          <cell r="BP2271">
            <v>0</v>
          </cell>
          <cell r="BQ2271">
            <v>0</v>
          </cell>
          <cell r="BR2271">
            <v>0</v>
          </cell>
          <cell r="BT2271">
            <v>60</v>
          </cell>
          <cell r="BV2271">
            <v>2</v>
          </cell>
          <cell r="BW2271">
            <v>78</v>
          </cell>
          <cell r="CA2271" t="str">
            <v>LLNL - CONTRACT - Identified - New</v>
          </cell>
          <cell r="CC2271" t="str">
            <v>LLNL - CONTRACT - Identified - New - NE</v>
          </cell>
          <cell r="CD2271" t="str">
            <v/>
          </cell>
          <cell r="CF2271" t="str">
            <v>LLNL - Identified - New - NE</v>
          </cell>
        </row>
        <row r="2272">
          <cell r="D2272">
            <v>70</v>
          </cell>
          <cell r="E2272">
            <v>0</v>
          </cell>
          <cell r="F2272">
            <v>7</v>
          </cell>
          <cell r="G2272" t="str">
            <v>LLNL</v>
          </cell>
          <cell r="H2272" t="str">
            <v>LLNL Total</v>
          </cell>
          <cell r="I2272" t="str">
            <v>NE</v>
          </cell>
          <cell r="J2272" t="str">
            <v>NE HLW &amp; NNSA Operations</v>
          </cell>
          <cell r="K2272" t="str">
            <v>DOE-NNSA</v>
          </cell>
          <cell r="L2272" t="str">
            <v>DOE</v>
          </cell>
          <cell r="M2272" t="str">
            <v>CA</v>
          </cell>
          <cell r="N2272" t="str">
            <v>CONUS</v>
          </cell>
          <cell r="O2272">
            <v>39356</v>
          </cell>
          <cell r="P2272">
            <v>46295</v>
          </cell>
          <cell r="Q2272" t="str">
            <v>Minority</v>
          </cell>
          <cell r="R2272" t="str">
            <v>CPAF</v>
          </cell>
          <cell r="S2272">
            <v>1</v>
          </cell>
          <cell r="T2272">
            <v>0</v>
          </cell>
          <cell r="U2272" t="str">
            <v>EBITA</v>
          </cell>
          <cell r="V2272" t="str">
            <v>Base</v>
          </cell>
          <cell r="W2272" t="str">
            <v>05 Won</v>
          </cell>
          <cell r="X2272" t="str">
            <v>Active</v>
          </cell>
          <cell r="Y2272">
            <v>0</v>
          </cell>
          <cell r="Z2272">
            <v>0</v>
          </cell>
          <cell r="AA2272">
            <v>0</v>
          </cell>
          <cell r="AB2272">
            <v>0</v>
          </cell>
          <cell r="AC2272">
            <v>0</v>
          </cell>
          <cell r="AD2272">
            <v>0</v>
          </cell>
          <cell r="BF2272">
            <v>3300386.07</v>
          </cell>
          <cell r="BG2272">
            <v>2866047.73</v>
          </cell>
          <cell r="BH2272">
            <v>3522020.96</v>
          </cell>
          <cell r="BI2272">
            <v>933409.24</v>
          </cell>
          <cell r="BJ2272">
            <v>1041398.31</v>
          </cell>
          <cell r="BK2272">
            <v>1028421.8700000001</v>
          </cell>
          <cell r="BL2272">
            <v>923250.24</v>
          </cell>
          <cell r="BM2272">
            <v>3926479.66</v>
          </cell>
          <cell r="BN2272">
            <v>4542743.2837668164</v>
          </cell>
          <cell r="BO2272">
            <v>4542743.2837668164</v>
          </cell>
          <cell r="BP2272">
            <v>4542743.2837668164</v>
          </cell>
          <cell r="BQ2272">
            <v>4542743.2837668164</v>
          </cell>
          <cell r="BR2272">
            <v>22097452.795067269</v>
          </cell>
          <cell r="BT2272">
            <v>60</v>
          </cell>
          <cell r="BV2272">
            <v>19</v>
          </cell>
          <cell r="BW2272">
            <v>87</v>
          </cell>
          <cell r="CA2272" t="str">
            <v>LLNL - EBITA - Base</v>
          </cell>
          <cell r="CC2272" t="str">
            <v>LLNL - EBITA - Base - NE</v>
          </cell>
          <cell r="CD2272" t="str">
            <v/>
          </cell>
          <cell r="CF2272" t="str">
            <v>LLNL - Base - NE</v>
          </cell>
        </row>
        <row r="2273">
          <cell r="D2273">
            <v>71</v>
          </cell>
          <cell r="E2273">
            <v>0</v>
          </cell>
          <cell r="F2273">
            <v>8</v>
          </cell>
          <cell r="G2273" t="str">
            <v>LLNL</v>
          </cell>
          <cell r="H2273" t="str">
            <v>LLNL Total</v>
          </cell>
          <cell r="I2273" t="str">
            <v>NE</v>
          </cell>
          <cell r="J2273" t="str">
            <v>NE HLW &amp; NNSA Operations</v>
          </cell>
          <cell r="K2273" t="str">
            <v>DOE-NNSA</v>
          </cell>
          <cell r="L2273" t="str">
            <v>DOE</v>
          </cell>
          <cell r="M2273" t="str">
            <v>CA</v>
          </cell>
          <cell r="N2273" t="str">
            <v>CONUS</v>
          </cell>
          <cell r="O2273">
            <v>0</v>
          </cell>
          <cell r="P2273">
            <v>0</v>
          </cell>
          <cell r="Q2273">
            <v>0</v>
          </cell>
          <cell r="R2273">
            <v>0</v>
          </cell>
          <cell r="S2273">
            <v>1</v>
          </cell>
          <cell r="T2273">
            <v>0</v>
          </cell>
          <cell r="U2273" t="str">
            <v>EBITA</v>
          </cell>
          <cell r="V2273" t="str">
            <v>Identified - Recompete</v>
          </cell>
          <cell r="W2273">
            <v>0</v>
          </cell>
          <cell r="X2273">
            <v>0</v>
          </cell>
          <cell r="Y2273">
            <v>0</v>
          </cell>
          <cell r="Z2273">
            <v>0</v>
          </cell>
          <cell r="AA2273">
            <v>0</v>
          </cell>
          <cell r="AB2273">
            <v>0</v>
          </cell>
          <cell r="AC2273">
            <v>0</v>
          </cell>
          <cell r="AD2273">
            <v>0</v>
          </cell>
          <cell r="BM2273">
            <v>0</v>
          </cell>
          <cell r="BN2273">
            <v>0</v>
          </cell>
          <cell r="BO2273">
            <v>0</v>
          </cell>
          <cell r="BP2273">
            <v>0</v>
          </cell>
          <cell r="BQ2273">
            <v>0</v>
          </cell>
          <cell r="BR2273">
            <v>0</v>
          </cell>
          <cell r="BT2273">
            <v>60</v>
          </cell>
          <cell r="BV2273">
            <v>2</v>
          </cell>
          <cell r="BW2273">
            <v>87</v>
          </cell>
          <cell r="CA2273" t="str">
            <v>LLNL - EBITA - Identified - Recompete</v>
          </cell>
          <cell r="CC2273" t="str">
            <v>LLNL - EBITA - Identified - Recompete - NE</v>
          </cell>
          <cell r="CD2273" t="str">
            <v/>
          </cell>
          <cell r="CF2273" t="str">
            <v>LLNL - Identified - Recompete - NE</v>
          </cell>
        </row>
        <row r="2274">
          <cell r="D2274">
            <v>72</v>
          </cell>
          <cell r="E2274">
            <v>0</v>
          </cell>
          <cell r="F2274">
            <v>0</v>
          </cell>
          <cell r="G2274" t="str">
            <v>LLNL</v>
          </cell>
          <cell r="H2274" t="str">
            <v>LLNL Total</v>
          </cell>
          <cell r="I2274" t="str">
            <v>NE</v>
          </cell>
          <cell r="J2274" t="str">
            <v>NE HLW &amp; NNSA Operations</v>
          </cell>
          <cell r="K2274" t="str">
            <v>DOE-NNSA</v>
          </cell>
          <cell r="L2274" t="str">
            <v>DOE</v>
          </cell>
          <cell r="M2274" t="str">
            <v>CA</v>
          </cell>
          <cell r="N2274" t="str">
            <v>CONUS</v>
          </cell>
          <cell r="O2274">
            <v>0</v>
          </cell>
          <cell r="P2274">
            <v>0</v>
          </cell>
          <cell r="Q2274">
            <v>0</v>
          </cell>
          <cell r="R2274">
            <v>0</v>
          </cell>
          <cell r="S2274">
            <v>1</v>
          </cell>
          <cell r="T2274">
            <v>0</v>
          </cell>
          <cell r="U2274" t="str">
            <v>EBITA</v>
          </cell>
          <cell r="V2274" t="str">
            <v>Identified - New</v>
          </cell>
          <cell r="W2274">
            <v>0</v>
          </cell>
          <cell r="X2274">
            <v>0</v>
          </cell>
          <cell r="Y2274">
            <v>0</v>
          </cell>
          <cell r="Z2274">
            <v>0</v>
          </cell>
          <cell r="AA2274">
            <v>0</v>
          </cell>
          <cell r="AB2274">
            <v>0</v>
          </cell>
          <cell r="AC2274">
            <v>0</v>
          </cell>
          <cell r="AD2274">
            <v>0</v>
          </cell>
          <cell r="BM2274">
            <v>0</v>
          </cell>
          <cell r="BN2274">
            <v>0</v>
          </cell>
          <cell r="BO2274">
            <v>0</v>
          </cell>
          <cell r="BP2274">
            <v>0</v>
          </cell>
          <cell r="BQ2274">
            <v>0</v>
          </cell>
          <cell r="BR2274">
            <v>0</v>
          </cell>
          <cell r="BT2274">
            <v>60</v>
          </cell>
          <cell r="BV2274">
            <v>2</v>
          </cell>
          <cell r="BW2274">
            <v>87</v>
          </cell>
          <cell r="CA2274" t="str">
            <v>LLNL - EBITA - Identified - New</v>
          </cell>
          <cell r="CC2274" t="str">
            <v>LLNL - EBITA - Identified - New - NE</v>
          </cell>
          <cell r="CD2274" t="str">
            <v/>
          </cell>
          <cell r="CF2274" t="str">
            <v>LLNL - Identified - New - NE</v>
          </cell>
        </row>
        <row r="2275">
          <cell r="D2275">
            <v>73</v>
          </cell>
          <cell r="E2275">
            <v>1</v>
          </cell>
          <cell r="F2275">
            <v>1</v>
          </cell>
          <cell r="G2275" t="str">
            <v>ICP</v>
          </cell>
          <cell r="H2275" t="str">
            <v>ICP Total</v>
          </cell>
          <cell r="I2275" t="str">
            <v>NE</v>
          </cell>
          <cell r="J2275" t="str">
            <v>NE DD and WM Projects</v>
          </cell>
          <cell r="K2275" t="str">
            <v>DOE-Other</v>
          </cell>
          <cell r="L2275" t="str">
            <v>DOE</v>
          </cell>
          <cell r="M2275" t="str">
            <v>ID</v>
          </cell>
          <cell r="N2275" t="str">
            <v>CONUS</v>
          </cell>
          <cell r="O2275">
            <v>38435</v>
          </cell>
          <cell r="P2275">
            <v>42521</v>
          </cell>
          <cell r="Q2275" t="str">
            <v>Minority</v>
          </cell>
          <cell r="R2275" t="str">
            <v>CPIF</v>
          </cell>
          <cell r="S2275">
            <v>1</v>
          </cell>
          <cell r="T2275">
            <v>0</v>
          </cell>
          <cell r="U2275" t="str">
            <v>REVTOT</v>
          </cell>
          <cell r="V2275" t="str">
            <v>Base</v>
          </cell>
          <cell r="W2275" t="str">
            <v>05 Won</v>
          </cell>
          <cell r="X2275" t="str">
            <v>Active</v>
          </cell>
          <cell r="Y2275">
            <v>0</v>
          </cell>
          <cell r="Z2275">
            <v>0</v>
          </cell>
          <cell r="AA2275">
            <v>0</v>
          </cell>
          <cell r="AB2275">
            <v>0</v>
          </cell>
          <cell r="AC2275">
            <v>0</v>
          </cell>
          <cell r="AD2275">
            <v>0</v>
          </cell>
          <cell r="BF2275">
            <v>2552929.9099999997</v>
          </cell>
          <cell r="BG2275">
            <v>-23183.559999999998</v>
          </cell>
          <cell r="BH2275">
            <v>-134.57999999998719</v>
          </cell>
          <cell r="BI2275">
            <v>0</v>
          </cell>
          <cell r="BJ2275">
            <v>0</v>
          </cell>
          <cell r="BK2275">
            <v>878.19</v>
          </cell>
          <cell r="BL2275">
            <v>0</v>
          </cell>
          <cell r="BM2275">
            <v>878.19</v>
          </cell>
          <cell r="BN2275">
            <v>0</v>
          </cell>
          <cell r="BO2275">
            <v>0</v>
          </cell>
          <cell r="BP2275">
            <v>0</v>
          </cell>
          <cell r="BQ2275">
            <v>0</v>
          </cell>
          <cell r="BR2275">
            <v>878.19</v>
          </cell>
          <cell r="BT2275">
            <v>62</v>
          </cell>
          <cell r="BV2275">
            <v>20</v>
          </cell>
          <cell r="BW2275">
            <v>60</v>
          </cell>
          <cell r="CA2275" t="str">
            <v>ICP - REVTOT - Base</v>
          </cell>
          <cell r="CC2275" t="str">
            <v>ICP - REVTOT - Base - NE</v>
          </cell>
          <cell r="CD2275" t="str">
            <v/>
          </cell>
          <cell r="CF2275" t="str">
            <v>ICP - Base - NE</v>
          </cell>
        </row>
        <row r="2276">
          <cell r="D2276">
            <v>74</v>
          </cell>
          <cell r="E2276">
            <v>1</v>
          </cell>
          <cell r="F2276">
            <v>2</v>
          </cell>
          <cell r="G2276" t="str">
            <v>ICP</v>
          </cell>
          <cell r="H2276" t="str">
            <v>ICP Total</v>
          </cell>
          <cell r="I2276" t="str">
            <v>NE</v>
          </cell>
          <cell r="J2276" t="str">
            <v>NE DD and WM Projects</v>
          </cell>
          <cell r="K2276" t="str">
            <v>DOE-Other</v>
          </cell>
          <cell r="L2276" t="str">
            <v>DOE</v>
          </cell>
          <cell r="M2276" t="str">
            <v>ID</v>
          </cell>
          <cell r="N2276" t="str">
            <v>CONUS</v>
          </cell>
          <cell r="O2276">
            <v>44348</v>
          </cell>
          <cell r="P2276">
            <v>48000</v>
          </cell>
          <cell r="Q2276" t="str">
            <v>Minority</v>
          </cell>
          <cell r="R2276" t="str">
            <v>Cost Plus</v>
          </cell>
          <cell r="S2276">
            <v>1</v>
          </cell>
          <cell r="T2276">
            <v>0</v>
          </cell>
          <cell r="U2276" t="str">
            <v>REVTOT</v>
          </cell>
          <cell r="V2276" t="str">
            <v>Identified - Recompete</v>
          </cell>
          <cell r="W2276" t="str">
            <v>01 Prospect</v>
          </cell>
          <cell r="X2276" t="str">
            <v>Priority 1</v>
          </cell>
          <cell r="Y2276">
            <v>0.4</v>
          </cell>
          <cell r="Z2276">
            <v>700000000</v>
          </cell>
          <cell r="AA2276">
            <v>0</v>
          </cell>
          <cell r="AB2276">
            <v>0</v>
          </cell>
          <cell r="AC2276">
            <v>0</v>
          </cell>
          <cell r="AD2276">
            <v>0</v>
          </cell>
          <cell r="BM2276">
            <v>0</v>
          </cell>
          <cell r="BN2276">
            <v>0</v>
          </cell>
          <cell r="BO2276">
            <v>0</v>
          </cell>
          <cell r="BP2276">
            <v>0</v>
          </cell>
          <cell r="BQ2276">
            <v>0</v>
          </cell>
          <cell r="BR2276">
            <v>0</v>
          </cell>
          <cell r="BT2276">
            <v>62</v>
          </cell>
          <cell r="BV2276">
            <v>21</v>
          </cell>
          <cell r="BW2276">
            <v>60</v>
          </cell>
          <cell r="CA2276" t="str">
            <v>ICP - REVTOT - Identified - Recompete</v>
          </cell>
          <cell r="CC2276" t="str">
            <v>ICP - REVTOT - Identified - Recompete - NE</v>
          </cell>
          <cell r="CD2276" t="str">
            <v/>
          </cell>
          <cell r="CF2276" t="str">
            <v>ICP - Identified - Recompete - NE</v>
          </cell>
        </row>
        <row r="2277">
          <cell r="D2277">
            <v>75</v>
          </cell>
          <cell r="E2277">
            <v>1</v>
          </cell>
          <cell r="F2277">
            <v>3</v>
          </cell>
          <cell r="G2277" t="str">
            <v>ICP</v>
          </cell>
          <cell r="H2277" t="str">
            <v>ICP Total</v>
          </cell>
          <cell r="I2277" t="str">
            <v>NE</v>
          </cell>
          <cell r="J2277" t="str">
            <v>NE DD and WM Projects</v>
          </cell>
          <cell r="K2277" t="str">
            <v>DOE-Other</v>
          </cell>
          <cell r="L2277" t="str">
            <v>DOE</v>
          </cell>
          <cell r="M2277" t="str">
            <v>ID</v>
          </cell>
          <cell r="N2277" t="str">
            <v>CONUS</v>
          </cell>
          <cell r="O2277">
            <v>0</v>
          </cell>
          <cell r="P2277">
            <v>0</v>
          </cell>
          <cell r="Q2277">
            <v>0</v>
          </cell>
          <cell r="R2277">
            <v>0</v>
          </cell>
          <cell r="S2277">
            <v>1</v>
          </cell>
          <cell r="T2277">
            <v>0</v>
          </cell>
          <cell r="U2277" t="str">
            <v>REVTOT</v>
          </cell>
          <cell r="V2277" t="str">
            <v>Identified - New</v>
          </cell>
          <cell r="W2277">
            <v>0</v>
          </cell>
          <cell r="X2277">
            <v>0</v>
          </cell>
          <cell r="Y2277">
            <v>0</v>
          </cell>
          <cell r="Z2277">
            <v>0</v>
          </cell>
          <cell r="AA2277">
            <v>0</v>
          </cell>
          <cell r="AB2277">
            <v>0</v>
          </cell>
          <cell r="AC2277">
            <v>0</v>
          </cell>
          <cell r="AD2277">
            <v>0</v>
          </cell>
          <cell r="BM2277">
            <v>0</v>
          </cell>
          <cell r="BN2277">
            <v>0</v>
          </cell>
          <cell r="BO2277">
            <v>0</v>
          </cell>
          <cell r="BP2277">
            <v>0</v>
          </cell>
          <cell r="BQ2277">
            <v>0</v>
          </cell>
          <cell r="BR2277">
            <v>0</v>
          </cell>
          <cell r="BT2277">
            <v>62</v>
          </cell>
          <cell r="BV2277">
            <v>2</v>
          </cell>
          <cell r="BW2277">
            <v>60</v>
          </cell>
          <cell r="CA2277" t="str">
            <v>ICP - REVTOT - Identified - New</v>
          </cell>
          <cell r="CC2277" t="str">
            <v>ICP - REVTOT - Identified - New - NE</v>
          </cell>
          <cell r="CD2277" t="str">
            <v/>
          </cell>
          <cell r="CF2277" t="str">
            <v>ICP - Identified - New - NE</v>
          </cell>
        </row>
        <row r="2278">
          <cell r="D2278">
            <v>76</v>
          </cell>
          <cell r="E2278">
            <v>2</v>
          </cell>
          <cell r="F2278">
            <v>4</v>
          </cell>
          <cell r="G2278" t="str">
            <v>ICP</v>
          </cell>
          <cell r="H2278" t="str">
            <v>ICP Total</v>
          </cell>
          <cell r="I2278" t="str">
            <v>NE</v>
          </cell>
          <cell r="J2278" t="str">
            <v>NE DD and WM Projects</v>
          </cell>
          <cell r="K2278" t="str">
            <v>DOE-Other</v>
          </cell>
          <cell r="L2278" t="str">
            <v>DOE</v>
          </cell>
          <cell r="M2278" t="str">
            <v>ID</v>
          </cell>
          <cell r="N2278" t="str">
            <v>CONUS</v>
          </cell>
          <cell r="O2278">
            <v>38435</v>
          </cell>
          <cell r="P2278">
            <v>42521</v>
          </cell>
          <cell r="Q2278" t="str">
            <v>Minority</v>
          </cell>
          <cell r="R2278" t="str">
            <v>CPIF</v>
          </cell>
          <cell r="S2278">
            <v>1</v>
          </cell>
          <cell r="T2278">
            <v>0</v>
          </cell>
          <cell r="U2278" t="str">
            <v>CONTRACT</v>
          </cell>
          <cell r="V2278" t="str">
            <v>Base</v>
          </cell>
          <cell r="W2278" t="str">
            <v>05 Won</v>
          </cell>
          <cell r="X2278" t="str">
            <v>Active</v>
          </cell>
          <cell r="Y2278">
            <v>0</v>
          </cell>
          <cell r="Z2278">
            <v>0</v>
          </cell>
          <cell r="AA2278">
            <v>0</v>
          </cell>
          <cell r="AB2278">
            <v>0</v>
          </cell>
          <cell r="AC2278">
            <v>0</v>
          </cell>
          <cell r="AD2278">
            <v>0</v>
          </cell>
          <cell r="BF2278">
            <v>-439392.36</v>
          </cell>
          <cell r="BG2278">
            <v>-455948.30000000005</v>
          </cell>
          <cell r="BH2278">
            <v>-2966.1</v>
          </cell>
          <cell r="BI2278">
            <v>0</v>
          </cell>
          <cell r="BJ2278">
            <v>0</v>
          </cell>
          <cell r="BK2278">
            <v>163.80000000000007</v>
          </cell>
          <cell r="BL2278">
            <v>0</v>
          </cell>
          <cell r="BM2278">
            <v>163.80000000000007</v>
          </cell>
          <cell r="BN2278">
            <v>0</v>
          </cell>
          <cell r="BO2278">
            <v>0</v>
          </cell>
          <cell r="BP2278">
            <v>0</v>
          </cell>
          <cell r="BQ2278">
            <v>0</v>
          </cell>
          <cell r="BR2278">
            <v>163.80000000000007</v>
          </cell>
          <cell r="BT2278">
            <v>62</v>
          </cell>
          <cell r="BV2278">
            <v>20</v>
          </cell>
          <cell r="BW2278">
            <v>78</v>
          </cell>
          <cell r="CA2278" t="str">
            <v>ICP - CONTRACT - Base</v>
          </cell>
          <cell r="CC2278" t="str">
            <v>ICP - CONTRACT - Base - NE - 2</v>
          </cell>
          <cell r="CD2278" t="str">
            <v/>
          </cell>
          <cell r="CF2278" t="str">
            <v>ICP - Base - NE</v>
          </cell>
        </row>
        <row r="2279">
          <cell r="D2279">
            <v>77</v>
          </cell>
          <cell r="E2279">
            <v>2</v>
          </cell>
          <cell r="F2279">
            <v>5</v>
          </cell>
          <cell r="G2279" t="str">
            <v>ICP</v>
          </cell>
          <cell r="H2279" t="str">
            <v>ICP Total</v>
          </cell>
          <cell r="I2279" t="str">
            <v>NE</v>
          </cell>
          <cell r="J2279" t="str">
            <v>NE DD and WM Projects</v>
          </cell>
          <cell r="K2279" t="str">
            <v>DOE-Other</v>
          </cell>
          <cell r="L2279" t="str">
            <v>DOE</v>
          </cell>
          <cell r="M2279" t="str">
            <v>ID</v>
          </cell>
          <cell r="N2279" t="str">
            <v>CONUS</v>
          </cell>
          <cell r="O2279">
            <v>44348</v>
          </cell>
          <cell r="P2279">
            <v>48000</v>
          </cell>
          <cell r="Q2279" t="str">
            <v>Minority</v>
          </cell>
          <cell r="R2279" t="str">
            <v>Cost Plus</v>
          </cell>
          <cell r="S2279">
            <v>1</v>
          </cell>
          <cell r="T2279">
            <v>0</v>
          </cell>
          <cell r="U2279" t="str">
            <v>CONTRACT</v>
          </cell>
          <cell r="V2279" t="str">
            <v>Identified - Recompete</v>
          </cell>
          <cell r="W2279" t="str">
            <v>01 Prospect</v>
          </cell>
          <cell r="X2279" t="str">
            <v>Priority 1</v>
          </cell>
          <cell r="Y2279">
            <v>0.4</v>
          </cell>
          <cell r="Z2279">
            <v>700000000</v>
          </cell>
          <cell r="AA2279">
            <v>0</v>
          </cell>
          <cell r="AB2279">
            <v>0</v>
          </cell>
          <cell r="AC2279">
            <v>0</v>
          </cell>
          <cell r="AD2279">
            <v>0</v>
          </cell>
          <cell r="BM2279">
            <v>0</v>
          </cell>
          <cell r="BN2279">
            <v>0</v>
          </cell>
          <cell r="BO2279">
            <v>0</v>
          </cell>
          <cell r="BP2279">
            <v>0</v>
          </cell>
          <cell r="BQ2279">
            <v>0</v>
          </cell>
          <cell r="BR2279">
            <v>0</v>
          </cell>
          <cell r="BT2279">
            <v>62</v>
          </cell>
          <cell r="BV2279">
            <v>21</v>
          </cell>
          <cell r="BW2279">
            <v>78</v>
          </cell>
          <cell r="CA2279" t="str">
            <v>ICP - CONTRACT - Identified - Recompete</v>
          </cell>
          <cell r="CC2279" t="str">
            <v>ICP - CONTRACT - Identified - Recompete - NE</v>
          </cell>
          <cell r="CD2279" t="str">
            <v/>
          </cell>
          <cell r="CF2279" t="str">
            <v>ICP - Identified - Recompete - NE</v>
          </cell>
        </row>
        <row r="2280">
          <cell r="D2280">
            <v>78</v>
          </cell>
          <cell r="E2280">
            <v>2</v>
          </cell>
          <cell r="F2280">
            <v>6</v>
          </cell>
          <cell r="G2280" t="str">
            <v>ICP</v>
          </cell>
          <cell r="H2280" t="str">
            <v>ICP Total</v>
          </cell>
          <cell r="I2280" t="str">
            <v>NE</v>
          </cell>
          <cell r="J2280" t="str">
            <v>NE DD and WM Projects</v>
          </cell>
          <cell r="K2280" t="str">
            <v>DOE-Other</v>
          </cell>
          <cell r="L2280" t="str">
            <v>DOE</v>
          </cell>
          <cell r="M2280" t="str">
            <v>ID</v>
          </cell>
          <cell r="N2280" t="str">
            <v>CONUS</v>
          </cell>
          <cell r="O2280">
            <v>0</v>
          </cell>
          <cell r="P2280">
            <v>0</v>
          </cell>
          <cell r="Q2280">
            <v>0</v>
          </cell>
          <cell r="R2280">
            <v>0</v>
          </cell>
          <cell r="S2280">
            <v>1</v>
          </cell>
          <cell r="T2280">
            <v>0</v>
          </cell>
          <cell r="U2280" t="str">
            <v>CONTRACT</v>
          </cell>
          <cell r="V2280" t="str">
            <v>Identified - New</v>
          </cell>
          <cell r="W2280">
            <v>0</v>
          </cell>
          <cell r="X2280">
            <v>0</v>
          </cell>
          <cell r="Y2280">
            <v>0</v>
          </cell>
          <cell r="Z2280">
            <v>0</v>
          </cell>
          <cell r="AA2280">
            <v>0</v>
          </cell>
          <cell r="AB2280">
            <v>0</v>
          </cell>
          <cell r="AC2280">
            <v>0</v>
          </cell>
          <cell r="AD2280">
            <v>0</v>
          </cell>
          <cell r="BM2280">
            <v>0</v>
          </cell>
          <cell r="BN2280">
            <v>0</v>
          </cell>
          <cell r="BO2280">
            <v>0</v>
          </cell>
          <cell r="BP2280">
            <v>0</v>
          </cell>
          <cell r="BQ2280">
            <v>0</v>
          </cell>
          <cell r="BR2280">
            <v>0</v>
          </cell>
          <cell r="BT2280">
            <v>62</v>
          </cell>
          <cell r="BV2280">
            <v>2</v>
          </cell>
          <cell r="BW2280">
            <v>78</v>
          </cell>
          <cell r="CA2280" t="str">
            <v>ICP - CONTRACT - Identified - New</v>
          </cell>
          <cell r="CC2280" t="str">
            <v>ICP - CONTRACT - Identified - New - NE</v>
          </cell>
          <cell r="CD2280" t="str">
            <v/>
          </cell>
          <cell r="CF2280" t="str">
            <v>ICP - Identified - New - NE</v>
          </cell>
        </row>
        <row r="2281">
          <cell r="D2281">
            <v>79</v>
          </cell>
          <cell r="E2281">
            <v>0</v>
          </cell>
          <cell r="F2281">
            <v>7</v>
          </cell>
          <cell r="G2281" t="str">
            <v>ICP</v>
          </cell>
          <cell r="H2281" t="str">
            <v>ICP Total</v>
          </cell>
          <cell r="I2281" t="str">
            <v>NE</v>
          </cell>
          <cell r="J2281" t="str">
            <v>NE DD and WM Projects</v>
          </cell>
          <cell r="K2281" t="str">
            <v>DOE-Other</v>
          </cell>
          <cell r="L2281" t="str">
            <v>DOE</v>
          </cell>
          <cell r="M2281" t="str">
            <v>ID</v>
          </cell>
          <cell r="N2281" t="str">
            <v>CONUS</v>
          </cell>
          <cell r="O2281">
            <v>38435</v>
          </cell>
          <cell r="P2281">
            <v>42521</v>
          </cell>
          <cell r="Q2281" t="str">
            <v>Minority</v>
          </cell>
          <cell r="R2281" t="str">
            <v>CPIF</v>
          </cell>
          <cell r="S2281">
            <v>1</v>
          </cell>
          <cell r="T2281">
            <v>0</v>
          </cell>
          <cell r="U2281" t="str">
            <v>EBITA</v>
          </cell>
          <cell r="V2281" t="str">
            <v>Base</v>
          </cell>
          <cell r="W2281" t="str">
            <v>05 Won</v>
          </cell>
          <cell r="X2281" t="str">
            <v>Active</v>
          </cell>
          <cell r="Y2281">
            <v>0</v>
          </cell>
          <cell r="Z2281">
            <v>0</v>
          </cell>
          <cell r="AA2281">
            <v>0</v>
          </cell>
          <cell r="AB2281">
            <v>0</v>
          </cell>
          <cell r="AC2281">
            <v>0</v>
          </cell>
          <cell r="AD2281">
            <v>0</v>
          </cell>
          <cell r="BF2281">
            <v>4129431.4399999995</v>
          </cell>
          <cell r="BG2281">
            <v>6128083.9100000001</v>
          </cell>
          <cell r="BH2281">
            <v>-25614.820000000036</v>
          </cell>
          <cell r="BI2281">
            <v>-69894</v>
          </cell>
          <cell r="BJ2281">
            <v>-12660</v>
          </cell>
          <cell r="BK2281">
            <v>1321715</v>
          </cell>
          <cell r="BL2281">
            <v>-150000</v>
          </cell>
          <cell r="BM2281">
            <v>1089161</v>
          </cell>
          <cell r="BN2281">
            <v>0</v>
          </cell>
          <cell r="BO2281">
            <v>0</v>
          </cell>
          <cell r="BP2281">
            <v>0</v>
          </cell>
          <cell r="BQ2281">
            <v>0</v>
          </cell>
          <cell r="BR2281">
            <v>1089161</v>
          </cell>
          <cell r="BT2281">
            <v>62</v>
          </cell>
          <cell r="BV2281">
            <v>20</v>
          </cell>
          <cell r="BW2281">
            <v>87</v>
          </cell>
          <cell r="CA2281" t="str">
            <v>ICP - EBITA - Base</v>
          </cell>
          <cell r="CC2281" t="str">
            <v>ICP - EBITA - Base - NE</v>
          </cell>
          <cell r="CD2281" t="str">
            <v/>
          </cell>
          <cell r="CF2281" t="str">
            <v>ICP - Base - NE</v>
          </cell>
        </row>
        <row r="2282">
          <cell r="D2282">
            <v>80</v>
          </cell>
          <cell r="E2282">
            <v>0</v>
          </cell>
          <cell r="F2282">
            <v>8</v>
          </cell>
          <cell r="G2282" t="str">
            <v>ICP</v>
          </cell>
          <cell r="H2282" t="str">
            <v>ICP Total</v>
          </cell>
          <cell r="I2282" t="str">
            <v>NE</v>
          </cell>
          <cell r="J2282" t="str">
            <v>NE DD and WM Projects</v>
          </cell>
          <cell r="K2282" t="str">
            <v>DOE-Other</v>
          </cell>
          <cell r="L2282" t="str">
            <v>DOE</v>
          </cell>
          <cell r="M2282" t="str">
            <v>ID</v>
          </cell>
          <cell r="N2282" t="str">
            <v>CONUS</v>
          </cell>
          <cell r="O2282">
            <v>44348</v>
          </cell>
          <cell r="P2282">
            <v>48000</v>
          </cell>
          <cell r="Q2282" t="str">
            <v>Minority</v>
          </cell>
          <cell r="R2282" t="str">
            <v>Cost Plus</v>
          </cell>
          <cell r="S2282">
            <v>1</v>
          </cell>
          <cell r="T2282">
            <v>0</v>
          </cell>
          <cell r="U2282" t="str">
            <v>EBITA</v>
          </cell>
          <cell r="V2282" t="str">
            <v>Identified - Recompete</v>
          </cell>
          <cell r="W2282" t="str">
            <v>01 Prospect</v>
          </cell>
          <cell r="X2282" t="str">
            <v>Priority 1</v>
          </cell>
          <cell r="Y2282">
            <v>0.4</v>
          </cell>
          <cell r="Z2282">
            <v>700000000</v>
          </cell>
          <cell r="AA2282">
            <v>0</v>
          </cell>
          <cell r="AB2282">
            <v>0</v>
          </cell>
          <cell r="AC2282">
            <v>0</v>
          </cell>
          <cell r="AD2282">
            <v>0</v>
          </cell>
          <cell r="BM2282">
            <v>0</v>
          </cell>
          <cell r="BN2282">
            <v>0</v>
          </cell>
          <cell r="BO2282">
            <v>387411.11111111112</v>
          </cell>
          <cell r="BP2282">
            <v>1172000</v>
          </cell>
          <cell r="BQ2282">
            <v>1172000</v>
          </cell>
          <cell r="BR2282">
            <v>2731411.111111111</v>
          </cell>
          <cell r="BT2282">
            <v>62</v>
          </cell>
          <cell r="BV2282">
            <v>21</v>
          </cell>
          <cell r="BW2282">
            <v>87</v>
          </cell>
          <cell r="CA2282" t="str">
            <v>ICP - EBITA - Identified - Recompete</v>
          </cell>
          <cell r="CC2282" t="str">
            <v>ICP - EBITA - Identified - Recompete - NE</v>
          </cell>
          <cell r="CD2282" t="str">
            <v/>
          </cell>
          <cell r="CF2282" t="str">
            <v>ICP - Identified - Recompete - NE</v>
          </cell>
        </row>
        <row r="2283">
          <cell r="D2283">
            <v>81</v>
          </cell>
          <cell r="E2283">
            <v>0</v>
          </cell>
          <cell r="F2283">
            <v>0</v>
          </cell>
          <cell r="G2283" t="str">
            <v>ICP</v>
          </cell>
          <cell r="H2283" t="str">
            <v>ICP Total</v>
          </cell>
          <cell r="I2283" t="str">
            <v>NE</v>
          </cell>
          <cell r="J2283" t="str">
            <v>NE DD and WM Projects</v>
          </cell>
          <cell r="K2283" t="str">
            <v>DOE-Other</v>
          </cell>
          <cell r="L2283" t="str">
            <v>DOE</v>
          </cell>
          <cell r="M2283" t="str">
            <v>ID</v>
          </cell>
          <cell r="N2283" t="str">
            <v>CONUS</v>
          </cell>
          <cell r="O2283">
            <v>0</v>
          </cell>
          <cell r="P2283">
            <v>0</v>
          </cell>
          <cell r="Q2283">
            <v>0</v>
          </cell>
          <cell r="R2283">
            <v>0</v>
          </cell>
          <cell r="S2283">
            <v>1</v>
          </cell>
          <cell r="T2283">
            <v>0</v>
          </cell>
          <cell r="U2283" t="str">
            <v>EBITA</v>
          </cell>
          <cell r="V2283" t="str">
            <v>Identified - New</v>
          </cell>
          <cell r="W2283">
            <v>0</v>
          </cell>
          <cell r="X2283">
            <v>0</v>
          </cell>
          <cell r="Y2283">
            <v>0</v>
          </cell>
          <cell r="Z2283">
            <v>0</v>
          </cell>
          <cell r="AA2283">
            <v>0</v>
          </cell>
          <cell r="AB2283">
            <v>0</v>
          </cell>
          <cell r="AC2283">
            <v>0</v>
          </cell>
          <cell r="AD2283">
            <v>0</v>
          </cell>
          <cell r="BM2283">
            <v>0</v>
          </cell>
          <cell r="BN2283">
            <v>0</v>
          </cell>
          <cell r="BO2283">
            <v>0</v>
          </cell>
          <cell r="BP2283">
            <v>0</v>
          </cell>
          <cell r="BQ2283">
            <v>0</v>
          </cell>
          <cell r="BR2283">
            <v>0</v>
          </cell>
          <cell r="BT2283">
            <v>62</v>
          </cell>
          <cell r="BV2283">
            <v>2</v>
          </cell>
          <cell r="BW2283">
            <v>87</v>
          </cell>
          <cell r="CA2283" t="str">
            <v>ICP - EBITA - Identified - New</v>
          </cell>
          <cell r="CC2283" t="str">
            <v>ICP - EBITA - Identified - New - NE</v>
          </cell>
          <cell r="CD2283" t="str">
            <v/>
          </cell>
          <cell r="CF2283" t="str">
            <v>ICP - Identified - New - NE</v>
          </cell>
        </row>
        <row r="2284">
          <cell r="D2284">
            <v>82</v>
          </cell>
          <cell r="E2284">
            <v>1</v>
          </cell>
          <cell r="F2284">
            <v>1</v>
          </cell>
          <cell r="G2284" t="str">
            <v>LANL</v>
          </cell>
          <cell r="H2284" t="str">
            <v>LANL Total</v>
          </cell>
          <cell r="I2284" t="str">
            <v>NE</v>
          </cell>
          <cell r="J2284" t="str">
            <v>NE HLW &amp; NNSA Operations</v>
          </cell>
          <cell r="K2284" t="str">
            <v>DOE-NNSA</v>
          </cell>
          <cell r="L2284" t="str">
            <v>DOE</v>
          </cell>
          <cell r="M2284" t="str">
            <v>NM</v>
          </cell>
          <cell r="N2284" t="str">
            <v>CONUS</v>
          </cell>
          <cell r="O2284">
            <v>38869</v>
          </cell>
          <cell r="P2284">
            <v>43404</v>
          </cell>
          <cell r="Q2284" t="str">
            <v>Minority</v>
          </cell>
          <cell r="R2284" t="str">
            <v>CPAF</v>
          </cell>
          <cell r="S2284">
            <v>1</v>
          </cell>
          <cell r="T2284">
            <v>0</v>
          </cell>
          <cell r="U2284" t="str">
            <v>REVTOT</v>
          </cell>
          <cell r="V2284" t="str">
            <v>Base</v>
          </cell>
          <cell r="W2284" t="str">
            <v>05 Won</v>
          </cell>
          <cell r="X2284" t="str">
            <v>Active</v>
          </cell>
          <cell r="Y2284">
            <v>0</v>
          </cell>
          <cell r="Z2284">
            <v>0</v>
          </cell>
          <cell r="AA2284">
            <v>0</v>
          </cell>
          <cell r="AB2284">
            <v>0</v>
          </cell>
          <cell r="AC2284">
            <v>0</v>
          </cell>
          <cell r="AD2284">
            <v>0</v>
          </cell>
          <cell r="BF2284">
            <v>367540.63</v>
          </cell>
          <cell r="BG2284">
            <v>803695.26</v>
          </cell>
          <cell r="BH2284">
            <v>71704.34</v>
          </cell>
          <cell r="BI2284">
            <v>0</v>
          </cell>
          <cell r="BJ2284">
            <v>0</v>
          </cell>
          <cell r="BK2284">
            <v>0</v>
          </cell>
          <cell r="BL2284">
            <v>0</v>
          </cell>
          <cell r="BM2284">
            <v>0</v>
          </cell>
          <cell r="BN2284">
            <v>0</v>
          </cell>
          <cell r="BO2284">
            <v>0</v>
          </cell>
          <cell r="BP2284">
            <v>0</v>
          </cell>
          <cell r="BQ2284">
            <v>0</v>
          </cell>
          <cell r="BR2284">
            <v>0</v>
          </cell>
          <cell r="BT2284">
            <v>0</v>
          </cell>
          <cell r="BV2284">
            <v>22</v>
          </cell>
          <cell r="BW2284">
            <v>60</v>
          </cell>
          <cell r="CA2284" t="str">
            <v>LANL - REVTOT - Base</v>
          </cell>
          <cell r="CC2284" t="str">
            <v>LANL - REVTOT - Base - NE</v>
          </cell>
          <cell r="CD2284" t="str">
            <v/>
          </cell>
          <cell r="CF2284" t="str">
            <v>LANL - Base - NE</v>
          </cell>
        </row>
        <row r="2285">
          <cell r="D2285">
            <v>83</v>
          </cell>
          <cell r="E2285">
            <v>1</v>
          </cell>
          <cell r="F2285">
            <v>2</v>
          </cell>
          <cell r="G2285" t="str">
            <v>LANL</v>
          </cell>
          <cell r="H2285" t="str">
            <v>LANL Total</v>
          </cell>
          <cell r="I2285" t="str">
            <v>NE</v>
          </cell>
          <cell r="J2285" t="str">
            <v>NE HLW &amp; NNSA Operations</v>
          </cell>
          <cell r="K2285" t="str">
            <v>DOE-NNSA</v>
          </cell>
          <cell r="L2285" t="str">
            <v>DOE</v>
          </cell>
          <cell r="M2285" t="str">
            <v>NM</v>
          </cell>
          <cell r="N2285" t="str">
            <v>CONUS</v>
          </cell>
          <cell r="O2285">
            <v>0</v>
          </cell>
          <cell r="P2285">
            <v>0</v>
          </cell>
          <cell r="Q2285">
            <v>0</v>
          </cell>
          <cell r="R2285">
            <v>0</v>
          </cell>
          <cell r="S2285">
            <v>1</v>
          </cell>
          <cell r="T2285">
            <v>0</v>
          </cell>
          <cell r="U2285" t="str">
            <v>REVTOT</v>
          </cell>
          <cell r="V2285" t="str">
            <v>Identified - Recompete</v>
          </cell>
          <cell r="W2285">
            <v>0</v>
          </cell>
          <cell r="X2285">
            <v>0</v>
          </cell>
          <cell r="Y2285">
            <v>0</v>
          </cell>
          <cell r="Z2285">
            <v>0</v>
          </cell>
          <cell r="AA2285">
            <v>0</v>
          </cell>
          <cell r="AB2285">
            <v>0</v>
          </cell>
          <cell r="AC2285">
            <v>0</v>
          </cell>
          <cell r="AD2285">
            <v>0</v>
          </cell>
          <cell r="BM2285">
            <v>0</v>
          </cell>
          <cell r="BN2285">
            <v>0</v>
          </cell>
          <cell r="BO2285">
            <v>0</v>
          </cell>
          <cell r="BP2285">
            <v>0</v>
          </cell>
          <cell r="BQ2285">
            <v>0</v>
          </cell>
          <cell r="BR2285">
            <v>0</v>
          </cell>
          <cell r="BT2285">
            <v>0</v>
          </cell>
          <cell r="BV2285">
            <v>2</v>
          </cell>
          <cell r="BW2285">
            <v>60</v>
          </cell>
          <cell r="CA2285" t="str">
            <v>LANL - REVTOT - Identified - Recompete</v>
          </cell>
          <cell r="CC2285" t="str">
            <v>LANL - REVTOT - Identified - Recompete - NE</v>
          </cell>
          <cell r="CD2285" t="str">
            <v/>
          </cell>
          <cell r="CF2285" t="str">
            <v>LANL - Identified - Recompete - NE</v>
          </cell>
        </row>
        <row r="2286">
          <cell r="D2286">
            <v>84</v>
          </cell>
          <cell r="E2286">
            <v>1</v>
          </cell>
          <cell r="F2286">
            <v>3</v>
          </cell>
          <cell r="G2286" t="str">
            <v>LANL</v>
          </cell>
          <cell r="H2286" t="str">
            <v>LANL Total</v>
          </cell>
          <cell r="I2286" t="str">
            <v>NE</v>
          </cell>
          <cell r="J2286" t="str">
            <v>NE HLW &amp; NNSA Operations</v>
          </cell>
          <cell r="K2286" t="str">
            <v>DOE-NNSA</v>
          </cell>
          <cell r="L2286" t="str">
            <v>DOE</v>
          </cell>
          <cell r="M2286" t="str">
            <v>NM</v>
          </cell>
          <cell r="N2286" t="str">
            <v>CONUS</v>
          </cell>
          <cell r="O2286">
            <v>0</v>
          </cell>
          <cell r="P2286">
            <v>0</v>
          </cell>
          <cell r="Q2286">
            <v>0</v>
          </cell>
          <cell r="R2286">
            <v>0</v>
          </cell>
          <cell r="S2286">
            <v>1</v>
          </cell>
          <cell r="T2286">
            <v>0</v>
          </cell>
          <cell r="U2286" t="str">
            <v>REVTOT</v>
          </cell>
          <cell r="V2286" t="str">
            <v>Identified - New</v>
          </cell>
          <cell r="W2286">
            <v>0</v>
          </cell>
          <cell r="X2286">
            <v>0</v>
          </cell>
          <cell r="Y2286">
            <v>0</v>
          </cell>
          <cell r="Z2286">
            <v>0</v>
          </cell>
          <cell r="AA2286">
            <v>0</v>
          </cell>
          <cell r="AB2286">
            <v>0</v>
          </cell>
          <cell r="AC2286">
            <v>0</v>
          </cell>
          <cell r="AD2286">
            <v>0</v>
          </cell>
          <cell r="BM2286">
            <v>0</v>
          </cell>
          <cell r="BN2286">
            <v>0</v>
          </cell>
          <cell r="BO2286">
            <v>0</v>
          </cell>
          <cell r="BP2286">
            <v>0</v>
          </cell>
          <cell r="BQ2286">
            <v>0</v>
          </cell>
          <cell r="BR2286">
            <v>0</v>
          </cell>
          <cell r="BT2286">
            <v>0</v>
          </cell>
          <cell r="BV2286">
            <v>2</v>
          </cell>
          <cell r="BW2286">
            <v>60</v>
          </cell>
          <cell r="CA2286" t="str">
            <v>LANL - REVTOT - Identified - New</v>
          </cell>
          <cell r="CC2286" t="str">
            <v>LANL - REVTOT - Identified - New - NE</v>
          </cell>
          <cell r="CD2286" t="str">
            <v/>
          </cell>
          <cell r="CF2286" t="str">
            <v>LANL - Identified - New - NE</v>
          </cell>
        </row>
        <row r="2287">
          <cell r="D2287">
            <v>85</v>
          </cell>
          <cell r="E2287">
            <v>2</v>
          </cell>
          <cell r="F2287">
            <v>4</v>
          </cell>
          <cell r="G2287" t="str">
            <v>LANL</v>
          </cell>
          <cell r="H2287" t="str">
            <v>LANL Total</v>
          </cell>
          <cell r="I2287" t="str">
            <v>NE</v>
          </cell>
          <cell r="J2287" t="str">
            <v>NE HLW &amp; NNSA Operations</v>
          </cell>
          <cell r="K2287" t="str">
            <v>DOE-NNSA</v>
          </cell>
          <cell r="L2287" t="str">
            <v>DOE</v>
          </cell>
          <cell r="M2287" t="str">
            <v>NM</v>
          </cell>
          <cell r="N2287" t="str">
            <v>CONUS</v>
          </cell>
          <cell r="O2287">
            <v>38869</v>
          </cell>
          <cell r="P2287">
            <v>43404</v>
          </cell>
          <cell r="Q2287" t="str">
            <v>Minority</v>
          </cell>
          <cell r="R2287" t="str">
            <v>CPAF</v>
          </cell>
          <cell r="S2287">
            <v>1</v>
          </cell>
          <cell r="T2287">
            <v>0</v>
          </cell>
          <cell r="U2287" t="str">
            <v>CONTRACT</v>
          </cell>
          <cell r="V2287" t="str">
            <v>Base</v>
          </cell>
          <cell r="W2287" t="str">
            <v>05 Won</v>
          </cell>
          <cell r="X2287" t="str">
            <v>Active</v>
          </cell>
          <cell r="Y2287">
            <v>0</v>
          </cell>
          <cell r="Z2287">
            <v>0</v>
          </cell>
          <cell r="AA2287">
            <v>0</v>
          </cell>
          <cell r="AB2287">
            <v>0</v>
          </cell>
          <cell r="AC2287">
            <v>0</v>
          </cell>
          <cell r="AD2287">
            <v>0</v>
          </cell>
          <cell r="BF2287">
            <v>-503627.45000000007</v>
          </cell>
          <cell r="BG2287">
            <v>-202224.01000000004</v>
          </cell>
          <cell r="BH2287">
            <v>-2074791.0899999999</v>
          </cell>
          <cell r="BI2287">
            <v>1541752.0699999998</v>
          </cell>
          <cell r="BJ2287">
            <v>-252.44</v>
          </cell>
          <cell r="BK2287">
            <v>-83.96</v>
          </cell>
          <cell r="BL2287">
            <v>0</v>
          </cell>
          <cell r="BM2287">
            <v>1541415.67</v>
          </cell>
          <cell r="BN2287">
            <v>0</v>
          </cell>
          <cell r="BO2287">
            <v>0</v>
          </cell>
          <cell r="BP2287">
            <v>0</v>
          </cell>
          <cell r="BQ2287">
            <v>0</v>
          </cell>
          <cell r="BR2287">
            <v>1541415.67</v>
          </cell>
          <cell r="BT2287">
            <v>0</v>
          </cell>
          <cell r="BV2287">
            <v>22</v>
          </cell>
          <cell r="BW2287">
            <v>78</v>
          </cell>
          <cell r="CA2287" t="str">
            <v>LANL - CONTRACT - Base</v>
          </cell>
          <cell r="CC2287" t="str">
            <v>LANL - CONTRACT - Base - NE - 2</v>
          </cell>
          <cell r="CD2287" t="str">
            <v/>
          </cell>
          <cell r="CF2287" t="str">
            <v>LANL - Base - NE</v>
          </cell>
        </row>
        <row r="2288">
          <cell r="D2288">
            <v>86</v>
          </cell>
          <cell r="E2288">
            <v>2</v>
          </cell>
          <cell r="F2288">
            <v>5</v>
          </cell>
          <cell r="G2288" t="str">
            <v>LANL</v>
          </cell>
          <cell r="H2288" t="str">
            <v>LANL Total</v>
          </cell>
          <cell r="I2288" t="str">
            <v>NE</v>
          </cell>
          <cell r="J2288" t="str">
            <v>NE HLW &amp; NNSA Operations</v>
          </cell>
          <cell r="K2288" t="str">
            <v>DOE-NNSA</v>
          </cell>
          <cell r="L2288" t="str">
            <v>DOE</v>
          </cell>
          <cell r="M2288" t="str">
            <v>NM</v>
          </cell>
          <cell r="N2288" t="str">
            <v>CONUS</v>
          </cell>
          <cell r="O2288">
            <v>0</v>
          </cell>
          <cell r="P2288">
            <v>0</v>
          </cell>
          <cell r="Q2288">
            <v>0</v>
          </cell>
          <cell r="R2288">
            <v>0</v>
          </cell>
          <cell r="S2288">
            <v>1</v>
          </cell>
          <cell r="T2288">
            <v>0</v>
          </cell>
          <cell r="U2288" t="str">
            <v>CONTRACT</v>
          </cell>
          <cell r="V2288" t="str">
            <v>Identified - Recompete</v>
          </cell>
          <cell r="W2288">
            <v>0</v>
          </cell>
          <cell r="X2288">
            <v>0</v>
          </cell>
          <cell r="Y2288">
            <v>0</v>
          </cell>
          <cell r="Z2288">
            <v>0</v>
          </cell>
          <cell r="AA2288">
            <v>0</v>
          </cell>
          <cell r="AB2288">
            <v>0</v>
          </cell>
          <cell r="AC2288">
            <v>0</v>
          </cell>
          <cell r="AD2288">
            <v>0</v>
          </cell>
          <cell r="BM2288">
            <v>0</v>
          </cell>
          <cell r="BN2288">
            <v>0</v>
          </cell>
          <cell r="BO2288">
            <v>0</v>
          </cell>
          <cell r="BP2288">
            <v>0</v>
          </cell>
          <cell r="BQ2288">
            <v>0</v>
          </cell>
          <cell r="BR2288">
            <v>0</v>
          </cell>
          <cell r="BT2288">
            <v>0</v>
          </cell>
          <cell r="BV2288">
            <v>2</v>
          </cell>
          <cell r="BW2288">
            <v>78</v>
          </cell>
          <cell r="CA2288" t="str">
            <v>LANL - CONTRACT - Identified - Recompete</v>
          </cell>
          <cell r="CC2288" t="str">
            <v>LANL - CONTRACT - Identified - Recompete - NE</v>
          </cell>
          <cell r="CD2288" t="str">
            <v/>
          </cell>
          <cell r="CF2288" t="str">
            <v>LANL - Identified - Recompete - NE</v>
          </cell>
        </row>
        <row r="2289">
          <cell r="D2289">
            <v>87</v>
          </cell>
          <cell r="E2289">
            <v>2</v>
          </cell>
          <cell r="F2289">
            <v>6</v>
          </cell>
          <cell r="G2289" t="str">
            <v>LANL</v>
          </cell>
          <cell r="H2289" t="str">
            <v>LANL Total</v>
          </cell>
          <cell r="I2289" t="str">
            <v>NE</v>
          </cell>
          <cell r="J2289" t="str">
            <v>NE HLW &amp; NNSA Operations</v>
          </cell>
          <cell r="K2289" t="str">
            <v>DOE-NNSA</v>
          </cell>
          <cell r="L2289" t="str">
            <v>DOE</v>
          </cell>
          <cell r="M2289" t="str">
            <v>NM</v>
          </cell>
          <cell r="N2289" t="str">
            <v>CONUS</v>
          </cell>
          <cell r="O2289">
            <v>0</v>
          </cell>
          <cell r="P2289">
            <v>0</v>
          </cell>
          <cell r="Q2289">
            <v>0</v>
          </cell>
          <cell r="R2289">
            <v>0</v>
          </cell>
          <cell r="S2289">
            <v>1</v>
          </cell>
          <cell r="T2289">
            <v>0</v>
          </cell>
          <cell r="U2289" t="str">
            <v>CONTRACT</v>
          </cell>
          <cell r="V2289" t="str">
            <v>Identified - New</v>
          </cell>
          <cell r="W2289">
            <v>0</v>
          </cell>
          <cell r="X2289">
            <v>0</v>
          </cell>
          <cell r="Y2289">
            <v>0</v>
          </cell>
          <cell r="Z2289">
            <v>0</v>
          </cell>
          <cell r="AA2289">
            <v>0</v>
          </cell>
          <cell r="AB2289">
            <v>0</v>
          </cell>
          <cell r="AC2289">
            <v>0</v>
          </cell>
          <cell r="AD2289">
            <v>0</v>
          </cell>
          <cell r="BM2289">
            <v>0</v>
          </cell>
          <cell r="BN2289">
            <v>0</v>
          </cell>
          <cell r="BO2289">
            <v>0</v>
          </cell>
          <cell r="BP2289">
            <v>0</v>
          </cell>
          <cell r="BQ2289">
            <v>0</v>
          </cell>
          <cell r="BR2289">
            <v>0</v>
          </cell>
          <cell r="BT2289">
            <v>0</v>
          </cell>
          <cell r="BV2289">
            <v>2</v>
          </cell>
          <cell r="BW2289">
            <v>78</v>
          </cell>
          <cell r="CA2289" t="str">
            <v>LANL - CONTRACT - Identified - New</v>
          </cell>
          <cell r="CC2289" t="str">
            <v>LANL - CONTRACT - Identified - New - NE</v>
          </cell>
          <cell r="CD2289" t="str">
            <v/>
          </cell>
          <cell r="CF2289" t="str">
            <v>LANL - Identified - New - NE</v>
          </cell>
        </row>
        <row r="2290">
          <cell r="D2290">
            <v>88</v>
          </cell>
          <cell r="E2290">
            <v>0</v>
          </cell>
          <cell r="F2290">
            <v>7</v>
          </cell>
          <cell r="G2290" t="str">
            <v>LANL</v>
          </cell>
          <cell r="H2290" t="str">
            <v>LANL Total</v>
          </cell>
          <cell r="I2290" t="str">
            <v>NE</v>
          </cell>
          <cell r="J2290" t="str">
            <v>NE HLW &amp; NNSA Operations</v>
          </cell>
          <cell r="K2290" t="str">
            <v>DOE-NNSA</v>
          </cell>
          <cell r="L2290" t="str">
            <v>DOE</v>
          </cell>
          <cell r="M2290" t="str">
            <v>NM</v>
          </cell>
          <cell r="N2290" t="str">
            <v>CONUS</v>
          </cell>
          <cell r="O2290">
            <v>38869</v>
          </cell>
          <cell r="P2290">
            <v>43404</v>
          </cell>
          <cell r="Q2290" t="str">
            <v>Minority</v>
          </cell>
          <cell r="R2290" t="str">
            <v>CPAF</v>
          </cell>
          <cell r="S2290">
            <v>1</v>
          </cell>
          <cell r="T2290">
            <v>0</v>
          </cell>
          <cell r="U2290" t="str">
            <v>EBITA</v>
          </cell>
          <cell r="V2290" t="str">
            <v>Base</v>
          </cell>
          <cell r="W2290" t="str">
            <v>05 Won</v>
          </cell>
          <cell r="X2290" t="str">
            <v>Active</v>
          </cell>
          <cell r="Y2290">
            <v>0</v>
          </cell>
          <cell r="Z2290">
            <v>0</v>
          </cell>
          <cell r="AA2290">
            <v>0</v>
          </cell>
          <cell r="AB2290">
            <v>0</v>
          </cell>
          <cell r="AC2290">
            <v>0</v>
          </cell>
          <cell r="AD2290">
            <v>0</v>
          </cell>
          <cell r="BF2290">
            <v>5560952.0600000005</v>
          </cell>
          <cell r="BG2290">
            <v>6708899.6900000004</v>
          </cell>
          <cell r="BH2290">
            <v>5446832.8399999999</v>
          </cell>
          <cell r="BI2290">
            <v>2081395.13</v>
          </cell>
          <cell r="BJ2290">
            <v>-17085.28</v>
          </cell>
          <cell r="BK2290">
            <v>-5817.03</v>
          </cell>
          <cell r="BL2290">
            <v>76000</v>
          </cell>
          <cell r="BM2290">
            <v>2134492.8199999998</v>
          </cell>
          <cell r="BN2290">
            <v>0</v>
          </cell>
          <cell r="BO2290">
            <v>0</v>
          </cell>
          <cell r="BP2290">
            <v>0</v>
          </cell>
          <cell r="BQ2290">
            <v>0</v>
          </cell>
          <cell r="BR2290">
            <v>2134492.8199999998</v>
          </cell>
          <cell r="BT2290">
            <v>0</v>
          </cell>
          <cell r="BV2290">
            <v>22</v>
          </cell>
          <cell r="BW2290">
            <v>87</v>
          </cell>
          <cell r="CA2290" t="str">
            <v>LANL - EBITA - Base</v>
          </cell>
          <cell r="CC2290" t="str">
            <v>LANL - EBITA - Base - NE</v>
          </cell>
          <cell r="CD2290" t="str">
            <v/>
          </cell>
          <cell r="CF2290" t="str">
            <v>LANL - Base - NE</v>
          </cell>
        </row>
        <row r="2291">
          <cell r="D2291">
            <v>89</v>
          </cell>
          <cell r="E2291">
            <v>0</v>
          </cell>
          <cell r="F2291">
            <v>8</v>
          </cell>
          <cell r="G2291" t="str">
            <v>LANL</v>
          </cell>
          <cell r="H2291" t="str">
            <v>LANL Total</v>
          </cell>
          <cell r="I2291" t="str">
            <v>NE</v>
          </cell>
          <cell r="J2291" t="str">
            <v>NE HLW &amp; NNSA Operations</v>
          </cell>
          <cell r="K2291" t="str">
            <v>DOE-NNSA</v>
          </cell>
          <cell r="L2291" t="str">
            <v>DOE</v>
          </cell>
          <cell r="M2291" t="str">
            <v>NM</v>
          </cell>
          <cell r="N2291" t="str">
            <v>CONUS</v>
          </cell>
          <cell r="O2291">
            <v>0</v>
          </cell>
          <cell r="P2291">
            <v>0</v>
          </cell>
          <cell r="Q2291">
            <v>0</v>
          </cell>
          <cell r="R2291">
            <v>0</v>
          </cell>
          <cell r="S2291">
            <v>1</v>
          </cell>
          <cell r="T2291">
            <v>0</v>
          </cell>
          <cell r="U2291" t="str">
            <v>EBITA</v>
          </cell>
          <cell r="V2291" t="str">
            <v>Identified - Recompete</v>
          </cell>
          <cell r="W2291">
            <v>0</v>
          </cell>
          <cell r="X2291">
            <v>0</v>
          </cell>
          <cell r="Y2291">
            <v>0</v>
          </cell>
          <cell r="Z2291">
            <v>0</v>
          </cell>
          <cell r="AA2291">
            <v>0</v>
          </cell>
          <cell r="AB2291">
            <v>0</v>
          </cell>
          <cell r="AC2291">
            <v>0</v>
          </cell>
          <cell r="AD2291">
            <v>0</v>
          </cell>
          <cell r="BM2291">
            <v>0</v>
          </cell>
          <cell r="BN2291">
            <v>0</v>
          </cell>
          <cell r="BO2291">
            <v>0</v>
          </cell>
          <cell r="BP2291">
            <v>0</v>
          </cell>
          <cell r="BQ2291">
            <v>0</v>
          </cell>
          <cell r="BR2291">
            <v>0</v>
          </cell>
          <cell r="BT2291">
            <v>0</v>
          </cell>
          <cell r="BV2291">
            <v>2</v>
          </cell>
          <cell r="BW2291">
            <v>87</v>
          </cell>
          <cell r="CA2291" t="str">
            <v>LANL - EBITA - Identified - Recompete</v>
          </cell>
          <cell r="CC2291" t="str">
            <v>LANL - EBITA - Identified - Recompete - NE</v>
          </cell>
          <cell r="CD2291" t="str">
            <v/>
          </cell>
          <cell r="CF2291" t="str">
            <v>LANL - Identified - Recompete - NE</v>
          </cell>
        </row>
        <row r="2292">
          <cell r="D2292">
            <v>90</v>
          </cell>
          <cell r="E2292">
            <v>0</v>
          </cell>
          <cell r="F2292">
            <v>0</v>
          </cell>
          <cell r="G2292" t="str">
            <v>LANL</v>
          </cell>
          <cell r="H2292" t="str">
            <v>LANL Total</v>
          </cell>
          <cell r="I2292" t="str">
            <v>NE</v>
          </cell>
          <cell r="J2292" t="str">
            <v>NE HLW &amp; NNSA Operations</v>
          </cell>
          <cell r="K2292" t="str">
            <v>DOE-NNSA</v>
          </cell>
          <cell r="L2292" t="str">
            <v>DOE</v>
          </cell>
          <cell r="M2292" t="str">
            <v>NM</v>
          </cell>
          <cell r="N2292" t="str">
            <v>CONUS</v>
          </cell>
          <cell r="O2292">
            <v>0</v>
          </cell>
          <cell r="P2292">
            <v>0</v>
          </cell>
          <cell r="Q2292">
            <v>0</v>
          </cell>
          <cell r="R2292">
            <v>0</v>
          </cell>
          <cell r="S2292">
            <v>1</v>
          </cell>
          <cell r="T2292">
            <v>0</v>
          </cell>
          <cell r="U2292" t="str">
            <v>EBITA</v>
          </cell>
          <cell r="V2292" t="str">
            <v>Identified - New</v>
          </cell>
          <cell r="W2292">
            <v>0</v>
          </cell>
          <cell r="X2292">
            <v>0</v>
          </cell>
          <cell r="Y2292">
            <v>0</v>
          </cell>
          <cell r="Z2292">
            <v>0</v>
          </cell>
          <cell r="AA2292">
            <v>0</v>
          </cell>
          <cell r="AB2292">
            <v>0</v>
          </cell>
          <cell r="AC2292">
            <v>0</v>
          </cell>
          <cell r="AD2292">
            <v>0</v>
          </cell>
          <cell r="BM2292">
            <v>0</v>
          </cell>
          <cell r="BN2292">
            <v>0</v>
          </cell>
          <cell r="BO2292">
            <v>0</v>
          </cell>
          <cell r="BP2292">
            <v>0</v>
          </cell>
          <cell r="BQ2292">
            <v>0</v>
          </cell>
          <cell r="BR2292">
            <v>0</v>
          </cell>
          <cell r="BT2292">
            <v>0</v>
          </cell>
          <cell r="BV2292">
            <v>2</v>
          </cell>
          <cell r="BW2292">
            <v>87</v>
          </cell>
          <cell r="CA2292" t="str">
            <v>LANL - EBITA - Identified - New</v>
          </cell>
          <cell r="CC2292" t="str">
            <v>LANL - EBITA - Identified - New - NE</v>
          </cell>
          <cell r="CD2292" t="str">
            <v/>
          </cell>
          <cell r="CF2292" t="str">
            <v>LANL - Identified - New - NE</v>
          </cell>
        </row>
        <row r="2293">
          <cell r="D2293">
            <v>91</v>
          </cell>
          <cell r="E2293">
            <v>1</v>
          </cell>
          <cell r="F2293">
            <v>1</v>
          </cell>
          <cell r="G2293" t="str">
            <v>DNRYTOT</v>
          </cell>
          <cell r="H2293" t="str">
            <v>Dounreay Total</v>
          </cell>
          <cell r="I2293" t="str">
            <v>NE</v>
          </cell>
          <cell r="J2293" t="str">
            <v>NE International Programs</v>
          </cell>
          <cell r="K2293" t="str">
            <v>UK-NDA</v>
          </cell>
          <cell r="L2293" t="str">
            <v>Non-US Gov't</v>
          </cell>
          <cell r="M2293" t="str">
            <v>UK</v>
          </cell>
          <cell r="N2293" t="str">
            <v>OCONUS</v>
          </cell>
          <cell r="O2293">
            <v>41011</v>
          </cell>
          <cell r="P2293">
            <v>48219</v>
          </cell>
          <cell r="Q2293" t="str">
            <v>Minority</v>
          </cell>
          <cell r="R2293" t="str">
            <v>CPFF</v>
          </cell>
          <cell r="S2293">
            <v>1</v>
          </cell>
          <cell r="T2293">
            <v>0</v>
          </cell>
          <cell r="U2293" t="str">
            <v>REVTOT</v>
          </cell>
          <cell r="V2293" t="str">
            <v>Base</v>
          </cell>
          <cell r="W2293" t="str">
            <v>05 Won</v>
          </cell>
          <cell r="X2293" t="str">
            <v>Active</v>
          </cell>
          <cell r="Y2293">
            <v>0</v>
          </cell>
          <cell r="Z2293">
            <v>0</v>
          </cell>
          <cell r="AA2293">
            <v>0</v>
          </cell>
          <cell r="AB2293">
            <v>0</v>
          </cell>
          <cell r="AC2293">
            <v>0</v>
          </cell>
          <cell r="AD2293">
            <v>0</v>
          </cell>
          <cell r="BF2293">
            <v>5087048.1899999995</v>
          </cell>
          <cell r="BG2293">
            <v>3694701.5599999996</v>
          </cell>
          <cell r="BH2293">
            <v>2758826.01</v>
          </cell>
          <cell r="BI2293">
            <v>538970.09</v>
          </cell>
          <cell r="BJ2293">
            <v>634543.6100000001</v>
          </cell>
          <cell r="BK2293">
            <v>188703.55063939001</v>
          </cell>
          <cell r="BL2293">
            <v>254641</v>
          </cell>
          <cell r="BM2293">
            <v>1616858.2506393902</v>
          </cell>
          <cell r="BN2293">
            <v>839065</v>
          </cell>
          <cell r="BO2293">
            <v>0</v>
          </cell>
          <cell r="BP2293">
            <v>0</v>
          </cell>
          <cell r="BQ2293">
            <v>0</v>
          </cell>
          <cell r="BR2293">
            <v>2455923.2506393902</v>
          </cell>
          <cell r="BT2293">
            <v>57</v>
          </cell>
          <cell r="BV2293">
            <v>23</v>
          </cell>
          <cell r="BW2293">
            <v>60</v>
          </cell>
          <cell r="CA2293" t="str">
            <v>DNRYTOT - REVTOT - Base</v>
          </cell>
          <cell r="CC2293" t="str">
            <v>DNRYTOT - REVTOT - Base - NE</v>
          </cell>
          <cell r="CD2293" t="str">
            <v/>
          </cell>
          <cell r="CF2293" t="str">
            <v>DNRYTOT - Base - NE</v>
          </cell>
        </row>
        <row r="2294">
          <cell r="D2294">
            <v>92</v>
          </cell>
          <cell r="E2294">
            <v>1</v>
          </cell>
          <cell r="F2294">
            <v>2</v>
          </cell>
          <cell r="G2294" t="str">
            <v>DNRYTOT</v>
          </cell>
          <cell r="H2294" t="str">
            <v>Dounreay Total</v>
          </cell>
          <cell r="I2294" t="str">
            <v>NE</v>
          </cell>
          <cell r="J2294" t="str">
            <v>NE International Programs</v>
          </cell>
          <cell r="K2294" t="str">
            <v>UK-NDA</v>
          </cell>
          <cell r="L2294" t="str">
            <v>Non-US Gov't</v>
          </cell>
          <cell r="M2294" t="str">
            <v>UK</v>
          </cell>
          <cell r="N2294" t="str">
            <v>OCONUS</v>
          </cell>
          <cell r="O2294">
            <v>0</v>
          </cell>
          <cell r="P2294">
            <v>0</v>
          </cell>
          <cell r="Q2294">
            <v>0</v>
          </cell>
          <cell r="R2294">
            <v>0</v>
          </cell>
          <cell r="S2294">
            <v>1</v>
          </cell>
          <cell r="T2294">
            <v>0</v>
          </cell>
          <cell r="U2294" t="str">
            <v>REVTOT</v>
          </cell>
          <cell r="V2294" t="str">
            <v>Identified - Recompete</v>
          </cell>
          <cell r="W2294">
            <v>0</v>
          </cell>
          <cell r="X2294">
            <v>0</v>
          </cell>
          <cell r="Y2294">
            <v>0</v>
          </cell>
          <cell r="Z2294">
            <v>0</v>
          </cell>
          <cell r="AA2294">
            <v>0</v>
          </cell>
          <cell r="AB2294">
            <v>0</v>
          </cell>
          <cell r="AC2294">
            <v>0</v>
          </cell>
          <cell r="AD2294">
            <v>0</v>
          </cell>
          <cell r="BM2294">
            <v>0</v>
          </cell>
          <cell r="BN2294">
            <v>0</v>
          </cell>
          <cell r="BO2294">
            <v>0</v>
          </cell>
          <cell r="BP2294">
            <v>0</v>
          </cell>
          <cell r="BQ2294">
            <v>0</v>
          </cell>
          <cell r="BR2294">
            <v>0</v>
          </cell>
          <cell r="BT2294">
            <v>57</v>
          </cell>
          <cell r="BV2294">
            <v>2</v>
          </cell>
          <cell r="BW2294">
            <v>60</v>
          </cell>
          <cell r="CA2294" t="str">
            <v>DNRYTOT - REVTOT - Identified - Recompete</v>
          </cell>
          <cell r="CC2294" t="str">
            <v>DNRYTOT - REVTOT - Identified - Recompete - NE</v>
          </cell>
          <cell r="CD2294" t="str">
            <v/>
          </cell>
          <cell r="CF2294" t="str">
            <v>DNRYTOT - Identified - Recompete - NE</v>
          </cell>
        </row>
        <row r="2295">
          <cell r="D2295">
            <v>93</v>
          </cell>
          <cell r="E2295">
            <v>1</v>
          </cell>
          <cell r="F2295">
            <v>3</v>
          </cell>
          <cell r="G2295" t="str">
            <v>DNRYTOT</v>
          </cell>
          <cell r="H2295" t="str">
            <v>Dounreay Total</v>
          </cell>
          <cell r="I2295" t="str">
            <v>NE</v>
          </cell>
          <cell r="J2295" t="str">
            <v>NE International Programs</v>
          </cell>
          <cell r="K2295" t="str">
            <v>UK-NDA</v>
          </cell>
          <cell r="L2295" t="str">
            <v>Non-US Gov't</v>
          </cell>
          <cell r="M2295" t="str">
            <v>UK</v>
          </cell>
          <cell r="N2295" t="str">
            <v>OCONUS</v>
          </cell>
          <cell r="O2295">
            <v>0</v>
          </cell>
          <cell r="P2295">
            <v>0</v>
          </cell>
          <cell r="Q2295">
            <v>0</v>
          </cell>
          <cell r="R2295">
            <v>0</v>
          </cell>
          <cell r="S2295">
            <v>1</v>
          </cell>
          <cell r="T2295">
            <v>0</v>
          </cell>
          <cell r="U2295" t="str">
            <v>REVTOT</v>
          </cell>
          <cell r="V2295" t="str">
            <v>Identified - New</v>
          </cell>
          <cell r="W2295">
            <v>0</v>
          </cell>
          <cell r="X2295">
            <v>0</v>
          </cell>
          <cell r="Y2295">
            <v>0</v>
          </cell>
          <cell r="Z2295">
            <v>0</v>
          </cell>
          <cell r="AA2295">
            <v>0</v>
          </cell>
          <cell r="AB2295">
            <v>0</v>
          </cell>
          <cell r="AC2295">
            <v>0</v>
          </cell>
          <cell r="AD2295">
            <v>0</v>
          </cell>
          <cell r="BM2295">
            <v>0</v>
          </cell>
          <cell r="BN2295">
            <v>0</v>
          </cell>
          <cell r="BO2295">
            <v>0</v>
          </cell>
          <cell r="BP2295">
            <v>0</v>
          </cell>
          <cell r="BQ2295">
            <v>0</v>
          </cell>
          <cell r="BR2295">
            <v>0</v>
          </cell>
          <cell r="BT2295">
            <v>57</v>
          </cell>
          <cell r="BV2295">
            <v>2</v>
          </cell>
          <cell r="BW2295">
            <v>60</v>
          </cell>
          <cell r="CA2295" t="str">
            <v>DNRYTOT - REVTOT - Identified - New</v>
          </cell>
          <cell r="CC2295" t="str">
            <v>DNRYTOT - REVTOT - Identified - New - NE</v>
          </cell>
          <cell r="CD2295" t="str">
            <v/>
          </cell>
          <cell r="CF2295" t="str">
            <v>DNRYTOT - Identified - New - NE</v>
          </cell>
        </row>
        <row r="2296">
          <cell r="D2296">
            <v>94</v>
          </cell>
          <cell r="E2296">
            <v>2</v>
          </cell>
          <cell r="F2296">
            <v>4</v>
          </cell>
          <cell r="G2296" t="str">
            <v>DNRYTOT</v>
          </cell>
          <cell r="H2296" t="str">
            <v>Dounreay Total</v>
          </cell>
          <cell r="I2296" t="str">
            <v>NE</v>
          </cell>
          <cell r="J2296" t="str">
            <v>NE International Programs</v>
          </cell>
          <cell r="K2296" t="str">
            <v>UK-NDA</v>
          </cell>
          <cell r="L2296" t="str">
            <v>Non-US Gov't</v>
          </cell>
          <cell r="M2296" t="str">
            <v>UK</v>
          </cell>
          <cell r="N2296" t="str">
            <v>OCONUS</v>
          </cell>
          <cell r="O2296">
            <v>41011</v>
          </cell>
          <cell r="P2296">
            <v>48219</v>
          </cell>
          <cell r="Q2296" t="str">
            <v>Minority</v>
          </cell>
          <cell r="R2296" t="str">
            <v>CPFF</v>
          </cell>
          <cell r="S2296">
            <v>1</v>
          </cell>
          <cell r="T2296">
            <v>0</v>
          </cell>
          <cell r="U2296" t="str">
            <v>CONTRACT</v>
          </cell>
          <cell r="V2296" t="str">
            <v>Base</v>
          </cell>
          <cell r="W2296" t="str">
            <v>05 Won</v>
          </cell>
          <cell r="X2296" t="str">
            <v>Active</v>
          </cell>
          <cell r="Y2296">
            <v>0</v>
          </cell>
          <cell r="Z2296">
            <v>0</v>
          </cell>
          <cell r="AA2296">
            <v>0</v>
          </cell>
          <cell r="AB2296">
            <v>0</v>
          </cell>
          <cell r="AC2296">
            <v>0</v>
          </cell>
          <cell r="AD2296">
            <v>0</v>
          </cell>
          <cell r="BF2296">
            <v>143859.79999999976</v>
          </cell>
          <cell r="BG2296">
            <v>287831.66000000003</v>
          </cell>
          <cell r="BH2296">
            <v>173780.22000000646</v>
          </cell>
          <cell r="BI2296">
            <v>169528</v>
          </cell>
          <cell r="BJ2296">
            <v>187605.00000000003</v>
          </cell>
          <cell r="BK2296">
            <v>667.14063939001062</v>
          </cell>
          <cell r="BL2296">
            <v>44496.92</v>
          </cell>
          <cell r="BM2296">
            <v>402297.06063938997</v>
          </cell>
          <cell r="BN2296">
            <v>0</v>
          </cell>
          <cell r="BO2296">
            <v>0</v>
          </cell>
          <cell r="BP2296">
            <v>0</v>
          </cell>
          <cell r="BQ2296">
            <v>0</v>
          </cell>
          <cell r="BR2296">
            <v>402297.06063938997</v>
          </cell>
          <cell r="BT2296">
            <v>57</v>
          </cell>
          <cell r="BV2296">
            <v>23</v>
          </cell>
          <cell r="BW2296">
            <v>78</v>
          </cell>
          <cell r="CA2296" t="str">
            <v>DNRYTOT - CONTRACT - Base</v>
          </cell>
          <cell r="CC2296" t="str">
            <v>DNRYTOT - CONTRACT - Base - NE - 2</v>
          </cell>
          <cell r="CD2296" t="str">
            <v/>
          </cell>
          <cell r="CF2296" t="str">
            <v>DNRYTOT - Base - NE</v>
          </cell>
        </row>
        <row r="2297">
          <cell r="D2297">
            <v>95</v>
          </cell>
          <cell r="E2297">
            <v>2</v>
          </cell>
          <cell r="F2297">
            <v>5</v>
          </cell>
          <cell r="G2297" t="str">
            <v>DNRYTOT</v>
          </cell>
          <cell r="H2297" t="str">
            <v>Dounreay Total</v>
          </cell>
          <cell r="I2297" t="str">
            <v>NE</v>
          </cell>
          <cell r="J2297" t="str">
            <v>NE International Programs</v>
          </cell>
          <cell r="K2297" t="str">
            <v>UK-NDA</v>
          </cell>
          <cell r="L2297" t="str">
            <v>Non-US Gov't</v>
          </cell>
          <cell r="M2297" t="str">
            <v>UK</v>
          </cell>
          <cell r="N2297" t="str">
            <v>OCONUS</v>
          </cell>
          <cell r="O2297">
            <v>0</v>
          </cell>
          <cell r="P2297">
            <v>0</v>
          </cell>
          <cell r="Q2297">
            <v>0</v>
          </cell>
          <cell r="R2297">
            <v>0</v>
          </cell>
          <cell r="S2297">
            <v>1</v>
          </cell>
          <cell r="T2297">
            <v>0</v>
          </cell>
          <cell r="U2297" t="str">
            <v>CONTRACT</v>
          </cell>
          <cell r="V2297" t="str">
            <v>Identified - Recompete</v>
          </cell>
          <cell r="W2297">
            <v>0</v>
          </cell>
          <cell r="X2297">
            <v>0</v>
          </cell>
          <cell r="Y2297">
            <v>0</v>
          </cell>
          <cell r="Z2297">
            <v>0</v>
          </cell>
          <cell r="AA2297">
            <v>0</v>
          </cell>
          <cell r="AB2297">
            <v>0</v>
          </cell>
          <cell r="AC2297">
            <v>0</v>
          </cell>
          <cell r="AD2297">
            <v>0</v>
          </cell>
          <cell r="BM2297">
            <v>0</v>
          </cell>
          <cell r="BN2297">
            <v>0</v>
          </cell>
          <cell r="BO2297">
            <v>0</v>
          </cell>
          <cell r="BP2297">
            <v>0</v>
          </cell>
          <cell r="BQ2297">
            <v>0</v>
          </cell>
          <cell r="BR2297">
            <v>0</v>
          </cell>
          <cell r="BT2297">
            <v>57</v>
          </cell>
          <cell r="BV2297">
            <v>2</v>
          </cell>
          <cell r="BW2297">
            <v>78</v>
          </cell>
          <cell r="CA2297" t="str">
            <v>DNRYTOT - CONTRACT - Identified - Recompete</v>
          </cell>
          <cell r="CC2297" t="str">
            <v>DNRYTOT - CONTRACT - Identified - Recompete - NE</v>
          </cell>
          <cell r="CD2297" t="str">
            <v/>
          </cell>
          <cell r="CF2297" t="str">
            <v>DNRYTOT - Identified - Recompete - NE</v>
          </cell>
        </row>
        <row r="2298">
          <cell r="D2298">
            <v>96</v>
          </cell>
          <cell r="E2298">
            <v>2</v>
          </cell>
          <cell r="F2298">
            <v>6</v>
          </cell>
          <cell r="G2298" t="str">
            <v>DNRYTOT</v>
          </cell>
          <cell r="H2298" t="str">
            <v>Dounreay Total</v>
          </cell>
          <cell r="I2298" t="str">
            <v>NE</v>
          </cell>
          <cell r="J2298" t="str">
            <v>NE International Programs</v>
          </cell>
          <cell r="K2298" t="str">
            <v>UK-NDA</v>
          </cell>
          <cell r="L2298" t="str">
            <v>Non-US Gov't</v>
          </cell>
          <cell r="M2298" t="str">
            <v>UK</v>
          </cell>
          <cell r="N2298" t="str">
            <v>OCONUS</v>
          </cell>
          <cell r="O2298">
            <v>0</v>
          </cell>
          <cell r="P2298">
            <v>0</v>
          </cell>
          <cell r="Q2298">
            <v>0</v>
          </cell>
          <cell r="R2298">
            <v>0</v>
          </cell>
          <cell r="S2298">
            <v>1</v>
          </cell>
          <cell r="T2298">
            <v>0</v>
          </cell>
          <cell r="U2298" t="str">
            <v>CONTRACT</v>
          </cell>
          <cell r="V2298" t="str">
            <v>Identified - New</v>
          </cell>
          <cell r="W2298">
            <v>0</v>
          </cell>
          <cell r="X2298">
            <v>0</v>
          </cell>
          <cell r="Y2298">
            <v>0</v>
          </cell>
          <cell r="Z2298">
            <v>0</v>
          </cell>
          <cell r="AA2298">
            <v>0</v>
          </cell>
          <cell r="AB2298">
            <v>0</v>
          </cell>
          <cell r="AC2298">
            <v>0</v>
          </cell>
          <cell r="AD2298">
            <v>0</v>
          </cell>
          <cell r="BM2298">
            <v>0</v>
          </cell>
          <cell r="BN2298">
            <v>0</v>
          </cell>
          <cell r="BO2298">
            <v>0</v>
          </cell>
          <cell r="BP2298">
            <v>0</v>
          </cell>
          <cell r="BQ2298">
            <v>0</v>
          </cell>
          <cell r="BR2298">
            <v>0</v>
          </cell>
          <cell r="BT2298">
            <v>57</v>
          </cell>
          <cell r="BV2298">
            <v>2</v>
          </cell>
          <cell r="BW2298">
            <v>78</v>
          </cell>
          <cell r="CA2298" t="str">
            <v>DNRYTOT - CONTRACT - Identified - New</v>
          </cell>
          <cell r="CC2298" t="str">
            <v>DNRYTOT - CONTRACT - Identified - New - NE</v>
          </cell>
          <cell r="CD2298" t="str">
            <v/>
          </cell>
          <cell r="CF2298" t="str">
            <v>DNRYTOT - Identified - New - NE</v>
          </cell>
        </row>
        <row r="2299">
          <cell r="D2299">
            <v>97</v>
          </cell>
          <cell r="E2299">
            <v>0</v>
          </cell>
          <cell r="F2299">
            <v>7</v>
          </cell>
          <cell r="G2299" t="str">
            <v>DNRYTOT</v>
          </cell>
          <cell r="H2299" t="str">
            <v>Dounreay Total</v>
          </cell>
          <cell r="I2299" t="str">
            <v>NE</v>
          </cell>
          <cell r="J2299" t="str">
            <v>NE International Programs</v>
          </cell>
          <cell r="K2299" t="str">
            <v>UK-NDA</v>
          </cell>
          <cell r="L2299" t="str">
            <v>Non-US Gov't</v>
          </cell>
          <cell r="M2299" t="str">
            <v>UK</v>
          </cell>
          <cell r="N2299" t="str">
            <v>OCONUS</v>
          </cell>
          <cell r="O2299">
            <v>41011</v>
          </cell>
          <cell r="P2299">
            <v>48219</v>
          </cell>
          <cell r="Q2299" t="str">
            <v>Minority</v>
          </cell>
          <cell r="R2299" t="str">
            <v>CPFF</v>
          </cell>
          <cell r="S2299">
            <v>1</v>
          </cell>
          <cell r="T2299">
            <v>0</v>
          </cell>
          <cell r="U2299" t="str">
            <v>EBITA</v>
          </cell>
          <cell r="V2299" t="str">
            <v>Base</v>
          </cell>
          <cell r="W2299" t="str">
            <v>05 Won</v>
          </cell>
          <cell r="X2299" t="str">
            <v>Active</v>
          </cell>
          <cell r="Y2299">
            <v>0</v>
          </cell>
          <cell r="Z2299">
            <v>0</v>
          </cell>
          <cell r="AA2299">
            <v>0</v>
          </cell>
          <cell r="AB2299">
            <v>0</v>
          </cell>
          <cell r="AC2299">
            <v>0</v>
          </cell>
          <cell r="AD2299">
            <v>0</v>
          </cell>
          <cell r="BF2299">
            <v>3792051.6101709995</v>
          </cell>
          <cell r="BG2299">
            <v>1862224.263978</v>
          </cell>
          <cell r="BH2299">
            <v>2799267.7147109266</v>
          </cell>
          <cell r="BI2299">
            <v>783451.45</v>
          </cell>
          <cell r="BJ2299">
            <v>273176.99000000005</v>
          </cell>
          <cell r="BK2299">
            <v>635873.23063938995</v>
          </cell>
          <cell r="BL2299">
            <v>-1443226.5999999999</v>
          </cell>
          <cell r="BM2299">
            <v>249275.07063939003</v>
          </cell>
          <cell r="BN2299">
            <v>1696259.9893851364</v>
          </cell>
          <cell r="BO2299">
            <v>1696259.9893851364</v>
          </cell>
          <cell r="BP2299">
            <v>1696259.9893851364</v>
          </cell>
          <cell r="BQ2299">
            <v>1696259.9893851364</v>
          </cell>
          <cell r="BR2299">
            <v>7034315.0281799352</v>
          </cell>
          <cell r="BT2299">
            <v>57</v>
          </cell>
          <cell r="BV2299">
            <v>23</v>
          </cell>
          <cell r="BW2299">
            <v>87</v>
          </cell>
          <cell r="CA2299" t="str">
            <v>DNRYTOT - EBITA - Base</v>
          </cell>
          <cell r="CC2299" t="str">
            <v>DNRYTOT - EBITA - Base - NE</v>
          </cell>
          <cell r="CD2299" t="str">
            <v/>
          </cell>
          <cell r="CF2299" t="str">
            <v>DNRYTOT - Base - NE</v>
          </cell>
        </row>
        <row r="2300">
          <cell r="D2300">
            <v>98</v>
          </cell>
          <cell r="E2300">
            <v>0</v>
          </cell>
          <cell r="F2300">
            <v>8</v>
          </cell>
          <cell r="G2300" t="str">
            <v>DNRYTOT</v>
          </cell>
          <cell r="H2300" t="str">
            <v>Dounreay Total</v>
          </cell>
          <cell r="I2300" t="str">
            <v>NE</v>
          </cell>
          <cell r="J2300" t="str">
            <v>NE International Programs</v>
          </cell>
          <cell r="K2300" t="str">
            <v>UK-NDA</v>
          </cell>
          <cell r="L2300" t="str">
            <v>Non-US Gov't</v>
          </cell>
          <cell r="M2300" t="str">
            <v>UK</v>
          </cell>
          <cell r="N2300" t="str">
            <v>OCONUS</v>
          </cell>
          <cell r="O2300">
            <v>0</v>
          </cell>
          <cell r="P2300">
            <v>0</v>
          </cell>
          <cell r="Q2300">
            <v>0</v>
          </cell>
          <cell r="R2300">
            <v>0</v>
          </cell>
          <cell r="S2300">
            <v>1</v>
          </cell>
          <cell r="T2300">
            <v>0</v>
          </cell>
          <cell r="U2300" t="str">
            <v>EBITA</v>
          </cell>
          <cell r="V2300" t="str">
            <v>Identified - Recompete</v>
          </cell>
          <cell r="W2300">
            <v>0</v>
          </cell>
          <cell r="X2300">
            <v>0</v>
          </cell>
          <cell r="Y2300">
            <v>0</v>
          </cell>
          <cell r="Z2300">
            <v>0</v>
          </cell>
          <cell r="AA2300">
            <v>0</v>
          </cell>
          <cell r="AB2300">
            <v>0</v>
          </cell>
          <cell r="AC2300">
            <v>0</v>
          </cell>
          <cell r="AD2300">
            <v>0</v>
          </cell>
          <cell r="BM2300">
            <v>0</v>
          </cell>
          <cell r="BN2300">
            <v>0</v>
          </cell>
          <cell r="BO2300">
            <v>0</v>
          </cell>
          <cell r="BP2300">
            <v>0</v>
          </cell>
          <cell r="BQ2300">
            <v>0</v>
          </cell>
          <cell r="BR2300">
            <v>0</v>
          </cell>
          <cell r="BT2300">
            <v>57</v>
          </cell>
          <cell r="BV2300">
            <v>2</v>
          </cell>
          <cell r="BW2300">
            <v>87</v>
          </cell>
          <cell r="CA2300" t="str">
            <v>DNRYTOT - EBITA - Identified - Recompete</v>
          </cell>
          <cell r="CC2300" t="str">
            <v>DNRYTOT - EBITA - Identified - Recompete - NE</v>
          </cell>
          <cell r="CD2300" t="str">
            <v/>
          </cell>
          <cell r="CF2300" t="str">
            <v>DNRYTOT - Identified - Recompete - NE</v>
          </cell>
        </row>
        <row r="2301">
          <cell r="D2301">
            <v>99</v>
          </cell>
          <cell r="E2301">
            <v>0</v>
          </cell>
          <cell r="F2301">
            <v>0</v>
          </cell>
          <cell r="G2301" t="str">
            <v>DNRYTOT</v>
          </cell>
          <cell r="H2301" t="str">
            <v>Dounreay Total</v>
          </cell>
          <cell r="I2301" t="str">
            <v>NE</v>
          </cell>
          <cell r="J2301" t="str">
            <v>NE International Programs</v>
          </cell>
          <cell r="K2301" t="str">
            <v>UK-NDA</v>
          </cell>
          <cell r="L2301" t="str">
            <v>Non-US Gov't</v>
          </cell>
          <cell r="M2301" t="str">
            <v>UK</v>
          </cell>
          <cell r="N2301" t="str">
            <v>OCONUS</v>
          </cell>
          <cell r="O2301">
            <v>0</v>
          </cell>
          <cell r="P2301">
            <v>0</v>
          </cell>
          <cell r="Q2301">
            <v>0</v>
          </cell>
          <cell r="R2301">
            <v>0</v>
          </cell>
          <cell r="S2301">
            <v>1</v>
          </cell>
          <cell r="T2301">
            <v>0</v>
          </cell>
          <cell r="U2301" t="str">
            <v>EBITA</v>
          </cell>
          <cell r="V2301" t="str">
            <v>Identified - New</v>
          </cell>
          <cell r="W2301">
            <v>0</v>
          </cell>
          <cell r="X2301">
            <v>0</v>
          </cell>
          <cell r="Y2301">
            <v>0</v>
          </cell>
          <cell r="Z2301">
            <v>0</v>
          </cell>
          <cell r="AA2301">
            <v>0</v>
          </cell>
          <cell r="AB2301">
            <v>0</v>
          </cell>
          <cell r="AC2301">
            <v>0</v>
          </cell>
          <cell r="AD2301">
            <v>0</v>
          </cell>
          <cell r="BM2301">
            <v>0</v>
          </cell>
          <cell r="BN2301">
            <v>0</v>
          </cell>
          <cell r="BO2301">
            <v>0</v>
          </cell>
          <cell r="BP2301">
            <v>0</v>
          </cell>
          <cell r="BQ2301">
            <v>0</v>
          </cell>
          <cell r="BR2301">
            <v>0</v>
          </cell>
          <cell r="BT2301">
            <v>57</v>
          </cell>
          <cell r="BV2301">
            <v>2</v>
          </cell>
          <cell r="BW2301">
            <v>87</v>
          </cell>
          <cell r="CA2301" t="str">
            <v>DNRYTOT - EBITA - Identified - New</v>
          </cell>
          <cell r="CC2301" t="str">
            <v>DNRYTOT - EBITA - Identified - New - NE</v>
          </cell>
          <cell r="CD2301" t="str">
            <v/>
          </cell>
          <cell r="CF2301" t="str">
            <v>DNRYTOT - Identified - New - NE</v>
          </cell>
        </row>
        <row r="2302">
          <cell r="D2302">
            <v>100</v>
          </cell>
          <cell r="E2302">
            <v>1</v>
          </cell>
          <cell r="F2302">
            <v>1</v>
          </cell>
          <cell r="G2302" t="str">
            <v>SORTSG</v>
          </cell>
          <cell r="H2302" t="str">
            <v>Sort Seg Canada</v>
          </cell>
          <cell r="I2302" t="str">
            <v>NE</v>
          </cell>
          <cell r="J2302" t="str">
            <v>NE DD and WM Projects</v>
          </cell>
          <cell r="K2302" t="str">
            <v>Other Foreign Gov't</v>
          </cell>
          <cell r="L2302" t="str">
            <v>Non-US Gov't</v>
          </cell>
          <cell r="M2302" t="str">
            <v>Canada</v>
          </cell>
          <cell r="N2302" t="str">
            <v>OCONUS</v>
          </cell>
          <cell r="O2302">
            <v>43481</v>
          </cell>
          <cell r="P2302">
            <v>44196</v>
          </cell>
          <cell r="Q2302" t="str">
            <v>Minority</v>
          </cell>
          <cell r="R2302" t="str">
            <v>FFP</v>
          </cell>
          <cell r="S2302">
            <v>1</v>
          </cell>
          <cell r="T2302">
            <v>0</v>
          </cell>
          <cell r="U2302" t="str">
            <v>REVTOT</v>
          </cell>
          <cell r="V2302" t="str">
            <v>Base</v>
          </cell>
          <cell r="W2302" t="str">
            <v>05 Won</v>
          </cell>
          <cell r="X2302" t="str">
            <v>Active</v>
          </cell>
          <cell r="Y2302">
            <v>0</v>
          </cell>
          <cell r="Z2302">
            <v>0</v>
          </cell>
          <cell r="AA2302">
            <v>0</v>
          </cell>
          <cell r="AB2302">
            <v>0</v>
          </cell>
          <cell r="AC2302">
            <v>0</v>
          </cell>
          <cell r="AD2302">
            <v>0</v>
          </cell>
          <cell r="BF2302">
            <v>0</v>
          </cell>
          <cell r="BG2302">
            <v>0</v>
          </cell>
          <cell r="BH2302">
            <v>0</v>
          </cell>
          <cell r="BI2302">
            <v>0</v>
          </cell>
          <cell r="BJ2302">
            <v>0</v>
          </cell>
          <cell r="BK2302">
            <v>0</v>
          </cell>
          <cell r="BL2302">
            <v>0</v>
          </cell>
          <cell r="BM2302">
            <v>0</v>
          </cell>
          <cell r="BN2302">
            <v>0</v>
          </cell>
          <cell r="BO2302">
            <v>0</v>
          </cell>
          <cell r="BP2302">
            <v>0</v>
          </cell>
          <cell r="BQ2302">
            <v>0</v>
          </cell>
          <cell r="BR2302">
            <v>0</v>
          </cell>
          <cell r="BT2302">
            <v>0</v>
          </cell>
          <cell r="BV2302">
            <v>24</v>
          </cell>
          <cell r="BW2302">
            <v>60</v>
          </cell>
          <cell r="CA2302" t="str">
            <v>SORTSG - REVTOT - Base</v>
          </cell>
          <cell r="CC2302" t="str">
            <v>SORTSG - REVTOT - Base - NE</v>
          </cell>
          <cell r="CD2302" t="str">
            <v/>
          </cell>
          <cell r="CF2302" t="str">
            <v>SORTSG - Base - NE</v>
          </cell>
        </row>
        <row r="2303">
          <cell r="D2303">
            <v>101</v>
          </cell>
          <cell r="E2303">
            <v>1</v>
          </cell>
          <cell r="F2303">
            <v>2</v>
          </cell>
          <cell r="G2303" t="str">
            <v>SORTSG</v>
          </cell>
          <cell r="H2303" t="str">
            <v>Sort Seg Canada</v>
          </cell>
          <cell r="I2303" t="str">
            <v>NE</v>
          </cell>
          <cell r="J2303" t="str">
            <v>NE DD and WM Projects</v>
          </cell>
          <cell r="K2303" t="str">
            <v>Other Foreign Gov't</v>
          </cell>
          <cell r="L2303" t="str">
            <v>Non-US Gov't</v>
          </cell>
          <cell r="M2303" t="str">
            <v>Canada</v>
          </cell>
          <cell r="N2303" t="str">
            <v>OCONUS</v>
          </cell>
          <cell r="O2303">
            <v>0</v>
          </cell>
          <cell r="P2303">
            <v>0</v>
          </cell>
          <cell r="Q2303">
            <v>0</v>
          </cell>
          <cell r="R2303">
            <v>0</v>
          </cell>
          <cell r="S2303">
            <v>1</v>
          </cell>
          <cell r="T2303">
            <v>0</v>
          </cell>
          <cell r="U2303" t="str">
            <v>REVTOT</v>
          </cell>
          <cell r="V2303" t="str">
            <v>Identified - Recompete</v>
          </cell>
          <cell r="W2303">
            <v>0</v>
          </cell>
          <cell r="X2303">
            <v>0</v>
          </cell>
          <cell r="Y2303">
            <v>0</v>
          </cell>
          <cell r="Z2303">
            <v>0</v>
          </cell>
          <cell r="AA2303">
            <v>0</v>
          </cell>
          <cell r="AB2303">
            <v>0</v>
          </cell>
          <cell r="AC2303">
            <v>0</v>
          </cell>
          <cell r="AD2303">
            <v>0</v>
          </cell>
          <cell r="BM2303">
            <v>0</v>
          </cell>
          <cell r="BN2303">
            <v>0</v>
          </cell>
          <cell r="BO2303">
            <v>0</v>
          </cell>
          <cell r="BP2303">
            <v>0</v>
          </cell>
          <cell r="BQ2303">
            <v>0</v>
          </cell>
          <cell r="BR2303">
            <v>0</v>
          </cell>
          <cell r="BT2303">
            <v>0</v>
          </cell>
          <cell r="BV2303">
            <v>2</v>
          </cell>
          <cell r="BW2303">
            <v>60</v>
          </cell>
          <cell r="CA2303" t="str">
            <v>SORTSG - REVTOT - Identified - Recompete</v>
          </cell>
          <cell r="CC2303" t="str">
            <v>SORTSG - REVTOT - Identified - Recompete - NE</v>
          </cell>
          <cell r="CD2303" t="str">
            <v/>
          </cell>
          <cell r="CF2303" t="str">
            <v>SORTSG - Identified - Recompete - NE</v>
          </cell>
        </row>
        <row r="2304">
          <cell r="D2304">
            <v>102</v>
          </cell>
          <cell r="E2304">
            <v>1</v>
          </cell>
          <cell r="F2304">
            <v>3</v>
          </cell>
          <cell r="G2304" t="str">
            <v>SORTSG</v>
          </cell>
          <cell r="H2304" t="str">
            <v>Sort Seg Canada</v>
          </cell>
          <cell r="I2304" t="str">
            <v>NE</v>
          </cell>
          <cell r="J2304" t="str">
            <v>NE DD and WM Projects</v>
          </cell>
          <cell r="K2304" t="str">
            <v>Other Foreign Gov't</v>
          </cell>
          <cell r="L2304" t="str">
            <v>Non-US Gov't</v>
          </cell>
          <cell r="M2304" t="str">
            <v>Canada</v>
          </cell>
          <cell r="N2304" t="str">
            <v>OCONUS</v>
          </cell>
          <cell r="O2304">
            <v>0</v>
          </cell>
          <cell r="P2304">
            <v>0</v>
          </cell>
          <cell r="Q2304">
            <v>0</v>
          </cell>
          <cell r="R2304">
            <v>0</v>
          </cell>
          <cell r="S2304">
            <v>1</v>
          </cell>
          <cell r="T2304">
            <v>0</v>
          </cell>
          <cell r="U2304" t="str">
            <v>REVTOT</v>
          </cell>
          <cell r="V2304" t="str">
            <v>Identified - New</v>
          </cell>
          <cell r="W2304">
            <v>0</v>
          </cell>
          <cell r="X2304">
            <v>0</v>
          </cell>
          <cell r="Y2304">
            <v>0</v>
          </cell>
          <cell r="Z2304">
            <v>0</v>
          </cell>
          <cell r="AA2304">
            <v>0</v>
          </cell>
          <cell r="AB2304">
            <v>0</v>
          </cell>
          <cell r="AC2304">
            <v>0</v>
          </cell>
          <cell r="AD2304">
            <v>0</v>
          </cell>
          <cell r="BM2304">
            <v>0</v>
          </cell>
          <cell r="BN2304">
            <v>0</v>
          </cell>
          <cell r="BO2304">
            <v>0</v>
          </cell>
          <cell r="BP2304">
            <v>0</v>
          </cell>
          <cell r="BQ2304">
            <v>0</v>
          </cell>
          <cell r="BR2304">
            <v>0</v>
          </cell>
          <cell r="BT2304">
            <v>0</v>
          </cell>
          <cell r="BV2304">
            <v>2</v>
          </cell>
          <cell r="BW2304">
            <v>60</v>
          </cell>
          <cell r="CA2304" t="str">
            <v>SORTSG - REVTOT - Identified - New</v>
          </cell>
          <cell r="CC2304" t="str">
            <v>SORTSG - REVTOT - Identified - New - NE</v>
          </cell>
          <cell r="CD2304" t="str">
            <v/>
          </cell>
          <cell r="CF2304" t="str">
            <v>SORTSG - Identified - New - NE</v>
          </cell>
        </row>
        <row r="2305">
          <cell r="D2305">
            <v>103</v>
          </cell>
          <cell r="E2305">
            <v>2</v>
          </cell>
          <cell r="F2305">
            <v>4</v>
          </cell>
          <cell r="G2305" t="str">
            <v>SORTSG</v>
          </cell>
          <cell r="H2305" t="str">
            <v>Sort Seg Canada</v>
          </cell>
          <cell r="I2305" t="str">
            <v>NE</v>
          </cell>
          <cell r="J2305" t="str">
            <v>NE DD and WM Projects</v>
          </cell>
          <cell r="K2305" t="str">
            <v>Other Foreign Gov't</v>
          </cell>
          <cell r="L2305" t="str">
            <v>Non-US Gov't</v>
          </cell>
          <cell r="M2305" t="str">
            <v>Canada</v>
          </cell>
          <cell r="N2305" t="str">
            <v>OCONUS</v>
          </cell>
          <cell r="O2305">
            <v>43481</v>
          </cell>
          <cell r="P2305">
            <v>44196</v>
          </cell>
          <cell r="Q2305" t="str">
            <v>Minority</v>
          </cell>
          <cell r="R2305" t="str">
            <v>FFP</v>
          </cell>
          <cell r="S2305">
            <v>1</v>
          </cell>
          <cell r="T2305">
            <v>0</v>
          </cell>
          <cell r="U2305" t="str">
            <v>CONTRACT</v>
          </cell>
          <cell r="V2305" t="str">
            <v>Base</v>
          </cell>
          <cell r="W2305" t="str">
            <v>05 Won</v>
          </cell>
          <cell r="X2305" t="str">
            <v>Active</v>
          </cell>
          <cell r="Y2305">
            <v>0</v>
          </cell>
          <cell r="Z2305">
            <v>0</v>
          </cell>
          <cell r="AA2305">
            <v>0</v>
          </cell>
          <cell r="AB2305">
            <v>0</v>
          </cell>
          <cell r="AC2305">
            <v>0</v>
          </cell>
          <cell r="AD2305">
            <v>0</v>
          </cell>
          <cell r="BF2305">
            <v>0</v>
          </cell>
          <cell r="BG2305">
            <v>0</v>
          </cell>
          <cell r="BH2305">
            <v>0</v>
          </cell>
          <cell r="BI2305">
            <v>0</v>
          </cell>
          <cell r="BJ2305">
            <v>0</v>
          </cell>
          <cell r="BK2305">
            <v>0</v>
          </cell>
          <cell r="BL2305">
            <v>0</v>
          </cell>
          <cell r="BM2305">
            <v>0</v>
          </cell>
          <cell r="BN2305">
            <v>0</v>
          </cell>
          <cell r="BO2305">
            <v>0</v>
          </cell>
          <cell r="BP2305">
            <v>0</v>
          </cell>
          <cell r="BQ2305">
            <v>0</v>
          </cell>
          <cell r="BR2305">
            <v>0</v>
          </cell>
          <cell r="BT2305">
            <v>0</v>
          </cell>
          <cell r="BV2305">
            <v>24</v>
          </cell>
          <cell r="BW2305">
            <v>78</v>
          </cell>
          <cell r="CA2305" t="str">
            <v>SORTSG - CONTRACT - Base</v>
          </cell>
          <cell r="CC2305" t="str">
            <v>SORTSG - CONTRACT - Base - NE - 2</v>
          </cell>
          <cell r="CD2305" t="str">
            <v/>
          </cell>
          <cell r="CF2305" t="str">
            <v>SORTSG - Base - NE</v>
          </cell>
        </row>
        <row r="2306">
          <cell r="D2306">
            <v>104</v>
          </cell>
          <cell r="E2306">
            <v>2</v>
          </cell>
          <cell r="F2306">
            <v>5</v>
          </cell>
          <cell r="G2306" t="str">
            <v>SORTSG</v>
          </cell>
          <cell r="H2306" t="str">
            <v>Sort Seg Canada</v>
          </cell>
          <cell r="I2306" t="str">
            <v>NE</v>
          </cell>
          <cell r="J2306" t="str">
            <v>NE DD and WM Projects</v>
          </cell>
          <cell r="K2306" t="str">
            <v>Other Foreign Gov't</v>
          </cell>
          <cell r="L2306" t="str">
            <v>Non-US Gov't</v>
          </cell>
          <cell r="M2306" t="str">
            <v>Canada</v>
          </cell>
          <cell r="N2306" t="str">
            <v>OCONUS</v>
          </cell>
          <cell r="O2306">
            <v>0</v>
          </cell>
          <cell r="P2306">
            <v>0</v>
          </cell>
          <cell r="Q2306">
            <v>0</v>
          </cell>
          <cell r="R2306">
            <v>0</v>
          </cell>
          <cell r="S2306">
            <v>1</v>
          </cell>
          <cell r="T2306">
            <v>0</v>
          </cell>
          <cell r="U2306" t="str">
            <v>CONTRACT</v>
          </cell>
          <cell r="V2306" t="str">
            <v>Identified - Recompete</v>
          </cell>
          <cell r="W2306">
            <v>0</v>
          </cell>
          <cell r="X2306">
            <v>0</v>
          </cell>
          <cell r="Y2306">
            <v>0</v>
          </cell>
          <cell r="Z2306">
            <v>0</v>
          </cell>
          <cell r="AA2306">
            <v>0</v>
          </cell>
          <cell r="AB2306">
            <v>0</v>
          </cell>
          <cell r="AC2306">
            <v>0</v>
          </cell>
          <cell r="AD2306">
            <v>0</v>
          </cell>
          <cell r="BM2306">
            <v>0</v>
          </cell>
          <cell r="BN2306">
            <v>0</v>
          </cell>
          <cell r="BO2306">
            <v>0</v>
          </cell>
          <cell r="BP2306">
            <v>0</v>
          </cell>
          <cell r="BQ2306">
            <v>0</v>
          </cell>
          <cell r="BR2306">
            <v>0</v>
          </cell>
          <cell r="BT2306">
            <v>0</v>
          </cell>
          <cell r="BV2306">
            <v>2</v>
          </cell>
          <cell r="BW2306">
            <v>78</v>
          </cell>
          <cell r="CA2306" t="str">
            <v>SORTSG - CONTRACT - Identified - Recompete</v>
          </cell>
          <cell r="CC2306" t="str">
            <v>SORTSG - CONTRACT - Identified - Recompete - NE</v>
          </cell>
          <cell r="CD2306" t="str">
            <v/>
          </cell>
          <cell r="CF2306" t="str">
            <v>SORTSG - Identified - Recompete - NE</v>
          </cell>
        </row>
        <row r="2307">
          <cell r="D2307">
            <v>105</v>
          </cell>
          <cell r="E2307">
            <v>2</v>
          </cell>
          <cell r="F2307">
            <v>6</v>
          </cell>
          <cell r="G2307" t="str">
            <v>SORTSG</v>
          </cell>
          <cell r="H2307" t="str">
            <v>Sort Seg Canada</v>
          </cell>
          <cell r="I2307" t="str">
            <v>NE</v>
          </cell>
          <cell r="J2307" t="str">
            <v>NE DD and WM Projects</v>
          </cell>
          <cell r="K2307" t="str">
            <v>Other Foreign Gov't</v>
          </cell>
          <cell r="L2307" t="str">
            <v>Non-US Gov't</v>
          </cell>
          <cell r="M2307" t="str">
            <v>Canada</v>
          </cell>
          <cell r="N2307" t="str">
            <v>OCONUS</v>
          </cell>
          <cell r="O2307">
            <v>0</v>
          </cell>
          <cell r="P2307">
            <v>0</v>
          </cell>
          <cell r="Q2307">
            <v>0</v>
          </cell>
          <cell r="R2307">
            <v>0</v>
          </cell>
          <cell r="S2307">
            <v>1</v>
          </cell>
          <cell r="T2307">
            <v>0</v>
          </cell>
          <cell r="U2307" t="str">
            <v>CONTRACT</v>
          </cell>
          <cell r="V2307" t="str">
            <v>Identified - New</v>
          </cell>
          <cell r="W2307">
            <v>0</v>
          </cell>
          <cell r="X2307">
            <v>0</v>
          </cell>
          <cell r="Y2307">
            <v>0</v>
          </cell>
          <cell r="Z2307">
            <v>0</v>
          </cell>
          <cell r="AA2307">
            <v>0</v>
          </cell>
          <cell r="AB2307">
            <v>0</v>
          </cell>
          <cell r="AC2307">
            <v>0</v>
          </cell>
          <cell r="AD2307">
            <v>0</v>
          </cell>
          <cell r="BM2307">
            <v>0</v>
          </cell>
          <cell r="BN2307">
            <v>0</v>
          </cell>
          <cell r="BO2307">
            <v>0</v>
          </cell>
          <cell r="BP2307">
            <v>0</v>
          </cell>
          <cell r="BQ2307">
            <v>0</v>
          </cell>
          <cell r="BR2307">
            <v>0</v>
          </cell>
          <cell r="BT2307">
            <v>0</v>
          </cell>
          <cell r="BV2307">
            <v>2</v>
          </cell>
          <cell r="BW2307">
            <v>78</v>
          </cell>
          <cell r="CA2307" t="str">
            <v>SORTSG - CONTRACT - Identified - New</v>
          </cell>
          <cell r="CC2307" t="str">
            <v>SORTSG - CONTRACT - Identified - New - NE</v>
          </cell>
          <cell r="CD2307" t="str">
            <v/>
          </cell>
          <cell r="CF2307" t="str">
            <v>SORTSG - Identified - New - NE</v>
          </cell>
        </row>
        <row r="2308">
          <cell r="D2308">
            <v>106</v>
          </cell>
          <cell r="E2308">
            <v>0</v>
          </cell>
          <cell r="F2308">
            <v>7</v>
          </cell>
          <cell r="G2308" t="str">
            <v>SORTSG</v>
          </cell>
          <cell r="H2308" t="str">
            <v>Sort Seg Canada</v>
          </cell>
          <cell r="I2308" t="str">
            <v>NE</v>
          </cell>
          <cell r="J2308" t="str">
            <v>NE DD and WM Projects</v>
          </cell>
          <cell r="K2308" t="str">
            <v>Other Foreign Gov't</v>
          </cell>
          <cell r="L2308" t="str">
            <v>Non-US Gov't</v>
          </cell>
          <cell r="M2308" t="str">
            <v>Canada</v>
          </cell>
          <cell r="N2308" t="str">
            <v>OCONUS</v>
          </cell>
          <cell r="O2308">
            <v>43481</v>
          </cell>
          <cell r="P2308">
            <v>44196</v>
          </cell>
          <cell r="Q2308" t="str">
            <v>Minority</v>
          </cell>
          <cell r="R2308" t="str">
            <v>FFP</v>
          </cell>
          <cell r="S2308">
            <v>1</v>
          </cell>
          <cell r="T2308">
            <v>0</v>
          </cell>
          <cell r="U2308" t="str">
            <v>EBITA</v>
          </cell>
          <cell r="V2308" t="str">
            <v>Base</v>
          </cell>
          <cell r="W2308" t="str">
            <v>05 Won</v>
          </cell>
          <cell r="X2308" t="str">
            <v>Active</v>
          </cell>
          <cell r="Y2308">
            <v>0</v>
          </cell>
          <cell r="Z2308">
            <v>0</v>
          </cell>
          <cell r="AA2308">
            <v>0</v>
          </cell>
          <cell r="AB2308">
            <v>0</v>
          </cell>
          <cell r="AC2308">
            <v>0</v>
          </cell>
          <cell r="AD2308">
            <v>0</v>
          </cell>
          <cell r="BF2308">
            <v>0</v>
          </cell>
          <cell r="BG2308">
            <v>0</v>
          </cell>
          <cell r="BH2308">
            <v>0</v>
          </cell>
          <cell r="BI2308">
            <v>0</v>
          </cell>
          <cell r="BJ2308">
            <v>0</v>
          </cell>
          <cell r="BK2308">
            <v>0</v>
          </cell>
          <cell r="BL2308">
            <v>50000</v>
          </cell>
          <cell r="BM2308">
            <v>50000</v>
          </cell>
          <cell r="BN2308">
            <v>589912.98</v>
          </cell>
          <cell r="BO2308">
            <v>147478.245</v>
          </cell>
          <cell r="BP2308">
            <v>0</v>
          </cell>
          <cell r="BQ2308">
            <v>0</v>
          </cell>
          <cell r="BR2308">
            <v>787391.22499999998</v>
          </cell>
          <cell r="BT2308">
            <v>0</v>
          </cell>
          <cell r="BV2308">
            <v>24</v>
          </cell>
          <cell r="BW2308">
            <v>87</v>
          </cell>
          <cell r="CA2308" t="str">
            <v>SORTSG - EBITA - Base</v>
          </cell>
          <cell r="CC2308" t="str">
            <v>SORTSG - EBITA - Base - NE</v>
          </cell>
          <cell r="CD2308" t="str">
            <v/>
          </cell>
          <cell r="CF2308" t="str">
            <v>SORTSG - Base - NE</v>
          </cell>
        </row>
        <row r="2309">
          <cell r="D2309">
            <v>107</v>
          </cell>
          <cell r="E2309">
            <v>0</v>
          </cell>
          <cell r="F2309">
            <v>8</v>
          </cell>
          <cell r="G2309" t="str">
            <v>SORTSG</v>
          </cell>
          <cell r="H2309" t="str">
            <v>Sort Seg Canada</v>
          </cell>
          <cell r="I2309" t="str">
            <v>NE</v>
          </cell>
          <cell r="J2309" t="str">
            <v>NE DD and WM Projects</v>
          </cell>
          <cell r="K2309" t="str">
            <v>Other Foreign Gov't</v>
          </cell>
          <cell r="L2309" t="str">
            <v>Non-US Gov't</v>
          </cell>
          <cell r="M2309" t="str">
            <v>Canada</v>
          </cell>
          <cell r="N2309" t="str">
            <v>OCONUS</v>
          </cell>
          <cell r="O2309">
            <v>0</v>
          </cell>
          <cell r="P2309">
            <v>0</v>
          </cell>
          <cell r="Q2309">
            <v>0</v>
          </cell>
          <cell r="R2309">
            <v>0</v>
          </cell>
          <cell r="S2309">
            <v>1</v>
          </cell>
          <cell r="T2309">
            <v>0</v>
          </cell>
          <cell r="U2309" t="str">
            <v>EBITA</v>
          </cell>
          <cell r="V2309" t="str">
            <v>Identified - Recompete</v>
          </cell>
          <cell r="W2309">
            <v>0</v>
          </cell>
          <cell r="X2309">
            <v>0</v>
          </cell>
          <cell r="Y2309">
            <v>0</v>
          </cell>
          <cell r="Z2309">
            <v>0</v>
          </cell>
          <cell r="AA2309">
            <v>0</v>
          </cell>
          <cell r="AB2309">
            <v>0</v>
          </cell>
          <cell r="AC2309">
            <v>0</v>
          </cell>
          <cell r="AD2309">
            <v>0</v>
          </cell>
          <cell r="BM2309">
            <v>0</v>
          </cell>
          <cell r="BN2309">
            <v>0</v>
          </cell>
          <cell r="BO2309">
            <v>0</v>
          </cell>
          <cell r="BP2309">
            <v>0</v>
          </cell>
          <cell r="BQ2309">
            <v>0</v>
          </cell>
          <cell r="BR2309">
            <v>0</v>
          </cell>
          <cell r="BT2309">
            <v>0</v>
          </cell>
          <cell r="BV2309">
            <v>2</v>
          </cell>
          <cell r="BW2309">
            <v>87</v>
          </cell>
          <cell r="CA2309" t="str">
            <v>SORTSG - EBITA - Identified - Recompete</v>
          </cell>
          <cell r="CC2309" t="str">
            <v>SORTSG - EBITA - Identified - Recompete - NE</v>
          </cell>
          <cell r="CD2309" t="str">
            <v/>
          </cell>
          <cell r="CF2309" t="str">
            <v>SORTSG - Identified - Recompete - NE</v>
          </cell>
        </row>
        <row r="2310">
          <cell r="D2310">
            <v>108</v>
          </cell>
          <cell r="E2310">
            <v>0</v>
          </cell>
          <cell r="F2310">
            <v>0</v>
          </cell>
          <cell r="G2310" t="str">
            <v>SORTSG</v>
          </cell>
          <cell r="H2310" t="str">
            <v>Sort Seg Canada</v>
          </cell>
          <cell r="I2310" t="str">
            <v>NE</v>
          </cell>
          <cell r="J2310" t="str">
            <v>NE DD and WM Projects</v>
          </cell>
          <cell r="K2310" t="str">
            <v>Other Foreign Gov't</v>
          </cell>
          <cell r="L2310" t="str">
            <v>Non-US Gov't</v>
          </cell>
          <cell r="M2310" t="str">
            <v>Canada</v>
          </cell>
          <cell r="N2310" t="str">
            <v>OCONUS</v>
          </cell>
          <cell r="O2310">
            <v>0</v>
          </cell>
          <cell r="P2310">
            <v>0</v>
          </cell>
          <cell r="Q2310">
            <v>0</v>
          </cell>
          <cell r="R2310">
            <v>0</v>
          </cell>
          <cell r="S2310">
            <v>1</v>
          </cell>
          <cell r="T2310">
            <v>0</v>
          </cell>
          <cell r="U2310" t="str">
            <v>EBITA</v>
          </cell>
          <cell r="V2310" t="str">
            <v>Identified - New</v>
          </cell>
          <cell r="W2310">
            <v>0</v>
          </cell>
          <cell r="X2310">
            <v>0</v>
          </cell>
          <cell r="Y2310">
            <v>0</v>
          </cell>
          <cell r="Z2310">
            <v>0</v>
          </cell>
          <cell r="AA2310">
            <v>0</v>
          </cell>
          <cell r="AB2310">
            <v>0</v>
          </cell>
          <cell r="AC2310">
            <v>0</v>
          </cell>
          <cell r="AD2310">
            <v>0</v>
          </cell>
          <cell r="BM2310">
            <v>0</v>
          </cell>
          <cell r="BN2310">
            <v>0</v>
          </cell>
          <cell r="BO2310">
            <v>0</v>
          </cell>
          <cell r="BP2310">
            <v>0</v>
          </cell>
          <cell r="BQ2310">
            <v>0</v>
          </cell>
          <cell r="BR2310">
            <v>0</v>
          </cell>
          <cell r="BT2310">
            <v>0</v>
          </cell>
          <cell r="BV2310">
            <v>2</v>
          </cell>
          <cell r="BW2310">
            <v>87</v>
          </cell>
          <cell r="CA2310" t="str">
            <v>SORTSG - EBITA - Identified - New</v>
          </cell>
          <cell r="CC2310" t="str">
            <v>SORTSG - EBITA - Identified - New - NE</v>
          </cell>
          <cell r="CD2310" t="str">
            <v/>
          </cell>
          <cell r="CF2310" t="str">
            <v>SORTSG - Identified - New - NE</v>
          </cell>
        </row>
        <row r="2311">
          <cell r="D2311">
            <v>109</v>
          </cell>
          <cell r="E2311">
            <v>1</v>
          </cell>
          <cell r="F2311">
            <v>1</v>
          </cell>
          <cell r="G2311" t="str">
            <v>OPP-775052</v>
          </cell>
          <cell r="H2311" t="str">
            <v>West Valley Demonstration Project Phase 1B</v>
          </cell>
          <cell r="I2311" t="str">
            <v>NE</v>
          </cell>
          <cell r="J2311" t="str">
            <v>NE DD and WM Projects</v>
          </cell>
          <cell r="K2311" t="str">
            <v>DOE-EM</v>
          </cell>
          <cell r="L2311" t="str">
            <v>DOE</v>
          </cell>
          <cell r="O2311">
            <v>0</v>
          </cell>
          <cell r="P2311">
            <v>0</v>
          </cell>
          <cell r="Q2311">
            <v>0</v>
          </cell>
          <cell r="R2311">
            <v>0</v>
          </cell>
          <cell r="S2311">
            <v>1</v>
          </cell>
          <cell r="T2311">
            <v>0</v>
          </cell>
          <cell r="U2311" t="str">
            <v>REVTOT</v>
          </cell>
          <cell r="V2311" t="str">
            <v>Base</v>
          </cell>
          <cell r="W2311">
            <v>0</v>
          </cell>
          <cell r="X2311">
            <v>0</v>
          </cell>
          <cell r="Y2311">
            <v>0</v>
          </cell>
          <cell r="Z2311">
            <v>0</v>
          </cell>
          <cell r="AA2311">
            <v>0</v>
          </cell>
          <cell r="AB2311">
            <v>0</v>
          </cell>
          <cell r="AC2311">
            <v>0</v>
          </cell>
          <cell r="AD2311">
            <v>0</v>
          </cell>
          <cell r="BF2311">
            <v>0</v>
          </cell>
          <cell r="BG2311">
            <v>0</v>
          </cell>
          <cell r="BH2311">
            <v>0</v>
          </cell>
          <cell r="BI2311">
            <v>0</v>
          </cell>
          <cell r="BJ2311">
            <v>0</v>
          </cell>
          <cell r="BK2311">
            <v>0</v>
          </cell>
          <cell r="BL2311">
            <v>0</v>
          </cell>
          <cell r="BM2311">
            <v>0</v>
          </cell>
          <cell r="BN2311">
            <v>0</v>
          </cell>
          <cell r="BO2311">
            <v>0</v>
          </cell>
          <cell r="BP2311">
            <v>0</v>
          </cell>
          <cell r="BQ2311">
            <v>0</v>
          </cell>
          <cell r="BR2311">
            <v>0</v>
          </cell>
          <cell r="BT2311">
            <v>0</v>
          </cell>
          <cell r="BV2311">
            <v>2</v>
          </cell>
          <cell r="BW2311">
            <v>60</v>
          </cell>
          <cell r="CA2311" t="str">
            <v>OPP-775052 - REVTOT - Base</v>
          </cell>
          <cell r="CC2311" t="str">
            <v>OPP-775052 - REVTOT - Base - NE</v>
          </cell>
          <cell r="CD2311" t="str">
            <v/>
          </cell>
          <cell r="CF2311" t="str">
            <v>OPP-775052 - Base - NE</v>
          </cell>
        </row>
        <row r="2312">
          <cell r="D2312">
            <v>110</v>
          </cell>
          <cell r="E2312">
            <v>1</v>
          </cell>
          <cell r="F2312">
            <v>2</v>
          </cell>
          <cell r="G2312" t="str">
            <v>OPP-775052</v>
          </cell>
          <cell r="H2312" t="str">
            <v>West Valley Demonstration Project Phase 1B</v>
          </cell>
          <cell r="I2312" t="str">
            <v>NE</v>
          </cell>
          <cell r="J2312" t="str">
            <v>NE DD and WM Projects</v>
          </cell>
          <cell r="K2312" t="str">
            <v>DOE-EM</v>
          </cell>
          <cell r="L2312" t="str">
            <v>DOE</v>
          </cell>
          <cell r="O2312">
            <v>0</v>
          </cell>
          <cell r="P2312">
            <v>0</v>
          </cell>
          <cell r="Q2312">
            <v>0</v>
          </cell>
          <cell r="R2312">
            <v>0</v>
          </cell>
          <cell r="S2312">
            <v>1</v>
          </cell>
          <cell r="T2312">
            <v>0</v>
          </cell>
          <cell r="U2312" t="str">
            <v>REVTOT</v>
          </cell>
          <cell r="V2312" t="str">
            <v>Identified - Recompete</v>
          </cell>
          <cell r="W2312">
            <v>0</v>
          </cell>
          <cell r="X2312">
            <v>0</v>
          </cell>
          <cell r="Y2312">
            <v>0</v>
          </cell>
          <cell r="Z2312">
            <v>0</v>
          </cell>
          <cell r="AA2312">
            <v>0</v>
          </cell>
          <cell r="AB2312">
            <v>0</v>
          </cell>
          <cell r="AC2312">
            <v>0</v>
          </cell>
          <cell r="AD2312">
            <v>0</v>
          </cell>
          <cell r="BM2312">
            <v>0</v>
          </cell>
          <cell r="BN2312">
            <v>0</v>
          </cell>
          <cell r="BO2312">
            <v>0</v>
          </cell>
          <cell r="BP2312">
            <v>0</v>
          </cell>
          <cell r="BQ2312">
            <v>0</v>
          </cell>
          <cell r="BR2312">
            <v>0</v>
          </cell>
          <cell r="BT2312">
            <v>0</v>
          </cell>
          <cell r="BV2312">
            <v>2</v>
          </cell>
          <cell r="BW2312">
            <v>60</v>
          </cell>
          <cell r="CA2312" t="str">
            <v>OPP-775052 - REVTOT - Identified - Recompete</v>
          </cell>
          <cell r="CC2312" t="str">
            <v>OPP-775052 - REVTOT - Identified - Recompete - NE</v>
          </cell>
          <cell r="CD2312" t="str">
            <v/>
          </cell>
          <cell r="CF2312" t="str">
            <v>OPP-775052 - Identified - Recompete - NE</v>
          </cell>
        </row>
        <row r="2313">
          <cell r="D2313">
            <v>111</v>
          </cell>
          <cell r="E2313">
            <v>1</v>
          </cell>
          <cell r="F2313">
            <v>3</v>
          </cell>
          <cell r="G2313" t="str">
            <v>OPP-775052</v>
          </cell>
          <cell r="H2313" t="str">
            <v>West Valley Demonstration Project Phase 1B</v>
          </cell>
          <cell r="I2313" t="str">
            <v>NE</v>
          </cell>
          <cell r="J2313" t="str">
            <v>NE DD and WM Projects</v>
          </cell>
          <cell r="K2313" t="str">
            <v>DOE-EM</v>
          </cell>
          <cell r="L2313" t="str">
            <v>DOE</v>
          </cell>
          <cell r="O2313">
            <v>44265</v>
          </cell>
          <cell r="P2313">
            <v>47917</v>
          </cell>
          <cell r="Q2313" t="str">
            <v>Majority</v>
          </cell>
          <cell r="R2313" t="str">
            <v>Cost Plus</v>
          </cell>
          <cell r="S2313">
            <v>1</v>
          </cell>
          <cell r="T2313">
            <v>1</v>
          </cell>
          <cell r="U2313" t="str">
            <v>REVTOT</v>
          </cell>
          <cell r="V2313" t="str">
            <v>Identified - New</v>
          </cell>
          <cell r="W2313" t="str">
            <v>02 Capture</v>
          </cell>
          <cell r="X2313" t="str">
            <v>Priority 1</v>
          </cell>
          <cell r="Y2313">
            <v>0.4</v>
          </cell>
          <cell r="Z2313">
            <v>271000000</v>
          </cell>
          <cell r="AA2313">
            <v>0</v>
          </cell>
          <cell r="AB2313">
            <v>0</v>
          </cell>
          <cell r="AC2313">
            <v>0</v>
          </cell>
          <cell r="AD2313">
            <v>0</v>
          </cell>
          <cell r="BM2313">
            <v>0</v>
          </cell>
          <cell r="BN2313">
            <v>0</v>
          </cell>
          <cell r="BO2313">
            <v>12044444.444444446</v>
          </cell>
          <cell r="BP2313">
            <v>21680000</v>
          </cell>
          <cell r="BQ2313">
            <v>21680000</v>
          </cell>
          <cell r="BR2313">
            <v>55404444.444444448</v>
          </cell>
          <cell r="BT2313">
            <v>0</v>
          </cell>
          <cell r="BV2313">
            <v>28</v>
          </cell>
          <cell r="BW2313">
            <v>60</v>
          </cell>
          <cell r="CA2313" t="str">
            <v>OPP-775052 - REVTOT - Identified - New</v>
          </cell>
          <cell r="CC2313" t="str">
            <v>OPP-775052 - REVTOT - Identified - New - NE</v>
          </cell>
          <cell r="CD2313" t="str">
            <v/>
          </cell>
          <cell r="CF2313" t="str">
            <v>OPP-775052 - Identified - New - NE</v>
          </cell>
        </row>
        <row r="2314">
          <cell r="D2314">
            <v>112</v>
          </cell>
          <cell r="E2314">
            <v>2</v>
          </cell>
          <cell r="F2314">
            <v>4</v>
          </cell>
          <cell r="G2314" t="str">
            <v>OPP-775052</v>
          </cell>
          <cell r="H2314" t="str">
            <v>West Valley Demonstration Project Phase 1B</v>
          </cell>
          <cell r="I2314" t="str">
            <v>NE</v>
          </cell>
          <cell r="J2314" t="str">
            <v>NE DD and WM Projects</v>
          </cell>
          <cell r="K2314" t="str">
            <v>DOE-EM</v>
          </cell>
          <cell r="L2314" t="str">
            <v>DOE</v>
          </cell>
          <cell r="O2314">
            <v>0</v>
          </cell>
          <cell r="P2314">
            <v>0</v>
          </cell>
          <cell r="Q2314">
            <v>0</v>
          </cell>
          <cell r="R2314">
            <v>0</v>
          </cell>
          <cell r="S2314">
            <v>1</v>
          </cell>
          <cell r="T2314">
            <v>0</v>
          </cell>
          <cell r="U2314" t="str">
            <v>CONTRACT</v>
          </cell>
          <cell r="V2314" t="str">
            <v>Base</v>
          </cell>
          <cell r="W2314">
            <v>0</v>
          </cell>
          <cell r="X2314">
            <v>0</v>
          </cell>
          <cell r="Y2314">
            <v>0</v>
          </cell>
          <cell r="Z2314">
            <v>0</v>
          </cell>
          <cell r="AA2314">
            <v>0</v>
          </cell>
          <cell r="AB2314">
            <v>0</v>
          </cell>
          <cell r="AC2314">
            <v>0</v>
          </cell>
          <cell r="AD2314">
            <v>0</v>
          </cell>
          <cell r="BF2314">
            <v>0</v>
          </cell>
          <cell r="BG2314">
            <v>0</v>
          </cell>
          <cell r="BH2314">
            <v>0</v>
          </cell>
          <cell r="BI2314">
            <v>0</v>
          </cell>
          <cell r="BJ2314">
            <v>0</v>
          </cell>
          <cell r="BK2314">
            <v>0</v>
          </cell>
          <cell r="BL2314">
            <v>0</v>
          </cell>
          <cell r="BM2314">
            <v>0</v>
          </cell>
          <cell r="BN2314">
            <v>0</v>
          </cell>
          <cell r="BO2314">
            <v>0</v>
          </cell>
          <cell r="BP2314">
            <v>0</v>
          </cell>
          <cell r="BQ2314">
            <v>0</v>
          </cell>
          <cell r="BR2314">
            <v>0</v>
          </cell>
          <cell r="BT2314">
            <v>0</v>
          </cell>
          <cell r="BV2314">
            <v>2</v>
          </cell>
          <cell r="BW2314">
            <v>78</v>
          </cell>
          <cell r="CA2314" t="str">
            <v>OPP-775052 - CONTRACT - Base</v>
          </cell>
          <cell r="CC2314" t="str">
            <v>OPP-775052 - CONTRACT - Base - NE - 2</v>
          </cell>
          <cell r="CD2314" t="str">
            <v/>
          </cell>
          <cell r="CF2314" t="str">
            <v>OPP-775052 - Base - NE</v>
          </cell>
        </row>
        <row r="2315">
          <cell r="D2315">
            <v>113</v>
          </cell>
          <cell r="E2315">
            <v>2</v>
          </cell>
          <cell r="F2315">
            <v>5</v>
          </cell>
          <cell r="G2315" t="str">
            <v>OPP-775052</v>
          </cell>
          <cell r="H2315" t="str">
            <v>West Valley Demonstration Project Phase 1B</v>
          </cell>
          <cell r="I2315" t="str">
            <v>NE</v>
          </cell>
          <cell r="J2315" t="str">
            <v>NE DD and WM Projects</v>
          </cell>
          <cell r="K2315" t="str">
            <v>DOE-EM</v>
          </cell>
          <cell r="L2315" t="str">
            <v>DOE</v>
          </cell>
          <cell r="O2315">
            <v>0</v>
          </cell>
          <cell r="P2315">
            <v>0</v>
          </cell>
          <cell r="Q2315">
            <v>0</v>
          </cell>
          <cell r="R2315">
            <v>0</v>
          </cell>
          <cell r="S2315">
            <v>1</v>
          </cell>
          <cell r="T2315">
            <v>0</v>
          </cell>
          <cell r="U2315" t="str">
            <v>CONTRACT</v>
          </cell>
          <cell r="V2315" t="str">
            <v>Identified - Recompete</v>
          </cell>
          <cell r="W2315">
            <v>0</v>
          </cell>
          <cell r="X2315">
            <v>0</v>
          </cell>
          <cell r="Y2315">
            <v>0</v>
          </cell>
          <cell r="Z2315">
            <v>0</v>
          </cell>
          <cell r="AA2315">
            <v>0</v>
          </cell>
          <cell r="AB2315">
            <v>0</v>
          </cell>
          <cell r="AC2315">
            <v>0</v>
          </cell>
          <cell r="AD2315">
            <v>0</v>
          </cell>
          <cell r="BM2315">
            <v>0</v>
          </cell>
          <cell r="BN2315">
            <v>0</v>
          </cell>
          <cell r="BO2315">
            <v>0</v>
          </cell>
          <cell r="BP2315">
            <v>0</v>
          </cell>
          <cell r="BQ2315">
            <v>0</v>
          </cell>
          <cell r="BR2315">
            <v>0</v>
          </cell>
          <cell r="BT2315">
            <v>0</v>
          </cell>
          <cell r="BV2315">
            <v>2</v>
          </cell>
          <cell r="BW2315">
            <v>78</v>
          </cell>
          <cell r="CA2315" t="str">
            <v>OPP-775052 - CONTRACT - Identified - Recompete</v>
          </cell>
          <cell r="CC2315" t="str">
            <v>OPP-775052 - CONTRACT - Identified - Recompete - NE</v>
          </cell>
          <cell r="CD2315" t="str">
            <v/>
          </cell>
          <cell r="CF2315" t="str">
            <v>OPP-775052 - Identified - Recompete - NE</v>
          </cell>
        </row>
        <row r="2316">
          <cell r="D2316">
            <v>114</v>
          </cell>
          <cell r="E2316">
            <v>2</v>
          </cell>
          <cell r="F2316">
            <v>6</v>
          </cell>
          <cell r="G2316" t="str">
            <v>OPP-775052</v>
          </cell>
          <cell r="H2316" t="str">
            <v>West Valley Demonstration Project Phase 1B</v>
          </cell>
          <cell r="I2316" t="str">
            <v>NE</v>
          </cell>
          <cell r="J2316" t="str">
            <v>NE DD and WM Projects</v>
          </cell>
          <cell r="K2316" t="str">
            <v>DOE-EM</v>
          </cell>
          <cell r="L2316" t="str">
            <v>DOE</v>
          </cell>
          <cell r="O2316">
            <v>44265</v>
          </cell>
          <cell r="P2316">
            <v>47917</v>
          </cell>
          <cell r="Q2316" t="str">
            <v>Majority</v>
          </cell>
          <cell r="R2316" t="str">
            <v>Cost Plus</v>
          </cell>
          <cell r="S2316">
            <v>1</v>
          </cell>
          <cell r="T2316">
            <v>1</v>
          </cell>
          <cell r="U2316" t="str">
            <v>CONTRACT</v>
          </cell>
          <cell r="V2316" t="str">
            <v>Identified - New</v>
          </cell>
          <cell r="W2316" t="str">
            <v>02 Capture</v>
          </cell>
          <cell r="X2316" t="str">
            <v>Priority 1</v>
          </cell>
          <cell r="Y2316">
            <v>0.4</v>
          </cell>
          <cell r="Z2316">
            <v>271000000</v>
          </cell>
          <cell r="AA2316">
            <v>0</v>
          </cell>
          <cell r="AB2316">
            <v>0</v>
          </cell>
          <cell r="AC2316">
            <v>0</v>
          </cell>
          <cell r="AD2316">
            <v>0</v>
          </cell>
          <cell r="BM2316">
            <v>0</v>
          </cell>
          <cell r="BN2316">
            <v>0</v>
          </cell>
          <cell r="BO2316">
            <v>493822.22222222231</v>
          </cell>
          <cell r="BP2316">
            <v>888880</v>
          </cell>
          <cell r="BQ2316">
            <v>888880</v>
          </cell>
          <cell r="BR2316">
            <v>2271582.222222222</v>
          </cell>
          <cell r="BT2316">
            <v>0</v>
          </cell>
          <cell r="BV2316">
            <v>28</v>
          </cell>
          <cell r="BW2316">
            <v>78</v>
          </cell>
          <cell r="CA2316" t="str">
            <v>OPP-775052 - CONTRACT - Identified - New</v>
          </cell>
          <cell r="CC2316" t="str">
            <v>OPP-775052 - CONTRACT - Identified - New - NE</v>
          </cell>
          <cell r="CD2316" t="str">
            <v/>
          </cell>
          <cell r="CF2316" t="str">
            <v>OPP-775052 - Identified - New - NE</v>
          </cell>
        </row>
        <row r="2317">
          <cell r="D2317">
            <v>115</v>
          </cell>
          <cell r="E2317">
            <v>0</v>
          </cell>
          <cell r="F2317">
            <v>7</v>
          </cell>
          <cell r="G2317" t="str">
            <v>OPP-775052</v>
          </cell>
          <cell r="H2317" t="str">
            <v>West Valley Demonstration Project Phase 1B</v>
          </cell>
          <cell r="I2317" t="str">
            <v>NE</v>
          </cell>
          <cell r="J2317" t="str">
            <v>NE DD and WM Projects</v>
          </cell>
          <cell r="K2317" t="str">
            <v>DOE-EM</v>
          </cell>
          <cell r="L2317" t="str">
            <v>DOE</v>
          </cell>
          <cell r="O2317">
            <v>0</v>
          </cell>
          <cell r="P2317">
            <v>0</v>
          </cell>
          <cell r="Q2317">
            <v>0</v>
          </cell>
          <cell r="R2317">
            <v>0</v>
          </cell>
          <cell r="S2317">
            <v>1</v>
          </cell>
          <cell r="T2317">
            <v>0</v>
          </cell>
          <cell r="U2317" t="str">
            <v>EBITA</v>
          </cell>
          <cell r="V2317" t="str">
            <v>Base</v>
          </cell>
          <cell r="W2317">
            <v>0</v>
          </cell>
          <cell r="X2317">
            <v>0</v>
          </cell>
          <cell r="Y2317">
            <v>0</v>
          </cell>
          <cell r="Z2317">
            <v>0</v>
          </cell>
          <cell r="AA2317">
            <v>0</v>
          </cell>
          <cell r="AB2317">
            <v>0</v>
          </cell>
          <cell r="AC2317">
            <v>0</v>
          </cell>
          <cell r="AD2317">
            <v>0</v>
          </cell>
          <cell r="BF2317">
            <v>0</v>
          </cell>
          <cell r="BG2317">
            <v>0</v>
          </cell>
          <cell r="BH2317">
            <v>0</v>
          </cell>
          <cell r="BI2317">
            <v>0</v>
          </cell>
          <cell r="BJ2317">
            <v>0</v>
          </cell>
          <cell r="BK2317">
            <v>0</v>
          </cell>
          <cell r="BL2317">
            <v>0</v>
          </cell>
          <cell r="BM2317">
            <v>0</v>
          </cell>
          <cell r="BN2317">
            <v>0</v>
          </cell>
          <cell r="BO2317">
            <v>0</v>
          </cell>
          <cell r="BP2317">
            <v>0</v>
          </cell>
          <cell r="BQ2317">
            <v>0</v>
          </cell>
          <cell r="BR2317">
            <v>0</v>
          </cell>
          <cell r="BT2317">
            <v>0</v>
          </cell>
          <cell r="BV2317">
            <v>2</v>
          </cell>
          <cell r="BW2317">
            <v>87</v>
          </cell>
          <cell r="CA2317" t="str">
            <v>OPP-775052 - EBITA - Base</v>
          </cell>
          <cell r="CC2317" t="str">
            <v>OPP-775052 - EBITA - Base - NE</v>
          </cell>
          <cell r="CD2317" t="str">
            <v/>
          </cell>
          <cell r="CF2317" t="str">
            <v>OPP-775052 - Base - NE</v>
          </cell>
        </row>
        <row r="2318">
          <cell r="D2318">
            <v>116</v>
          </cell>
          <cell r="E2318">
            <v>0</v>
          </cell>
          <cell r="F2318">
            <v>8</v>
          </cell>
          <cell r="G2318" t="str">
            <v>OPP-775052</v>
          </cell>
          <cell r="H2318" t="str">
            <v>West Valley Demonstration Project Phase 1B</v>
          </cell>
          <cell r="I2318" t="str">
            <v>NE</v>
          </cell>
          <cell r="J2318" t="str">
            <v>NE DD and WM Projects</v>
          </cell>
          <cell r="K2318" t="str">
            <v>DOE-EM</v>
          </cell>
          <cell r="L2318" t="str">
            <v>DOE</v>
          </cell>
          <cell r="O2318">
            <v>0</v>
          </cell>
          <cell r="P2318">
            <v>0</v>
          </cell>
          <cell r="Q2318">
            <v>0</v>
          </cell>
          <cell r="R2318">
            <v>0</v>
          </cell>
          <cell r="S2318">
            <v>1</v>
          </cell>
          <cell r="T2318">
            <v>0</v>
          </cell>
          <cell r="U2318" t="str">
            <v>EBITA</v>
          </cell>
          <cell r="V2318" t="str">
            <v>Identified - Recompete</v>
          </cell>
          <cell r="W2318">
            <v>0</v>
          </cell>
          <cell r="X2318">
            <v>0</v>
          </cell>
          <cell r="Y2318">
            <v>0</v>
          </cell>
          <cell r="Z2318">
            <v>0</v>
          </cell>
          <cell r="AA2318">
            <v>0</v>
          </cell>
          <cell r="AB2318">
            <v>0</v>
          </cell>
          <cell r="AC2318">
            <v>0</v>
          </cell>
          <cell r="AD2318">
            <v>0</v>
          </cell>
          <cell r="BM2318">
            <v>0</v>
          </cell>
          <cell r="BN2318">
            <v>0</v>
          </cell>
          <cell r="BO2318">
            <v>0</v>
          </cell>
          <cell r="BP2318">
            <v>0</v>
          </cell>
          <cell r="BQ2318">
            <v>0</v>
          </cell>
          <cell r="BR2318">
            <v>0</v>
          </cell>
          <cell r="BT2318">
            <v>0</v>
          </cell>
          <cell r="BV2318">
            <v>2</v>
          </cell>
          <cell r="BW2318">
            <v>87</v>
          </cell>
          <cell r="CA2318" t="str">
            <v>OPP-775052 - EBITA - Identified - Recompete</v>
          </cell>
          <cell r="CC2318" t="str">
            <v>OPP-775052 - EBITA - Identified - Recompete - NE</v>
          </cell>
          <cell r="CD2318" t="str">
            <v/>
          </cell>
          <cell r="CF2318" t="str">
            <v>OPP-775052 - Identified - Recompete - NE</v>
          </cell>
        </row>
        <row r="2319">
          <cell r="D2319">
            <v>117</v>
          </cell>
          <cell r="E2319">
            <v>0</v>
          </cell>
          <cell r="F2319">
            <v>0</v>
          </cell>
          <cell r="G2319" t="str">
            <v>OPP-775052</v>
          </cell>
          <cell r="H2319" t="str">
            <v>West Valley Demonstration Project Phase 1B</v>
          </cell>
          <cell r="I2319" t="str">
            <v>NE</v>
          </cell>
          <cell r="J2319" t="str">
            <v>NE DD and WM Projects</v>
          </cell>
          <cell r="K2319" t="str">
            <v>DOE-EM</v>
          </cell>
          <cell r="L2319" t="str">
            <v>DOE</v>
          </cell>
          <cell r="O2319">
            <v>44265</v>
          </cell>
          <cell r="P2319">
            <v>47917</v>
          </cell>
          <cell r="Q2319" t="str">
            <v>Majority</v>
          </cell>
          <cell r="R2319" t="str">
            <v>Cost Plus</v>
          </cell>
          <cell r="S2319">
            <v>1</v>
          </cell>
          <cell r="T2319">
            <v>1</v>
          </cell>
          <cell r="U2319" t="str">
            <v>EBITA</v>
          </cell>
          <cell r="V2319" t="str">
            <v>Identified - New</v>
          </cell>
          <cell r="W2319" t="str">
            <v>02 Capture</v>
          </cell>
          <cell r="X2319" t="str">
            <v>Priority 1</v>
          </cell>
          <cell r="Y2319">
            <v>0.4</v>
          </cell>
          <cell r="Z2319">
            <v>271000000</v>
          </cell>
          <cell r="AA2319">
            <v>0</v>
          </cell>
          <cell r="AB2319">
            <v>0</v>
          </cell>
          <cell r="AC2319">
            <v>0</v>
          </cell>
          <cell r="AD2319">
            <v>0</v>
          </cell>
          <cell r="BM2319">
            <v>0</v>
          </cell>
          <cell r="BN2319">
            <v>0</v>
          </cell>
          <cell r="BO2319">
            <v>246911.11111111115</v>
          </cell>
          <cell r="BP2319">
            <v>444440</v>
          </cell>
          <cell r="BQ2319">
            <v>444440</v>
          </cell>
          <cell r="BR2319">
            <v>1135791.111111111</v>
          </cell>
          <cell r="BT2319">
            <v>0</v>
          </cell>
          <cell r="BV2319">
            <v>28</v>
          </cell>
          <cell r="BW2319">
            <v>87</v>
          </cell>
          <cell r="CA2319" t="str">
            <v>OPP-775052 - EBITA - Identified - New</v>
          </cell>
          <cell r="CC2319" t="str">
            <v>OPP-775052 - EBITA - Identified - New - NE</v>
          </cell>
          <cell r="CD2319" t="str">
            <v/>
          </cell>
          <cell r="CF2319" t="str">
            <v>OPP-775052 - Identified - New - NE</v>
          </cell>
        </row>
        <row r="2320">
          <cell r="D2320">
            <v>118</v>
          </cell>
          <cell r="E2320">
            <v>1</v>
          </cell>
          <cell r="F2320">
            <v>1</v>
          </cell>
          <cell r="G2320" t="str">
            <v>OPP-489491</v>
          </cell>
          <cell r="H2320" t="str">
            <v>CNL Waste Processing Facility (MS Portion)</v>
          </cell>
          <cell r="I2320" t="str">
            <v>NE</v>
          </cell>
          <cell r="J2320" t="str">
            <v>NE International Programs</v>
          </cell>
          <cell r="K2320" t="str">
            <v>Other Foreign Gov't</v>
          </cell>
          <cell r="L2320" t="str">
            <v>Non-US Gov't</v>
          </cell>
          <cell r="O2320">
            <v>0</v>
          </cell>
          <cell r="P2320">
            <v>0</v>
          </cell>
          <cell r="Q2320">
            <v>0</v>
          </cell>
          <cell r="R2320">
            <v>0</v>
          </cell>
          <cell r="S2320">
            <v>1</v>
          </cell>
          <cell r="T2320">
            <v>0</v>
          </cell>
          <cell r="U2320" t="str">
            <v>REVTOT</v>
          </cell>
          <cell r="V2320" t="str">
            <v>Base</v>
          </cell>
          <cell r="W2320">
            <v>0</v>
          </cell>
          <cell r="X2320">
            <v>0</v>
          </cell>
          <cell r="Y2320">
            <v>0</v>
          </cell>
          <cell r="Z2320">
            <v>0</v>
          </cell>
          <cell r="AA2320">
            <v>0</v>
          </cell>
          <cell r="AB2320">
            <v>0</v>
          </cell>
          <cell r="AC2320">
            <v>0</v>
          </cell>
          <cell r="AD2320">
            <v>0</v>
          </cell>
          <cell r="BF2320">
            <v>0</v>
          </cell>
          <cell r="BG2320">
            <v>0</v>
          </cell>
          <cell r="BH2320">
            <v>0</v>
          </cell>
          <cell r="BI2320">
            <v>0</v>
          </cell>
          <cell r="BJ2320">
            <v>0</v>
          </cell>
          <cell r="BK2320">
            <v>0</v>
          </cell>
          <cell r="BL2320">
            <v>0</v>
          </cell>
          <cell r="BM2320">
            <v>0</v>
          </cell>
          <cell r="BN2320">
            <v>0</v>
          </cell>
          <cell r="BO2320">
            <v>0</v>
          </cell>
          <cell r="BP2320">
            <v>0</v>
          </cell>
          <cell r="BQ2320">
            <v>0</v>
          </cell>
          <cell r="BR2320">
            <v>0</v>
          </cell>
          <cell r="BT2320">
            <v>0</v>
          </cell>
          <cell r="BV2320">
            <v>2</v>
          </cell>
          <cell r="BW2320">
            <v>60</v>
          </cell>
          <cell r="CA2320" t="str">
            <v>OPP-489491 - REVTOT - Base</v>
          </cell>
          <cell r="CC2320" t="str">
            <v>OPP-489491 - REVTOT - Base - NE</v>
          </cell>
          <cell r="CD2320" t="str">
            <v/>
          </cell>
          <cell r="CF2320" t="str">
            <v>OPP-489491 - Base - NE</v>
          </cell>
        </row>
        <row r="2321">
          <cell r="D2321">
            <v>119</v>
          </cell>
          <cell r="E2321">
            <v>1</v>
          </cell>
          <cell r="F2321">
            <v>2</v>
          </cell>
          <cell r="G2321" t="str">
            <v>OPP-489491</v>
          </cell>
          <cell r="H2321" t="str">
            <v>CNL Waste Processing Facility (MS Portion)</v>
          </cell>
          <cell r="I2321" t="str">
            <v>NE</v>
          </cell>
          <cell r="J2321" t="str">
            <v>NE International Programs</v>
          </cell>
          <cell r="K2321" t="str">
            <v>Other Foreign Gov't</v>
          </cell>
          <cell r="L2321" t="str">
            <v>Non-US Gov't</v>
          </cell>
          <cell r="O2321">
            <v>0</v>
          </cell>
          <cell r="P2321">
            <v>0</v>
          </cell>
          <cell r="Q2321">
            <v>0</v>
          </cell>
          <cell r="R2321">
            <v>0</v>
          </cell>
          <cell r="S2321">
            <v>1</v>
          </cell>
          <cell r="T2321">
            <v>0</v>
          </cell>
          <cell r="U2321" t="str">
            <v>REVTOT</v>
          </cell>
          <cell r="V2321" t="str">
            <v>Identified - Recompete</v>
          </cell>
          <cell r="W2321">
            <v>0</v>
          </cell>
          <cell r="X2321">
            <v>0</v>
          </cell>
          <cell r="Y2321">
            <v>0</v>
          </cell>
          <cell r="Z2321">
            <v>0</v>
          </cell>
          <cell r="AA2321">
            <v>0</v>
          </cell>
          <cell r="AB2321">
            <v>0</v>
          </cell>
          <cell r="AC2321">
            <v>0</v>
          </cell>
          <cell r="AD2321">
            <v>0</v>
          </cell>
          <cell r="BM2321">
            <v>0</v>
          </cell>
          <cell r="BN2321">
            <v>0</v>
          </cell>
          <cell r="BO2321">
            <v>0</v>
          </cell>
          <cell r="BP2321">
            <v>0</v>
          </cell>
          <cell r="BQ2321">
            <v>0</v>
          </cell>
          <cell r="BR2321">
            <v>0</v>
          </cell>
          <cell r="BT2321">
            <v>0</v>
          </cell>
          <cell r="BV2321">
            <v>2</v>
          </cell>
          <cell r="BW2321">
            <v>60</v>
          </cell>
          <cell r="CA2321" t="str">
            <v>OPP-489491 - REVTOT - Identified - Recompete</v>
          </cell>
          <cell r="CC2321" t="str">
            <v>OPP-489491 - REVTOT - Identified - Recompete - NE</v>
          </cell>
          <cell r="CD2321" t="str">
            <v/>
          </cell>
          <cell r="CF2321" t="str">
            <v>OPP-489491 - Identified - Recompete - NE</v>
          </cell>
        </row>
        <row r="2322">
          <cell r="D2322">
            <v>120</v>
          </cell>
          <cell r="E2322">
            <v>1</v>
          </cell>
          <cell r="F2322">
            <v>3</v>
          </cell>
          <cell r="G2322" t="str">
            <v>OPP-489491</v>
          </cell>
          <cell r="H2322" t="str">
            <v>CNL Waste Processing Facility (MS Portion)</v>
          </cell>
          <cell r="I2322" t="str">
            <v>NE</v>
          </cell>
          <cell r="J2322" t="str">
            <v>NE International Programs</v>
          </cell>
          <cell r="K2322" t="str">
            <v>Other Foreign Gov't</v>
          </cell>
          <cell r="L2322" t="str">
            <v>Non-US Gov't</v>
          </cell>
          <cell r="O2322">
            <v>44466</v>
          </cell>
          <cell r="P2322">
            <v>46292</v>
          </cell>
          <cell r="Q2322" t="str">
            <v>Majority</v>
          </cell>
          <cell r="R2322" t="str">
            <v>Other</v>
          </cell>
          <cell r="S2322">
            <v>1</v>
          </cell>
          <cell r="T2322">
            <v>0</v>
          </cell>
          <cell r="U2322" t="str">
            <v>REVTOT</v>
          </cell>
          <cell r="V2322" t="str">
            <v>Identified - New</v>
          </cell>
          <cell r="W2322" t="str">
            <v>00 Investigate</v>
          </cell>
          <cell r="X2322" t="str">
            <v>Priority 2</v>
          </cell>
          <cell r="Y2322">
            <v>0.4</v>
          </cell>
          <cell r="Z2322">
            <v>61200000</v>
          </cell>
          <cell r="AA2322">
            <v>0</v>
          </cell>
          <cell r="AB2322">
            <v>0</v>
          </cell>
          <cell r="AC2322">
            <v>0</v>
          </cell>
          <cell r="AD2322">
            <v>0</v>
          </cell>
          <cell r="BM2322">
            <v>0</v>
          </cell>
          <cell r="BN2322">
            <v>0</v>
          </cell>
          <cell r="BO2322">
            <v>0</v>
          </cell>
          <cell r="BP2322">
            <v>0</v>
          </cell>
          <cell r="BQ2322">
            <v>0</v>
          </cell>
          <cell r="BR2322">
            <v>0</v>
          </cell>
          <cell r="BT2322">
            <v>0</v>
          </cell>
          <cell r="BV2322">
            <v>29</v>
          </cell>
          <cell r="BW2322">
            <v>60</v>
          </cell>
          <cell r="CA2322" t="str">
            <v>OPP-489491 - REVTOT - Identified - New</v>
          </cell>
          <cell r="CC2322" t="str">
            <v>OPP-489491 - REVTOT - Identified - New - NE</v>
          </cell>
          <cell r="CD2322" t="str">
            <v/>
          </cell>
          <cell r="CF2322" t="str">
            <v>OPP-489491 - Identified - New - NE</v>
          </cell>
        </row>
        <row r="2323">
          <cell r="D2323">
            <v>121</v>
          </cell>
          <cell r="E2323">
            <v>2</v>
          </cell>
          <cell r="F2323">
            <v>4</v>
          </cell>
          <cell r="G2323" t="str">
            <v>OPP-489491</v>
          </cell>
          <cell r="H2323" t="str">
            <v>CNL Waste Processing Facility (MS Portion)</v>
          </cell>
          <cell r="I2323" t="str">
            <v>NE</v>
          </cell>
          <cell r="J2323" t="str">
            <v>NE International Programs</v>
          </cell>
          <cell r="K2323" t="str">
            <v>Other Foreign Gov't</v>
          </cell>
          <cell r="L2323" t="str">
            <v>Non-US Gov't</v>
          </cell>
          <cell r="O2323">
            <v>0</v>
          </cell>
          <cell r="P2323">
            <v>0</v>
          </cell>
          <cell r="Q2323">
            <v>0</v>
          </cell>
          <cell r="R2323">
            <v>0</v>
          </cell>
          <cell r="S2323">
            <v>1</v>
          </cell>
          <cell r="T2323">
            <v>0</v>
          </cell>
          <cell r="U2323" t="str">
            <v>CONTRACT</v>
          </cell>
          <cell r="V2323" t="str">
            <v>Base</v>
          </cell>
          <cell r="W2323">
            <v>0</v>
          </cell>
          <cell r="X2323">
            <v>0</v>
          </cell>
          <cell r="Y2323">
            <v>0</v>
          </cell>
          <cell r="Z2323">
            <v>0</v>
          </cell>
          <cell r="AA2323">
            <v>0</v>
          </cell>
          <cell r="AB2323">
            <v>0</v>
          </cell>
          <cell r="AC2323">
            <v>0</v>
          </cell>
          <cell r="AD2323">
            <v>0</v>
          </cell>
          <cell r="BF2323">
            <v>0</v>
          </cell>
          <cell r="BG2323">
            <v>0</v>
          </cell>
          <cell r="BH2323">
            <v>0</v>
          </cell>
          <cell r="BI2323">
            <v>0</v>
          </cell>
          <cell r="BJ2323">
            <v>0</v>
          </cell>
          <cell r="BK2323">
            <v>0</v>
          </cell>
          <cell r="BL2323">
            <v>0</v>
          </cell>
          <cell r="BM2323">
            <v>0</v>
          </cell>
          <cell r="BN2323">
            <v>0</v>
          </cell>
          <cell r="BO2323">
            <v>0</v>
          </cell>
          <cell r="BP2323">
            <v>0</v>
          </cell>
          <cell r="BQ2323">
            <v>0</v>
          </cell>
          <cell r="BR2323">
            <v>0</v>
          </cell>
          <cell r="BT2323">
            <v>0</v>
          </cell>
          <cell r="BV2323">
            <v>2</v>
          </cell>
          <cell r="BW2323">
            <v>78</v>
          </cell>
          <cell r="CA2323" t="str">
            <v>OPP-489491 - CONTRACT - Base</v>
          </cell>
          <cell r="CC2323" t="str">
            <v>OPP-489491 - CONTRACT - Base - NE - 2</v>
          </cell>
          <cell r="CD2323" t="str">
            <v/>
          </cell>
          <cell r="CF2323" t="str">
            <v>OPP-489491 - Base - NE</v>
          </cell>
        </row>
        <row r="2324">
          <cell r="D2324">
            <v>122</v>
          </cell>
          <cell r="E2324">
            <v>2</v>
          </cell>
          <cell r="F2324">
            <v>5</v>
          </cell>
          <cell r="G2324" t="str">
            <v>OPP-489491</v>
          </cell>
          <cell r="H2324" t="str">
            <v>CNL Waste Processing Facility (MS Portion)</v>
          </cell>
          <cell r="I2324" t="str">
            <v>NE</v>
          </cell>
          <cell r="J2324" t="str">
            <v>NE International Programs</v>
          </cell>
          <cell r="K2324" t="str">
            <v>Other Foreign Gov't</v>
          </cell>
          <cell r="L2324" t="str">
            <v>Non-US Gov't</v>
          </cell>
          <cell r="O2324">
            <v>0</v>
          </cell>
          <cell r="P2324">
            <v>0</v>
          </cell>
          <cell r="Q2324">
            <v>0</v>
          </cell>
          <cell r="R2324">
            <v>0</v>
          </cell>
          <cell r="S2324">
            <v>1</v>
          </cell>
          <cell r="T2324">
            <v>0</v>
          </cell>
          <cell r="U2324" t="str">
            <v>CONTRACT</v>
          </cell>
          <cell r="V2324" t="str">
            <v>Identified - Recompete</v>
          </cell>
          <cell r="W2324">
            <v>0</v>
          </cell>
          <cell r="X2324">
            <v>0</v>
          </cell>
          <cell r="Y2324">
            <v>0</v>
          </cell>
          <cell r="Z2324">
            <v>0</v>
          </cell>
          <cell r="AA2324">
            <v>0</v>
          </cell>
          <cell r="AB2324">
            <v>0</v>
          </cell>
          <cell r="AC2324">
            <v>0</v>
          </cell>
          <cell r="AD2324">
            <v>0</v>
          </cell>
          <cell r="BM2324">
            <v>0</v>
          </cell>
          <cell r="BN2324">
            <v>0</v>
          </cell>
          <cell r="BO2324">
            <v>0</v>
          </cell>
          <cell r="BP2324">
            <v>0</v>
          </cell>
          <cell r="BQ2324">
            <v>0</v>
          </cell>
          <cell r="BR2324">
            <v>0</v>
          </cell>
          <cell r="BT2324">
            <v>0</v>
          </cell>
          <cell r="BV2324">
            <v>2</v>
          </cell>
          <cell r="BW2324">
            <v>78</v>
          </cell>
          <cell r="CA2324" t="str">
            <v>OPP-489491 - CONTRACT - Identified - Recompete</v>
          </cell>
          <cell r="CC2324" t="str">
            <v>OPP-489491 - CONTRACT - Identified - Recompete - NE</v>
          </cell>
          <cell r="CD2324" t="str">
            <v/>
          </cell>
          <cell r="CF2324" t="str">
            <v>OPP-489491 - Identified - Recompete - NE</v>
          </cell>
        </row>
        <row r="2325">
          <cell r="D2325">
            <v>123</v>
          </cell>
          <cell r="E2325">
            <v>2</v>
          </cell>
          <cell r="F2325">
            <v>6</v>
          </cell>
          <cell r="G2325" t="str">
            <v>OPP-489491</v>
          </cell>
          <cell r="H2325" t="str">
            <v>CNL Waste Processing Facility (MS Portion)</v>
          </cell>
          <cell r="I2325" t="str">
            <v>NE</v>
          </cell>
          <cell r="J2325" t="str">
            <v>NE International Programs</v>
          </cell>
          <cell r="K2325" t="str">
            <v>Other Foreign Gov't</v>
          </cell>
          <cell r="L2325" t="str">
            <v>Non-US Gov't</v>
          </cell>
          <cell r="O2325">
            <v>44466</v>
          </cell>
          <cell r="P2325">
            <v>46292</v>
          </cell>
          <cell r="Q2325" t="str">
            <v>Majority</v>
          </cell>
          <cell r="R2325" t="str">
            <v>Other</v>
          </cell>
          <cell r="S2325">
            <v>1</v>
          </cell>
          <cell r="T2325">
            <v>0</v>
          </cell>
          <cell r="U2325" t="str">
            <v>CONTRACT</v>
          </cell>
          <cell r="V2325" t="str">
            <v>Identified - New</v>
          </cell>
          <cell r="W2325" t="str">
            <v>00 Investigate</v>
          </cell>
          <cell r="X2325" t="str">
            <v>Priority 2</v>
          </cell>
          <cell r="Y2325">
            <v>0.4</v>
          </cell>
          <cell r="Z2325">
            <v>61200000</v>
          </cell>
          <cell r="AA2325">
            <v>0</v>
          </cell>
          <cell r="AB2325">
            <v>0</v>
          </cell>
          <cell r="AC2325">
            <v>0</v>
          </cell>
          <cell r="AD2325">
            <v>0</v>
          </cell>
          <cell r="BM2325">
            <v>0</v>
          </cell>
          <cell r="BN2325">
            <v>0</v>
          </cell>
          <cell r="BO2325">
            <v>0</v>
          </cell>
          <cell r="BP2325">
            <v>0</v>
          </cell>
          <cell r="BQ2325">
            <v>0</v>
          </cell>
          <cell r="BR2325">
            <v>0</v>
          </cell>
          <cell r="BT2325">
            <v>0</v>
          </cell>
          <cell r="BV2325">
            <v>29</v>
          </cell>
          <cell r="BW2325">
            <v>78</v>
          </cell>
          <cell r="CA2325" t="str">
            <v>OPP-489491 - CONTRACT - Identified - New</v>
          </cell>
          <cell r="CC2325" t="str">
            <v>OPP-489491 - CONTRACT - Identified - New - NE</v>
          </cell>
          <cell r="CD2325" t="str">
            <v/>
          </cell>
          <cell r="CF2325" t="str">
            <v>OPP-489491 - Identified - New - NE</v>
          </cell>
        </row>
        <row r="2326">
          <cell r="D2326">
            <v>124</v>
          </cell>
          <cell r="E2326">
            <v>0</v>
          </cell>
          <cell r="F2326">
            <v>7</v>
          </cell>
          <cell r="G2326" t="str">
            <v>OPP-489491</v>
          </cell>
          <cell r="H2326" t="str">
            <v>CNL Waste Processing Facility (MS Portion)</v>
          </cell>
          <cell r="I2326" t="str">
            <v>NE</v>
          </cell>
          <cell r="J2326" t="str">
            <v>NE International Programs</v>
          </cell>
          <cell r="K2326" t="str">
            <v>Other Foreign Gov't</v>
          </cell>
          <cell r="L2326" t="str">
            <v>Non-US Gov't</v>
          </cell>
          <cell r="O2326">
            <v>0</v>
          </cell>
          <cell r="P2326">
            <v>0</v>
          </cell>
          <cell r="Q2326">
            <v>0</v>
          </cell>
          <cell r="R2326">
            <v>0</v>
          </cell>
          <cell r="S2326">
            <v>1</v>
          </cell>
          <cell r="T2326">
            <v>0</v>
          </cell>
          <cell r="U2326" t="str">
            <v>EBITA</v>
          </cell>
          <cell r="V2326" t="str">
            <v>Base</v>
          </cell>
          <cell r="W2326">
            <v>0</v>
          </cell>
          <cell r="X2326">
            <v>0</v>
          </cell>
          <cell r="Y2326">
            <v>0</v>
          </cell>
          <cell r="Z2326">
            <v>0</v>
          </cell>
          <cell r="AA2326">
            <v>0</v>
          </cell>
          <cell r="AB2326">
            <v>0</v>
          </cell>
          <cell r="AC2326">
            <v>0</v>
          </cell>
          <cell r="AD2326">
            <v>0</v>
          </cell>
          <cell r="BF2326">
            <v>0</v>
          </cell>
          <cell r="BG2326">
            <v>0</v>
          </cell>
          <cell r="BH2326">
            <v>0</v>
          </cell>
          <cell r="BI2326">
            <v>0</v>
          </cell>
          <cell r="BJ2326">
            <v>0</v>
          </cell>
          <cell r="BK2326">
            <v>0</v>
          </cell>
          <cell r="BL2326">
            <v>0</v>
          </cell>
          <cell r="BM2326">
            <v>0</v>
          </cell>
          <cell r="BN2326">
            <v>0</v>
          </cell>
          <cell r="BO2326">
            <v>0</v>
          </cell>
          <cell r="BP2326">
            <v>0</v>
          </cell>
          <cell r="BQ2326">
            <v>0</v>
          </cell>
          <cell r="BR2326">
            <v>0</v>
          </cell>
          <cell r="BT2326">
            <v>0</v>
          </cell>
          <cell r="BV2326">
            <v>2</v>
          </cell>
          <cell r="BW2326">
            <v>87</v>
          </cell>
          <cell r="CA2326" t="str">
            <v>OPP-489491 - EBITA - Base</v>
          </cell>
          <cell r="CC2326" t="str">
            <v>OPP-489491 - EBITA - Base - NE</v>
          </cell>
          <cell r="CD2326" t="str">
            <v/>
          </cell>
          <cell r="CF2326" t="str">
            <v>OPP-489491 - Base - NE</v>
          </cell>
        </row>
        <row r="2327">
          <cell r="D2327">
            <v>125</v>
          </cell>
          <cell r="E2327">
            <v>0</v>
          </cell>
          <cell r="F2327">
            <v>8</v>
          </cell>
          <cell r="G2327" t="str">
            <v>OPP-489491</v>
          </cell>
          <cell r="H2327" t="str">
            <v>CNL Waste Processing Facility (MS Portion)</v>
          </cell>
          <cell r="I2327" t="str">
            <v>NE</v>
          </cell>
          <cell r="J2327" t="str">
            <v>NE International Programs</v>
          </cell>
          <cell r="K2327" t="str">
            <v>Other Foreign Gov't</v>
          </cell>
          <cell r="L2327" t="str">
            <v>Non-US Gov't</v>
          </cell>
          <cell r="O2327">
            <v>0</v>
          </cell>
          <cell r="P2327">
            <v>0</v>
          </cell>
          <cell r="Q2327">
            <v>0</v>
          </cell>
          <cell r="R2327">
            <v>0</v>
          </cell>
          <cell r="S2327">
            <v>1</v>
          </cell>
          <cell r="T2327">
            <v>0</v>
          </cell>
          <cell r="U2327" t="str">
            <v>EBITA</v>
          </cell>
          <cell r="V2327" t="str">
            <v>Identified - Recompete</v>
          </cell>
          <cell r="W2327">
            <v>0</v>
          </cell>
          <cell r="X2327">
            <v>0</v>
          </cell>
          <cell r="Y2327">
            <v>0</v>
          </cell>
          <cell r="Z2327">
            <v>0</v>
          </cell>
          <cell r="AA2327">
            <v>0</v>
          </cell>
          <cell r="AB2327">
            <v>0</v>
          </cell>
          <cell r="AC2327">
            <v>0</v>
          </cell>
          <cell r="AD2327">
            <v>0</v>
          </cell>
          <cell r="BM2327">
            <v>0</v>
          </cell>
          <cell r="BN2327">
            <v>0</v>
          </cell>
          <cell r="BO2327">
            <v>0</v>
          </cell>
          <cell r="BP2327">
            <v>0</v>
          </cell>
          <cell r="BQ2327">
            <v>0</v>
          </cell>
          <cell r="BR2327">
            <v>0</v>
          </cell>
          <cell r="BT2327">
            <v>0</v>
          </cell>
          <cell r="BV2327">
            <v>2</v>
          </cell>
          <cell r="BW2327">
            <v>87</v>
          </cell>
          <cell r="CA2327" t="str">
            <v>OPP-489491 - EBITA - Identified - Recompete</v>
          </cell>
          <cell r="CC2327" t="str">
            <v>OPP-489491 - EBITA - Identified - Recompete - NE</v>
          </cell>
          <cell r="CD2327" t="str">
            <v/>
          </cell>
          <cell r="CF2327" t="str">
            <v>OPP-489491 - Identified - Recompete - NE</v>
          </cell>
        </row>
        <row r="2328">
          <cell r="D2328">
            <v>126</v>
          </cell>
          <cell r="E2328">
            <v>0</v>
          </cell>
          <cell r="F2328">
            <v>0</v>
          </cell>
          <cell r="G2328" t="str">
            <v>OPP-489491</v>
          </cell>
          <cell r="H2328" t="str">
            <v>CNL Waste Processing Facility (MS Portion)</v>
          </cell>
          <cell r="I2328" t="str">
            <v>NE</v>
          </cell>
          <cell r="J2328" t="str">
            <v>NE International Programs</v>
          </cell>
          <cell r="K2328" t="str">
            <v>Other Foreign Gov't</v>
          </cell>
          <cell r="L2328" t="str">
            <v>Non-US Gov't</v>
          </cell>
          <cell r="O2328">
            <v>44466</v>
          </cell>
          <cell r="P2328">
            <v>46292</v>
          </cell>
          <cell r="Q2328" t="str">
            <v>Majority</v>
          </cell>
          <cell r="R2328" t="str">
            <v>Other</v>
          </cell>
          <cell r="S2328">
            <v>1</v>
          </cell>
          <cell r="T2328">
            <v>0</v>
          </cell>
          <cell r="U2328" t="str">
            <v>EBITA</v>
          </cell>
          <cell r="V2328" t="str">
            <v>Identified - New</v>
          </cell>
          <cell r="W2328" t="str">
            <v>00 Investigate</v>
          </cell>
          <cell r="X2328" t="str">
            <v>Priority 2</v>
          </cell>
          <cell r="Y2328">
            <v>0.4</v>
          </cell>
          <cell r="Z2328">
            <v>61200000</v>
          </cell>
          <cell r="AA2328">
            <v>0</v>
          </cell>
          <cell r="AB2328">
            <v>0</v>
          </cell>
          <cell r="AC2328">
            <v>0</v>
          </cell>
          <cell r="AD2328">
            <v>0</v>
          </cell>
          <cell r="BM2328">
            <v>0</v>
          </cell>
          <cell r="BN2328">
            <v>0</v>
          </cell>
          <cell r="BO2328">
            <v>1672.8000000000002</v>
          </cell>
          <cell r="BP2328">
            <v>200736</v>
          </cell>
          <cell r="BQ2328">
            <v>200736</v>
          </cell>
          <cell r="BR2328">
            <v>403144.8</v>
          </cell>
          <cell r="BT2328">
            <v>0</v>
          </cell>
          <cell r="BV2328">
            <v>29</v>
          </cell>
          <cell r="BW2328">
            <v>87</v>
          </cell>
          <cell r="CA2328" t="str">
            <v>OPP-489491 - EBITA - Identified - New</v>
          </cell>
          <cell r="CC2328" t="str">
            <v>OPP-489491 - EBITA - Identified - New - NE</v>
          </cell>
          <cell r="CD2328" t="str">
            <v/>
          </cell>
          <cell r="CF2328" t="str">
            <v>OPP-489491 - Identified - New - NE</v>
          </cell>
        </row>
        <row r="2329">
          <cell r="D2329">
            <v>127</v>
          </cell>
          <cell r="E2329">
            <v>1</v>
          </cell>
          <cell r="F2329">
            <v>1</v>
          </cell>
          <cell r="G2329" t="str">
            <v>OPP-625756</v>
          </cell>
          <cell r="H2329" t="str">
            <v>NWMO DGR Program Management (MS Portion)</v>
          </cell>
          <cell r="I2329" t="str">
            <v>NE</v>
          </cell>
          <cell r="J2329" t="str">
            <v>NE International Programs</v>
          </cell>
          <cell r="K2329" t="str">
            <v>DOE-NNSA</v>
          </cell>
          <cell r="L2329" t="str">
            <v>DOE</v>
          </cell>
          <cell r="O2329">
            <v>0</v>
          </cell>
          <cell r="P2329">
            <v>0</v>
          </cell>
          <cell r="Q2329">
            <v>0</v>
          </cell>
          <cell r="R2329">
            <v>0</v>
          </cell>
          <cell r="S2329">
            <v>1</v>
          </cell>
          <cell r="T2329">
            <v>0</v>
          </cell>
          <cell r="U2329" t="str">
            <v>REVTOT</v>
          </cell>
          <cell r="V2329" t="str">
            <v>Base</v>
          </cell>
          <cell r="W2329">
            <v>0</v>
          </cell>
          <cell r="X2329">
            <v>0</v>
          </cell>
          <cell r="Y2329">
            <v>0</v>
          </cell>
          <cell r="Z2329">
            <v>0</v>
          </cell>
          <cell r="AA2329">
            <v>0</v>
          </cell>
          <cell r="AB2329">
            <v>0</v>
          </cell>
          <cell r="AC2329">
            <v>0</v>
          </cell>
          <cell r="AD2329">
            <v>0</v>
          </cell>
          <cell r="BF2329">
            <v>0</v>
          </cell>
          <cell r="BG2329">
            <v>0</v>
          </cell>
          <cell r="BH2329">
            <v>0</v>
          </cell>
          <cell r="BI2329">
            <v>0</v>
          </cell>
          <cell r="BJ2329">
            <v>0</v>
          </cell>
          <cell r="BK2329">
            <v>0</v>
          </cell>
          <cell r="BL2329">
            <v>0</v>
          </cell>
          <cell r="BM2329">
            <v>0</v>
          </cell>
          <cell r="BN2329">
            <v>0</v>
          </cell>
          <cell r="BO2329">
            <v>0</v>
          </cell>
          <cell r="BP2329">
            <v>0</v>
          </cell>
          <cell r="BQ2329">
            <v>0</v>
          </cell>
          <cell r="BR2329">
            <v>0</v>
          </cell>
          <cell r="BT2329">
            <v>0</v>
          </cell>
          <cell r="BV2329">
            <v>2</v>
          </cell>
          <cell r="BW2329">
            <v>60</v>
          </cell>
          <cell r="CA2329" t="str">
            <v>OPP-625756 - REVTOT - Base</v>
          </cell>
          <cell r="CC2329" t="str">
            <v>OPP-625756 - REVTOT - Base - NE</v>
          </cell>
          <cell r="CD2329" t="str">
            <v/>
          </cell>
          <cell r="CF2329" t="str">
            <v>OPP-625756 - Base - NE</v>
          </cell>
        </row>
        <row r="2330">
          <cell r="D2330">
            <v>128</v>
          </cell>
          <cell r="E2330">
            <v>1</v>
          </cell>
          <cell r="F2330">
            <v>2</v>
          </cell>
          <cell r="G2330" t="str">
            <v>OPP-625756</v>
          </cell>
          <cell r="H2330" t="str">
            <v>NWMO DGR Program Management (MS Portion)</v>
          </cell>
          <cell r="I2330" t="str">
            <v>NE</v>
          </cell>
          <cell r="J2330" t="str">
            <v>NE International Programs</v>
          </cell>
          <cell r="K2330" t="str">
            <v>DOE-NNSA</v>
          </cell>
          <cell r="L2330" t="str">
            <v>DOE</v>
          </cell>
          <cell r="O2330">
            <v>0</v>
          </cell>
          <cell r="P2330">
            <v>0</v>
          </cell>
          <cell r="Q2330">
            <v>0</v>
          </cell>
          <cell r="R2330">
            <v>0</v>
          </cell>
          <cell r="S2330">
            <v>1</v>
          </cell>
          <cell r="T2330">
            <v>0</v>
          </cell>
          <cell r="U2330" t="str">
            <v>REVTOT</v>
          </cell>
          <cell r="V2330" t="str">
            <v>Identified - Recompete</v>
          </cell>
          <cell r="W2330">
            <v>0</v>
          </cell>
          <cell r="X2330">
            <v>0</v>
          </cell>
          <cell r="Y2330">
            <v>0</v>
          </cell>
          <cell r="Z2330">
            <v>0</v>
          </cell>
          <cell r="AA2330">
            <v>0</v>
          </cell>
          <cell r="AB2330">
            <v>0</v>
          </cell>
          <cell r="AC2330">
            <v>0</v>
          </cell>
          <cell r="AD2330">
            <v>0</v>
          </cell>
          <cell r="BM2330">
            <v>0</v>
          </cell>
          <cell r="BN2330">
            <v>0</v>
          </cell>
          <cell r="BO2330">
            <v>0</v>
          </cell>
          <cell r="BP2330">
            <v>0</v>
          </cell>
          <cell r="BQ2330">
            <v>0</v>
          </cell>
          <cell r="BR2330">
            <v>0</v>
          </cell>
          <cell r="BT2330">
            <v>0</v>
          </cell>
          <cell r="BV2330">
            <v>2</v>
          </cell>
          <cell r="BW2330">
            <v>60</v>
          </cell>
          <cell r="CA2330" t="str">
            <v>OPP-625756 - REVTOT - Identified - Recompete</v>
          </cell>
          <cell r="CC2330" t="str">
            <v>OPP-625756 - REVTOT - Identified - Recompete - NE</v>
          </cell>
          <cell r="CD2330" t="str">
            <v/>
          </cell>
          <cell r="CF2330" t="str">
            <v>OPP-625756 - Identified - Recompete - NE</v>
          </cell>
        </row>
        <row r="2331">
          <cell r="D2331">
            <v>129</v>
          </cell>
          <cell r="E2331">
            <v>1</v>
          </cell>
          <cell r="F2331">
            <v>3</v>
          </cell>
          <cell r="G2331" t="str">
            <v>OPP-625756</v>
          </cell>
          <cell r="H2331" t="str">
            <v>NWMO DGR Program Management (MS Portion)</v>
          </cell>
          <cell r="I2331" t="str">
            <v>NE</v>
          </cell>
          <cell r="J2331" t="str">
            <v>NE International Programs</v>
          </cell>
          <cell r="K2331" t="str">
            <v>DOE-NNSA</v>
          </cell>
          <cell r="L2331" t="str">
            <v>DOE</v>
          </cell>
          <cell r="O2331">
            <v>44622</v>
          </cell>
          <cell r="P2331">
            <v>45718</v>
          </cell>
          <cell r="Q2331" t="str">
            <v>Majority</v>
          </cell>
          <cell r="R2331" t="str">
            <v>Cost Plus</v>
          </cell>
          <cell r="S2331">
            <v>1</v>
          </cell>
          <cell r="T2331">
            <v>0</v>
          </cell>
          <cell r="U2331" t="str">
            <v>REVTOT</v>
          </cell>
          <cell r="V2331" t="str">
            <v>Identified - New</v>
          </cell>
          <cell r="W2331" t="str">
            <v>00 Investigate</v>
          </cell>
          <cell r="X2331" t="str">
            <v>Priority 3</v>
          </cell>
          <cell r="Y2331">
            <v>0.5</v>
          </cell>
          <cell r="Z2331">
            <v>15300000</v>
          </cell>
          <cell r="AA2331">
            <v>0</v>
          </cell>
          <cell r="AB2331">
            <v>0</v>
          </cell>
          <cell r="AC2331">
            <v>0</v>
          </cell>
          <cell r="AD2331">
            <v>0</v>
          </cell>
          <cell r="BM2331">
            <v>0</v>
          </cell>
          <cell r="BN2331">
            <v>0</v>
          </cell>
          <cell r="BO2331">
            <v>0</v>
          </cell>
          <cell r="BP2331">
            <v>0</v>
          </cell>
          <cell r="BQ2331">
            <v>0</v>
          </cell>
          <cell r="BR2331">
            <v>0</v>
          </cell>
          <cell r="BT2331">
            <v>0</v>
          </cell>
          <cell r="BV2331">
            <v>30</v>
          </cell>
          <cell r="BW2331">
            <v>60</v>
          </cell>
          <cell r="CA2331" t="str">
            <v>OPP-625756 - REVTOT - Identified - New</v>
          </cell>
          <cell r="CC2331" t="str">
            <v>OPP-625756 - REVTOT - Identified - New - NE</v>
          </cell>
          <cell r="CD2331" t="str">
            <v/>
          </cell>
          <cell r="CF2331" t="str">
            <v>OPP-625756 - Identified - New - NE</v>
          </cell>
        </row>
        <row r="2332">
          <cell r="D2332">
            <v>130</v>
          </cell>
          <cell r="E2332">
            <v>2</v>
          </cell>
          <cell r="F2332">
            <v>4</v>
          </cell>
          <cell r="G2332" t="str">
            <v>OPP-625756</v>
          </cell>
          <cell r="H2332" t="str">
            <v>NWMO DGR Program Management (MS Portion)</v>
          </cell>
          <cell r="I2332" t="str">
            <v>NE</v>
          </cell>
          <cell r="J2332" t="str">
            <v>NE International Programs</v>
          </cell>
          <cell r="K2332" t="str">
            <v>DOE-NNSA</v>
          </cell>
          <cell r="L2332" t="str">
            <v>DOE</v>
          </cell>
          <cell r="O2332">
            <v>0</v>
          </cell>
          <cell r="P2332">
            <v>0</v>
          </cell>
          <cell r="Q2332">
            <v>0</v>
          </cell>
          <cell r="R2332">
            <v>0</v>
          </cell>
          <cell r="S2332">
            <v>1</v>
          </cell>
          <cell r="T2332">
            <v>0</v>
          </cell>
          <cell r="U2332" t="str">
            <v>CONTRACT</v>
          </cell>
          <cell r="V2332" t="str">
            <v>Base</v>
          </cell>
          <cell r="W2332">
            <v>0</v>
          </cell>
          <cell r="X2332">
            <v>0</v>
          </cell>
          <cell r="Y2332">
            <v>0</v>
          </cell>
          <cell r="Z2332">
            <v>0</v>
          </cell>
          <cell r="AA2332">
            <v>0</v>
          </cell>
          <cell r="AB2332">
            <v>0</v>
          </cell>
          <cell r="AC2332">
            <v>0</v>
          </cell>
          <cell r="AD2332">
            <v>0</v>
          </cell>
          <cell r="BF2332">
            <v>0</v>
          </cell>
          <cell r="BG2332">
            <v>0</v>
          </cell>
          <cell r="BH2332">
            <v>0</v>
          </cell>
          <cell r="BI2332">
            <v>0</v>
          </cell>
          <cell r="BJ2332">
            <v>0</v>
          </cell>
          <cell r="BK2332">
            <v>0</v>
          </cell>
          <cell r="BL2332">
            <v>0</v>
          </cell>
          <cell r="BM2332">
            <v>0</v>
          </cell>
          <cell r="BN2332">
            <v>0</v>
          </cell>
          <cell r="BO2332">
            <v>0</v>
          </cell>
          <cell r="BP2332">
            <v>0</v>
          </cell>
          <cell r="BQ2332">
            <v>0</v>
          </cell>
          <cell r="BR2332">
            <v>0</v>
          </cell>
          <cell r="BT2332">
            <v>0</v>
          </cell>
          <cell r="BV2332">
            <v>2</v>
          </cell>
          <cell r="BW2332">
            <v>78</v>
          </cell>
          <cell r="CA2332" t="str">
            <v>OPP-625756 - CONTRACT - Base</v>
          </cell>
          <cell r="CC2332" t="str">
            <v>OPP-625756 - CONTRACT - Base - NE - 2</v>
          </cell>
          <cell r="CD2332" t="str">
            <v/>
          </cell>
          <cell r="CF2332" t="str">
            <v>OPP-625756 - Base - NE</v>
          </cell>
        </row>
        <row r="2333">
          <cell r="D2333">
            <v>131</v>
          </cell>
          <cell r="E2333">
            <v>2</v>
          </cell>
          <cell r="F2333">
            <v>5</v>
          </cell>
          <cell r="G2333" t="str">
            <v>OPP-625756</v>
          </cell>
          <cell r="H2333" t="str">
            <v>NWMO DGR Program Management (MS Portion)</v>
          </cell>
          <cell r="I2333" t="str">
            <v>NE</v>
          </cell>
          <cell r="J2333" t="str">
            <v>NE International Programs</v>
          </cell>
          <cell r="K2333" t="str">
            <v>DOE-NNSA</v>
          </cell>
          <cell r="L2333" t="str">
            <v>DOE</v>
          </cell>
          <cell r="O2333">
            <v>0</v>
          </cell>
          <cell r="P2333">
            <v>0</v>
          </cell>
          <cell r="Q2333">
            <v>0</v>
          </cell>
          <cell r="R2333">
            <v>0</v>
          </cell>
          <cell r="S2333">
            <v>1</v>
          </cell>
          <cell r="T2333">
            <v>0</v>
          </cell>
          <cell r="U2333" t="str">
            <v>CONTRACT</v>
          </cell>
          <cell r="V2333" t="str">
            <v>Identified - Recompete</v>
          </cell>
          <cell r="W2333">
            <v>0</v>
          </cell>
          <cell r="X2333">
            <v>0</v>
          </cell>
          <cell r="Y2333">
            <v>0</v>
          </cell>
          <cell r="Z2333">
            <v>0</v>
          </cell>
          <cell r="AA2333">
            <v>0</v>
          </cell>
          <cell r="AB2333">
            <v>0</v>
          </cell>
          <cell r="AC2333">
            <v>0</v>
          </cell>
          <cell r="AD2333">
            <v>0</v>
          </cell>
          <cell r="BM2333">
            <v>0</v>
          </cell>
          <cell r="BN2333">
            <v>0</v>
          </cell>
          <cell r="BO2333">
            <v>0</v>
          </cell>
          <cell r="BP2333">
            <v>0</v>
          </cell>
          <cell r="BQ2333">
            <v>0</v>
          </cell>
          <cell r="BR2333">
            <v>0</v>
          </cell>
          <cell r="BT2333">
            <v>0</v>
          </cell>
          <cell r="BV2333">
            <v>2</v>
          </cell>
          <cell r="BW2333">
            <v>78</v>
          </cell>
          <cell r="CA2333" t="str">
            <v>OPP-625756 - CONTRACT - Identified - Recompete</v>
          </cell>
          <cell r="CC2333" t="str">
            <v>OPP-625756 - CONTRACT - Identified - Recompete - NE</v>
          </cell>
          <cell r="CD2333" t="str">
            <v/>
          </cell>
          <cell r="CF2333" t="str">
            <v>OPP-625756 - Identified - Recompete - NE</v>
          </cell>
        </row>
        <row r="2334">
          <cell r="D2334">
            <v>132</v>
          </cell>
          <cell r="E2334">
            <v>2</v>
          </cell>
          <cell r="F2334">
            <v>6</v>
          </cell>
          <cell r="G2334" t="str">
            <v>OPP-625756</v>
          </cell>
          <cell r="H2334" t="str">
            <v>NWMO DGR Program Management (MS Portion)</v>
          </cell>
          <cell r="I2334" t="str">
            <v>NE</v>
          </cell>
          <cell r="J2334" t="str">
            <v>NE International Programs</v>
          </cell>
          <cell r="K2334" t="str">
            <v>DOE-NNSA</v>
          </cell>
          <cell r="L2334" t="str">
            <v>DOE</v>
          </cell>
          <cell r="O2334">
            <v>44622</v>
          </cell>
          <cell r="P2334">
            <v>45718</v>
          </cell>
          <cell r="Q2334" t="str">
            <v>Majority</v>
          </cell>
          <cell r="R2334" t="str">
            <v>Cost Plus</v>
          </cell>
          <cell r="S2334">
            <v>1</v>
          </cell>
          <cell r="T2334">
            <v>0</v>
          </cell>
          <cell r="U2334" t="str">
            <v>CONTRACT</v>
          </cell>
          <cell r="V2334" t="str">
            <v>Identified - New</v>
          </cell>
          <cell r="W2334" t="str">
            <v>00 Investigate</v>
          </cell>
          <cell r="X2334" t="str">
            <v>Priority 3</v>
          </cell>
          <cell r="Y2334">
            <v>0.5</v>
          </cell>
          <cell r="Z2334">
            <v>15300000</v>
          </cell>
          <cell r="AA2334">
            <v>0</v>
          </cell>
          <cell r="AB2334">
            <v>0</v>
          </cell>
          <cell r="AC2334">
            <v>0</v>
          </cell>
          <cell r="AD2334">
            <v>0</v>
          </cell>
          <cell r="BM2334">
            <v>0</v>
          </cell>
          <cell r="BN2334">
            <v>0</v>
          </cell>
          <cell r="BO2334">
            <v>0</v>
          </cell>
          <cell r="BP2334">
            <v>0</v>
          </cell>
          <cell r="BQ2334">
            <v>0</v>
          </cell>
          <cell r="BR2334">
            <v>0</v>
          </cell>
          <cell r="BT2334">
            <v>0</v>
          </cell>
          <cell r="BV2334">
            <v>30</v>
          </cell>
          <cell r="BW2334">
            <v>78</v>
          </cell>
          <cell r="CA2334" t="str">
            <v>OPP-625756 - CONTRACT - Identified - New</v>
          </cell>
          <cell r="CC2334" t="str">
            <v>OPP-625756 - CONTRACT - Identified - New - NE</v>
          </cell>
          <cell r="CD2334" t="str">
            <v/>
          </cell>
          <cell r="CF2334" t="str">
            <v>OPP-625756 - Identified - New - NE</v>
          </cell>
        </row>
        <row r="2335">
          <cell r="D2335">
            <v>133</v>
          </cell>
          <cell r="E2335">
            <v>0</v>
          </cell>
          <cell r="F2335">
            <v>7</v>
          </cell>
          <cell r="G2335" t="str">
            <v>OPP-625756</v>
          </cell>
          <cell r="H2335" t="str">
            <v>NWMO DGR Program Management (MS Portion)</v>
          </cell>
          <cell r="I2335" t="str">
            <v>NE</v>
          </cell>
          <cell r="J2335" t="str">
            <v>NE International Programs</v>
          </cell>
          <cell r="K2335" t="str">
            <v>DOE-NNSA</v>
          </cell>
          <cell r="L2335" t="str">
            <v>DOE</v>
          </cell>
          <cell r="O2335">
            <v>0</v>
          </cell>
          <cell r="P2335">
            <v>0</v>
          </cell>
          <cell r="Q2335">
            <v>0</v>
          </cell>
          <cell r="R2335">
            <v>0</v>
          </cell>
          <cell r="S2335">
            <v>1</v>
          </cell>
          <cell r="T2335">
            <v>0</v>
          </cell>
          <cell r="U2335" t="str">
            <v>EBITA</v>
          </cell>
          <cell r="V2335" t="str">
            <v>Base</v>
          </cell>
          <cell r="W2335">
            <v>0</v>
          </cell>
          <cell r="X2335">
            <v>0</v>
          </cell>
          <cell r="Y2335">
            <v>0</v>
          </cell>
          <cell r="Z2335">
            <v>0</v>
          </cell>
          <cell r="AA2335">
            <v>0</v>
          </cell>
          <cell r="AB2335">
            <v>0</v>
          </cell>
          <cell r="AC2335">
            <v>0</v>
          </cell>
          <cell r="AD2335">
            <v>0</v>
          </cell>
          <cell r="BF2335">
            <v>0</v>
          </cell>
          <cell r="BG2335">
            <v>0</v>
          </cell>
          <cell r="BH2335">
            <v>0</v>
          </cell>
          <cell r="BI2335">
            <v>0</v>
          </cell>
          <cell r="BJ2335">
            <v>0</v>
          </cell>
          <cell r="BK2335">
            <v>0</v>
          </cell>
          <cell r="BL2335">
            <v>0</v>
          </cell>
          <cell r="BM2335">
            <v>0</v>
          </cell>
          <cell r="BN2335">
            <v>0</v>
          </cell>
          <cell r="BO2335">
            <v>0</v>
          </cell>
          <cell r="BP2335">
            <v>0</v>
          </cell>
          <cell r="BQ2335">
            <v>0</v>
          </cell>
          <cell r="BR2335">
            <v>0</v>
          </cell>
          <cell r="BT2335">
            <v>0</v>
          </cell>
          <cell r="BV2335">
            <v>2</v>
          </cell>
          <cell r="BW2335">
            <v>87</v>
          </cell>
          <cell r="CA2335" t="str">
            <v>OPP-625756 - EBITA - Base</v>
          </cell>
          <cell r="CC2335" t="str">
            <v>OPP-625756 - EBITA - Base - NE</v>
          </cell>
          <cell r="CD2335" t="str">
            <v/>
          </cell>
          <cell r="CF2335" t="str">
            <v>OPP-625756 - Base - NE</v>
          </cell>
        </row>
        <row r="2336">
          <cell r="D2336">
            <v>134</v>
          </cell>
          <cell r="E2336">
            <v>0</v>
          </cell>
          <cell r="F2336">
            <v>8</v>
          </cell>
          <cell r="G2336" t="str">
            <v>OPP-625756</v>
          </cell>
          <cell r="H2336" t="str">
            <v>NWMO DGR Program Management (MS Portion)</v>
          </cell>
          <cell r="I2336" t="str">
            <v>NE</v>
          </cell>
          <cell r="J2336" t="str">
            <v>NE International Programs</v>
          </cell>
          <cell r="K2336" t="str">
            <v>DOE-NNSA</v>
          </cell>
          <cell r="L2336" t="str">
            <v>DOE</v>
          </cell>
          <cell r="O2336">
            <v>0</v>
          </cell>
          <cell r="P2336">
            <v>0</v>
          </cell>
          <cell r="Q2336">
            <v>0</v>
          </cell>
          <cell r="R2336">
            <v>0</v>
          </cell>
          <cell r="S2336">
            <v>1</v>
          </cell>
          <cell r="T2336">
            <v>0</v>
          </cell>
          <cell r="U2336" t="str">
            <v>EBITA</v>
          </cell>
          <cell r="V2336" t="str">
            <v>Identified - Recompete</v>
          </cell>
          <cell r="W2336">
            <v>0</v>
          </cell>
          <cell r="X2336">
            <v>0</v>
          </cell>
          <cell r="Y2336">
            <v>0</v>
          </cell>
          <cell r="Z2336">
            <v>0</v>
          </cell>
          <cell r="AA2336">
            <v>0</v>
          </cell>
          <cell r="AB2336">
            <v>0</v>
          </cell>
          <cell r="AC2336">
            <v>0</v>
          </cell>
          <cell r="AD2336">
            <v>0</v>
          </cell>
          <cell r="BM2336">
            <v>0</v>
          </cell>
          <cell r="BN2336">
            <v>0</v>
          </cell>
          <cell r="BO2336">
            <v>0</v>
          </cell>
          <cell r="BP2336">
            <v>0</v>
          </cell>
          <cell r="BQ2336">
            <v>0</v>
          </cell>
          <cell r="BR2336">
            <v>0</v>
          </cell>
          <cell r="BT2336">
            <v>0</v>
          </cell>
          <cell r="BV2336">
            <v>2</v>
          </cell>
          <cell r="BW2336">
            <v>87</v>
          </cell>
          <cell r="CA2336" t="str">
            <v>OPP-625756 - EBITA - Identified - Recompete</v>
          </cell>
          <cell r="CC2336" t="str">
            <v>OPP-625756 - EBITA - Identified - Recompete - NE</v>
          </cell>
          <cell r="CD2336" t="str">
            <v/>
          </cell>
          <cell r="CF2336" t="str">
            <v>OPP-625756 - Identified - Recompete - NE</v>
          </cell>
        </row>
        <row r="2337">
          <cell r="D2337">
            <v>135</v>
          </cell>
          <cell r="E2337">
            <v>0</v>
          </cell>
          <cell r="F2337">
            <v>0</v>
          </cell>
          <cell r="G2337" t="str">
            <v>OPP-625756</v>
          </cell>
          <cell r="H2337" t="str">
            <v>NWMO DGR Program Management (MS Portion)</v>
          </cell>
          <cell r="I2337" t="str">
            <v>NE</v>
          </cell>
          <cell r="J2337" t="str">
            <v>NE International Programs</v>
          </cell>
          <cell r="K2337" t="str">
            <v>DOE-NNSA</v>
          </cell>
          <cell r="L2337" t="str">
            <v>DOE</v>
          </cell>
          <cell r="O2337">
            <v>44622</v>
          </cell>
          <cell r="P2337">
            <v>45718</v>
          </cell>
          <cell r="Q2337" t="str">
            <v>Majority</v>
          </cell>
          <cell r="R2337" t="str">
            <v>Cost Plus</v>
          </cell>
          <cell r="S2337">
            <v>1</v>
          </cell>
          <cell r="T2337">
            <v>0</v>
          </cell>
          <cell r="U2337" t="str">
            <v>EBITA</v>
          </cell>
          <cell r="V2337" t="str">
            <v>Identified - New</v>
          </cell>
          <cell r="W2337" t="str">
            <v>00 Investigate</v>
          </cell>
          <cell r="X2337" t="str">
            <v>Priority 3</v>
          </cell>
          <cell r="Y2337">
            <v>0.5</v>
          </cell>
          <cell r="Z2337">
            <v>15300000</v>
          </cell>
          <cell r="AA2337">
            <v>0</v>
          </cell>
          <cell r="AB2337">
            <v>0</v>
          </cell>
          <cell r="AC2337">
            <v>0</v>
          </cell>
          <cell r="AD2337">
            <v>0</v>
          </cell>
          <cell r="BM2337">
            <v>0</v>
          </cell>
          <cell r="BN2337">
            <v>0</v>
          </cell>
          <cell r="BO2337">
            <v>0</v>
          </cell>
          <cell r="BP2337">
            <v>60406.666666666664</v>
          </cell>
          <cell r="BQ2337">
            <v>104550</v>
          </cell>
          <cell r="BR2337">
            <v>164956.66666666666</v>
          </cell>
          <cell r="BT2337">
            <v>0</v>
          </cell>
          <cell r="BV2337">
            <v>30</v>
          </cell>
          <cell r="BW2337">
            <v>87</v>
          </cell>
          <cell r="CA2337" t="str">
            <v>OPP-625756 - EBITA - Identified - New</v>
          </cell>
          <cell r="CC2337" t="str">
            <v>OPP-625756 - EBITA - Identified - New - NE</v>
          </cell>
          <cell r="CD2337" t="str">
            <v/>
          </cell>
          <cell r="CF2337" t="str">
            <v>OPP-625756 - Identified - New - NE</v>
          </cell>
        </row>
        <row r="2338">
          <cell r="D2338">
            <v>136</v>
          </cell>
          <cell r="E2338">
            <v>1</v>
          </cell>
          <cell r="F2338">
            <v>1</v>
          </cell>
          <cell r="G2338" t="str">
            <v>OPP-959722</v>
          </cell>
          <cell r="H2338" t="str">
            <v>Three Mile Island Unit 1 D&amp;D</v>
          </cell>
          <cell r="I2338" t="str">
            <v>NE</v>
          </cell>
          <cell r="J2338" t="str">
            <v>NE DD and WM Projects</v>
          </cell>
          <cell r="K2338" t="str">
            <v>Commercial</v>
          </cell>
          <cell r="L2338" t="str">
            <v>Commercial</v>
          </cell>
          <cell r="O2338">
            <v>0</v>
          </cell>
          <cell r="P2338">
            <v>0</v>
          </cell>
          <cell r="Q2338">
            <v>0</v>
          </cell>
          <cell r="R2338">
            <v>0</v>
          </cell>
          <cell r="S2338">
            <v>1</v>
          </cell>
          <cell r="T2338">
            <v>0</v>
          </cell>
          <cell r="U2338" t="str">
            <v>REVTOT</v>
          </cell>
          <cell r="V2338" t="str">
            <v>Base</v>
          </cell>
          <cell r="W2338">
            <v>0</v>
          </cell>
          <cell r="X2338">
            <v>0</v>
          </cell>
          <cell r="Y2338">
            <v>0</v>
          </cell>
          <cell r="Z2338">
            <v>0</v>
          </cell>
          <cell r="AA2338">
            <v>0</v>
          </cell>
          <cell r="AB2338">
            <v>0</v>
          </cell>
          <cell r="AC2338">
            <v>0</v>
          </cell>
          <cell r="AD2338">
            <v>0</v>
          </cell>
          <cell r="BF2338">
            <v>0</v>
          </cell>
          <cell r="BG2338">
            <v>0</v>
          </cell>
          <cell r="BH2338">
            <v>0</v>
          </cell>
          <cell r="BI2338">
            <v>0</v>
          </cell>
          <cell r="BJ2338">
            <v>0</v>
          </cell>
          <cell r="BK2338">
            <v>0</v>
          </cell>
          <cell r="BL2338">
            <v>0</v>
          </cell>
          <cell r="BM2338">
            <v>0</v>
          </cell>
          <cell r="BN2338">
            <v>0</v>
          </cell>
          <cell r="BO2338">
            <v>0</v>
          </cell>
          <cell r="BP2338">
            <v>0</v>
          </cell>
          <cell r="BQ2338">
            <v>0</v>
          </cell>
          <cell r="BR2338">
            <v>0</v>
          </cell>
          <cell r="BT2338">
            <v>0</v>
          </cell>
          <cell r="BV2338">
            <v>2</v>
          </cell>
          <cell r="BW2338">
            <v>60</v>
          </cell>
          <cell r="CA2338" t="str">
            <v>OPP-959722 - REVTOT - Base</v>
          </cell>
          <cell r="CC2338" t="str">
            <v>OPP-959722 - REVTOT - Base - NE</v>
          </cell>
          <cell r="CD2338" t="str">
            <v/>
          </cell>
          <cell r="CF2338" t="str">
            <v>OPP-959722 - Base - NE</v>
          </cell>
        </row>
        <row r="2339">
          <cell r="D2339">
            <v>137</v>
          </cell>
          <cell r="E2339">
            <v>1</v>
          </cell>
          <cell r="F2339">
            <v>2</v>
          </cell>
          <cell r="G2339" t="str">
            <v>OPP-959722</v>
          </cell>
          <cell r="H2339" t="str">
            <v>Three Mile Island Unit 1 D&amp;D</v>
          </cell>
          <cell r="I2339" t="str">
            <v>NE</v>
          </cell>
          <cell r="J2339" t="str">
            <v>NE DD and WM Projects</v>
          </cell>
          <cell r="K2339" t="str">
            <v>Commercial</v>
          </cell>
          <cell r="L2339" t="str">
            <v>Commercial</v>
          </cell>
          <cell r="O2339">
            <v>0</v>
          </cell>
          <cell r="P2339">
            <v>0</v>
          </cell>
          <cell r="Q2339">
            <v>0</v>
          </cell>
          <cell r="R2339">
            <v>0</v>
          </cell>
          <cell r="S2339">
            <v>1</v>
          </cell>
          <cell r="T2339">
            <v>0</v>
          </cell>
          <cell r="U2339" t="str">
            <v>REVTOT</v>
          </cell>
          <cell r="V2339" t="str">
            <v>Identified - Recompete</v>
          </cell>
          <cell r="W2339">
            <v>0</v>
          </cell>
          <cell r="X2339">
            <v>0</v>
          </cell>
          <cell r="Y2339">
            <v>0</v>
          </cell>
          <cell r="Z2339">
            <v>0</v>
          </cell>
          <cell r="AA2339">
            <v>0</v>
          </cell>
          <cell r="AB2339">
            <v>0</v>
          </cell>
          <cell r="AC2339">
            <v>0</v>
          </cell>
          <cell r="AD2339">
            <v>0</v>
          </cell>
          <cell r="BM2339">
            <v>0</v>
          </cell>
          <cell r="BN2339">
            <v>0</v>
          </cell>
          <cell r="BO2339">
            <v>0</v>
          </cell>
          <cell r="BP2339">
            <v>0</v>
          </cell>
          <cell r="BQ2339">
            <v>0</v>
          </cell>
          <cell r="BR2339">
            <v>0</v>
          </cell>
          <cell r="BT2339">
            <v>0</v>
          </cell>
          <cell r="BV2339">
            <v>2</v>
          </cell>
          <cell r="BW2339">
            <v>60</v>
          </cell>
          <cell r="CA2339" t="str">
            <v>OPP-959722 - REVTOT - Identified - Recompete</v>
          </cell>
          <cell r="CC2339" t="str">
            <v>OPP-959722 - REVTOT - Identified - Recompete - NE</v>
          </cell>
          <cell r="CD2339" t="str">
            <v/>
          </cell>
          <cell r="CF2339" t="str">
            <v>OPP-959722 - Identified - Recompete - NE</v>
          </cell>
        </row>
        <row r="2340">
          <cell r="D2340">
            <v>138</v>
          </cell>
          <cell r="E2340">
            <v>1</v>
          </cell>
          <cell r="F2340">
            <v>3</v>
          </cell>
          <cell r="G2340" t="str">
            <v>OPP-959722</v>
          </cell>
          <cell r="H2340" t="str">
            <v>Three Mile Island Unit 1 D&amp;D</v>
          </cell>
          <cell r="I2340" t="str">
            <v>NE</v>
          </cell>
          <cell r="J2340" t="str">
            <v>NE DD and WM Projects</v>
          </cell>
          <cell r="K2340" t="str">
            <v>Commercial</v>
          </cell>
          <cell r="L2340" t="str">
            <v>Commercial</v>
          </cell>
          <cell r="O2340">
            <v>44075</v>
          </cell>
          <cell r="P2340">
            <v>46631</v>
          </cell>
          <cell r="Q2340" t="str">
            <v>Majority</v>
          </cell>
          <cell r="R2340" t="str">
            <v>Fixed Price</v>
          </cell>
          <cell r="S2340">
            <v>1</v>
          </cell>
          <cell r="T2340">
            <v>1</v>
          </cell>
          <cell r="U2340" t="str">
            <v>REVTOT</v>
          </cell>
          <cell r="V2340" t="str">
            <v>Identified - New</v>
          </cell>
          <cell r="W2340" t="str">
            <v>02 Capture</v>
          </cell>
          <cell r="X2340" t="str">
            <v>Priority 1</v>
          </cell>
          <cell r="Y2340">
            <v>0.4</v>
          </cell>
          <cell r="Z2340">
            <v>540000000</v>
          </cell>
          <cell r="AA2340">
            <v>0</v>
          </cell>
          <cell r="AB2340">
            <v>0</v>
          </cell>
          <cell r="AC2340">
            <v>0</v>
          </cell>
          <cell r="AD2340">
            <v>0</v>
          </cell>
          <cell r="BM2340">
            <v>0</v>
          </cell>
          <cell r="BN2340">
            <v>2761904.7619047626</v>
          </cell>
          <cell r="BO2340">
            <v>34285714.285714291</v>
          </cell>
          <cell r="BP2340">
            <v>34285714.285714291</v>
          </cell>
          <cell r="BQ2340">
            <v>34285714.285714291</v>
          </cell>
          <cell r="BR2340">
            <v>105619047.61904764</v>
          </cell>
          <cell r="BT2340">
            <v>0</v>
          </cell>
          <cell r="BV2340">
            <v>31</v>
          </cell>
          <cell r="BW2340">
            <v>60</v>
          </cell>
          <cell r="CA2340" t="str">
            <v>OPP-959722 - REVTOT - Identified - New</v>
          </cell>
          <cell r="CC2340" t="str">
            <v>OPP-959722 - REVTOT - Identified - New - NE</v>
          </cell>
          <cell r="CD2340" t="str">
            <v/>
          </cell>
          <cell r="CF2340" t="str">
            <v>OPP-959722 - Identified - New - NE</v>
          </cell>
        </row>
        <row r="2341">
          <cell r="D2341">
            <v>139</v>
          </cell>
          <cell r="E2341">
            <v>2</v>
          </cell>
          <cell r="F2341">
            <v>4</v>
          </cell>
          <cell r="G2341" t="str">
            <v>OPP-959722</v>
          </cell>
          <cell r="H2341" t="str">
            <v>Three Mile Island Unit 1 D&amp;D</v>
          </cell>
          <cell r="I2341" t="str">
            <v>NE</v>
          </cell>
          <cell r="J2341" t="str">
            <v>NE DD and WM Projects</v>
          </cell>
          <cell r="K2341" t="str">
            <v>Commercial</v>
          </cell>
          <cell r="L2341" t="str">
            <v>Commercial</v>
          </cell>
          <cell r="O2341">
            <v>0</v>
          </cell>
          <cell r="P2341">
            <v>0</v>
          </cell>
          <cell r="Q2341">
            <v>0</v>
          </cell>
          <cell r="R2341">
            <v>0</v>
          </cell>
          <cell r="S2341">
            <v>1</v>
          </cell>
          <cell r="T2341">
            <v>0</v>
          </cell>
          <cell r="U2341" t="str">
            <v>CONTRACT</v>
          </cell>
          <cell r="V2341" t="str">
            <v>Base</v>
          </cell>
          <cell r="W2341">
            <v>0</v>
          </cell>
          <cell r="X2341">
            <v>0</v>
          </cell>
          <cell r="Y2341">
            <v>0</v>
          </cell>
          <cell r="Z2341">
            <v>0</v>
          </cell>
          <cell r="AA2341">
            <v>0</v>
          </cell>
          <cell r="AB2341">
            <v>0</v>
          </cell>
          <cell r="AC2341">
            <v>0</v>
          </cell>
          <cell r="AD2341">
            <v>0</v>
          </cell>
          <cell r="BF2341">
            <v>0</v>
          </cell>
          <cell r="BG2341">
            <v>0</v>
          </cell>
          <cell r="BH2341">
            <v>0</v>
          </cell>
          <cell r="BI2341">
            <v>0</v>
          </cell>
          <cell r="BJ2341">
            <v>0</v>
          </cell>
          <cell r="BK2341">
            <v>0</v>
          </cell>
          <cell r="BL2341">
            <v>0</v>
          </cell>
          <cell r="BM2341">
            <v>0</v>
          </cell>
          <cell r="BN2341">
            <v>0</v>
          </cell>
          <cell r="BO2341">
            <v>0</v>
          </cell>
          <cell r="BP2341">
            <v>0</v>
          </cell>
          <cell r="BQ2341">
            <v>0</v>
          </cell>
          <cell r="BR2341">
            <v>0</v>
          </cell>
          <cell r="BT2341">
            <v>0</v>
          </cell>
          <cell r="BV2341">
            <v>2</v>
          </cell>
          <cell r="BW2341">
            <v>78</v>
          </cell>
          <cell r="CA2341" t="str">
            <v>OPP-959722 - CONTRACT - Base</v>
          </cell>
          <cell r="CC2341" t="str">
            <v>OPP-959722 - CONTRACT - Base - NE - 2</v>
          </cell>
          <cell r="CD2341" t="str">
            <v/>
          </cell>
          <cell r="CF2341" t="str">
            <v>OPP-959722 - Base - NE</v>
          </cell>
        </row>
        <row r="2342">
          <cell r="D2342">
            <v>140</v>
          </cell>
          <cell r="E2342">
            <v>2</v>
          </cell>
          <cell r="F2342">
            <v>5</v>
          </cell>
          <cell r="G2342" t="str">
            <v>OPP-959722</v>
          </cell>
          <cell r="H2342" t="str">
            <v>Three Mile Island Unit 1 D&amp;D</v>
          </cell>
          <cell r="I2342" t="str">
            <v>NE</v>
          </cell>
          <cell r="J2342" t="str">
            <v>NE DD and WM Projects</v>
          </cell>
          <cell r="K2342" t="str">
            <v>Commercial</v>
          </cell>
          <cell r="L2342" t="str">
            <v>Commercial</v>
          </cell>
          <cell r="O2342">
            <v>0</v>
          </cell>
          <cell r="P2342">
            <v>0</v>
          </cell>
          <cell r="Q2342">
            <v>0</v>
          </cell>
          <cell r="R2342">
            <v>0</v>
          </cell>
          <cell r="S2342">
            <v>1</v>
          </cell>
          <cell r="T2342">
            <v>0</v>
          </cell>
          <cell r="U2342" t="str">
            <v>CONTRACT</v>
          </cell>
          <cell r="V2342" t="str">
            <v>Identified - Recompete</v>
          </cell>
          <cell r="W2342">
            <v>0</v>
          </cell>
          <cell r="X2342">
            <v>0</v>
          </cell>
          <cell r="Y2342">
            <v>0</v>
          </cell>
          <cell r="Z2342">
            <v>0</v>
          </cell>
          <cell r="AA2342">
            <v>0</v>
          </cell>
          <cell r="AB2342">
            <v>0</v>
          </cell>
          <cell r="AC2342">
            <v>0</v>
          </cell>
          <cell r="AD2342">
            <v>0</v>
          </cell>
          <cell r="BM2342">
            <v>0</v>
          </cell>
          <cell r="BN2342">
            <v>0</v>
          </cell>
          <cell r="BO2342">
            <v>0</v>
          </cell>
          <cell r="BP2342">
            <v>0</v>
          </cell>
          <cell r="BQ2342">
            <v>0</v>
          </cell>
          <cell r="BR2342">
            <v>0</v>
          </cell>
          <cell r="BT2342">
            <v>0</v>
          </cell>
          <cell r="BV2342">
            <v>2</v>
          </cell>
          <cell r="BW2342">
            <v>78</v>
          </cell>
          <cell r="CA2342" t="str">
            <v>OPP-959722 - CONTRACT - Identified - Recompete</v>
          </cell>
          <cell r="CC2342" t="str">
            <v>OPP-959722 - CONTRACT - Identified - Recompete - NE</v>
          </cell>
          <cell r="CD2342" t="str">
            <v/>
          </cell>
          <cell r="CF2342" t="str">
            <v>OPP-959722 - Identified - Recompete - NE</v>
          </cell>
        </row>
        <row r="2343">
          <cell r="D2343">
            <v>141</v>
          </cell>
          <cell r="E2343">
            <v>2</v>
          </cell>
          <cell r="F2343">
            <v>6</v>
          </cell>
          <cell r="G2343" t="str">
            <v>OPP-959722</v>
          </cell>
          <cell r="H2343" t="str">
            <v>Three Mile Island Unit 1 D&amp;D</v>
          </cell>
          <cell r="I2343" t="str">
            <v>NE</v>
          </cell>
          <cell r="J2343" t="str">
            <v>NE DD and WM Projects</v>
          </cell>
          <cell r="K2343" t="str">
            <v>Commercial</v>
          </cell>
          <cell r="L2343" t="str">
            <v>Commercial</v>
          </cell>
          <cell r="O2343">
            <v>44075</v>
          </cell>
          <cell r="P2343">
            <v>46631</v>
          </cell>
          <cell r="Q2343" t="str">
            <v>Majority</v>
          </cell>
          <cell r="R2343" t="str">
            <v>Fixed Price</v>
          </cell>
          <cell r="S2343">
            <v>1</v>
          </cell>
          <cell r="T2343">
            <v>1</v>
          </cell>
          <cell r="U2343" t="str">
            <v>CONTRACT</v>
          </cell>
          <cell r="V2343" t="str">
            <v>Identified - New</v>
          </cell>
          <cell r="W2343" t="str">
            <v>02 Capture</v>
          </cell>
          <cell r="X2343" t="str">
            <v>Priority 1</v>
          </cell>
          <cell r="Y2343">
            <v>0.4</v>
          </cell>
          <cell r="Z2343">
            <v>540000000</v>
          </cell>
          <cell r="AA2343">
            <v>0</v>
          </cell>
          <cell r="AB2343">
            <v>0</v>
          </cell>
          <cell r="AC2343">
            <v>0</v>
          </cell>
          <cell r="AD2343">
            <v>0</v>
          </cell>
          <cell r="BM2343">
            <v>0</v>
          </cell>
          <cell r="BN2343">
            <v>263443.22344322351</v>
          </cell>
          <cell r="BO2343">
            <v>3270329.6703296709</v>
          </cell>
          <cell r="BP2343">
            <v>3270329.6703296709</v>
          </cell>
          <cell r="BQ2343">
            <v>3270329.6703296709</v>
          </cell>
          <cell r="BR2343">
            <v>10074432.234432237</v>
          </cell>
          <cell r="BT2343">
            <v>0</v>
          </cell>
          <cell r="BV2343">
            <v>31</v>
          </cell>
          <cell r="BW2343">
            <v>78</v>
          </cell>
          <cell r="CA2343" t="str">
            <v>OPP-959722 - CONTRACT - Identified - New</v>
          </cell>
          <cell r="CC2343" t="str">
            <v>OPP-959722 - CONTRACT - Identified - New - NE</v>
          </cell>
          <cell r="CD2343" t="str">
            <v/>
          </cell>
          <cell r="CF2343" t="str">
            <v>OPP-959722 - Identified - New - NE</v>
          </cell>
        </row>
        <row r="2344">
          <cell r="D2344">
            <v>142</v>
          </cell>
          <cell r="E2344">
            <v>0</v>
          </cell>
          <cell r="F2344">
            <v>7</v>
          </cell>
          <cell r="G2344" t="str">
            <v>OPP-959722</v>
          </cell>
          <cell r="H2344" t="str">
            <v>Three Mile Island Unit 1 D&amp;D</v>
          </cell>
          <cell r="I2344" t="str">
            <v>NE</v>
          </cell>
          <cell r="J2344" t="str">
            <v>NE DD and WM Projects</v>
          </cell>
          <cell r="K2344" t="str">
            <v>Commercial</v>
          </cell>
          <cell r="L2344" t="str">
            <v>Commercial</v>
          </cell>
          <cell r="O2344">
            <v>0</v>
          </cell>
          <cell r="P2344">
            <v>0</v>
          </cell>
          <cell r="Q2344">
            <v>0</v>
          </cell>
          <cell r="R2344">
            <v>0</v>
          </cell>
          <cell r="S2344">
            <v>1</v>
          </cell>
          <cell r="T2344">
            <v>0</v>
          </cell>
          <cell r="U2344" t="str">
            <v>EBITA</v>
          </cell>
          <cell r="V2344" t="str">
            <v>Base</v>
          </cell>
          <cell r="W2344">
            <v>0</v>
          </cell>
          <cell r="X2344">
            <v>0</v>
          </cell>
          <cell r="Y2344">
            <v>0</v>
          </cell>
          <cell r="Z2344">
            <v>0</v>
          </cell>
          <cell r="AA2344">
            <v>0</v>
          </cell>
          <cell r="AB2344">
            <v>0</v>
          </cell>
          <cell r="AC2344">
            <v>0</v>
          </cell>
          <cell r="AD2344">
            <v>0</v>
          </cell>
          <cell r="BF2344">
            <v>0</v>
          </cell>
          <cell r="BG2344">
            <v>0</v>
          </cell>
          <cell r="BH2344">
            <v>0</v>
          </cell>
          <cell r="BI2344">
            <v>0</v>
          </cell>
          <cell r="BJ2344">
            <v>0</v>
          </cell>
          <cell r="BK2344">
            <v>0</v>
          </cell>
          <cell r="BL2344">
            <v>0</v>
          </cell>
          <cell r="BM2344">
            <v>0</v>
          </cell>
          <cell r="BN2344">
            <v>0</v>
          </cell>
          <cell r="BO2344">
            <v>0</v>
          </cell>
          <cell r="BP2344">
            <v>0</v>
          </cell>
          <cell r="BQ2344">
            <v>0</v>
          </cell>
          <cell r="BR2344">
            <v>0</v>
          </cell>
          <cell r="BT2344">
            <v>0</v>
          </cell>
          <cell r="BV2344">
            <v>2</v>
          </cell>
          <cell r="BW2344">
            <v>87</v>
          </cell>
          <cell r="CA2344" t="str">
            <v>OPP-959722 - EBITA - Base</v>
          </cell>
          <cell r="CC2344" t="str">
            <v>OPP-959722 - EBITA - Base - NE</v>
          </cell>
          <cell r="CD2344" t="str">
            <v/>
          </cell>
          <cell r="CF2344" t="str">
            <v>OPP-959722 - Base - NE</v>
          </cell>
        </row>
        <row r="2345">
          <cell r="D2345">
            <v>143</v>
          </cell>
          <cell r="E2345">
            <v>0</v>
          </cell>
          <cell r="F2345">
            <v>8</v>
          </cell>
          <cell r="G2345" t="str">
            <v>OPP-959722</v>
          </cell>
          <cell r="H2345" t="str">
            <v>Three Mile Island Unit 1 D&amp;D</v>
          </cell>
          <cell r="I2345" t="str">
            <v>NE</v>
          </cell>
          <cell r="J2345" t="str">
            <v>NE DD and WM Projects</v>
          </cell>
          <cell r="K2345" t="str">
            <v>Commercial</v>
          </cell>
          <cell r="L2345" t="str">
            <v>Commercial</v>
          </cell>
          <cell r="O2345">
            <v>0</v>
          </cell>
          <cell r="P2345">
            <v>0</v>
          </cell>
          <cell r="Q2345">
            <v>0</v>
          </cell>
          <cell r="R2345">
            <v>0</v>
          </cell>
          <cell r="S2345">
            <v>1</v>
          </cell>
          <cell r="T2345">
            <v>0</v>
          </cell>
          <cell r="U2345" t="str">
            <v>EBITA</v>
          </cell>
          <cell r="V2345" t="str">
            <v>Identified - Recompete</v>
          </cell>
          <cell r="W2345">
            <v>0</v>
          </cell>
          <cell r="X2345">
            <v>0</v>
          </cell>
          <cell r="Y2345">
            <v>0</v>
          </cell>
          <cell r="Z2345">
            <v>0</v>
          </cell>
          <cell r="AA2345">
            <v>0</v>
          </cell>
          <cell r="AB2345">
            <v>0</v>
          </cell>
          <cell r="AC2345">
            <v>0</v>
          </cell>
          <cell r="AD2345">
            <v>0</v>
          </cell>
          <cell r="BM2345">
            <v>0</v>
          </cell>
          <cell r="BN2345">
            <v>0</v>
          </cell>
          <cell r="BO2345">
            <v>0</v>
          </cell>
          <cell r="BP2345">
            <v>0</v>
          </cell>
          <cell r="BQ2345">
            <v>0</v>
          </cell>
          <cell r="BR2345">
            <v>0</v>
          </cell>
          <cell r="BT2345">
            <v>0</v>
          </cell>
          <cell r="BV2345">
            <v>2</v>
          </cell>
          <cell r="BW2345">
            <v>87</v>
          </cell>
          <cell r="CA2345" t="str">
            <v>OPP-959722 - EBITA - Identified - Recompete</v>
          </cell>
          <cell r="CC2345" t="str">
            <v>OPP-959722 - EBITA - Identified - Recompete - NE</v>
          </cell>
          <cell r="CD2345" t="str">
            <v/>
          </cell>
          <cell r="CF2345" t="str">
            <v>OPP-959722 - Identified - Recompete - NE</v>
          </cell>
        </row>
        <row r="2346">
          <cell r="D2346">
            <v>144</v>
          </cell>
          <cell r="E2346">
            <v>0</v>
          </cell>
          <cell r="F2346">
            <v>0</v>
          </cell>
          <cell r="G2346" t="str">
            <v>OPP-959722</v>
          </cell>
          <cell r="H2346" t="str">
            <v>Three Mile Island Unit 1 D&amp;D</v>
          </cell>
          <cell r="I2346" t="str">
            <v>NE</v>
          </cell>
          <cell r="J2346" t="str">
            <v>NE DD and WM Projects</v>
          </cell>
          <cell r="K2346" t="str">
            <v>Commercial</v>
          </cell>
          <cell r="L2346" t="str">
            <v>Commercial</v>
          </cell>
          <cell r="O2346">
            <v>44075</v>
          </cell>
          <cell r="P2346">
            <v>46631</v>
          </cell>
          <cell r="Q2346" t="str">
            <v>Majority</v>
          </cell>
          <cell r="R2346" t="str">
            <v>Fixed Price</v>
          </cell>
          <cell r="S2346">
            <v>1</v>
          </cell>
          <cell r="T2346">
            <v>1</v>
          </cell>
          <cell r="U2346" t="str">
            <v>EBITA</v>
          </cell>
          <cell r="V2346" t="str">
            <v>Identified - New</v>
          </cell>
          <cell r="W2346" t="str">
            <v>02 Capture</v>
          </cell>
          <cell r="X2346" t="str">
            <v>Priority 1</v>
          </cell>
          <cell r="Y2346">
            <v>0.4</v>
          </cell>
          <cell r="Z2346">
            <v>540000000</v>
          </cell>
          <cell r="AA2346">
            <v>0</v>
          </cell>
          <cell r="AB2346">
            <v>0</v>
          </cell>
          <cell r="AC2346">
            <v>0</v>
          </cell>
          <cell r="AD2346">
            <v>0</v>
          </cell>
          <cell r="BM2346">
            <v>0</v>
          </cell>
          <cell r="BN2346">
            <v>237098.90109890117</v>
          </cell>
          <cell r="BO2346">
            <v>2943296.7032967038</v>
          </cell>
          <cell r="BP2346">
            <v>2943296.7032967038</v>
          </cell>
          <cell r="BQ2346">
            <v>2943296.7032967038</v>
          </cell>
          <cell r="BR2346">
            <v>9066989.0109890122</v>
          </cell>
          <cell r="BT2346">
            <v>0</v>
          </cell>
          <cell r="BV2346">
            <v>31</v>
          </cell>
          <cell r="BW2346">
            <v>87</v>
          </cell>
          <cell r="CA2346" t="str">
            <v>OPP-959722 - EBITA - Identified - New</v>
          </cell>
          <cell r="CC2346" t="str">
            <v>OPP-959722 - EBITA - Identified - New - NE</v>
          </cell>
          <cell r="CD2346" t="str">
            <v/>
          </cell>
          <cell r="CF2346" t="str">
            <v>OPP-959722 - Identified - New - NE</v>
          </cell>
        </row>
        <row r="2347">
          <cell r="D2347">
            <v>145</v>
          </cell>
          <cell r="E2347">
            <v>1</v>
          </cell>
          <cell r="F2347">
            <v>1</v>
          </cell>
          <cell r="G2347" t="str">
            <v>OPP-420317</v>
          </cell>
          <cell r="H2347" t="str">
            <v>DOE Hanford Central Plateau Cleanup Contract</v>
          </cell>
          <cell r="I2347" t="str">
            <v>NE</v>
          </cell>
          <cell r="J2347" t="str">
            <v>NE DD and WM Projects</v>
          </cell>
          <cell r="K2347" t="str">
            <v>DOE-EM</v>
          </cell>
          <cell r="L2347" t="str">
            <v>DOE</v>
          </cell>
          <cell r="O2347">
            <v>0</v>
          </cell>
          <cell r="P2347">
            <v>0</v>
          </cell>
          <cell r="Q2347">
            <v>0</v>
          </cell>
          <cell r="R2347">
            <v>0</v>
          </cell>
          <cell r="S2347">
            <v>1</v>
          </cell>
          <cell r="T2347">
            <v>0</v>
          </cell>
          <cell r="U2347" t="str">
            <v>REVTOT</v>
          </cell>
          <cell r="V2347" t="str">
            <v>Base</v>
          </cell>
          <cell r="W2347">
            <v>0</v>
          </cell>
          <cell r="X2347">
            <v>0</v>
          </cell>
          <cell r="Y2347">
            <v>0</v>
          </cell>
          <cell r="Z2347">
            <v>0</v>
          </cell>
          <cell r="AA2347">
            <v>0</v>
          </cell>
          <cell r="AB2347">
            <v>0</v>
          </cell>
          <cell r="AC2347">
            <v>0</v>
          </cell>
          <cell r="AD2347">
            <v>0</v>
          </cell>
          <cell r="BF2347">
            <v>0</v>
          </cell>
          <cell r="BG2347">
            <v>0</v>
          </cell>
          <cell r="BH2347">
            <v>0</v>
          </cell>
          <cell r="BI2347">
            <v>0</v>
          </cell>
          <cell r="BJ2347">
            <v>0</v>
          </cell>
          <cell r="BK2347">
            <v>0</v>
          </cell>
          <cell r="BL2347">
            <v>0</v>
          </cell>
          <cell r="BM2347">
            <v>0</v>
          </cell>
          <cell r="BN2347">
            <v>0</v>
          </cell>
          <cell r="BO2347">
            <v>0</v>
          </cell>
          <cell r="BP2347">
            <v>0</v>
          </cell>
          <cell r="BQ2347">
            <v>0</v>
          </cell>
          <cell r="BR2347">
            <v>0</v>
          </cell>
          <cell r="BT2347">
            <v>0</v>
          </cell>
          <cell r="BV2347">
            <v>2</v>
          </cell>
          <cell r="BW2347">
            <v>60</v>
          </cell>
          <cell r="CA2347" t="str">
            <v>OPP-420317 - REVTOT - Base</v>
          </cell>
          <cell r="CC2347" t="str">
            <v>OPP-420317 - REVTOT - Base - NE</v>
          </cell>
          <cell r="CD2347" t="str">
            <v/>
          </cell>
          <cell r="CF2347" t="str">
            <v>OPP-420317 - Base - NE</v>
          </cell>
        </row>
        <row r="2348">
          <cell r="D2348">
            <v>146</v>
          </cell>
          <cell r="E2348">
            <v>1</v>
          </cell>
          <cell r="F2348">
            <v>2</v>
          </cell>
          <cell r="G2348" t="str">
            <v>OPP-420317</v>
          </cell>
          <cell r="H2348" t="str">
            <v>DOE Hanford Central Plateau Cleanup Contract</v>
          </cell>
          <cell r="I2348" t="str">
            <v>NE</v>
          </cell>
          <cell r="J2348" t="str">
            <v>NE DD and WM Projects</v>
          </cell>
          <cell r="K2348" t="str">
            <v>DOE-EM</v>
          </cell>
          <cell r="L2348" t="str">
            <v>DOE</v>
          </cell>
          <cell r="O2348">
            <v>0</v>
          </cell>
          <cell r="P2348">
            <v>0</v>
          </cell>
          <cell r="Q2348">
            <v>0</v>
          </cell>
          <cell r="R2348">
            <v>0</v>
          </cell>
          <cell r="S2348">
            <v>1</v>
          </cell>
          <cell r="T2348">
            <v>0</v>
          </cell>
          <cell r="U2348" t="str">
            <v>REVTOT</v>
          </cell>
          <cell r="V2348" t="str">
            <v>Identified - Recompete</v>
          </cell>
          <cell r="W2348">
            <v>0</v>
          </cell>
          <cell r="X2348">
            <v>0</v>
          </cell>
          <cell r="Y2348">
            <v>0</v>
          </cell>
          <cell r="Z2348">
            <v>0</v>
          </cell>
          <cell r="AA2348">
            <v>0</v>
          </cell>
          <cell r="AB2348">
            <v>0</v>
          </cell>
          <cell r="AC2348">
            <v>0</v>
          </cell>
          <cell r="AD2348">
            <v>0</v>
          </cell>
          <cell r="BM2348">
            <v>0</v>
          </cell>
          <cell r="BN2348">
            <v>0</v>
          </cell>
          <cell r="BO2348">
            <v>0</v>
          </cell>
          <cell r="BP2348">
            <v>0</v>
          </cell>
          <cell r="BQ2348">
            <v>0</v>
          </cell>
          <cell r="BR2348">
            <v>0</v>
          </cell>
          <cell r="BT2348">
            <v>0</v>
          </cell>
          <cell r="BV2348">
            <v>2</v>
          </cell>
          <cell r="BW2348">
            <v>60</v>
          </cell>
          <cell r="CA2348" t="str">
            <v>OPP-420317 - REVTOT - Identified - Recompete</v>
          </cell>
          <cell r="CC2348" t="str">
            <v>OPP-420317 - REVTOT - Identified - Recompete - NE</v>
          </cell>
          <cell r="CD2348" t="str">
            <v/>
          </cell>
          <cell r="CF2348" t="str">
            <v>OPP-420317 - Identified - Recompete - NE</v>
          </cell>
        </row>
        <row r="2349">
          <cell r="D2349">
            <v>147</v>
          </cell>
          <cell r="E2349">
            <v>1</v>
          </cell>
          <cell r="F2349">
            <v>3</v>
          </cell>
          <cell r="G2349" t="str">
            <v>OPP-420317</v>
          </cell>
          <cell r="H2349" t="str">
            <v>DOE Hanford Central Plateau Cleanup Contract</v>
          </cell>
          <cell r="I2349" t="str">
            <v>NE</v>
          </cell>
          <cell r="J2349" t="str">
            <v>NE DD and WM Projects</v>
          </cell>
          <cell r="K2349" t="str">
            <v>DOE-EM</v>
          </cell>
          <cell r="L2349" t="str">
            <v>DOE</v>
          </cell>
          <cell r="O2349">
            <v>43830</v>
          </cell>
          <cell r="P2349">
            <v>49309</v>
          </cell>
          <cell r="Q2349" t="str">
            <v>Majority</v>
          </cell>
          <cell r="R2349" t="str">
            <v>Cost Plus</v>
          </cell>
          <cell r="S2349">
            <v>1</v>
          </cell>
          <cell r="T2349">
            <v>0</v>
          </cell>
          <cell r="U2349" t="str">
            <v>REVTOT</v>
          </cell>
          <cell r="V2349" t="str">
            <v>Identified - New</v>
          </cell>
          <cell r="W2349" t="str">
            <v>04 Submitted</v>
          </cell>
          <cell r="X2349" t="str">
            <v>Priority 1</v>
          </cell>
          <cell r="Y2349">
            <v>0.75</v>
          </cell>
          <cell r="Z2349">
            <v>4800000000</v>
          </cell>
          <cell r="AA2349">
            <v>0</v>
          </cell>
          <cell r="AB2349">
            <v>0</v>
          </cell>
          <cell r="AC2349">
            <v>0</v>
          </cell>
          <cell r="AD2349">
            <v>0</v>
          </cell>
          <cell r="BM2349">
            <v>0</v>
          </cell>
          <cell r="BN2349">
            <v>0</v>
          </cell>
          <cell r="BO2349">
            <v>0</v>
          </cell>
          <cell r="BP2349">
            <v>0</v>
          </cell>
          <cell r="BQ2349">
            <v>0</v>
          </cell>
          <cell r="BR2349">
            <v>0</v>
          </cell>
          <cell r="BT2349">
            <v>0</v>
          </cell>
          <cell r="BV2349">
            <v>32</v>
          </cell>
          <cell r="BW2349">
            <v>60</v>
          </cell>
          <cell r="CA2349" t="str">
            <v>OPP-420317 - REVTOT - Identified - New</v>
          </cell>
          <cell r="CC2349" t="str">
            <v>OPP-420317 - REVTOT - Identified - New - NE</v>
          </cell>
          <cell r="CD2349" t="str">
            <v/>
          </cell>
          <cell r="CF2349" t="str">
            <v>OPP-420317 - Identified - New - NE</v>
          </cell>
        </row>
        <row r="2350">
          <cell r="D2350">
            <v>148</v>
          </cell>
          <cell r="E2350">
            <v>2</v>
          </cell>
          <cell r="F2350">
            <v>4</v>
          </cell>
          <cell r="G2350" t="str">
            <v>OPP-420317</v>
          </cell>
          <cell r="H2350" t="str">
            <v>DOE Hanford Central Plateau Cleanup Contract</v>
          </cell>
          <cell r="I2350" t="str">
            <v>NE</v>
          </cell>
          <cell r="J2350" t="str">
            <v>NE DD and WM Projects</v>
          </cell>
          <cell r="K2350" t="str">
            <v>DOE-EM</v>
          </cell>
          <cell r="L2350" t="str">
            <v>DOE</v>
          </cell>
          <cell r="O2350">
            <v>0</v>
          </cell>
          <cell r="P2350">
            <v>0</v>
          </cell>
          <cell r="Q2350">
            <v>0</v>
          </cell>
          <cell r="R2350">
            <v>0</v>
          </cell>
          <cell r="S2350">
            <v>1</v>
          </cell>
          <cell r="T2350">
            <v>0</v>
          </cell>
          <cell r="U2350" t="str">
            <v>CONTRACT</v>
          </cell>
          <cell r="V2350" t="str">
            <v>Base</v>
          </cell>
          <cell r="W2350">
            <v>0</v>
          </cell>
          <cell r="X2350">
            <v>0</v>
          </cell>
          <cell r="Y2350">
            <v>0</v>
          </cell>
          <cell r="Z2350">
            <v>0</v>
          </cell>
          <cell r="AA2350">
            <v>0</v>
          </cell>
          <cell r="AB2350">
            <v>0</v>
          </cell>
          <cell r="AC2350">
            <v>0</v>
          </cell>
          <cell r="AD2350">
            <v>0</v>
          </cell>
          <cell r="BF2350">
            <v>0</v>
          </cell>
          <cell r="BG2350">
            <v>0</v>
          </cell>
          <cell r="BH2350">
            <v>0</v>
          </cell>
          <cell r="BI2350">
            <v>0</v>
          </cell>
          <cell r="BJ2350">
            <v>0</v>
          </cell>
          <cell r="BK2350">
            <v>0</v>
          </cell>
          <cell r="BL2350">
            <v>0</v>
          </cell>
          <cell r="BM2350">
            <v>0</v>
          </cell>
          <cell r="BN2350">
            <v>0</v>
          </cell>
          <cell r="BO2350">
            <v>0</v>
          </cell>
          <cell r="BP2350">
            <v>0</v>
          </cell>
          <cell r="BQ2350">
            <v>0</v>
          </cell>
          <cell r="BR2350">
            <v>0</v>
          </cell>
          <cell r="BT2350">
            <v>0</v>
          </cell>
          <cell r="BV2350">
            <v>2</v>
          </cell>
          <cell r="BW2350">
            <v>78</v>
          </cell>
          <cell r="CA2350" t="str">
            <v>OPP-420317 - CONTRACT - Base</v>
          </cell>
          <cell r="CC2350" t="str">
            <v>OPP-420317 - CONTRACT - Base - NE - 2</v>
          </cell>
          <cell r="CD2350" t="str">
            <v/>
          </cell>
          <cell r="CF2350" t="str">
            <v>OPP-420317 - Base - NE</v>
          </cell>
        </row>
        <row r="2351">
          <cell r="D2351">
            <v>149</v>
          </cell>
          <cell r="E2351">
            <v>2</v>
          </cell>
          <cell r="F2351">
            <v>5</v>
          </cell>
          <cell r="G2351" t="str">
            <v>OPP-420317</v>
          </cell>
          <cell r="H2351" t="str">
            <v>DOE Hanford Central Plateau Cleanup Contract</v>
          </cell>
          <cell r="I2351" t="str">
            <v>NE</v>
          </cell>
          <cell r="J2351" t="str">
            <v>NE DD and WM Projects</v>
          </cell>
          <cell r="K2351" t="str">
            <v>DOE-EM</v>
          </cell>
          <cell r="L2351" t="str">
            <v>DOE</v>
          </cell>
          <cell r="O2351">
            <v>0</v>
          </cell>
          <cell r="P2351">
            <v>0</v>
          </cell>
          <cell r="Q2351">
            <v>0</v>
          </cell>
          <cell r="R2351">
            <v>0</v>
          </cell>
          <cell r="S2351">
            <v>1</v>
          </cell>
          <cell r="T2351">
            <v>0</v>
          </cell>
          <cell r="U2351" t="str">
            <v>CONTRACT</v>
          </cell>
          <cell r="V2351" t="str">
            <v>Identified - Recompete</v>
          </cell>
          <cell r="W2351">
            <v>0</v>
          </cell>
          <cell r="X2351">
            <v>0</v>
          </cell>
          <cell r="Y2351">
            <v>0</v>
          </cell>
          <cell r="Z2351">
            <v>0</v>
          </cell>
          <cell r="AA2351">
            <v>0</v>
          </cell>
          <cell r="AB2351">
            <v>0</v>
          </cell>
          <cell r="AC2351">
            <v>0</v>
          </cell>
          <cell r="AD2351">
            <v>0</v>
          </cell>
          <cell r="BM2351">
            <v>0</v>
          </cell>
          <cell r="BN2351">
            <v>0</v>
          </cell>
          <cell r="BO2351">
            <v>0</v>
          </cell>
          <cell r="BP2351">
            <v>0</v>
          </cell>
          <cell r="BQ2351">
            <v>0</v>
          </cell>
          <cell r="BR2351">
            <v>0</v>
          </cell>
          <cell r="BT2351">
            <v>0</v>
          </cell>
          <cell r="BV2351">
            <v>2</v>
          </cell>
          <cell r="BW2351">
            <v>78</v>
          </cell>
          <cell r="CA2351" t="str">
            <v>OPP-420317 - CONTRACT - Identified - Recompete</v>
          </cell>
          <cell r="CC2351" t="str">
            <v>OPP-420317 - CONTRACT - Identified - Recompete - NE</v>
          </cell>
          <cell r="CD2351" t="str">
            <v/>
          </cell>
          <cell r="CF2351" t="str">
            <v>OPP-420317 - Identified - Recompete - NE</v>
          </cell>
        </row>
        <row r="2352">
          <cell r="D2352">
            <v>150</v>
          </cell>
          <cell r="E2352">
            <v>2</v>
          </cell>
          <cell r="F2352">
            <v>6</v>
          </cell>
          <cell r="G2352" t="str">
            <v>OPP-420317</v>
          </cell>
          <cell r="H2352" t="str">
            <v>DOE Hanford Central Plateau Cleanup Contract</v>
          </cell>
          <cell r="I2352" t="str">
            <v>NE</v>
          </cell>
          <cell r="J2352" t="str">
            <v>NE DD and WM Projects</v>
          </cell>
          <cell r="K2352" t="str">
            <v>DOE-EM</v>
          </cell>
          <cell r="L2352" t="str">
            <v>DOE</v>
          </cell>
          <cell r="O2352">
            <v>43830</v>
          </cell>
          <cell r="P2352">
            <v>49309</v>
          </cell>
          <cell r="Q2352" t="str">
            <v>Majority</v>
          </cell>
          <cell r="R2352" t="str">
            <v>Cost Plus</v>
          </cell>
          <cell r="S2352">
            <v>1</v>
          </cell>
          <cell r="T2352">
            <v>0</v>
          </cell>
          <cell r="U2352" t="str">
            <v>CONTRACT</v>
          </cell>
          <cell r="V2352" t="str">
            <v>Identified - New</v>
          </cell>
          <cell r="W2352" t="str">
            <v>04 Submitted</v>
          </cell>
          <cell r="X2352" t="str">
            <v>Priority 1</v>
          </cell>
          <cell r="Y2352">
            <v>0.75</v>
          </cell>
          <cell r="Z2352">
            <v>4800000000</v>
          </cell>
          <cell r="AA2352">
            <v>0</v>
          </cell>
          <cell r="AB2352">
            <v>0</v>
          </cell>
          <cell r="AC2352">
            <v>0</v>
          </cell>
          <cell r="AD2352">
            <v>0</v>
          </cell>
          <cell r="BM2352">
            <v>0</v>
          </cell>
          <cell r="BN2352">
            <v>0</v>
          </cell>
          <cell r="BO2352">
            <v>0</v>
          </cell>
          <cell r="BP2352">
            <v>0</v>
          </cell>
          <cell r="BQ2352">
            <v>0</v>
          </cell>
          <cell r="BR2352">
            <v>0</v>
          </cell>
          <cell r="BT2352">
            <v>0</v>
          </cell>
          <cell r="BV2352">
            <v>32</v>
          </cell>
          <cell r="BW2352">
            <v>78</v>
          </cell>
          <cell r="CA2352" t="str">
            <v>OPP-420317 - CONTRACT - Identified - New</v>
          </cell>
          <cell r="CC2352" t="str">
            <v>OPP-420317 - CONTRACT - Identified - New - NE</v>
          </cell>
          <cell r="CD2352" t="str">
            <v/>
          </cell>
          <cell r="CF2352" t="str">
            <v>OPP-420317 - Identified - New - NE</v>
          </cell>
        </row>
        <row r="2353">
          <cell r="D2353">
            <v>151</v>
          </cell>
          <cell r="E2353">
            <v>0</v>
          </cell>
          <cell r="F2353">
            <v>7</v>
          </cell>
          <cell r="G2353" t="str">
            <v>OPP-420317</v>
          </cell>
          <cell r="H2353" t="str">
            <v>DOE Hanford Central Plateau Cleanup Contract</v>
          </cell>
          <cell r="I2353" t="str">
            <v>NE</v>
          </cell>
          <cell r="J2353" t="str">
            <v>NE DD and WM Projects</v>
          </cell>
          <cell r="K2353" t="str">
            <v>DOE-EM</v>
          </cell>
          <cell r="L2353" t="str">
            <v>DOE</v>
          </cell>
          <cell r="O2353">
            <v>0</v>
          </cell>
          <cell r="P2353">
            <v>0</v>
          </cell>
          <cell r="Q2353">
            <v>0</v>
          </cell>
          <cell r="R2353">
            <v>0</v>
          </cell>
          <cell r="S2353">
            <v>1</v>
          </cell>
          <cell r="T2353">
            <v>0</v>
          </cell>
          <cell r="U2353" t="str">
            <v>EBITA</v>
          </cell>
          <cell r="V2353" t="str">
            <v>Base</v>
          </cell>
          <cell r="W2353">
            <v>0</v>
          </cell>
          <cell r="X2353">
            <v>0</v>
          </cell>
          <cell r="Y2353">
            <v>0</v>
          </cell>
          <cell r="Z2353">
            <v>0</v>
          </cell>
          <cell r="AA2353">
            <v>0</v>
          </cell>
          <cell r="AB2353">
            <v>0</v>
          </cell>
          <cell r="AC2353">
            <v>0</v>
          </cell>
          <cell r="AD2353">
            <v>0</v>
          </cell>
          <cell r="BF2353">
            <v>0</v>
          </cell>
          <cell r="BG2353">
            <v>0</v>
          </cell>
          <cell r="BH2353">
            <v>0</v>
          </cell>
          <cell r="BI2353">
            <v>0</v>
          </cell>
          <cell r="BJ2353">
            <v>0</v>
          </cell>
          <cell r="BK2353">
            <v>0</v>
          </cell>
          <cell r="BL2353">
            <v>0</v>
          </cell>
          <cell r="BM2353">
            <v>0</v>
          </cell>
          <cell r="BN2353">
            <v>0</v>
          </cell>
          <cell r="BO2353">
            <v>0</v>
          </cell>
          <cell r="BP2353">
            <v>0</v>
          </cell>
          <cell r="BQ2353">
            <v>0</v>
          </cell>
          <cell r="BR2353">
            <v>0</v>
          </cell>
          <cell r="BT2353">
            <v>0</v>
          </cell>
          <cell r="BV2353">
            <v>2</v>
          </cell>
          <cell r="BW2353">
            <v>87</v>
          </cell>
          <cell r="CA2353" t="str">
            <v>OPP-420317 - EBITA - Base</v>
          </cell>
          <cell r="CC2353" t="str">
            <v>OPP-420317 - EBITA - Base - NE</v>
          </cell>
          <cell r="CD2353" t="str">
            <v/>
          </cell>
          <cell r="CF2353" t="str">
            <v>OPP-420317 - Base - NE</v>
          </cell>
        </row>
        <row r="2354">
          <cell r="D2354">
            <v>152</v>
          </cell>
          <cell r="E2354">
            <v>0</v>
          </cell>
          <cell r="F2354">
            <v>8</v>
          </cell>
          <cell r="G2354" t="str">
            <v>OPP-420317</v>
          </cell>
          <cell r="H2354" t="str">
            <v>DOE Hanford Central Plateau Cleanup Contract</v>
          </cell>
          <cell r="I2354" t="str">
            <v>NE</v>
          </cell>
          <cell r="J2354" t="str">
            <v>NE DD and WM Projects</v>
          </cell>
          <cell r="K2354" t="str">
            <v>DOE-EM</v>
          </cell>
          <cell r="L2354" t="str">
            <v>DOE</v>
          </cell>
          <cell r="O2354">
            <v>0</v>
          </cell>
          <cell r="P2354">
            <v>0</v>
          </cell>
          <cell r="Q2354">
            <v>0</v>
          </cell>
          <cell r="R2354">
            <v>0</v>
          </cell>
          <cell r="S2354">
            <v>1</v>
          </cell>
          <cell r="T2354">
            <v>0</v>
          </cell>
          <cell r="U2354" t="str">
            <v>EBITA</v>
          </cell>
          <cell r="V2354" t="str">
            <v>Identified - Recompete</v>
          </cell>
          <cell r="W2354">
            <v>0</v>
          </cell>
          <cell r="X2354">
            <v>0</v>
          </cell>
          <cell r="Y2354">
            <v>0</v>
          </cell>
          <cell r="Z2354">
            <v>0</v>
          </cell>
          <cell r="AA2354">
            <v>0</v>
          </cell>
          <cell r="AB2354">
            <v>0</v>
          </cell>
          <cell r="AC2354">
            <v>0</v>
          </cell>
          <cell r="AD2354">
            <v>0</v>
          </cell>
          <cell r="BM2354">
            <v>0</v>
          </cell>
          <cell r="BN2354">
            <v>0</v>
          </cell>
          <cell r="BO2354">
            <v>0</v>
          </cell>
          <cell r="BP2354">
            <v>0</v>
          </cell>
          <cell r="BQ2354">
            <v>0</v>
          </cell>
          <cell r="BR2354">
            <v>0</v>
          </cell>
          <cell r="BT2354">
            <v>0</v>
          </cell>
          <cell r="BV2354">
            <v>2</v>
          </cell>
          <cell r="BW2354">
            <v>87</v>
          </cell>
          <cell r="CA2354" t="str">
            <v>OPP-420317 - EBITA - Identified - Recompete</v>
          </cell>
          <cell r="CC2354" t="str">
            <v>OPP-420317 - EBITA - Identified - Recompete - NE</v>
          </cell>
          <cell r="CD2354" t="str">
            <v/>
          </cell>
          <cell r="CF2354" t="str">
            <v>OPP-420317 - Identified - Recompete - NE</v>
          </cell>
        </row>
        <row r="2355">
          <cell r="D2355">
            <v>153</v>
          </cell>
          <cell r="E2355">
            <v>0</v>
          </cell>
          <cell r="F2355">
            <v>0</v>
          </cell>
          <cell r="G2355" t="str">
            <v>OPP-420317</v>
          </cell>
          <cell r="H2355" t="str">
            <v>DOE Hanford Central Plateau Cleanup Contract</v>
          </cell>
          <cell r="I2355" t="str">
            <v>NE</v>
          </cell>
          <cell r="J2355" t="str">
            <v>NE DD and WM Projects</v>
          </cell>
          <cell r="K2355" t="str">
            <v>DOE-EM</v>
          </cell>
          <cell r="L2355" t="str">
            <v>DOE</v>
          </cell>
          <cell r="O2355">
            <v>43830</v>
          </cell>
          <cell r="P2355">
            <v>49309</v>
          </cell>
          <cell r="Q2355" t="str">
            <v>Majority</v>
          </cell>
          <cell r="R2355" t="str">
            <v>Cost Plus</v>
          </cell>
          <cell r="S2355">
            <v>1</v>
          </cell>
          <cell r="T2355">
            <v>0</v>
          </cell>
          <cell r="U2355" t="str">
            <v>EBITA</v>
          </cell>
          <cell r="V2355" t="str">
            <v>Identified - New</v>
          </cell>
          <cell r="W2355" t="str">
            <v>04 Submitted</v>
          </cell>
          <cell r="X2355" t="str">
            <v>Priority 1</v>
          </cell>
          <cell r="Y2355">
            <v>0.75</v>
          </cell>
          <cell r="Z2355">
            <v>4800000000</v>
          </cell>
          <cell r="AA2355">
            <v>0</v>
          </cell>
          <cell r="AB2355">
            <v>0</v>
          </cell>
          <cell r="AC2355">
            <v>0</v>
          </cell>
          <cell r="AD2355">
            <v>0</v>
          </cell>
          <cell r="BM2355">
            <v>0</v>
          </cell>
          <cell r="BN2355">
            <v>5040000</v>
          </cell>
          <cell r="BO2355">
            <v>6720000</v>
          </cell>
          <cell r="BP2355">
            <v>6720000</v>
          </cell>
          <cell r="BQ2355">
            <v>6720000</v>
          </cell>
          <cell r="BR2355">
            <v>25200000</v>
          </cell>
          <cell r="BT2355">
            <v>0</v>
          </cell>
          <cell r="BV2355">
            <v>32</v>
          </cell>
          <cell r="BW2355">
            <v>87</v>
          </cell>
          <cell r="CA2355" t="str">
            <v>OPP-420317 - EBITA - Identified - New</v>
          </cell>
          <cell r="CC2355" t="str">
            <v>OPP-420317 - EBITA - Identified - New - NE</v>
          </cell>
          <cell r="CD2355" t="str">
            <v/>
          </cell>
          <cell r="CF2355" t="str">
            <v>OPP-420317 - Identified - New - NE</v>
          </cell>
        </row>
        <row r="2356">
          <cell r="D2356">
            <v>154</v>
          </cell>
          <cell r="E2356">
            <v>1</v>
          </cell>
          <cell r="F2356">
            <v>1</v>
          </cell>
          <cell r="G2356" t="str">
            <v>OPP-547380</v>
          </cell>
          <cell r="H2356" t="str">
            <v>Pantex Y-12</v>
          </cell>
          <cell r="I2356" t="str">
            <v>NE</v>
          </cell>
          <cell r="J2356" t="str">
            <v>NE HLW &amp; NNSA Operations</v>
          </cell>
          <cell r="K2356" t="str">
            <v>DOE-NNSA</v>
          </cell>
          <cell r="L2356" t="str">
            <v>DOE</v>
          </cell>
          <cell r="O2356">
            <v>0</v>
          </cell>
          <cell r="P2356">
            <v>0</v>
          </cell>
          <cell r="Q2356">
            <v>0</v>
          </cell>
          <cell r="R2356">
            <v>0</v>
          </cell>
          <cell r="S2356">
            <v>1</v>
          </cell>
          <cell r="T2356">
            <v>0</v>
          </cell>
          <cell r="U2356" t="str">
            <v>REVTOT</v>
          </cell>
          <cell r="V2356" t="str">
            <v>Base</v>
          </cell>
          <cell r="W2356">
            <v>0</v>
          </cell>
          <cell r="X2356">
            <v>0</v>
          </cell>
          <cell r="Y2356">
            <v>0</v>
          </cell>
          <cell r="Z2356">
            <v>0</v>
          </cell>
          <cell r="AA2356">
            <v>0</v>
          </cell>
          <cell r="AB2356">
            <v>0</v>
          </cell>
          <cell r="AC2356">
            <v>0</v>
          </cell>
          <cell r="AD2356">
            <v>0</v>
          </cell>
          <cell r="BF2356">
            <v>0</v>
          </cell>
          <cell r="BG2356">
            <v>0</v>
          </cell>
          <cell r="BH2356">
            <v>0</v>
          </cell>
          <cell r="BI2356">
            <v>0</v>
          </cell>
          <cell r="BJ2356">
            <v>0</v>
          </cell>
          <cell r="BK2356">
            <v>0</v>
          </cell>
          <cell r="BL2356">
            <v>0</v>
          </cell>
          <cell r="BM2356">
            <v>0</v>
          </cell>
          <cell r="BN2356">
            <v>0</v>
          </cell>
          <cell r="BO2356">
            <v>0</v>
          </cell>
          <cell r="BP2356">
            <v>0</v>
          </cell>
          <cell r="BQ2356">
            <v>0</v>
          </cell>
          <cell r="BR2356">
            <v>0</v>
          </cell>
          <cell r="BT2356">
            <v>0</v>
          </cell>
          <cell r="BV2356">
            <v>2</v>
          </cell>
          <cell r="BW2356">
            <v>60</v>
          </cell>
          <cell r="CA2356" t="str">
            <v>OPP-547380 - REVTOT - Base</v>
          </cell>
          <cell r="CC2356" t="str">
            <v>OPP-547380 - REVTOT - Base - NE</v>
          </cell>
          <cell r="CD2356" t="str">
            <v/>
          </cell>
          <cell r="CF2356" t="str">
            <v>OPP-547380 - Base - NE</v>
          </cell>
        </row>
        <row r="2357">
          <cell r="D2357">
            <v>155</v>
          </cell>
          <cell r="E2357">
            <v>1</v>
          </cell>
          <cell r="F2357">
            <v>2</v>
          </cell>
          <cell r="G2357" t="str">
            <v>OPP-547380</v>
          </cell>
          <cell r="H2357" t="str">
            <v>Pantex Y-12</v>
          </cell>
          <cell r="I2357" t="str">
            <v>NE</v>
          </cell>
          <cell r="J2357" t="str">
            <v>NE HLW &amp; NNSA Operations</v>
          </cell>
          <cell r="K2357" t="str">
            <v>DOE-NNSA</v>
          </cell>
          <cell r="L2357" t="str">
            <v>DOE</v>
          </cell>
          <cell r="O2357">
            <v>0</v>
          </cell>
          <cell r="P2357">
            <v>0</v>
          </cell>
          <cell r="Q2357">
            <v>0</v>
          </cell>
          <cell r="R2357">
            <v>0</v>
          </cell>
          <cell r="S2357">
            <v>1</v>
          </cell>
          <cell r="T2357">
            <v>0</v>
          </cell>
          <cell r="U2357" t="str">
            <v>REVTOT</v>
          </cell>
          <cell r="V2357" t="str">
            <v>Identified - Recompete</v>
          </cell>
          <cell r="W2357">
            <v>0</v>
          </cell>
          <cell r="X2357">
            <v>0</v>
          </cell>
          <cell r="Y2357">
            <v>0</v>
          </cell>
          <cell r="Z2357">
            <v>0</v>
          </cell>
          <cell r="AA2357">
            <v>0</v>
          </cell>
          <cell r="AB2357">
            <v>0</v>
          </cell>
          <cell r="AC2357">
            <v>0</v>
          </cell>
          <cell r="AD2357">
            <v>0</v>
          </cell>
          <cell r="BM2357">
            <v>0</v>
          </cell>
          <cell r="BN2357">
            <v>0</v>
          </cell>
          <cell r="BO2357">
            <v>0</v>
          </cell>
          <cell r="BP2357">
            <v>0</v>
          </cell>
          <cell r="BQ2357">
            <v>0</v>
          </cell>
          <cell r="BR2357">
            <v>0</v>
          </cell>
          <cell r="BT2357">
            <v>0</v>
          </cell>
          <cell r="BV2357">
            <v>2</v>
          </cell>
          <cell r="BW2357">
            <v>60</v>
          </cell>
          <cell r="CA2357" t="str">
            <v>OPP-547380 - REVTOT - Identified - Recompete</v>
          </cell>
          <cell r="CC2357" t="str">
            <v>OPP-547380 - REVTOT - Identified - Recompete - NE</v>
          </cell>
          <cell r="CD2357" t="str">
            <v/>
          </cell>
          <cell r="CF2357" t="str">
            <v>OPP-547380 - Identified - Recompete - NE</v>
          </cell>
        </row>
        <row r="2358">
          <cell r="D2358">
            <v>156</v>
          </cell>
          <cell r="E2358">
            <v>1</v>
          </cell>
          <cell r="F2358">
            <v>3</v>
          </cell>
          <cell r="G2358" t="str">
            <v>OPP-547380</v>
          </cell>
          <cell r="H2358" t="str">
            <v>Pantex Y-12</v>
          </cell>
          <cell r="I2358" t="str">
            <v>NE</v>
          </cell>
          <cell r="J2358" t="str">
            <v>NE HLW &amp; NNSA Operations</v>
          </cell>
          <cell r="K2358" t="str">
            <v>DOE-NNSA</v>
          </cell>
          <cell r="L2358" t="str">
            <v>DOE</v>
          </cell>
          <cell r="O2358">
            <v>44378</v>
          </cell>
          <cell r="P2358">
            <v>48030</v>
          </cell>
          <cell r="Q2358" t="str">
            <v>Minority</v>
          </cell>
          <cell r="R2358" t="str">
            <v>Cost Plus</v>
          </cell>
          <cell r="S2358">
            <v>1</v>
          </cell>
          <cell r="T2358">
            <v>0</v>
          </cell>
          <cell r="U2358" t="str">
            <v>REVTOT</v>
          </cell>
          <cell r="V2358" t="str">
            <v>Identified - New</v>
          </cell>
          <cell r="W2358" t="str">
            <v>00 Investigate</v>
          </cell>
          <cell r="X2358" t="str">
            <v>Priority 1</v>
          </cell>
          <cell r="Y2358">
            <v>0.25</v>
          </cell>
          <cell r="Z2358">
            <v>3000000000</v>
          </cell>
          <cell r="AA2358">
            <v>0</v>
          </cell>
          <cell r="AB2358">
            <v>0</v>
          </cell>
          <cell r="AC2358">
            <v>0</v>
          </cell>
          <cell r="AD2358">
            <v>0</v>
          </cell>
          <cell r="BM2358">
            <v>0</v>
          </cell>
          <cell r="BN2358">
            <v>0</v>
          </cell>
          <cell r="BO2358">
            <v>0</v>
          </cell>
          <cell r="BP2358">
            <v>0</v>
          </cell>
          <cell r="BQ2358">
            <v>0</v>
          </cell>
          <cell r="BR2358">
            <v>0</v>
          </cell>
          <cell r="BT2358">
            <v>0</v>
          </cell>
          <cell r="BV2358">
            <v>33</v>
          </cell>
          <cell r="BW2358">
            <v>60</v>
          </cell>
          <cell r="CA2358" t="str">
            <v>OPP-547380 - REVTOT - Identified - New</v>
          </cell>
          <cell r="CC2358" t="str">
            <v>OPP-547380 - REVTOT - Identified - New - NE</v>
          </cell>
          <cell r="CD2358" t="str">
            <v/>
          </cell>
          <cell r="CF2358" t="str">
            <v>OPP-547380 - Identified - New - NE</v>
          </cell>
        </row>
        <row r="2359">
          <cell r="D2359">
            <v>157</v>
          </cell>
          <cell r="E2359">
            <v>2</v>
          </cell>
          <cell r="F2359">
            <v>4</v>
          </cell>
          <cell r="G2359" t="str">
            <v>OPP-547380</v>
          </cell>
          <cell r="H2359" t="str">
            <v>Pantex Y-12</v>
          </cell>
          <cell r="I2359" t="str">
            <v>NE</v>
          </cell>
          <cell r="J2359" t="str">
            <v>NE HLW &amp; NNSA Operations</v>
          </cell>
          <cell r="K2359" t="str">
            <v>DOE-NNSA</v>
          </cell>
          <cell r="L2359" t="str">
            <v>DOE</v>
          </cell>
          <cell r="O2359">
            <v>0</v>
          </cell>
          <cell r="P2359">
            <v>0</v>
          </cell>
          <cell r="Q2359">
            <v>0</v>
          </cell>
          <cell r="R2359">
            <v>0</v>
          </cell>
          <cell r="S2359">
            <v>1</v>
          </cell>
          <cell r="T2359">
            <v>0</v>
          </cell>
          <cell r="U2359" t="str">
            <v>CONTRACT</v>
          </cell>
          <cell r="V2359" t="str">
            <v>Base</v>
          </cell>
          <cell r="W2359">
            <v>0</v>
          </cell>
          <cell r="X2359">
            <v>0</v>
          </cell>
          <cell r="Y2359">
            <v>0</v>
          </cell>
          <cell r="Z2359">
            <v>0</v>
          </cell>
          <cell r="AA2359">
            <v>0</v>
          </cell>
          <cell r="AB2359">
            <v>0</v>
          </cell>
          <cell r="AC2359">
            <v>0</v>
          </cell>
          <cell r="AD2359">
            <v>0</v>
          </cell>
          <cell r="BF2359">
            <v>0</v>
          </cell>
          <cell r="BG2359">
            <v>0</v>
          </cell>
          <cell r="BH2359">
            <v>0</v>
          </cell>
          <cell r="BI2359">
            <v>0</v>
          </cell>
          <cell r="BJ2359">
            <v>0</v>
          </cell>
          <cell r="BK2359">
            <v>0</v>
          </cell>
          <cell r="BL2359">
            <v>0</v>
          </cell>
          <cell r="BM2359">
            <v>0</v>
          </cell>
          <cell r="BN2359">
            <v>0</v>
          </cell>
          <cell r="BO2359">
            <v>0</v>
          </cell>
          <cell r="BP2359">
            <v>0</v>
          </cell>
          <cell r="BQ2359">
            <v>0</v>
          </cell>
          <cell r="BR2359">
            <v>0</v>
          </cell>
          <cell r="BT2359">
            <v>0</v>
          </cell>
          <cell r="BV2359">
            <v>2</v>
          </cell>
          <cell r="BW2359">
            <v>78</v>
          </cell>
          <cell r="CA2359" t="str">
            <v>OPP-547380 - CONTRACT - Base</v>
          </cell>
          <cell r="CC2359" t="str">
            <v>OPP-547380 - CONTRACT - Base - NE - 2</v>
          </cell>
          <cell r="CD2359" t="str">
            <v/>
          </cell>
          <cell r="CF2359" t="str">
            <v>OPP-547380 - Base - NE</v>
          </cell>
        </row>
        <row r="2360">
          <cell r="D2360">
            <v>158</v>
          </cell>
          <cell r="E2360">
            <v>2</v>
          </cell>
          <cell r="F2360">
            <v>5</v>
          </cell>
          <cell r="G2360" t="str">
            <v>OPP-547380</v>
          </cell>
          <cell r="H2360" t="str">
            <v>Pantex Y-12</v>
          </cell>
          <cell r="I2360" t="str">
            <v>NE</v>
          </cell>
          <cell r="J2360" t="str">
            <v>NE HLW &amp; NNSA Operations</v>
          </cell>
          <cell r="K2360" t="str">
            <v>DOE-NNSA</v>
          </cell>
          <cell r="L2360" t="str">
            <v>DOE</v>
          </cell>
          <cell r="O2360">
            <v>0</v>
          </cell>
          <cell r="P2360">
            <v>0</v>
          </cell>
          <cell r="Q2360">
            <v>0</v>
          </cell>
          <cell r="R2360">
            <v>0</v>
          </cell>
          <cell r="S2360">
            <v>1</v>
          </cell>
          <cell r="T2360">
            <v>0</v>
          </cell>
          <cell r="U2360" t="str">
            <v>CONTRACT</v>
          </cell>
          <cell r="V2360" t="str">
            <v>Identified - Recompete</v>
          </cell>
          <cell r="W2360">
            <v>0</v>
          </cell>
          <cell r="X2360">
            <v>0</v>
          </cell>
          <cell r="Y2360">
            <v>0</v>
          </cell>
          <cell r="Z2360">
            <v>0</v>
          </cell>
          <cell r="AA2360">
            <v>0</v>
          </cell>
          <cell r="AB2360">
            <v>0</v>
          </cell>
          <cell r="AC2360">
            <v>0</v>
          </cell>
          <cell r="AD2360">
            <v>0</v>
          </cell>
          <cell r="BM2360">
            <v>0</v>
          </cell>
          <cell r="BN2360">
            <v>0</v>
          </cell>
          <cell r="BO2360">
            <v>0</v>
          </cell>
          <cell r="BP2360">
            <v>0</v>
          </cell>
          <cell r="BQ2360">
            <v>0</v>
          </cell>
          <cell r="BR2360">
            <v>0</v>
          </cell>
          <cell r="BT2360">
            <v>0</v>
          </cell>
          <cell r="BV2360">
            <v>2</v>
          </cell>
          <cell r="BW2360">
            <v>78</v>
          </cell>
          <cell r="CA2360" t="str">
            <v>OPP-547380 - CONTRACT - Identified - Recompete</v>
          </cell>
          <cell r="CC2360" t="str">
            <v>OPP-547380 - CONTRACT - Identified - Recompete - NE</v>
          </cell>
          <cell r="CD2360" t="str">
            <v/>
          </cell>
          <cell r="CF2360" t="str">
            <v>OPP-547380 - Identified - Recompete - NE</v>
          </cell>
        </row>
        <row r="2361">
          <cell r="D2361">
            <v>159</v>
          </cell>
          <cell r="E2361">
            <v>2</v>
          </cell>
          <cell r="F2361">
            <v>6</v>
          </cell>
          <cell r="G2361" t="str">
            <v>OPP-547380</v>
          </cell>
          <cell r="H2361" t="str">
            <v>Pantex Y-12</v>
          </cell>
          <cell r="I2361" t="str">
            <v>NE</v>
          </cell>
          <cell r="J2361" t="str">
            <v>NE HLW &amp; NNSA Operations</v>
          </cell>
          <cell r="K2361" t="str">
            <v>DOE-NNSA</v>
          </cell>
          <cell r="L2361" t="str">
            <v>DOE</v>
          </cell>
          <cell r="O2361">
            <v>44378</v>
          </cell>
          <cell r="P2361">
            <v>48030</v>
          </cell>
          <cell r="Q2361" t="str">
            <v>Minority</v>
          </cell>
          <cell r="R2361" t="str">
            <v>Cost Plus</v>
          </cell>
          <cell r="S2361">
            <v>1</v>
          </cell>
          <cell r="T2361">
            <v>0</v>
          </cell>
          <cell r="U2361" t="str">
            <v>CONTRACT</v>
          </cell>
          <cell r="V2361" t="str">
            <v>Identified - New</v>
          </cell>
          <cell r="W2361" t="str">
            <v>00 Investigate</v>
          </cell>
          <cell r="X2361" t="str">
            <v>Priority 1</v>
          </cell>
          <cell r="Y2361">
            <v>0.25</v>
          </cell>
          <cell r="Z2361">
            <v>3000000000</v>
          </cell>
          <cell r="AA2361">
            <v>0</v>
          </cell>
          <cell r="AB2361">
            <v>0</v>
          </cell>
          <cell r="AC2361">
            <v>0</v>
          </cell>
          <cell r="AD2361">
            <v>0</v>
          </cell>
          <cell r="BM2361">
            <v>0</v>
          </cell>
          <cell r="BN2361">
            <v>0</v>
          </cell>
          <cell r="BO2361">
            <v>0</v>
          </cell>
          <cell r="BP2361">
            <v>0</v>
          </cell>
          <cell r="BQ2361">
            <v>0</v>
          </cell>
          <cell r="BR2361">
            <v>0</v>
          </cell>
          <cell r="BT2361">
            <v>0</v>
          </cell>
          <cell r="BV2361">
            <v>33</v>
          </cell>
          <cell r="BW2361">
            <v>78</v>
          </cell>
          <cell r="CA2361" t="str">
            <v>OPP-547380 - CONTRACT - Identified - New</v>
          </cell>
          <cell r="CC2361" t="str">
            <v>OPP-547380 - CONTRACT - Identified - New - NE</v>
          </cell>
          <cell r="CD2361" t="str">
            <v/>
          </cell>
          <cell r="CF2361" t="str">
            <v>OPP-547380 - Identified - New - NE</v>
          </cell>
        </row>
        <row r="2362">
          <cell r="D2362">
            <v>160</v>
          </cell>
          <cell r="E2362">
            <v>0</v>
          </cell>
          <cell r="F2362">
            <v>7</v>
          </cell>
          <cell r="G2362" t="str">
            <v>OPP-547380</v>
          </cell>
          <cell r="H2362" t="str">
            <v>Pantex Y-12</v>
          </cell>
          <cell r="I2362" t="str">
            <v>NE</v>
          </cell>
          <cell r="J2362" t="str">
            <v>NE HLW &amp; NNSA Operations</v>
          </cell>
          <cell r="K2362" t="str">
            <v>DOE-NNSA</v>
          </cell>
          <cell r="L2362" t="str">
            <v>DOE</v>
          </cell>
          <cell r="O2362">
            <v>0</v>
          </cell>
          <cell r="P2362">
            <v>0</v>
          </cell>
          <cell r="Q2362">
            <v>0</v>
          </cell>
          <cell r="R2362">
            <v>0</v>
          </cell>
          <cell r="S2362">
            <v>1</v>
          </cell>
          <cell r="T2362">
            <v>0</v>
          </cell>
          <cell r="U2362" t="str">
            <v>EBITA</v>
          </cell>
          <cell r="V2362" t="str">
            <v>Base</v>
          </cell>
          <cell r="W2362">
            <v>0</v>
          </cell>
          <cell r="X2362">
            <v>0</v>
          </cell>
          <cell r="Y2362">
            <v>0</v>
          </cell>
          <cell r="Z2362">
            <v>0</v>
          </cell>
          <cell r="AA2362">
            <v>0</v>
          </cell>
          <cell r="AB2362">
            <v>0</v>
          </cell>
          <cell r="AC2362">
            <v>0</v>
          </cell>
          <cell r="AD2362">
            <v>0</v>
          </cell>
          <cell r="BF2362">
            <v>0</v>
          </cell>
          <cell r="BG2362">
            <v>0</v>
          </cell>
          <cell r="BH2362">
            <v>0</v>
          </cell>
          <cell r="BI2362">
            <v>0</v>
          </cell>
          <cell r="BJ2362">
            <v>0</v>
          </cell>
          <cell r="BK2362">
            <v>0</v>
          </cell>
          <cell r="BL2362">
            <v>0</v>
          </cell>
          <cell r="BM2362">
            <v>0</v>
          </cell>
          <cell r="BN2362">
            <v>0</v>
          </cell>
          <cell r="BO2362">
            <v>0</v>
          </cell>
          <cell r="BP2362">
            <v>0</v>
          </cell>
          <cell r="BQ2362">
            <v>0</v>
          </cell>
          <cell r="BR2362">
            <v>0</v>
          </cell>
          <cell r="BT2362">
            <v>0</v>
          </cell>
          <cell r="BV2362">
            <v>2</v>
          </cell>
          <cell r="BW2362">
            <v>87</v>
          </cell>
          <cell r="CA2362" t="str">
            <v>OPP-547380 - EBITA - Base</v>
          </cell>
          <cell r="CC2362" t="str">
            <v>OPP-547380 - EBITA - Base - NE</v>
          </cell>
          <cell r="CD2362" t="str">
            <v/>
          </cell>
          <cell r="CF2362" t="str">
            <v>OPP-547380 - Base - NE</v>
          </cell>
        </row>
        <row r="2363">
          <cell r="D2363">
            <v>161</v>
          </cell>
          <cell r="E2363">
            <v>0</v>
          </cell>
          <cell r="F2363">
            <v>8</v>
          </cell>
          <cell r="G2363" t="str">
            <v>OPP-547380</v>
          </cell>
          <cell r="H2363" t="str">
            <v>Pantex Y-12</v>
          </cell>
          <cell r="I2363" t="str">
            <v>NE</v>
          </cell>
          <cell r="J2363" t="str">
            <v>NE HLW &amp; NNSA Operations</v>
          </cell>
          <cell r="K2363" t="str">
            <v>DOE-NNSA</v>
          </cell>
          <cell r="L2363" t="str">
            <v>DOE</v>
          </cell>
          <cell r="O2363">
            <v>0</v>
          </cell>
          <cell r="P2363">
            <v>0</v>
          </cell>
          <cell r="Q2363">
            <v>0</v>
          </cell>
          <cell r="R2363">
            <v>0</v>
          </cell>
          <cell r="S2363">
            <v>1</v>
          </cell>
          <cell r="T2363">
            <v>0</v>
          </cell>
          <cell r="U2363" t="str">
            <v>EBITA</v>
          </cell>
          <cell r="V2363" t="str">
            <v>Identified - Recompete</v>
          </cell>
          <cell r="W2363">
            <v>0</v>
          </cell>
          <cell r="X2363">
            <v>0</v>
          </cell>
          <cell r="Y2363">
            <v>0</v>
          </cell>
          <cell r="Z2363">
            <v>0</v>
          </cell>
          <cell r="AA2363">
            <v>0</v>
          </cell>
          <cell r="AB2363">
            <v>0</v>
          </cell>
          <cell r="AC2363">
            <v>0</v>
          </cell>
          <cell r="AD2363">
            <v>0</v>
          </cell>
          <cell r="BM2363">
            <v>0</v>
          </cell>
          <cell r="BN2363">
            <v>0</v>
          </cell>
          <cell r="BO2363">
            <v>0</v>
          </cell>
          <cell r="BP2363">
            <v>0</v>
          </cell>
          <cell r="BQ2363">
            <v>0</v>
          </cell>
          <cell r="BR2363">
            <v>0</v>
          </cell>
          <cell r="BT2363">
            <v>0</v>
          </cell>
          <cell r="BV2363">
            <v>2</v>
          </cell>
          <cell r="BW2363">
            <v>87</v>
          </cell>
          <cell r="CA2363" t="str">
            <v>OPP-547380 - EBITA - Identified - Recompete</v>
          </cell>
          <cell r="CC2363" t="str">
            <v>OPP-547380 - EBITA - Identified - Recompete - NE</v>
          </cell>
          <cell r="CD2363" t="str">
            <v/>
          </cell>
          <cell r="CF2363" t="str">
            <v>OPP-547380 - Identified - Recompete - NE</v>
          </cell>
        </row>
        <row r="2364">
          <cell r="D2364">
            <v>162</v>
          </cell>
          <cell r="E2364">
            <v>0</v>
          </cell>
          <cell r="F2364">
            <v>0</v>
          </cell>
          <cell r="G2364" t="str">
            <v>OPP-547380</v>
          </cell>
          <cell r="H2364" t="str">
            <v>Pantex Y-12</v>
          </cell>
          <cell r="I2364" t="str">
            <v>NE</v>
          </cell>
          <cell r="J2364" t="str">
            <v>NE HLW &amp; NNSA Operations</v>
          </cell>
          <cell r="K2364" t="str">
            <v>DOE-NNSA</v>
          </cell>
          <cell r="L2364" t="str">
            <v>DOE</v>
          </cell>
          <cell r="O2364">
            <v>44378</v>
          </cell>
          <cell r="P2364">
            <v>48030</v>
          </cell>
          <cell r="Q2364" t="str">
            <v>Minority</v>
          </cell>
          <cell r="R2364" t="str">
            <v>Cost Plus</v>
          </cell>
          <cell r="S2364">
            <v>1</v>
          </cell>
          <cell r="T2364">
            <v>0</v>
          </cell>
          <cell r="U2364" t="str">
            <v>EBITA</v>
          </cell>
          <cell r="V2364" t="str">
            <v>Identified - New</v>
          </cell>
          <cell r="W2364" t="str">
            <v>00 Investigate</v>
          </cell>
          <cell r="X2364" t="str">
            <v>Priority 1</v>
          </cell>
          <cell r="Y2364">
            <v>0.25</v>
          </cell>
          <cell r="Z2364">
            <v>3000000000</v>
          </cell>
          <cell r="AA2364">
            <v>0</v>
          </cell>
          <cell r="AB2364">
            <v>0</v>
          </cell>
          <cell r="AC2364">
            <v>0</v>
          </cell>
          <cell r="AD2364">
            <v>0</v>
          </cell>
          <cell r="BM2364">
            <v>0</v>
          </cell>
          <cell r="BN2364">
            <v>0</v>
          </cell>
          <cell r="BO2364">
            <v>755881.9444444445</v>
          </cell>
          <cell r="BP2364">
            <v>3057500</v>
          </cell>
          <cell r="BQ2364">
            <v>3057500</v>
          </cell>
          <cell r="BR2364">
            <v>6870881.944444444</v>
          </cell>
          <cell r="BT2364">
            <v>0</v>
          </cell>
          <cell r="BV2364">
            <v>33</v>
          </cell>
          <cell r="BW2364">
            <v>87</v>
          </cell>
          <cell r="CA2364" t="str">
            <v>OPP-547380 - EBITA - Identified - New</v>
          </cell>
          <cell r="CC2364" t="str">
            <v>OPP-547380 - EBITA - Identified - New - NE</v>
          </cell>
          <cell r="CD2364" t="str">
            <v/>
          </cell>
          <cell r="CF2364" t="str">
            <v>OPP-547380 - Identified - New - NE</v>
          </cell>
        </row>
        <row r="2365">
          <cell r="D2365">
            <v>163</v>
          </cell>
          <cell r="E2365">
            <v>1</v>
          </cell>
          <cell r="F2365">
            <v>1</v>
          </cell>
          <cell r="G2365" t="str">
            <v>OPP-870192</v>
          </cell>
          <cell r="H2365" t="str">
            <v>Savannah River Plutonium Processing Facility</v>
          </cell>
          <cell r="I2365" t="str">
            <v>NE</v>
          </cell>
          <cell r="J2365" t="str">
            <v>NE Technical Services</v>
          </cell>
          <cell r="K2365" t="str">
            <v>DOE-NNSA</v>
          </cell>
          <cell r="L2365" t="str">
            <v>DOE</v>
          </cell>
          <cell r="O2365">
            <v>0</v>
          </cell>
          <cell r="P2365">
            <v>0</v>
          </cell>
          <cell r="Q2365">
            <v>0</v>
          </cell>
          <cell r="R2365">
            <v>0</v>
          </cell>
          <cell r="S2365">
            <v>1</v>
          </cell>
          <cell r="T2365">
            <v>0</v>
          </cell>
          <cell r="U2365" t="str">
            <v>REVTOT</v>
          </cell>
          <cell r="V2365" t="str">
            <v>Base</v>
          </cell>
          <cell r="W2365">
            <v>0</v>
          </cell>
          <cell r="X2365">
            <v>0</v>
          </cell>
          <cell r="Y2365">
            <v>0</v>
          </cell>
          <cell r="Z2365">
            <v>0</v>
          </cell>
          <cell r="AA2365">
            <v>0</v>
          </cell>
          <cell r="AB2365">
            <v>0</v>
          </cell>
          <cell r="AC2365">
            <v>0</v>
          </cell>
          <cell r="AD2365">
            <v>0</v>
          </cell>
          <cell r="BF2365">
            <v>0</v>
          </cell>
          <cell r="BG2365">
            <v>0</v>
          </cell>
          <cell r="BH2365">
            <v>0</v>
          </cell>
          <cell r="BI2365">
            <v>0</v>
          </cell>
          <cell r="BJ2365">
            <v>0</v>
          </cell>
          <cell r="BK2365">
            <v>0</v>
          </cell>
          <cell r="BL2365">
            <v>0</v>
          </cell>
          <cell r="BM2365">
            <v>0</v>
          </cell>
          <cell r="BN2365">
            <v>0</v>
          </cell>
          <cell r="BO2365">
            <v>0</v>
          </cell>
          <cell r="BP2365">
            <v>0</v>
          </cell>
          <cell r="BQ2365">
            <v>0</v>
          </cell>
          <cell r="BR2365">
            <v>0</v>
          </cell>
          <cell r="BT2365">
            <v>0</v>
          </cell>
          <cell r="BV2365">
            <v>2</v>
          </cell>
          <cell r="BW2365">
            <v>60</v>
          </cell>
          <cell r="CA2365" t="str">
            <v>OPP-870192 - REVTOT - Base</v>
          </cell>
          <cell r="CC2365" t="str">
            <v>OPP-870192 - REVTOT - Base - NE</v>
          </cell>
          <cell r="CD2365" t="str">
            <v/>
          </cell>
          <cell r="CF2365" t="str">
            <v>OPP-870192 - Base - NE</v>
          </cell>
        </row>
        <row r="2366">
          <cell r="D2366">
            <v>164</v>
          </cell>
          <cell r="E2366">
            <v>1</v>
          </cell>
          <cell r="F2366">
            <v>2</v>
          </cell>
          <cell r="G2366" t="str">
            <v>OPP-870192</v>
          </cell>
          <cell r="H2366" t="str">
            <v>Savannah River Plutonium Processing Facility</v>
          </cell>
          <cell r="I2366" t="str">
            <v>NE</v>
          </cell>
          <cell r="J2366" t="str">
            <v>NE Technical Services</v>
          </cell>
          <cell r="K2366" t="str">
            <v>DOE-NNSA</v>
          </cell>
          <cell r="L2366" t="str">
            <v>DOE</v>
          </cell>
          <cell r="O2366">
            <v>0</v>
          </cell>
          <cell r="P2366">
            <v>0</v>
          </cell>
          <cell r="Q2366">
            <v>0</v>
          </cell>
          <cell r="R2366">
            <v>0</v>
          </cell>
          <cell r="S2366">
            <v>1</v>
          </cell>
          <cell r="T2366">
            <v>0</v>
          </cell>
          <cell r="U2366" t="str">
            <v>REVTOT</v>
          </cell>
          <cell r="V2366" t="str">
            <v>Identified - Recompete</v>
          </cell>
          <cell r="W2366">
            <v>0</v>
          </cell>
          <cell r="X2366">
            <v>0</v>
          </cell>
          <cell r="Y2366">
            <v>0</v>
          </cell>
          <cell r="Z2366">
            <v>0</v>
          </cell>
          <cell r="AA2366">
            <v>0</v>
          </cell>
          <cell r="AB2366">
            <v>0</v>
          </cell>
          <cell r="AC2366">
            <v>0</v>
          </cell>
          <cell r="AD2366">
            <v>0</v>
          </cell>
          <cell r="BM2366">
            <v>0</v>
          </cell>
          <cell r="BN2366">
            <v>0</v>
          </cell>
          <cell r="BO2366">
            <v>0</v>
          </cell>
          <cell r="BP2366">
            <v>0</v>
          </cell>
          <cell r="BQ2366">
            <v>0</v>
          </cell>
          <cell r="BR2366">
            <v>0</v>
          </cell>
          <cell r="BT2366">
            <v>0</v>
          </cell>
          <cell r="BV2366">
            <v>2</v>
          </cell>
          <cell r="BW2366">
            <v>60</v>
          </cell>
          <cell r="CA2366" t="str">
            <v>OPP-870192 - REVTOT - Identified - Recompete</v>
          </cell>
          <cell r="CC2366" t="str">
            <v>OPP-870192 - REVTOT - Identified - Recompete - NE</v>
          </cell>
          <cell r="CD2366" t="str">
            <v/>
          </cell>
          <cell r="CF2366" t="str">
            <v>OPP-870192 - Identified - Recompete - NE</v>
          </cell>
        </row>
        <row r="2367">
          <cell r="D2367">
            <v>165</v>
          </cell>
          <cell r="E2367">
            <v>1</v>
          </cell>
          <cell r="F2367">
            <v>3</v>
          </cell>
          <cell r="G2367" t="str">
            <v>OPP-870192</v>
          </cell>
          <cell r="H2367" t="str">
            <v>Savannah River Plutonium Processing Facility</v>
          </cell>
          <cell r="I2367" t="str">
            <v>NE</v>
          </cell>
          <cell r="J2367" t="str">
            <v>NE Technical Services</v>
          </cell>
          <cell r="K2367" t="str">
            <v>DOE-NNSA</v>
          </cell>
          <cell r="L2367" t="str">
            <v>DOE</v>
          </cell>
          <cell r="O2367">
            <v>44228</v>
          </cell>
          <cell r="P2367">
            <v>47880</v>
          </cell>
          <cell r="Q2367" t="str">
            <v>Minority</v>
          </cell>
          <cell r="R2367" t="str">
            <v>Cost Plus</v>
          </cell>
          <cell r="S2367">
            <v>1</v>
          </cell>
          <cell r="T2367">
            <v>0</v>
          </cell>
          <cell r="U2367" t="str">
            <v>REVTOT</v>
          </cell>
          <cell r="V2367" t="str">
            <v>Identified - New</v>
          </cell>
          <cell r="W2367" t="str">
            <v>02 Capture</v>
          </cell>
          <cell r="X2367" t="str">
            <v>Priority 2</v>
          </cell>
          <cell r="Y2367">
            <v>0.3</v>
          </cell>
          <cell r="Z2367">
            <v>900000000</v>
          </cell>
          <cell r="AA2367">
            <v>0</v>
          </cell>
          <cell r="AB2367">
            <v>0</v>
          </cell>
          <cell r="AC2367">
            <v>0</v>
          </cell>
          <cell r="AD2367">
            <v>0</v>
          </cell>
          <cell r="BM2367">
            <v>0</v>
          </cell>
          <cell r="BN2367">
            <v>0</v>
          </cell>
          <cell r="BO2367">
            <v>0</v>
          </cell>
          <cell r="BP2367">
            <v>0</v>
          </cell>
          <cell r="BQ2367">
            <v>0</v>
          </cell>
          <cell r="BR2367">
            <v>0</v>
          </cell>
          <cell r="BT2367">
            <v>0</v>
          </cell>
          <cell r="BV2367">
            <v>36</v>
          </cell>
          <cell r="BW2367">
            <v>60</v>
          </cell>
          <cell r="CA2367" t="str">
            <v>OPP-870192 - REVTOT - Identified - New</v>
          </cell>
          <cell r="CC2367" t="str">
            <v>OPP-870192 - REVTOT - Identified - New - NE</v>
          </cell>
          <cell r="CD2367" t="str">
            <v/>
          </cell>
          <cell r="CF2367" t="str">
            <v>OPP-870192 - Identified - New - NE</v>
          </cell>
        </row>
        <row r="2368">
          <cell r="D2368">
            <v>166</v>
          </cell>
          <cell r="E2368">
            <v>2</v>
          </cell>
          <cell r="F2368">
            <v>4</v>
          </cell>
          <cell r="G2368" t="str">
            <v>OPP-870192</v>
          </cell>
          <cell r="H2368" t="str">
            <v>Savannah River Plutonium Processing Facility</v>
          </cell>
          <cell r="I2368" t="str">
            <v>NE</v>
          </cell>
          <cell r="J2368" t="str">
            <v>NE Technical Services</v>
          </cell>
          <cell r="K2368" t="str">
            <v>DOE-NNSA</v>
          </cell>
          <cell r="L2368" t="str">
            <v>DOE</v>
          </cell>
          <cell r="O2368">
            <v>0</v>
          </cell>
          <cell r="P2368">
            <v>0</v>
          </cell>
          <cell r="Q2368">
            <v>0</v>
          </cell>
          <cell r="R2368">
            <v>0</v>
          </cell>
          <cell r="S2368">
            <v>1</v>
          </cell>
          <cell r="T2368">
            <v>0</v>
          </cell>
          <cell r="U2368" t="str">
            <v>CONTRACT</v>
          </cell>
          <cell r="V2368" t="str">
            <v>Base</v>
          </cell>
          <cell r="W2368">
            <v>0</v>
          </cell>
          <cell r="X2368">
            <v>0</v>
          </cell>
          <cell r="Y2368">
            <v>0</v>
          </cell>
          <cell r="Z2368">
            <v>0</v>
          </cell>
          <cell r="AA2368">
            <v>0</v>
          </cell>
          <cell r="AB2368">
            <v>0</v>
          </cell>
          <cell r="AC2368">
            <v>0</v>
          </cell>
          <cell r="AD2368">
            <v>0</v>
          </cell>
          <cell r="BF2368">
            <v>0</v>
          </cell>
          <cell r="BG2368">
            <v>0</v>
          </cell>
          <cell r="BH2368">
            <v>0</v>
          </cell>
          <cell r="BI2368">
            <v>0</v>
          </cell>
          <cell r="BJ2368">
            <v>0</v>
          </cell>
          <cell r="BK2368">
            <v>0</v>
          </cell>
          <cell r="BL2368">
            <v>0</v>
          </cell>
          <cell r="BM2368">
            <v>0</v>
          </cell>
          <cell r="BN2368">
            <v>0</v>
          </cell>
          <cell r="BO2368">
            <v>0</v>
          </cell>
          <cell r="BP2368">
            <v>0</v>
          </cell>
          <cell r="BQ2368">
            <v>0</v>
          </cell>
          <cell r="BR2368">
            <v>0</v>
          </cell>
          <cell r="BT2368">
            <v>0</v>
          </cell>
          <cell r="BV2368">
            <v>2</v>
          </cell>
          <cell r="BW2368">
            <v>78</v>
          </cell>
          <cell r="CA2368" t="str">
            <v>OPP-870192 - CONTRACT - Base</v>
          </cell>
          <cell r="CC2368" t="str">
            <v>OPP-870192 - CONTRACT - Base - NE - 2</v>
          </cell>
          <cell r="CD2368" t="str">
            <v/>
          </cell>
          <cell r="CF2368" t="str">
            <v>OPP-870192 - Base - NE</v>
          </cell>
        </row>
        <row r="2369">
          <cell r="D2369">
            <v>167</v>
          </cell>
          <cell r="E2369">
            <v>2</v>
          </cell>
          <cell r="F2369">
            <v>5</v>
          </cell>
          <cell r="G2369" t="str">
            <v>OPP-870192</v>
          </cell>
          <cell r="H2369" t="str">
            <v>Savannah River Plutonium Processing Facility</v>
          </cell>
          <cell r="I2369" t="str">
            <v>NE</v>
          </cell>
          <cell r="J2369" t="str">
            <v>NE Technical Services</v>
          </cell>
          <cell r="K2369" t="str">
            <v>DOE-NNSA</v>
          </cell>
          <cell r="L2369" t="str">
            <v>DOE</v>
          </cell>
          <cell r="O2369">
            <v>0</v>
          </cell>
          <cell r="P2369">
            <v>0</v>
          </cell>
          <cell r="Q2369">
            <v>0</v>
          </cell>
          <cell r="R2369">
            <v>0</v>
          </cell>
          <cell r="S2369">
            <v>1</v>
          </cell>
          <cell r="T2369">
            <v>0</v>
          </cell>
          <cell r="U2369" t="str">
            <v>CONTRACT</v>
          </cell>
          <cell r="V2369" t="str">
            <v>Identified - Recompete</v>
          </cell>
          <cell r="W2369">
            <v>0</v>
          </cell>
          <cell r="X2369">
            <v>0</v>
          </cell>
          <cell r="Y2369">
            <v>0</v>
          </cell>
          <cell r="Z2369">
            <v>0</v>
          </cell>
          <cell r="AA2369">
            <v>0</v>
          </cell>
          <cell r="AB2369">
            <v>0</v>
          </cell>
          <cell r="AC2369">
            <v>0</v>
          </cell>
          <cell r="AD2369">
            <v>0</v>
          </cell>
          <cell r="BM2369">
            <v>0</v>
          </cell>
          <cell r="BN2369">
            <v>0</v>
          </cell>
          <cell r="BO2369">
            <v>0</v>
          </cell>
          <cell r="BP2369">
            <v>0</v>
          </cell>
          <cell r="BQ2369">
            <v>0</v>
          </cell>
          <cell r="BR2369">
            <v>0</v>
          </cell>
          <cell r="BT2369">
            <v>0</v>
          </cell>
          <cell r="BV2369">
            <v>2</v>
          </cell>
          <cell r="BW2369">
            <v>78</v>
          </cell>
          <cell r="CA2369" t="str">
            <v>OPP-870192 - CONTRACT - Identified - Recompete</v>
          </cell>
          <cell r="CC2369" t="str">
            <v>OPP-870192 - CONTRACT - Identified - Recompete - NE</v>
          </cell>
          <cell r="CD2369" t="str">
            <v/>
          </cell>
          <cell r="CF2369" t="str">
            <v>OPP-870192 - Identified - Recompete - NE</v>
          </cell>
        </row>
        <row r="2370">
          <cell r="D2370">
            <v>168</v>
          </cell>
          <cell r="E2370">
            <v>2</v>
          </cell>
          <cell r="F2370">
            <v>6</v>
          </cell>
          <cell r="G2370" t="str">
            <v>OPP-870192</v>
          </cell>
          <cell r="H2370" t="str">
            <v>Savannah River Plutonium Processing Facility</v>
          </cell>
          <cell r="I2370" t="str">
            <v>NE</v>
          </cell>
          <cell r="J2370" t="str">
            <v>NE Technical Services</v>
          </cell>
          <cell r="K2370" t="str">
            <v>DOE-NNSA</v>
          </cell>
          <cell r="L2370" t="str">
            <v>DOE</v>
          </cell>
          <cell r="O2370">
            <v>44228</v>
          </cell>
          <cell r="P2370">
            <v>47880</v>
          </cell>
          <cell r="Q2370" t="str">
            <v>Minority</v>
          </cell>
          <cell r="R2370" t="str">
            <v>Cost Plus</v>
          </cell>
          <cell r="S2370">
            <v>1</v>
          </cell>
          <cell r="T2370">
            <v>0</v>
          </cell>
          <cell r="U2370" t="str">
            <v>CONTRACT</v>
          </cell>
          <cell r="V2370" t="str">
            <v>Identified - New</v>
          </cell>
          <cell r="W2370" t="str">
            <v>02 Capture</v>
          </cell>
          <cell r="X2370" t="str">
            <v>Priority 2</v>
          </cell>
          <cell r="Y2370">
            <v>0.3</v>
          </cell>
          <cell r="Z2370">
            <v>900000000</v>
          </cell>
          <cell r="AA2370">
            <v>0</v>
          </cell>
          <cell r="AB2370">
            <v>0</v>
          </cell>
          <cell r="AC2370">
            <v>0</v>
          </cell>
          <cell r="AD2370">
            <v>0</v>
          </cell>
          <cell r="BM2370">
            <v>0</v>
          </cell>
          <cell r="BN2370">
            <v>0</v>
          </cell>
          <cell r="BO2370">
            <v>0</v>
          </cell>
          <cell r="BP2370">
            <v>0</v>
          </cell>
          <cell r="BQ2370">
            <v>0</v>
          </cell>
          <cell r="BR2370">
            <v>0</v>
          </cell>
          <cell r="BT2370">
            <v>0</v>
          </cell>
          <cell r="BV2370">
            <v>36</v>
          </cell>
          <cell r="BW2370">
            <v>78</v>
          </cell>
          <cell r="CA2370" t="str">
            <v>OPP-870192 - CONTRACT - Identified - New</v>
          </cell>
          <cell r="CC2370" t="str">
            <v>OPP-870192 - CONTRACT - Identified - New - NE</v>
          </cell>
          <cell r="CD2370" t="str">
            <v/>
          </cell>
          <cell r="CF2370" t="str">
            <v>OPP-870192 - Identified - New - NE</v>
          </cell>
        </row>
        <row r="2371">
          <cell r="D2371">
            <v>169</v>
          </cell>
          <cell r="E2371">
            <v>0</v>
          </cell>
          <cell r="F2371">
            <v>7</v>
          </cell>
          <cell r="G2371" t="str">
            <v>OPP-870192</v>
          </cell>
          <cell r="H2371" t="str">
            <v>Savannah River Plutonium Processing Facility</v>
          </cell>
          <cell r="I2371" t="str">
            <v>NE</v>
          </cell>
          <cell r="J2371" t="str">
            <v>NE Technical Services</v>
          </cell>
          <cell r="K2371" t="str">
            <v>DOE-NNSA</v>
          </cell>
          <cell r="L2371" t="str">
            <v>DOE</v>
          </cell>
          <cell r="O2371">
            <v>0</v>
          </cell>
          <cell r="P2371">
            <v>0</v>
          </cell>
          <cell r="Q2371">
            <v>0</v>
          </cell>
          <cell r="R2371">
            <v>0</v>
          </cell>
          <cell r="S2371">
            <v>1</v>
          </cell>
          <cell r="T2371">
            <v>0</v>
          </cell>
          <cell r="U2371" t="str">
            <v>EBITA</v>
          </cell>
          <cell r="V2371" t="str">
            <v>Base</v>
          </cell>
          <cell r="W2371">
            <v>0</v>
          </cell>
          <cell r="X2371">
            <v>0</v>
          </cell>
          <cell r="Y2371">
            <v>0</v>
          </cell>
          <cell r="Z2371">
            <v>0</v>
          </cell>
          <cell r="AA2371">
            <v>0</v>
          </cell>
          <cell r="AB2371">
            <v>0</v>
          </cell>
          <cell r="AC2371">
            <v>0</v>
          </cell>
          <cell r="AD2371">
            <v>0</v>
          </cell>
          <cell r="BF2371">
            <v>0</v>
          </cell>
          <cell r="BG2371">
            <v>0</v>
          </cell>
          <cell r="BH2371">
            <v>0</v>
          </cell>
          <cell r="BI2371">
            <v>0</v>
          </cell>
          <cell r="BJ2371">
            <v>0</v>
          </cell>
          <cell r="BK2371">
            <v>0</v>
          </cell>
          <cell r="BL2371">
            <v>0</v>
          </cell>
          <cell r="BM2371">
            <v>0</v>
          </cell>
          <cell r="BN2371">
            <v>0</v>
          </cell>
          <cell r="BO2371">
            <v>0</v>
          </cell>
          <cell r="BP2371">
            <v>0</v>
          </cell>
          <cell r="BQ2371">
            <v>0</v>
          </cell>
          <cell r="BR2371">
            <v>0</v>
          </cell>
          <cell r="BT2371">
            <v>0</v>
          </cell>
          <cell r="BV2371">
            <v>2</v>
          </cell>
          <cell r="BW2371">
            <v>87</v>
          </cell>
          <cell r="CA2371" t="str">
            <v>OPP-870192 - EBITA - Base</v>
          </cell>
          <cell r="CC2371" t="str">
            <v>OPP-870192 - EBITA - Base - NE</v>
          </cell>
          <cell r="CD2371" t="str">
            <v/>
          </cell>
          <cell r="CF2371" t="str">
            <v>OPP-870192 - Base - NE</v>
          </cell>
        </row>
        <row r="2372">
          <cell r="D2372">
            <v>170</v>
          </cell>
          <cell r="E2372">
            <v>0</v>
          </cell>
          <cell r="F2372">
            <v>8</v>
          </cell>
          <cell r="G2372" t="str">
            <v>OPP-870192</v>
          </cell>
          <cell r="H2372" t="str">
            <v>Savannah River Plutonium Processing Facility</v>
          </cell>
          <cell r="I2372" t="str">
            <v>NE</v>
          </cell>
          <cell r="J2372" t="str">
            <v>NE Technical Services</v>
          </cell>
          <cell r="K2372" t="str">
            <v>DOE-NNSA</v>
          </cell>
          <cell r="L2372" t="str">
            <v>DOE</v>
          </cell>
          <cell r="O2372">
            <v>0</v>
          </cell>
          <cell r="P2372">
            <v>0</v>
          </cell>
          <cell r="Q2372">
            <v>0</v>
          </cell>
          <cell r="R2372">
            <v>0</v>
          </cell>
          <cell r="S2372">
            <v>1</v>
          </cell>
          <cell r="T2372">
            <v>0</v>
          </cell>
          <cell r="U2372" t="str">
            <v>EBITA</v>
          </cell>
          <cell r="V2372" t="str">
            <v>Identified - Recompete</v>
          </cell>
          <cell r="W2372">
            <v>0</v>
          </cell>
          <cell r="X2372">
            <v>0</v>
          </cell>
          <cell r="Y2372">
            <v>0</v>
          </cell>
          <cell r="Z2372">
            <v>0</v>
          </cell>
          <cell r="AA2372">
            <v>0</v>
          </cell>
          <cell r="AB2372">
            <v>0</v>
          </cell>
          <cell r="AC2372">
            <v>0</v>
          </cell>
          <cell r="AD2372">
            <v>0</v>
          </cell>
          <cell r="BM2372">
            <v>0</v>
          </cell>
          <cell r="BN2372">
            <v>0</v>
          </cell>
          <cell r="BO2372">
            <v>0</v>
          </cell>
          <cell r="BP2372">
            <v>0</v>
          </cell>
          <cell r="BQ2372">
            <v>0</v>
          </cell>
          <cell r="BR2372">
            <v>0</v>
          </cell>
          <cell r="BT2372">
            <v>0</v>
          </cell>
          <cell r="BV2372">
            <v>2</v>
          </cell>
          <cell r="BW2372">
            <v>87</v>
          </cell>
          <cell r="CA2372" t="str">
            <v>OPP-870192 - EBITA - Identified - Recompete</v>
          </cell>
          <cell r="CC2372" t="str">
            <v>OPP-870192 - EBITA - Identified - Recompete - NE</v>
          </cell>
          <cell r="CD2372" t="str">
            <v/>
          </cell>
          <cell r="CF2372" t="str">
            <v>OPP-870192 - Identified - Recompete - NE</v>
          </cell>
        </row>
        <row r="2373">
          <cell r="D2373">
            <v>171</v>
          </cell>
          <cell r="E2373">
            <v>0</v>
          </cell>
          <cell r="F2373">
            <v>0</v>
          </cell>
          <cell r="G2373" t="str">
            <v>OPP-870192</v>
          </cell>
          <cell r="H2373" t="str">
            <v>Savannah River Plutonium Processing Facility</v>
          </cell>
          <cell r="I2373" t="str">
            <v>NE</v>
          </cell>
          <cell r="J2373" t="str">
            <v>NE Technical Services</v>
          </cell>
          <cell r="K2373" t="str">
            <v>DOE-NNSA</v>
          </cell>
          <cell r="L2373" t="str">
            <v>DOE</v>
          </cell>
          <cell r="O2373">
            <v>44228</v>
          </cell>
          <cell r="P2373">
            <v>47880</v>
          </cell>
          <cell r="Q2373" t="str">
            <v>Minority</v>
          </cell>
          <cell r="R2373" t="str">
            <v>Cost Plus</v>
          </cell>
          <cell r="S2373">
            <v>1</v>
          </cell>
          <cell r="T2373">
            <v>0</v>
          </cell>
          <cell r="U2373" t="str">
            <v>EBITA</v>
          </cell>
          <cell r="V2373" t="str">
            <v>Identified - New</v>
          </cell>
          <cell r="W2373" t="str">
            <v>02 Capture</v>
          </cell>
          <cell r="X2373" t="str">
            <v>Priority 2</v>
          </cell>
          <cell r="Y2373">
            <v>0.3</v>
          </cell>
          <cell r="Z2373">
            <v>900000000</v>
          </cell>
          <cell r="AA2373">
            <v>0</v>
          </cell>
          <cell r="AB2373">
            <v>0</v>
          </cell>
          <cell r="AC2373">
            <v>0</v>
          </cell>
          <cell r="AD2373">
            <v>0</v>
          </cell>
          <cell r="BM2373">
            <v>0</v>
          </cell>
          <cell r="BN2373">
            <v>0</v>
          </cell>
          <cell r="BO2373">
            <v>734925</v>
          </cell>
          <cell r="BP2373">
            <v>1107000</v>
          </cell>
          <cell r="BQ2373">
            <v>1107000</v>
          </cell>
          <cell r="BR2373">
            <v>2948925</v>
          </cell>
          <cell r="BT2373">
            <v>0</v>
          </cell>
          <cell r="BV2373">
            <v>36</v>
          </cell>
          <cell r="BW2373">
            <v>87</v>
          </cell>
          <cell r="CA2373" t="str">
            <v>OPP-870192 - EBITA - Identified - New</v>
          </cell>
          <cell r="CC2373" t="str">
            <v>OPP-870192 - EBITA - Identified - New - NE</v>
          </cell>
          <cell r="CD2373" t="str">
            <v/>
          </cell>
          <cell r="CF2373" t="str">
            <v>OPP-870192 - Identified - New - NE</v>
          </cell>
        </row>
        <row r="2374">
          <cell r="D2374">
            <v>172</v>
          </cell>
          <cell r="E2374">
            <v>1</v>
          </cell>
          <cell r="F2374">
            <v>1</v>
          </cell>
          <cell r="G2374" t="str">
            <v>OPP-721783</v>
          </cell>
          <cell r="H2374" t="str">
            <v>Portsmouth GDP D&amp;D</v>
          </cell>
          <cell r="I2374" t="str">
            <v>NE</v>
          </cell>
          <cell r="J2374" t="str">
            <v>NE DD and WM Projects</v>
          </cell>
          <cell r="K2374" t="str">
            <v>DOE-EM</v>
          </cell>
          <cell r="L2374" t="str">
            <v>DOE</v>
          </cell>
          <cell r="O2374">
            <v>0</v>
          </cell>
          <cell r="P2374">
            <v>0</v>
          </cell>
          <cell r="Q2374">
            <v>0</v>
          </cell>
          <cell r="R2374">
            <v>0</v>
          </cell>
          <cell r="S2374">
            <v>1</v>
          </cell>
          <cell r="T2374">
            <v>0</v>
          </cell>
          <cell r="U2374" t="str">
            <v>REVTOT</v>
          </cell>
          <cell r="V2374" t="str">
            <v>Base</v>
          </cell>
          <cell r="W2374">
            <v>0</v>
          </cell>
          <cell r="X2374">
            <v>0</v>
          </cell>
          <cell r="Y2374">
            <v>0</v>
          </cell>
          <cell r="Z2374">
            <v>0</v>
          </cell>
          <cell r="AA2374">
            <v>0</v>
          </cell>
          <cell r="AB2374">
            <v>0</v>
          </cell>
          <cell r="AC2374">
            <v>0</v>
          </cell>
          <cell r="AD2374">
            <v>0</v>
          </cell>
          <cell r="BF2374">
            <v>0</v>
          </cell>
          <cell r="BG2374">
            <v>0</v>
          </cell>
          <cell r="BH2374">
            <v>0</v>
          </cell>
          <cell r="BI2374">
            <v>0</v>
          </cell>
          <cell r="BJ2374">
            <v>0</v>
          </cell>
          <cell r="BK2374">
            <v>0</v>
          </cell>
          <cell r="BL2374">
            <v>0</v>
          </cell>
          <cell r="BM2374">
            <v>0</v>
          </cell>
          <cell r="BN2374">
            <v>0</v>
          </cell>
          <cell r="BO2374">
            <v>0</v>
          </cell>
          <cell r="BP2374">
            <v>0</v>
          </cell>
          <cell r="BQ2374">
            <v>0</v>
          </cell>
          <cell r="BR2374">
            <v>0</v>
          </cell>
          <cell r="BT2374">
            <v>0</v>
          </cell>
          <cell r="BV2374">
            <v>2</v>
          </cell>
          <cell r="BW2374">
            <v>60</v>
          </cell>
          <cell r="CA2374" t="str">
            <v>OPP-721783 - REVTOT - Base</v>
          </cell>
          <cell r="CC2374" t="str">
            <v>OPP-721783 - REVTOT - Base - NE</v>
          </cell>
          <cell r="CD2374" t="str">
            <v/>
          </cell>
          <cell r="CF2374" t="str">
            <v>OPP-721783 - Base - NE</v>
          </cell>
        </row>
        <row r="2375">
          <cell r="D2375">
            <v>173</v>
          </cell>
          <cell r="E2375">
            <v>1</v>
          </cell>
          <cell r="F2375">
            <v>2</v>
          </cell>
          <cell r="G2375" t="str">
            <v>OPP-721783</v>
          </cell>
          <cell r="H2375" t="str">
            <v>Portsmouth GDP D&amp;D</v>
          </cell>
          <cell r="I2375" t="str">
            <v>NE</v>
          </cell>
          <cell r="J2375" t="str">
            <v>NE DD and WM Projects</v>
          </cell>
          <cell r="K2375" t="str">
            <v>DOE-EM</v>
          </cell>
          <cell r="L2375" t="str">
            <v>DOE</v>
          </cell>
          <cell r="O2375">
            <v>0</v>
          </cell>
          <cell r="P2375">
            <v>0</v>
          </cell>
          <cell r="Q2375">
            <v>0</v>
          </cell>
          <cell r="R2375">
            <v>0</v>
          </cell>
          <cell r="S2375">
            <v>1</v>
          </cell>
          <cell r="T2375">
            <v>0</v>
          </cell>
          <cell r="U2375" t="str">
            <v>REVTOT</v>
          </cell>
          <cell r="V2375" t="str">
            <v>Identified - Recompete</v>
          </cell>
          <cell r="W2375">
            <v>0</v>
          </cell>
          <cell r="X2375">
            <v>0</v>
          </cell>
          <cell r="Y2375">
            <v>0</v>
          </cell>
          <cell r="Z2375">
            <v>0</v>
          </cell>
          <cell r="AA2375">
            <v>0</v>
          </cell>
          <cell r="AB2375">
            <v>0</v>
          </cell>
          <cell r="AC2375">
            <v>0</v>
          </cell>
          <cell r="AD2375">
            <v>0</v>
          </cell>
          <cell r="BM2375">
            <v>0</v>
          </cell>
          <cell r="BN2375">
            <v>0</v>
          </cell>
          <cell r="BO2375">
            <v>0</v>
          </cell>
          <cell r="BP2375">
            <v>0</v>
          </cell>
          <cell r="BQ2375">
            <v>0</v>
          </cell>
          <cell r="BR2375">
            <v>0</v>
          </cell>
          <cell r="BT2375">
            <v>0</v>
          </cell>
          <cell r="BV2375">
            <v>2</v>
          </cell>
          <cell r="BW2375">
            <v>60</v>
          </cell>
          <cell r="CA2375" t="str">
            <v>OPP-721783 - REVTOT - Identified - Recompete</v>
          </cell>
          <cell r="CC2375" t="str">
            <v>OPP-721783 - REVTOT - Identified - Recompete - NE</v>
          </cell>
          <cell r="CD2375" t="str">
            <v/>
          </cell>
          <cell r="CF2375" t="str">
            <v>OPP-721783 - Identified - Recompete - NE</v>
          </cell>
        </row>
        <row r="2376">
          <cell r="D2376">
            <v>174</v>
          </cell>
          <cell r="E2376">
            <v>1</v>
          </cell>
          <cell r="F2376">
            <v>3</v>
          </cell>
          <cell r="G2376" t="str">
            <v>OPP-721783</v>
          </cell>
          <cell r="H2376" t="str">
            <v>Portsmouth GDP D&amp;D</v>
          </cell>
          <cell r="I2376" t="str">
            <v>NE</v>
          </cell>
          <cell r="J2376" t="str">
            <v>NE DD and WM Projects</v>
          </cell>
          <cell r="K2376" t="str">
            <v>DOE-EM</v>
          </cell>
          <cell r="L2376" t="str">
            <v>DOE</v>
          </cell>
          <cell r="O2376">
            <v>44287</v>
          </cell>
          <cell r="P2376">
            <v>47939</v>
          </cell>
          <cell r="Q2376" t="str">
            <v>Minority</v>
          </cell>
          <cell r="R2376" t="str">
            <v>Cost Plus</v>
          </cell>
          <cell r="S2376">
            <v>1</v>
          </cell>
          <cell r="T2376">
            <v>0</v>
          </cell>
          <cell r="U2376" t="str">
            <v>REVTOT</v>
          </cell>
          <cell r="V2376" t="str">
            <v>Identified - New</v>
          </cell>
          <cell r="W2376" t="str">
            <v>00 Investigate</v>
          </cell>
          <cell r="X2376" t="str">
            <v>Priority 1</v>
          </cell>
          <cell r="Y2376">
            <v>0.4</v>
          </cell>
          <cell r="Z2376">
            <v>1350000000</v>
          </cell>
          <cell r="AA2376">
            <v>0</v>
          </cell>
          <cell r="AB2376">
            <v>0</v>
          </cell>
          <cell r="AC2376">
            <v>0</v>
          </cell>
          <cell r="AD2376">
            <v>0</v>
          </cell>
          <cell r="BM2376">
            <v>0</v>
          </cell>
          <cell r="BN2376">
            <v>0</v>
          </cell>
          <cell r="BO2376">
            <v>0</v>
          </cell>
          <cell r="BP2376">
            <v>0</v>
          </cell>
          <cell r="BQ2376">
            <v>0</v>
          </cell>
          <cell r="BR2376">
            <v>0</v>
          </cell>
          <cell r="BT2376">
            <v>0</v>
          </cell>
          <cell r="BV2376">
            <v>35</v>
          </cell>
          <cell r="BW2376">
            <v>60</v>
          </cell>
          <cell r="CA2376" t="str">
            <v>OPP-721783 - REVTOT - Identified - New</v>
          </cell>
          <cell r="CC2376" t="str">
            <v>OPP-721783 - REVTOT - Identified - New - NE</v>
          </cell>
          <cell r="CD2376" t="str">
            <v/>
          </cell>
          <cell r="CF2376" t="str">
            <v>OPP-721783 - Identified - New - NE</v>
          </cell>
        </row>
        <row r="2377">
          <cell r="D2377">
            <v>175</v>
          </cell>
          <cell r="E2377">
            <v>2</v>
          </cell>
          <cell r="F2377">
            <v>4</v>
          </cell>
          <cell r="G2377" t="str">
            <v>OPP-721783</v>
          </cell>
          <cell r="H2377" t="str">
            <v>Portsmouth GDP D&amp;D</v>
          </cell>
          <cell r="I2377" t="str">
            <v>NE</v>
          </cell>
          <cell r="J2377" t="str">
            <v>NE DD and WM Projects</v>
          </cell>
          <cell r="K2377" t="str">
            <v>DOE-EM</v>
          </cell>
          <cell r="L2377" t="str">
            <v>DOE</v>
          </cell>
          <cell r="O2377">
            <v>0</v>
          </cell>
          <cell r="P2377">
            <v>0</v>
          </cell>
          <cell r="Q2377">
            <v>0</v>
          </cell>
          <cell r="R2377">
            <v>0</v>
          </cell>
          <cell r="S2377">
            <v>1</v>
          </cell>
          <cell r="T2377">
            <v>0</v>
          </cell>
          <cell r="U2377" t="str">
            <v>CONTRACT</v>
          </cell>
          <cell r="V2377" t="str">
            <v>Base</v>
          </cell>
          <cell r="W2377">
            <v>0</v>
          </cell>
          <cell r="X2377">
            <v>0</v>
          </cell>
          <cell r="Y2377">
            <v>0</v>
          </cell>
          <cell r="Z2377">
            <v>0</v>
          </cell>
          <cell r="AA2377">
            <v>0</v>
          </cell>
          <cell r="AB2377">
            <v>0</v>
          </cell>
          <cell r="AC2377">
            <v>0</v>
          </cell>
          <cell r="AD2377">
            <v>0</v>
          </cell>
          <cell r="BF2377">
            <v>0</v>
          </cell>
          <cell r="BG2377">
            <v>0</v>
          </cell>
          <cell r="BH2377">
            <v>0</v>
          </cell>
          <cell r="BI2377">
            <v>0</v>
          </cell>
          <cell r="BJ2377">
            <v>0</v>
          </cell>
          <cell r="BK2377">
            <v>0</v>
          </cell>
          <cell r="BL2377">
            <v>0</v>
          </cell>
          <cell r="BM2377">
            <v>0</v>
          </cell>
          <cell r="BN2377">
            <v>0</v>
          </cell>
          <cell r="BO2377">
            <v>0</v>
          </cell>
          <cell r="BP2377">
            <v>0</v>
          </cell>
          <cell r="BQ2377">
            <v>0</v>
          </cell>
          <cell r="BR2377">
            <v>0</v>
          </cell>
          <cell r="BT2377">
            <v>0</v>
          </cell>
          <cell r="BV2377">
            <v>2</v>
          </cell>
          <cell r="BW2377">
            <v>78</v>
          </cell>
          <cell r="CA2377" t="str">
            <v>OPP-721783 - CONTRACT - Base</v>
          </cell>
          <cell r="CC2377" t="str">
            <v>OPP-721783 - CONTRACT - Base - NE - 2</v>
          </cell>
          <cell r="CD2377" t="str">
            <v/>
          </cell>
          <cell r="CF2377" t="str">
            <v>OPP-721783 - Base - NE</v>
          </cell>
        </row>
        <row r="2378">
          <cell r="D2378">
            <v>176</v>
          </cell>
          <cell r="E2378">
            <v>2</v>
          </cell>
          <cell r="F2378">
            <v>5</v>
          </cell>
          <cell r="G2378" t="str">
            <v>OPP-721783</v>
          </cell>
          <cell r="H2378" t="str">
            <v>Portsmouth GDP D&amp;D</v>
          </cell>
          <cell r="I2378" t="str">
            <v>NE</v>
          </cell>
          <cell r="J2378" t="str">
            <v>NE DD and WM Projects</v>
          </cell>
          <cell r="K2378" t="str">
            <v>DOE-EM</v>
          </cell>
          <cell r="L2378" t="str">
            <v>DOE</v>
          </cell>
          <cell r="O2378">
            <v>0</v>
          </cell>
          <cell r="P2378">
            <v>0</v>
          </cell>
          <cell r="Q2378">
            <v>0</v>
          </cell>
          <cell r="R2378">
            <v>0</v>
          </cell>
          <cell r="S2378">
            <v>1</v>
          </cell>
          <cell r="T2378">
            <v>0</v>
          </cell>
          <cell r="U2378" t="str">
            <v>CONTRACT</v>
          </cell>
          <cell r="V2378" t="str">
            <v>Identified - Recompete</v>
          </cell>
          <cell r="W2378">
            <v>0</v>
          </cell>
          <cell r="X2378">
            <v>0</v>
          </cell>
          <cell r="Y2378">
            <v>0</v>
          </cell>
          <cell r="Z2378">
            <v>0</v>
          </cell>
          <cell r="AA2378">
            <v>0</v>
          </cell>
          <cell r="AB2378">
            <v>0</v>
          </cell>
          <cell r="AC2378">
            <v>0</v>
          </cell>
          <cell r="AD2378">
            <v>0</v>
          </cell>
          <cell r="BM2378">
            <v>0</v>
          </cell>
          <cell r="BN2378">
            <v>0</v>
          </cell>
          <cell r="BO2378">
            <v>0</v>
          </cell>
          <cell r="BP2378">
            <v>0</v>
          </cell>
          <cell r="BQ2378">
            <v>0</v>
          </cell>
          <cell r="BR2378">
            <v>0</v>
          </cell>
          <cell r="BT2378">
            <v>0</v>
          </cell>
          <cell r="BV2378">
            <v>2</v>
          </cell>
          <cell r="BW2378">
            <v>78</v>
          </cell>
          <cell r="CA2378" t="str">
            <v>OPP-721783 - CONTRACT - Identified - Recompete</v>
          </cell>
          <cell r="CC2378" t="str">
            <v>OPP-721783 - CONTRACT - Identified - Recompete - NE</v>
          </cell>
          <cell r="CD2378" t="str">
            <v/>
          </cell>
          <cell r="CF2378" t="str">
            <v>OPP-721783 - Identified - Recompete - NE</v>
          </cell>
        </row>
        <row r="2379">
          <cell r="D2379">
            <v>177</v>
          </cell>
          <cell r="E2379">
            <v>2</v>
          </cell>
          <cell r="F2379">
            <v>6</v>
          </cell>
          <cell r="G2379" t="str">
            <v>OPP-721783</v>
          </cell>
          <cell r="H2379" t="str">
            <v>Portsmouth GDP D&amp;D</v>
          </cell>
          <cell r="I2379" t="str">
            <v>NE</v>
          </cell>
          <cell r="J2379" t="str">
            <v>NE DD and WM Projects</v>
          </cell>
          <cell r="K2379" t="str">
            <v>DOE-EM</v>
          </cell>
          <cell r="L2379" t="str">
            <v>DOE</v>
          </cell>
          <cell r="O2379">
            <v>44287</v>
          </cell>
          <cell r="P2379">
            <v>47939</v>
          </cell>
          <cell r="Q2379" t="str">
            <v>Minority</v>
          </cell>
          <cell r="R2379" t="str">
            <v>Cost Plus</v>
          </cell>
          <cell r="S2379">
            <v>1</v>
          </cell>
          <cell r="T2379">
            <v>0</v>
          </cell>
          <cell r="U2379" t="str">
            <v>CONTRACT</v>
          </cell>
          <cell r="V2379" t="str">
            <v>Identified - New</v>
          </cell>
          <cell r="W2379" t="str">
            <v>00 Investigate</v>
          </cell>
          <cell r="X2379" t="str">
            <v>Priority 1</v>
          </cell>
          <cell r="Y2379">
            <v>0.4</v>
          </cell>
          <cell r="Z2379">
            <v>1350000000</v>
          </cell>
          <cell r="AA2379">
            <v>0</v>
          </cell>
          <cell r="AB2379">
            <v>0</v>
          </cell>
          <cell r="AC2379">
            <v>0</v>
          </cell>
          <cell r="AD2379">
            <v>0</v>
          </cell>
          <cell r="BM2379">
            <v>0</v>
          </cell>
          <cell r="BN2379">
            <v>0</v>
          </cell>
          <cell r="BO2379">
            <v>0</v>
          </cell>
          <cell r="BP2379">
            <v>0</v>
          </cell>
          <cell r="BQ2379">
            <v>0</v>
          </cell>
          <cell r="BR2379">
            <v>0</v>
          </cell>
          <cell r="BT2379">
            <v>0</v>
          </cell>
          <cell r="BV2379">
            <v>35</v>
          </cell>
          <cell r="BW2379">
            <v>78</v>
          </cell>
          <cell r="CA2379" t="str">
            <v>OPP-721783 - CONTRACT - Identified - New</v>
          </cell>
          <cell r="CC2379" t="str">
            <v>OPP-721783 - CONTRACT - Identified - New - NE</v>
          </cell>
          <cell r="CD2379" t="str">
            <v/>
          </cell>
          <cell r="CF2379" t="str">
            <v>OPP-721783 - Identified - New - NE</v>
          </cell>
        </row>
        <row r="2380">
          <cell r="D2380">
            <v>178</v>
          </cell>
          <cell r="E2380">
            <v>0</v>
          </cell>
          <cell r="F2380">
            <v>7</v>
          </cell>
          <cell r="G2380" t="str">
            <v>OPP-721783</v>
          </cell>
          <cell r="H2380" t="str">
            <v>Portsmouth GDP D&amp;D</v>
          </cell>
          <cell r="I2380" t="str">
            <v>NE</v>
          </cell>
          <cell r="J2380" t="str">
            <v>NE DD and WM Projects</v>
          </cell>
          <cell r="K2380" t="str">
            <v>DOE-EM</v>
          </cell>
          <cell r="L2380" t="str">
            <v>DOE</v>
          </cell>
          <cell r="O2380">
            <v>0</v>
          </cell>
          <cell r="P2380">
            <v>0</v>
          </cell>
          <cell r="Q2380">
            <v>0</v>
          </cell>
          <cell r="R2380">
            <v>0</v>
          </cell>
          <cell r="S2380">
            <v>1</v>
          </cell>
          <cell r="T2380">
            <v>0</v>
          </cell>
          <cell r="U2380" t="str">
            <v>EBITA</v>
          </cell>
          <cell r="V2380" t="str">
            <v>Base</v>
          </cell>
          <cell r="W2380">
            <v>0</v>
          </cell>
          <cell r="X2380">
            <v>0</v>
          </cell>
          <cell r="Y2380">
            <v>0</v>
          </cell>
          <cell r="Z2380">
            <v>0</v>
          </cell>
          <cell r="AA2380">
            <v>0</v>
          </cell>
          <cell r="AB2380">
            <v>0</v>
          </cell>
          <cell r="AC2380">
            <v>0</v>
          </cell>
          <cell r="AD2380">
            <v>0</v>
          </cell>
          <cell r="BF2380">
            <v>0</v>
          </cell>
          <cell r="BG2380">
            <v>0</v>
          </cell>
          <cell r="BH2380">
            <v>0</v>
          </cell>
          <cell r="BI2380">
            <v>0</v>
          </cell>
          <cell r="BJ2380">
            <v>0</v>
          </cell>
          <cell r="BK2380">
            <v>0</v>
          </cell>
          <cell r="BL2380">
            <v>0</v>
          </cell>
          <cell r="BM2380">
            <v>0</v>
          </cell>
          <cell r="BN2380">
            <v>0</v>
          </cell>
          <cell r="BO2380">
            <v>0</v>
          </cell>
          <cell r="BP2380">
            <v>0</v>
          </cell>
          <cell r="BQ2380">
            <v>0</v>
          </cell>
          <cell r="BR2380">
            <v>0</v>
          </cell>
          <cell r="BT2380">
            <v>0</v>
          </cell>
          <cell r="BV2380">
            <v>2</v>
          </cell>
          <cell r="BW2380">
            <v>87</v>
          </cell>
          <cell r="CA2380" t="str">
            <v>OPP-721783 - EBITA - Base</v>
          </cell>
          <cell r="CC2380" t="str">
            <v>OPP-721783 - EBITA - Base - NE</v>
          </cell>
          <cell r="CD2380" t="str">
            <v/>
          </cell>
          <cell r="CF2380" t="str">
            <v>OPP-721783 - Base - NE</v>
          </cell>
        </row>
        <row r="2381">
          <cell r="D2381">
            <v>179</v>
          </cell>
          <cell r="E2381">
            <v>0</v>
          </cell>
          <cell r="F2381">
            <v>8</v>
          </cell>
          <cell r="G2381" t="str">
            <v>OPP-721783</v>
          </cell>
          <cell r="H2381" t="str">
            <v>Portsmouth GDP D&amp;D</v>
          </cell>
          <cell r="I2381" t="str">
            <v>NE</v>
          </cell>
          <cell r="J2381" t="str">
            <v>NE DD and WM Projects</v>
          </cell>
          <cell r="K2381" t="str">
            <v>DOE-EM</v>
          </cell>
          <cell r="L2381" t="str">
            <v>DOE</v>
          </cell>
          <cell r="O2381">
            <v>0</v>
          </cell>
          <cell r="P2381">
            <v>0</v>
          </cell>
          <cell r="Q2381">
            <v>0</v>
          </cell>
          <cell r="R2381">
            <v>0</v>
          </cell>
          <cell r="S2381">
            <v>1</v>
          </cell>
          <cell r="T2381">
            <v>0</v>
          </cell>
          <cell r="U2381" t="str">
            <v>EBITA</v>
          </cell>
          <cell r="V2381" t="str">
            <v>Identified - Recompete</v>
          </cell>
          <cell r="W2381">
            <v>0</v>
          </cell>
          <cell r="X2381">
            <v>0</v>
          </cell>
          <cell r="Y2381">
            <v>0</v>
          </cell>
          <cell r="Z2381">
            <v>0</v>
          </cell>
          <cell r="AA2381">
            <v>0</v>
          </cell>
          <cell r="AB2381">
            <v>0</v>
          </cell>
          <cell r="AC2381">
            <v>0</v>
          </cell>
          <cell r="AD2381">
            <v>0</v>
          </cell>
          <cell r="BM2381">
            <v>0</v>
          </cell>
          <cell r="BN2381">
            <v>0</v>
          </cell>
          <cell r="BO2381">
            <v>0</v>
          </cell>
          <cell r="BP2381">
            <v>0</v>
          </cell>
          <cell r="BQ2381">
            <v>0</v>
          </cell>
          <cell r="BR2381">
            <v>0</v>
          </cell>
          <cell r="BT2381">
            <v>0</v>
          </cell>
          <cell r="BV2381">
            <v>2</v>
          </cell>
          <cell r="BW2381">
            <v>87</v>
          </cell>
          <cell r="CA2381" t="str">
            <v>OPP-721783 - EBITA - Identified - Recompete</v>
          </cell>
          <cell r="CC2381" t="str">
            <v>OPP-721783 - EBITA - Identified - Recompete - NE</v>
          </cell>
          <cell r="CD2381" t="str">
            <v/>
          </cell>
          <cell r="CF2381" t="str">
            <v>OPP-721783 - Identified - Recompete - NE</v>
          </cell>
        </row>
        <row r="2382">
          <cell r="D2382">
            <v>180</v>
          </cell>
          <cell r="E2382">
            <v>0</v>
          </cell>
          <cell r="F2382">
            <v>0</v>
          </cell>
          <cell r="G2382" t="str">
            <v>OPP-721783</v>
          </cell>
          <cell r="H2382" t="str">
            <v>Portsmouth GDP D&amp;D</v>
          </cell>
          <cell r="I2382" t="str">
            <v>NE</v>
          </cell>
          <cell r="J2382" t="str">
            <v>NE DD and WM Projects</v>
          </cell>
          <cell r="K2382" t="str">
            <v>DOE-EM</v>
          </cell>
          <cell r="L2382" t="str">
            <v>DOE</v>
          </cell>
          <cell r="O2382">
            <v>44287</v>
          </cell>
          <cell r="P2382">
            <v>47939</v>
          </cell>
          <cell r="Q2382" t="str">
            <v>Minority</v>
          </cell>
          <cell r="R2382" t="str">
            <v>Cost Plus</v>
          </cell>
          <cell r="S2382">
            <v>1</v>
          </cell>
          <cell r="T2382">
            <v>0</v>
          </cell>
          <cell r="U2382" t="str">
            <v>EBITA</v>
          </cell>
          <cell r="V2382" t="str">
            <v>Identified - New</v>
          </cell>
          <cell r="W2382" t="str">
            <v>00 Investigate</v>
          </cell>
          <cell r="X2382" t="str">
            <v>Priority 1</v>
          </cell>
          <cell r="Y2382">
            <v>0.4</v>
          </cell>
          <cell r="Z2382">
            <v>1350000000</v>
          </cell>
          <cell r="AA2382">
            <v>0</v>
          </cell>
          <cell r="AB2382">
            <v>0</v>
          </cell>
          <cell r="AC2382">
            <v>0</v>
          </cell>
          <cell r="AD2382">
            <v>0</v>
          </cell>
          <cell r="BM2382">
            <v>0</v>
          </cell>
          <cell r="BN2382">
            <v>0</v>
          </cell>
          <cell r="BO2382">
            <v>1093888.888888889</v>
          </cell>
          <cell r="BP2382">
            <v>2200000</v>
          </cell>
          <cell r="BQ2382">
            <v>2200000</v>
          </cell>
          <cell r="BR2382">
            <v>5493888.888888889</v>
          </cell>
          <cell r="BT2382">
            <v>0</v>
          </cell>
          <cell r="BV2382">
            <v>35</v>
          </cell>
          <cell r="BW2382">
            <v>87</v>
          </cell>
          <cell r="CA2382" t="str">
            <v>OPP-721783 - EBITA - Identified - New</v>
          </cell>
          <cell r="CC2382" t="str">
            <v>OPP-721783 - EBITA - Identified - New - NE</v>
          </cell>
          <cell r="CD2382" t="str">
            <v/>
          </cell>
          <cell r="CF2382" t="str">
            <v>OPP-721783 - Identified - New - NE</v>
          </cell>
        </row>
        <row r="2383">
          <cell r="D2383">
            <v>181</v>
          </cell>
          <cell r="E2383">
            <v>1</v>
          </cell>
          <cell r="F2383">
            <v>1</v>
          </cell>
          <cell r="G2383" t="str">
            <v>OPP-411980</v>
          </cell>
          <cell r="H2383" t="str">
            <v>DOE SRS Operations Contract</v>
          </cell>
          <cell r="I2383" t="str">
            <v>NE</v>
          </cell>
          <cell r="J2383" t="str">
            <v>NE DD and WM Projects</v>
          </cell>
          <cell r="K2383" t="str">
            <v>DOE-NNSA</v>
          </cell>
          <cell r="L2383" t="str">
            <v>DOE</v>
          </cell>
          <cell r="O2383">
            <v>0</v>
          </cell>
          <cell r="P2383">
            <v>0</v>
          </cell>
          <cell r="Q2383">
            <v>0</v>
          </cell>
          <cell r="R2383">
            <v>0</v>
          </cell>
          <cell r="S2383">
            <v>1</v>
          </cell>
          <cell r="T2383">
            <v>0</v>
          </cell>
          <cell r="U2383" t="str">
            <v>REVTOT</v>
          </cell>
          <cell r="V2383" t="str">
            <v>Base</v>
          </cell>
          <cell r="W2383">
            <v>0</v>
          </cell>
          <cell r="X2383">
            <v>0</v>
          </cell>
          <cell r="Y2383">
            <v>0</v>
          </cell>
          <cell r="Z2383">
            <v>0</v>
          </cell>
          <cell r="AA2383">
            <v>0</v>
          </cell>
          <cell r="AB2383">
            <v>0</v>
          </cell>
          <cell r="AC2383">
            <v>0</v>
          </cell>
          <cell r="AD2383">
            <v>0</v>
          </cell>
          <cell r="BF2383">
            <v>0</v>
          </cell>
          <cell r="BG2383">
            <v>0</v>
          </cell>
          <cell r="BH2383">
            <v>0</v>
          </cell>
          <cell r="BI2383">
            <v>0</v>
          </cell>
          <cell r="BJ2383">
            <v>0</v>
          </cell>
          <cell r="BK2383">
            <v>0</v>
          </cell>
          <cell r="BL2383">
            <v>0</v>
          </cell>
          <cell r="BM2383">
            <v>0</v>
          </cell>
          <cell r="BN2383">
            <v>0</v>
          </cell>
          <cell r="BO2383">
            <v>0</v>
          </cell>
          <cell r="BP2383">
            <v>0</v>
          </cell>
          <cell r="BQ2383">
            <v>0</v>
          </cell>
          <cell r="BR2383">
            <v>0</v>
          </cell>
          <cell r="BT2383">
            <v>0</v>
          </cell>
          <cell r="BV2383">
            <v>2</v>
          </cell>
          <cell r="BW2383">
            <v>60</v>
          </cell>
          <cell r="CA2383" t="str">
            <v>OPP-411980 - REVTOT - Base</v>
          </cell>
          <cell r="CC2383" t="str">
            <v>OPP-411980 - REVTOT - Base - NE</v>
          </cell>
          <cell r="CD2383" t="str">
            <v/>
          </cell>
          <cell r="CF2383" t="str">
            <v>OPP-411980 - Base - NE</v>
          </cell>
        </row>
        <row r="2384">
          <cell r="D2384">
            <v>182</v>
          </cell>
          <cell r="E2384">
            <v>1</v>
          </cell>
          <cell r="F2384">
            <v>2</v>
          </cell>
          <cell r="G2384" t="str">
            <v>OPP-411980</v>
          </cell>
          <cell r="H2384" t="str">
            <v>DOE SRS Operations Contract</v>
          </cell>
          <cell r="I2384" t="str">
            <v>NE</v>
          </cell>
          <cell r="J2384" t="str">
            <v>NE DD and WM Projects</v>
          </cell>
          <cell r="K2384" t="str">
            <v>DOE-NNSA</v>
          </cell>
          <cell r="L2384" t="str">
            <v>DOE</v>
          </cell>
          <cell r="O2384">
            <v>0</v>
          </cell>
          <cell r="P2384">
            <v>0</v>
          </cell>
          <cell r="Q2384">
            <v>0</v>
          </cell>
          <cell r="R2384">
            <v>0</v>
          </cell>
          <cell r="S2384">
            <v>1</v>
          </cell>
          <cell r="T2384">
            <v>0</v>
          </cell>
          <cell r="U2384" t="str">
            <v>REVTOT</v>
          </cell>
          <cell r="V2384" t="str">
            <v>Identified - Recompete</v>
          </cell>
          <cell r="W2384">
            <v>0</v>
          </cell>
          <cell r="X2384">
            <v>0</v>
          </cell>
          <cell r="Y2384">
            <v>0</v>
          </cell>
          <cell r="Z2384">
            <v>0</v>
          </cell>
          <cell r="AA2384">
            <v>0</v>
          </cell>
          <cell r="AB2384">
            <v>0</v>
          </cell>
          <cell r="AC2384">
            <v>0</v>
          </cell>
          <cell r="AD2384">
            <v>0</v>
          </cell>
          <cell r="BM2384">
            <v>0</v>
          </cell>
          <cell r="BN2384">
            <v>0</v>
          </cell>
          <cell r="BO2384">
            <v>0</v>
          </cell>
          <cell r="BP2384">
            <v>0</v>
          </cell>
          <cell r="BQ2384">
            <v>0</v>
          </cell>
          <cell r="BR2384">
            <v>0</v>
          </cell>
          <cell r="BT2384">
            <v>0</v>
          </cell>
          <cell r="BV2384">
            <v>2</v>
          </cell>
          <cell r="BW2384">
            <v>60</v>
          </cell>
          <cell r="CA2384" t="str">
            <v>OPP-411980 - REVTOT - Identified - Recompete</v>
          </cell>
          <cell r="CC2384" t="str">
            <v>OPP-411980 - REVTOT - Identified - Recompete - NE</v>
          </cell>
          <cell r="CD2384" t="str">
            <v/>
          </cell>
          <cell r="CF2384" t="str">
            <v>OPP-411980 - Identified - Recompete - NE</v>
          </cell>
        </row>
        <row r="2385">
          <cell r="D2385">
            <v>183</v>
          </cell>
          <cell r="E2385">
            <v>1</v>
          </cell>
          <cell r="F2385">
            <v>3</v>
          </cell>
          <cell r="G2385" t="str">
            <v>OPP-411980</v>
          </cell>
          <cell r="H2385" t="str">
            <v>DOE SRS Operations Contract</v>
          </cell>
          <cell r="I2385" t="str">
            <v>NE</v>
          </cell>
          <cell r="J2385" t="str">
            <v>NE DD and WM Projects</v>
          </cell>
          <cell r="K2385" t="str">
            <v>DOE-NNSA</v>
          </cell>
          <cell r="L2385" t="str">
            <v>DOE</v>
          </cell>
          <cell r="O2385">
            <v>44470</v>
          </cell>
          <cell r="P2385">
            <v>48122</v>
          </cell>
          <cell r="Q2385" t="str">
            <v>Minority</v>
          </cell>
          <cell r="R2385" t="str">
            <v>Cost Plus</v>
          </cell>
          <cell r="S2385">
            <v>1</v>
          </cell>
          <cell r="T2385">
            <v>0</v>
          </cell>
          <cell r="U2385" t="str">
            <v>REVTOT</v>
          </cell>
          <cell r="V2385" t="str">
            <v>Identified - New</v>
          </cell>
          <cell r="W2385" t="str">
            <v>00 Investigate</v>
          </cell>
          <cell r="X2385" t="str">
            <v>Priority 1</v>
          </cell>
          <cell r="Y2385">
            <v>0.4</v>
          </cell>
          <cell r="Z2385">
            <v>2070000000</v>
          </cell>
          <cell r="AA2385">
            <v>0</v>
          </cell>
          <cell r="AB2385">
            <v>0</v>
          </cell>
          <cell r="AC2385">
            <v>0</v>
          </cell>
          <cell r="AD2385">
            <v>0</v>
          </cell>
          <cell r="BM2385">
            <v>0</v>
          </cell>
          <cell r="BN2385">
            <v>0</v>
          </cell>
          <cell r="BO2385">
            <v>0</v>
          </cell>
          <cell r="BP2385">
            <v>0</v>
          </cell>
          <cell r="BQ2385">
            <v>0</v>
          </cell>
          <cell r="BR2385">
            <v>0</v>
          </cell>
          <cell r="BT2385">
            <v>0</v>
          </cell>
          <cell r="BV2385">
            <v>34</v>
          </cell>
          <cell r="BW2385">
            <v>60</v>
          </cell>
          <cell r="CA2385" t="str">
            <v>OPP-411980 - REVTOT - Identified - New</v>
          </cell>
          <cell r="CC2385" t="str">
            <v>OPP-411980 - REVTOT - Identified - New - NE</v>
          </cell>
          <cell r="CD2385" t="str">
            <v/>
          </cell>
          <cell r="CF2385" t="str">
            <v>OPP-411980 - Identified - New - NE</v>
          </cell>
        </row>
        <row r="2386">
          <cell r="D2386">
            <v>184</v>
          </cell>
          <cell r="E2386">
            <v>2</v>
          </cell>
          <cell r="F2386">
            <v>4</v>
          </cell>
          <cell r="G2386" t="str">
            <v>OPP-411980</v>
          </cell>
          <cell r="H2386" t="str">
            <v>DOE SRS Operations Contract</v>
          </cell>
          <cell r="I2386" t="str">
            <v>NE</v>
          </cell>
          <cell r="J2386" t="str">
            <v>NE DD and WM Projects</v>
          </cell>
          <cell r="K2386" t="str">
            <v>DOE-NNSA</v>
          </cell>
          <cell r="L2386" t="str">
            <v>DOE</v>
          </cell>
          <cell r="O2386">
            <v>0</v>
          </cell>
          <cell r="P2386">
            <v>0</v>
          </cell>
          <cell r="Q2386">
            <v>0</v>
          </cell>
          <cell r="R2386">
            <v>0</v>
          </cell>
          <cell r="S2386">
            <v>1</v>
          </cell>
          <cell r="T2386">
            <v>0</v>
          </cell>
          <cell r="U2386" t="str">
            <v>CONTRACT</v>
          </cell>
          <cell r="V2386" t="str">
            <v>Base</v>
          </cell>
          <cell r="W2386">
            <v>0</v>
          </cell>
          <cell r="X2386">
            <v>0</v>
          </cell>
          <cell r="Y2386">
            <v>0</v>
          </cell>
          <cell r="Z2386">
            <v>0</v>
          </cell>
          <cell r="AA2386">
            <v>0</v>
          </cell>
          <cell r="AB2386">
            <v>0</v>
          </cell>
          <cell r="AC2386">
            <v>0</v>
          </cell>
          <cell r="AD2386">
            <v>0</v>
          </cell>
          <cell r="BF2386">
            <v>0</v>
          </cell>
          <cell r="BG2386">
            <v>0</v>
          </cell>
          <cell r="BH2386">
            <v>0</v>
          </cell>
          <cell r="BI2386">
            <v>0</v>
          </cell>
          <cell r="BJ2386">
            <v>0</v>
          </cell>
          <cell r="BK2386">
            <v>0</v>
          </cell>
          <cell r="BL2386">
            <v>0</v>
          </cell>
          <cell r="BM2386">
            <v>0</v>
          </cell>
          <cell r="BN2386">
            <v>0</v>
          </cell>
          <cell r="BO2386">
            <v>0</v>
          </cell>
          <cell r="BP2386">
            <v>0</v>
          </cell>
          <cell r="BQ2386">
            <v>0</v>
          </cell>
          <cell r="BR2386">
            <v>0</v>
          </cell>
          <cell r="BT2386">
            <v>0</v>
          </cell>
          <cell r="BV2386">
            <v>2</v>
          </cell>
          <cell r="BW2386">
            <v>78</v>
          </cell>
          <cell r="CA2386" t="str">
            <v>OPP-411980 - CONTRACT - Base</v>
          </cell>
          <cell r="CC2386" t="str">
            <v>OPP-411980 - CONTRACT - Base - NE - 2</v>
          </cell>
          <cell r="CD2386" t="str">
            <v/>
          </cell>
          <cell r="CF2386" t="str">
            <v>OPP-411980 - Base - NE</v>
          </cell>
        </row>
        <row r="2387">
          <cell r="D2387">
            <v>185</v>
          </cell>
          <cell r="E2387">
            <v>2</v>
          </cell>
          <cell r="F2387">
            <v>5</v>
          </cell>
          <cell r="G2387" t="str">
            <v>OPP-411980</v>
          </cell>
          <cell r="H2387" t="str">
            <v>DOE SRS Operations Contract</v>
          </cell>
          <cell r="I2387" t="str">
            <v>NE</v>
          </cell>
          <cell r="J2387" t="str">
            <v>NE DD and WM Projects</v>
          </cell>
          <cell r="K2387" t="str">
            <v>DOE-NNSA</v>
          </cell>
          <cell r="L2387" t="str">
            <v>DOE</v>
          </cell>
          <cell r="O2387">
            <v>0</v>
          </cell>
          <cell r="P2387">
            <v>0</v>
          </cell>
          <cell r="Q2387">
            <v>0</v>
          </cell>
          <cell r="R2387">
            <v>0</v>
          </cell>
          <cell r="S2387">
            <v>1</v>
          </cell>
          <cell r="T2387">
            <v>0</v>
          </cell>
          <cell r="U2387" t="str">
            <v>CONTRACT</v>
          </cell>
          <cell r="V2387" t="str">
            <v>Identified - Recompete</v>
          </cell>
          <cell r="W2387">
            <v>0</v>
          </cell>
          <cell r="X2387">
            <v>0</v>
          </cell>
          <cell r="Y2387">
            <v>0</v>
          </cell>
          <cell r="Z2387">
            <v>0</v>
          </cell>
          <cell r="AA2387">
            <v>0</v>
          </cell>
          <cell r="AB2387">
            <v>0</v>
          </cell>
          <cell r="AC2387">
            <v>0</v>
          </cell>
          <cell r="AD2387">
            <v>0</v>
          </cell>
          <cell r="BM2387">
            <v>0</v>
          </cell>
          <cell r="BN2387">
            <v>0</v>
          </cell>
          <cell r="BO2387">
            <v>0</v>
          </cell>
          <cell r="BP2387">
            <v>0</v>
          </cell>
          <cell r="BQ2387">
            <v>0</v>
          </cell>
          <cell r="BR2387">
            <v>0</v>
          </cell>
          <cell r="BT2387">
            <v>0</v>
          </cell>
          <cell r="BV2387">
            <v>2</v>
          </cell>
          <cell r="BW2387">
            <v>78</v>
          </cell>
          <cell r="CA2387" t="str">
            <v>OPP-411980 - CONTRACT - Identified - Recompete</v>
          </cell>
          <cell r="CC2387" t="str">
            <v>OPP-411980 - CONTRACT - Identified - Recompete - NE</v>
          </cell>
          <cell r="CD2387" t="str">
            <v/>
          </cell>
          <cell r="CF2387" t="str">
            <v>OPP-411980 - Identified - Recompete - NE</v>
          </cell>
        </row>
        <row r="2388">
          <cell r="D2388">
            <v>186</v>
          </cell>
          <cell r="E2388">
            <v>2</v>
          </cell>
          <cell r="F2388">
            <v>6</v>
          </cell>
          <cell r="G2388" t="str">
            <v>OPP-411980</v>
          </cell>
          <cell r="H2388" t="str">
            <v>DOE SRS Operations Contract</v>
          </cell>
          <cell r="I2388" t="str">
            <v>NE</v>
          </cell>
          <cell r="J2388" t="str">
            <v>NE DD and WM Projects</v>
          </cell>
          <cell r="K2388" t="str">
            <v>DOE-NNSA</v>
          </cell>
          <cell r="L2388" t="str">
            <v>DOE</v>
          </cell>
          <cell r="O2388">
            <v>44470</v>
          </cell>
          <cell r="P2388">
            <v>48122</v>
          </cell>
          <cell r="Q2388" t="str">
            <v>Minority</v>
          </cell>
          <cell r="R2388" t="str">
            <v>Cost Plus</v>
          </cell>
          <cell r="S2388">
            <v>1</v>
          </cell>
          <cell r="T2388">
            <v>0</v>
          </cell>
          <cell r="U2388" t="str">
            <v>CONTRACT</v>
          </cell>
          <cell r="V2388" t="str">
            <v>Identified - New</v>
          </cell>
          <cell r="W2388" t="str">
            <v>00 Investigate</v>
          </cell>
          <cell r="X2388" t="str">
            <v>Priority 1</v>
          </cell>
          <cell r="Y2388">
            <v>0.4</v>
          </cell>
          <cell r="Z2388">
            <v>2070000000</v>
          </cell>
          <cell r="AA2388">
            <v>0</v>
          </cell>
          <cell r="AB2388">
            <v>0</v>
          </cell>
          <cell r="AC2388">
            <v>0</v>
          </cell>
          <cell r="AD2388">
            <v>0</v>
          </cell>
          <cell r="BM2388">
            <v>0</v>
          </cell>
          <cell r="BN2388">
            <v>0</v>
          </cell>
          <cell r="BO2388">
            <v>0</v>
          </cell>
          <cell r="BP2388">
            <v>0</v>
          </cell>
          <cell r="BQ2388">
            <v>0</v>
          </cell>
          <cell r="BR2388">
            <v>0</v>
          </cell>
          <cell r="BT2388">
            <v>0</v>
          </cell>
          <cell r="BV2388">
            <v>34</v>
          </cell>
          <cell r="BW2388">
            <v>78</v>
          </cell>
          <cell r="CA2388" t="str">
            <v>OPP-411980 - CONTRACT - Identified - New</v>
          </cell>
          <cell r="CC2388" t="str">
            <v>OPP-411980 - CONTRACT - Identified - New - NE</v>
          </cell>
          <cell r="CD2388" t="str">
            <v/>
          </cell>
          <cell r="CF2388" t="str">
            <v>OPP-411980 - Identified - New - NE</v>
          </cell>
        </row>
        <row r="2389">
          <cell r="D2389">
            <v>187</v>
          </cell>
          <cell r="E2389">
            <v>0</v>
          </cell>
          <cell r="F2389">
            <v>7</v>
          </cell>
          <cell r="G2389" t="str">
            <v>OPP-411980</v>
          </cell>
          <cell r="H2389" t="str">
            <v>DOE SRS Operations Contract</v>
          </cell>
          <cell r="I2389" t="str">
            <v>NE</v>
          </cell>
          <cell r="J2389" t="str">
            <v>NE DD and WM Projects</v>
          </cell>
          <cell r="K2389" t="str">
            <v>DOE-NNSA</v>
          </cell>
          <cell r="L2389" t="str">
            <v>DOE</v>
          </cell>
          <cell r="O2389">
            <v>0</v>
          </cell>
          <cell r="P2389">
            <v>0</v>
          </cell>
          <cell r="Q2389">
            <v>0</v>
          </cell>
          <cell r="R2389">
            <v>0</v>
          </cell>
          <cell r="S2389">
            <v>1</v>
          </cell>
          <cell r="T2389">
            <v>0</v>
          </cell>
          <cell r="U2389" t="str">
            <v>EBITA</v>
          </cell>
          <cell r="V2389" t="str">
            <v>Base</v>
          </cell>
          <cell r="W2389">
            <v>0</v>
          </cell>
          <cell r="X2389">
            <v>0</v>
          </cell>
          <cell r="Y2389">
            <v>0</v>
          </cell>
          <cell r="Z2389">
            <v>0</v>
          </cell>
          <cell r="AA2389">
            <v>0</v>
          </cell>
          <cell r="AB2389">
            <v>0</v>
          </cell>
          <cell r="AC2389">
            <v>0</v>
          </cell>
          <cell r="AD2389">
            <v>0</v>
          </cell>
          <cell r="BF2389">
            <v>0</v>
          </cell>
          <cell r="BG2389">
            <v>0</v>
          </cell>
          <cell r="BH2389">
            <v>0</v>
          </cell>
          <cell r="BI2389">
            <v>0</v>
          </cell>
          <cell r="BJ2389">
            <v>0</v>
          </cell>
          <cell r="BK2389">
            <v>0</v>
          </cell>
          <cell r="BL2389">
            <v>0</v>
          </cell>
          <cell r="BM2389">
            <v>0</v>
          </cell>
          <cell r="BN2389">
            <v>0</v>
          </cell>
          <cell r="BO2389">
            <v>0</v>
          </cell>
          <cell r="BP2389">
            <v>0</v>
          </cell>
          <cell r="BQ2389">
            <v>0</v>
          </cell>
          <cell r="BR2389">
            <v>0</v>
          </cell>
          <cell r="BT2389">
            <v>0</v>
          </cell>
          <cell r="BV2389">
            <v>2</v>
          </cell>
          <cell r="BW2389">
            <v>87</v>
          </cell>
          <cell r="CA2389" t="str">
            <v>OPP-411980 - EBITA - Base</v>
          </cell>
          <cell r="CC2389" t="str">
            <v>OPP-411980 - EBITA - Base - NE</v>
          </cell>
          <cell r="CD2389" t="str">
            <v/>
          </cell>
          <cell r="CF2389" t="str">
            <v>OPP-411980 - Base - NE</v>
          </cell>
        </row>
        <row r="2390">
          <cell r="D2390">
            <v>188</v>
          </cell>
          <cell r="E2390">
            <v>0</v>
          </cell>
          <cell r="F2390">
            <v>8</v>
          </cell>
          <cell r="G2390" t="str">
            <v>OPP-411980</v>
          </cell>
          <cell r="H2390" t="str">
            <v>DOE SRS Operations Contract</v>
          </cell>
          <cell r="I2390" t="str">
            <v>NE</v>
          </cell>
          <cell r="J2390" t="str">
            <v>NE DD and WM Projects</v>
          </cell>
          <cell r="K2390" t="str">
            <v>DOE-NNSA</v>
          </cell>
          <cell r="L2390" t="str">
            <v>DOE</v>
          </cell>
          <cell r="O2390">
            <v>0</v>
          </cell>
          <cell r="P2390">
            <v>0</v>
          </cell>
          <cell r="Q2390">
            <v>0</v>
          </cell>
          <cell r="R2390">
            <v>0</v>
          </cell>
          <cell r="S2390">
            <v>1</v>
          </cell>
          <cell r="T2390">
            <v>0</v>
          </cell>
          <cell r="U2390" t="str">
            <v>EBITA</v>
          </cell>
          <cell r="V2390" t="str">
            <v>Identified - Recompete</v>
          </cell>
          <cell r="W2390">
            <v>0</v>
          </cell>
          <cell r="X2390">
            <v>0</v>
          </cell>
          <cell r="Y2390">
            <v>0</v>
          </cell>
          <cell r="Z2390">
            <v>0</v>
          </cell>
          <cell r="AA2390">
            <v>0</v>
          </cell>
          <cell r="AB2390">
            <v>0</v>
          </cell>
          <cell r="AC2390">
            <v>0</v>
          </cell>
          <cell r="AD2390">
            <v>0</v>
          </cell>
          <cell r="BM2390">
            <v>0</v>
          </cell>
          <cell r="BN2390">
            <v>0</v>
          </cell>
          <cell r="BO2390">
            <v>0</v>
          </cell>
          <cell r="BP2390">
            <v>0</v>
          </cell>
          <cell r="BQ2390">
            <v>0</v>
          </cell>
          <cell r="BR2390">
            <v>0</v>
          </cell>
          <cell r="BT2390">
            <v>0</v>
          </cell>
          <cell r="BV2390">
            <v>2</v>
          </cell>
          <cell r="BW2390">
            <v>87</v>
          </cell>
          <cell r="CA2390" t="str">
            <v>OPP-411980 - EBITA - Identified - Recompete</v>
          </cell>
          <cell r="CC2390" t="str">
            <v>OPP-411980 - EBITA - Identified - Recompete - NE</v>
          </cell>
          <cell r="CD2390" t="str">
            <v/>
          </cell>
          <cell r="CF2390" t="str">
            <v>OPP-411980 - Identified - Recompete - NE</v>
          </cell>
        </row>
        <row r="2391">
          <cell r="D2391">
            <v>189</v>
          </cell>
          <cell r="E2391">
            <v>0</v>
          </cell>
          <cell r="F2391">
            <v>0</v>
          </cell>
          <cell r="G2391" t="str">
            <v>OPP-411980</v>
          </cell>
          <cell r="H2391" t="str">
            <v>DOE SRS Operations Contract</v>
          </cell>
          <cell r="I2391" t="str">
            <v>NE</v>
          </cell>
          <cell r="J2391" t="str">
            <v>NE DD and WM Projects</v>
          </cell>
          <cell r="K2391" t="str">
            <v>DOE-NNSA</v>
          </cell>
          <cell r="L2391" t="str">
            <v>DOE</v>
          </cell>
          <cell r="O2391">
            <v>44470</v>
          </cell>
          <cell r="P2391">
            <v>48122</v>
          </cell>
          <cell r="Q2391" t="str">
            <v>Minority</v>
          </cell>
          <cell r="R2391" t="str">
            <v>Cost Plus</v>
          </cell>
          <cell r="S2391">
            <v>1</v>
          </cell>
          <cell r="T2391">
            <v>0</v>
          </cell>
          <cell r="U2391" t="str">
            <v>EBITA</v>
          </cell>
          <cell r="V2391" t="str">
            <v>Identified - New</v>
          </cell>
          <cell r="W2391" t="str">
            <v>00 Investigate</v>
          </cell>
          <cell r="X2391" t="str">
            <v>Priority 1</v>
          </cell>
          <cell r="Y2391">
            <v>0.4</v>
          </cell>
          <cell r="Z2391">
            <v>2070000000</v>
          </cell>
          <cell r="AA2391">
            <v>0</v>
          </cell>
          <cell r="AB2391">
            <v>0</v>
          </cell>
          <cell r="AC2391">
            <v>0</v>
          </cell>
          <cell r="AD2391">
            <v>0</v>
          </cell>
          <cell r="BM2391">
            <v>0</v>
          </cell>
          <cell r="BN2391">
            <v>0</v>
          </cell>
          <cell r="BO2391">
            <v>0</v>
          </cell>
          <cell r="BP2391">
            <v>3366622.2222222225</v>
          </cell>
          <cell r="BQ2391">
            <v>3376000</v>
          </cell>
          <cell r="BR2391">
            <v>6742622.222222222</v>
          </cell>
          <cell r="BT2391">
            <v>0</v>
          </cell>
          <cell r="BV2391">
            <v>34</v>
          </cell>
          <cell r="BW2391">
            <v>87</v>
          </cell>
          <cell r="CA2391" t="str">
            <v>OPP-411980 - EBITA - Identified - New</v>
          </cell>
          <cell r="CC2391" t="str">
            <v>OPP-411980 - EBITA - Identified - New - NE</v>
          </cell>
          <cell r="CD2391" t="str">
            <v/>
          </cell>
          <cell r="CF2391" t="str">
            <v>OPP-411980 - Identified - New - NE</v>
          </cell>
        </row>
        <row r="2392">
          <cell r="D2392">
            <v>190</v>
          </cell>
          <cell r="E2392">
            <v>1</v>
          </cell>
          <cell r="F2392">
            <v>1</v>
          </cell>
          <cell r="G2392" t="str">
            <v>OPP-411104</v>
          </cell>
          <cell r="H2392" t="str">
            <v>DOE SC ORNL M&amp;O (Oak Ridge National Laboratory)</v>
          </cell>
          <cell r="I2392" t="str">
            <v>NE</v>
          </cell>
          <cell r="J2392" t="str">
            <v>NE HLW &amp; NNSA Operations</v>
          </cell>
          <cell r="K2392" t="str">
            <v>DOE-NNSA</v>
          </cell>
          <cell r="L2392" t="str">
            <v>DOE</v>
          </cell>
          <cell r="O2392">
            <v>0</v>
          </cell>
          <cell r="P2392">
            <v>0</v>
          </cell>
          <cell r="Q2392">
            <v>0</v>
          </cell>
          <cell r="R2392">
            <v>0</v>
          </cell>
          <cell r="S2392">
            <v>1</v>
          </cell>
          <cell r="T2392">
            <v>0</v>
          </cell>
          <cell r="U2392" t="str">
            <v>REVTOT</v>
          </cell>
          <cell r="V2392" t="str">
            <v>Base</v>
          </cell>
          <cell r="W2392">
            <v>0</v>
          </cell>
          <cell r="X2392">
            <v>0</v>
          </cell>
          <cell r="Y2392">
            <v>0</v>
          </cell>
          <cell r="Z2392">
            <v>0</v>
          </cell>
          <cell r="AA2392">
            <v>0</v>
          </cell>
          <cell r="AB2392">
            <v>0</v>
          </cell>
          <cell r="AC2392">
            <v>0</v>
          </cell>
          <cell r="AD2392">
            <v>0</v>
          </cell>
          <cell r="BF2392">
            <v>0</v>
          </cell>
          <cell r="BG2392">
            <v>0</v>
          </cell>
          <cell r="BH2392">
            <v>0</v>
          </cell>
          <cell r="BI2392">
            <v>0</v>
          </cell>
          <cell r="BJ2392">
            <v>0</v>
          </cell>
          <cell r="BK2392">
            <v>0</v>
          </cell>
          <cell r="BL2392">
            <v>0</v>
          </cell>
          <cell r="BM2392">
            <v>0</v>
          </cell>
          <cell r="BN2392">
            <v>0</v>
          </cell>
          <cell r="BO2392">
            <v>0</v>
          </cell>
          <cell r="BP2392">
            <v>0</v>
          </cell>
          <cell r="BQ2392">
            <v>0</v>
          </cell>
          <cell r="BR2392">
            <v>0</v>
          </cell>
          <cell r="BT2392">
            <v>0</v>
          </cell>
          <cell r="BV2392">
            <v>2</v>
          </cell>
          <cell r="BW2392">
            <v>60</v>
          </cell>
          <cell r="CA2392" t="str">
            <v>OPP-411104 - REVTOT - Base</v>
          </cell>
          <cell r="CC2392" t="str">
            <v>OPP-411104 - REVTOT - Base - NE</v>
          </cell>
          <cell r="CD2392" t="str">
            <v/>
          </cell>
          <cell r="CF2392" t="str">
            <v>OPP-411104 - Base - NE</v>
          </cell>
        </row>
        <row r="2393">
          <cell r="D2393">
            <v>191</v>
          </cell>
          <cell r="E2393">
            <v>1</v>
          </cell>
          <cell r="F2393">
            <v>2</v>
          </cell>
          <cell r="G2393" t="str">
            <v>OPP-411104</v>
          </cell>
          <cell r="H2393" t="str">
            <v>DOE SC ORNL M&amp;O (Oak Ridge National Laboratory)</v>
          </cell>
          <cell r="I2393" t="str">
            <v>NE</v>
          </cell>
          <cell r="J2393" t="str">
            <v>NE HLW &amp; NNSA Operations</v>
          </cell>
          <cell r="K2393" t="str">
            <v>DOE-NNSA</v>
          </cell>
          <cell r="L2393" t="str">
            <v>DOE</v>
          </cell>
          <cell r="O2393">
            <v>0</v>
          </cell>
          <cell r="P2393">
            <v>0</v>
          </cell>
          <cell r="Q2393">
            <v>0</v>
          </cell>
          <cell r="R2393">
            <v>0</v>
          </cell>
          <cell r="S2393">
            <v>1</v>
          </cell>
          <cell r="T2393">
            <v>0</v>
          </cell>
          <cell r="U2393" t="str">
            <v>REVTOT</v>
          </cell>
          <cell r="V2393" t="str">
            <v>Identified - Recompete</v>
          </cell>
          <cell r="W2393">
            <v>0</v>
          </cell>
          <cell r="X2393">
            <v>0</v>
          </cell>
          <cell r="Y2393">
            <v>0</v>
          </cell>
          <cell r="Z2393">
            <v>0</v>
          </cell>
          <cell r="AA2393">
            <v>0</v>
          </cell>
          <cell r="AB2393">
            <v>0</v>
          </cell>
          <cell r="AC2393">
            <v>0</v>
          </cell>
          <cell r="AD2393">
            <v>0</v>
          </cell>
          <cell r="BM2393">
            <v>0</v>
          </cell>
          <cell r="BN2393">
            <v>0</v>
          </cell>
          <cell r="BO2393">
            <v>0</v>
          </cell>
          <cell r="BP2393">
            <v>0</v>
          </cell>
          <cell r="BQ2393">
            <v>0</v>
          </cell>
          <cell r="BR2393">
            <v>0</v>
          </cell>
          <cell r="BT2393">
            <v>0</v>
          </cell>
          <cell r="BV2393">
            <v>2</v>
          </cell>
          <cell r="BW2393">
            <v>60</v>
          </cell>
          <cell r="CA2393" t="str">
            <v>OPP-411104 - REVTOT - Identified - Recompete</v>
          </cell>
          <cell r="CC2393" t="str">
            <v>OPP-411104 - REVTOT - Identified - Recompete - NE</v>
          </cell>
          <cell r="CD2393" t="str">
            <v/>
          </cell>
          <cell r="CF2393" t="str">
            <v>OPP-411104 - Identified - Recompete - NE</v>
          </cell>
        </row>
        <row r="2394">
          <cell r="D2394">
            <v>192</v>
          </cell>
          <cell r="E2394">
            <v>1</v>
          </cell>
          <cell r="F2394">
            <v>3</v>
          </cell>
          <cell r="G2394" t="str">
            <v>OPP-411104</v>
          </cell>
          <cell r="H2394" t="str">
            <v>DOE SC ORNL M&amp;O (Oak Ridge National Laboratory)</v>
          </cell>
          <cell r="I2394" t="str">
            <v>NE</v>
          </cell>
          <cell r="J2394" t="str">
            <v>NE HLW &amp; NNSA Operations</v>
          </cell>
          <cell r="K2394" t="str">
            <v>DOE-NNSA</v>
          </cell>
          <cell r="L2394" t="str">
            <v>DOE</v>
          </cell>
          <cell r="O2394">
            <v>44652</v>
          </cell>
          <cell r="P2394">
            <v>48305</v>
          </cell>
          <cell r="Q2394" t="str">
            <v>Minority</v>
          </cell>
          <cell r="R2394" t="str">
            <v>Cost Plus</v>
          </cell>
          <cell r="S2394">
            <v>1</v>
          </cell>
          <cell r="T2394">
            <v>0</v>
          </cell>
          <cell r="U2394" t="str">
            <v>REVTOT</v>
          </cell>
          <cell r="V2394" t="str">
            <v>Identified - New</v>
          </cell>
          <cell r="W2394" t="str">
            <v>01 Prospect</v>
          </cell>
          <cell r="X2394" t="str">
            <v>Priority 2</v>
          </cell>
          <cell r="Y2394">
            <v>0.25</v>
          </cell>
          <cell r="Z2394">
            <v>1323000000</v>
          </cell>
          <cell r="AA2394">
            <v>0</v>
          </cell>
          <cell r="AB2394">
            <v>0</v>
          </cell>
          <cell r="AC2394">
            <v>0</v>
          </cell>
          <cell r="AD2394">
            <v>0</v>
          </cell>
          <cell r="BM2394">
            <v>0</v>
          </cell>
          <cell r="BN2394">
            <v>0</v>
          </cell>
          <cell r="BO2394">
            <v>0</v>
          </cell>
          <cell r="BP2394">
            <v>0</v>
          </cell>
          <cell r="BQ2394">
            <v>0</v>
          </cell>
          <cell r="BR2394">
            <v>0</v>
          </cell>
          <cell r="BT2394">
            <v>0</v>
          </cell>
          <cell r="BV2394">
            <v>37</v>
          </cell>
          <cell r="BW2394">
            <v>60</v>
          </cell>
          <cell r="CA2394" t="str">
            <v>OPP-411104 - REVTOT - Identified - New</v>
          </cell>
          <cell r="CC2394" t="str">
            <v>OPP-411104 - REVTOT - Identified - New - NE</v>
          </cell>
          <cell r="CD2394" t="str">
            <v/>
          </cell>
          <cell r="CF2394" t="str">
            <v>OPP-411104 - Identified - New - NE</v>
          </cell>
        </row>
        <row r="2395">
          <cell r="D2395">
            <v>193</v>
          </cell>
          <cell r="E2395">
            <v>2</v>
          </cell>
          <cell r="F2395">
            <v>4</v>
          </cell>
          <cell r="G2395" t="str">
            <v>OPP-411104</v>
          </cell>
          <cell r="H2395" t="str">
            <v>DOE SC ORNL M&amp;O (Oak Ridge National Laboratory)</v>
          </cell>
          <cell r="I2395" t="str">
            <v>NE</v>
          </cell>
          <cell r="J2395" t="str">
            <v>NE HLW &amp; NNSA Operations</v>
          </cell>
          <cell r="K2395" t="str">
            <v>DOE-NNSA</v>
          </cell>
          <cell r="L2395" t="str">
            <v>DOE</v>
          </cell>
          <cell r="O2395">
            <v>0</v>
          </cell>
          <cell r="P2395">
            <v>0</v>
          </cell>
          <cell r="Q2395">
            <v>0</v>
          </cell>
          <cell r="R2395">
            <v>0</v>
          </cell>
          <cell r="S2395">
            <v>1</v>
          </cell>
          <cell r="T2395">
            <v>0</v>
          </cell>
          <cell r="U2395" t="str">
            <v>CONTRACT</v>
          </cell>
          <cell r="V2395" t="str">
            <v>Base</v>
          </cell>
          <cell r="W2395">
            <v>0</v>
          </cell>
          <cell r="X2395">
            <v>0</v>
          </cell>
          <cell r="Y2395">
            <v>0</v>
          </cell>
          <cell r="Z2395">
            <v>0</v>
          </cell>
          <cell r="AA2395">
            <v>0</v>
          </cell>
          <cell r="AB2395">
            <v>0</v>
          </cell>
          <cell r="AC2395">
            <v>0</v>
          </cell>
          <cell r="AD2395">
            <v>0</v>
          </cell>
          <cell r="BF2395">
            <v>0</v>
          </cell>
          <cell r="BG2395">
            <v>0</v>
          </cell>
          <cell r="BH2395">
            <v>0</v>
          </cell>
          <cell r="BI2395">
            <v>0</v>
          </cell>
          <cell r="BJ2395">
            <v>0</v>
          </cell>
          <cell r="BK2395">
            <v>0</v>
          </cell>
          <cell r="BL2395">
            <v>0</v>
          </cell>
          <cell r="BM2395">
            <v>0</v>
          </cell>
          <cell r="BN2395">
            <v>0</v>
          </cell>
          <cell r="BO2395">
            <v>0</v>
          </cell>
          <cell r="BP2395">
            <v>0</v>
          </cell>
          <cell r="BQ2395">
            <v>0</v>
          </cell>
          <cell r="BR2395">
            <v>0</v>
          </cell>
          <cell r="BT2395">
            <v>0</v>
          </cell>
          <cell r="BV2395">
            <v>2</v>
          </cell>
          <cell r="BW2395">
            <v>78</v>
          </cell>
          <cell r="CA2395" t="str">
            <v>OPP-411104 - CONTRACT - Base</v>
          </cell>
          <cell r="CC2395" t="str">
            <v>OPP-411104 - CONTRACT - Base - NE - 2</v>
          </cell>
          <cell r="CD2395" t="str">
            <v/>
          </cell>
          <cell r="CF2395" t="str">
            <v>OPP-411104 - Base - NE</v>
          </cell>
        </row>
        <row r="2396">
          <cell r="D2396">
            <v>194</v>
          </cell>
          <cell r="E2396">
            <v>2</v>
          </cell>
          <cell r="F2396">
            <v>5</v>
          </cell>
          <cell r="G2396" t="str">
            <v>OPP-411104</v>
          </cell>
          <cell r="H2396" t="str">
            <v>DOE SC ORNL M&amp;O (Oak Ridge National Laboratory)</v>
          </cell>
          <cell r="I2396" t="str">
            <v>NE</v>
          </cell>
          <cell r="J2396" t="str">
            <v>NE HLW &amp; NNSA Operations</v>
          </cell>
          <cell r="K2396" t="str">
            <v>DOE-NNSA</v>
          </cell>
          <cell r="L2396" t="str">
            <v>DOE</v>
          </cell>
          <cell r="O2396">
            <v>0</v>
          </cell>
          <cell r="P2396">
            <v>0</v>
          </cell>
          <cell r="Q2396">
            <v>0</v>
          </cell>
          <cell r="R2396">
            <v>0</v>
          </cell>
          <cell r="S2396">
            <v>1</v>
          </cell>
          <cell r="T2396">
            <v>0</v>
          </cell>
          <cell r="U2396" t="str">
            <v>CONTRACT</v>
          </cell>
          <cell r="V2396" t="str">
            <v>Identified - Recompete</v>
          </cell>
          <cell r="W2396">
            <v>0</v>
          </cell>
          <cell r="X2396">
            <v>0</v>
          </cell>
          <cell r="Y2396">
            <v>0</v>
          </cell>
          <cell r="Z2396">
            <v>0</v>
          </cell>
          <cell r="AA2396">
            <v>0</v>
          </cell>
          <cell r="AB2396">
            <v>0</v>
          </cell>
          <cell r="AC2396">
            <v>0</v>
          </cell>
          <cell r="AD2396">
            <v>0</v>
          </cell>
          <cell r="BM2396">
            <v>0</v>
          </cell>
          <cell r="BN2396">
            <v>0</v>
          </cell>
          <cell r="BO2396">
            <v>0</v>
          </cell>
          <cell r="BP2396">
            <v>0</v>
          </cell>
          <cell r="BQ2396">
            <v>0</v>
          </cell>
          <cell r="BR2396">
            <v>0</v>
          </cell>
          <cell r="BT2396">
            <v>0</v>
          </cell>
          <cell r="BV2396">
            <v>2</v>
          </cell>
          <cell r="BW2396">
            <v>78</v>
          </cell>
          <cell r="CA2396" t="str">
            <v>OPP-411104 - CONTRACT - Identified - Recompete</v>
          </cell>
          <cell r="CC2396" t="str">
            <v>OPP-411104 - CONTRACT - Identified - Recompete - NE</v>
          </cell>
          <cell r="CD2396" t="str">
            <v/>
          </cell>
          <cell r="CF2396" t="str">
            <v>OPP-411104 - Identified - Recompete - NE</v>
          </cell>
        </row>
        <row r="2397">
          <cell r="D2397">
            <v>195</v>
          </cell>
          <cell r="E2397">
            <v>2</v>
          </cell>
          <cell r="F2397">
            <v>6</v>
          </cell>
          <cell r="G2397" t="str">
            <v>OPP-411104</v>
          </cell>
          <cell r="H2397" t="str">
            <v>DOE SC ORNL M&amp;O (Oak Ridge National Laboratory)</v>
          </cell>
          <cell r="I2397" t="str">
            <v>NE</v>
          </cell>
          <cell r="J2397" t="str">
            <v>NE HLW &amp; NNSA Operations</v>
          </cell>
          <cell r="K2397" t="str">
            <v>DOE-NNSA</v>
          </cell>
          <cell r="L2397" t="str">
            <v>DOE</v>
          </cell>
          <cell r="O2397">
            <v>44652</v>
          </cell>
          <cell r="P2397">
            <v>48305</v>
          </cell>
          <cell r="Q2397" t="str">
            <v>Minority</v>
          </cell>
          <cell r="R2397" t="str">
            <v>Cost Plus</v>
          </cell>
          <cell r="S2397">
            <v>1</v>
          </cell>
          <cell r="T2397">
            <v>0</v>
          </cell>
          <cell r="U2397" t="str">
            <v>CONTRACT</v>
          </cell>
          <cell r="V2397" t="str">
            <v>Identified - New</v>
          </cell>
          <cell r="W2397" t="str">
            <v>01 Prospect</v>
          </cell>
          <cell r="X2397" t="str">
            <v>Priority 2</v>
          </cell>
          <cell r="Y2397">
            <v>0.25</v>
          </cell>
          <cell r="Z2397">
            <v>1323000000</v>
          </cell>
          <cell r="AA2397">
            <v>0</v>
          </cell>
          <cell r="AB2397">
            <v>0</v>
          </cell>
          <cell r="AC2397">
            <v>0</v>
          </cell>
          <cell r="AD2397">
            <v>0</v>
          </cell>
          <cell r="BM2397">
            <v>0</v>
          </cell>
          <cell r="BN2397">
            <v>0</v>
          </cell>
          <cell r="BO2397">
            <v>0</v>
          </cell>
          <cell r="BP2397">
            <v>0</v>
          </cell>
          <cell r="BQ2397">
            <v>0</v>
          </cell>
          <cell r="BR2397">
            <v>0</v>
          </cell>
          <cell r="BT2397">
            <v>0</v>
          </cell>
          <cell r="BV2397">
            <v>37</v>
          </cell>
          <cell r="BW2397">
            <v>78</v>
          </cell>
          <cell r="CA2397" t="str">
            <v>OPP-411104 - CONTRACT - Identified - New</v>
          </cell>
          <cell r="CC2397" t="str">
            <v>OPP-411104 - CONTRACT - Identified - New - NE</v>
          </cell>
          <cell r="CD2397" t="str">
            <v/>
          </cell>
          <cell r="CF2397" t="str">
            <v>OPP-411104 - Identified - New - NE</v>
          </cell>
        </row>
        <row r="2398">
          <cell r="D2398">
            <v>196</v>
          </cell>
          <cell r="E2398">
            <v>0</v>
          </cell>
          <cell r="F2398">
            <v>7</v>
          </cell>
          <cell r="G2398" t="str">
            <v>OPP-411104</v>
          </cell>
          <cell r="H2398" t="str">
            <v>DOE SC ORNL M&amp;O (Oak Ridge National Laboratory)</v>
          </cell>
          <cell r="I2398" t="str">
            <v>NE</v>
          </cell>
          <cell r="J2398" t="str">
            <v>NE HLW &amp; NNSA Operations</v>
          </cell>
          <cell r="K2398" t="str">
            <v>DOE-NNSA</v>
          </cell>
          <cell r="L2398" t="str">
            <v>DOE</v>
          </cell>
          <cell r="O2398">
            <v>0</v>
          </cell>
          <cell r="P2398">
            <v>0</v>
          </cell>
          <cell r="Q2398">
            <v>0</v>
          </cell>
          <cell r="R2398">
            <v>0</v>
          </cell>
          <cell r="S2398">
            <v>1</v>
          </cell>
          <cell r="T2398">
            <v>0</v>
          </cell>
          <cell r="U2398" t="str">
            <v>EBITA</v>
          </cell>
          <cell r="V2398" t="str">
            <v>Base</v>
          </cell>
          <cell r="W2398">
            <v>0</v>
          </cell>
          <cell r="X2398">
            <v>0</v>
          </cell>
          <cell r="Y2398">
            <v>0</v>
          </cell>
          <cell r="Z2398">
            <v>0</v>
          </cell>
          <cell r="AA2398">
            <v>0</v>
          </cell>
          <cell r="AB2398">
            <v>0</v>
          </cell>
          <cell r="AC2398">
            <v>0</v>
          </cell>
          <cell r="AD2398">
            <v>0</v>
          </cell>
          <cell r="BF2398">
            <v>0</v>
          </cell>
          <cell r="BG2398">
            <v>0</v>
          </cell>
          <cell r="BH2398">
            <v>0</v>
          </cell>
          <cell r="BI2398">
            <v>0</v>
          </cell>
          <cell r="BJ2398">
            <v>0</v>
          </cell>
          <cell r="BK2398">
            <v>0</v>
          </cell>
          <cell r="BL2398">
            <v>0</v>
          </cell>
          <cell r="BM2398">
            <v>0</v>
          </cell>
          <cell r="BN2398">
            <v>0</v>
          </cell>
          <cell r="BO2398">
            <v>0</v>
          </cell>
          <cell r="BP2398">
            <v>0</v>
          </cell>
          <cell r="BQ2398">
            <v>0</v>
          </cell>
          <cell r="BR2398">
            <v>0</v>
          </cell>
          <cell r="BT2398">
            <v>0</v>
          </cell>
          <cell r="BV2398">
            <v>2</v>
          </cell>
          <cell r="BW2398">
            <v>87</v>
          </cell>
          <cell r="CA2398" t="str">
            <v>OPP-411104 - EBITA - Base</v>
          </cell>
          <cell r="CC2398" t="str">
            <v>OPP-411104 - EBITA - Base - NE</v>
          </cell>
          <cell r="CD2398" t="str">
            <v/>
          </cell>
          <cell r="CF2398" t="str">
            <v>OPP-411104 - Base - NE</v>
          </cell>
        </row>
        <row r="2399">
          <cell r="D2399">
            <v>197</v>
          </cell>
          <cell r="E2399">
            <v>0</v>
          </cell>
          <cell r="F2399">
            <v>8</v>
          </cell>
          <cell r="G2399" t="str">
            <v>OPP-411104</v>
          </cell>
          <cell r="H2399" t="str">
            <v>DOE SC ORNL M&amp;O (Oak Ridge National Laboratory)</v>
          </cell>
          <cell r="I2399" t="str">
            <v>NE</v>
          </cell>
          <cell r="J2399" t="str">
            <v>NE HLW &amp; NNSA Operations</v>
          </cell>
          <cell r="K2399" t="str">
            <v>DOE-NNSA</v>
          </cell>
          <cell r="L2399" t="str">
            <v>DOE</v>
          </cell>
          <cell r="O2399">
            <v>0</v>
          </cell>
          <cell r="P2399">
            <v>0</v>
          </cell>
          <cell r="Q2399">
            <v>0</v>
          </cell>
          <cell r="R2399">
            <v>0</v>
          </cell>
          <cell r="S2399">
            <v>1</v>
          </cell>
          <cell r="T2399">
            <v>0</v>
          </cell>
          <cell r="U2399" t="str">
            <v>EBITA</v>
          </cell>
          <cell r="V2399" t="str">
            <v>Identified - Recompete</v>
          </cell>
          <cell r="W2399">
            <v>0</v>
          </cell>
          <cell r="X2399">
            <v>0</v>
          </cell>
          <cell r="Y2399">
            <v>0</v>
          </cell>
          <cell r="Z2399">
            <v>0</v>
          </cell>
          <cell r="AA2399">
            <v>0</v>
          </cell>
          <cell r="AB2399">
            <v>0</v>
          </cell>
          <cell r="AC2399">
            <v>0</v>
          </cell>
          <cell r="AD2399">
            <v>0</v>
          </cell>
          <cell r="BM2399">
            <v>0</v>
          </cell>
          <cell r="BN2399">
            <v>0</v>
          </cell>
          <cell r="BO2399">
            <v>0</v>
          </cell>
          <cell r="BP2399">
            <v>0</v>
          </cell>
          <cell r="BQ2399">
            <v>0</v>
          </cell>
          <cell r="BR2399">
            <v>0</v>
          </cell>
          <cell r="BT2399">
            <v>0</v>
          </cell>
          <cell r="BV2399">
            <v>2</v>
          </cell>
          <cell r="BW2399">
            <v>87</v>
          </cell>
          <cell r="CA2399" t="str">
            <v>OPP-411104 - EBITA - Identified - Recompete</v>
          </cell>
          <cell r="CC2399" t="str">
            <v>OPP-411104 - EBITA - Identified - Recompete - NE</v>
          </cell>
          <cell r="CD2399" t="str">
            <v/>
          </cell>
          <cell r="CF2399" t="str">
            <v>OPP-411104 - Identified - Recompete - NE</v>
          </cell>
        </row>
        <row r="2400">
          <cell r="D2400">
            <v>198</v>
          </cell>
          <cell r="E2400">
            <v>0</v>
          </cell>
          <cell r="F2400">
            <v>0</v>
          </cell>
          <cell r="G2400" t="str">
            <v>OPP-411104</v>
          </cell>
          <cell r="H2400" t="str">
            <v>DOE SC ORNL M&amp;O (Oak Ridge National Laboratory)</v>
          </cell>
          <cell r="I2400" t="str">
            <v>NE</v>
          </cell>
          <cell r="J2400" t="str">
            <v>NE HLW &amp; NNSA Operations</v>
          </cell>
          <cell r="K2400" t="str">
            <v>DOE-NNSA</v>
          </cell>
          <cell r="L2400" t="str">
            <v>DOE</v>
          </cell>
          <cell r="O2400">
            <v>44652</v>
          </cell>
          <cell r="P2400">
            <v>48305</v>
          </cell>
          <cell r="Q2400" t="str">
            <v>Minority</v>
          </cell>
          <cell r="R2400" t="str">
            <v>Cost Plus</v>
          </cell>
          <cell r="S2400">
            <v>1</v>
          </cell>
          <cell r="T2400">
            <v>0</v>
          </cell>
          <cell r="U2400" t="str">
            <v>EBITA</v>
          </cell>
          <cell r="V2400" t="str">
            <v>Identified - New</v>
          </cell>
          <cell r="W2400" t="str">
            <v>01 Prospect</v>
          </cell>
          <cell r="X2400" t="str">
            <v>Priority 2</v>
          </cell>
          <cell r="Y2400">
            <v>0.25</v>
          </cell>
          <cell r="Z2400">
            <v>1323000000</v>
          </cell>
          <cell r="AA2400">
            <v>0</v>
          </cell>
          <cell r="AB2400">
            <v>0</v>
          </cell>
          <cell r="AC2400">
            <v>0</v>
          </cell>
          <cell r="AD2400">
            <v>0</v>
          </cell>
          <cell r="BM2400">
            <v>0</v>
          </cell>
          <cell r="BN2400">
            <v>0</v>
          </cell>
          <cell r="BO2400">
            <v>0</v>
          </cell>
          <cell r="BP2400">
            <v>674270.625</v>
          </cell>
          <cell r="BQ2400">
            <v>1356075</v>
          </cell>
          <cell r="BR2400">
            <v>2030345.625</v>
          </cell>
          <cell r="BT2400">
            <v>0</v>
          </cell>
          <cell r="BV2400">
            <v>37</v>
          </cell>
          <cell r="BW2400">
            <v>87</v>
          </cell>
          <cell r="CA2400" t="str">
            <v>OPP-411104 - EBITA - Identified - New</v>
          </cell>
          <cell r="CC2400" t="str">
            <v>OPP-411104 - EBITA - Identified - New - NE</v>
          </cell>
          <cell r="CD2400" t="str">
            <v/>
          </cell>
          <cell r="CF2400" t="str">
            <v>OPP-411104 - Identified - New - NE</v>
          </cell>
        </row>
        <row r="2401">
          <cell r="D2401">
            <v>199</v>
          </cell>
          <cell r="E2401">
            <v>1</v>
          </cell>
          <cell r="F2401">
            <v>1</v>
          </cell>
          <cell r="G2401" t="str">
            <v>OPP-885599</v>
          </cell>
          <cell r="H2401" t="str">
            <v>SM-1 Reactor D&amp;D (MS Portion)</v>
          </cell>
          <cell r="I2401" t="str">
            <v>NE</v>
          </cell>
          <cell r="J2401" t="str">
            <v>NE DD and WM Projects</v>
          </cell>
          <cell r="K2401" t="str">
            <v>DOD</v>
          </cell>
          <cell r="L2401" t="str">
            <v>DOD</v>
          </cell>
          <cell r="O2401">
            <v>0</v>
          </cell>
          <cell r="P2401">
            <v>0</v>
          </cell>
          <cell r="Q2401">
            <v>0</v>
          </cell>
          <cell r="R2401">
            <v>0</v>
          </cell>
          <cell r="S2401">
            <v>1</v>
          </cell>
          <cell r="T2401">
            <v>0</v>
          </cell>
          <cell r="U2401" t="str">
            <v>REVTOT</v>
          </cell>
          <cell r="V2401" t="str">
            <v>Base</v>
          </cell>
          <cell r="W2401">
            <v>0</v>
          </cell>
          <cell r="X2401">
            <v>0</v>
          </cell>
          <cell r="Y2401">
            <v>0</v>
          </cell>
          <cell r="Z2401">
            <v>0</v>
          </cell>
          <cell r="AA2401">
            <v>0</v>
          </cell>
          <cell r="AB2401">
            <v>0</v>
          </cell>
          <cell r="AC2401">
            <v>0</v>
          </cell>
          <cell r="AD2401">
            <v>0</v>
          </cell>
          <cell r="BF2401">
            <v>0</v>
          </cell>
          <cell r="BG2401">
            <v>0</v>
          </cell>
          <cell r="BH2401">
            <v>0</v>
          </cell>
          <cell r="BI2401">
            <v>0</v>
          </cell>
          <cell r="BJ2401">
            <v>0</v>
          </cell>
          <cell r="BK2401">
            <v>0</v>
          </cell>
          <cell r="BL2401">
            <v>0</v>
          </cell>
          <cell r="BM2401">
            <v>0</v>
          </cell>
          <cell r="BN2401">
            <v>0</v>
          </cell>
          <cell r="BO2401">
            <v>0</v>
          </cell>
          <cell r="BP2401">
            <v>0</v>
          </cell>
          <cell r="BQ2401">
            <v>0</v>
          </cell>
          <cell r="BR2401">
            <v>0</v>
          </cell>
          <cell r="BT2401">
            <v>0</v>
          </cell>
          <cell r="BV2401">
            <v>2</v>
          </cell>
          <cell r="BW2401">
            <v>60</v>
          </cell>
          <cell r="CA2401" t="str">
            <v>OPP-885599 - REVTOT - Base</v>
          </cell>
          <cell r="CC2401" t="str">
            <v>OPP-885599 - REVTOT - Base - NE</v>
          </cell>
          <cell r="CD2401" t="str">
            <v/>
          </cell>
          <cell r="CF2401" t="str">
            <v>OPP-885599 - Base - NE</v>
          </cell>
        </row>
        <row r="2402">
          <cell r="D2402">
            <v>200</v>
          </cell>
          <cell r="E2402">
            <v>1</v>
          </cell>
          <cell r="F2402">
            <v>2</v>
          </cell>
          <cell r="G2402" t="str">
            <v>OPP-885599</v>
          </cell>
          <cell r="H2402" t="str">
            <v>SM-1 Reactor D&amp;D (MS Portion)</v>
          </cell>
          <cell r="I2402" t="str">
            <v>NE</v>
          </cell>
          <cell r="J2402" t="str">
            <v>NE DD and WM Projects</v>
          </cell>
          <cell r="K2402" t="str">
            <v>DOD</v>
          </cell>
          <cell r="L2402" t="str">
            <v>DOD</v>
          </cell>
          <cell r="O2402">
            <v>0</v>
          </cell>
          <cell r="P2402">
            <v>0</v>
          </cell>
          <cell r="Q2402">
            <v>0</v>
          </cell>
          <cell r="R2402">
            <v>0</v>
          </cell>
          <cell r="S2402">
            <v>1</v>
          </cell>
          <cell r="T2402">
            <v>0</v>
          </cell>
          <cell r="U2402" t="str">
            <v>REVTOT</v>
          </cell>
          <cell r="V2402" t="str">
            <v>Identified - Recompete</v>
          </cell>
          <cell r="W2402">
            <v>0</v>
          </cell>
          <cell r="X2402">
            <v>0</v>
          </cell>
          <cell r="Y2402">
            <v>0</v>
          </cell>
          <cell r="Z2402">
            <v>0</v>
          </cell>
          <cell r="AA2402">
            <v>0</v>
          </cell>
          <cell r="AB2402">
            <v>0</v>
          </cell>
          <cell r="AC2402">
            <v>0</v>
          </cell>
          <cell r="AD2402">
            <v>0</v>
          </cell>
          <cell r="BM2402">
            <v>0</v>
          </cell>
          <cell r="BN2402">
            <v>0</v>
          </cell>
          <cell r="BO2402">
            <v>0</v>
          </cell>
          <cell r="BP2402">
            <v>0</v>
          </cell>
          <cell r="BQ2402">
            <v>0</v>
          </cell>
          <cell r="BR2402">
            <v>0</v>
          </cell>
          <cell r="BT2402">
            <v>0</v>
          </cell>
          <cell r="BV2402">
            <v>2</v>
          </cell>
          <cell r="BW2402">
            <v>60</v>
          </cell>
          <cell r="CA2402" t="str">
            <v>OPP-885599 - REVTOT - Identified - Recompete</v>
          </cell>
          <cell r="CC2402" t="str">
            <v>OPP-885599 - REVTOT - Identified - Recompete - NE</v>
          </cell>
          <cell r="CD2402" t="str">
            <v/>
          </cell>
          <cell r="CF2402" t="str">
            <v>OPP-885599 - Identified - Recompete - NE</v>
          </cell>
        </row>
        <row r="2403">
          <cell r="D2403">
            <v>201</v>
          </cell>
          <cell r="E2403">
            <v>1</v>
          </cell>
          <cell r="F2403">
            <v>3</v>
          </cell>
          <cell r="G2403" t="str">
            <v>OPP-885599</v>
          </cell>
          <cell r="H2403" t="str">
            <v>SM-1 Reactor D&amp;D (MS Portion)</v>
          </cell>
          <cell r="I2403" t="str">
            <v>NE</v>
          </cell>
          <cell r="J2403" t="str">
            <v>NE DD and WM Projects</v>
          </cell>
          <cell r="K2403" t="str">
            <v>DOD</v>
          </cell>
          <cell r="L2403" t="str">
            <v>DOD</v>
          </cell>
          <cell r="O2403">
            <v>43982</v>
          </cell>
          <cell r="P2403">
            <v>45808</v>
          </cell>
          <cell r="Q2403" t="str">
            <v>Minority</v>
          </cell>
          <cell r="R2403" t="str">
            <v>Multi</v>
          </cell>
          <cell r="S2403">
            <v>1</v>
          </cell>
          <cell r="T2403">
            <v>0</v>
          </cell>
          <cell r="U2403" t="str">
            <v>REVTOT</v>
          </cell>
          <cell r="V2403" t="str">
            <v>Identified - New</v>
          </cell>
          <cell r="W2403" t="str">
            <v>02 Capture</v>
          </cell>
          <cell r="X2403" t="str">
            <v>Priority 3</v>
          </cell>
          <cell r="Y2403">
            <v>0.35</v>
          </cell>
          <cell r="Z2403">
            <v>22000000</v>
          </cell>
          <cell r="AA2403">
            <v>0</v>
          </cell>
          <cell r="AB2403">
            <v>0</v>
          </cell>
          <cell r="AC2403">
            <v>0</v>
          </cell>
          <cell r="AD2403">
            <v>0</v>
          </cell>
          <cell r="BM2403">
            <v>0</v>
          </cell>
          <cell r="BN2403">
            <v>0</v>
          </cell>
          <cell r="BO2403">
            <v>0</v>
          </cell>
          <cell r="BP2403">
            <v>0</v>
          </cell>
          <cell r="BQ2403">
            <v>0</v>
          </cell>
          <cell r="BR2403">
            <v>0</v>
          </cell>
          <cell r="BT2403">
            <v>0</v>
          </cell>
          <cell r="BV2403">
            <v>38</v>
          </cell>
          <cell r="BW2403">
            <v>60</v>
          </cell>
          <cell r="CA2403" t="str">
            <v>OPP-885599 - REVTOT - Identified - New</v>
          </cell>
          <cell r="CC2403" t="str">
            <v>OPP-885599 - REVTOT - Identified - New - NE</v>
          </cell>
          <cell r="CD2403" t="str">
            <v/>
          </cell>
          <cell r="CF2403" t="str">
            <v>OPP-885599 - Identified - New - NE</v>
          </cell>
        </row>
        <row r="2404">
          <cell r="D2404">
            <v>202</v>
          </cell>
          <cell r="E2404">
            <v>2</v>
          </cell>
          <cell r="F2404">
            <v>4</v>
          </cell>
          <cell r="G2404" t="str">
            <v>OPP-885599</v>
          </cell>
          <cell r="H2404" t="str">
            <v>SM-1 Reactor D&amp;D (MS Portion)</v>
          </cell>
          <cell r="I2404" t="str">
            <v>NE</v>
          </cell>
          <cell r="J2404" t="str">
            <v>NE DD and WM Projects</v>
          </cell>
          <cell r="K2404" t="str">
            <v>DOD</v>
          </cell>
          <cell r="L2404" t="str">
            <v>DOD</v>
          </cell>
          <cell r="O2404">
            <v>0</v>
          </cell>
          <cell r="P2404">
            <v>0</v>
          </cell>
          <cell r="Q2404">
            <v>0</v>
          </cell>
          <cell r="R2404">
            <v>0</v>
          </cell>
          <cell r="S2404">
            <v>1</v>
          </cell>
          <cell r="T2404">
            <v>0</v>
          </cell>
          <cell r="U2404" t="str">
            <v>CONTRACT</v>
          </cell>
          <cell r="V2404" t="str">
            <v>Base</v>
          </cell>
          <cell r="W2404">
            <v>0</v>
          </cell>
          <cell r="X2404">
            <v>0</v>
          </cell>
          <cell r="Y2404">
            <v>0</v>
          </cell>
          <cell r="Z2404">
            <v>0</v>
          </cell>
          <cell r="AA2404">
            <v>0</v>
          </cell>
          <cell r="AB2404">
            <v>0</v>
          </cell>
          <cell r="AC2404">
            <v>0</v>
          </cell>
          <cell r="AD2404">
            <v>0</v>
          </cell>
          <cell r="BF2404">
            <v>0</v>
          </cell>
          <cell r="BG2404">
            <v>0</v>
          </cell>
          <cell r="BH2404">
            <v>0</v>
          </cell>
          <cell r="BI2404">
            <v>0</v>
          </cell>
          <cell r="BJ2404">
            <v>0</v>
          </cell>
          <cell r="BK2404">
            <v>0</v>
          </cell>
          <cell r="BL2404">
            <v>0</v>
          </cell>
          <cell r="BM2404">
            <v>0</v>
          </cell>
          <cell r="BN2404">
            <v>0</v>
          </cell>
          <cell r="BO2404">
            <v>0</v>
          </cell>
          <cell r="BP2404">
            <v>0</v>
          </cell>
          <cell r="BQ2404">
            <v>0</v>
          </cell>
          <cell r="BR2404">
            <v>0</v>
          </cell>
          <cell r="BT2404">
            <v>0</v>
          </cell>
          <cell r="BV2404">
            <v>2</v>
          </cell>
          <cell r="BW2404">
            <v>78</v>
          </cell>
          <cell r="CA2404" t="str">
            <v>OPP-885599 - CONTRACT - Base</v>
          </cell>
          <cell r="CC2404" t="str">
            <v>OPP-885599 - CONTRACT - Base - NE - 2</v>
          </cell>
          <cell r="CD2404" t="str">
            <v/>
          </cell>
          <cell r="CF2404" t="str">
            <v>OPP-885599 - Base - NE</v>
          </cell>
        </row>
        <row r="2405">
          <cell r="D2405">
            <v>203</v>
          </cell>
          <cell r="E2405">
            <v>2</v>
          </cell>
          <cell r="F2405">
            <v>5</v>
          </cell>
          <cell r="G2405" t="str">
            <v>OPP-885599</v>
          </cell>
          <cell r="H2405" t="str">
            <v>SM-1 Reactor D&amp;D (MS Portion)</v>
          </cell>
          <cell r="I2405" t="str">
            <v>NE</v>
          </cell>
          <cell r="J2405" t="str">
            <v>NE DD and WM Projects</v>
          </cell>
          <cell r="K2405" t="str">
            <v>DOD</v>
          </cell>
          <cell r="L2405" t="str">
            <v>DOD</v>
          </cell>
          <cell r="O2405">
            <v>0</v>
          </cell>
          <cell r="P2405">
            <v>0</v>
          </cell>
          <cell r="Q2405">
            <v>0</v>
          </cell>
          <cell r="R2405">
            <v>0</v>
          </cell>
          <cell r="S2405">
            <v>1</v>
          </cell>
          <cell r="T2405">
            <v>0</v>
          </cell>
          <cell r="U2405" t="str">
            <v>CONTRACT</v>
          </cell>
          <cell r="V2405" t="str">
            <v>Identified - Recompete</v>
          </cell>
          <cell r="W2405">
            <v>0</v>
          </cell>
          <cell r="X2405">
            <v>0</v>
          </cell>
          <cell r="Y2405">
            <v>0</v>
          </cell>
          <cell r="Z2405">
            <v>0</v>
          </cell>
          <cell r="AA2405">
            <v>0</v>
          </cell>
          <cell r="AB2405">
            <v>0</v>
          </cell>
          <cell r="AC2405">
            <v>0</v>
          </cell>
          <cell r="AD2405">
            <v>0</v>
          </cell>
          <cell r="BM2405">
            <v>0</v>
          </cell>
          <cell r="BN2405">
            <v>0</v>
          </cell>
          <cell r="BO2405">
            <v>0</v>
          </cell>
          <cell r="BP2405">
            <v>0</v>
          </cell>
          <cell r="BQ2405">
            <v>0</v>
          </cell>
          <cell r="BR2405">
            <v>0</v>
          </cell>
          <cell r="BT2405">
            <v>0</v>
          </cell>
          <cell r="BV2405">
            <v>2</v>
          </cell>
          <cell r="BW2405">
            <v>78</v>
          </cell>
          <cell r="CA2405" t="str">
            <v>OPP-885599 - CONTRACT - Identified - Recompete</v>
          </cell>
          <cell r="CC2405" t="str">
            <v>OPP-885599 - CONTRACT - Identified - Recompete - NE</v>
          </cell>
          <cell r="CD2405" t="str">
            <v/>
          </cell>
          <cell r="CF2405" t="str">
            <v>OPP-885599 - Identified - Recompete - NE</v>
          </cell>
        </row>
        <row r="2406">
          <cell r="D2406">
            <v>204</v>
          </cell>
          <cell r="E2406">
            <v>2</v>
          </cell>
          <cell r="F2406">
            <v>6</v>
          </cell>
          <cell r="G2406" t="str">
            <v>OPP-885599</v>
          </cell>
          <cell r="H2406" t="str">
            <v>SM-1 Reactor D&amp;D (MS Portion)</v>
          </cell>
          <cell r="I2406" t="str">
            <v>NE</v>
          </cell>
          <cell r="J2406" t="str">
            <v>NE DD and WM Projects</v>
          </cell>
          <cell r="K2406" t="str">
            <v>DOD</v>
          </cell>
          <cell r="L2406" t="str">
            <v>DOD</v>
          </cell>
          <cell r="O2406">
            <v>43982</v>
          </cell>
          <cell r="P2406">
            <v>45808</v>
          </cell>
          <cell r="Q2406" t="str">
            <v>Minority</v>
          </cell>
          <cell r="R2406" t="str">
            <v>Multi</v>
          </cell>
          <cell r="S2406">
            <v>1</v>
          </cell>
          <cell r="T2406">
            <v>0</v>
          </cell>
          <cell r="U2406" t="str">
            <v>CONTRACT</v>
          </cell>
          <cell r="V2406" t="str">
            <v>Identified - New</v>
          </cell>
          <cell r="W2406" t="str">
            <v>02 Capture</v>
          </cell>
          <cell r="X2406" t="str">
            <v>Priority 3</v>
          </cell>
          <cell r="Y2406">
            <v>0.35</v>
          </cell>
          <cell r="Z2406">
            <v>22000000</v>
          </cell>
          <cell r="AA2406">
            <v>0</v>
          </cell>
          <cell r="AB2406">
            <v>0</v>
          </cell>
          <cell r="AC2406">
            <v>0</v>
          </cell>
          <cell r="AD2406">
            <v>0</v>
          </cell>
          <cell r="BM2406">
            <v>0</v>
          </cell>
          <cell r="BN2406">
            <v>0</v>
          </cell>
          <cell r="BO2406">
            <v>0</v>
          </cell>
          <cell r="BP2406">
            <v>0</v>
          </cell>
          <cell r="BQ2406">
            <v>0</v>
          </cell>
          <cell r="BR2406">
            <v>0</v>
          </cell>
          <cell r="BT2406">
            <v>0</v>
          </cell>
          <cell r="BV2406">
            <v>38</v>
          </cell>
          <cell r="BW2406">
            <v>78</v>
          </cell>
          <cell r="CA2406" t="str">
            <v>OPP-885599 - CONTRACT - Identified - New</v>
          </cell>
          <cell r="CC2406" t="str">
            <v>OPP-885599 - CONTRACT - Identified - New - NE</v>
          </cell>
          <cell r="CD2406" t="str">
            <v/>
          </cell>
          <cell r="CF2406" t="str">
            <v>OPP-885599 - Identified - New - NE</v>
          </cell>
        </row>
        <row r="2407">
          <cell r="D2407">
            <v>205</v>
          </cell>
          <cell r="E2407">
            <v>0</v>
          </cell>
          <cell r="F2407">
            <v>7</v>
          </cell>
          <cell r="G2407" t="str">
            <v>OPP-885599</v>
          </cell>
          <cell r="H2407" t="str">
            <v>SM-1 Reactor D&amp;D (MS Portion)</v>
          </cell>
          <cell r="I2407" t="str">
            <v>NE</v>
          </cell>
          <cell r="J2407" t="str">
            <v>NE DD and WM Projects</v>
          </cell>
          <cell r="K2407" t="str">
            <v>DOD</v>
          </cell>
          <cell r="L2407" t="str">
            <v>DOD</v>
          </cell>
          <cell r="O2407">
            <v>0</v>
          </cell>
          <cell r="P2407">
            <v>0</v>
          </cell>
          <cell r="Q2407">
            <v>0</v>
          </cell>
          <cell r="R2407">
            <v>0</v>
          </cell>
          <cell r="S2407">
            <v>1</v>
          </cell>
          <cell r="T2407">
            <v>0</v>
          </cell>
          <cell r="U2407" t="str">
            <v>EBITA</v>
          </cell>
          <cell r="V2407" t="str">
            <v>Base</v>
          </cell>
          <cell r="W2407">
            <v>0</v>
          </cell>
          <cell r="X2407">
            <v>0</v>
          </cell>
          <cell r="Y2407">
            <v>0</v>
          </cell>
          <cell r="Z2407">
            <v>0</v>
          </cell>
          <cell r="AA2407">
            <v>0</v>
          </cell>
          <cell r="AB2407">
            <v>0</v>
          </cell>
          <cell r="AC2407">
            <v>0</v>
          </cell>
          <cell r="AD2407">
            <v>0</v>
          </cell>
          <cell r="BF2407">
            <v>0</v>
          </cell>
          <cell r="BG2407">
            <v>0</v>
          </cell>
          <cell r="BH2407">
            <v>0</v>
          </cell>
          <cell r="BI2407">
            <v>0</v>
          </cell>
          <cell r="BJ2407">
            <v>0</v>
          </cell>
          <cell r="BK2407">
            <v>0</v>
          </cell>
          <cell r="BL2407">
            <v>0</v>
          </cell>
          <cell r="BM2407">
            <v>0</v>
          </cell>
          <cell r="BN2407">
            <v>0</v>
          </cell>
          <cell r="BO2407">
            <v>0</v>
          </cell>
          <cell r="BP2407">
            <v>0</v>
          </cell>
          <cell r="BQ2407">
            <v>0</v>
          </cell>
          <cell r="BR2407">
            <v>0</v>
          </cell>
          <cell r="BT2407">
            <v>0</v>
          </cell>
          <cell r="BV2407">
            <v>2</v>
          </cell>
          <cell r="BW2407">
            <v>87</v>
          </cell>
          <cell r="CA2407" t="str">
            <v>OPP-885599 - EBITA - Base</v>
          </cell>
          <cell r="CC2407" t="str">
            <v>OPP-885599 - EBITA - Base - NE</v>
          </cell>
          <cell r="CD2407" t="str">
            <v/>
          </cell>
          <cell r="CF2407" t="str">
            <v>OPP-885599 - Base - NE</v>
          </cell>
        </row>
        <row r="2408">
          <cell r="D2408">
            <v>206</v>
          </cell>
          <cell r="E2408">
            <v>0</v>
          </cell>
          <cell r="F2408">
            <v>8</v>
          </cell>
          <cell r="G2408" t="str">
            <v>OPP-885599</v>
          </cell>
          <cell r="H2408" t="str">
            <v>SM-1 Reactor D&amp;D (MS Portion)</v>
          </cell>
          <cell r="I2408" t="str">
            <v>NE</v>
          </cell>
          <cell r="J2408" t="str">
            <v>NE DD and WM Projects</v>
          </cell>
          <cell r="K2408" t="str">
            <v>DOD</v>
          </cell>
          <cell r="L2408" t="str">
            <v>DOD</v>
          </cell>
          <cell r="O2408">
            <v>0</v>
          </cell>
          <cell r="P2408">
            <v>0</v>
          </cell>
          <cell r="Q2408">
            <v>0</v>
          </cell>
          <cell r="R2408">
            <v>0</v>
          </cell>
          <cell r="S2408">
            <v>1</v>
          </cell>
          <cell r="T2408">
            <v>0</v>
          </cell>
          <cell r="U2408" t="str">
            <v>EBITA</v>
          </cell>
          <cell r="V2408" t="str">
            <v>Identified - Recompete</v>
          </cell>
          <cell r="W2408">
            <v>0</v>
          </cell>
          <cell r="X2408">
            <v>0</v>
          </cell>
          <cell r="Y2408">
            <v>0</v>
          </cell>
          <cell r="Z2408">
            <v>0</v>
          </cell>
          <cell r="AA2408">
            <v>0</v>
          </cell>
          <cell r="AB2408">
            <v>0</v>
          </cell>
          <cell r="AC2408">
            <v>0</v>
          </cell>
          <cell r="AD2408">
            <v>0</v>
          </cell>
          <cell r="BM2408">
            <v>0</v>
          </cell>
          <cell r="BN2408">
            <v>0</v>
          </cell>
          <cell r="BO2408">
            <v>0</v>
          </cell>
          <cell r="BP2408">
            <v>0</v>
          </cell>
          <cell r="BQ2408">
            <v>0</v>
          </cell>
          <cell r="BR2408">
            <v>0</v>
          </cell>
          <cell r="BT2408">
            <v>0</v>
          </cell>
          <cell r="BV2408">
            <v>2</v>
          </cell>
          <cell r="BW2408">
            <v>87</v>
          </cell>
          <cell r="CA2408" t="str">
            <v>OPP-885599 - EBITA - Identified - Recompete</v>
          </cell>
          <cell r="CC2408" t="str">
            <v>OPP-885599 - EBITA - Identified - Recompete - NE</v>
          </cell>
          <cell r="CD2408" t="str">
            <v/>
          </cell>
          <cell r="CF2408" t="str">
            <v>OPP-885599 - Identified - Recompete - NE</v>
          </cell>
        </row>
        <row r="2409">
          <cell r="D2409">
            <v>207</v>
          </cell>
          <cell r="E2409">
            <v>0</v>
          </cell>
          <cell r="F2409">
            <v>0</v>
          </cell>
          <cell r="G2409" t="str">
            <v>OPP-885599</v>
          </cell>
          <cell r="H2409" t="str">
            <v>SM-1 Reactor D&amp;D (MS Portion)</v>
          </cell>
          <cell r="I2409" t="str">
            <v>NE</v>
          </cell>
          <cell r="J2409" t="str">
            <v>NE DD and WM Projects</v>
          </cell>
          <cell r="K2409" t="str">
            <v>DOD</v>
          </cell>
          <cell r="L2409" t="str">
            <v>DOD</v>
          </cell>
          <cell r="O2409">
            <v>43982</v>
          </cell>
          <cell r="P2409">
            <v>45808</v>
          </cell>
          <cell r="Q2409" t="str">
            <v>Minority</v>
          </cell>
          <cell r="R2409" t="str">
            <v>Multi</v>
          </cell>
          <cell r="S2409">
            <v>1</v>
          </cell>
          <cell r="T2409">
            <v>0</v>
          </cell>
          <cell r="U2409" t="str">
            <v>EBITA</v>
          </cell>
          <cell r="V2409" t="str">
            <v>Identified - New</v>
          </cell>
          <cell r="W2409" t="str">
            <v>02 Capture</v>
          </cell>
          <cell r="X2409" t="str">
            <v>Priority 3</v>
          </cell>
          <cell r="Y2409">
            <v>0.35</v>
          </cell>
          <cell r="Z2409">
            <v>22000000</v>
          </cell>
          <cell r="AA2409">
            <v>0</v>
          </cell>
          <cell r="AB2409">
            <v>0</v>
          </cell>
          <cell r="AC2409">
            <v>0</v>
          </cell>
          <cell r="AD2409">
            <v>0</v>
          </cell>
          <cell r="BM2409">
            <v>0</v>
          </cell>
          <cell r="BN2409">
            <v>0</v>
          </cell>
          <cell r="BO2409">
            <v>84186.666666666657</v>
          </cell>
          <cell r="BP2409">
            <v>63140</v>
          </cell>
          <cell r="BQ2409">
            <v>63140</v>
          </cell>
          <cell r="BR2409">
            <v>210466.66666666666</v>
          </cell>
          <cell r="BT2409">
            <v>0</v>
          </cell>
          <cell r="BV2409">
            <v>38</v>
          </cell>
          <cell r="BW2409">
            <v>87</v>
          </cell>
          <cell r="CA2409" t="str">
            <v>OPP-885599 - EBITA - Identified - New</v>
          </cell>
          <cell r="CC2409" t="str">
            <v>OPP-885599 - EBITA - Identified - New - NE</v>
          </cell>
          <cell r="CD2409" t="str">
            <v/>
          </cell>
          <cell r="CF2409" t="str">
            <v>OPP-885599 - Identified - New - NE</v>
          </cell>
        </row>
        <row r="2410">
          <cell r="D2410">
            <v>208</v>
          </cell>
          <cell r="E2410">
            <v>1</v>
          </cell>
          <cell r="F2410">
            <v>1</v>
          </cell>
          <cell r="G2410" t="str">
            <v>OPP-625519</v>
          </cell>
          <cell r="H2410" t="str">
            <v>CNL Chalk River Site Utilities Revitalization Work Package #3 (MS Portion - FY19)</v>
          </cell>
          <cell r="I2410" t="str">
            <v>NE</v>
          </cell>
          <cell r="J2410" t="str">
            <v>NE International Programs</v>
          </cell>
          <cell r="K2410" t="str">
            <v>Other Foreign Gov't</v>
          </cell>
          <cell r="L2410" t="str">
            <v>Non-US Gov't</v>
          </cell>
          <cell r="O2410">
            <v>0</v>
          </cell>
          <cell r="P2410">
            <v>0</v>
          </cell>
          <cell r="Q2410">
            <v>0</v>
          </cell>
          <cell r="R2410">
            <v>0</v>
          </cell>
          <cell r="S2410">
            <v>1</v>
          </cell>
          <cell r="T2410">
            <v>0</v>
          </cell>
          <cell r="U2410" t="str">
            <v>REVTOT</v>
          </cell>
          <cell r="V2410" t="str">
            <v>Base</v>
          </cell>
          <cell r="W2410">
            <v>0</v>
          </cell>
          <cell r="X2410">
            <v>0</v>
          </cell>
          <cell r="Y2410">
            <v>0</v>
          </cell>
          <cell r="Z2410">
            <v>0</v>
          </cell>
          <cell r="AA2410">
            <v>0</v>
          </cell>
          <cell r="AB2410">
            <v>0</v>
          </cell>
          <cell r="AC2410">
            <v>0</v>
          </cell>
          <cell r="AD2410">
            <v>0</v>
          </cell>
          <cell r="BF2410">
            <v>0</v>
          </cell>
          <cell r="BG2410">
            <v>0</v>
          </cell>
          <cell r="BH2410">
            <v>0</v>
          </cell>
          <cell r="BI2410">
            <v>0</v>
          </cell>
          <cell r="BJ2410">
            <v>0</v>
          </cell>
          <cell r="BK2410">
            <v>0</v>
          </cell>
          <cell r="BL2410">
            <v>0</v>
          </cell>
          <cell r="BM2410">
            <v>0</v>
          </cell>
          <cell r="BN2410">
            <v>0</v>
          </cell>
          <cell r="BO2410">
            <v>0</v>
          </cell>
          <cell r="BP2410">
            <v>0</v>
          </cell>
          <cell r="BQ2410">
            <v>0</v>
          </cell>
          <cell r="BR2410">
            <v>0</v>
          </cell>
          <cell r="BT2410">
            <v>0</v>
          </cell>
          <cell r="BV2410">
            <v>2</v>
          </cell>
          <cell r="BW2410">
            <v>60</v>
          </cell>
          <cell r="CA2410" t="str">
            <v>OPP-625519 - REVTOT - Base</v>
          </cell>
          <cell r="CC2410" t="str">
            <v>OPP-625519 - REVTOT - Base - NE</v>
          </cell>
          <cell r="CD2410" t="str">
            <v/>
          </cell>
          <cell r="CF2410" t="str">
            <v>OPP-625519 - Base - NE</v>
          </cell>
        </row>
        <row r="2411">
          <cell r="D2411">
            <v>209</v>
          </cell>
          <cell r="E2411">
            <v>1</v>
          </cell>
          <cell r="F2411">
            <v>2</v>
          </cell>
          <cell r="G2411" t="str">
            <v>OPP-625519</v>
          </cell>
          <cell r="H2411" t="str">
            <v>CNL Chalk River Site Utilities Revitalization Work Package #3 (MS Portion - FY19)</v>
          </cell>
          <cell r="I2411" t="str">
            <v>NE</v>
          </cell>
          <cell r="J2411" t="str">
            <v>NE International Programs</v>
          </cell>
          <cell r="K2411" t="str">
            <v>Other Foreign Gov't</v>
          </cell>
          <cell r="L2411" t="str">
            <v>Non-US Gov't</v>
          </cell>
          <cell r="O2411">
            <v>0</v>
          </cell>
          <cell r="P2411">
            <v>0</v>
          </cell>
          <cell r="Q2411">
            <v>0</v>
          </cell>
          <cell r="R2411">
            <v>0</v>
          </cell>
          <cell r="S2411">
            <v>1</v>
          </cell>
          <cell r="T2411">
            <v>0</v>
          </cell>
          <cell r="U2411" t="str">
            <v>REVTOT</v>
          </cell>
          <cell r="V2411" t="str">
            <v>Identified - Recompete</v>
          </cell>
          <cell r="W2411">
            <v>0</v>
          </cell>
          <cell r="X2411">
            <v>0</v>
          </cell>
          <cell r="Y2411">
            <v>0</v>
          </cell>
          <cell r="Z2411">
            <v>0</v>
          </cell>
          <cell r="AA2411">
            <v>0</v>
          </cell>
          <cell r="AB2411">
            <v>0</v>
          </cell>
          <cell r="AC2411">
            <v>0</v>
          </cell>
          <cell r="AD2411">
            <v>0</v>
          </cell>
          <cell r="BM2411">
            <v>0</v>
          </cell>
          <cell r="BN2411">
            <v>0</v>
          </cell>
          <cell r="BO2411">
            <v>0</v>
          </cell>
          <cell r="BP2411">
            <v>0</v>
          </cell>
          <cell r="BQ2411">
            <v>0</v>
          </cell>
          <cell r="BR2411">
            <v>0</v>
          </cell>
          <cell r="BT2411">
            <v>0</v>
          </cell>
          <cell r="BV2411">
            <v>2</v>
          </cell>
          <cell r="BW2411">
            <v>60</v>
          </cell>
          <cell r="CA2411" t="str">
            <v>OPP-625519 - REVTOT - Identified - Recompete</v>
          </cell>
          <cell r="CC2411" t="str">
            <v>OPP-625519 - REVTOT - Identified - Recompete - NE</v>
          </cell>
          <cell r="CD2411" t="str">
            <v/>
          </cell>
          <cell r="CF2411" t="str">
            <v>OPP-625519 - Identified - Recompete - NE</v>
          </cell>
        </row>
        <row r="2412">
          <cell r="D2412">
            <v>210</v>
          </cell>
          <cell r="E2412">
            <v>1</v>
          </cell>
          <cell r="F2412">
            <v>3</v>
          </cell>
          <cell r="G2412" t="str">
            <v>OPP-625519</v>
          </cell>
          <cell r="H2412" t="str">
            <v>CNL Chalk River Site Utilities Revitalization Work Package #3 (MS Portion - FY19)</v>
          </cell>
          <cell r="I2412" t="str">
            <v>NE</v>
          </cell>
          <cell r="J2412" t="str">
            <v>NE International Programs</v>
          </cell>
          <cell r="K2412" t="str">
            <v>Other Foreign Gov't</v>
          </cell>
          <cell r="L2412" t="str">
            <v>Non-US Gov't</v>
          </cell>
          <cell r="O2412">
            <v>43921</v>
          </cell>
          <cell r="P2412">
            <v>45747</v>
          </cell>
          <cell r="Q2412" t="str">
            <v>Minority</v>
          </cell>
          <cell r="R2412" t="str">
            <v>Cost Plus</v>
          </cell>
          <cell r="S2412">
            <v>1</v>
          </cell>
          <cell r="T2412">
            <v>0</v>
          </cell>
          <cell r="U2412" t="str">
            <v>REVTOT</v>
          </cell>
          <cell r="V2412" t="str">
            <v>Identified - New</v>
          </cell>
          <cell r="W2412" t="str">
            <v>02 Capture</v>
          </cell>
          <cell r="X2412" t="str">
            <v>Priority 3</v>
          </cell>
          <cell r="Y2412">
            <v>0.4</v>
          </cell>
          <cell r="Z2412">
            <v>558600.20089999994</v>
          </cell>
          <cell r="AA2412">
            <v>0</v>
          </cell>
          <cell r="AB2412">
            <v>0</v>
          </cell>
          <cell r="AC2412">
            <v>0</v>
          </cell>
          <cell r="AD2412">
            <v>0</v>
          </cell>
          <cell r="BM2412">
            <v>0</v>
          </cell>
          <cell r="BN2412">
            <v>0</v>
          </cell>
          <cell r="BO2412">
            <v>0</v>
          </cell>
          <cell r="BP2412">
            <v>0</v>
          </cell>
          <cell r="BQ2412">
            <v>0</v>
          </cell>
          <cell r="BR2412">
            <v>0</v>
          </cell>
          <cell r="BT2412">
            <v>0</v>
          </cell>
          <cell r="BV2412">
            <v>39</v>
          </cell>
          <cell r="BW2412">
            <v>60</v>
          </cell>
          <cell r="CA2412" t="str">
            <v>OPP-625519 - REVTOT - Identified - New</v>
          </cell>
          <cell r="CC2412" t="str">
            <v>OPP-625519 - REVTOT - Identified - New - NE</v>
          </cell>
          <cell r="CD2412" t="str">
            <v/>
          </cell>
          <cell r="CF2412" t="str">
            <v>OPP-625519 - Identified - New - NE</v>
          </cell>
        </row>
        <row r="2413">
          <cell r="D2413">
            <v>211</v>
          </cell>
          <cell r="E2413">
            <v>2</v>
          </cell>
          <cell r="F2413">
            <v>4</v>
          </cell>
          <cell r="G2413" t="str">
            <v>OPP-625519</v>
          </cell>
          <cell r="H2413" t="str">
            <v>CNL Chalk River Site Utilities Revitalization Work Package #3 (MS Portion - FY19)</v>
          </cell>
          <cell r="I2413" t="str">
            <v>NE</v>
          </cell>
          <cell r="J2413" t="str">
            <v>NE International Programs</v>
          </cell>
          <cell r="K2413" t="str">
            <v>Other Foreign Gov't</v>
          </cell>
          <cell r="L2413" t="str">
            <v>Non-US Gov't</v>
          </cell>
          <cell r="O2413">
            <v>0</v>
          </cell>
          <cell r="P2413">
            <v>0</v>
          </cell>
          <cell r="Q2413">
            <v>0</v>
          </cell>
          <cell r="R2413">
            <v>0</v>
          </cell>
          <cell r="S2413">
            <v>1</v>
          </cell>
          <cell r="T2413">
            <v>0</v>
          </cell>
          <cell r="U2413" t="str">
            <v>CONTRACT</v>
          </cell>
          <cell r="V2413" t="str">
            <v>Base</v>
          </cell>
          <cell r="W2413">
            <v>0</v>
          </cell>
          <cell r="X2413">
            <v>0</v>
          </cell>
          <cell r="Y2413">
            <v>0</v>
          </cell>
          <cell r="Z2413">
            <v>0</v>
          </cell>
          <cell r="AA2413">
            <v>0</v>
          </cell>
          <cell r="AB2413">
            <v>0</v>
          </cell>
          <cell r="AC2413">
            <v>0</v>
          </cell>
          <cell r="AD2413">
            <v>0</v>
          </cell>
          <cell r="BF2413">
            <v>0</v>
          </cell>
          <cell r="BG2413">
            <v>0</v>
          </cell>
          <cell r="BH2413">
            <v>0</v>
          </cell>
          <cell r="BI2413">
            <v>0</v>
          </cell>
          <cell r="BJ2413">
            <v>0</v>
          </cell>
          <cell r="BK2413">
            <v>0</v>
          </cell>
          <cell r="BL2413">
            <v>0</v>
          </cell>
          <cell r="BM2413">
            <v>0</v>
          </cell>
          <cell r="BN2413">
            <v>0</v>
          </cell>
          <cell r="BO2413">
            <v>0</v>
          </cell>
          <cell r="BP2413">
            <v>0</v>
          </cell>
          <cell r="BQ2413">
            <v>0</v>
          </cell>
          <cell r="BR2413">
            <v>0</v>
          </cell>
          <cell r="BT2413">
            <v>0</v>
          </cell>
          <cell r="BV2413">
            <v>2</v>
          </cell>
          <cell r="BW2413">
            <v>78</v>
          </cell>
          <cell r="CA2413" t="str">
            <v>OPP-625519 - CONTRACT - Base</v>
          </cell>
          <cell r="CC2413" t="str">
            <v>OPP-625519 - CONTRACT - Base - NE - 2</v>
          </cell>
          <cell r="CD2413" t="str">
            <v/>
          </cell>
          <cell r="CF2413" t="str">
            <v>OPP-625519 - Base - NE</v>
          </cell>
        </row>
        <row r="2414">
          <cell r="D2414">
            <v>212</v>
          </cell>
          <cell r="E2414">
            <v>2</v>
          </cell>
          <cell r="F2414">
            <v>5</v>
          </cell>
          <cell r="G2414" t="str">
            <v>OPP-625519</v>
          </cell>
          <cell r="H2414" t="str">
            <v>CNL Chalk River Site Utilities Revitalization Work Package #3 (MS Portion - FY19)</v>
          </cell>
          <cell r="I2414" t="str">
            <v>NE</v>
          </cell>
          <cell r="J2414" t="str">
            <v>NE International Programs</v>
          </cell>
          <cell r="K2414" t="str">
            <v>Other Foreign Gov't</v>
          </cell>
          <cell r="L2414" t="str">
            <v>Non-US Gov't</v>
          </cell>
          <cell r="O2414">
            <v>0</v>
          </cell>
          <cell r="P2414">
            <v>0</v>
          </cell>
          <cell r="Q2414">
            <v>0</v>
          </cell>
          <cell r="R2414">
            <v>0</v>
          </cell>
          <cell r="S2414">
            <v>1</v>
          </cell>
          <cell r="T2414">
            <v>0</v>
          </cell>
          <cell r="U2414" t="str">
            <v>CONTRACT</v>
          </cell>
          <cell r="V2414" t="str">
            <v>Identified - Recompete</v>
          </cell>
          <cell r="W2414">
            <v>0</v>
          </cell>
          <cell r="X2414">
            <v>0</v>
          </cell>
          <cell r="Y2414">
            <v>0</v>
          </cell>
          <cell r="Z2414">
            <v>0</v>
          </cell>
          <cell r="AA2414">
            <v>0</v>
          </cell>
          <cell r="AB2414">
            <v>0</v>
          </cell>
          <cell r="AC2414">
            <v>0</v>
          </cell>
          <cell r="AD2414">
            <v>0</v>
          </cell>
          <cell r="BM2414">
            <v>0</v>
          </cell>
          <cell r="BN2414">
            <v>0</v>
          </cell>
          <cell r="BO2414">
            <v>0</v>
          </cell>
          <cell r="BP2414">
            <v>0</v>
          </cell>
          <cell r="BQ2414">
            <v>0</v>
          </cell>
          <cell r="BR2414">
            <v>0</v>
          </cell>
          <cell r="BT2414">
            <v>0</v>
          </cell>
          <cell r="BV2414">
            <v>2</v>
          </cell>
          <cell r="BW2414">
            <v>78</v>
          </cell>
          <cell r="CA2414" t="str">
            <v>OPP-625519 - CONTRACT - Identified - Recompete</v>
          </cell>
          <cell r="CC2414" t="str">
            <v>OPP-625519 - CONTRACT - Identified - Recompete - NE</v>
          </cell>
          <cell r="CD2414" t="str">
            <v/>
          </cell>
          <cell r="CF2414" t="str">
            <v>OPP-625519 - Identified - Recompete - NE</v>
          </cell>
        </row>
        <row r="2415">
          <cell r="D2415">
            <v>213</v>
          </cell>
          <cell r="E2415">
            <v>2</v>
          </cell>
          <cell r="F2415">
            <v>6</v>
          </cell>
          <cell r="G2415" t="str">
            <v>OPP-625519</v>
          </cell>
          <cell r="H2415" t="str">
            <v>CNL Chalk River Site Utilities Revitalization Work Package #3 (MS Portion - FY19)</v>
          </cell>
          <cell r="I2415" t="str">
            <v>NE</v>
          </cell>
          <cell r="J2415" t="str">
            <v>NE International Programs</v>
          </cell>
          <cell r="K2415" t="str">
            <v>Other Foreign Gov't</v>
          </cell>
          <cell r="L2415" t="str">
            <v>Non-US Gov't</v>
          </cell>
          <cell r="O2415">
            <v>43921</v>
          </cell>
          <cell r="P2415">
            <v>45747</v>
          </cell>
          <cell r="Q2415" t="str">
            <v>Minority</v>
          </cell>
          <cell r="R2415" t="str">
            <v>Cost Plus</v>
          </cell>
          <cell r="S2415">
            <v>1</v>
          </cell>
          <cell r="T2415">
            <v>0</v>
          </cell>
          <cell r="U2415" t="str">
            <v>CONTRACT</v>
          </cell>
          <cell r="V2415" t="str">
            <v>Identified - New</v>
          </cell>
          <cell r="W2415" t="str">
            <v>02 Capture</v>
          </cell>
          <cell r="X2415" t="str">
            <v>Priority 3</v>
          </cell>
          <cell r="Y2415">
            <v>0.4</v>
          </cell>
          <cell r="Z2415">
            <v>558600.20089999994</v>
          </cell>
          <cell r="AA2415">
            <v>0</v>
          </cell>
          <cell r="AB2415">
            <v>0</v>
          </cell>
          <cell r="AC2415">
            <v>0</v>
          </cell>
          <cell r="AD2415">
            <v>0</v>
          </cell>
          <cell r="BM2415">
            <v>0</v>
          </cell>
          <cell r="BN2415">
            <v>0</v>
          </cell>
          <cell r="BO2415">
            <v>0</v>
          </cell>
          <cell r="BP2415">
            <v>0</v>
          </cell>
          <cell r="BQ2415">
            <v>0</v>
          </cell>
          <cell r="BR2415">
            <v>0</v>
          </cell>
          <cell r="BT2415">
            <v>0</v>
          </cell>
          <cell r="BV2415">
            <v>39</v>
          </cell>
          <cell r="BW2415">
            <v>78</v>
          </cell>
          <cell r="CA2415" t="str">
            <v>OPP-625519 - CONTRACT - Identified - New</v>
          </cell>
          <cell r="CC2415" t="str">
            <v>OPP-625519 - CONTRACT - Identified - New - NE</v>
          </cell>
          <cell r="CD2415" t="str">
            <v/>
          </cell>
          <cell r="CF2415" t="str">
            <v>OPP-625519 - Identified - New - NE</v>
          </cell>
        </row>
        <row r="2416">
          <cell r="D2416">
            <v>214</v>
          </cell>
          <cell r="E2416">
            <v>0</v>
          </cell>
          <cell r="F2416">
            <v>7</v>
          </cell>
          <cell r="G2416" t="str">
            <v>OPP-625519</v>
          </cell>
          <cell r="H2416" t="str">
            <v>CNL Chalk River Site Utilities Revitalization Work Package #3 (MS Portion - FY19)</v>
          </cell>
          <cell r="I2416" t="str">
            <v>NE</v>
          </cell>
          <cell r="J2416" t="str">
            <v>NE International Programs</v>
          </cell>
          <cell r="K2416" t="str">
            <v>Other Foreign Gov't</v>
          </cell>
          <cell r="L2416" t="str">
            <v>Non-US Gov't</v>
          </cell>
          <cell r="O2416">
            <v>0</v>
          </cell>
          <cell r="P2416">
            <v>0</v>
          </cell>
          <cell r="Q2416">
            <v>0</v>
          </cell>
          <cell r="R2416">
            <v>0</v>
          </cell>
          <cell r="S2416">
            <v>1</v>
          </cell>
          <cell r="T2416">
            <v>0</v>
          </cell>
          <cell r="U2416" t="str">
            <v>EBITA</v>
          </cell>
          <cell r="V2416" t="str">
            <v>Base</v>
          </cell>
          <cell r="W2416">
            <v>0</v>
          </cell>
          <cell r="X2416">
            <v>0</v>
          </cell>
          <cell r="Y2416">
            <v>0</v>
          </cell>
          <cell r="Z2416">
            <v>0</v>
          </cell>
          <cell r="AA2416">
            <v>0</v>
          </cell>
          <cell r="AB2416">
            <v>0</v>
          </cell>
          <cell r="AC2416">
            <v>0</v>
          </cell>
          <cell r="AD2416">
            <v>0</v>
          </cell>
          <cell r="BF2416">
            <v>0</v>
          </cell>
          <cell r="BG2416">
            <v>0</v>
          </cell>
          <cell r="BH2416">
            <v>0</v>
          </cell>
          <cell r="BI2416">
            <v>0</v>
          </cell>
          <cell r="BJ2416">
            <v>0</v>
          </cell>
          <cell r="BK2416">
            <v>0</v>
          </cell>
          <cell r="BL2416">
            <v>0</v>
          </cell>
          <cell r="BM2416">
            <v>0</v>
          </cell>
          <cell r="BN2416">
            <v>0</v>
          </cell>
          <cell r="BO2416">
            <v>0</v>
          </cell>
          <cell r="BP2416">
            <v>0</v>
          </cell>
          <cell r="BQ2416">
            <v>0</v>
          </cell>
          <cell r="BR2416">
            <v>0</v>
          </cell>
          <cell r="BT2416">
            <v>0</v>
          </cell>
          <cell r="BV2416">
            <v>2</v>
          </cell>
          <cell r="BW2416">
            <v>87</v>
          </cell>
          <cell r="CA2416" t="str">
            <v>OPP-625519 - EBITA - Base</v>
          </cell>
          <cell r="CC2416" t="str">
            <v>OPP-625519 - EBITA - Base - NE</v>
          </cell>
          <cell r="CD2416" t="str">
            <v/>
          </cell>
          <cell r="CF2416" t="str">
            <v>OPP-625519 - Base - NE</v>
          </cell>
        </row>
        <row r="2417">
          <cell r="D2417">
            <v>215</v>
          </cell>
          <cell r="E2417">
            <v>0</v>
          </cell>
          <cell r="F2417">
            <v>8</v>
          </cell>
          <cell r="G2417" t="str">
            <v>OPP-625519</v>
          </cell>
          <cell r="H2417" t="str">
            <v>CNL Chalk River Site Utilities Revitalization Work Package #3 (MS Portion - FY19)</v>
          </cell>
          <cell r="I2417" t="str">
            <v>NE</v>
          </cell>
          <cell r="J2417" t="str">
            <v>NE International Programs</v>
          </cell>
          <cell r="K2417" t="str">
            <v>Other Foreign Gov't</v>
          </cell>
          <cell r="L2417" t="str">
            <v>Non-US Gov't</v>
          </cell>
          <cell r="O2417">
            <v>0</v>
          </cell>
          <cell r="P2417">
            <v>0</v>
          </cell>
          <cell r="Q2417">
            <v>0</v>
          </cell>
          <cell r="R2417">
            <v>0</v>
          </cell>
          <cell r="S2417">
            <v>1</v>
          </cell>
          <cell r="T2417">
            <v>0</v>
          </cell>
          <cell r="U2417" t="str">
            <v>EBITA</v>
          </cell>
          <cell r="V2417" t="str">
            <v>Identified - Recompete</v>
          </cell>
          <cell r="W2417">
            <v>0</v>
          </cell>
          <cell r="X2417">
            <v>0</v>
          </cell>
          <cell r="Y2417">
            <v>0</v>
          </cell>
          <cell r="Z2417">
            <v>0</v>
          </cell>
          <cell r="AA2417">
            <v>0</v>
          </cell>
          <cell r="AB2417">
            <v>0</v>
          </cell>
          <cell r="AC2417">
            <v>0</v>
          </cell>
          <cell r="AD2417">
            <v>0</v>
          </cell>
          <cell r="BM2417">
            <v>0</v>
          </cell>
          <cell r="BN2417">
            <v>0</v>
          </cell>
          <cell r="BO2417">
            <v>0</v>
          </cell>
          <cell r="BP2417">
            <v>0</v>
          </cell>
          <cell r="BQ2417">
            <v>0</v>
          </cell>
          <cell r="BR2417">
            <v>0</v>
          </cell>
          <cell r="BT2417">
            <v>0</v>
          </cell>
          <cell r="BV2417">
            <v>2</v>
          </cell>
          <cell r="BW2417">
            <v>87</v>
          </cell>
          <cell r="CA2417" t="str">
            <v>OPP-625519 - EBITA - Identified - Recompete</v>
          </cell>
          <cell r="CC2417" t="str">
            <v>OPP-625519 - EBITA - Identified - Recompete - NE</v>
          </cell>
          <cell r="CD2417" t="str">
            <v/>
          </cell>
          <cell r="CF2417" t="str">
            <v>OPP-625519 - Identified - Recompete - NE</v>
          </cell>
        </row>
        <row r="2418">
          <cell r="D2418">
            <v>216</v>
          </cell>
          <cell r="E2418">
            <v>0</v>
          </cell>
          <cell r="F2418">
            <v>0</v>
          </cell>
          <cell r="G2418" t="str">
            <v>OPP-625519</v>
          </cell>
          <cell r="H2418" t="str">
            <v>CNL Chalk River Site Utilities Revitalization Work Package #3 (MS Portion - FY19)</v>
          </cell>
          <cell r="I2418" t="str">
            <v>NE</v>
          </cell>
          <cell r="J2418" t="str">
            <v>NE International Programs</v>
          </cell>
          <cell r="K2418" t="str">
            <v>Other Foreign Gov't</v>
          </cell>
          <cell r="L2418" t="str">
            <v>Non-US Gov't</v>
          </cell>
          <cell r="O2418">
            <v>43921</v>
          </cell>
          <cell r="P2418">
            <v>45747</v>
          </cell>
          <cell r="Q2418" t="str">
            <v>Minority</v>
          </cell>
          <cell r="R2418" t="str">
            <v>Cost Plus</v>
          </cell>
          <cell r="S2418">
            <v>1</v>
          </cell>
          <cell r="T2418">
            <v>0</v>
          </cell>
          <cell r="U2418" t="str">
            <v>EBITA</v>
          </cell>
          <cell r="V2418" t="str">
            <v>Identified - New</v>
          </cell>
          <cell r="W2418" t="str">
            <v>02 Capture</v>
          </cell>
          <cell r="X2418" t="str">
            <v>Priority 3</v>
          </cell>
          <cell r="Y2418">
            <v>0.4</v>
          </cell>
          <cell r="Z2418">
            <v>558600.20089999994</v>
          </cell>
          <cell r="AA2418">
            <v>0</v>
          </cell>
          <cell r="AB2418">
            <v>0</v>
          </cell>
          <cell r="AC2418">
            <v>0</v>
          </cell>
          <cell r="AD2418">
            <v>0</v>
          </cell>
          <cell r="BM2418">
            <v>0</v>
          </cell>
          <cell r="BN2418">
            <v>916.10432947599998</v>
          </cell>
          <cell r="BO2418">
            <v>1832.208658952</v>
          </cell>
          <cell r="BP2418">
            <v>1832.208658952</v>
          </cell>
          <cell r="BQ2418">
            <v>1832.208658952</v>
          </cell>
          <cell r="BR2418">
            <v>6412.7303063319996</v>
          </cell>
          <cell r="BT2418">
            <v>0</v>
          </cell>
          <cell r="BV2418">
            <v>39</v>
          </cell>
          <cell r="BW2418">
            <v>87</v>
          </cell>
          <cell r="CA2418" t="str">
            <v>OPP-625519 - EBITA - Identified - New</v>
          </cell>
          <cell r="CC2418" t="str">
            <v>OPP-625519 - EBITA - Identified - New - NE</v>
          </cell>
          <cell r="CD2418" t="str">
            <v/>
          </cell>
          <cell r="CF2418" t="str">
            <v>OPP-625519 - Identified - New - NE</v>
          </cell>
        </row>
        <row r="2419">
          <cell r="D2419">
            <v>217</v>
          </cell>
          <cell r="E2419">
            <v>1</v>
          </cell>
          <cell r="F2419">
            <v>1</v>
          </cell>
          <cell r="G2419" t="str">
            <v>OPP-900972</v>
          </cell>
          <cell r="H2419" t="str">
            <v>Submarine D&amp;D</v>
          </cell>
          <cell r="I2419" t="str">
            <v>NE</v>
          </cell>
          <cell r="J2419" t="str">
            <v>NE International Programs</v>
          </cell>
          <cell r="K2419" t="str">
            <v>Other Foreign Gov't</v>
          </cell>
          <cell r="L2419" t="str">
            <v>Non-US Gov't</v>
          </cell>
          <cell r="O2419">
            <v>0</v>
          </cell>
          <cell r="P2419">
            <v>0</v>
          </cell>
          <cell r="Q2419">
            <v>0</v>
          </cell>
          <cell r="R2419">
            <v>0</v>
          </cell>
          <cell r="S2419">
            <v>1</v>
          </cell>
          <cell r="T2419">
            <v>0</v>
          </cell>
          <cell r="U2419" t="str">
            <v>REVTOT</v>
          </cell>
          <cell r="V2419" t="str">
            <v>Base</v>
          </cell>
          <cell r="W2419">
            <v>0</v>
          </cell>
          <cell r="X2419">
            <v>0</v>
          </cell>
          <cell r="Y2419">
            <v>0</v>
          </cell>
          <cell r="Z2419">
            <v>0</v>
          </cell>
          <cell r="AA2419">
            <v>0</v>
          </cell>
          <cell r="AB2419">
            <v>0</v>
          </cell>
          <cell r="AC2419">
            <v>0</v>
          </cell>
          <cell r="AD2419">
            <v>0</v>
          </cell>
          <cell r="BF2419">
            <v>0</v>
          </cell>
          <cell r="BG2419">
            <v>0</v>
          </cell>
          <cell r="BH2419">
            <v>0</v>
          </cell>
          <cell r="BI2419">
            <v>0</v>
          </cell>
          <cell r="BJ2419">
            <v>0</v>
          </cell>
          <cell r="BK2419">
            <v>0</v>
          </cell>
          <cell r="BL2419">
            <v>0</v>
          </cell>
          <cell r="BM2419">
            <v>0</v>
          </cell>
          <cell r="BN2419">
            <v>0</v>
          </cell>
          <cell r="BO2419">
            <v>0</v>
          </cell>
          <cell r="BP2419">
            <v>0</v>
          </cell>
          <cell r="BQ2419">
            <v>0</v>
          </cell>
          <cell r="BR2419">
            <v>0</v>
          </cell>
          <cell r="BT2419">
            <v>0</v>
          </cell>
          <cell r="BV2419">
            <v>2</v>
          </cell>
          <cell r="BW2419">
            <v>60</v>
          </cell>
          <cell r="CA2419" t="str">
            <v>OPP-900972 - REVTOT - Base</v>
          </cell>
          <cell r="CC2419" t="str">
            <v>OPP-900972 - REVTOT - Base - NE</v>
          </cell>
          <cell r="CD2419" t="str">
            <v/>
          </cell>
          <cell r="CF2419" t="str">
            <v>OPP-900972 - Base - NE</v>
          </cell>
        </row>
        <row r="2420">
          <cell r="D2420">
            <v>218</v>
          </cell>
          <cell r="E2420">
            <v>1</v>
          </cell>
          <cell r="F2420">
            <v>2</v>
          </cell>
          <cell r="G2420" t="str">
            <v>OPP-900972</v>
          </cell>
          <cell r="H2420" t="str">
            <v>Submarine D&amp;D</v>
          </cell>
          <cell r="I2420" t="str">
            <v>NE</v>
          </cell>
          <cell r="J2420" t="str">
            <v>NE International Programs</v>
          </cell>
          <cell r="K2420" t="str">
            <v>Other Foreign Gov't</v>
          </cell>
          <cell r="L2420" t="str">
            <v>Non-US Gov't</v>
          </cell>
          <cell r="O2420">
            <v>0</v>
          </cell>
          <cell r="P2420">
            <v>0</v>
          </cell>
          <cell r="Q2420">
            <v>0</v>
          </cell>
          <cell r="R2420">
            <v>0</v>
          </cell>
          <cell r="S2420">
            <v>1</v>
          </cell>
          <cell r="T2420">
            <v>0</v>
          </cell>
          <cell r="U2420" t="str">
            <v>REVTOT</v>
          </cell>
          <cell r="V2420" t="str">
            <v>Identified - Recompete</v>
          </cell>
          <cell r="W2420">
            <v>0</v>
          </cell>
          <cell r="X2420">
            <v>0</v>
          </cell>
          <cell r="Y2420">
            <v>0</v>
          </cell>
          <cell r="Z2420">
            <v>0</v>
          </cell>
          <cell r="AA2420">
            <v>0</v>
          </cell>
          <cell r="AB2420">
            <v>0</v>
          </cell>
          <cell r="AC2420">
            <v>0</v>
          </cell>
          <cell r="AD2420">
            <v>0</v>
          </cell>
          <cell r="BM2420">
            <v>0</v>
          </cell>
          <cell r="BN2420">
            <v>0</v>
          </cell>
          <cell r="BO2420">
            <v>0</v>
          </cell>
          <cell r="BP2420">
            <v>0</v>
          </cell>
          <cell r="BQ2420">
            <v>0</v>
          </cell>
          <cell r="BR2420">
            <v>0</v>
          </cell>
          <cell r="BT2420">
            <v>0</v>
          </cell>
          <cell r="BV2420">
            <v>2</v>
          </cell>
          <cell r="BW2420">
            <v>60</v>
          </cell>
          <cell r="CA2420" t="str">
            <v>OPP-900972 - REVTOT - Identified - Recompete</v>
          </cell>
          <cell r="CC2420" t="str">
            <v>OPP-900972 - REVTOT - Identified - Recompete - NE</v>
          </cell>
          <cell r="CD2420" t="str">
            <v/>
          </cell>
          <cell r="CF2420" t="str">
            <v>OPP-900972 - Identified - Recompete - NE</v>
          </cell>
        </row>
        <row r="2421">
          <cell r="D2421">
            <v>219</v>
          </cell>
          <cell r="E2421">
            <v>1</v>
          </cell>
          <cell r="F2421">
            <v>3</v>
          </cell>
          <cell r="G2421" t="str">
            <v>OPP-900972</v>
          </cell>
          <cell r="H2421" t="str">
            <v>Submarine D&amp;D</v>
          </cell>
          <cell r="I2421" t="str">
            <v>NE</v>
          </cell>
          <cell r="J2421" t="str">
            <v>NE International Programs</v>
          </cell>
          <cell r="K2421" t="str">
            <v>Other Foreign Gov't</v>
          </cell>
          <cell r="L2421" t="str">
            <v>Non-US Gov't</v>
          </cell>
          <cell r="O2421">
            <v>44387</v>
          </cell>
          <cell r="P2421">
            <v>46213</v>
          </cell>
          <cell r="Q2421" t="str">
            <v>Minority</v>
          </cell>
          <cell r="R2421" t="str">
            <v>Cost Plus Incentive Fee</v>
          </cell>
          <cell r="S2421">
            <v>1</v>
          </cell>
          <cell r="T2421">
            <v>0</v>
          </cell>
          <cell r="U2421" t="str">
            <v>REVTOT</v>
          </cell>
          <cell r="V2421" t="str">
            <v>Identified - New</v>
          </cell>
          <cell r="W2421" t="str">
            <v>01 Prospect</v>
          </cell>
          <cell r="X2421" t="str">
            <v>Priority 1</v>
          </cell>
          <cell r="Y2421">
            <v>0.25</v>
          </cell>
          <cell r="Z2421">
            <v>97141200</v>
          </cell>
          <cell r="AA2421">
            <v>0</v>
          </cell>
          <cell r="AB2421">
            <v>0</v>
          </cell>
          <cell r="AC2421">
            <v>0</v>
          </cell>
          <cell r="AD2421">
            <v>0</v>
          </cell>
          <cell r="BM2421">
            <v>0</v>
          </cell>
          <cell r="BN2421">
            <v>0</v>
          </cell>
          <cell r="BO2421">
            <v>0</v>
          </cell>
          <cell r="BP2421">
            <v>0</v>
          </cell>
          <cell r="BQ2421">
            <v>0</v>
          </cell>
          <cell r="BR2421">
            <v>0</v>
          </cell>
          <cell r="BT2421">
            <v>0</v>
          </cell>
          <cell r="BV2421">
            <v>40</v>
          </cell>
          <cell r="BW2421">
            <v>60</v>
          </cell>
          <cell r="CA2421" t="str">
            <v>OPP-900972 - REVTOT - Identified - New</v>
          </cell>
          <cell r="CC2421" t="str">
            <v>OPP-900972 - REVTOT - Identified - New - NE</v>
          </cell>
          <cell r="CD2421" t="str">
            <v/>
          </cell>
          <cell r="CF2421" t="str">
            <v>OPP-900972 - Identified - New - NE</v>
          </cell>
        </row>
        <row r="2422">
          <cell r="D2422">
            <v>220</v>
          </cell>
          <cell r="E2422">
            <v>2</v>
          </cell>
          <cell r="F2422">
            <v>4</v>
          </cell>
          <cell r="G2422" t="str">
            <v>OPP-900972</v>
          </cell>
          <cell r="H2422" t="str">
            <v>Submarine D&amp;D</v>
          </cell>
          <cell r="I2422" t="str">
            <v>NE</v>
          </cell>
          <cell r="J2422" t="str">
            <v>NE International Programs</v>
          </cell>
          <cell r="K2422" t="str">
            <v>Other Foreign Gov't</v>
          </cell>
          <cell r="L2422" t="str">
            <v>Non-US Gov't</v>
          </cell>
          <cell r="O2422">
            <v>0</v>
          </cell>
          <cell r="P2422">
            <v>0</v>
          </cell>
          <cell r="Q2422">
            <v>0</v>
          </cell>
          <cell r="R2422">
            <v>0</v>
          </cell>
          <cell r="S2422">
            <v>1</v>
          </cell>
          <cell r="T2422">
            <v>0</v>
          </cell>
          <cell r="U2422" t="str">
            <v>CONTRACT</v>
          </cell>
          <cell r="V2422" t="str">
            <v>Base</v>
          </cell>
          <cell r="W2422">
            <v>0</v>
          </cell>
          <cell r="X2422">
            <v>0</v>
          </cell>
          <cell r="Y2422">
            <v>0</v>
          </cell>
          <cell r="Z2422">
            <v>0</v>
          </cell>
          <cell r="AA2422">
            <v>0</v>
          </cell>
          <cell r="AB2422">
            <v>0</v>
          </cell>
          <cell r="AC2422">
            <v>0</v>
          </cell>
          <cell r="AD2422">
            <v>0</v>
          </cell>
          <cell r="BF2422">
            <v>0</v>
          </cell>
          <cell r="BG2422">
            <v>0</v>
          </cell>
          <cell r="BH2422">
            <v>0</v>
          </cell>
          <cell r="BI2422">
            <v>0</v>
          </cell>
          <cell r="BJ2422">
            <v>0</v>
          </cell>
          <cell r="BK2422">
            <v>0</v>
          </cell>
          <cell r="BL2422">
            <v>0</v>
          </cell>
          <cell r="BM2422">
            <v>0</v>
          </cell>
          <cell r="BN2422">
            <v>0</v>
          </cell>
          <cell r="BO2422">
            <v>0</v>
          </cell>
          <cell r="BP2422">
            <v>0</v>
          </cell>
          <cell r="BQ2422">
            <v>0</v>
          </cell>
          <cell r="BR2422">
            <v>0</v>
          </cell>
          <cell r="BT2422">
            <v>0</v>
          </cell>
          <cell r="BV2422">
            <v>2</v>
          </cell>
          <cell r="BW2422">
            <v>78</v>
          </cell>
          <cell r="CA2422" t="str">
            <v>OPP-900972 - CONTRACT - Base</v>
          </cell>
          <cell r="CC2422" t="str">
            <v>OPP-900972 - CONTRACT - Base - NE - 2</v>
          </cell>
          <cell r="CD2422" t="str">
            <v/>
          </cell>
          <cell r="CF2422" t="str">
            <v>OPP-900972 - Base - NE</v>
          </cell>
        </row>
        <row r="2423">
          <cell r="D2423">
            <v>221</v>
          </cell>
          <cell r="E2423">
            <v>2</v>
          </cell>
          <cell r="F2423">
            <v>5</v>
          </cell>
          <cell r="G2423" t="str">
            <v>OPP-900972</v>
          </cell>
          <cell r="H2423" t="str">
            <v>Submarine D&amp;D</v>
          </cell>
          <cell r="I2423" t="str">
            <v>NE</v>
          </cell>
          <cell r="J2423" t="str">
            <v>NE International Programs</v>
          </cell>
          <cell r="K2423" t="str">
            <v>Other Foreign Gov't</v>
          </cell>
          <cell r="L2423" t="str">
            <v>Non-US Gov't</v>
          </cell>
          <cell r="O2423">
            <v>0</v>
          </cell>
          <cell r="P2423">
            <v>0</v>
          </cell>
          <cell r="Q2423">
            <v>0</v>
          </cell>
          <cell r="R2423">
            <v>0</v>
          </cell>
          <cell r="S2423">
            <v>1</v>
          </cell>
          <cell r="T2423">
            <v>0</v>
          </cell>
          <cell r="U2423" t="str">
            <v>CONTRACT</v>
          </cell>
          <cell r="V2423" t="str">
            <v>Identified - Recompete</v>
          </cell>
          <cell r="W2423">
            <v>0</v>
          </cell>
          <cell r="X2423">
            <v>0</v>
          </cell>
          <cell r="Y2423">
            <v>0</v>
          </cell>
          <cell r="Z2423">
            <v>0</v>
          </cell>
          <cell r="AA2423">
            <v>0</v>
          </cell>
          <cell r="AB2423">
            <v>0</v>
          </cell>
          <cell r="AC2423">
            <v>0</v>
          </cell>
          <cell r="AD2423">
            <v>0</v>
          </cell>
          <cell r="BM2423">
            <v>0</v>
          </cell>
          <cell r="BN2423">
            <v>0</v>
          </cell>
          <cell r="BO2423">
            <v>0</v>
          </cell>
          <cell r="BP2423">
            <v>0</v>
          </cell>
          <cell r="BQ2423">
            <v>0</v>
          </cell>
          <cell r="BR2423">
            <v>0</v>
          </cell>
          <cell r="BT2423">
            <v>0</v>
          </cell>
          <cell r="BV2423">
            <v>2</v>
          </cell>
          <cell r="BW2423">
            <v>78</v>
          </cell>
          <cell r="CA2423" t="str">
            <v>OPP-900972 - CONTRACT - Identified - Recompete</v>
          </cell>
          <cell r="CC2423" t="str">
            <v>OPP-900972 - CONTRACT - Identified - Recompete - NE</v>
          </cell>
          <cell r="CD2423" t="str">
            <v/>
          </cell>
          <cell r="CF2423" t="str">
            <v>OPP-900972 - Identified - Recompete - NE</v>
          </cell>
        </row>
        <row r="2424">
          <cell r="D2424">
            <v>222</v>
          </cell>
          <cell r="E2424">
            <v>2</v>
          </cell>
          <cell r="F2424">
            <v>6</v>
          </cell>
          <cell r="G2424" t="str">
            <v>OPP-900972</v>
          </cell>
          <cell r="H2424" t="str">
            <v>Submarine D&amp;D</v>
          </cell>
          <cell r="I2424" t="str">
            <v>NE</v>
          </cell>
          <cell r="J2424" t="str">
            <v>NE International Programs</v>
          </cell>
          <cell r="K2424" t="str">
            <v>Other Foreign Gov't</v>
          </cell>
          <cell r="L2424" t="str">
            <v>Non-US Gov't</v>
          </cell>
          <cell r="O2424">
            <v>44387</v>
          </cell>
          <cell r="P2424">
            <v>46213</v>
          </cell>
          <cell r="Q2424" t="str">
            <v>Minority</v>
          </cell>
          <cell r="R2424" t="str">
            <v>Cost Plus Incentive Fee</v>
          </cell>
          <cell r="S2424">
            <v>1</v>
          </cell>
          <cell r="T2424">
            <v>0</v>
          </cell>
          <cell r="U2424" t="str">
            <v>CONTRACT</v>
          </cell>
          <cell r="V2424" t="str">
            <v>Identified - New</v>
          </cell>
          <cell r="W2424" t="str">
            <v>01 Prospect</v>
          </cell>
          <cell r="X2424" t="str">
            <v>Priority 1</v>
          </cell>
          <cell r="Y2424">
            <v>0.25</v>
          </cell>
          <cell r="Z2424">
            <v>97141200</v>
          </cell>
          <cell r="AA2424">
            <v>0</v>
          </cell>
          <cell r="AB2424">
            <v>0</v>
          </cell>
          <cell r="AC2424">
            <v>0</v>
          </cell>
          <cell r="AD2424">
            <v>0</v>
          </cell>
          <cell r="BM2424">
            <v>0</v>
          </cell>
          <cell r="BN2424">
            <v>0</v>
          </cell>
          <cell r="BO2424">
            <v>0</v>
          </cell>
          <cell r="BP2424">
            <v>0</v>
          </cell>
          <cell r="BQ2424">
            <v>0</v>
          </cell>
          <cell r="BR2424">
            <v>0</v>
          </cell>
          <cell r="BT2424">
            <v>0</v>
          </cell>
          <cell r="BV2424">
            <v>40</v>
          </cell>
          <cell r="BW2424">
            <v>78</v>
          </cell>
          <cell r="CA2424" t="str">
            <v>OPP-900972 - CONTRACT - Identified - New</v>
          </cell>
          <cell r="CC2424" t="str">
            <v>OPP-900972 - CONTRACT - Identified - New - NE</v>
          </cell>
          <cell r="CD2424" t="str">
            <v/>
          </cell>
          <cell r="CF2424" t="str">
            <v>OPP-900972 - Identified - New - NE</v>
          </cell>
        </row>
        <row r="2425">
          <cell r="D2425">
            <v>223</v>
          </cell>
          <cell r="E2425">
            <v>0</v>
          </cell>
          <cell r="F2425">
            <v>7</v>
          </cell>
          <cell r="G2425" t="str">
            <v>OPP-900972</v>
          </cell>
          <cell r="H2425" t="str">
            <v>Submarine D&amp;D</v>
          </cell>
          <cell r="I2425" t="str">
            <v>NE</v>
          </cell>
          <cell r="J2425" t="str">
            <v>NE International Programs</v>
          </cell>
          <cell r="K2425" t="str">
            <v>Other Foreign Gov't</v>
          </cell>
          <cell r="L2425" t="str">
            <v>Non-US Gov't</v>
          </cell>
          <cell r="O2425">
            <v>0</v>
          </cell>
          <cell r="P2425">
            <v>0</v>
          </cell>
          <cell r="Q2425">
            <v>0</v>
          </cell>
          <cell r="R2425">
            <v>0</v>
          </cell>
          <cell r="S2425">
            <v>1</v>
          </cell>
          <cell r="T2425">
            <v>0</v>
          </cell>
          <cell r="U2425" t="str">
            <v>EBITA</v>
          </cell>
          <cell r="V2425" t="str">
            <v>Base</v>
          </cell>
          <cell r="W2425">
            <v>0</v>
          </cell>
          <cell r="X2425">
            <v>0</v>
          </cell>
          <cell r="Y2425">
            <v>0</v>
          </cell>
          <cell r="Z2425">
            <v>0</v>
          </cell>
          <cell r="AA2425">
            <v>0</v>
          </cell>
          <cell r="AB2425">
            <v>0</v>
          </cell>
          <cell r="AC2425">
            <v>0</v>
          </cell>
          <cell r="AD2425">
            <v>0</v>
          </cell>
          <cell r="BF2425">
            <v>0</v>
          </cell>
          <cell r="BG2425">
            <v>0</v>
          </cell>
          <cell r="BH2425">
            <v>0</v>
          </cell>
          <cell r="BI2425">
            <v>0</v>
          </cell>
          <cell r="BJ2425">
            <v>0</v>
          </cell>
          <cell r="BK2425">
            <v>0</v>
          </cell>
          <cell r="BL2425">
            <v>0</v>
          </cell>
          <cell r="BM2425">
            <v>0</v>
          </cell>
          <cell r="BN2425">
            <v>0</v>
          </cell>
          <cell r="BO2425">
            <v>0</v>
          </cell>
          <cell r="BP2425">
            <v>0</v>
          </cell>
          <cell r="BQ2425">
            <v>0</v>
          </cell>
          <cell r="BR2425">
            <v>0</v>
          </cell>
          <cell r="BT2425">
            <v>0</v>
          </cell>
          <cell r="BV2425">
            <v>2</v>
          </cell>
          <cell r="BW2425">
            <v>87</v>
          </cell>
          <cell r="CA2425" t="str">
            <v>OPP-900972 - EBITA - Base</v>
          </cell>
          <cell r="CC2425" t="str">
            <v>OPP-900972 - EBITA - Base - NE</v>
          </cell>
          <cell r="CD2425" t="str">
            <v/>
          </cell>
          <cell r="CF2425" t="str">
            <v>OPP-900972 - Base - NE</v>
          </cell>
        </row>
        <row r="2426">
          <cell r="D2426">
            <v>224</v>
          </cell>
          <cell r="E2426">
            <v>0</v>
          </cell>
          <cell r="F2426">
            <v>8</v>
          </cell>
          <cell r="G2426" t="str">
            <v>OPP-900972</v>
          </cell>
          <cell r="H2426" t="str">
            <v>Submarine D&amp;D</v>
          </cell>
          <cell r="I2426" t="str">
            <v>NE</v>
          </cell>
          <cell r="J2426" t="str">
            <v>NE International Programs</v>
          </cell>
          <cell r="K2426" t="str">
            <v>Other Foreign Gov't</v>
          </cell>
          <cell r="L2426" t="str">
            <v>Non-US Gov't</v>
          </cell>
          <cell r="O2426">
            <v>0</v>
          </cell>
          <cell r="P2426">
            <v>0</v>
          </cell>
          <cell r="Q2426">
            <v>0</v>
          </cell>
          <cell r="R2426">
            <v>0</v>
          </cell>
          <cell r="S2426">
            <v>1</v>
          </cell>
          <cell r="T2426">
            <v>0</v>
          </cell>
          <cell r="U2426" t="str">
            <v>EBITA</v>
          </cell>
          <cell r="V2426" t="str">
            <v>Identified - Recompete</v>
          </cell>
          <cell r="W2426">
            <v>0</v>
          </cell>
          <cell r="X2426">
            <v>0</v>
          </cell>
          <cell r="Y2426">
            <v>0</v>
          </cell>
          <cell r="Z2426">
            <v>0</v>
          </cell>
          <cell r="AA2426">
            <v>0</v>
          </cell>
          <cell r="AB2426">
            <v>0</v>
          </cell>
          <cell r="AC2426">
            <v>0</v>
          </cell>
          <cell r="AD2426">
            <v>0</v>
          </cell>
          <cell r="BM2426">
            <v>0</v>
          </cell>
          <cell r="BN2426">
            <v>0</v>
          </cell>
          <cell r="BO2426">
            <v>0</v>
          </cell>
          <cell r="BP2426">
            <v>0</v>
          </cell>
          <cell r="BQ2426">
            <v>0</v>
          </cell>
          <cell r="BR2426">
            <v>0</v>
          </cell>
          <cell r="BT2426">
            <v>0</v>
          </cell>
          <cell r="BV2426">
            <v>2</v>
          </cell>
          <cell r="BW2426">
            <v>87</v>
          </cell>
          <cell r="CA2426" t="str">
            <v>OPP-900972 - EBITA - Identified - Recompete</v>
          </cell>
          <cell r="CC2426" t="str">
            <v>OPP-900972 - EBITA - Identified - Recompete - NE</v>
          </cell>
          <cell r="CD2426" t="str">
            <v/>
          </cell>
          <cell r="CF2426" t="str">
            <v>OPP-900972 - Identified - Recompete - NE</v>
          </cell>
        </row>
        <row r="2427">
          <cell r="D2427">
            <v>225</v>
          </cell>
          <cell r="E2427">
            <v>0</v>
          </cell>
          <cell r="F2427">
            <v>0</v>
          </cell>
          <cell r="G2427" t="str">
            <v>OPP-900972</v>
          </cell>
          <cell r="H2427" t="str">
            <v>Submarine D&amp;D</v>
          </cell>
          <cell r="I2427" t="str">
            <v>NE</v>
          </cell>
          <cell r="J2427" t="str">
            <v>NE International Programs</v>
          </cell>
          <cell r="K2427" t="str">
            <v>Other Foreign Gov't</v>
          </cell>
          <cell r="L2427" t="str">
            <v>Non-US Gov't</v>
          </cell>
          <cell r="O2427">
            <v>44387</v>
          </cell>
          <cell r="P2427">
            <v>46213</v>
          </cell>
          <cell r="Q2427" t="str">
            <v>Minority</v>
          </cell>
          <cell r="R2427" t="str">
            <v>Cost Plus Incentive Fee</v>
          </cell>
          <cell r="S2427">
            <v>1</v>
          </cell>
          <cell r="T2427">
            <v>0</v>
          </cell>
          <cell r="U2427" t="str">
            <v>EBITA</v>
          </cell>
          <cell r="V2427" t="str">
            <v>Identified - New</v>
          </cell>
          <cell r="W2427" t="str">
            <v>01 Prospect</v>
          </cell>
          <cell r="X2427" t="str">
            <v>Priority 1</v>
          </cell>
          <cell r="Y2427">
            <v>0.25</v>
          </cell>
          <cell r="Z2427">
            <v>97141200</v>
          </cell>
          <cell r="AA2427">
            <v>0</v>
          </cell>
          <cell r="AB2427">
            <v>0</v>
          </cell>
          <cell r="AC2427">
            <v>0</v>
          </cell>
          <cell r="AD2427">
            <v>0</v>
          </cell>
          <cell r="BM2427">
            <v>0</v>
          </cell>
          <cell r="BN2427">
            <v>0</v>
          </cell>
          <cell r="BO2427">
            <v>26983.666666666664</v>
          </cell>
          <cell r="BP2427">
            <v>121426.5</v>
          </cell>
          <cell r="BQ2427">
            <v>121426.5</v>
          </cell>
          <cell r="BR2427">
            <v>269836.66666666663</v>
          </cell>
          <cell r="BT2427">
            <v>0</v>
          </cell>
          <cell r="BV2427">
            <v>40</v>
          </cell>
          <cell r="BW2427">
            <v>87</v>
          </cell>
          <cell r="CA2427" t="str">
            <v>OPP-900972 - EBITA - Identified - New</v>
          </cell>
          <cell r="CC2427" t="str">
            <v>OPP-900972 - EBITA - Identified - New - NE</v>
          </cell>
          <cell r="CD2427" t="str">
            <v/>
          </cell>
          <cell r="CF2427" t="str">
            <v>OPP-900972 - Identified - New - NE</v>
          </cell>
        </row>
        <row r="2428">
          <cell r="D2428">
            <v>226</v>
          </cell>
          <cell r="E2428">
            <v>1</v>
          </cell>
          <cell r="F2428">
            <v>1</v>
          </cell>
          <cell r="G2428" t="str">
            <v>OPP-475254</v>
          </cell>
          <cell r="H2428" t="str">
            <v>MoD Vulcan D&amp;D (MS Portion)</v>
          </cell>
          <cell r="I2428" t="str">
            <v>NE</v>
          </cell>
          <cell r="J2428" t="str">
            <v>NE International Programs</v>
          </cell>
          <cell r="K2428" t="str">
            <v>Other Foreign Gov't</v>
          </cell>
          <cell r="L2428" t="str">
            <v>Non-US Gov't</v>
          </cell>
          <cell r="O2428">
            <v>0</v>
          </cell>
          <cell r="P2428">
            <v>0</v>
          </cell>
          <cell r="Q2428">
            <v>0</v>
          </cell>
          <cell r="R2428">
            <v>0</v>
          </cell>
          <cell r="S2428">
            <v>1</v>
          </cell>
          <cell r="T2428">
            <v>0</v>
          </cell>
          <cell r="U2428" t="str">
            <v>REVTOT</v>
          </cell>
          <cell r="V2428" t="str">
            <v>Base</v>
          </cell>
          <cell r="W2428">
            <v>0</v>
          </cell>
          <cell r="X2428">
            <v>0</v>
          </cell>
          <cell r="Y2428">
            <v>0</v>
          </cell>
          <cell r="Z2428">
            <v>0</v>
          </cell>
          <cell r="AA2428">
            <v>0</v>
          </cell>
          <cell r="AB2428">
            <v>0</v>
          </cell>
          <cell r="AC2428">
            <v>0</v>
          </cell>
          <cell r="AD2428">
            <v>0</v>
          </cell>
          <cell r="BF2428">
            <v>0</v>
          </cell>
          <cell r="BG2428">
            <v>0</v>
          </cell>
          <cell r="BH2428">
            <v>0</v>
          </cell>
          <cell r="BI2428">
            <v>0</v>
          </cell>
          <cell r="BJ2428">
            <v>0</v>
          </cell>
          <cell r="BK2428">
            <v>0</v>
          </cell>
          <cell r="BL2428">
            <v>0</v>
          </cell>
          <cell r="BM2428">
            <v>0</v>
          </cell>
          <cell r="BN2428">
            <v>0</v>
          </cell>
          <cell r="BO2428">
            <v>0</v>
          </cell>
          <cell r="BP2428">
            <v>0</v>
          </cell>
          <cell r="BQ2428">
            <v>0</v>
          </cell>
          <cell r="BR2428">
            <v>0</v>
          </cell>
          <cell r="BT2428">
            <v>0</v>
          </cell>
          <cell r="BV2428">
            <v>2</v>
          </cell>
          <cell r="BW2428">
            <v>60</v>
          </cell>
          <cell r="CA2428" t="str">
            <v>OPP-475254 - REVTOT - Base</v>
          </cell>
          <cell r="CC2428" t="str">
            <v>OPP-475254 - REVTOT - Base - NE</v>
          </cell>
          <cell r="CD2428" t="str">
            <v/>
          </cell>
          <cell r="CF2428" t="str">
            <v>OPP-475254 - Base - NE</v>
          </cell>
        </row>
        <row r="2429">
          <cell r="D2429">
            <v>227</v>
          </cell>
          <cell r="E2429">
            <v>1</v>
          </cell>
          <cell r="F2429">
            <v>2</v>
          </cell>
          <cell r="G2429" t="str">
            <v>OPP-475254</v>
          </cell>
          <cell r="H2429" t="str">
            <v>MoD Vulcan D&amp;D (MS Portion)</v>
          </cell>
          <cell r="I2429" t="str">
            <v>NE</v>
          </cell>
          <cell r="J2429" t="str">
            <v>NE International Programs</v>
          </cell>
          <cell r="K2429" t="str">
            <v>Other Foreign Gov't</v>
          </cell>
          <cell r="L2429" t="str">
            <v>Non-US Gov't</v>
          </cell>
          <cell r="O2429">
            <v>0</v>
          </cell>
          <cell r="P2429">
            <v>0</v>
          </cell>
          <cell r="Q2429">
            <v>0</v>
          </cell>
          <cell r="R2429">
            <v>0</v>
          </cell>
          <cell r="S2429">
            <v>1</v>
          </cell>
          <cell r="T2429">
            <v>0</v>
          </cell>
          <cell r="U2429" t="str">
            <v>REVTOT</v>
          </cell>
          <cell r="V2429" t="str">
            <v>Identified - Recompete</v>
          </cell>
          <cell r="W2429">
            <v>0</v>
          </cell>
          <cell r="X2429">
            <v>0</v>
          </cell>
          <cell r="Y2429">
            <v>0</v>
          </cell>
          <cell r="Z2429">
            <v>0</v>
          </cell>
          <cell r="AA2429">
            <v>0</v>
          </cell>
          <cell r="AB2429">
            <v>0</v>
          </cell>
          <cell r="AC2429">
            <v>0</v>
          </cell>
          <cell r="AD2429">
            <v>0</v>
          </cell>
          <cell r="BM2429">
            <v>0</v>
          </cell>
          <cell r="BN2429">
            <v>0</v>
          </cell>
          <cell r="BO2429">
            <v>0</v>
          </cell>
          <cell r="BP2429">
            <v>0</v>
          </cell>
          <cell r="BQ2429">
            <v>0</v>
          </cell>
          <cell r="BR2429">
            <v>0</v>
          </cell>
          <cell r="BT2429">
            <v>0</v>
          </cell>
          <cell r="BV2429">
            <v>2</v>
          </cell>
          <cell r="BW2429">
            <v>60</v>
          </cell>
          <cell r="CA2429" t="str">
            <v>OPP-475254 - REVTOT - Identified - Recompete</v>
          </cell>
          <cell r="CC2429" t="str">
            <v>OPP-475254 - REVTOT - Identified - Recompete - NE</v>
          </cell>
          <cell r="CD2429" t="str">
            <v/>
          </cell>
          <cell r="CF2429" t="str">
            <v>OPP-475254 - Identified - Recompete - NE</v>
          </cell>
        </row>
        <row r="2430">
          <cell r="D2430">
            <v>228</v>
          </cell>
          <cell r="E2430">
            <v>1</v>
          </cell>
          <cell r="F2430">
            <v>3</v>
          </cell>
          <cell r="G2430" t="str">
            <v>OPP-475254</v>
          </cell>
          <cell r="H2430" t="str">
            <v>MoD Vulcan D&amp;D (MS Portion)</v>
          </cell>
          <cell r="I2430" t="str">
            <v>NE</v>
          </cell>
          <cell r="J2430" t="str">
            <v>NE International Programs</v>
          </cell>
          <cell r="K2430" t="str">
            <v>Other Foreign Gov't</v>
          </cell>
          <cell r="L2430" t="str">
            <v>Non-US Gov't</v>
          </cell>
          <cell r="O2430">
            <v>44958</v>
          </cell>
          <cell r="P2430">
            <v>46784</v>
          </cell>
          <cell r="Q2430" t="str">
            <v>Majority</v>
          </cell>
          <cell r="R2430" t="str">
            <v>Cost Plus Incentive Fee</v>
          </cell>
          <cell r="S2430">
            <v>1</v>
          </cell>
          <cell r="T2430">
            <v>1</v>
          </cell>
          <cell r="U2430" t="str">
            <v>REVTOT</v>
          </cell>
          <cell r="V2430" t="str">
            <v>Identified - New</v>
          </cell>
          <cell r="W2430" t="str">
            <v>00 Investigate</v>
          </cell>
          <cell r="X2430" t="str">
            <v>Priority 1</v>
          </cell>
          <cell r="Y2430">
            <v>0.3</v>
          </cell>
          <cell r="Z2430">
            <v>145711800</v>
          </cell>
          <cell r="AA2430">
            <v>0</v>
          </cell>
          <cell r="AB2430">
            <v>0</v>
          </cell>
          <cell r="AC2430">
            <v>0</v>
          </cell>
          <cell r="AD2430">
            <v>0</v>
          </cell>
          <cell r="BM2430">
            <v>0</v>
          </cell>
          <cell r="BN2430">
            <v>0</v>
          </cell>
          <cell r="BO2430">
            <v>0</v>
          </cell>
          <cell r="BP2430">
            <v>0</v>
          </cell>
          <cell r="BQ2430">
            <v>9673644.4999999981</v>
          </cell>
          <cell r="BR2430">
            <v>9673644.4999999981</v>
          </cell>
          <cell r="BT2430">
            <v>0</v>
          </cell>
          <cell r="BV2430">
            <v>41</v>
          </cell>
          <cell r="BW2430">
            <v>60</v>
          </cell>
          <cell r="CA2430" t="str">
            <v>OPP-475254 - REVTOT - Identified - New</v>
          </cell>
          <cell r="CC2430" t="str">
            <v>OPP-475254 - REVTOT - Identified - New - NE</v>
          </cell>
          <cell r="CD2430" t="str">
            <v/>
          </cell>
          <cell r="CF2430" t="str">
            <v>OPP-475254 - Identified - New - NE</v>
          </cell>
        </row>
        <row r="2431">
          <cell r="D2431">
            <v>229</v>
          </cell>
          <cell r="E2431">
            <v>2</v>
          </cell>
          <cell r="F2431">
            <v>4</v>
          </cell>
          <cell r="G2431" t="str">
            <v>OPP-475254</v>
          </cell>
          <cell r="H2431" t="str">
            <v>MoD Vulcan D&amp;D (MS Portion)</v>
          </cell>
          <cell r="I2431" t="str">
            <v>NE</v>
          </cell>
          <cell r="J2431" t="str">
            <v>NE International Programs</v>
          </cell>
          <cell r="K2431" t="str">
            <v>Other Foreign Gov't</v>
          </cell>
          <cell r="L2431" t="str">
            <v>Non-US Gov't</v>
          </cell>
          <cell r="O2431">
            <v>0</v>
          </cell>
          <cell r="P2431">
            <v>0</v>
          </cell>
          <cell r="Q2431">
            <v>0</v>
          </cell>
          <cell r="R2431">
            <v>0</v>
          </cell>
          <cell r="S2431">
            <v>1</v>
          </cell>
          <cell r="T2431">
            <v>0</v>
          </cell>
          <cell r="U2431" t="str">
            <v>CONTRACT</v>
          </cell>
          <cell r="V2431" t="str">
            <v>Base</v>
          </cell>
          <cell r="W2431">
            <v>0</v>
          </cell>
          <cell r="X2431">
            <v>0</v>
          </cell>
          <cell r="Y2431">
            <v>0</v>
          </cell>
          <cell r="Z2431">
            <v>0</v>
          </cell>
          <cell r="AA2431">
            <v>0</v>
          </cell>
          <cell r="AB2431">
            <v>0</v>
          </cell>
          <cell r="AC2431">
            <v>0</v>
          </cell>
          <cell r="AD2431">
            <v>0</v>
          </cell>
          <cell r="BF2431">
            <v>0</v>
          </cell>
          <cell r="BG2431">
            <v>0</v>
          </cell>
          <cell r="BH2431">
            <v>0</v>
          </cell>
          <cell r="BI2431">
            <v>0</v>
          </cell>
          <cell r="BJ2431">
            <v>0</v>
          </cell>
          <cell r="BK2431">
            <v>0</v>
          </cell>
          <cell r="BL2431">
            <v>0</v>
          </cell>
          <cell r="BM2431">
            <v>0</v>
          </cell>
          <cell r="BN2431">
            <v>0</v>
          </cell>
          <cell r="BO2431">
            <v>0</v>
          </cell>
          <cell r="BP2431">
            <v>0</v>
          </cell>
          <cell r="BQ2431">
            <v>0</v>
          </cell>
          <cell r="BR2431">
            <v>0</v>
          </cell>
          <cell r="BT2431">
            <v>0</v>
          </cell>
          <cell r="BV2431">
            <v>2</v>
          </cell>
          <cell r="BW2431">
            <v>78</v>
          </cell>
          <cell r="CA2431" t="str">
            <v>OPP-475254 - CONTRACT - Base</v>
          </cell>
          <cell r="CC2431" t="str">
            <v>OPP-475254 - CONTRACT - Base - NE - 2</v>
          </cell>
          <cell r="CD2431" t="str">
            <v/>
          </cell>
          <cell r="CF2431" t="str">
            <v>OPP-475254 - Base - NE</v>
          </cell>
        </row>
        <row r="2432">
          <cell r="D2432">
            <v>230</v>
          </cell>
          <cell r="E2432">
            <v>2</v>
          </cell>
          <cell r="F2432">
            <v>5</v>
          </cell>
          <cell r="G2432" t="str">
            <v>OPP-475254</v>
          </cell>
          <cell r="H2432" t="str">
            <v>MoD Vulcan D&amp;D (MS Portion)</v>
          </cell>
          <cell r="I2432" t="str">
            <v>NE</v>
          </cell>
          <cell r="J2432" t="str">
            <v>NE International Programs</v>
          </cell>
          <cell r="K2432" t="str">
            <v>Other Foreign Gov't</v>
          </cell>
          <cell r="L2432" t="str">
            <v>Non-US Gov't</v>
          </cell>
          <cell r="O2432">
            <v>0</v>
          </cell>
          <cell r="P2432">
            <v>0</v>
          </cell>
          <cell r="Q2432">
            <v>0</v>
          </cell>
          <cell r="R2432">
            <v>0</v>
          </cell>
          <cell r="S2432">
            <v>1</v>
          </cell>
          <cell r="T2432">
            <v>0</v>
          </cell>
          <cell r="U2432" t="str">
            <v>CONTRACT</v>
          </cell>
          <cell r="V2432" t="str">
            <v>Identified - Recompete</v>
          </cell>
          <cell r="W2432">
            <v>0</v>
          </cell>
          <cell r="X2432">
            <v>0</v>
          </cell>
          <cell r="Y2432">
            <v>0</v>
          </cell>
          <cell r="Z2432">
            <v>0</v>
          </cell>
          <cell r="AA2432">
            <v>0</v>
          </cell>
          <cell r="AB2432">
            <v>0</v>
          </cell>
          <cell r="AC2432">
            <v>0</v>
          </cell>
          <cell r="AD2432">
            <v>0</v>
          </cell>
          <cell r="BM2432">
            <v>0</v>
          </cell>
          <cell r="BN2432">
            <v>0</v>
          </cell>
          <cell r="BO2432">
            <v>0</v>
          </cell>
          <cell r="BP2432">
            <v>0</v>
          </cell>
          <cell r="BQ2432">
            <v>0</v>
          </cell>
          <cell r="BR2432">
            <v>0</v>
          </cell>
          <cell r="BT2432">
            <v>0</v>
          </cell>
          <cell r="BV2432">
            <v>2</v>
          </cell>
          <cell r="BW2432">
            <v>78</v>
          </cell>
          <cell r="CA2432" t="str">
            <v>OPP-475254 - CONTRACT - Identified - Recompete</v>
          </cell>
          <cell r="CC2432" t="str">
            <v>OPP-475254 - CONTRACT - Identified - Recompete - NE</v>
          </cell>
          <cell r="CD2432" t="str">
            <v/>
          </cell>
          <cell r="CF2432" t="str">
            <v>OPP-475254 - Identified - Recompete - NE</v>
          </cell>
        </row>
        <row r="2433">
          <cell r="D2433">
            <v>231</v>
          </cell>
          <cell r="E2433">
            <v>2</v>
          </cell>
          <cell r="F2433">
            <v>6</v>
          </cell>
          <cell r="G2433" t="str">
            <v>OPP-475254</v>
          </cell>
          <cell r="H2433" t="str">
            <v>MoD Vulcan D&amp;D (MS Portion)</v>
          </cell>
          <cell r="I2433" t="str">
            <v>NE</v>
          </cell>
          <cell r="J2433" t="str">
            <v>NE International Programs</v>
          </cell>
          <cell r="K2433" t="str">
            <v>Other Foreign Gov't</v>
          </cell>
          <cell r="L2433" t="str">
            <v>Non-US Gov't</v>
          </cell>
          <cell r="O2433">
            <v>44958</v>
          </cell>
          <cell r="P2433">
            <v>46784</v>
          </cell>
          <cell r="Q2433" t="str">
            <v>Majority</v>
          </cell>
          <cell r="R2433" t="str">
            <v>Cost Plus Incentive Fee</v>
          </cell>
          <cell r="S2433">
            <v>1</v>
          </cell>
          <cell r="T2433">
            <v>1</v>
          </cell>
          <cell r="U2433" t="str">
            <v>CONTRACT</v>
          </cell>
          <cell r="V2433" t="str">
            <v>Identified - New</v>
          </cell>
          <cell r="W2433" t="str">
            <v>00 Investigate</v>
          </cell>
          <cell r="X2433" t="str">
            <v>Priority 1</v>
          </cell>
          <cell r="Y2433">
            <v>0.3</v>
          </cell>
          <cell r="Z2433">
            <v>145711800</v>
          </cell>
          <cell r="AA2433">
            <v>0</v>
          </cell>
          <cell r="AB2433">
            <v>0</v>
          </cell>
          <cell r="AC2433">
            <v>0</v>
          </cell>
          <cell r="AD2433">
            <v>0</v>
          </cell>
          <cell r="BM2433">
            <v>0</v>
          </cell>
          <cell r="BN2433">
            <v>0</v>
          </cell>
          <cell r="BO2433">
            <v>0</v>
          </cell>
          <cell r="BP2433">
            <v>0</v>
          </cell>
          <cell r="BQ2433">
            <v>483682.22499999992</v>
          </cell>
          <cell r="BR2433">
            <v>483682.22499999992</v>
          </cell>
          <cell r="BT2433">
            <v>0</v>
          </cell>
          <cell r="BV2433">
            <v>41</v>
          </cell>
          <cell r="BW2433">
            <v>78</v>
          </cell>
          <cell r="CA2433" t="str">
            <v>OPP-475254 - CONTRACT - Identified - New</v>
          </cell>
          <cell r="CC2433" t="str">
            <v>OPP-475254 - CONTRACT - Identified - New - NE</v>
          </cell>
          <cell r="CD2433" t="str">
            <v/>
          </cell>
          <cell r="CF2433" t="str">
            <v>OPP-475254 - Identified - New - NE</v>
          </cell>
        </row>
        <row r="2434">
          <cell r="D2434">
            <v>232</v>
          </cell>
          <cell r="E2434">
            <v>0</v>
          </cell>
          <cell r="F2434">
            <v>7</v>
          </cell>
          <cell r="G2434" t="str">
            <v>OPP-475254</v>
          </cell>
          <cell r="H2434" t="str">
            <v>MoD Vulcan D&amp;D (MS Portion)</v>
          </cell>
          <cell r="I2434" t="str">
            <v>NE</v>
          </cell>
          <cell r="J2434" t="str">
            <v>NE International Programs</v>
          </cell>
          <cell r="K2434" t="str">
            <v>Other Foreign Gov't</v>
          </cell>
          <cell r="L2434" t="str">
            <v>Non-US Gov't</v>
          </cell>
          <cell r="O2434">
            <v>0</v>
          </cell>
          <cell r="P2434">
            <v>0</v>
          </cell>
          <cell r="Q2434">
            <v>0</v>
          </cell>
          <cell r="R2434">
            <v>0</v>
          </cell>
          <cell r="S2434">
            <v>1</v>
          </cell>
          <cell r="T2434">
            <v>0</v>
          </cell>
          <cell r="U2434" t="str">
            <v>EBITA</v>
          </cell>
          <cell r="V2434" t="str">
            <v>Base</v>
          </cell>
          <cell r="W2434">
            <v>0</v>
          </cell>
          <cell r="X2434">
            <v>0</v>
          </cell>
          <cell r="Y2434">
            <v>0</v>
          </cell>
          <cell r="Z2434">
            <v>0</v>
          </cell>
          <cell r="AA2434">
            <v>0</v>
          </cell>
          <cell r="AB2434">
            <v>0</v>
          </cell>
          <cell r="AC2434">
            <v>0</v>
          </cell>
          <cell r="AD2434">
            <v>0</v>
          </cell>
          <cell r="BF2434">
            <v>0</v>
          </cell>
          <cell r="BG2434">
            <v>0</v>
          </cell>
          <cell r="BH2434">
            <v>0</v>
          </cell>
          <cell r="BI2434">
            <v>0</v>
          </cell>
          <cell r="BJ2434">
            <v>0</v>
          </cell>
          <cell r="BK2434">
            <v>0</v>
          </cell>
          <cell r="BL2434">
            <v>0</v>
          </cell>
          <cell r="BM2434">
            <v>0</v>
          </cell>
          <cell r="BN2434">
            <v>0</v>
          </cell>
          <cell r="BO2434">
            <v>0</v>
          </cell>
          <cell r="BP2434">
            <v>0</v>
          </cell>
          <cell r="BQ2434">
            <v>0</v>
          </cell>
          <cell r="BR2434">
            <v>0</v>
          </cell>
          <cell r="BT2434">
            <v>0</v>
          </cell>
          <cell r="BV2434">
            <v>2</v>
          </cell>
          <cell r="BW2434">
            <v>87</v>
          </cell>
          <cell r="CA2434" t="str">
            <v>OPP-475254 - EBITA - Base</v>
          </cell>
          <cell r="CC2434" t="str">
            <v>OPP-475254 - EBITA - Base - NE</v>
          </cell>
          <cell r="CD2434" t="str">
            <v/>
          </cell>
          <cell r="CF2434" t="str">
            <v>OPP-475254 - Base - NE</v>
          </cell>
        </row>
        <row r="2435">
          <cell r="D2435">
            <v>233</v>
          </cell>
          <cell r="E2435">
            <v>0</v>
          </cell>
          <cell r="F2435">
            <v>8</v>
          </cell>
          <cell r="G2435" t="str">
            <v>OPP-475254</v>
          </cell>
          <cell r="H2435" t="str">
            <v>MoD Vulcan D&amp;D (MS Portion)</v>
          </cell>
          <cell r="I2435" t="str">
            <v>NE</v>
          </cell>
          <cell r="J2435" t="str">
            <v>NE International Programs</v>
          </cell>
          <cell r="K2435" t="str">
            <v>Other Foreign Gov't</v>
          </cell>
          <cell r="L2435" t="str">
            <v>Non-US Gov't</v>
          </cell>
          <cell r="O2435">
            <v>0</v>
          </cell>
          <cell r="P2435">
            <v>0</v>
          </cell>
          <cell r="Q2435">
            <v>0</v>
          </cell>
          <cell r="R2435">
            <v>0</v>
          </cell>
          <cell r="S2435">
            <v>1</v>
          </cell>
          <cell r="T2435">
            <v>0</v>
          </cell>
          <cell r="U2435" t="str">
            <v>EBITA</v>
          </cell>
          <cell r="V2435" t="str">
            <v>Identified - Recompete</v>
          </cell>
          <cell r="W2435">
            <v>0</v>
          </cell>
          <cell r="X2435">
            <v>0</v>
          </cell>
          <cell r="Y2435">
            <v>0</v>
          </cell>
          <cell r="Z2435">
            <v>0</v>
          </cell>
          <cell r="AA2435">
            <v>0</v>
          </cell>
          <cell r="AB2435">
            <v>0</v>
          </cell>
          <cell r="AC2435">
            <v>0</v>
          </cell>
          <cell r="AD2435">
            <v>0</v>
          </cell>
          <cell r="BM2435">
            <v>0</v>
          </cell>
          <cell r="BN2435">
            <v>0</v>
          </cell>
          <cell r="BO2435">
            <v>0</v>
          </cell>
          <cell r="BP2435">
            <v>0</v>
          </cell>
          <cell r="BQ2435">
            <v>0</v>
          </cell>
          <cell r="BR2435">
            <v>0</v>
          </cell>
          <cell r="BT2435">
            <v>0</v>
          </cell>
          <cell r="BV2435">
            <v>2</v>
          </cell>
          <cell r="BW2435">
            <v>87</v>
          </cell>
          <cell r="CA2435" t="str">
            <v>OPP-475254 - EBITA - Identified - Recompete</v>
          </cell>
          <cell r="CC2435" t="str">
            <v>OPP-475254 - EBITA - Identified - Recompete - NE</v>
          </cell>
          <cell r="CD2435" t="str">
            <v/>
          </cell>
          <cell r="CF2435" t="str">
            <v>OPP-475254 - Identified - Recompete - NE</v>
          </cell>
        </row>
        <row r="2436">
          <cell r="D2436">
            <v>234</v>
          </cell>
          <cell r="E2436">
            <v>0</v>
          </cell>
          <cell r="F2436">
            <v>0</v>
          </cell>
          <cell r="G2436" t="str">
            <v>OPP-475254</v>
          </cell>
          <cell r="H2436" t="str">
            <v>MoD Vulcan D&amp;D (MS Portion)</v>
          </cell>
          <cell r="I2436" t="str">
            <v>NE</v>
          </cell>
          <cell r="J2436" t="str">
            <v>NE International Programs</v>
          </cell>
          <cell r="K2436" t="str">
            <v>Other Foreign Gov't</v>
          </cell>
          <cell r="L2436" t="str">
            <v>Non-US Gov't</v>
          </cell>
          <cell r="O2436">
            <v>44958</v>
          </cell>
          <cell r="P2436">
            <v>46784</v>
          </cell>
          <cell r="Q2436" t="str">
            <v>Majority</v>
          </cell>
          <cell r="R2436" t="str">
            <v>Cost Plus Incentive Fee</v>
          </cell>
          <cell r="S2436">
            <v>1</v>
          </cell>
          <cell r="T2436">
            <v>1</v>
          </cell>
          <cell r="U2436" t="str">
            <v>EBITA</v>
          </cell>
          <cell r="V2436" t="str">
            <v>Identified - New</v>
          </cell>
          <cell r="W2436" t="str">
            <v>00 Investigate</v>
          </cell>
          <cell r="X2436" t="str">
            <v>Priority 1</v>
          </cell>
          <cell r="Y2436">
            <v>0.3</v>
          </cell>
          <cell r="Z2436">
            <v>145711800</v>
          </cell>
          <cell r="AA2436">
            <v>0</v>
          </cell>
          <cell r="AB2436">
            <v>0</v>
          </cell>
          <cell r="AC2436">
            <v>0</v>
          </cell>
          <cell r="AD2436">
            <v>0</v>
          </cell>
          <cell r="BM2436">
            <v>0</v>
          </cell>
          <cell r="BN2436">
            <v>0</v>
          </cell>
          <cell r="BO2436">
            <v>0</v>
          </cell>
          <cell r="BP2436">
            <v>0</v>
          </cell>
          <cell r="BQ2436">
            <v>241841.11249999996</v>
          </cell>
          <cell r="BR2436">
            <v>241841.11249999996</v>
          </cell>
          <cell r="BT2436">
            <v>0</v>
          </cell>
          <cell r="BV2436">
            <v>41</v>
          </cell>
          <cell r="BW2436">
            <v>87</v>
          </cell>
          <cell r="CA2436" t="str">
            <v>OPP-475254 - EBITA - Identified - New</v>
          </cell>
          <cell r="CC2436" t="str">
            <v>OPP-475254 - EBITA - Identified - New - NE</v>
          </cell>
          <cell r="CD2436" t="str">
            <v/>
          </cell>
          <cell r="CF2436" t="str">
            <v>OPP-475254 - Identified - New - NE</v>
          </cell>
        </row>
        <row r="2437">
          <cell r="D2437">
            <v>235</v>
          </cell>
          <cell r="E2437">
            <v>1</v>
          </cell>
          <cell r="F2437">
            <v>1</v>
          </cell>
          <cell r="G2437" t="str">
            <v>OPP-900987</v>
          </cell>
          <cell r="H2437" t="str">
            <v>Magnox</v>
          </cell>
          <cell r="I2437" t="str">
            <v>NE</v>
          </cell>
          <cell r="J2437" t="str">
            <v>NE International Programs</v>
          </cell>
          <cell r="K2437" t="str">
            <v>UK-NDA</v>
          </cell>
          <cell r="L2437" t="str">
            <v>Non-US Gov't</v>
          </cell>
          <cell r="O2437">
            <v>0</v>
          </cell>
          <cell r="P2437">
            <v>0</v>
          </cell>
          <cell r="Q2437">
            <v>0</v>
          </cell>
          <cell r="R2437">
            <v>0</v>
          </cell>
          <cell r="S2437">
            <v>1</v>
          </cell>
          <cell r="T2437">
            <v>0</v>
          </cell>
          <cell r="U2437" t="str">
            <v>REVTOT</v>
          </cell>
          <cell r="V2437" t="str">
            <v>Base</v>
          </cell>
          <cell r="W2437">
            <v>0</v>
          </cell>
          <cell r="X2437">
            <v>0</v>
          </cell>
          <cell r="Y2437">
            <v>0</v>
          </cell>
          <cell r="Z2437">
            <v>0</v>
          </cell>
          <cell r="AA2437">
            <v>0</v>
          </cell>
          <cell r="AB2437">
            <v>0</v>
          </cell>
          <cell r="AC2437">
            <v>0</v>
          </cell>
          <cell r="AD2437">
            <v>0</v>
          </cell>
          <cell r="BF2437">
            <v>0</v>
          </cell>
          <cell r="BG2437">
            <v>0</v>
          </cell>
          <cell r="BH2437">
            <v>0</v>
          </cell>
          <cell r="BI2437">
            <v>0</v>
          </cell>
          <cell r="BJ2437">
            <v>0</v>
          </cell>
          <cell r="BK2437">
            <v>0</v>
          </cell>
          <cell r="BL2437">
            <v>0</v>
          </cell>
          <cell r="BM2437">
            <v>0</v>
          </cell>
          <cell r="BN2437">
            <v>0</v>
          </cell>
          <cell r="BO2437">
            <v>0</v>
          </cell>
          <cell r="BP2437">
            <v>0</v>
          </cell>
          <cell r="BQ2437">
            <v>0</v>
          </cell>
          <cell r="BR2437">
            <v>0</v>
          </cell>
          <cell r="BT2437">
            <v>0</v>
          </cell>
          <cell r="BV2437">
            <v>2</v>
          </cell>
          <cell r="BW2437">
            <v>60</v>
          </cell>
          <cell r="CA2437" t="str">
            <v>OPP-900987 - REVTOT - Base</v>
          </cell>
          <cell r="CC2437" t="str">
            <v>OPP-900987 - REVTOT - Base - NE</v>
          </cell>
          <cell r="CD2437" t="str">
            <v/>
          </cell>
          <cell r="CF2437" t="str">
            <v>OPP-900987 - Base - NE</v>
          </cell>
        </row>
        <row r="2438">
          <cell r="D2438">
            <v>236</v>
          </cell>
          <cell r="E2438">
            <v>1</v>
          </cell>
          <cell r="F2438">
            <v>2</v>
          </cell>
          <cell r="G2438" t="str">
            <v>OPP-900987</v>
          </cell>
          <cell r="H2438" t="str">
            <v>Magnox</v>
          </cell>
          <cell r="I2438" t="str">
            <v>NE</v>
          </cell>
          <cell r="J2438" t="str">
            <v>NE International Programs</v>
          </cell>
          <cell r="K2438" t="str">
            <v>UK-NDA</v>
          </cell>
          <cell r="L2438" t="str">
            <v>Non-US Gov't</v>
          </cell>
          <cell r="O2438">
            <v>0</v>
          </cell>
          <cell r="P2438">
            <v>0</v>
          </cell>
          <cell r="Q2438">
            <v>0</v>
          </cell>
          <cell r="R2438">
            <v>0</v>
          </cell>
          <cell r="S2438">
            <v>1</v>
          </cell>
          <cell r="T2438">
            <v>0</v>
          </cell>
          <cell r="U2438" t="str">
            <v>REVTOT</v>
          </cell>
          <cell r="V2438" t="str">
            <v>Identified - Recompete</v>
          </cell>
          <cell r="W2438">
            <v>0</v>
          </cell>
          <cell r="X2438">
            <v>0</v>
          </cell>
          <cell r="Y2438">
            <v>0</v>
          </cell>
          <cell r="Z2438">
            <v>0</v>
          </cell>
          <cell r="AA2438">
            <v>0</v>
          </cell>
          <cell r="AB2438">
            <v>0</v>
          </cell>
          <cell r="AC2438">
            <v>0</v>
          </cell>
          <cell r="AD2438">
            <v>0</v>
          </cell>
          <cell r="BM2438">
            <v>0</v>
          </cell>
          <cell r="BN2438">
            <v>0</v>
          </cell>
          <cell r="BO2438">
            <v>0</v>
          </cell>
          <cell r="BP2438">
            <v>0</v>
          </cell>
          <cell r="BQ2438">
            <v>0</v>
          </cell>
          <cell r="BR2438">
            <v>0</v>
          </cell>
          <cell r="BT2438">
            <v>0</v>
          </cell>
          <cell r="BV2438">
            <v>2</v>
          </cell>
          <cell r="BW2438">
            <v>60</v>
          </cell>
          <cell r="CA2438" t="str">
            <v>OPP-900987 - REVTOT - Identified - Recompete</v>
          </cell>
          <cell r="CC2438" t="str">
            <v>OPP-900987 - REVTOT - Identified - Recompete - NE</v>
          </cell>
          <cell r="CD2438" t="str">
            <v/>
          </cell>
          <cell r="CF2438" t="str">
            <v>OPP-900987 - Identified - Recompete - NE</v>
          </cell>
        </row>
        <row r="2439">
          <cell r="D2439">
            <v>237</v>
          </cell>
          <cell r="E2439">
            <v>1</v>
          </cell>
          <cell r="F2439">
            <v>3</v>
          </cell>
          <cell r="G2439" t="str">
            <v>OPP-900987</v>
          </cell>
          <cell r="H2439" t="str">
            <v>Magnox</v>
          </cell>
          <cell r="I2439" t="str">
            <v>NE</v>
          </cell>
          <cell r="J2439" t="str">
            <v>NE International Programs</v>
          </cell>
          <cell r="K2439" t="str">
            <v>UK-NDA</v>
          </cell>
          <cell r="L2439" t="str">
            <v>Non-US Gov't</v>
          </cell>
          <cell r="O2439">
            <v>44423</v>
          </cell>
          <cell r="P2439">
            <v>46980</v>
          </cell>
          <cell r="Q2439" t="str">
            <v>Majority</v>
          </cell>
          <cell r="R2439" t="str">
            <v>Cost Plus Incentive Fee</v>
          </cell>
          <cell r="S2439">
            <v>1</v>
          </cell>
          <cell r="T2439">
            <v>1</v>
          </cell>
          <cell r="U2439" t="str">
            <v>REVTOT</v>
          </cell>
          <cell r="V2439" t="str">
            <v>Identified - New</v>
          </cell>
          <cell r="W2439" t="str">
            <v>01 Prospect</v>
          </cell>
          <cell r="X2439" t="str">
            <v>Priority 2</v>
          </cell>
          <cell r="Y2439">
            <v>0.4</v>
          </cell>
          <cell r="Z2439">
            <v>97141200</v>
          </cell>
          <cell r="AA2439">
            <v>0</v>
          </cell>
          <cell r="AB2439">
            <v>0</v>
          </cell>
          <cell r="AC2439">
            <v>0</v>
          </cell>
          <cell r="AD2439">
            <v>0</v>
          </cell>
          <cell r="BM2439">
            <v>0</v>
          </cell>
          <cell r="BN2439">
            <v>0</v>
          </cell>
          <cell r="BO2439">
            <v>867332.14285714296</v>
          </cell>
          <cell r="BP2439">
            <v>6938657.1428571437</v>
          </cell>
          <cell r="BQ2439">
            <v>6938657.1428571437</v>
          </cell>
          <cell r="BR2439">
            <v>14744646.428571429</v>
          </cell>
          <cell r="BT2439">
            <v>0</v>
          </cell>
          <cell r="BV2439">
            <v>42</v>
          </cell>
          <cell r="BW2439">
            <v>60</v>
          </cell>
          <cell r="CA2439" t="str">
            <v>OPP-900987 - REVTOT - Identified - New</v>
          </cell>
          <cell r="CC2439" t="str">
            <v>OPP-900987 - REVTOT - Identified - New - NE</v>
          </cell>
          <cell r="CD2439" t="str">
            <v/>
          </cell>
          <cell r="CF2439" t="str">
            <v>OPP-900987 - Identified - New - NE</v>
          </cell>
        </row>
        <row r="2440">
          <cell r="D2440">
            <v>238</v>
          </cell>
          <cell r="E2440">
            <v>2</v>
          </cell>
          <cell r="F2440">
            <v>4</v>
          </cell>
          <cell r="G2440" t="str">
            <v>OPP-900987</v>
          </cell>
          <cell r="H2440" t="str">
            <v>Magnox</v>
          </cell>
          <cell r="I2440" t="str">
            <v>NE</v>
          </cell>
          <cell r="J2440" t="str">
            <v>NE International Programs</v>
          </cell>
          <cell r="K2440" t="str">
            <v>UK-NDA</v>
          </cell>
          <cell r="L2440" t="str">
            <v>Non-US Gov't</v>
          </cell>
          <cell r="O2440">
            <v>0</v>
          </cell>
          <cell r="P2440">
            <v>0</v>
          </cell>
          <cell r="Q2440">
            <v>0</v>
          </cell>
          <cell r="R2440">
            <v>0</v>
          </cell>
          <cell r="S2440">
            <v>1</v>
          </cell>
          <cell r="T2440">
            <v>0</v>
          </cell>
          <cell r="U2440" t="str">
            <v>CONTRACT</v>
          </cell>
          <cell r="V2440" t="str">
            <v>Base</v>
          </cell>
          <cell r="W2440">
            <v>0</v>
          </cell>
          <cell r="X2440">
            <v>0</v>
          </cell>
          <cell r="Y2440">
            <v>0</v>
          </cell>
          <cell r="Z2440">
            <v>0</v>
          </cell>
          <cell r="AA2440">
            <v>0</v>
          </cell>
          <cell r="AB2440">
            <v>0</v>
          </cell>
          <cell r="AC2440">
            <v>0</v>
          </cell>
          <cell r="AD2440">
            <v>0</v>
          </cell>
          <cell r="BF2440">
            <v>0</v>
          </cell>
          <cell r="BG2440">
            <v>0</v>
          </cell>
          <cell r="BH2440">
            <v>0</v>
          </cell>
          <cell r="BI2440">
            <v>0</v>
          </cell>
          <cell r="BJ2440">
            <v>0</v>
          </cell>
          <cell r="BK2440">
            <v>0</v>
          </cell>
          <cell r="BL2440">
            <v>0</v>
          </cell>
          <cell r="BM2440">
            <v>0</v>
          </cell>
          <cell r="BN2440">
            <v>0</v>
          </cell>
          <cell r="BO2440">
            <v>0</v>
          </cell>
          <cell r="BP2440">
            <v>0</v>
          </cell>
          <cell r="BQ2440">
            <v>0</v>
          </cell>
          <cell r="BR2440">
            <v>0</v>
          </cell>
          <cell r="BT2440">
            <v>0</v>
          </cell>
          <cell r="BV2440">
            <v>2</v>
          </cell>
          <cell r="BW2440">
            <v>78</v>
          </cell>
          <cell r="CA2440" t="str">
            <v>OPP-900987 - CONTRACT - Base</v>
          </cell>
          <cell r="CC2440" t="str">
            <v>OPP-900987 - CONTRACT - Base - NE - 2</v>
          </cell>
          <cell r="CD2440" t="str">
            <v/>
          </cell>
          <cell r="CF2440" t="str">
            <v>OPP-900987 - Base - NE</v>
          </cell>
        </row>
        <row r="2441">
          <cell r="D2441">
            <v>239</v>
          </cell>
          <cell r="E2441">
            <v>2</v>
          </cell>
          <cell r="F2441">
            <v>5</v>
          </cell>
          <cell r="G2441" t="str">
            <v>OPP-900987</v>
          </cell>
          <cell r="H2441" t="str">
            <v>Magnox</v>
          </cell>
          <cell r="I2441" t="str">
            <v>NE</v>
          </cell>
          <cell r="J2441" t="str">
            <v>NE International Programs</v>
          </cell>
          <cell r="K2441" t="str">
            <v>UK-NDA</v>
          </cell>
          <cell r="L2441" t="str">
            <v>Non-US Gov't</v>
          </cell>
          <cell r="O2441">
            <v>0</v>
          </cell>
          <cell r="P2441">
            <v>0</v>
          </cell>
          <cell r="Q2441">
            <v>0</v>
          </cell>
          <cell r="R2441">
            <v>0</v>
          </cell>
          <cell r="S2441">
            <v>1</v>
          </cell>
          <cell r="T2441">
            <v>0</v>
          </cell>
          <cell r="U2441" t="str">
            <v>CONTRACT</v>
          </cell>
          <cell r="V2441" t="str">
            <v>Identified - Recompete</v>
          </cell>
          <cell r="W2441">
            <v>0</v>
          </cell>
          <cell r="X2441">
            <v>0</v>
          </cell>
          <cell r="Y2441">
            <v>0</v>
          </cell>
          <cell r="Z2441">
            <v>0</v>
          </cell>
          <cell r="AA2441">
            <v>0</v>
          </cell>
          <cell r="AB2441">
            <v>0</v>
          </cell>
          <cell r="AC2441">
            <v>0</v>
          </cell>
          <cell r="AD2441">
            <v>0</v>
          </cell>
          <cell r="BM2441">
            <v>0</v>
          </cell>
          <cell r="BN2441">
            <v>0</v>
          </cell>
          <cell r="BO2441">
            <v>0</v>
          </cell>
          <cell r="BP2441">
            <v>0</v>
          </cell>
          <cell r="BQ2441">
            <v>0</v>
          </cell>
          <cell r="BR2441">
            <v>0</v>
          </cell>
          <cell r="BT2441">
            <v>0</v>
          </cell>
          <cell r="BV2441">
            <v>2</v>
          </cell>
          <cell r="BW2441">
            <v>78</v>
          </cell>
          <cell r="CA2441" t="str">
            <v>OPP-900987 - CONTRACT - Identified - Recompete</v>
          </cell>
          <cell r="CC2441" t="str">
            <v>OPP-900987 - CONTRACT - Identified - Recompete - NE</v>
          </cell>
          <cell r="CD2441" t="str">
            <v/>
          </cell>
          <cell r="CF2441" t="str">
            <v>OPP-900987 - Identified - Recompete - NE</v>
          </cell>
        </row>
        <row r="2442">
          <cell r="D2442">
            <v>240</v>
          </cell>
          <cell r="E2442">
            <v>2</v>
          </cell>
          <cell r="F2442">
            <v>6</v>
          </cell>
          <cell r="G2442" t="str">
            <v>OPP-900987</v>
          </cell>
          <cell r="H2442" t="str">
            <v>Magnox</v>
          </cell>
          <cell r="I2442" t="str">
            <v>NE</v>
          </cell>
          <cell r="J2442" t="str">
            <v>NE International Programs</v>
          </cell>
          <cell r="K2442" t="str">
            <v>UK-NDA</v>
          </cell>
          <cell r="L2442" t="str">
            <v>Non-US Gov't</v>
          </cell>
          <cell r="O2442">
            <v>44423</v>
          </cell>
          <cell r="P2442">
            <v>46980</v>
          </cell>
          <cell r="Q2442" t="str">
            <v>Majority</v>
          </cell>
          <cell r="R2442" t="str">
            <v>Cost Plus Incentive Fee</v>
          </cell>
          <cell r="S2442">
            <v>1</v>
          </cell>
          <cell r="T2442">
            <v>1</v>
          </cell>
          <cell r="U2442" t="str">
            <v>CONTRACT</v>
          </cell>
          <cell r="V2442" t="str">
            <v>Identified - New</v>
          </cell>
          <cell r="W2442" t="str">
            <v>01 Prospect</v>
          </cell>
          <cell r="X2442" t="str">
            <v>Priority 2</v>
          </cell>
          <cell r="Y2442">
            <v>0.4</v>
          </cell>
          <cell r="Z2442">
            <v>97141200</v>
          </cell>
          <cell r="AA2442">
            <v>0</v>
          </cell>
          <cell r="AB2442">
            <v>0</v>
          </cell>
          <cell r="AC2442">
            <v>0</v>
          </cell>
          <cell r="AD2442">
            <v>0</v>
          </cell>
          <cell r="BM2442">
            <v>0</v>
          </cell>
          <cell r="BN2442">
            <v>0</v>
          </cell>
          <cell r="BO2442">
            <v>43366.607142857152</v>
          </cell>
          <cell r="BP2442">
            <v>346932.85714285722</v>
          </cell>
          <cell r="BQ2442">
            <v>346932.85714285722</v>
          </cell>
          <cell r="BR2442">
            <v>737232.32142857159</v>
          </cell>
          <cell r="BT2442">
            <v>0</v>
          </cell>
          <cell r="BV2442">
            <v>42</v>
          </cell>
          <cell r="BW2442">
            <v>78</v>
          </cell>
          <cell r="CA2442" t="str">
            <v>OPP-900987 - CONTRACT - Identified - New</v>
          </cell>
          <cell r="CC2442" t="str">
            <v>OPP-900987 - CONTRACT - Identified - New - NE</v>
          </cell>
          <cell r="CD2442" t="str">
            <v/>
          </cell>
          <cell r="CF2442" t="str">
            <v>OPP-900987 - Identified - New - NE</v>
          </cell>
        </row>
        <row r="2443">
          <cell r="D2443">
            <v>241</v>
          </cell>
          <cell r="E2443">
            <v>0</v>
          </cell>
          <cell r="F2443">
            <v>7</v>
          </cell>
          <cell r="G2443" t="str">
            <v>OPP-900987</v>
          </cell>
          <cell r="H2443" t="str">
            <v>Magnox</v>
          </cell>
          <cell r="I2443" t="str">
            <v>NE</v>
          </cell>
          <cell r="J2443" t="str">
            <v>NE International Programs</v>
          </cell>
          <cell r="K2443" t="str">
            <v>UK-NDA</v>
          </cell>
          <cell r="L2443" t="str">
            <v>Non-US Gov't</v>
          </cell>
          <cell r="O2443">
            <v>0</v>
          </cell>
          <cell r="P2443">
            <v>0</v>
          </cell>
          <cell r="Q2443">
            <v>0</v>
          </cell>
          <cell r="R2443">
            <v>0</v>
          </cell>
          <cell r="S2443">
            <v>1</v>
          </cell>
          <cell r="T2443">
            <v>0</v>
          </cell>
          <cell r="U2443" t="str">
            <v>EBITA</v>
          </cell>
          <cell r="V2443" t="str">
            <v>Base</v>
          </cell>
          <cell r="W2443">
            <v>0</v>
          </cell>
          <cell r="X2443">
            <v>0</v>
          </cell>
          <cell r="Y2443">
            <v>0</v>
          </cell>
          <cell r="Z2443">
            <v>0</v>
          </cell>
          <cell r="AA2443">
            <v>0</v>
          </cell>
          <cell r="AB2443">
            <v>0</v>
          </cell>
          <cell r="AC2443">
            <v>0</v>
          </cell>
          <cell r="AD2443">
            <v>0</v>
          </cell>
          <cell r="BF2443">
            <v>0</v>
          </cell>
          <cell r="BG2443">
            <v>0</v>
          </cell>
          <cell r="BH2443">
            <v>0</v>
          </cell>
          <cell r="BI2443">
            <v>0</v>
          </cell>
          <cell r="BJ2443">
            <v>0</v>
          </cell>
          <cell r="BK2443">
            <v>0</v>
          </cell>
          <cell r="BL2443">
            <v>0</v>
          </cell>
          <cell r="BM2443">
            <v>0</v>
          </cell>
          <cell r="BN2443">
            <v>0</v>
          </cell>
          <cell r="BO2443">
            <v>0</v>
          </cell>
          <cell r="BP2443">
            <v>0</v>
          </cell>
          <cell r="BQ2443">
            <v>0</v>
          </cell>
          <cell r="BR2443">
            <v>0</v>
          </cell>
          <cell r="BT2443">
            <v>0</v>
          </cell>
          <cell r="BV2443">
            <v>2</v>
          </cell>
          <cell r="BW2443">
            <v>87</v>
          </cell>
          <cell r="CA2443" t="str">
            <v>OPP-900987 - EBITA - Base</v>
          </cell>
          <cell r="CC2443" t="str">
            <v>OPP-900987 - EBITA - Base - NE</v>
          </cell>
          <cell r="CD2443" t="str">
            <v/>
          </cell>
          <cell r="CF2443" t="str">
            <v>OPP-900987 - Base - NE</v>
          </cell>
        </row>
        <row r="2444">
          <cell r="D2444">
            <v>242</v>
          </cell>
          <cell r="E2444">
            <v>0</v>
          </cell>
          <cell r="F2444">
            <v>8</v>
          </cell>
          <cell r="G2444" t="str">
            <v>OPP-900987</v>
          </cell>
          <cell r="H2444" t="str">
            <v>Magnox</v>
          </cell>
          <cell r="I2444" t="str">
            <v>NE</v>
          </cell>
          <cell r="J2444" t="str">
            <v>NE International Programs</v>
          </cell>
          <cell r="K2444" t="str">
            <v>UK-NDA</v>
          </cell>
          <cell r="L2444" t="str">
            <v>Non-US Gov't</v>
          </cell>
          <cell r="O2444">
            <v>0</v>
          </cell>
          <cell r="P2444">
            <v>0</v>
          </cell>
          <cell r="Q2444">
            <v>0</v>
          </cell>
          <cell r="R2444">
            <v>0</v>
          </cell>
          <cell r="S2444">
            <v>1</v>
          </cell>
          <cell r="T2444">
            <v>0</v>
          </cell>
          <cell r="U2444" t="str">
            <v>EBITA</v>
          </cell>
          <cell r="V2444" t="str">
            <v>Identified - Recompete</v>
          </cell>
          <cell r="W2444">
            <v>0</v>
          </cell>
          <cell r="X2444">
            <v>0</v>
          </cell>
          <cell r="Y2444">
            <v>0</v>
          </cell>
          <cell r="Z2444">
            <v>0</v>
          </cell>
          <cell r="AA2444">
            <v>0</v>
          </cell>
          <cell r="AB2444">
            <v>0</v>
          </cell>
          <cell r="AC2444">
            <v>0</v>
          </cell>
          <cell r="AD2444">
            <v>0</v>
          </cell>
          <cell r="BM2444">
            <v>0</v>
          </cell>
          <cell r="BN2444">
            <v>0</v>
          </cell>
          <cell r="BO2444">
            <v>0</v>
          </cell>
          <cell r="BP2444">
            <v>0</v>
          </cell>
          <cell r="BQ2444">
            <v>0</v>
          </cell>
          <cell r="BR2444">
            <v>0</v>
          </cell>
          <cell r="BT2444">
            <v>0</v>
          </cell>
          <cell r="BV2444">
            <v>2</v>
          </cell>
          <cell r="BW2444">
            <v>87</v>
          </cell>
          <cell r="CA2444" t="str">
            <v>OPP-900987 - EBITA - Identified - Recompete</v>
          </cell>
          <cell r="CC2444" t="str">
            <v>OPP-900987 - EBITA - Identified - Recompete - NE</v>
          </cell>
          <cell r="CD2444" t="str">
            <v/>
          </cell>
          <cell r="CF2444" t="str">
            <v>OPP-900987 - Identified - Recompete - NE</v>
          </cell>
        </row>
        <row r="2445">
          <cell r="D2445">
            <v>243</v>
          </cell>
          <cell r="E2445">
            <v>0</v>
          </cell>
          <cell r="F2445">
            <v>0</v>
          </cell>
          <cell r="G2445" t="str">
            <v>OPP-900987</v>
          </cell>
          <cell r="H2445" t="str">
            <v>Magnox</v>
          </cell>
          <cell r="I2445" t="str">
            <v>NE</v>
          </cell>
          <cell r="J2445" t="str">
            <v>NE International Programs</v>
          </cell>
          <cell r="K2445" t="str">
            <v>UK-NDA</v>
          </cell>
          <cell r="L2445" t="str">
            <v>Non-US Gov't</v>
          </cell>
          <cell r="O2445">
            <v>44423</v>
          </cell>
          <cell r="P2445">
            <v>46980</v>
          </cell>
          <cell r="Q2445" t="str">
            <v>Majority</v>
          </cell>
          <cell r="R2445" t="str">
            <v>Cost Plus Incentive Fee</v>
          </cell>
          <cell r="S2445">
            <v>1</v>
          </cell>
          <cell r="T2445">
            <v>1</v>
          </cell>
          <cell r="U2445" t="str">
            <v>EBITA</v>
          </cell>
          <cell r="V2445" t="str">
            <v>Identified - New</v>
          </cell>
          <cell r="W2445" t="str">
            <v>01 Prospect</v>
          </cell>
          <cell r="X2445" t="str">
            <v>Priority 2</v>
          </cell>
          <cell r="Y2445">
            <v>0.4</v>
          </cell>
          <cell r="Z2445">
            <v>97141200</v>
          </cell>
          <cell r="AA2445">
            <v>0</v>
          </cell>
          <cell r="AB2445">
            <v>0</v>
          </cell>
          <cell r="AC2445">
            <v>0</v>
          </cell>
          <cell r="AD2445">
            <v>0</v>
          </cell>
          <cell r="BM2445">
            <v>0</v>
          </cell>
          <cell r="BN2445">
            <v>0</v>
          </cell>
          <cell r="BO2445">
            <v>21683.303571428576</v>
          </cell>
          <cell r="BP2445">
            <v>173466.42857142861</v>
          </cell>
          <cell r="BQ2445">
            <v>173466.42857142861</v>
          </cell>
          <cell r="BR2445">
            <v>368616.1607142858</v>
          </cell>
          <cell r="BT2445">
            <v>0</v>
          </cell>
          <cell r="BV2445">
            <v>42</v>
          </cell>
          <cell r="BW2445">
            <v>87</v>
          </cell>
          <cell r="CA2445" t="str">
            <v>OPP-900987 - EBITA - Identified - New</v>
          </cell>
          <cell r="CC2445" t="str">
            <v>OPP-900987 - EBITA - Identified - New - NE</v>
          </cell>
          <cell r="CD2445" t="str">
            <v/>
          </cell>
          <cell r="CF2445" t="str">
            <v>OPP-900987 - Identified - New - NE</v>
          </cell>
        </row>
        <row r="2446">
          <cell r="D2446">
            <v>244</v>
          </cell>
          <cell r="E2446">
            <v>1</v>
          </cell>
          <cell r="F2446">
            <v>1</v>
          </cell>
          <cell r="G2446" t="str">
            <v>OPP-939035</v>
          </cell>
          <cell r="H2446" t="str">
            <v>Japan - Monju Reaction Sodium Disposition</v>
          </cell>
          <cell r="I2446" t="str">
            <v>NE</v>
          </cell>
          <cell r="J2446" t="str">
            <v>NE International Programs</v>
          </cell>
          <cell r="K2446" t="str">
            <v>Other Foreign Gov't</v>
          </cell>
          <cell r="L2446" t="str">
            <v>Non-US Gov't</v>
          </cell>
          <cell r="O2446">
            <v>0</v>
          </cell>
          <cell r="P2446">
            <v>0</v>
          </cell>
          <cell r="Q2446">
            <v>0</v>
          </cell>
          <cell r="R2446">
            <v>0</v>
          </cell>
          <cell r="S2446">
            <v>1</v>
          </cell>
          <cell r="T2446">
            <v>0</v>
          </cell>
          <cell r="U2446" t="str">
            <v>REVTOT</v>
          </cell>
          <cell r="V2446" t="str">
            <v>Base</v>
          </cell>
          <cell r="W2446">
            <v>0</v>
          </cell>
          <cell r="X2446">
            <v>0</v>
          </cell>
          <cell r="Y2446">
            <v>0</v>
          </cell>
          <cell r="Z2446">
            <v>0</v>
          </cell>
          <cell r="AA2446">
            <v>0</v>
          </cell>
          <cell r="AB2446">
            <v>0</v>
          </cell>
          <cell r="AC2446">
            <v>0</v>
          </cell>
          <cell r="AD2446">
            <v>0</v>
          </cell>
          <cell r="BF2446">
            <v>0</v>
          </cell>
          <cell r="BG2446">
            <v>0</v>
          </cell>
          <cell r="BH2446">
            <v>0</v>
          </cell>
          <cell r="BI2446">
            <v>0</v>
          </cell>
          <cell r="BJ2446">
            <v>0</v>
          </cell>
          <cell r="BK2446">
            <v>0</v>
          </cell>
          <cell r="BL2446">
            <v>0</v>
          </cell>
          <cell r="BM2446">
            <v>0</v>
          </cell>
          <cell r="BN2446">
            <v>0</v>
          </cell>
          <cell r="BO2446">
            <v>0</v>
          </cell>
          <cell r="BP2446">
            <v>0</v>
          </cell>
          <cell r="BQ2446">
            <v>0</v>
          </cell>
          <cell r="BR2446">
            <v>0</v>
          </cell>
          <cell r="BT2446">
            <v>0</v>
          </cell>
          <cell r="BV2446">
            <v>2</v>
          </cell>
          <cell r="BW2446">
            <v>60</v>
          </cell>
          <cell r="CA2446" t="str">
            <v>OPP-939035 - REVTOT - Base</v>
          </cell>
          <cell r="CC2446" t="str">
            <v>OPP-939035 - REVTOT - Base - NE</v>
          </cell>
          <cell r="CD2446" t="str">
            <v/>
          </cell>
          <cell r="CF2446" t="str">
            <v>OPP-939035 - Base - NE</v>
          </cell>
        </row>
        <row r="2447">
          <cell r="D2447">
            <v>245</v>
          </cell>
          <cell r="E2447">
            <v>1</v>
          </cell>
          <cell r="F2447">
            <v>2</v>
          </cell>
          <cell r="G2447" t="str">
            <v>OPP-939035</v>
          </cell>
          <cell r="H2447" t="str">
            <v>Japan - Monju Reaction Sodium Disposition</v>
          </cell>
          <cell r="I2447" t="str">
            <v>NE</v>
          </cell>
          <cell r="J2447" t="str">
            <v>NE International Programs</v>
          </cell>
          <cell r="K2447" t="str">
            <v>Other Foreign Gov't</v>
          </cell>
          <cell r="L2447" t="str">
            <v>Non-US Gov't</v>
          </cell>
          <cell r="O2447">
            <v>0</v>
          </cell>
          <cell r="P2447">
            <v>0</v>
          </cell>
          <cell r="Q2447">
            <v>0</v>
          </cell>
          <cell r="R2447">
            <v>0</v>
          </cell>
          <cell r="S2447">
            <v>1</v>
          </cell>
          <cell r="T2447">
            <v>0</v>
          </cell>
          <cell r="U2447" t="str">
            <v>REVTOT</v>
          </cell>
          <cell r="V2447" t="str">
            <v>Identified - Recompete</v>
          </cell>
          <cell r="W2447">
            <v>0</v>
          </cell>
          <cell r="X2447">
            <v>0</v>
          </cell>
          <cell r="Y2447">
            <v>0</v>
          </cell>
          <cell r="Z2447">
            <v>0</v>
          </cell>
          <cell r="AA2447">
            <v>0</v>
          </cell>
          <cell r="AB2447">
            <v>0</v>
          </cell>
          <cell r="AC2447">
            <v>0</v>
          </cell>
          <cell r="AD2447">
            <v>0</v>
          </cell>
          <cell r="BM2447">
            <v>0</v>
          </cell>
          <cell r="BN2447">
            <v>0</v>
          </cell>
          <cell r="BO2447">
            <v>0</v>
          </cell>
          <cell r="BP2447">
            <v>0</v>
          </cell>
          <cell r="BQ2447">
            <v>0</v>
          </cell>
          <cell r="BR2447">
            <v>0</v>
          </cell>
          <cell r="BT2447">
            <v>0</v>
          </cell>
          <cell r="BV2447">
            <v>2</v>
          </cell>
          <cell r="BW2447">
            <v>60</v>
          </cell>
          <cell r="CA2447" t="str">
            <v>OPP-939035 - REVTOT - Identified - Recompete</v>
          </cell>
          <cell r="CC2447" t="str">
            <v>OPP-939035 - REVTOT - Identified - Recompete - NE</v>
          </cell>
          <cell r="CD2447" t="str">
            <v/>
          </cell>
          <cell r="CF2447" t="str">
            <v>OPP-939035 - Identified - Recompete - NE</v>
          </cell>
        </row>
        <row r="2448">
          <cell r="D2448">
            <v>246</v>
          </cell>
          <cell r="E2448">
            <v>1</v>
          </cell>
          <cell r="F2448">
            <v>3</v>
          </cell>
          <cell r="G2448" t="str">
            <v>OPP-939035</v>
          </cell>
          <cell r="H2448" t="str">
            <v>Japan - Monju Reaction Sodium Disposition</v>
          </cell>
          <cell r="I2448" t="str">
            <v>NE</v>
          </cell>
          <cell r="J2448" t="str">
            <v>NE International Programs</v>
          </cell>
          <cell r="K2448" t="str">
            <v>Other Foreign Gov't</v>
          </cell>
          <cell r="L2448" t="str">
            <v>Non-US Gov't</v>
          </cell>
          <cell r="O2448">
            <v>43922</v>
          </cell>
          <cell r="P2448">
            <v>51227</v>
          </cell>
          <cell r="Q2448" t="str">
            <v>Minority</v>
          </cell>
          <cell r="R2448" t="str">
            <v>Other</v>
          </cell>
          <cell r="S2448">
            <v>1</v>
          </cell>
          <cell r="T2448">
            <v>0</v>
          </cell>
          <cell r="U2448" t="str">
            <v>REVTOT</v>
          </cell>
          <cell r="V2448" t="str">
            <v>Identified - New</v>
          </cell>
          <cell r="W2448" t="str">
            <v>00 Investigate</v>
          </cell>
          <cell r="X2448" t="str">
            <v>Priority 1</v>
          </cell>
          <cell r="Y2448">
            <v>0.35</v>
          </cell>
          <cell r="Z2448">
            <v>1000199999.9999999</v>
          </cell>
          <cell r="AA2448">
            <v>0</v>
          </cell>
          <cell r="AB2448">
            <v>0</v>
          </cell>
          <cell r="AC2448">
            <v>0</v>
          </cell>
          <cell r="AD2448">
            <v>0</v>
          </cell>
          <cell r="BM2448">
            <v>0</v>
          </cell>
          <cell r="BN2448">
            <v>0</v>
          </cell>
          <cell r="BO2448">
            <v>0</v>
          </cell>
          <cell r="BP2448">
            <v>0</v>
          </cell>
          <cell r="BQ2448">
            <v>0</v>
          </cell>
          <cell r="BR2448">
            <v>0</v>
          </cell>
          <cell r="BT2448">
            <v>0</v>
          </cell>
          <cell r="BV2448">
            <v>43</v>
          </cell>
          <cell r="BW2448">
            <v>60</v>
          </cell>
          <cell r="CA2448" t="str">
            <v>OPP-939035 - REVTOT - Identified - New</v>
          </cell>
          <cell r="CC2448" t="str">
            <v>OPP-939035 - REVTOT - Identified - New - NE</v>
          </cell>
          <cell r="CD2448" t="str">
            <v/>
          </cell>
          <cell r="CF2448" t="str">
            <v>OPP-939035 - Identified - New - NE</v>
          </cell>
        </row>
        <row r="2449">
          <cell r="D2449">
            <v>247</v>
          </cell>
          <cell r="E2449">
            <v>2</v>
          </cell>
          <cell r="F2449">
            <v>4</v>
          </cell>
          <cell r="G2449" t="str">
            <v>OPP-939035</v>
          </cell>
          <cell r="H2449" t="str">
            <v>Japan - Monju Reaction Sodium Disposition</v>
          </cell>
          <cell r="I2449" t="str">
            <v>NE</v>
          </cell>
          <cell r="J2449" t="str">
            <v>NE International Programs</v>
          </cell>
          <cell r="K2449" t="str">
            <v>Other Foreign Gov't</v>
          </cell>
          <cell r="L2449" t="str">
            <v>Non-US Gov't</v>
          </cell>
          <cell r="O2449">
            <v>0</v>
          </cell>
          <cell r="P2449">
            <v>0</v>
          </cell>
          <cell r="Q2449">
            <v>0</v>
          </cell>
          <cell r="R2449">
            <v>0</v>
          </cell>
          <cell r="S2449">
            <v>1</v>
          </cell>
          <cell r="T2449">
            <v>0</v>
          </cell>
          <cell r="U2449" t="str">
            <v>CONTRACT</v>
          </cell>
          <cell r="V2449" t="str">
            <v>Base</v>
          </cell>
          <cell r="W2449">
            <v>0</v>
          </cell>
          <cell r="X2449">
            <v>0</v>
          </cell>
          <cell r="Y2449">
            <v>0</v>
          </cell>
          <cell r="Z2449">
            <v>0</v>
          </cell>
          <cell r="AA2449">
            <v>0</v>
          </cell>
          <cell r="AB2449">
            <v>0</v>
          </cell>
          <cell r="AC2449">
            <v>0</v>
          </cell>
          <cell r="AD2449">
            <v>0</v>
          </cell>
          <cell r="BF2449">
            <v>0</v>
          </cell>
          <cell r="BG2449">
            <v>0</v>
          </cell>
          <cell r="BH2449">
            <v>0</v>
          </cell>
          <cell r="BI2449">
            <v>0</v>
          </cell>
          <cell r="BJ2449">
            <v>0</v>
          </cell>
          <cell r="BK2449">
            <v>0</v>
          </cell>
          <cell r="BL2449">
            <v>0</v>
          </cell>
          <cell r="BM2449">
            <v>0</v>
          </cell>
          <cell r="BN2449">
            <v>0</v>
          </cell>
          <cell r="BO2449">
            <v>0</v>
          </cell>
          <cell r="BP2449">
            <v>0</v>
          </cell>
          <cell r="BQ2449">
            <v>0</v>
          </cell>
          <cell r="BR2449">
            <v>0</v>
          </cell>
          <cell r="BT2449">
            <v>0</v>
          </cell>
          <cell r="BV2449">
            <v>2</v>
          </cell>
          <cell r="BW2449">
            <v>78</v>
          </cell>
          <cell r="CA2449" t="str">
            <v>OPP-939035 - CONTRACT - Base</v>
          </cell>
          <cell r="CC2449" t="str">
            <v>OPP-939035 - CONTRACT - Base - NE - 2</v>
          </cell>
          <cell r="CD2449" t="str">
            <v/>
          </cell>
          <cell r="CF2449" t="str">
            <v>OPP-939035 - Base - NE</v>
          </cell>
        </row>
        <row r="2450">
          <cell r="D2450">
            <v>248</v>
          </cell>
          <cell r="E2450">
            <v>2</v>
          </cell>
          <cell r="F2450">
            <v>5</v>
          </cell>
          <cell r="G2450" t="str">
            <v>OPP-939035</v>
          </cell>
          <cell r="H2450" t="str">
            <v>Japan - Monju Reaction Sodium Disposition</v>
          </cell>
          <cell r="I2450" t="str">
            <v>NE</v>
          </cell>
          <cell r="J2450" t="str">
            <v>NE International Programs</v>
          </cell>
          <cell r="K2450" t="str">
            <v>Other Foreign Gov't</v>
          </cell>
          <cell r="L2450" t="str">
            <v>Non-US Gov't</v>
          </cell>
          <cell r="O2450">
            <v>0</v>
          </cell>
          <cell r="P2450">
            <v>0</v>
          </cell>
          <cell r="Q2450">
            <v>0</v>
          </cell>
          <cell r="R2450">
            <v>0</v>
          </cell>
          <cell r="S2450">
            <v>1</v>
          </cell>
          <cell r="T2450">
            <v>0</v>
          </cell>
          <cell r="U2450" t="str">
            <v>CONTRACT</v>
          </cell>
          <cell r="V2450" t="str">
            <v>Identified - Recompete</v>
          </cell>
          <cell r="W2450">
            <v>0</v>
          </cell>
          <cell r="X2450">
            <v>0</v>
          </cell>
          <cell r="Y2450">
            <v>0</v>
          </cell>
          <cell r="Z2450">
            <v>0</v>
          </cell>
          <cell r="AA2450">
            <v>0</v>
          </cell>
          <cell r="AB2450">
            <v>0</v>
          </cell>
          <cell r="AC2450">
            <v>0</v>
          </cell>
          <cell r="AD2450">
            <v>0</v>
          </cell>
          <cell r="BM2450">
            <v>0</v>
          </cell>
          <cell r="BN2450">
            <v>0</v>
          </cell>
          <cell r="BO2450">
            <v>0</v>
          </cell>
          <cell r="BP2450">
            <v>0</v>
          </cell>
          <cell r="BQ2450">
            <v>0</v>
          </cell>
          <cell r="BR2450">
            <v>0</v>
          </cell>
          <cell r="BT2450">
            <v>0</v>
          </cell>
          <cell r="BV2450">
            <v>2</v>
          </cell>
          <cell r="BW2450">
            <v>78</v>
          </cell>
          <cell r="CA2450" t="str">
            <v>OPP-939035 - CONTRACT - Identified - Recompete</v>
          </cell>
          <cell r="CC2450" t="str">
            <v>OPP-939035 - CONTRACT - Identified - Recompete - NE</v>
          </cell>
          <cell r="CD2450" t="str">
            <v/>
          </cell>
          <cell r="CF2450" t="str">
            <v>OPP-939035 - Identified - Recompete - NE</v>
          </cell>
        </row>
        <row r="2451">
          <cell r="D2451">
            <v>249</v>
          </cell>
          <cell r="E2451">
            <v>2</v>
          </cell>
          <cell r="F2451">
            <v>6</v>
          </cell>
          <cell r="G2451" t="str">
            <v>OPP-939035</v>
          </cell>
          <cell r="H2451" t="str">
            <v>Japan - Monju Reaction Sodium Disposition</v>
          </cell>
          <cell r="I2451" t="str">
            <v>NE</v>
          </cell>
          <cell r="J2451" t="str">
            <v>NE International Programs</v>
          </cell>
          <cell r="K2451" t="str">
            <v>Other Foreign Gov't</v>
          </cell>
          <cell r="L2451" t="str">
            <v>Non-US Gov't</v>
          </cell>
          <cell r="O2451">
            <v>43922</v>
          </cell>
          <cell r="P2451">
            <v>51227</v>
          </cell>
          <cell r="Q2451" t="str">
            <v>Minority</v>
          </cell>
          <cell r="R2451" t="str">
            <v>Other</v>
          </cell>
          <cell r="S2451">
            <v>1</v>
          </cell>
          <cell r="T2451">
            <v>0</v>
          </cell>
          <cell r="U2451" t="str">
            <v>CONTRACT</v>
          </cell>
          <cell r="V2451" t="str">
            <v>Identified - New</v>
          </cell>
          <cell r="W2451" t="str">
            <v>00 Investigate</v>
          </cell>
          <cell r="X2451" t="str">
            <v>Priority 1</v>
          </cell>
          <cell r="Y2451">
            <v>0.35</v>
          </cell>
          <cell r="Z2451">
            <v>1000199999.9999999</v>
          </cell>
          <cell r="AA2451">
            <v>0</v>
          </cell>
          <cell r="AB2451">
            <v>0</v>
          </cell>
          <cell r="AC2451">
            <v>0</v>
          </cell>
          <cell r="AD2451">
            <v>0</v>
          </cell>
          <cell r="BM2451">
            <v>0</v>
          </cell>
          <cell r="BN2451">
            <v>0</v>
          </cell>
          <cell r="BO2451">
            <v>0</v>
          </cell>
          <cell r="BP2451">
            <v>0</v>
          </cell>
          <cell r="BQ2451">
            <v>0</v>
          </cell>
          <cell r="BR2451">
            <v>0</v>
          </cell>
          <cell r="BT2451">
            <v>0</v>
          </cell>
          <cell r="BV2451">
            <v>43</v>
          </cell>
          <cell r="BW2451">
            <v>78</v>
          </cell>
          <cell r="CA2451" t="str">
            <v>OPP-939035 - CONTRACT - Identified - New</v>
          </cell>
          <cell r="CC2451" t="str">
            <v>OPP-939035 - CONTRACT - Identified - New - NE</v>
          </cell>
          <cell r="CD2451" t="str">
            <v/>
          </cell>
          <cell r="CF2451" t="str">
            <v>OPP-939035 - Identified - New - NE</v>
          </cell>
        </row>
        <row r="2452">
          <cell r="D2452">
            <v>250</v>
          </cell>
          <cell r="E2452">
            <v>0</v>
          </cell>
          <cell r="F2452">
            <v>7</v>
          </cell>
          <cell r="G2452" t="str">
            <v>OPP-939035</v>
          </cell>
          <cell r="H2452" t="str">
            <v>Japan - Monju Reaction Sodium Disposition</v>
          </cell>
          <cell r="I2452" t="str">
            <v>NE</v>
          </cell>
          <cell r="J2452" t="str">
            <v>NE International Programs</v>
          </cell>
          <cell r="K2452" t="str">
            <v>Other Foreign Gov't</v>
          </cell>
          <cell r="L2452" t="str">
            <v>Non-US Gov't</v>
          </cell>
          <cell r="O2452">
            <v>0</v>
          </cell>
          <cell r="P2452">
            <v>0</v>
          </cell>
          <cell r="Q2452">
            <v>0</v>
          </cell>
          <cell r="R2452">
            <v>0</v>
          </cell>
          <cell r="S2452">
            <v>1</v>
          </cell>
          <cell r="T2452">
            <v>0</v>
          </cell>
          <cell r="U2452" t="str">
            <v>EBITA</v>
          </cell>
          <cell r="V2452" t="str">
            <v>Base</v>
          </cell>
          <cell r="W2452">
            <v>0</v>
          </cell>
          <cell r="X2452">
            <v>0</v>
          </cell>
          <cell r="Y2452">
            <v>0</v>
          </cell>
          <cell r="Z2452">
            <v>0</v>
          </cell>
          <cell r="AA2452">
            <v>0</v>
          </cell>
          <cell r="AB2452">
            <v>0</v>
          </cell>
          <cell r="AC2452">
            <v>0</v>
          </cell>
          <cell r="AD2452">
            <v>0</v>
          </cell>
          <cell r="BF2452">
            <v>0</v>
          </cell>
          <cell r="BG2452">
            <v>0</v>
          </cell>
          <cell r="BH2452">
            <v>0</v>
          </cell>
          <cell r="BI2452">
            <v>0</v>
          </cell>
          <cell r="BJ2452">
            <v>0</v>
          </cell>
          <cell r="BK2452">
            <v>0</v>
          </cell>
          <cell r="BL2452">
            <v>0</v>
          </cell>
          <cell r="BM2452">
            <v>0</v>
          </cell>
          <cell r="BN2452">
            <v>0</v>
          </cell>
          <cell r="BO2452">
            <v>0</v>
          </cell>
          <cell r="BP2452">
            <v>0</v>
          </cell>
          <cell r="BQ2452">
            <v>0</v>
          </cell>
          <cell r="BR2452">
            <v>0</v>
          </cell>
          <cell r="BT2452">
            <v>0</v>
          </cell>
          <cell r="BV2452">
            <v>2</v>
          </cell>
          <cell r="BW2452">
            <v>87</v>
          </cell>
          <cell r="CA2452" t="str">
            <v>OPP-939035 - EBITA - Base</v>
          </cell>
          <cell r="CC2452" t="str">
            <v>OPP-939035 - EBITA - Base - NE</v>
          </cell>
          <cell r="CD2452" t="str">
            <v/>
          </cell>
          <cell r="CF2452" t="str">
            <v>OPP-939035 - Base - NE</v>
          </cell>
        </row>
        <row r="2453">
          <cell r="D2453">
            <v>251</v>
          </cell>
          <cell r="E2453">
            <v>0</v>
          </cell>
          <cell r="F2453">
            <v>8</v>
          </cell>
          <cell r="G2453" t="str">
            <v>OPP-939035</v>
          </cell>
          <cell r="H2453" t="str">
            <v>Japan - Monju Reaction Sodium Disposition</v>
          </cell>
          <cell r="I2453" t="str">
            <v>NE</v>
          </cell>
          <cell r="J2453" t="str">
            <v>NE International Programs</v>
          </cell>
          <cell r="K2453" t="str">
            <v>Other Foreign Gov't</v>
          </cell>
          <cell r="L2453" t="str">
            <v>Non-US Gov't</v>
          </cell>
          <cell r="O2453">
            <v>0</v>
          </cell>
          <cell r="P2453">
            <v>0</v>
          </cell>
          <cell r="Q2453">
            <v>0</v>
          </cell>
          <cell r="R2453">
            <v>0</v>
          </cell>
          <cell r="S2453">
            <v>1</v>
          </cell>
          <cell r="T2453">
            <v>0</v>
          </cell>
          <cell r="U2453" t="str">
            <v>EBITA</v>
          </cell>
          <cell r="V2453" t="str">
            <v>Identified - Recompete</v>
          </cell>
          <cell r="W2453">
            <v>0</v>
          </cell>
          <cell r="X2453">
            <v>0</v>
          </cell>
          <cell r="Y2453">
            <v>0</v>
          </cell>
          <cell r="Z2453">
            <v>0</v>
          </cell>
          <cell r="AA2453">
            <v>0</v>
          </cell>
          <cell r="AB2453">
            <v>0</v>
          </cell>
          <cell r="AC2453">
            <v>0</v>
          </cell>
          <cell r="AD2453">
            <v>0</v>
          </cell>
          <cell r="BM2453">
            <v>0</v>
          </cell>
          <cell r="BN2453">
            <v>0</v>
          </cell>
          <cell r="BO2453">
            <v>0</v>
          </cell>
          <cell r="BP2453">
            <v>0</v>
          </cell>
          <cell r="BQ2453">
            <v>0</v>
          </cell>
          <cell r="BR2453">
            <v>0</v>
          </cell>
          <cell r="BT2453">
            <v>0</v>
          </cell>
          <cell r="BV2453">
            <v>2</v>
          </cell>
          <cell r="BW2453">
            <v>87</v>
          </cell>
          <cell r="CA2453" t="str">
            <v>OPP-939035 - EBITA - Identified - Recompete</v>
          </cell>
          <cell r="CC2453" t="str">
            <v>OPP-939035 - EBITA - Identified - Recompete - NE</v>
          </cell>
          <cell r="CD2453" t="str">
            <v/>
          </cell>
          <cell r="CF2453" t="str">
            <v>OPP-939035 - Identified - Recompete - NE</v>
          </cell>
        </row>
        <row r="2454">
          <cell r="D2454">
            <v>252</v>
          </cell>
          <cell r="E2454">
            <v>0</v>
          </cell>
          <cell r="F2454">
            <v>0</v>
          </cell>
          <cell r="G2454" t="str">
            <v>OPP-939035</v>
          </cell>
          <cell r="H2454" t="str">
            <v>Japan - Monju Reaction Sodium Disposition</v>
          </cell>
          <cell r="I2454" t="str">
            <v>NE</v>
          </cell>
          <cell r="J2454" t="str">
            <v>NE International Programs</v>
          </cell>
          <cell r="K2454" t="str">
            <v>Other Foreign Gov't</v>
          </cell>
          <cell r="L2454" t="str">
            <v>Non-US Gov't</v>
          </cell>
          <cell r="O2454">
            <v>43922</v>
          </cell>
          <cell r="P2454">
            <v>51227</v>
          </cell>
          <cell r="Q2454" t="str">
            <v>Minority</v>
          </cell>
          <cell r="R2454" t="str">
            <v>Other</v>
          </cell>
          <cell r="S2454">
            <v>1</v>
          </cell>
          <cell r="T2454">
            <v>0</v>
          </cell>
          <cell r="U2454" t="str">
            <v>EBITA</v>
          </cell>
          <cell r="V2454" t="str">
            <v>Identified - New</v>
          </cell>
          <cell r="W2454" t="str">
            <v>00 Investigate</v>
          </cell>
          <cell r="X2454" t="str">
            <v>Priority 1</v>
          </cell>
          <cell r="Y2454">
            <v>0.35</v>
          </cell>
          <cell r="Z2454">
            <v>1000199999.9999999</v>
          </cell>
          <cell r="AA2454">
            <v>0</v>
          </cell>
          <cell r="AB2454">
            <v>0</v>
          </cell>
          <cell r="AC2454">
            <v>0</v>
          </cell>
          <cell r="AD2454">
            <v>0</v>
          </cell>
          <cell r="BM2454">
            <v>0</v>
          </cell>
          <cell r="BN2454">
            <v>217578.22916666663</v>
          </cell>
          <cell r="BO2454">
            <v>437587.49999999994</v>
          </cell>
          <cell r="BP2454">
            <v>437587.49999999994</v>
          </cell>
          <cell r="BQ2454">
            <v>437587.49999999994</v>
          </cell>
          <cell r="BR2454">
            <v>1530340.7291666665</v>
          </cell>
          <cell r="BT2454">
            <v>0</v>
          </cell>
          <cell r="BV2454">
            <v>43</v>
          </cell>
          <cell r="BW2454">
            <v>87</v>
          </cell>
          <cell r="CA2454" t="str">
            <v>OPP-939035 - EBITA - Identified - New</v>
          </cell>
          <cell r="CC2454" t="str">
            <v>OPP-939035 - EBITA - Identified - New - NE</v>
          </cell>
          <cell r="CD2454" t="str">
            <v/>
          </cell>
          <cell r="CF2454" t="str">
            <v>OPP-939035 - Identified - New - NE</v>
          </cell>
        </row>
        <row r="2455">
          <cell r="D2455">
            <v>253</v>
          </cell>
          <cell r="E2455">
            <v>1</v>
          </cell>
          <cell r="F2455">
            <v>1</v>
          </cell>
          <cell r="G2455" t="str">
            <v>OPP-901320</v>
          </cell>
          <cell r="H2455" t="str">
            <v>Decommissioning Support for Duane Arnold Energy Center</v>
          </cell>
          <cell r="I2455" t="str">
            <v>NE</v>
          </cell>
          <cell r="J2455" t="str">
            <v>NE DD and WM Projects</v>
          </cell>
          <cell r="K2455" t="str">
            <v>Commercial</v>
          </cell>
          <cell r="L2455" t="str">
            <v>Non-US Gov't</v>
          </cell>
          <cell r="O2455">
            <v>0</v>
          </cell>
          <cell r="P2455">
            <v>0</v>
          </cell>
          <cell r="Q2455">
            <v>0</v>
          </cell>
          <cell r="R2455">
            <v>0</v>
          </cell>
          <cell r="S2455">
            <v>1</v>
          </cell>
          <cell r="T2455">
            <v>0</v>
          </cell>
          <cell r="U2455" t="str">
            <v>REVTOT</v>
          </cell>
          <cell r="V2455" t="str">
            <v>Base</v>
          </cell>
          <cell r="W2455">
            <v>0</v>
          </cell>
          <cell r="X2455">
            <v>0</v>
          </cell>
          <cell r="Y2455">
            <v>0</v>
          </cell>
          <cell r="Z2455">
            <v>0</v>
          </cell>
          <cell r="AA2455">
            <v>0</v>
          </cell>
          <cell r="AB2455">
            <v>0</v>
          </cell>
          <cell r="AC2455">
            <v>0</v>
          </cell>
          <cell r="AD2455">
            <v>0</v>
          </cell>
          <cell r="BF2455">
            <v>0</v>
          </cell>
          <cell r="BG2455">
            <v>0</v>
          </cell>
          <cell r="BH2455">
            <v>0</v>
          </cell>
          <cell r="BI2455">
            <v>0</v>
          </cell>
          <cell r="BJ2455">
            <v>0</v>
          </cell>
          <cell r="BK2455">
            <v>0</v>
          </cell>
          <cell r="BL2455">
            <v>0</v>
          </cell>
          <cell r="BM2455">
            <v>0</v>
          </cell>
          <cell r="BN2455">
            <v>0</v>
          </cell>
          <cell r="BO2455">
            <v>0</v>
          </cell>
          <cell r="BP2455">
            <v>0</v>
          </cell>
          <cell r="BQ2455">
            <v>0</v>
          </cell>
          <cell r="BR2455">
            <v>0</v>
          </cell>
          <cell r="BT2455">
            <v>0</v>
          </cell>
          <cell r="BV2455">
            <v>2</v>
          </cell>
          <cell r="BW2455">
            <v>60</v>
          </cell>
          <cell r="CA2455" t="str">
            <v>OPP-901320 - REVTOT - Base</v>
          </cell>
          <cell r="CC2455" t="str">
            <v>OPP-901320 - REVTOT - Base - NE</v>
          </cell>
          <cell r="CD2455" t="str">
            <v/>
          </cell>
          <cell r="CF2455" t="str">
            <v>OPP-901320 - Base - NE</v>
          </cell>
        </row>
        <row r="2456">
          <cell r="D2456">
            <v>254</v>
          </cell>
          <cell r="E2456">
            <v>1</v>
          </cell>
          <cell r="F2456">
            <v>2</v>
          </cell>
          <cell r="G2456" t="str">
            <v>OPP-901320</v>
          </cell>
          <cell r="H2456" t="str">
            <v>Decommissioning Support for Duane Arnold Energy Center</v>
          </cell>
          <cell r="I2456" t="str">
            <v>NE</v>
          </cell>
          <cell r="J2456" t="str">
            <v>NE DD and WM Projects</v>
          </cell>
          <cell r="K2456" t="str">
            <v>Commercial</v>
          </cell>
          <cell r="L2456" t="str">
            <v>Non-US Gov't</v>
          </cell>
          <cell r="O2456">
            <v>0</v>
          </cell>
          <cell r="P2456">
            <v>0</v>
          </cell>
          <cell r="Q2456">
            <v>0</v>
          </cell>
          <cell r="R2456">
            <v>0</v>
          </cell>
          <cell r="S2456">
            <v>1</v>
          </cell>
          <cell r="T2456">
            <v>0</v>
          </cell>
          <cell r="U2456" t="str">
            <v>REVTOT</v>
          </cell>
          <cell r="V2456" t="str">
            <v>Identified - Recompete</v>
          </cell>
          <cell r="W2456">
            <v>0</v>
          </cell>
          <cell r="X2456">
            <v>0</v>
          </cell>
          <cell r="Y2456">
            <v>0</v>
          </cell>
          <cell r="Z2456">
            <v>0</v>
          </cell>
          <cell r="AA2456">
            <v>0</v>
          </cell>
          <cell r="AB2456">
            <v>0</v>
          </cell>
          <cell r="AC2456">
            <v>0</v>
          </cell>
          <cell r="AD2456">
            <v>0</v>
          </cell>
          <cell r="BM2456">
            <v>0</v>
          </cell>
          <cell r="BN2456">
            <v>0</v>
          </cell>
          <cell r="BO2456">
            <v>0</v>
          </cell>
          <cell r="BP2456">
            <v>0</v>
          </cell>
          <cell r="BQ2456">
            <v>0</v>
          </cell>
          <cell r="BR2456">
            <v>0</v>
          </cell>
          <cell r="BT2456">
            <v>0</v>
          </cell>
          <cell r="BV2456">
            <v>2</v>
          </cell>
          <cell r="BW2456">
            <v>60</v>
          </cell>
          <cell r="CA2456" t="str">
            <v>OPP-901320 - REVTOT - Identified - Recompete</v>
          </cell>
          <cell r="CC2456" t="str">
            <v>OPP-901320 - REVTOT - Identified - Recompete - NE</v>
          </cell>
          <cell r="CD2456" t="str">
            <v/>
          </cell>
          <cell r="CF2456" t="str">
            <v>OPP-901320 - Identified - Recompete - NE</v>
          </cell>
        </row>
        <row r="2457">
          <cell r="D2457">
            <v>255</v>
          </cell>
          <cell r="E2457">
            <v>1</v>
          </cell>
          <cell r="F2457">
            <v>3</v>
          </cell>
          <cell r="G2457" t="str">
            <v>OPP-901320</v>
          </cell>
          <cell r="H2457" t="str">
            <v>Decommissioning Support for Duane Arnold Energy Center</v>
          </cell>
          <cell r="I2457" t="str">
            <v>NE</v>
          </cell>
          <cell r="J2457" t="str">
            <v>NE DD and WM Projects</v>
          </cell>
          <cell r="K2457" t="str">
            <v>Commercial</v>
          </cell>
          <cell r="L2457" t="str">
            <v>Non-US Gov't</v>
          </cell>
          <cell r="O2457">
            <v>43861</v>
          </cell>
          <cell r="P2457">
            <v>45661</v>
          </cell>
          <cell r="Q2457" t="str">
            <v>Majority</v>
          </cell>
          <cell r="R2457" t="str">
            <v>Fixed Price</v>
          </cell>
          <cell r="S2457">
            <v>1</v>
          </cell>
          <cell r="T2457">
            <v>1</v>
          </cell>
          <cell r="U2457" t="str">
            <v>REVTOT</v>
          </cell>
          <cell r="V2457" t="str">
            <v>Identified - New</v>
          </cell>
          <cell r="W2457" t="str">
            <v>02 Capture</v>
          </cell>
          <cell r="X2457" t="str">
            <v>Priority 1</v>
          </cell>
          <cell r="Y2457">
            <v>0.3</v>
          </cell>
          <cell r="Z2457">
            <v>130000000</v>
          </cell>
          <cell r="AA2457">
            <v>0</v>
          </cell>
          <cell r="AB2457">
            <v>0</v>
          </cell>
          <cell r="AC2457">
            <v>0</v>
          </cell>
          <cell r="AD2457">
            <v>0</v>
          </cell>
          <cell r="BM2457">
            <v>0</v>
          </cell>
          <cell r="BN2457">
            <v>8117249.1544532115</v>
          </cell>
          <cell r="BO2457">
            <v>12175873.731679818</v>
          </cell>
          <cell r="BP2457">
            <v>12175873.731679818</v>
          </cell>
          <cell r="BQ2457">
            <v>12175873.731679818</v>
          </cell>
          <cell r="BR2457">
            <v>44644870.349492669</v>
          </cell>
          <cell r="BT2457">
            <v>0</v>
          </cell>
          <cell r="BV2457">
            <v>44</v>
          </cell>
          <cell r="BW2457">
            <v>60</v>
          </cell>
          <cell r="CA2457" t="str">
            <v>OPP-901320 - REVTOT - Identified - New</v>
          </cell>
          <cell r="CC2457" t="str">
            <v>OPP-901320 - REVTOT - Identified - New - NE</v>
          </cell>
          <cell r="CD2457" t="str">
            <v/>
          </cell>
          <cell r="CF2457" t="str">
            <v>OPP-901320 - Identified - New - NE</v>
          </cell>
        </row>
        <row r="2458">
          <cell r="D2458">
            <v>256</v>
          </cell>
          <cell r="E2458">
            <v>2</v>
          </cell>
          <cell r="F2458">
            <v>4</v>
          </cell>
          <cell r="G2458" t="str">
            <v>OPP-901320</v>
          </cell>
          <cell r="H2458" t="str">
            <v>Decommissioning Support for Duane Arnold Energy Center</v>
          </cell>
          <cell r="I2458" t="str">
            <v>NE</v>
          </cell>
          <cell r="J2458" t="str">
            <v>NE DD and WM Projects</v>
          </cell>
          <cell r="K2458" t="str">
            <v>Commercial</v>
          </cell>
          <cell r="L2458" t="str">
            <v>Non-US Gov't</v>
          </cell>
          <cell r="O2458">
            <v>0</v>
          </cell>
          <cell r="P2458">
            <v>0</v>
          </cell>
          <cell r="Q2458">
            <v>0</v>
          </cell>
          <cell r="R2458">
            <v>0</v>
          </cell>
          <cell r="S2458">
            <v>1</v>
          </cell>
          <cell r="T2458">
            <v>0</v>
          </cell>
          <cell r="U2458" t="str">
            <v>CONTRACT</v>
          </cell>
          <cell r="V2458" t="str">
            <v>Base</v>
          </cell>
          <cell r="W2458">
            <v>0</v>
          </cell>
          <cell r="X2458">
            <v>0</v>
          </cell>
          <cell r="Y2458">
            <v>0</v>
          </cell>
          <cell r="Z2458">
            <v>0</v>
          </cell>
          <cell r="AA2458">
            <v>0</v>
          </cell>
          <cell r="AB2458">
            <v>0</v>
          </cell>
          <cell r="AC2458">
            <v>0</v>
          </cell>
          <cell r="AD2458">
            <v>0</v>
          </cell>
          <cell r="BF2458">
            <v>0</v>
          </cell>
          <cell r="BG2458">
            <v>0</v>
          </cell>
          <cell r="BH2458">
            <v>0</v>
          </cell>
          <cell r="BI2458">
            <v>0</v>
          </cell>
          <cell r="BJ2458">
            <v>0</v>
          </cell>
          <cell r="BK2458">
            <v>0</v>
          </cell>
          <cell r="BL2458">
            <v>0</v>
          </cell>
          <cell r="BM2458">
            <v>0</v>
          </cell>
          <cell r="BN2458">
            <v>0</v>
          </cell>
          <cell r="BO2458">
            <v>0</v>
          </cell>
          <cell r="BP2458">
            <v>0</v>
          </cell>
          <cell r="BQ2458">
            <v>0</v>
          </cell>
          <cell r="BR2458">
            <v>0</v>
          </cell>
          <cell r="BT2458">
            <v>0</v>
          </cell>
          <cell r="BV2458">
            <v>2</v>
          </cell>
          <cell r="BW2458">
            <v>78</v>
          </cell>
          <cell r="CA2458" t="str">
            <v>OPP-901320 - CONTRACT - Base</v>
          </cell>
          <cell r="CC2458" t="str">
            <v>OPP-901320 - CONTRACT - Base - NE - 2</v>
          </cell>
          <cell r="CD2458" t="str">
            <v/>
          </cell>
          <cell r="CF2458" t="str">
            <v>OPP-901320 - Base - NE</v>
          </cell>
        </row>
        <row r="2459">
          <cell r="D2459">
            <v>257</v>
          </cell>
          <cell r="E2459">
            <v>2</v>
          </cell>
          <cell r="F2459">
            <v>5</v>
          </cell>
          <cell r="G2459" t="str">
            <v>OPP-901320</v>
          </cell>
          <cell r="H2459" t="str">
            <v>Decommissioning Support for Duane Arnold Energy Center</v>
          </cell>
          <cell r="I2459" t="str">
            <v>NE</v>
          </cell>
          <cell r="J2459" t="str">
            <v>NE DD and WM Projects</v>
          </cell>
          <cell r="K2459" t="str">
            <v>Commercial</v>
          </cell>
          <cell r="L2459" t="str">
            <v>Non-US Gov't</v>
          </cell>
          <cell r="O2459">
            <v>0</v>
          </cell>
          <cell r="P2459">
            <v>0</v>
          </cell>
          <cell r="Q2459">
            <v>0</v>
          </cell>
          <cell r="R2459">
            <v>0</v>
          </cell>
          <cell r="S2459">
            <v>1</v>
          </cell>
          <cell r="T2459">
            <v>0</v>
          </cell>
          <cell r="U2459" t="str">
            <v>CONTRACT</v>
          </cell>
          <cell r="V2459" t="str">
            <v>Identified - Recompete</v>
          </cell>
          <cell r="W2459">
            <v>0</v>
          </cell>
          <cell r="X2459">
            <v>0</v>
          </cell>
          <cell r="Y2459">
            <v>0</v>
          </cell>
          <cell r="Z2459">
            <v>0</v>
          </cell>
          <cell r="AA2459">
            <v>0</v>
          </cell>
          <cell r="AB2459">
            <v>0</v>
          </cell>
          <cell r="AC2459">
            <v>0</v>
          </cell>
          <cell r="AD2459">
            <v>0</v>
          </cell>
          <cell r="BM2459">
            <v>0</v>
          </cell>
          <cell r="BN2459">
            <v>0</v>
          </cell>
          <cell r="BO2459">
            <v>0</v>
          </cell>
          <cell r="BP2459">
            <v>0</v>
          </cell>
          <cell r="BQ2459">
            <v>0</v>
          </cell>
          <cell r="BR2459">
            <v>0</v>
          </cell>
          <cell r="BT2459">
            <v>0</v>
          </cell>
          <cell r="BV2459">
            <v>2</v>
          </cell>
          <cell r="BW2459">
            <v>78</v>
          </cell>
          <cell r="CA2459" t="str">
            <v>OPP-901320 - CONTRACT - Identified - Recompete</v>
          </cell>
          <cell r="CC2459" t="str">
            <v>OPP-901320 - CONTRACT - Identified - Recompete - NE</v>
          </cell>
          <cell r="CD2459" t="str">
            <v/>
          </cell>
          <cell r="CF2459" t="str">
            <v>OPP-901320 - Identified - Recompete - NE</v>
          </cell>
        </row>
        <row r="2460">
          <cell r="D2460">
            <v>258</v>
          </cell>
          <cell r="E2460">
            <v>2</v>
          </cell>
          <cell r="F2460">
            <v>6</v>
          </cell>
          <cell r="G2460" t="str">
            <v>OPP-901320</v>
          </cell>
          <cell r="H2460" t="str">
            <v>Decommissioning Support for Duane Arnold Energy Center</v>
          </cell>
          <cell r="I2460" t="str">
            <v>NE</v>
          </cell>
          <cell r="J2460" t="str">
            <v>NE DD and WM Projects</v>
          </cell>
          <cell r="K2460" t="str">
            <v>Commercial</v>
          </cell>
          <cell r="L2460" t="str">
            <v>Non-US Gov't</v>
          </cell>
          <cell r="O2460">
            <v>43861</v>
          </cell>
          <cell r="P2460">
            <v>45661</v>
          </cell>
          <cell r="Q2460" t="str">
            <v>Majority</v>
          </cell>
          <cell r="R2460" t="str">
            <v>Fixed Price</v>
          </cell>
          <cell r="S2460">
            <v>1</v>
          </cell>
          <cell r="T2460">
            <v>1</v>
          </cell>
          <cell r="U2460" t="str">
            <v>CONTRACT</v>
          </cell>
          <cell r="V2460" t="str">
            <v>Identified - New</v>
          </cell>
          <cell r="W2460" t="str">
            <v>02 Capture</v>
          </cell>
          <cell r="X2460" t="str">
            <v>Priority 1</v>
          </cell>
          <cell r="Y2460">
            <v>0.3</v>
          </cell>
          <cell r="Z2460">
            <v>130000000</v>
          </cell>
          <cell r="AA2460">
            <v>0</v>
          </cell>
          <cell r="AB2460">
            <v>0</v>
          </cell>
          <cell r="AC2460">
            <v>0</v>
          </cell>
          <cell r="AD2460">
            <v>0</v>
          </cell>
          <cell r="BM2460">
            <v>0</v>
          </cell>
          <cell r="BN2460">
            <v>774260.68857861403</v>
          </cell>
          <cell r="BO2460">
            <v>1161391.0328679211</v>
          </cell>
          <cell r="BP2460">
            <v>1161391.0328679211</v>
          </cell>
          <cell r="BQ2460">
            <v>1161391.0328679211</v>
          </cell>
          <cell r="BR2460">
            <v>4258433.7871823777</v>
          </cell>
          <cell r="BT2460">
            <v>0</v>
          </cell>
          <cell r="BV2460">
            <v>44</v>
          </cell>
          <cell r="BW2460">
            <v>78</v>
          </cell>
          <cell r="CA2460" t="str">
            <v>OPP-901320 - CONTRACT - Identified - New</v>
          </cell>
          <cell r="CC2460" t="str">
            <v>OPP-901320 - CONTRACT - Identified - New - NE</v>
          </cell>
          <cell r="CD2460" t="str">
            <v/>
          </cell>
          <cell r="CF2460" t="str">
            <v>OPP-901320 - Identified - New - NE</v>
          </cell>
        </row>
        <row r="2461">
          <cell r="D2461">
            <v>259</v>
          </cell>
          <cell r="E2461">
            <v>0</v>
          </cell>
          <cell r="F2461">
            <v>7</v>
          </cell>
          <cell r="G2461" t="str">
            <v>OPP-901320</v>
          </cell>
          <cell r="H2461" t="str">
            <v>Decommissioning Support for Duane Arnold Energy Center</v>
          </cell>
          <cell r="I2461" t="str">
            <v>NE</v>
          </cell>
          <cell r="J2461" t="str">
            <v>NE DD and WM Projects</v>
          </cell>
          <cell r="K2461" t="str">
            <v>Commercial</v>
          </cell>
          <cell r="L2461" t="str">
            <v>Non-US Gov't</v>
          </cell>
          <cell r="O2461">
            <v>0</v>
          </cell>
          <cell r="P2461">
            <v>0</v>
          </cell>
          <cell r="Q2461">
            <v>0</v>
          </cell>
          <cell r="R2461">
            <v>0</v>
          </cell>
          <cell r="S2461">
            <v>1</v>
          </cell>
          <cell r="T2461">
            <v>0</v>
          </cell>
          <cell r="U2461" t="str">
            <v>EBITA</v>
          </cell>
          <cell r="V2461" t="str">
            <v>Base</v>
          </cell>
          <cell r="W2461">
            <v>0</v>
          </cell>
          <cell r="X2461">
            <v>0</v>
          </cell>
          <cell r="Y2461">
            <v>0</v>
          </cell>
          <cell r="Z2461">
            <v>0</v>
          </cell>
          <cell r="AA2461">
            <v>0</v>
          </cell>
          <cell r="AB2461">
            <v>0</v>
          </cell>
          <cell r="AC2461">
            <v>0</v>
          </cell>
          <cell r="AD2461">
            <v>0</v>
          </cell>
          <cell r="BF2461">
            <v>0</v>
          </cell>
          <cell r="BG2461">
            <v>0</v>
          </cell>
          <cell r="BH2461">
            <v>0</v>
          </cell>
          <cell r="BI2461">
            <v>0</v>
          </cell>
          <cell r="BJ2461">
            <v>0</v>
          </cell>
          <cell r="BK2461">
            <v>0</v>
          </cell>
          <cell r="BL2461">
            <v>0</v>
          </cell>
          <cell r="BM2461">
            <v>0</v>
          </cell>
          <cell r="BN2461">
            <v>0</v>
          </cell>
          <cell r="BO2461">
            <v>0</v>
          </cell>
          <cell r="BP2461">
            <v>0</v>
          </cell>
          <cell r="BQ2461">
            <v>0</v>
          </cell>
          <cell r="BR2461">
            <v>0</v>
          </cell>
          <cell r="BT2461">
            <v>0</v>
          </cell>
          <cell r="BV2461">
            <v>2</v>
          </cell>
          <cell r="BW2461">
            <v>87</v>
          </cell>
          <cell r="CA2461" t="str">
            <v>OPP-901320 - EBITA - Base</v>
          </cell>
          <cell r="CC2461" t="str">
            <v>OPP-901320 - EBITA - Base - NE</v>
          </cell>
          <cell r="CD2461" t="str">
            <v/>
          </cell>
          <cell r="CF2461" t="str">
            <v>OPP-901320 - Base - NE</v>
          </cell>
        </row>
        <row r="2462">
          <cell r="D2462">
            <v>260</v>
          </cell>
          <cell r="E2462">
            <v>0</v>
          </cell>
          <cell r="F2462">
            <v>8</v>
          </cell>
          <cell r="G2462" t="str">
            <v>OPP-901320</v>
          </cell>
          <cell r="H2462" t="str">
            <v>Decommissioning Support for Duane Arnold Energy Center</v>
          </cell>
          <cell r="I2462" t="str">
            <v>NE</v>
          </cell>
          <cell r="J2462" t="str">
            <v>NE DD and WM Projects</v>
          </cell>
          <cell r="K2462" t="str">
            <v>Commercial</v>
          </cell>
          <cell r="L2462" t="str">
            <v>Non-US Gov't</v>
          </cell>
          <cell r="O2462">
            <v>0</v>
          </cell>
          <cell r="P2462">
            <v>0</v>
          </cell>
          <cell r="Q2462">
            <v>0</v>
          </cell>
          <cell r="R2462">
            <v>0</v>
          </cell>
          <cell r="S2462">
            <v>1</v>
          </cell>
          <cell r="T2462">
            <v>0</v>
          </cell>
          <cell r="U2462" t="str">
            <v>EBITA</v>
          </cell>
          <cell r="V2462" t="str">
            <v>Identified - Recompete</v>
          </cell>
          <cell r="W2462">
            <v>0</v>
          </cell>
          <cell r="X2462">
            <v>0</v>
          </cell>
          <cell r="Y2462">
            <v>0</v>
          </cell>
          <cell r="Z2462">
            <v>0</v>
          </cell>
          <cell r="AA2462">
            <v>0</v>
          </cell>
          <cell r="AB2462">
            <v>0</v>
          </cell>
          <cell r="AC2462">
            <v>0</v>
          </cell>
          <cell r="AD2462">
            <v>0</v>
          </cell>
          <cell r="BM2462">
            <v>0</v>
          </cell>
          <cell r="BN2462">
            <v>0</v>
          </cell>
          <cell r="BO2462">
            <v>0</v>
          </cell>
          <cell r="BP2462">
            <v>0</v>
          </cell>
          <cell r="BQ2462">
            <v>0</v>
          </cell>
          <cell r="BR2462">
            <v>0</v>
          </cell>
          <cell r="BT2462">
            <v>0</v>
          </cell>
          <cell r="BV2462">
            <v>2</v>
          </cell>
          <cell r="BW2462">
            <v>87</v>
          </cell>
          <cell r="CA2462" t="str">
            <v>OPP-901320 - EBITA - Identified - Recompete</v>
          </cell>
          <cell r="CC2462" t="str">
            <v>OPP-901320 - EBITA - Identified - Recompete - NE</v>
          </cell>
          <cell r="CD2462" t="str">
            <v/>
          </cell>
          <cell r="CF2462" t="str">
            <v>OPP-901320 - Identified - Recompete - NE</v>
          </cell>
        </row>
        <row r="2463">
          <cell r="D2463">
            <v>261</v>
          </cell>
          <cell r="E2463">
            <v>0</v>
          </cell>
          <cell r="F2463">
            <v>0</v>
          </cell>
          <cell r="G2463" t="str">
            <v>OPP-901320</v>
          </cell>
          <cell r="H2463" t="str">
            <v>Decommissioning Support for Duane Arnold Energy Center</v>
          </cell>
          <cell r="I2463" t="str">
            <v>NE</v>
          </cell>
          <cell r="J2463" t="str">
            <v>NE DD and WM Projects</v>
          </cell>
          <cell r="K2463" t="str">
            <v>Commercial</v>
          </cell>
          <cell r="L2463" t="str">
            <v>Non-US Gov't</v>
          </cell>
          <cell r="O2463">
            <v>43861</v>
          </cell>
          <cell r="P2463">
            <v>45661</v>
          </cell>
          <cell r="Q2463" t="str">
            <v>Majority</v>
          </cell>
          <cell r="R2463" t="str">
            <v>Fixed Price</v>
          </cell>
          <cell r="S2463">
            <v>1</v>
          </cell>
          <cell r="T2463">
            <v>1</v>
          </cell>
          <cell r="U2463" t="str">
            <v>EBITA</v>
          </cell>
          <cell r="V2463" t="str">
            <v>Identified - New</v>
          </cell>
          <cell r="W2463" t="str">
            <v>02 Capture</v>
          </cell>
          <cell r="X2463" t="str">
            <v>Priority 1</v>
          </cell>
          <cell r="Y2463">
            <v>0.3</v>
          </cell>
          <cell r="Z2463">
            <v>130000000</v>
          </cell>
          <cell r="AA2463">
            <v>0</v>
          </cell>
          <cell r="AB2463">
            <v>0</v>
          </cell>
          <cell r="AC2463">
            <v>0</v>
          </cell>
          <cell r="AD2463">
            <v>0</v>
          </cell>
          <cell r="BM2463">
            <v>0</v>
          </cell>
          <cell r="BN2463">
            <v>503269.44757609913</v>
          </cell>
          <cell r="BO2463">
            <v>754904.17136414873</v>
          </cell>
          <cell r="BP2463">
            <v>754904.17136414873</v>
          </cell>
          <cell r="BQ2463">
            <v>754904.17136414873</v>
          </cell>
          <cell r="BR2463">
            <v>2767981.9616685454</v>
          </cell>
          <cell r="BT2463">
            <v>0</v>
          </cell>
          <cell r="BV2463">
            <v>44</v>
          </cell>
          <cell r="BW2463">
            <v>87</v>
          </cell>
          <cell r="CA2463" t="str">
            <v>OPP-901320 - EBITA - Identified - New</v>
          </cell>
          <cell r="CC2463" t="str">
            <v>OPP-901320 - EBITA - Identified - New - NE</v>
          </cell>
          <cell r="CD2463" t="str">
            <v/>
          </cell>
          <cell r="CF2463" t="str">
            <v>OPP-901320 - Identified - New - NE</v>
          </cell>
        </row>
        <row r="2464">
          <cell r="CC2464" t="str">
            <v xml:space="preserve"> - </v>
          </cell>
          <cell r="CD2464" t="str">
            <v/>
          </cell>
          <cell r="CF2464" t="str">
            <v xml:space="preserve"> -  - </v>
          </cell>
        </row>
        <row r="2465">
          <cell r="G2465" t="str">
            <v>MR - Other</v>
          </cell>
          <cell r="H2465" t="str">
            <v>MR - Other</v>
          </cell>
          <cell r="I2465" t="str">
            <v>MR</v>
          </cell>
          <cell r="J2465" t="str">
            <v>Other</v>
          </cell>
          <cell r="U2465" t="str">
            <v>REVTOT</v>
          </cell>
          <cell r="V2465" t="str">
            <v>Base</v>
          </cell>
          <cell r="BF2465">
            <v>278603672.25999993</v>
          </cell>
          <cell r="BG2465">
            <v>127048041.12999997</v>
          </cell>
          <cell r="BH2465">
            <v>81238581.339999974</v>
          </cell>
          <cell r="BI2465">
            <v>151123.46999999988</v>
          </cell>
          <cell r="BJ2465">
            <v>58738.63</v>
          </cell>
          <cell r="BK2465">
            <v>22153.559999999998</v>
          </cell>
          <cell r="BL2465">
            <v>6100433</v>
          </cell>
          <cell r="BM2465">
            <v>6332448.6600000001</v>
          </cell>
          <cell r="BN2465">
            <v>0</v>
          </cell>
          <cell r="BO2465">
            <v>0</v>
          </cell>
          <cell r="BP2465">
            <v>0</v>
          </cell>
          <cell r="BQ2465">
            <v>0</v>
          </cell>
          <cell r="BR2465">
            <v>0</v>
          </cell>
          <cell r="CA2465" t="str">
            <v>MR - Other - REVTOT - Base</v>
          </cell>
          <cell r="CC2465" t="str">
            <v>MR - Other - REVTOT - Base - MR</v>
          </cell>
          <cell r="CD2465" t="str">
            <v>MR - Other - REVTOT - Base - MR</v>
          </cell>
          <cell r="CF2465" t="str">
            <v>MR - Other - Base - MR</v>
          </cell>
        </row>
        <row r="2466">
          <cell r="G2466" t="str">
            <v>MR - Other</v>
          </cell>
          <cell r="H2466" t="str">
            <v>MR - Other</v>
          </cell>
          <cell r="I2466" t="str">
            <v>MR</v>
          </cell>
          <cell r="J2466" t="str">
            <v>Other</v>
          </cell>
          <cell r="U2466" t="str">
            <v>CONTRACT</v>
          </cell>
          <cell r="V2466" t="str">
            <v>Base</v>
          </cell>
          <cell r="BF2466">
            <v>44447606.360000007</v>
          </cell>
          <cell r="BG2466">
            <v>26421950.109999992</v>
          </cell>
          <cell r="BH2466">
            <v>10731328.910000002</v>
          </cell>
          <cell r="BI2466">
            <v>12926.990000000103</v>
          </cell>
          <cell r="BJ2466">
            <v>32309.639999999989</v>
          </cell>
          <cell r="BK2466">
            <v>73651.589999999982</v>
          </cell>
          <cell r="BL2466">
            <v>6711540.4270000001</v>
          </cell>
          <cell r="BM2466">
            <v>6830428.6469999999</v>
          </cell>
          <cell r="BN2466">
            <v>0</v>
          </cell>
          <cell r="BO2466">
            <v>0</v>
          </cell>
          <cell r="BP2466">
            <v>0</v>
          </cell>
          <cell r="BQ2466">
            <v>0</v>
          </cell>
          <cell r="BR2466">
            <v>0</v>
          </cell>
          <cell r="CA2466" t="str">
            <v>MR - Other - CONTRACT - Base</v>
          </cell>
          <cell r="CC2466" t="str">
            <v>MR - Other - CONTRACT - Base - MR</v>
          </cell>
          <cell r="CD2466" t="str">
            <v/>
          </cell>
          <cell r="CF2466" t="str">
            <v>MR - Other - Base - MR</v>
          </cell>
        </row>
        <row r="2467">
          <cell r="G2467" t="str">
            <v>MR - Other</v>
          </cell>
          <cell r="H2467" t="str">
            <v>MR - Other</v>
          </cell>
          <cell r="I2467" t="str">
            <v>MR</v>
          </cell>
          <cell r="J2467" t="str">
            <v>Other</v>
          </cell>
          <cell r="U2467" t="str">
            <v>EBITA</v>
          </cell>
          <cell r="V2467" t="str">
            <v>Base</v>
          </cell>
          <cell r="BF2467">
            <v>32374773.000000011</v>
          </cell>
          <cell r="BG2467">
            <v>18530532.620000001</v>
          </cell>
          <cell r="BH2467">
            <v>10486118.810000002</v>
          </cell>
          <cell r="BI2467">
            <v>-1328013.7699999986</v>
          </cell>
          <cell r="BJ2467">
            <v>-119216.86999999837</v>
          </cell>
          <cell r="BK2467">
            <v>-667861.04999999853</v>
          </cell>
          <cell r="BL2467">
            <v>6711393.4270000001</v>
          </cell>
          <cell r="BM2467">
            <v>4596301.7370000053</v>
          </cell>
          <cell r="BN2467">
            <v>0</v>
          </cell>
          <cell r="BO2467">
            <v>0</v>
          </cell>
          <cell r="BP2467">
            <v>0</v>
          </cell>
          <cell r="BQ2467">
            <v>0</v>
          </cell>
          <cell r="BR2467">
            <v>0</v>
          </cell>
          <cell r="CA2467" t="str">
            <v>MR - Other - EBITA - Base</v>
          </cell>
          <cell r="CC2467" t="str">
            <v>MR - Other - EBITA - Base - MR</v>
          </cell>
          <cell r="CD2467" t="str">
            <v/>
          </cell>
          <cell r="CF2467" t="str">
            <v>MR - Other - Base - MR</v>
          </cell>
        </row>
        <row r="2468">
          <cell r="G2468" t="str">
            <v>IS4 - Other</v>
          </cell>
          <cell r="H2468" t="str">
            <v>IS4 - Other</v>
          </cell>
          <cell r="I2468" t="str">
            <v>IS4</v>
          </cell>
          <cell r="J2468" t="str">
            <v>Other</v>
          </cell>
          <cell r="U2468" t="str">
            <v>REVTOT</v>
          </cell>
          <cell r="V2468" t="str">
            <v>Base</v>
          </cell>
          <cell r="BF2468">
            <v>236602283.92999989</v>
          </cell>
          <cell r="BG2468">
            <v>103674928.69999997</v>
          </cell>
          <cell r="BH2468">
            <v>26907020.790000007</v>
          </cell>
          <cell r="BI2468">
            <v>1119059.1500000001</v>
          </cell>
          <cell r="BJ2468">
            <v>603911.56000000006</v>
          </cell>
          <cell r="BK2468">
            <v>446079.03999999986</v>
          </cell>
          <cell r="BL2468">
            <v>-8924578.8019999992</v>
          </cell>
          <cell r="BM2468">
            <v>-6755529.0519999992</v>
          </cell>
          <cell r="BN2468">
            <v>0</v>
          </cell>
          <cell r="BO2468">
            <v>0</v>
          </cell>
          <cell r="BP2468">
            <v>0</v>
          </cell>
          <cell r="BQ2468">
            <v>0</v>
          </cell>
          <cell r="BR2468">
            <v>0</v>
          </cell>
          <cell r="CA2468" t="str">
            <v>IS4 - Other - REVTOT - Base</v>
          </cell>
          <cell r="CC2468" t="str">
            <v>IS4 - Other - REVTOT - Base - IS4</v>
          </cell>
          <cell r="CD2468" t="str">
            <v/>
          </cell>
          <cell r="CF2468" t="str">
            <v>IS4 - Other - Base - IS4</v>
          </cell>
        </row>
        <row r="2469">
          <cell r="G2469" t="str">
            <v>IS4 - Other</v>
          </cell>
          <cell r="H2469" t="str">
            <v>IS4 - Other</v>
          </cell>
          <cell r="I2469" t="str">
            <v>IS4</v>
          </cell>
          <cell r="J2469" t="str">
            <v>Other</v>
          </cell>
          <cell r="U2469" t="str">
            <v>CONTRACT</v>
          </cell>
          <cell r="V2469" t="str">
            <v>Base</v>
          </cell>
          <cell r="BF2469">
            <v>43234612.509999998</v>
          </cell>
          <cell r="BG2469">
            <v>18715944.640000008</v>
          </cell>
          <cell r="BH2469">
            <v>5808845.4999999944</v>
          </cell>
          <cell r="BI2469">
            <v>706539.8200000003</v>
          </cell>
          <cell r="BJ2469">
            <v>288946.86999999994</v>
          </cell>
          <cell r="BK2469">
            <v>239129.67000000004</v>
          </cell>
          <cell r="BL2469">
            <v>647881.78200000105</v>
          </cell>
          <cell r="BM2469">
            <v>1882498.1420000014</v>
          </cell>
          <cell r="BN2469">
            <v>0</v>
          </cell>
          <cell r="BO2469">
            <v>0</v>
          </cell>
          <cell r="BP2469">
            <v>0</v>
          </cell>
          <cell r="BQ2469">
            <v>0</v>
          </cell>
          <cell r="BR2469">
            <v>0</v>
          </cell>
          <cell r="CA2469" t="str">
            <v>IS4 - Other - CONTRACT - Base</v>
          </cell>
          <cell r="CC2469" t="str">
            <v>IS4 - Other - CONTRACT - Base - IS4</v>
          </cell>
          <cell r="CD2469" t="str">
            <v/>
          </cell>
          <cell r="CF2469" t="str">
            <v>IS4 - Other - Base - IS4</v>
          </cell>
        </row>
        <row r="2470">
          <cell r="G2470" t="str">
            <v>IS4 - Other</v>
          </cell>
          <cell r="H2470" t="str">
            <v>IS4 - Other</v>
          </cell>
          <cell r="I2470" t="str">
            <v>IS4</v>
          </cell>
          <cell r="J2470" t="str">
            <v>Other</v>
          </cell>
          <cell r="U2470" t="str">
            <v>EBITA</v>
          </cell>
          <cell r="V2470" t="str">
            <v>Base</v>
          </cell>
          <cell r="BF2470">
            <v>15517374.390000001</v>
          </cell>
          <cell r="BG2470">
            <v>6336649.1899999985</v>
          </cell>
          <cell r="BH2470">
            <v>2503400.8800000013</v>
          </cell>
          <cell r="BI2470">
            <v>580819.53000000026</v>
          </cell>
          <cell r="BJ2470">
            <v>320674.43000000005</v>
          </cell>
          <cell r="BK2470">
            <v>21054.950000000073</v>
          </cell>
          <cell r="BL2470">
            <v>638578.78200000105</v>
          </cell>
          <cell r="BM2470">
            <v>1561127.6920000014</v>
          </cell>
          <cell r="BN2470">
            <v>0</v>
          </cell>
          <cell r="BO2470">
            <v>0</v>
          </cell>
          <cell r="BP2470">
            <v>0</v>
          </cell>
          <cell r="BQ2470">
            <v>0</v>
          </cell>
          <cell r="BR2470">
            <v>0</v>
          </cell>
          <cell r="CA2470" t="str">
            <v>IS4 - Other - EBITA - Base</v>
          </cell>
          <cell r="CC2470" t="str">
            <v>IS4 - Other - EBITA - Base - IS4</v>
          </cell>
          <cell r="CD2470" t="str">
            <v/>
          </cell>
          <cell r="CF2470" t="str">
            <v>IS4 - Other - Base - IS4</v>
          </cell>
        </row>
        <row r="2471">
          <cell r="G2471" t="str">
            <v>NE - Other</v>
          </cell>
          <cell r="H2471" t="str">
            <v>NE - Other</v>
          </cell>
          <cell r="I2471" t="str">
            <v>NE</v>
          </cell>
          <cell r="J2471" t="str">
            <v>Other</v>
          </cell>
          <cell r="U2471" t="str">
            <v>REVTOT</v>
          </cell>
          <cell r="V2471" t="str">
            <v>Base</v>
          </cell>
          <cell r="BF2471">
            <v>-11376697.129999999</v>
          </cell>
          <cell r="BG2471">
            <v>-15022819.189999998</v>
          </cell>
          <cell r="BH2471">
            <v>-21050597.880000003</v>
          </cell>
          <cell r="BI2471">
            <v>-3921610.6000000006</v>
          </cell>
          <cell r="BJ2471">
            <v>-5340692.6100000003</v>
          </cell>
          <cell r="BK2471">
            <v>-4833418.4899999993</v>
          </cell>
          <cell r="BL2471">
            <v>500000</v>
          </cell>
          <cell r="BM2471">
            <v>-13595721.699999999</v>
          </cell>
          <cell r="BN2471">
            <v>0</v>
          </cell>
          <cell r="BO2471">
            <v>0</v>
          </cell>
          <cell r="BP2471">
            <v>0</v>
          </cell>
          <cell r="BQ2471">
            <v>0</v>
          </cell>
          <cell r="BR2471">
            <v>0</v>
          </cell>
          <cell r="CA2471" t="str">
            <v>NE - Other - REVTOT - Base</v>
          </cell>
          <cell r="CC2471" t="str">
            <v>NE - Other - REVTOT - Base - NE</v>
          </cell>
          <cell r="CD2471" t="str">
            <v/>
          </cell>
          <cell r="CF2471" t="str">
            <v>NE - Other - Base - NE</v>
          </cell>
        </row>
        <row r="2472">
          <cell r="G2472" t="str">
            <v>NE - Other</v>
          </cell>
          <cell r="H2472" t="str">
            <v>NE - Other</v>
          </cell>
          <cell r="I2472" t="str">
            <v>NE</v>
          </cell>
          <cell r="J2472" t="str">
            <v>Other</v>
          </cell>
          <cell r="U2472" t="str">
            <v>CONTRACT</v>
          </cell>
          <cell r="V2472" t="str">
            <v>Base</v>
          </cell>
          <cell r="BF2472">
            <v>6638675.8799999999</v>
          </cell>
          <cell r="BG2472">
            <v>-1242553.1787070001</v>
          </cell>
          <cell r="BH2472">
            <v>-2771259.7664268105</v>
          </cell>
          <cell r="BI2472">
            <v>986418.13000000035</v>
          </cell>
          <cell r="BJ2472">
            <v>-198517.5800000001</v>
          </cell>
          <cell r="BK2472">
            <v>-458925.30999999936</v>
          </cell>
          <cell r="BL2472">
            <v>1559967.5</v>
          </cell>
          <cell r="BM2472">
            <v>1888942.7400000009</v>
          </cell>
          <cell r="BN2472">
            <v>0</v>
          </cell>
          <cell r="BO2472">
            <v>0</v>
          </cell>
          <cell r="BP2472">
            <v>0</v>
          </cell>
          <cell r="BQ2472">
            <v>0</v>
          </cell>
          <cell r="BR2472">
            <v>0</v>
          </cell>
          <cell r="CA2472" t="str">
            <v>NE - Other - CONTRACT - Base</v>
          </cell>
          <cell r="CC2472" t="str">
            <v>NE - Other - CONTRACT - Base - NE</v>
          </cell>
          <cell r="CD2472" t="str">
            <v/>
          </cell>
          <cell r="CF2472" t="str">
            <v>NE - Other - Base - NE</v>
          </cell>
        </row>
        <row r="2473">
          <cell r="G2473" t="str">
            <v>NE - Other</v>
          </cell>
          <cell r="H2473" t="str">
            <v>NE - Other</v>
          </cell>
          <cell r="I2473" t="str">
            <v>NE</v>
          </cell>
          <cell r="J2473" t="str">
            <v>Other</v>
          </cell>
          <cell r="U2473" t="str">
            <v>EBITA</v>
          </cell>
          <cell r="V2473" t="str">
            <v>Base</v>
          </cell>
          <cell r="BF2473">
            <v>-6838020.8499999978</v>
          </cell>
          <cell r="BG2473">
            <v>-7768893.1199989971</v>
          </cell>
          <cell r="BH2473">
            <v>-13933532.909999974</v>
          </cell>
          <cell r="BI2473">
            <v>-2737570.8999999994</v>
          </cell>
          <cell r="BJ2473">
            <v>-2979957.25</v>
          </cell>
          <cell r="BK2473">
            <v>-2474283.7699999977</v>
          </cell>
          <cell r="BL2473">
            <v>-5057684.6199999992</v>
          </cell>
          <cell r="BM2473">
            <v>-13249496.539999995</v>
          </cell>
          <cell r="BN2473">
            <v>0</v>
          </cell>
          <cell r="BO2473">
            <v>0</v>
          </cell>
          <cell r="BP2473">
            <v>0</v>
          </cell>
          <cell r="BQ2473">
            <v>0</v>
          </cell>
          <cell r="BR2473">
            <v>0</v>
          </cell>
          <cell r="CA2473" t="str">
            <v>NE - Other - EBITA - Base</v>
          </cell>
          <cell r="CC2473" t="str">
            <v>NE - Other - EBITA - Base - NE</v>
          </cell>
          <cell r="CD2473" t="str">
            <v/>
          </cell>
          <cell r="CF2473" t="str">
            <v>NE - Other - Base - NE</v>
          </cell>
        </row>
        <row r="2474">
          <cell r="G2474" t="str">
            <v>COMG - Other</v>
          </cell>
          <cell r="H2474" t="str">
            <v>COMG - Other</v>
          </cell>
          <cell r="I2474" t="str">
            <v>COMG</v>
          </cell>
          <cell r="J2474" t="str">
            <v>Other</v>
          </cell>
          <cell r="U2474" t="str">
            <v>REVTOT</v>
          </cell>
          <cell r="V2474" t="str">
            <v>Base</v>
          </cell>
          <cell r="BF2474">
            <v>32931687.5</v>
          </cell>
          <cell r="BG2474">
            <v>20638833.73</v>
          </cell>
          <cell r="BH2474">
            <v>8963880.1699999999</v>
          </cell>
          <cell r="BI2474">
            <v>22582.670000000184</v>
          </cell>
          <cell r="BJ2474">
            <v>-72587.310000000201</v>
          </cell>
          <cell r="BK2474">
            <v>85576.729999999967</v>
          </cell>
          <cell r="BL2474">
            <v>0</v>
          </cell>
          <cell r="BM2474">
            <v>35572.089999999953</v>
          </cell>
          <cell r="BN2474">
            <v>0</v>
          </cell>
          <cell r="BO2474">
            <v>0</v>
          </cell>
          <cell r="BP2474">
            <v>0</v>
          </cell>
          <cell r="BQ2474">
            <v>0</v>
          </cell>
          <cell r="BR2474">
            <v>0</v>
          </cell>
          <cell r="CA2474" t="str">
            <v>COMG - Other - REVTOT - Base</v>
          </cell>
          <cell r="CC2474" t="str">
            <v>COMG - Other - REVTOT - Base - COMG</v>
          </cell>
          <cell r="CD2474" t="str">
            <v/>
          </cell>
          <cell r="CF2474" t="str">
            <v>COMG - Other - Base - COMG</v>
          </cell>
        </row>
        <row r="2475">
          <cell r="G2475" t="str">
            <v>COMG - Other</v>
          </cell>
          <cell r="H2475" t="str">
            <v>COMG - Other</v>
          </cell>
          <cell r="I2475" t="str">
            <v>COMG</v>
          </cell>
          <cell r="J2475" t="str">
            <v>Other</v>
          </cell>
          <cell r="U2475" t="str">
            <v>CONTRACT</v>
          </cell>
          <cell r="V2475" t="str">
            <v>Base</v>
          </cell>
          <cell r="BF2475">
            <v>1089857.4099999992</v>
          </cell>
          <cell r="BG2475">
            <v>1377106.9999999998</v>
          </cell>
          <cell r="BH2475">
            <v>1220351.8600000055</v>
          </cell>
          <cell r="BI2475">
            <v>19542.119999999923</v>
          </cell>
          <cell r="BJ2475">
            <v>-6080.3600000002361</v>
          </cell>
          <cell r="BK2475">
            <v>-55696.280000000515</v>
          </cell>
          <cell r="BL2475">
            <v>430004.92000000004</v>
          </cell>
          <cell r="BM2475">
            <v>387770.39999999921</v>
          </cell>
          <cell r="BN2475">
            <v>0</v>
          </cell>
          <cell r="BO2475">
            <v>0</v>
          </cell>
          <cell r="BP2475">
            <v>0</v>
          </cell>
          <cell r="BQ2475">
            <v>0</v>
          </cell>
          <cell r="BR2475">
            <v>0</v>
          </cell>
          <cell r="CA2475" t="str">
            <v>COMG - Other - CONTRACT - Base</v>
          </cell>
          <cell r="CC2475" t="str">
            <v>COMG - Other - CONTRACT - Base - COMG</v>
          </cell>
          <cell r="CD2475" t="str">
            <v/>
          </cell>
          <cell r="CF2475" t="str">
            <v>COMG - Other - Base - COMG</v>
          </cell>
        </row>
        <row r="2476">
          <cell r="G2476" t="str">
            <v>COMG - Other</v>
          </cell>
          <cell r="H2476" t="str">
            <v>COMG - Other</v>
          </cell>
          <cell r="I2476" t="str">
            <v>COMG</v>
          </cell>
          <cell r="J2476" t="str">
            <v>Other</v>
          </cell>
          <cell r="U2476" t="str">
            <v>EBITA</v>
          </cell>
          <cell r="V2476" t="str">
            <v>Base</v>
          </cell>
          <cell r="BF2476">
            <v>-602465.54000000074</v>
          </cell>
          <cell r="BG2476">
            <v>-2231015.2599999998</v>
          </cell>
          <cell r="BH2476">
            <v>-2155362.4199999943</v>
          </cell>
          <cell r="BI2476">
            <v>-97669.620000000039</v>
          </cell>
          <cell r="BJ2476">
            <v>-430444.04000000027</v>
          </cell>
          <cell r="BK2476">
            <v>-603559.52000000048</v>
          </cell>
          <cell r="BL2476">
            <v>-944994.08</v>
          </cell>
          <cell r="BM2476">
            <v>-2076667.2600000007</v>
          </cell>
          <cell r="BN2476">
            <v>0</v>
          </cell>
          <cell r="BO2476">
            <v>0</v>
          </cell>
          <cell r="BP2476">
            <v>0</v>
          </cell>
          <cell r="BQ2476">
            <v>0</v>
          </cell>
          <cell r="BR2476">
            <v>0</v>
          </cell>
          <cell r="CA2476" t="str">
            <v>COMG - Other - EBITA - Base</v>
          </cell>
          <cell r="CC2476" t="str">
            <v>COMG - Other - EBITA - Base - COMG</v>
          </cell>
          <cell r="CD2476" t="str">
            <v/>
          </cell>
          <cell r="CF2476" t="str">
            <v>COMG - Other - Base - COMG</v>
          </cell>
        </row>
        <row r="2478">
          <cell r="G2478" t="str">
            <v>MR Logistics &amp; Supply - Identified - New</v>
          </cell>
          <cell r="H2478" t="str">
            <v>Logistics &amp; Supply</v>
          </cell>
          <cell r="I2478" t="str">
            <v>MR</v>
          </cell>
          <cell r="J2478" t="str">
            <v>MR Logistics &amp; Supply</v>
          </cell>
          <cell r="U2478" t="str">
            <v>REVTOT</v>
          </cell>
          <cell r="V2478" t="str">
            <v>Identified - New</v>
          </cell>
          <cell r="BI2478">
            <v>0</v>
          </cell>
          <cell r="BJ2478">
            <v>0</v>
          </cell>
          <cell r="BK2478">
            <v>0</v>
          </cell>
          <cell r="BL2478">
            <v>0</v>
          </cell>
          <cell r="BM2478">
            <v>0</v>
          </cell>
          <cell r="BN2478">
            <v>70069903.869619653</v>
          </cell>
          <cell r="BO2478">
            <v>172308768.77873138</v>
          </cell>
          <cell r="BP2478">
            <v>185147823.66907692</v>
          </cell>
          <cell r="BQ2478">
            <v>189954322.32188693</v>
          </cell>
          <cell r="BR2478">
            <v>617480818.63931489</v>
          </cell>
          <cell r="BX2478">
            <v>466</v>
          </cell>
          <cell r="BY2478">
            <v>29</v>
          </cell>
        </row>
        <row r="2479">
          <cell r="G2479" t="str">
            <v>MR Logistics &amp; Supply - Identified - New</v>
          </cell>
          <cell r="H2479" t="str">
            <v>Logistics &amp; Supply</v>
          </cell>
          <cell r="I2479" t="str">
            <v>MR</v>
          </cell>
          <cell r="J2479" t="str">
            <v>MR Logistics &amp; Supply</v>
          </cell>
          <cell r="U2479" t="str">
            <v>CONTRACT</v>
          </cell>
          <cell r="V2479" t="str">
            <v>Identified - New</v>
          </cell>
          <cell r="BI2479">
            <v>0</v>
          </cell>
          <cell r="BJ2479">
            <v>0</v>
          </cell>
          <cell r="BK2479">
            <v>0</v>
          </cell>
          <cell r="BL2479">
            <v>0</v>
          </cell>
          <cell r="BM2479">
            <v>0</v>
          </cell>
          <cell r="BN2479">
            <v>10181550.687178612</v>
          </cell>
          <cell r="BO2479">
            <v>24988197.631130978</v>
          </cell>
          <cell r="BP2479">
            <v>27572861.682758674</v>
          </cell>
          <cell r="BQ2479">
            <v>28666027.765444726</v>
          </cell>
          <cell r="BR2479">
            <v>91408637.76651299</v>
          </cell>
          <cell r="BX2479">
            <v>466</v>
          </cell>
          <cell r="BY2479">
            <v>34</v>
          </cell>
        </row>
        <row r="2480">
          <cell r="G2480" t="str">
            <v>MR Logistics &amp; Supply - Identified - New</v>
          </cell>
          <cell r="H2480" t="str">
            <v>Logistics &amp; Supply</v>
          </cell>
          <cell r="I2480" t="str">
            <v>MR</v>
          </cell>
          <cell r="J2480" t="str">
            <v>MR Logistics &amp; Supply</v>
          </cell>
          <cell r="U2480" t="str">
            <v>EBITA</v>
          </cell>
          <cell r="V2480" t="str">
            <v>Identified - New</v>
          </cell>
          <cell r="BI2480">
            <v>0</v>
          </cell>
          <cell r="BJ2480">
            <v>0</v>
          </cell>
          <cell r="BK2480">
            <v>0</v>
          </cell>
          <cell r="BL2480">
            <v>0</v>
          </cell>
          <cell r="BM2480">
            <v>0</v>
          </cell>
          <cell r="BN2480">
            <v>3428161.472331007</v>
          </cell>
          <cell r="BO2480">
            <v>8035971.2440743772</v>
          </cell>
          <cell r="BP2480">
            <v>9058779.9324772917</v>
          </cell>
          <cell r="BQ2480">
            <v>9569565.2017911226</v>
          </cell>
          <cell r="BR2480">
            <v>30092477.850673798</v>
          </cell>
          <cell r="BX2480">
            <v>466</v>
          </cell>
          <cell r="BY2480">
            <v>39</v>
          </cell>
        </row>
        <row r="2481">
          <cell r="G2481" t="str">
            <v>MR Logistics &amp; Supply - Unidentified - New</v>
          </cell>
          <cell r="H2481" t="str">
            <v>Logistics &amp; Supply</v>
          </cell>
          <cell r="I2481" t="str">
            <v>MR</v>
          </cell>
          <cell r="J2481" t="str">
            <v>MR Logistics &amp; Supply</v>
          </cell>
          <cell r="U2481" t="str">
            <v>REVTOT</v>
          </cell>
          <cell r="V2481" t="str">
            <v>Unidentified - New</v>
          </cell>
          <cell r="BI2481">
            <v>0</v>
          </cell>
          <cell r="BJ2481">
            <v>0</v>
          </cell>
          <cell r="BK2481">
            <v>0</v>
          </cell>
          <cell r="BL2481">
            <v>0</v>
          </cell>
          <cell r="BM2481">
            <v>0</v>
          </cell>
          <cell r="BN2481">
            <v>0</v>
          </cell>
          <cell r="BO2481">
            <v>0</v>
          </cell>
          <cell r="BP2481">
            <v>50000000</v>
          </cell>
          <cell r="BQ2481">
            <v>75000000</v>
          </cell>
          <cell r="BR2481">
            <v>125000000</v>
          </cell>
          <cell r="BX2481">
            <v>467</v>
          </cell>
          <cell r="BY2481">
            <v>29</v>
          </cell>
        </row>
        <row r="2482">
          <cell r="G2482" t="str">
            <v>MR Logistics &amp; Supply - Unidentified - New</v>
          </cell>
          <cell r="H2482" t="str">
            <v>Logistics &amp; Supply</v>
          </cell>
          <cell r="I2482" t="str">
            <v>MR</v>
          </cell>
          <cell r="J2482" t="str">
            <v>MR Logistics &amp; Supply</v>
          </cell>
          <cell r="U2482" t="str">
            <v>CONTRACT</v>
          </cell>
          <cell r="V2482" t="str">
            <v>Unidentified - New</v>
          </cell>
          <cell r="BI2482">
            <v>0</v>
          </cell>
          <cell r="BJ2482">
            <v>0</v>
          </cell>
          <cell r="BK2482">
            <v>0</v>
          </cell>
          <cell r="BL2482">
            <v>0</v>
          </cell>
          <cell r="BM2482">
            <v>0</v>
          </cell>
          <cell r="BN2482">
            <v>0</v>
          </cell>
          <cell r="BO2482">
            <v>0</v>
          </cell>
          <cell r="BP2482">
            <v>10232069.228696603</v>
          </cell>
          <cell r="BQ2482">
            <v>15348103.843044905</v>
          </cell>
          <cell r="BR2482">
            <v>25580173.071741506</v>
          </cell>
          <cell r="BX2482">
            <v>467</v>
          </cell>
          <cell r="BY2482">
            <v>34</v>
          </cell>
        </row>
        <row r="2483">
          <cell r="G2483" t="str">
            <v>MR Logistics &amp; Supply - Unidentified - New</v>
          </cell>
          <cell r="H2483" t="str">
            <v>Logistics &amp; Supply</v>
          </cell>
          <cell r="I2483" t="str">
            <v>MR</v>
          </cell>
          <cell r="J2483" t="str">
            <v>MR Logistics &amp; Supply</v>
          </cell>
          <cell r="U2483" t="str">
            <v>EBITA</v>
          </cell>
          <cell r="V2483" t="str">
            <v>Unidentified - New</v>
          </cell>
          <cell r="BI2483">
            <v>0</v>
          </cell>
          <cell r="BJ2483">
            <v>0</v>
          </cell>
          <cell r="BK2483">
            <v>0</v>
          </cell>
          <cell r="BL2483">
            <v>0</v>
          </cell>
          <cell r="BM2483">
            <v>0</v>
          </cell>
          <cell r="BN2483">
            <v>0</v>
          </cell>
          <cell r="BO2483">
            <v>0</v>
          </cell>
          <cell r="BP2483">
            <v>5250000</v>
          </cell>
          <cell r="BQ2483">
            <v>8062500</v>
          </cell>
          <cell r="BR2483">
            <v>13312500</v>
          </cell>
          <cell r="BX2483">
            <v>467</v>
          </cell>
          <cell r="BY2483">
            <v>39</v>
          </cell>
        </row>
        <row r="2484">
          <cell r="G2484" t="str">
            <v>MR Maintenance &amp; Sustainment - Identified - New</v>
          </cell>
          <cell r="H2484" t="str">
            <v>Maintenance &amp; Sustainment</v>
          </cell>
          <cell r="I2484" t="str">
            <v>MR</v>
          </cell>
          <cell r="J2484" t="str">
            <v>MR Maintenance &amp; Sustainment</v>
          </cell>
          <cell r="U2484" t="str">
            <v>REVTOT</v>
          </cell>
          <cell r="V2484" t="str">
            <v>Identified - New</v>
          </cell>
          <cell r="BI2484">
            <v>0</v>
          </cell>
          <cell r="BJ2484">
            <v>0</v>
          </cell>
          <cell r="BK2484">
            <v>0</v>
          </cell>
          <cell r="BL2484">
            <v>0</v>
          </cell>
          <cell r="BM2484">
            <v>0</v>
          </cell>
          <cell r="BN2484">
            <v>122766737.678868</v>
          </cell>
          <cell r="BO2484">
            <v>203082990.3445085</v>
          </cell>
          <cell r="BP2484">
            <v>212585879.23339739</v>
          </cell>
          <cell r="BQ2484">
            <v>142043055.15932333</v>
          </cell>
          <cell r="BR2484">
            <v>680478662.41609716</v>
          </cell>
          <cell r="BX2484">
            <v>468</v>
          </cell>
          <cell r="BY2484">
            <v>29</v>
          </cell>
        </row>
        <row r="2485">
          <cell r="G2485" t="str">
            <v>MR Maintenance &amp; Sustainment - Identified - New</v>
          </cell>
          <cell r="H2485" t="str">
            <v>Maintenance &amp; Sustainment</v>
          </cell>
          <cell r="I2485" t="str">
            <v>MR</v>
          </cell>
          <cell r="J2485" t="str">
            <v>MR Maintenance &amp; Sustainment</v>
          </cell>
          <cell r="U2485" t="str">
            <v>CONTRACT</v>
          </cell>
          <cell r="V2485" t="str">
            <v>Identified - New</v>
          </cell>
          <cell r="BI2485">
            <v>0</v>
          </cell>
          <cell r="BJ2485">
            <v>0</v>
          </cell>
          <cell r="BK2485">
            <v>0</v>
          </cell>
          <cell r="BL2485">
            <v>0</v>
          </cell>
          <cell r="BM2485">
            <v>0</v>
          </cell>
          <cell r="BN2485">
            <v>16414956.845010322</v>
          </cell>
          <cell r="BO2485">
            <v>26482453.654174674</v>
          </cell>
          <cell r="BP2485">
            <v>27768154.116741404</v>
          </cell>
          <cell r="BQ2485">
            <v>17993165.921900727</v>
          </cell>
          <cell r="BR2485">
            <v>88658730.537827134</v>
          </cell>
          <cell r="BX2485">
            <v>468</v>
          </cell>
          <cell r="BY2485">
            <v>34</v>
          </cell>
        </row>
        <row r="2486">
          <cell r="G2486" t="str">
            <v>MR Maintenance &amp; Sustainment - Identified - New</v>
          </cell>
          <cell r="H2486" t="str">
            <v>Maintenance &amp; Sustainment</v>
          </cell>
          <cell r="I2486" t="str">
            <v>MR</v>
          </cell>
          <cell r="J2486" t="str">
            <v>MR Maintenance &amp; Sustainment</v>
          </cell>
          <cell r="U2486" t="str">
            <v>EBITA</v>
          </cell>
          <cell r="V2486" t="str">
            <v>Identified - New</v>
          </cell>
          <cell r="BI2486">
            <v>0</v>
          </cell>
          <cell r="BJ2486">
            <v>0</v>
          </cell>
          <cell r="BK2486">
            <v>0</v>
          </cell>
          <cell r="BL2486">
            <v>0</v>
          </cell>
          <cell r="BM2486">
            <v>0</v>
          </cell>
          <cell r="BN2486">
            <v>3922666.9256444112</v>
          </cell>
          <cell r="BO2486">
            <v>6781440.881237098</v>
          </cell>
          <cell r="BP2486">
            <v>7363128.9976404021</v>
          </cell>
          <cell r="BQ2486">
            <v>5093643.9819002543</v>
          </cell>
          <cell r="BR2486">
            <v>23160880.786422163</v>
          </cell>
          <cell r="BX2486">
            <v>468</v>
          </cell>
          <cell r="BY2486">
            <v>39</v>
          </cell>
        </row>
        <row r="2487">
          <cell r="G2487" t="str">
            <v>MR Maintenance &amp; Sustainment - Unidentified - New</v>
          </cell>
          <cell r="H2487" t="str">
            <v>Maintenance &amp; Sustainment</v>
          </cell>
          <cell r="I2487" t="str">
            <v>MR</v>
          </cell>
          <cell r="J2487" t="str">
            <v>MR Maintenance &amp; Sustainment</v>
          </cell>
          <cell r="U2487" t="str">
            <v>REVTOT</v>
          </cell>
          <cell r="V2487" t="str">
            <v>Unidentified - New</v>
          </cell>
          <cell r="BI2487">
            <v>0</v>
          </cell>
          <cell r="BJ2487">
            <v>0</v>
          </cell>
          <cell r="BK2487">
            <v>0</v>
          </cell>
          <cell r="BL2487">
            <v>0</v>
          </cell>
          <cell r="BM2487">
            <v>0</v>
          </cell>
          <cell r="BN2487">
            <v>0</v>
          </cell>
          <cell r="BO2487">
            <v>0</v>
          </cell>
          <cell r="BP2487">
            <v>75000000</v>
          </cell>
          <cell r="BQ2487">
            <v>300000000</v>
          </cell>
          <cell r="BR2487">
            <v>375000000</v>
          </cell>
          <cell r="BX2487">
            <v>469</v>
          </cell>
          <cell r="BY2487">
            <v>29</v>
          </cell>
        </row>
        <row r="2488">
          <cell r="G2488" t="str">
            <v>MR Maintenance &amp; Sustainment - Unidentified - New</v>
          </cell>
          <cell r="H2488" t="str">
            <v>Maintenance &amp; Sustainment</v>
          </cell>
          <cell r="I2488" t="str">
            <v>MR</v>
          </cell>
          <cell r="J2488" t="str">
            <v>MR Maintenance &amp; Sustainment</v>
          </cell>
          <cell r="U2488" t="str">
            <v>CONTRACT</v>
          </cell>
          <cell r="V2488" t="str">
            <v>Unidentified - New</v>
          </cell>
          <cell r="BI2488">
            <v>0</v>
          </cell>
          <cell r="BJ2488">
            <v>0</v>
          </cell>
          <cell r="BK2488">
            <v>0</v>
          </cell>
          <cell r="BL2488">
            <v>0</v>
          </cell>
          <cell r="BM2488">
            <v>0</v>
          </cell>
          <cell r="BN2488">
            <v>0</v>
          </cell>
          <cell r="BO2488">
            <v>0</v>
          </cell>
          <cell r="BP2488">
            <v>8909687.4389301538</v>
          </cell>
          <cell r="BQ2488">
            <v>35638749.755720615</v>
          </cell>
          <cell r="BR2488">
            <v>44548437.194650769</v>
          </cell>
          <cell r="BX2488">
            <v>469</v>
          </cell>
          <cell r="BY2488">
            <v>34</v>
          </cell>
        </row>
        <row r="2489">
          <cell r="G2489" t="str">
            <v>MR Maintenance &amp; Sustainment - Unidentified - New</v>
          </cell>
          <cell r="H2489" t="str">
            <v>Maintenance &amp; Sustainment</v>
          </cell>
          <cell r="I2489" t="str">
            <v>MR</v>
          </cell>
          <cell r="J2489" t="str">
            <v>MR Maintenance &amp; Sustainment</v>
          </cell>
          <cell r="U2489" t="str">
            <v>EBITA</v>
          </cell>
          <cell r="V2489" t="str">
            <v>Unidentified - New</v>
          </cell>
          <cell r="BI2489">
            <v>0</v>
          </cell>
          <cell r="BJ2489">
            <v>0</v>
          </cell>
          <cell r="BK2489">
            <v>0</v>
          </cell>
          <cell r="BL2489">
            <v>0</v>
          </cell>
          <cell r="BM2489">
            <v>0</v>
          </cell>
          <cell r="BN2489">
            <v>0</v>
          </cell>
          <cell r="BO2489">
            <v>0</v>
          </cell>
          <cell r="BP2489">
            <v>2025318.8646816665</v>
          </cell>
          <cell r="BQ2489">
            <v>8101275.4587266659</v>
          </cell>
          <cell r="BR2489">
            <v>10126594.323408332</v>
          </cell>
          <cell r="BX2489">
            <v>469</v>
          </cell>
          <cell r="BY2489">
            <v>39</v>
          </cell>
        </row>
        <row r="2490">
          <cell r="G2490" t="str">
            <v>MR NASA - Identified - New</v>
          </cell>
          <cell r="H2490" t="str">
            <v>NASA</v>
          </cell>
          <cell r="I2490" t="str">
            <v>MR</v>
          </cell>
          <cell r="J2490" t="str">
            <v>MR NASA</v>
          </cell>
          <cell r="U2490" t="str">
            <v>REVTOT</v>
          </cell>
          <cell r="V2490" t="str">
            <v>Identified - New</v>
          </cell>
          <cell r="BI2490">
            <v>0</v>
          </cell>
          <cell r="BJ2490">
            <v>0</v>
          </cell>
          <cell r="BK2490">
            <v>0</v>
          </cell>
          <cell r="BL2490">
            <v>0</v>
          </cell>
          <cell r="BM2490">
            <v>0</v>
          </cell>
          <cell r="BN2490">
            <v>3156222.5</v>
          </cell>
          <cell r="BO2490">
            <v>17436388.888888888</v>
          </cell>
          <cell r="BP2490">
            <v>33693455.555555552</v>
          </cell>
          <cell r="BQ2490">
            <v>36687900</v>
          </cell>
          <cell r="BR2490">
            <v>90973966.944444448</v>
          </cell>
          <cell r="BX2490">
            <v>470</v>
          </cell>
          <cell r="BY2490">
            <v>29</v>
          </cell>
        </row>
        <row r="2491">
          <cell r="G2491" t="str">
            <v>MR NASA - Identified - New</v>
          </cell>
          <cell r="H2491" t="str">
            <v>NASA</v>
          </cell>
          <cell r="I2491" t="str">
            <v>MR</v>
          </cell>
          <cell r="J2491" t="str">
            <v>MR NASA</v>
          </cell>
          <cell r="U2491" t="str">
            <v>CONTRACT</v>
          </cell>
          <cell r="V2491" t="str">
            <v>Identified - New</v>
          </cell>
          <cell r="BI2491">
            <v>0</v>
          </cell>
          <cell r="BJ2491">
            <v>0</v>
          </cell>
          <cell r="BK2491">
            <v>0</v>
          </cell>
          <cell r="BL2491">
            <v>0</v>
          </cell>
          <cell r="BM2491">
            <v>0</v>
          </cell>
          <cell r="BN2491">
            <v>416621.37000000005</v>
          </cell>
          <cell r="BO2491">
            <v>2319039.7222222225</v>
          </cell>
          <cell r="BP2491">
            <v>4727427.611111111</v>
          </cell>
          <cell r="BQ2491">
            <v>5220554.4000000004</v>
          </cell>
          <cell r="BR2491">
            <v>12683643.103333334</v>
          </cell>
          <cell r="BX2491">
            <v>470</v>
          </cell>
          <cell r="BY2491">
            <v>34</v>
          </cell>
        </row>
        <row r="2492">
          <cell r="G2492" t="str">
            <v>MR NASA - Identified - New</v>
          </cell>
          <cell r="H2492" t="str">
            <v>NASA</v>
          </cell>
          <cell r="I2492" t="str">
            <v>MR</v>
          </cell>
          <cell r="J2492" t="str">
            <v>MR NASA</v>
          </cell>
          <cell r="U2492" t="str">
            <v>EBITA</v>
          </cell>
          <cell r="V2492" t="str">
            <v>Identified - New</v>
          </cell>
          <cell r="BI2492">
            <v>0</v>
          </cell>
          <cell r="BJ2492">
            <v>0</v>
          </cell>
          <cell r="BK2492">
            <v>0</v>
          </cell>
          <cell r="BL2492">
            <v>0</v>
          </cell>
          <cell r="BM2492">
            <v>0</v>
          </cell>
          <cell r="BN2492">
            <v>138873.78999999998</v>
          </cell>
          <cell r="BO2492">
            <v>802073.88888888888</v>
          </cell>
          <cell r="BP2492">
            <v>1794914.6333333333</v>
          </cell>
          <cell r="BQ2492">
            <v>2184519.2000000002</v>
          </cell>
          <cell r="BR2492">
            <v>4920381.5122222221</v>
          </cell>
          <cell r="BX2492">
            <v>470</v>
          </cell>
          <cell r="BY2492">
            <v>39</v>
          </cell>
        </row>
        <row r="2493">
          <cell r="G2493" t="str">
            <v>MR NASA - Unidentified - New</v>
          </cell>
          <cell r="H2493" t="str">
            <v>NASA</v>
          </cell>
          <cell r="I2493" t="str">
            <v>MR</v>
          </cell>
          <cell r="J2493" t="str">
            <v>MR NASA</v>
          </cell>
          <cell r="U2493" t="str">
            <v>REVTOT</v>
          </cell>
          <cell r="V2493" t="str">
            <v>Unidentified - New</v>
          </cell>
          <cell r="BI2493">
            <v>0</v>
          </cell>
          <cell r="BJ2493">
            <v>0</v>
          </cell>
          <cell r="BK2493">
            <v>0</v>
          </cell>
          <cell r="BL2493">
            <v>0</v>
          </cell>
          <cell r="BM2493">
            <v>0</v>
          </cell>
          <cell r="BN2493">
            <v>0</v>
          </cell>
          <cell r="BO2493">
            <v>0</v>
          </cell>
          <cell r="BP2493">
            <v>15000000</v>
          </cell>
          <cell r="BQ2493">
            <v>25000000</v>
          </cell>
          <cell r="BR2493">
            <v>40000000</v>
          </cell>
          <cell r="BX2493">
            <v>471</v>
          </cell>
          <cell r="BY2493">
            <v>29</v>
          </cell>
        </row>
        <row r="2494">
          <cell r="G2494" t="str">
            <v>MR NASA - Unidentified - New</v>
          </cell>
          <cell r="H2494" t="str">
            <v>NASA</v>
          </cell>
          <cell r="I2494" t="str">
            <v>MR</v>
          </cell>
          <cell r="J2494" t="str">
            <v>MR NASA</v>
          </cell>
          <cell r="U2494" t="str">
            <v>CONTRACT</v>
          </cell>
          <cell r="V2494" t="str">
            <v>Unidentified - New</v>
          </cell>
          <cell r="BI2494">
            <v>0</v>
          </cell>
          <cell r="BJ2494">
            <v>0</v>
          </cell>
          <cell r="BK2494">
            <v>0</v>
          </cell>
          <cell r="BL2494">
            <v>0</v>
          </cell>
          <cell r="BM2494">
            <v>0</v>
          </cell>
          <cell r="BN2494">
            <v>0</v>
          </cell>
          <cell r="BO2494">
            <v>0</v>
          </cell>
          <cell r="BP2494">
            <v>2100000</v>
          </cell>
          <cell r="BQ2494">
            <v>3500000.0000000005</v>
          </cell>
          <cell r="BR2494">
            <v>5600000</v>
          </cell>
          <cell r="BX2494">
            <v>471</v>
          </cell>
          <cell r="BY2494">
            <v>34</v>
          </cell>
        </row>
        <row r="2495">
          <cell r="G2495" t="str">
            <v>MR NASA - Unidentified - New</v>
          </cell>
          <cell r="H2495" t="str">
            <v>NASA</v>
          </cell>
          <cell r="I2495" t="str">
            <v>MR</v>
          </cell>
          <cell r="J2495" t="str">
            <v>MR NASA</v>
          </cell>
          <cell r="U2495" t="str">
            <v>EBITA</v>
          </cell>
          <cell r="V2495" t="str">
            <v>Unidentified - New</v>
          </cell>
          <cell r="BI2495">
            <v>0</v>
          </cell>
          <cell r="BJ2495">
            <v>0</v>
          </cell>
          <cell r="BK2495">
            <v>0</v>
          </cell>
          <cell r="BL2495">
            <v>0</v>
          </cell>
          <cell r="BM2495">
            <v>0</v>
          </cell>
          <cell r="BN2495">
            <v>0</v>
          </cell>
          <cell r="BO2495">
            <v>0</v>
          </cell>
          <cell r="BP2495">
            <v>750000</v>
          </cell>
          <cell r="BQ2495">
            <v>1250000</v>
          </cell>
          <cell r="BR2495">
            <v>2000000</v>
          </cell>
          <cell r="BX2495">
            <v>471</v>
          </cell>
          <cell r="BY2495">
            <v>39</v>
          </cell>
        </row>
        <row r="2496">
          <cell r="G2496" t="str">
            <v>MR Non-Proliferation and Security Services - Identified - New</v>
          </cell>
          <cell r="H2496" t="str">
            <v>Non-Proliferation and Security Services</v>
          </cell>
          <cell r="I2496" t="str">
            <v>MR</v>
          </cell>
          <cell r="J2496" t="str">
            <v>MR Non-Proliferation and Security Services</v>
          </cell>
          <cell r="U2496" t="str">
            <v>REVTOT</v>
          </cell>
          <cell r="V2496" t="str">
            <v>Identified - New</v>
          </cell>
          <cell r="BI2496">
            <v>0</v>
          </cell>
          <cell r="BJ2496">
            <v>0</v>
          </cell>
          <cell r="BK2496">
            <v>0</v>
          </cell>
          <cell r="BL2496">
            <v>0</v>
          </cell>
          <cell r="BM2496">
            <v>0</v>
          </cell>
          <cell r="BN2496">
            <v>25250126.555806082</v>
          </cell>
          <cell r="BO2496">
            <v>29769560.942001756</v>
          </cell>
          <cell r="BP2496">
            <v>26038861.327804226</v>
          </cell>
          <cell r="BQ2496">
            <v>21379669.916360725</v>
          </cell>
          <cell r="BR2496">
            <v>102438218.74197279</v>
          </cell>
          <cell r="BX2496">
            <v>472</v>
          </cell>
          <cell r="BY2496">
            <v>29</v>
          </cell>
        </row>
        <row r="2497">
          <cell r="G2497" t="str">
            <v>MR Non-Proliferation and Security Services - Identified - New</v>
          </cell>
          <cell r="H2497" t="str">
            <v>Non-Proliferation and Security Services</v>
          </cell>
          <cell r="I2497" t="str">
            <v>MR</v>
          </cell>
          <cell r="J2497" t="str">
            <v>MR Non-Proliferation and Security Services</v>
          </cell>
          <cell r="U2497" t="str">
            <v>CONTRACT</v>
          </cell>
          <cell r="V2497" t="str">
            <v>Identified - New</v>
          </cell>
          <cell r="BI2497">
            <v>0</v>
          </cell>
          <cell r="BJ2497">
            <v>0</v>
          </cell>
          <cell r="BK2497">
            <v>0</v>
          </cell>
          <cell r="BL2497">
            <v>0</v>
          </cell>
          <cell r="BM2497">
            <v>0</v>
          </cell>
          <cell r="BN2497">
            <v>4340145.1969347373</v>
          </cell>
          <cell r="BO2497">
            <v>5180299.6076036571</v>
          </cell>
          <cell r="BP2497">
            <v>4499874.249858032</v>
          </cell>
          <cell r="BQ2497">
            <v>3787229.817183631</v>
          </cell>
          <cell r="BR2497">
            <v>17807548.871580061</v>
          </cell>
          <cell r="BX2497">
            <v>472</v>
          </cell>
          <cell r="BY2497">
            <v>34</v>
          </cell>
        </row>
        <row r="2498">
          <cell r="G2498" t="str">
            <v>MR Non-Proliferation and Security Services - Identified - New</v>
          </cell>
          <cell r="H2498" t="str">
            <v>Non-Proliferation and Security Services</v>
          </cell>
          <cell r="I2498" t="str">
            <v>MR</v>
          </cell>
          <cell r="J2498" t="str">
            <v>MR Non-Proliferation and Security Services</v>
          </cell>
          <cell r="U2498" t="str">
            <v>EBITA</v>
          </cell>
          <cell r="V2498" t="str">
            <v>Identified - New</v>
          </cell>
          <cell r="BI2498">
            <v>0</v>
          </cell>
          <cell r="BJ2498">
            <v>0</v>
          </cell>
          <cell r="BK2498">
            <v>0</v>
          </cell>
          <cell r="BL2498">
            <v>0</v>
          </cell>
          <cell r="BM2498">
            <v>0</v>
          </cell>
          <cell r="BN2498">
            <v>1645688.7978003256</v>
          </cell>
          <cell r="BO2498">
            <v>2025173.2894901664</v>
          </cell>
          <cell r="BP2498">
            <v>1305860.1670840466</v>
          </cell>
          <cell r="BQ2498">
            <v>1458076.3623180031</v>
          </cell>
          <cell r="BR2498">
            <v>6434798.6166925412</v>
          </cell>
          <cell r="BX2498">
            <v>472</v>
          </cell>
          <cell r="BY2498">
            <v>39</v>
          </cell>
        </row>
        <row r="2499">
          <cell r="G2499" t="str">
            <v>MR Non-Proliferation and Security Services - Unidentified - New</v>
          </cell>
          <cell r="H2499" t="str">
            <v>Non-Proliferation and Security Services</v>
          </cell>
          <cell r="I2499" t="str">
            <v>MR</v>
          </cell>
          <cell r="J2499" t="str">
            <v>MR Non-Proliferation and Security Services</v>
          </cell>
          <cell r="U2499" t="str">
            <v>REVTOT</v>
          </cell>
          <cell r="V2499" t="str">
            <v>Unidentified - New</v>
          </cell>
          <cell r="BI2499">
            <v>0</v>
          </cell>
          <cell r="BJ2499">
            <v>0</v>
          </cell>
          <cell r="BK2499">
            <v>0</v>
          </cell>
          <cell r="BL2499">
            <v>0</v>
          </cell>
          <cell r="BM2499">
            <v>0</v>
          </cell>
          <cell r="BN2499">
            <v>0</v>
          </cell>
          <cell r="BO2499">
            <v>0</v>
          </cell>
          <cell r="BP2499">
            <v>50000000</v>
          </cell>
          <cell r="BQ2499">
            <v>75000000</v>
          </cell>
          <cell r="BR2499">
            <v>125000000</v>
          </cell>
          <cell r="BX2499">
            <v>473</v>
          </cell>
          <cell r="BY2499">
            <v>29</v>
          </cell>
        </row>
        <row r="2500">
          <cell r="G2500" t="str">
            <v>MR Non-Proliferation and Security Services - Unidentified - New</v>
          </cell>
          <cell r="H2500" t="str">
            <v>Non-Proliferation and Security Services</v>
          </cell>
          <cell r="I2500" t="str">
            <v>MR</v>
          </cell>
          <cell r="J2500" t="str">
            <v>MR Non-Proliferation and Security Services</v>
          </cell>
          <cell r="U2500" t="str">
            <v>CONTRACT</v>
          </cell>
          <cell r="V2500" t="str">
            <v>Unidentified - New</v>
          </cell>
          <cell r="BI2500">
            <v>0</v>
          </cell>
          <cell r="BJ2500">
            <v>0</v>
          </cell>
          <cell r="BK2500">
            <v>0</v>
          </cell>
          <cell r="BL2500">
            <v>0</v>
          </cell>
          <cell r="BM2500">
            <v>0</v>
          </cell>
          <cell r="BN2500">
            <v>0</v>
          </cell>
          <cell r="BO2500">
            <v>0</v>
          </cell>
          <cell r="BP2500">
            <v>9938611.9613644928</v>
          </cell>
          <cell r="BQ2500">
            <v>14907917.942046741</v>
          </cell>
          <cell r="BR2500">
            <v>24846529.903411232</v>
          </cell>
          <cell r="BX2500">
            <v>473</v>
          </cell>
          <cell r="BY2500">
            <v>34</v>
          </cell>
        </row>
        <row r="2501">
          <cell r="G2501" t="str">
            <v>MR Non-Proliferation and Security Services - Unidentified - New</v>
          </cell>
          <cell r="H2501" t="str">
            <v>Non-Proliferation and Security Services</v>
          </cell>
          <cell r="I2501" t="str">
            <v>MR</v>
          </cell>
          <cell r="J2501" t="str">
            <v>MR Non-Proliferation and Security Services</v>
          </cell>
          <cell r="U2501" t="str">
            <v>EBITA</v>
          </cell>
          <cell r="V2501" t="str">
            <v>Unidentified - New</v>
          </cell>
          <cell r="BI2501">
            <v>0</v>
          </cell>
          <cell r="BJ2501">
            <v>0</v>
          </cell>
          <cell r="BK2501">
            <v>0</v>
          </cell>
          <cell r="BL2501">
            <v>0</v>
          </cell>
          <cell r="BM2501">
            <v>0</v>
          </cell>
          <cell r="BN2501">
            <v>0</v>
          </cell>
          <cell r="BO2501">
            <v>0</v>
          </cell>
          <cell r="BP2501">
            <v>6375000</v>
          </cell>
          <cell r="BQ2501">
            <v>9562500</v>
          </cell>
          <cell r="BR2501">
            <v>15937500</v>
          </cell>
          <cell r="BX2501">
            <v>473</v>
          </cell>
          <cell r="BY2501">
            <v>39</v>
          </cell>
        </row>
        <row r="2502">
          <cell r="G2502" t="str">
            <v>MR Warfighter Support - Identified - New</v>
          </cell>
          <cell r="H2502" t="str">
            <v>Warfighter Support</v>
          </cell>
          <cell r="I2502" t="str">
            <v>MR</v>
          </cell>
          <cell r="J2502" t="str">
            <v>MR Warfighter Support</v>
          </cell>
          <cell r="U2502" t="str">
            <v>REVTOT</v>
          </cell>
          <cell r="V2502" t="str">
            <v>Identified - New</v>
          </cell>
          <cell r="BI2502">
            <v>0</v>
          </cell>
          <cell r="BJ2502">
            <v>0</v>
          </cell>
          <cell r="BK2502">
            <v>0</v>
          </cell>
          <cell r="BL2502">
            <v>0</v>
          </cell>
          <cell r="BM2502">
            <v>0</v>
          </cell>
          <cell r="BN2502">
            <v>15948229.166666666</v>
          </cell>
          <cell r="BO2502">
            <v>37430386.90476191</v>
          </cell>
          <cell r="BP2502">
            <v>61783482.142857134</v>
          </cell>
          <cell r="BQ2502">
            <v>89935898.809523806</v>
          </cell>
          <cell r="BR2502">
            <v>205097997.02380949</v>
          </cell>
          <cell r="BX2502">
            <v>474</v>
          </cell>
          <cell r="BY2502">
            <v>29</v>
          </cell>
        </row>
        <row r="2503">
          <cell r="G2503" t="str">
            <v>MR Warfighter Support - Identified - New</v>
          </cell>
          <cell r="H2503" t="str">
            <v>Warfighter Support</v>
          </cell>
          <cell r="I2503" t="str">
            <v>MR</v>
          </cell>
          <cell r="J2503" t="str">
            <v>MR Warfighter Support</v>
          </cell>
          <cell r="U2503" t="str">
            <v>CONTRACT</v>
          </cell>
          <cell r="V2503" t="str">
            <v>Identified - New</v>
          </cell>
          <cell r="BI2503">
            <v>0</v>
          </cell>
          <cell r="BJ2503">
            <v>0</v>
          </cell>
          <cell r="BK2503">
            <v>0</v>
          </cell>
          <cell r="BL2503">
            <v>0</v>
          </cell>
          <cell r="BM2503">
            <v>0</v>
          </cell>
          <cell r="BN2503">
            <v>1800214.513888889</v>
          </cell>
          <cell r="BO2503">
            <v>4363367.9761904757</v>
          </cell>
          <cell r="BP2503">
            <v>7300996.527777778</v>
          </cell>
          <cell r="BQ2503">
            <v>10627335.714285715</v>
          </cell>
          <cell r="BR2503">
            <v>24091914.732142858</v>
          </cell>
          <cell r="BX2503">
            <v>474</v>
          </cell>
          <cell r="BY2503">
            <v>34</v>
          </cell>
        </row>
        <row r="2504">
          <cell r="G2504" t="str">
            <v>MR Warfighter Support - Identified - New</v>
          </cell>
          <cell r="H2504" t="str">
            <v>Warfighter Support</v>
          </cell>
          <cell r="I2504" t="str">
            <v>MR</v>
          </cell>
          <cell r="J2504" t="str">
            <v>MR Warfighter Support</v>
          </cell>
          <cell r="U2504" t="str">
            <v>EBITA</v>
          </cell>
          <cell r="V2504" t="str">
            <v>Identified - New</v>
          </cell>
          <cell r="BI2504">
            <v>0</v>
          </cell>
          <cell r="BJ2504">
            <v>0</v>
          </cell>
          <cell r="BK2504">
            <v>0</v>
          </cell>
          <cell r="BL2504">
            <v>0</v>
          </cell>
          <cell r="BM2504">
            <v>0</v>
          </cell>
          <cell r="BN2504">
            <v>591788.33333333337</v>
          </cell>
          <cell r="BO2504">
            <v>1487086.25</v>
          </cell>
          <cell r="BP2504">
            <v>2403285.972222222</v>
          </cell>
          <cell r="BQ2504">
            <v>3531488.125</v>
          </cell>
          <cell r="BR2504">
            <v>8013648.680555556</v>
          </cell>
          <cell r="BX2504">
            <v>474</v>
          </cell>
          <cell r="BY2504">
            <v>39</v>
          </cell>
        </row>
        <row r="2505">
          <cell r="G2505" t="str">
            <v>MR Warfighter Support - Unidentified - New</v>
          </cell>
          <cell r="H2505" t="str">
            <v>Warfighter Support</v>
          </cell>
          <cell r="I2505" t="str">
            <v>MR</v>
          </cell>
          <cell r="J2505" t="str">
            <v>MR Warfighter Support</v>
          </cell>
          <cell r="U2505" t="str">
            <v>REVTOT</v>
          </cell>
          <cell r="V2505" t="str">
            <v>Unidentified - New</v>
          </cell>
          <cell r="BI2505">
            <v>0</v>
          </cell>
          <cell r="BJ2505">
            <v>0</v>
          </cell>
          <cell r="BK2505">
            <v>0</v>
          </cell>
          <cell r="BL2505">
            <v>0</v>
          </cell>
          <cell r="BM2505">
            <v>0</v>
          </cell>
          <cell r="BN2505">
            <v>0</v>
          </cell>
          <cell r="BO2505">
            <v>0</v>
          </cell>
          <cell r="BP2505">
            <v>25000000</v>
          </cell>
          <cell r="BQ2505">
            <v>125000000</v>
          </cell>
          <cell r="BR2505">
            <v>150000000</v>
          </cell>
          <cell r="BX2505">
            <v>475</v>
          </cell>
          <cell r="BY2505">
            <v>29</v>
          </cell>
        </row>
        <row r="2506">
          <cell r="G2506" t="str">
            <v>MR Warfighter Support - Unidentified - New</v>
          </cell>
          <cell r="H2506" t="str">
            <v>Warfighter Support</v>
          </cell>
          <cell r="I2506" t="str">
            <v>MR</v>
          </cell>
          <cell r="J2506" t="str">
            <v>MR Warfighter Support</v>
          </cell>
          <cell r="U2506" t="str">
            <v>CONTRACT</v>
          </cell>
          <cell r="V2506" t="str">
            <v>Unidentified - New</v>
          </cell>
          <cell r="BI2506">
            <v>0</v>
          </cell>
          <cell r="BJ2506">
            <v>0</v>
          </cell>
          <cell r="BK2506">
            <v>0</v>
          </cell>
          <cell r="BL2506">
            <v>0</v>
          </cell>
          <cell r="BM2506">
            <v>0</v>
          </cell>
          <cell r="BN2506">
            <v>0</v>
          </cell>
          <cell r="BO2506">
            <v>0</v>
          </cell>
          <cell r="BP2506">
            <v>2156795.9217969221</v>
          </cell>
          <cell r="BQ2506">
            <v>10783979.60898461</v>
          </cell>
          <cell r="BR2506">
            <v>12940775.530781532</v>
          </cell>
          <cell r="BX2506">
            <v>475</v>
          </cell>
          <cell r="BY2506">
            <v>34</v>
          </cell>
        </row>
        <row r="2507">
          <cell r="G2507" t="str">
            <v>MR Warfighter Support - Unidentified - New</v>
          </cell>
          <cell r="H2507" t="str">
            <v>Warfighter Support</v>
          </cell>
          <cell r="I2507" t="str">
            <v>MR</v>
          </cell>
          <cell r="J2507" t="str">
            <v>MR Warfighter Support</v>
          </cell>
          <cell r="U2507" t="str">
            <v>EBITA</v>
          </cell>
          <cell r="V2507" t="str">
            <v>Unidentified - New</v>
          </cell>
          <cell r="BI2507">
            <v>0</v>
          </cell>
          <cell r="BJ2507">
            <v>0</v>
          </cell>
          <cell r="BK2507">
            <v>0</v>
          </cell>
          <cell r="BL2507">
            <v>0</v>
          </cell>
          <cell r="BM2507">
            <v>0</v>
          </cell>
          <cell r="BN2507">
            <v>0</v>
          </cell>
          <cell r="BO2507">
            <v>0</v>
          </cell>
          <cell r="BP2507">
            <v>1000000</v>
          </cell>
          <cell r="BQ2507">
            <v>5625000</v>
          </cell>
          <cell r="BR2507">
            <v>6625000</v>
          </cell>
          <cell r="BX2507">
            <v>475</v>
          </cell>
          <cell r="BY2507">
            <v>39</v>
          </cell>
        </row>
        <row r="2508">
          <cell r="G2508" t="str">
            <v>IS4 Engineering and Technology Services - Identified - New</v>
          </cell>
          <cell r="H2508" t="str">
            <v>Engineering and Technology Services</v>
          </cell>
          <cell r="I2508" t="str">
            <v>IS4</v>
          </cell>
          <cell r="J2508" t="str">
            <v>IS4 Engineering and Technology Services</v>
          </cell>
          <cell r="U2508" t="str">
            <v>REVTOT</v>
          </cell>
          <cell r="V2508" t="str">
            <v>Identified - New</v>
          </cell>
          <cell r="BI2508">
            <v>0</v>
          </cell>
          <cell r="BJ2508">
            <v>0</v>
          </cell>
          <cell r="BK2508">
            <v>0</v>
          </cell>
          <cell r="BL2508">
            <v>0</v>
          </cell>
          <cell r="BM2508">
            <v>0</v>
          </cell>
          <cell r="BN2508">
            <v>34543676.611517183</v>
          </cell>
          <cell r="BO2508">
            <v>71966860.540529534</v>
          </cell>
          <cell r="BP2508">
            <v>84508006.096085086</v>
          </cell>
          <cell r="BQ2508">
            <v>98830981.4135454</v>
          </cell>
          <cell r="BR2508">
            <v>289849524.66167724</v>
          </cell>
          <cell r="BX2508">
            <v>476</v>
          </cell>
          <cell r="BY2508">
            <v>29</v>
          </cell>
        </row>
        <row r="2509">
          <cell r="G2509" t="str">
            <v>IS4 Engineering and Technology Services - Identified - New</v>
          </cell>
          <cell r="H2509" t="str">
            <v>Engineering and Technology Services</v>
          </cell>
          <cell r="I2509" t="str">
            <v>IS4</v>
          </cell>
          <cell r="J2509" t="str">
            <v>IS4 Engineering and Technology Services</v>
          </cell>
          <cell r="U2509" t="str">
            <v>CONTRACT</v>
          </cell>
          <cell r="V2509" t="str">
            <v>Identified - New</v>
          </cell>
          <cell r="BI2509">
            <v>0</v>
          </cell>
          <cell r="BJ2509">
            <v>0</v>
          </cell>
          <cell r="BK2509">
            <v>0</v>
          </cell>
          <cell r="BL2509">
            <v>0</v>
          </cell>
          <cell r="BM2509">
            <v>0</v>
          </cell>
          <cell r="BN2509">
            <v>5378544.9327365104</v>
          </cell>
          <cell r="BO2509">
            <v>11887264.672956049</v>
          </cell>
          <cell r="BP2509">
            <v>14195689.834037108</v>
          </cell>
          <cell r="BQ2509">
            <v>16865222.643327057</v>
          </cell>
          <cell r="BR2509">
            <v>48326722.083056726</v>
          </cell>
          <cell r="BX2509">
            <v>476</v>
          </cell>
          <cell r="BY2509">
            <v>34</v>
          </cell>
        </row>
        <row r="2510">
          <cell r="G2510" t="str">
            <v>IS4 Engineering and Technology Services - Identified - New</v>
          </cell>
          <cell r="H2510" t="str">
            <v>Engineering and Technology Services</v>
          </cell>
          <cell r="I2510" t="str">
            <v>IS4</v>
          </cell>
          <cell r="J2510" t="str">
            <v>IS4 Engineering and Technology Services</v>
          </cell>
          <cell r="U2510" t="str">
            <v>EBITA</v>
          </cell>
          <cell r="V2510" t="str">
            <v>Identified - New</v>
          </cell>
          <cell r="BI2510">
            <v>0</v>
          </cell>
          <cell r="BJ2510">
            <v>0</v>
          </cell>
          <cell r="BK2510">
            <v>0</v>
          </cell>
          <cell r="BL2510">
            <v>0</v>
          </cell>
          <cell r="BM2510">
            <v>0</v>
          </cell>
          <cell r="BN2510">
            <v>2200526.6844769297</v>
          </cell>
          <cell r="BO2510">
            <v>5266313.5032273354</v>
          </cell>
          <cell r="BP2510">
            <v>6420953.273197284</v>
          </cell>
          <cell r="BQ2510">
            <v>7772772.3532808833</v>
          </cell>
          <cell r="BR2510">
            <v>21660565.814182431</v>
          </cell>
          <cell r="BX2510">
            <v>476</v>
          </cell>
          <cell r="BY2510">
            <v>39</v>
          </cell>
        </row>
        <row r="2511">
          <cell r="G2511" t="str">
            <v>IS4 Engineering and Technology Services - Unidentified - New</v>
          </cell>
          <cell r="H2511" t="str">
            <v>Engineering and Technology Services</v>
          </cell>
          <cell r="I2511" t="str">
            <v>IS4</v>
          </cell>
          <cell r="J2511" t="str">
            <v>IS4 Engineering and Technology Services</v>
          </cell>
          <cell r="U2511" t="str">
            <v>REVTOT</v>
          </cell>
          <cell r="V2511" t="str">
            <v>Unidentified - New</v>
          </cell>
          <cell r="BI2511">
            <v>0</v>
          </cell>
          <cell r="BJ2511">
            <v>0</v>
          </cell>
          <cell r="BK2511">
            <v>0</v>
          </cell>
          <cell r="BL2511">
            <v>0</v>
          </cell>
          <cell r="BM2511">
            <v>0</v>
          </cell>
          <cell r="BN2511">
            <v>0</v>
          </cell>
          <cell r="BO2511">
            <v>0</v>
          </cell>
          <cell r="BP2511">
            <v>0</v>
          </cell>
          <cell r="BQ2511">
            <v>0</v>
          </cell>
          <cell r="BR2511">
            <v>0</v>
          </cell>
          <cell r="BX2511">
            <v>477</v>
          </cell>
          <cell r="BY2511">
            <v>29</v>
          </cell>
        </row>
        <row r="2512">
          <cell r="G2512" t="str">
            <v>IS4 Engineering and Technology Services - Unidentified - New</v>
          </cell>
          <cell r="H2512" t="str">
            <v>Engineering and Technology Services</v>
          </cell>
          <cell r="I2512" t="str">
            <v>IS4</v>
          </cell>
          <cell r="J2512" t="str">
            <v>IS4 Engineering and Technology Services</v>
          </cell>
          <cell r="U2512" t="str">
            <v>CONTRACT</v>
          </cell>
          <cell r="V2512" t="str">
            <v>Unidentified - New</v>
          </cell>
          <cell r="BI2512">
            <v>0</v>
          </cell>
          <cell r="BJ2512">
            <v>0</v>
          </cell>
          <cell r="BK2512">
            <v>0</v>
          </cell>
          <cell r="BL2512">
            <v>0</v>
          </cell>
          <cell r="BM2512">
            <v>0</v>
          </cell>
          <cell r="BN2512">
            <v>0</v>
          </cell>
          <cell r="BO2512">
            <v>0</v>
          </cell>
          <cell r="BP2512">
            <v>0</v>
          </cell>
          <cell r="BQ2512">
            <v>0</v>
          </cell>
          <cell r="BR2512">
            <v>0</v>
          </cell>
          <cell r="BX2512">
            <v>477</v>
          </cell>
          <cell r="BY2512">
            <v>34</v>
          </cell>
        </row>
        <row r="2513">
          <cell r="G2513" t="str">
            <v>IS4 Engineering and Technology Services - Unidentified - New</v>
          </cell>
          <cell r="H2513" t="str">
            <v>Engineering and Technology Services</v>
          </cell>
          <cell r="I2513" t="str">
            <v>IS4</v>
          </cell>
          <cell r="J2513" t="str">
            <v>IS4 Engineering and Technology Services</v>
          </cell>
          <cell r="U2513" t="str">
            <v>EBITA</v>
          </cell>
          <cell r="V2513" t="str">
            <v>Unidentified - New</v>
          </cell>
          <cell r="BI2513">
            <v>0</v>
          </cell>
          <cell r="BJ2513">
            <v>0</v>
          </cell>
          <cell r="BK2513">
            <v>0</v>
          </cell>
          <cell r="BL2513">
            <v>0</v>
          </cell>
          <cell r="BM2513">
            <v>0</v>
          </cell>
          <cell r="BN2513">
            <v>0</v>
          </cell>
          <cell r="BO2513">
            <v>0</v>
          </cell>
          <cell r="BP2513">
            <v>0</v>
          </cell>
          <cell r="BQ2513">
            <v>0</v>
          </cell>
          <cell r="BR2513">
            <v>0</v>
          </cell>
          <cell r="BX2513">
            <v>477</v>
          </cell>
          <cell r="BY2513">
            <v>39</v>
          </cell>
        </row>
        <row r="2514">
          <cell r="G2514" t="str">
            <v>IS4 Global Mission Solutions - Identified - New</v>
          </cell>
          <cell r="H2514" t="str">
            <v>Global Mission Solutions</v>
          </cell>
          <cell r="I2514" t="str">
            <v>IS4</v>
          </cell>
          <cell r="J2514" t="str">
            <v>IS4 Global Mission Solutions</v>
          </cell>
          <cell r="U2514" t="str">
            <v>REVTOT</v>
          </cell>
          <cell r="V2514" t="str">
            <v>Identified - New</v>
          </cell>
          <cell r="BI2514">
            <v>0</v>
          </cell>
          <cell r="BJ2514">
            <v>0</v>
          </cell>
          <cell r="BK2514">
            <v>0</v>
          </cell>
          <cell r="BL2514">
            <v>0</v>
          </cell>
          <cell r="BM2514">
            <v>0</v>
          </cell>
          <cell r="BN2514">
            <v>48479159.933204591</v>
          </cell>
          <cell r="BO2514">
            <v>45835105.31524767</v>
          </cell>
          <cell r="BP2514">
            <v>41624885.766133338</v>
          </cell>
          <cell r="BQ2514">
            <v>38742330.210577786</v>
          </cell>
          <cell r="BR2514">
            <v>174681481.2251634</v>
          </cell>
          <cell r="BX2514">
            <v>478</v>
          </cell>
          <cell r="BY2514">
            <v>29</v>
          </cell>
        </row>
        <row r="2515">
          <cell r="G2515" t="str">
            <v>IS4 Global Mission Solutions - Identified - New</v>
          </cell>
          <cell r="H2515" t="str">
            <v>Global Mission Solutions</v>
          </cell>
          <cell r="I2515" t="str">
            <v>IS4</v>
          </cell>
          <cell r="J2515" t="str">
            <v>IS4 Global Mission Solutions</v>
          </cell>
          <cell r="U2515" t="str">
            <v>CONTRACT</v>
          </cell>
          <cell r="V2515" t="str">
            <v>Identified - New</v>
          </cell>
          <cell r="BI2515">
            <v>0</v>
          </cell>
          <cell r="BJ2515">
            <v>0</v>
          </cell>
          <cell r="BK2515">
            <v>0</v>
          </cell>
          <cell r="BL2515">
            <v>0</v>
          </cell>
          <cell r="BM2515">
            <v>0</v>
          </cell>
          <cell r="BN2515">
            <v>7924740.4340746626</v>
          </cell>
          <cell r="BO2515">
            <v>7549031.7881108727</v>
          </cell>
          <cell r="BP2515">
            <v>6907741.7282780949</v>
          </cell>
          <cell r="BQ2515">
            <v>6435079.9904420935</v>
          </cell>
          <cell r="BR2515">
            <v>28816593.940905724</v>
          </cell>
          <cell r="BX2515">
            <v>478</v>
          </cell>
          <cell r="BY2515">
            <v>34</v>
          </cell>
        </row>
        <row r="2516">
          <cell r="G2516" t="str">
            <v>IS4 Global Mission Solutions - Identified - New</v>
          </cell>
          <cell r="H2516" t="str">
            <v>Global Mission Solutions</v>
          </cell>
          <cell r="I2516" t="str">
            <v>IS4</v>
          </cell>
          <cell r="J2516" t="str">
            <v>IS4 Global Mission Solutions</v>
          </cell>
          <cell r="U2516" t="str">
            <v>EBITA</v>
          </cell>
          <cell r="V2516" t="str">
            <v>Identified - New</v>
          </cell>
          <cell r="BI2516">
            <v>0</v>
          </cell>
          <cell r="BJ2516">
            <v>0</v>
          </cell>
          <cell r="BK2516">
            <v>0</v>
          </cell>
          <cell r="BL2516">
            <v>0</v>
          </cell>
          <cell r="BM2516">
            <v>0</v>
          </cell>
          <cell r="BN2516">
            <v>3464657.7202198417</v>
          </cell>
          <cell r="BO2516">
            <v>3332202.0991080864</v>
          </cell>
          <cell r="BP2516">
            <v>3078252.237793826</v>
          </cell>
          <cell r="BQ2516">
            <v>2870785.611068937</v>
          </cell>
          <cell r="BR2516">
            <v>12745897.668190692</v>
          </cell>
          <cell r="BX2516">
            <v>478</v>
          </cell>
          <cell r="BY2516">
            <v>39</v>
          </cell>
        </row>
        <row r="2517">
          <cell r="G2517" t="str">
            <v>IS4 Global Mission Solutions - Unidentified - New</v>
          </cell>
          <cell r="H2517" t="str">
            <v>Global Mission Solutions</v>
          </cell>
          <cell r="I2517" t="str">
            <v>IS4</v>
          </cell>
          <cell r="J2517" t="str">
            <v>IS4 Global Mission Solutions</v>
          </cell>
          <cell r="U2517" t="str">
            <v>REVTOT</v>
          </cell>
          <cell r="V2517" t="str">
            <v>Unidentified - New</v>
          </cell>
          <cell r="BI2517">
            <v>0</v>
          </cell>
          <cell r="BJ2517">
            <v>0</v>
          </cell>
          <cell r="BK2517">
            <v>0</v>
          </cell>
          <cell r="BL2517">
            <v>0</v>
          </cell>
          <cell r="BM2517">
            <v>0</v>
          </cell>
          <cell r="BN2517">
            <v>0</v>
          </cell>
          <cell r="BO2517">
            <v>0</v>
          </cell>
          <cell r="BP2517">
            <v>0</v>
          </cell>
          <cell r="BQ2517">
            <v>0</v>
          </cell>
          <cell r="BR2517">
            <v>0</v>
          </cell>
          <cell r="BX2517">
            <v>479</v>
          </cell>
          <cell r="BY2517">
            <v>29</v>
          </cell>
        </row>
        <row r="2518">
          <cell r="G2518" t="str">
            <v>IS4 Global Mission Solutions - Unidentified - New</v>
          </cell>
          <cell r="H2518" t="str">
            <v>Global Mission Solutions</v>
          </cell>
          <cell r="I2518" t="str">
            <v>IS4</v>
          </cell>
          <cell r="J2518" t="str">
            <v>IS4 Global Mission Solutions</v>
          </cell>
          <cell r="U2518" t="str">
            <v>CONTRACT</v>
          </cell>
          <cell r="V2518" t="str">
            <v>Unidentified - New</v>
          </cell>
          <cell r="BI2518">
            <v>0</v>
          </cell>
          <cell r="BJ2518">
            <v>0</v>
          </cell>
          <cell r="BK2518">
            <v>0</v>
          </cell>
          <cell r="BL2518">
            <v>0</v>
          </cell>
          <cell r="BM2518">
            <v>0</v>
          </cell>
          <cell r="BN2518">
            <v>0</v>
          </cell>
          <cell r="BO2518">
            <v>0</v>
          </cell>
          <cell r="BP2518">
            <v>0</v>
          </cell>
          <cell r="BQ2518">
            <v>0</v>
          </cell>
          <cell r="BR2518">
            <v>0</v>
          </cell>
          <cell r="BX2518">
            <v>479</v>
          </cell>
          <cell r="BY2518">
            <v>34</v>
          </cell>
        </row>
        <row r="2519">
          <cell r="G2519" t="str">
            <v>IS4 Global Mission Solutions - Unidentified - New</v>
          </cell>
          <cell r="H2519" t="str">
            <v>Global Mission Solutions</v>
          </cell>
          <cell r="I2519" t="str">
            <v>IS4</v>
          </cell>
          <cell r="J2519" t="str">
            <v>IS4 Global Mission Solutions</v>
          </cell>
          <cell r="U2519" t="str">
            <v>EBITA</v>
          </cell>
          <cell r="V2519" t="str">
            <v>Unidentified - New</v>
          </cell>
          <cell r="BI2519">
            <v>0</v>
          </cell>
          <cell r="BJ2519">
            <v>0</v>
          </cell>
          <cell r="BK2519">
            <v>0</v>
          </cell>
          <cell r="BL2519">
            <v>0</v>
          </cell>
          <cell r="BM2519">
            <v>0</v>
          </cell>
          <cell r="BN2519">
            <v>0</v>
          </cell>
          <cell r="BO2519">
            <v>0</v>
          </cell>
          <cell r="BP2519">
            <v>0</v>
          </cell>
          <cell r="BQ2519">
            <v>0</v>
          </cell>
          <cell r="BR2519">
            <v>0</v>
          </cell>
          <cell r="BX2519">
            <v>479</v>
          </cell>
          <cell r="BY2519">
            <v>39</v>
          </cell>
        </row>
        <row r="2520">
          <cell r="G2520" t="str">
            <v>IS4 Infrastructure and Engineering - Identified - New</v>
          </cell>
          <cell r="H2520" t="str">
            <v>Infrastructure and Engineering</v>
          </cell>
          <cell r="I2520" t="str">
            <v>IS4</v>
          </cell>
          <cell r="J2520" t="str">
            <v>IS4 Infrastructure and Engineering</v>
          </cell>
          <cell r="U2520" t="str">
            <v>REVTOT</v>
          </cell>
          <cell r="V2520" t="str">
            <v>Identified - New</v>
          </cell>
          <cell r="BI2520">
            <v>0</v>
          </cell>
          <cell r="BJ2520">
            <v>0</v>
          </cell>
          <cell r="BK2520">
            <v>0</v>
          </cell>
          <cell r="BL2520">
            <v>0</v>
          </cell>
          <cell r="BM2520">
            <v>0</v>
          </cell>
          <cell r="BN2520">
            <v>20027062.682858713</v>
          </cell>
          <cell r="BO2520">
            <v>16403539.830353806</v>
          </cell>
          <cell r="BP2520">
            <v>71222877.222103789</v>
          </cell>
          <cell r="BQ2520">
            <v>128533108.11991157</v>
          </cell>
          <cell r="BR2520">
            <v>236186587.85522789</v>
          </cell>
          <cell r="BX2520">
            <v>480</v>
          </cell>
          <cell r="BY2520">
            <v>29</v>
          </cell>
        </row>
        <row r="2521">
          <cell r="G2521" t="str">
            <v>IS4 Infrastructure and Engineering - Identified - New</v>
          </cell>
          <cell r="H2521" t="str">
            <v>Infrastructure and Engineering</v>
          </cell>
          <cell r="I2521" t="str">
            <v>IS4</v>
          </cell>
          <cell r="J2521" t="str">
            <v>IS4 Infrastructure and Engineering</v>
          </cell>
          <cell r="U2521" t="str">
            <v>CONTRACT</v>
          </cell>
          <cell r="V2521" t="str">
            <v>Identified - New</v>
          </cell>
          <cell r="BI2521">
            <v>0</v>
          </cell>
          <cell r="BJ2521">
            <v>0</v>
          </cell>
          <cell r="BK2521">
            <v>0</v>
          </cell>
          <cell r="BL2521">
            <v>0</v>
          </cell>
          <cell r="BM2521">
            <v>0</v>
          </cell>
          <cell r="BN2521">
            <v>2909113.1509659379</v>
          </cell>
          <cell r="BO2521">
            <v>2506734.4228250254</v>
          </cell>
          <cell r="BP2521">
            <v>11036958.208335081</v>
          </cell>
          <cell r="BQ2521">
            <v>20218104.363989245</v>
          </cell>
          <cell r="BR2521">
            <v>36670910.146115288</v>
          </cell>
          <cell r="BX2521">
            <v>480</v>
          </cell>
          <cell r="BY2521">
            <v>34</v>
          </cell>
        </row>
        <row r="2522">
          <cell r="G2522" t="str">
            <v>IS4 Infrastructure and Engineering - Identified - New</v>
          </cell>
          <cell r="H2522" t="str">
            <v>Infrastructure and Engineering</v>
          </cell>
          <cell r="I2522" t="str">
            <v>IS4</v>
          </cell>
          <cell r="J2522" t="str">
            <v>IS4 Infrastructure and Engineering</v>
          </cell>
          <cell r="U2522" t="str">
            <v>EBITA</v>
          </cell>
          <cell r="V2522" t="str">
            <v>Identified - New</v>
          </cell>
          <cell r="BI2522">
            <v>0</v>
          </cell>
          <cell r="BJ2522">
            <v>0</v>
          </cell>
          <cell r="BK2522">
            <v>0</v>
          </cell>
          <cell r="BL2522">
            <v>0</v>
          </cell>
          <cell r="BM2522">
            <v>0</v>
          </cell>
          <cell r="BN2522">
            <v>1066623.3841429355</v>
          </cell>
          <cell r="BO2522">
            <v>997608.75843247538</v>
          </cell>
          <cell r="BP2522">
            <v>4484453.503901531</v>
          </cell>
          <cell r="BQ2522">
            <v>8393058.4169573803</v>
          </cell>
          <cell r="BR2522">
            <v>14941744.063434321</v>
          </cell>
          <cell r="BX2522">
            <v>480</v>
          </cell>
          <cell r="BY2522">
            <v>39</v>
          </cell>
        </row>
        <row r="2523">
          <cell r="G2523" t="str">
            <v>IS4 Infrastructure and Engineering - Unidentified - New</v>
          </cell>
          <cell r="H2523" t="str">
            <v>Infrastructure and Engineering</v>
          </cell>
          <cell r="I2523" t="str">
            <v>IS4</v>
          </cell>
          <cell r="J2523" t="str">
            <v>IS4 Infrastructure and Engineering</v>
          </cell>
          <cell r="U2523" t="str">
            <v>REVTOT</v>
          </cell>
          <cell r="V2523" t="str">
            <v>Unidentified - New</v>
          </cell>
          <cell r="BI2523">
            <v>0</v>
          </cell>
          <cell r="BJ2523">
            <v>0</v>
          </cell>
          <cell r="BK2523">
            <v>0</v>
          </cell>
          <cell r="BL2523">
            <v>0</v>
          </cell>
          <cell r="BM2523">
            <v>0</v>
          </cell>
          <cell r="BN2523">
            <v>0</v>
          </cell>
          <cell r="BO2523">
            <v>0</v>
          </cell>
          <cell r="BP2523">
            <v>0</v>
          </cell>
          <cell r="BQ2523">
            <v>0</v>
          </cell>
          <cell r="BR2523">
            <v>0</v>
          </cell>
          <cell r="BX2523">
            <v>481</v>
          </cell>
          <cell r="BY2523">
            <v>29</v>
          </cell>
        </row>
        <row r="2524">
          <cell r="G2524" t="str">
            <v>IS4 Infrastructure and Engineering - Unidentified - New</v>
          </cell>
          <cell r="H2524" t="str">
            <v>Infrastructure and Engineering</v>
          </cell>
          <cell r="I2524" t="str">
            <v>IS4</v>
          </cell>
          <cell r="J2524" t="str">
            <v>IS4 Infrastructure and Engineering</v>
          </cell>
          <cell r="U2524" t="str">
            <v>CONTRACT</v>
          </cell>
          <cell r="V2524" t="str">
            <v>Unidentified - New</v>
          </cell>
          <cell r="BI2524">
            <v>0</v>
          </cell>
          <cell r="BJ2524">
            <v>0</v>
          </cell>
          <cell r="BK2524">
            <v>0</v>
          </cell>
          <cell r="BL2524">
            <v>0</v>
          </cell>
          <cell r="BM2524">
            <v>0</v>
          </cell>
          <cell r="BN2524">
            <v>0</v>
          </cell>
          <cell r="BO2524">
            <v>0</v>
          </cell>
          <cell r="BP2524">
            <v>0</v>
          </cell>
          <cell r="BQ2524">
            <v>0</v>
          </cell>
          <cell r="BR2524">
            <v>0</v>
          </cell>
          <cell r="BX2524">
            <v>481</v>
          </cell>
          <cell r="BY2524">
            <v>34</v>
          </cell>
        </row>
        <row r="2525">
          <cell r="G2525" t="str">
            <v>IS4 Infrastructure and Engineering - Unidentified - New</v>
          </cell>
          <cell r="H2525" t="str">
            <v>Infrastructure and Engineering</v>
          </cell>
          <cell r="I2525" t="str">
            <v>IS4</v>
          </cell>
          <cell r="J2525" t="str">
            <v>IS4 Infrastructure and Engineering</v>
          </cell>
          <cell r="U2525" t="str">
            <v>EBITA</v>
          </cell>
          <cell r="V2525" t="str">
            <v>Unidentified - New</v>
          </cell>
          <cell r="BI2525">
            <v>0</v>
          </cell>
          <cell r="BJ2525">
            <v>0</v>
          </cell>
          <cell r="BK2525">
            <v>0</v>
          </cell>
          <cell r="BL2525">
            <v>0</v>
          </cell>
          <cell r="BM2525">
            <v>0</v>
          </cell>
          <cell r="BN2525">
            <v>0</v>
          </cell>
          <cell r="BO2525">
            <v>0</v>
          </cell>
          <cell r="BP2525">
            <v>0</v>
          </cell>
          <cell r="BQ2525">
            <v>0</v>
          </cell>
          <cell r="BR2525">
            <v>0</v>
          </cell>
          <cell r="BX2525">
            <v>481</v>
          </cell>
          <cell r="BY2525">
            <v>39</v>
          </cell>
        </row>
        <row r="2526">
          <cell r="G2526" t="str">
            <v>IS4 Spectrum &amp; Infrastructure Assurance - Identified - New</v>
          </cell>
          <cell r="H2526" t="str">
            <v>Spectrum &amp; Infrastructure Assurance</v>
          </cell>
          <cell r="I2526" t="str">
            <v>IS4</v>
          </cell>
          <cell r="J2526" t="str">
            <v>IS4 Spectrum &amp; Infrastructure Assurance</v>
          </cell>
          <cell r="U2526" t="str">
            <v>REVTOT</v>
          </cell>
          <cell r="V2526" t="str">
            <v>Identified - New</v>
          </cell>
          <cell r="BI2526">
            <v>0</v>
          </cell>
          <cell r="BJ2526">
            <v>0</v>
          </cell>
          <cell r="BK2526">
            <v>0</v>
          </cell>
          <cell r="BL2526">
            <v>0</v>
          </cell>
          <cell r="BM2526">
            <v>0</v>
          </cell>
          <cell r="BN2526">
            <v>90140953.87356393</v>
          </cell>
          <cell r="BO2526">
            <v>207133873.32999304</v>
          </cell>
          <cell r="BP2526">
            <v>279544625.10384268</v>
          </cell>
          <cell r="BQ2526">
            <v>323178797.79981399</v>
          </cell>
          <cell r="BR2526">
            <v>899998250.10721362</v>
          </cell>
          <cell r="BX2526">
            <v>482</v>
          </cell>
          <cell r="BY2526">
            <v>29</v>
          </cell>
        </row>
        <row r="2527">
          <cell r="G2527" t="str">
            <v>IS4 Spectrum &amp; Infrastructure Assurance - Identified - New</v>
          </cell>
          <cell r="H2527" t="str">
            <v>Spectrum &amp; Infrastructure Assurance</v>
          </cell>
          <cell r="I2527" t="str">
            <v>IS4</v>
          </cell>
          <cell r="J2527" t="str">
            <v>IS4 Spectrum &amp; Infrastructure Assurance</v>
          </cell>
          <cell r="U2527" t="str">
            <v>CONTRACT</v>
          </cell>
          <cell r="V2527" t="str">
            <v>Identified - New</v>
          </cell>
          <cell r="BI2527">
            <v>0</v>
          </cell>
          <cell r="BJ2527">
            <v>0</v>
          </cell>
          <cell r="BK2527">
            <v>0</v>
          </cell>
          <cell r="BL2527">
            <v>0</v>
          </cell>
          <cell r="BM2527">
            <v>0</v>
          </cell>
          <cell r="BN2527">
            <v>14455644.409823138</v>
          </cell>
          <cell r="BO2527">
            <v>34059634.207269788</v>
          </cell>
          <cell r="BP2527">
            <v>46146404.135662459</v>
          </cell>
          <cell r="BQ2527">
            <v>53604812.759542771</v>
          </cell>
          <cell r="BR2527">
            <v>148266495.51229814</v>
          </cell>
          <cell r="BX2527">
            <v>482</v>
          </cell>
          <cell r="BY2527">
            <v>34</v>
          </cell>
        </row>
        <row r="2528">
          <cell r="G2528" t="str">
            <v>IS4 Spectrum &amp; Infrastructure Assurance - Identified - New</v>
          </cell>
          <cell r="H2528" t="str">
            <v>Spectrum &amp; Infrastructure Assurance</v>
          </cell>
          <cell r="I2528" t="str">
            <v>IS4</v>
          </cell>
          <cell r="J2528" t="str">
            <v>IS4 Spectrum &amp; Infrastructure Assurance</v>
          </cell>
          <cell r="U2528" t="str">
            <v>EBITA</v>
          </cell>
          <cell r="V2528" t="str">
            <v>Identified - New</v>
          </cell>
          <cell r="BI2528">
            <v>0</v>
          </cell>
          <cell r="BJ2528">
            <v>0</v>
          </cell>
          <cell r="BK2528">
            <v>0</v>
          </cell>
          <cell r="BL2528">
            <v>0</v>
          </cell>
          <cell r="BM2528">
            <v>0</v>
          </cell>
          <cell r="BN2528">
            <v>6162676.6534552583</v>
          </cell>
          <cell r="BO2528">
            <v>15003317.860910425</v>
          </cell>
          <cell r="BP2528">
            <v>20428298.626108922</v>
          </cell>
          <cell r="BQ2528">
            <v>23872363.361959886</v>
          </cell>
          <cell r="BR2528">
            <v>65466656.502434492</v>
          </cell>
          <cell r="BX2528">
            <v>482</v>
          </cell>
          <cell r="BY2528">
            <v>39</v>
          </cell>
        </row>
        <row r="2529">
          <cell r="G2529" t="str">
            <v>IS4 Spectrum &amp; Infrastructure Assurance - Unidentified - New</v>
          </cell>
          <cell r="H2529" t="str">
            <v>Spectrum &amp; Infrastructure Assurance</v>
          </cell>
          <cell r="I2529" t="str">
            <v>IS4</v>
          </cell>
          <cell r="J2529" t="str">
            <v>IS4 Spectrum &amp; Infrastructure Assurance</v>
          </cell>
          <cell r="U2529" t="str">
            <v>REVTOT</v>
          </cell>
          <cell r="V2529" t="str">
            <v>Unidentified - New</v>
          </cell>
          <cell r="BI2529">
            <v>0</v>
          </cell>
          <cell r="BJ2529">
            <v>0</v>
          </cell>
          <cell r="BK2529">
            <v>0</v>
          </cell>
          <cell r="BL2529">
            <v>0</v>
          </cell>
          <cell r="BM2529">
            <v>0</v>
          </cell>
          <cell r="BN2529">
            <v>0</v>
          </cell>
          <cell r="BO2529">
            <v>0</v>
          </cell>
          <cell r="BP2529">
            <v>0</v>
          </cell>
          <cell r="BQ2529">
            <v>0</v>
          </cell>
          <cell r="BR2529">
            <v>0</v>
          </cell>
          <cell r="BX2529">
            <v>483</v>
          </cell>
          <cell r="BY2529">
            <v>29</v>
          </cell>
        </row>
        <row r="2530">
          <cell r="G2530" t="str">
            <v>IS4 Spectrum &amp; Infrastructure Assurance - Unidentified - New</v>
          </cell>
          <cell r="H2530" t="str">
            <v>Spectrum &amp; Infrastructure Assurance</v>
          </cell>
          <cell r="I2530" t="str">
            <v>IS4</v>
          </cell>
          <cell r="J2530" t="str">
            <v>IS4 Spectrum &amp; Infrastructure Assurance</v>
          </cell>
          <cell r="U2530" t="str">
            <v>CONTRACT</v>
          </cell>
          <cell r="V2530" t="str">
            <v>Unidentified - New</v>
          </cell>
          <cell r="BI2530">
            <v>0</v>
          </cell>
          <cell r="BJ2530">
            <v>0</v>
          </cell>
          <cell r="BK2530">
            <v>0</v>
          </cell>
          <cell r="BL2530">
            <v>0</v>
          </cell>
          <cell r="BM2530">
            <v>0</v>
          </cell>
          <cell r="BN2530">
            <v>0</v>
          </cell>
          <cell r="BO2530">
            <v>0</v>
          </cell>
          <cell r="BP2530">
            <v>0</v>
          </cell>
          <cell r="BQ2530">
            <v>0</v>
          </cell>
          <cell r="BR2530">
            <v>0</v>
          </cell>
          <cell r="BX2530">
            <v>483</v>
          </cell>
          <cell r="BY2530">
            <v>34</v>
          </cell>
        </row>
        <row r="2531">
          <cell r="G2531" t="str">
            <v>IS4 Spectrum &amp; Infrastructure Assurance - Unidentified - New</v>
          </cell>
          <cell r="H2531" t="str">
            <v>Spectrum &amp; Infrastructure Assurance</v>
          </cell>
          <cell r="I2531" t="str">
            <v>IS4</v>
          </cell>
          <cell r="J2531" t="str">
            <v>IS4 Spectrum &amp; Infrastructure Assurance</v>
          </cell>
          <cell r="U2531" t="str">
            <v>EBITA</v>
          </cell>
          <cell r="V2531" t="str">
            <v>Unidentified - New</v>
          </cell>
          <cell r="BI2531">
            <v>0</v>
          </cell>
          <cell r="BJ2531">
            <v>0</v>
          </cell>
          <cell r="BK2531">
            <v>0</v>
          </cell>
          <cell r="BL2531">
            <v>0</v>
          </cell>
          <cell r="BM2531">
            <v>0</v>
          </cell>
          <cell r="BN2531">
            <v>0</v>
          </cell>
          <cell r="BO2531">
            <v>0</v>
          </cell>
          <cell r="BP2531">
            <v>0</v>
          </cell>
          <cell r="BQ2531">
            <v>0</v>
          </cell>
          <cell r="BR2531">
            <v>0</v>
          </cell>
          <cell r="BX2531">
            <v>483</v>
          </cell>
          <cell r="BY2531">
            <v>39</v>
          </cell>
        </row>
        <row r="2532">
          <cell r="G2532" t="str">
            <v>IS4 Sustainment Engineering and Acquisition - Identified - New</v>
          </cell>
          <cell r="H2532" t="str">
            <v>Sustainment Engineering and Acquisition</v>
          </cell>
          <cell r="I2532" t="str">
            <v>IS4</v>
          </cell>
          <cell r="J2532" t="str">
            <v>IS4 Sustainment Engineering and Acquisition</v>
          </cell>
          <cell r="U2532" t="str">
            <v>REVTOT</v>
          </cell>
          <cell r="V2532" t="str">
            <v>Identified - New</v>
          </cell>
          <cell r="BI2532">
            <v>0</v>
          </cell>
          <cell r="BJ2532">
            <v>0</v>
          </cell>
          <cell r="BK2532">
            <v>0</v>
          </cell>
          <cell r="BL2532">
            <v>0</v>
          </cell>
          <cell r="BM2532">
            <v>0</v>
          </cell>
          <cell r="BN2532">
            <v>34375839.768612519</v>
          </cell>
          <cell r="BO2532">
            <v>141145427.82947922</v>
          </cell>
          <cell r="BP2532">
            <v>150726413.01466444</v>
          </cell>
          <cell r="BQ2532">
            <v>169308343.57021999</v>
          </cell>
          <cell r="BR2532">
            <v>495556024.18297613</v>
          </cell>
          <cell r="BX2532">
            <v>484</v>
          </cell>
          <cell r="BY2532">
            <v>29</v>
          </cell>
        </row>
        <row r="2533">
          <cell r="G2533" t="str">
            <v>IS4 Sustainment Engineering and Acquisition - Identified - New</v>
          </cell>
          <cell r="H2533" t="str">
            <v>Sustainment Engineering and Acquisition</v>
          </cell>
          <cell r="I2533" t="str">
            <v>IS4</v>
          </cell>
          <cell r="J2533" t="str">
            <v>IS4 Sustainment Engineering and Acquisition</v>
          </cell>
          <cell r="U2533" t="str">
            <v>CONTRACT</v>
          </cell>
          <cell r="V2533" t="str">
            <v>Identified - New</v>
          </cell>
          <cell r="BI2533">
            <v>0</v>
          </cell>
          <cell r="BJ2533">
            <v>0</v>
          </cell>
          <cell r="BK2533">
            <v>0</v>
          </cell>
          <cell r="BL2533">
            <v>0</v>
          </cell>
          <cell r="BM2533">
            <v>0</v>
          </cell>
          <cell r="BN2533">
            <v>5533110.6453113379</v>
          </cell>
          <cell r="BO2533">
            <v>22800024.847161122</v>
          </cell>
          <cell r="BP2533">
            <v>24418644.532346305</v>
          </cell>
          <cell r="BQ2533">
            <v>27408031.171235196</v>
          </cell>
          <cell r="BR2533">
            <v>80159811.196053952</v>
          </cell>
          <cell r="BX2533">
            <v>484</v>
          </cell>
          <cell r="BY2533">
            <v>34</v>
          </cell>
        </row>
        <row r="2534">
          <cell r="G2534" t="str">
            <v>IS4 Sustainment Engineering and Acquisition - Identified - New</v>
          </cell>
          <cell r="H2534" t="str">
            <v>Sustainment Engineering and Acquisition</v>
          </cell>
          <cell r="I2534" t="str">
            <v>IS4</v>
          </cell>
          <cell r="J2534" t="str">
            <v>IS4 Sustainment Engineering and Acquisition</v>
          </cell>
          <cell r="U2534" t="str">
            <v>EBITA</v>
          </cell>
          <cell r="V2534" t="str">
            <v>Identified - New</v>
          </cell>
          <cell r="BI2534">
            <v>0</v>
          </cell>
          <cell r="BJ2534">
            <v>0</v>
          </cell>
          <cell r="BK2534">
            <v>0</v>
          </cell>
          <cell r="BL2534">
            <v>0</v>
          </cell>
          <cell r="BM2534">
            <v>0</v>
          </cell>
          <cell r="BN2534">
            <v>2370533.3865989838</v>
          </cell>
          <cell r="BO2534">
            <v>9814645.4868490323</v>
          </cell>
          <cell r="BP2534">
            <v>10551814.53499718</v>
          </cell>
          <cell r="BQ2534">
            <v>11831663.562774956</v>
          </cell>
          <cell r="BR2534">
            <v>34568656.971220151</v>
          </cell>
          <cell r="BX2534">
            <v>484</v>
          </cell>
          <cell r="BY2534">
            <v>39</v>
          </cell>
        </row>
        <row r="2535">
          <cell r="G2535" t="str">
            <v>IS4 Sustainment Engineering and Acquisition - Unidentified - New</v>
          </cell>
          <cell r="H2535" t="str">
            <v>Sustainment Engineering and Acquisition</v>
          </cell>
          <cell r="I2535" t="str">
            <v>IS4</v>
          </cell>
          <cell r="J2535" t="str">
            <v>IS4 Sustainment Engineering and Acquisition</v>
          </cell>
          <cell r="U2535" t="str">
            <v>REVTOT</v>
          </cell>
          <cell r="V2535" t="str">
            <v>Unidentified - New</v>
          </cell>
          <cell r="BI2535">
            <v>0</v>
          </cell>
          <cell r="BJ2535">
            <v>0</v>
          </cell>
          <cell r="BK2535">
            <v>0</v>
          </cell>
          <cell r="BL2535">
            <v>0</v>
          </cell>
          <cell r="BM2535">
            <v>0</v>
          </cell>
          <cell r="BN2535">
            <v>0</v>
          </cell>
          <cell r="BO2535">
            <v>0</v>
          </cell>
          <cell r="BP2535">
            <v>0</v>
          </cell>
          <cell r="BQ2535">
            <v>0</v>
          </cell>
          <cell r="BR2535">
            <v>0</v>
          </cell>
          <cell r="BX2535">
            <v>485</v>
          </cell>
          <cell r="BY2535">
            <v>29</v>
          </cell>
        </row>
        <row r="2536">
          <cell r="G2536" t="str">
            <v>IS4 Sustainment Engineering and Acquisition - Unidentified - New</v>
          </cell>
          <cell r="H2536" t="str">
            <v>Sustainment Engineering and Acquisition</v>
          </cell>
          <cell r="I2536" t="str">
            <v>IS4</v>
          </cell>
          <cell r="J2536" t="str">
            <v>IS4 Sustainment Engineering and Acquisition</v>
          </cell>
          <cell r="U2536" t="str">
            <v>CONTRACT</v>
          </cell>
          <cell r="V2536" t="str">
            <v>Unidentified - New</v>
          </cell>
          <cell r="BI2536">
            <v>0</v>
          </cell>
          <cell r="BJ2536">
            <v>0</v>
          </cell>
          <cell r="BK2536">
            <v>0</v>
          </cell>
          <cell r="BL2536">
            <v>0</v>
          </cell>
          <cell r="BM2536">
            <v>0</v>
          </cell>
          <cell r="BN2536">
            <v>0</v>
          </cell>
          <cell r="BO2536">
            <v>0</v>
          </cell>
          <cell r="BP2536">
            <v>0</v>
          </cell>
          <cell r="BQ2536">
            <v>0</v>
          </cell>
          <cell r="BR2536">
            <v>0</v>
          </cell>
          <cell r="BX2536">
            <v>485</v>
          </cell>
          <cell r="BY2536">
            <v>34</v>
          </cell>
        </row>
        <row r="2537">
          <cell r="G2537" t="str">
            <v>IS4 Sustainment Engineering and Acquisition - Unidentified - New</v>
          </cell>
          <cell r="H2537" t="str">
            <v>Sustainment Engineering and Acquisition</v>
          </cell>
          <cell r="I2537" t="str">
            <v>IS4</v>
          </cell>
          <cell r="J2537" t="str">
            <v>IS4 Sustainment Engineering and Acquisition</v>
          </cell>
          <cell r="U2537" t="str">
            <v>EBITA</v>
          </cell>
          <cell r="V2537" t="str">
            <v>Unidentified - New</v>
          </cell>
          <cell r="BI2537">
            <v>0</v>
          </cell>
          <cell r="BJ2537">
            <v>0</v>
          </cell>
          <cell r="BK2537">
            <v>0</v>
          </cell>
          <cell r="BL2537">
            <v>0</v>
          </cell>
          <cell r="BM2537">
            <v>0</v>
          </cell>
          <cell r="BN2537">
            <v>0</v>
          </cell>
          <cell r="BO2537">
            <v>0</v>
          </cell>
          <cell r="BP2537">
            <v>0</v>
          </cell>
          <cell r="BQ2537">
            <v>0</v>
          </cell>
          <cell r="BR2537">
            <v>0</v>
          </cell>
          <cell r="BX2537">
            <v>485</v>
          </cell>
          <cell r="BY2537">
            <v>39</v>
          </cell>
        </row>
        <row r="2538">
          <cell r="G2538" t="str">
            <v>NE DD and WM Projects - Identified - New</v>
          </cell>
          <cell r="H2538" t="str">
            <v>DD and WM Projects</v>
          </cell>
          <cell r="I2538" t="str">
            <v>NE</v>
          </cell>
          <cell r="J2538" t="str">
            <v>NE DD and WM Projects</v>
          </cell>
          <cell r="U2538" t="str">
            <v>REVTOT</v>
          </cell>
          <cell r="V2538" t="str">
            <v>Identified - New</v>
          </cell>
          <cell r="BI2538">
            <v>0</v>
          </cell>
          <cell r="BJ2538">
            <v>0</v>
          </cell>
          <cell r="BK2538">
            <v>0</v>
          </cell>
          <cell r="BL2538">
            <v>0</v>
          </cell>
          <cell r="BM2538">
            <v>0</v>
          </cell>
          <cell r="BN2538">
            <v>0</v>
          </cell>
          <cell r="BO2538">
            <v>1223958.3333333333</v>
          </cell>
          <cell r="BP2538">
            <v>1562500</v>
          </cell>
          <cell r="BQ2538">
            <v>1562500</v>
          </cell>
          <cell r="BR2538">
            <v>4348958.333333333</v>
          </cell>
          <cell r="BX2538">
            <v>486</v>
          </cell>
          <cell r="BY2538">
            <v>29</v>
          </cell>
        </row>
        <row r="2539">
          <cell r="G2539" t="str">
            <v>NE DD and WM Projects - Identified - New</v>
          </cell>
          <cell r="H2539" t="str">
            <v>DD and WM Projects</v>
          </cell>
          <cell r="I2539" t="str">
            <v>NE</v>
          </cell>
          <cell r="J2539" t="str">
            <v>NE DD and WM Projects</v>
          </cell>
          <cell r="U2539" t="str">
            <v>CONTRACT</v>
          </cell>
          <cell r="V2539" t="str">
            <v>Identified - New</v>
          </cell>
          <cell r="BI2539">
            <v>0</v>
          </cell>
          <cell r="BJ2539">
            <v>0</v>
          </cell>
          <cell r="BK2539">
            <v>0</v>
          </cell>
          <cell r="BL2539">
            <v>0</v>
          </cell>
          <cell r="BM2539">
            <v>0</v>
          </cell>
          <cell r="BN2539">
            <v>0</v>
          </cell>
          <cell r="BO2539">
            <v>367187.49999999994</v>
          </cell>
          <cell r="BP2539">
            <v>468750</v>
          </cell>
          <cell r="BQ2539">
            <v>468750</v>
          </cell>
          <cell r="BR2539">
            <v>1304687.5</v>
          </cell>
          <cell r="BX2539">
            <v>486</v>
          </cell>
          <cell r="BY2539">
            <v>34</v>
          </cell>
        </row>
        <row r="2540">
          <cell r="G2540" t="str">
            <v>NE DD and WM Projects - Identified - New</v>
          </cell>
          <cell r="H2540" t="str">
            <v>DD and WM Projects</v>
          </cell>
          <cell r="I2540" t="str">
            <v>NE</v>
          </cell>
          <cell r="J2540" t="str">
            <v>NE DD and WM Projects</v>
          </cell>
          <cell r="U2540" t="str">
            <v>EBITA</v>
          </cell>
          <cell r="V2540" t="str">
            <v>Identified - New</v>
          </cell>
          <cell r="BI2540">
            <v>0</v>
          </cell>
          <cell r="BJ2540">
            <v>0</v>
          </cell>
          <cell r="BK2540">
            <v>0</v>
          </cell>
          <cell r="BL2540">
            <v>0</v>
          </cell>
          <cell r="BM2540">
            <v>0</v>
          </cell>
          <cell r="BN2540">
            <v>0</v>
          </cell>
          <cell r="BO2540">
            <v>52630.208333333328</v>
          </cell>
          <cell r="BP2540">
            <v>71875</v>
          </cell>
          <cell r="BQ2540">
            <v>76562.5</v>
          </cell>
          <cell r="BR2540">
            <v>201067.70833333331</v>
          </cell>
          <cell r="BX2540">
            <v>486</v>
          </cell>
          <cell r="BY2540">
            <v>39</v>
          </cell>
        </row>
        <row r="2541">
          <cell r="G2541" t="str">
            <v>NE DD and WM Projects - Unidentified - New</v>
          </cell>
          <cell r="H2541" t="str">
            <v>DD and WM Projects</v>
          </cell>
          <cell r="I2541" t="str">
            <v>NE</v>
          </cell>
          <cell r="J2541" t="str">
            <v>NE DD and WM Projects</v>
          </cell>
          <cell r="U2541" t="str">
            <v>REVTOT</v>
          </cell>
          <cell r="V2541" t="str">
            <v>Unidentified - New</v>
          </cell>
          <cell r="BI2541">
            <v>0</v>
          </cell>
          <cell r="BJ2541">
            <v>0</v>
          </cell>
          <cell r="BK2541">
            <v>0</v>
          </cell>
          <cell r="BL2541">
            <v>0</v>
          </cell>
          <cell r="BM2541">
            <v>0</v>
          </cell>
          <cell r="BN2541">
            <v>0</v>
          </cell>
          <cell r="BO2541">
            <v>0</v>
          </cell>
          <cell r="BP2541">
            <v>50000000</v>
          </cell>
          <cell r="BQ2541">
            <v>160000000</v>
          </cell>
          <cell r="BR2541">
            <v>210000000</v>
          </cell>
          <cell r="BX2541">
            <v>487</v>
          </cell>
          <cell r="BY2541">
            <v>29</v>
          </cell>
        </row>
        <row r="2542">
          <cell r="G2542" t="str">
            <v>NE DD and WM Projects - Unidentified - New</v>
          </cell>
          <cell r="H2542" t="str">
            <v>DD and WM Projects</v>
          </cell>
          <cell r="I2542" t="str">
            <v>NE</v>
          </cell>
          <cell r="J2542" t="str">
            <v>NE DD and WM Projects</v>
          </cell>
          <cell r="U2542" t="str">
            <v>CONTRACT</v>
          </cell>
          <cell r="V2542" t="str">
            <v>Unidentified - New</v>
          </cell>
          <cell r="BI2542">
            <v>0</v>
          </cell>
          <cell r="BJ2542">
            <v>0</v>
          </cell>
          <cell r="BK2542">
            <v>0</v>
          </cell>
          <cell r="BL2542">
            <v>0</v>
          </cell>
          <cell r="BM2542">
            <v>0</v>
          </cell>
          <cell r="BN2542">
            <v>0</v>
          </cell>
          <cell r="BO2542">
            <v>0</v>
          </cell>
          <cell r="BP2542">
            <v>15000000</v>
          </cell>
          <cell r="BQ2542">
            <v>48000000</v>
          </cell>
          <cell r="BR2542">
            <v>63000000</v>
          </cell>
          <cell r="BX2542">
            <v>487</v>
          </cell>
          <cell r="BY2542">
            <v>34</v>
          </cell>
        </row>
        <row r="2543">
          <cell r="G2543" t="str">
            <v>NE DD and WM Projects - Unidentified - New</v>
          </cell>
          <cell r="H2543" t="str">
            <v>DD and WM Projects</v>
          </cell>
          <cell r="I2543" t="str">
            <v>NE</v>
          </cell>
          <cell r="J2543" t="str">
            <v>NE DD and WM Projects</v>
          </cell>
          <cell r="U2543" t="str">
            <v>EBITA</v>
          </cell>
          <cell r="V2543" t="str">
            <v>Unidentified - New</v>
          </cell>
          <cell r="BI2543">
            <v>0</v>
          </cell>
          <cell r="BJ2543">
            <v>0</v>
          </cell>
          <cell r="BK2543">
            <v>0</v>
          </cell>
          <cell r="BL2543">
            <v>0</v>
          </cell>
          <cell r="BM2543">
            <v>0</v>
          </cell>
          <cell r="BN2543">
            <v>0</v>
          </cell>
          <cell r="BO2543">
            <v>0</v>
          </cell>
          <cell r="BP2543">
            <v>2000000</v>
          </cell>
          <cell r="BQ2543">
            <v>6400000</v>
          </cell>
          <cell r="BR2543">
            <v>8400000</v>
          </cell>
          <cell r="BX2543">
            <v>487</v>
          </cell>
          <cell r="BY2543">
            <v>39</v>
          </cell>
        </row>
        <row r="2544">
          <cell r="G2544" t="str">
            <v>NE HLW &amp; NNSA Operations - Identified - New</v>
          </cell>
          <cell r="H2544" t="str">
            <v>HLW &amp; NNSA Operations</v>
          </cell>
          <cell r="I2544" t="str">
            <v>NE</v>
          </cell>
          <cell r="J2544" t="str">
            <v>NE HLW &amp; NNSA Operations</v>
          </cell>
          <cell r="U2544" t="str">
            <v>REVTOT</v>
          </cell>
          <cell r="V2544" t="str">
            <v>Identified - New</v>
          </cell>
          <cell r="BI2544">
            <v>0</v>
          </cell>
          <cell r="BJ2544">
            <v>0</v>
          </cell>
          <cell r="BK2544">
            <v>0</v>
          </cell>
          <cell r="BL2544">
            <v>0</v>
          </cell>
          <cell r="BM2544">
            <v>0</v>
          </cell>
          <cell r="BN2544">
            <v>0</v>
          </cell>
          <cell r="BO2544">
            <v>2391666.6666666665</v>
          </cell>
          <cell r="BP2544">
            <v>2625000</v>
          </cell>
          <cell r="BQ2544">
            <v>233333.33333333395</v>
          </cell>
          <cell r="BR2544">
            <v>5250000</v>
          </cell>
          <cell r="BX2544">
            <v>488</v>
          </cell>
          <cell r="BY2544">
            <v>29</v>
          </cell>
        </row>
        <row r="2545">
          <cell r="G2545" t="str">
            <v>NE HLW &amp; NNSA Operations - Identified - New</v>
          </cell>
          <cell r="H2545" t="str">
            <v>HLW &amp; NNSA Operations</v>
          </cell>
          <cell r="I2545" t="str">
            <v>NE</v>
          </cell>
          <cell r="J2545" t="str">
            <v>NE HLW &amp; NNSA Operations</v>
          </cell>
          <cell r="U2545" t="str">
            <v>CONTRACT</v>
          </cell>
          <cell r="V2545" t="str">
            <v>Identified - New</v>
          </cell>
          <cell r="BI2545">
            <v>0</v>
          </cell>
          <cell r="BJ2545">
            <v>0</v>
          </cell>
          <cell r="BK2545">
            <v>0</v>
          </cell>
          <cell r="BL2545">
            <v>0</v>
          </cell>
          <cell r="BM2545">
            <v>0</v>
          </cell>
          <cell r="BN2545">
            <v>0</v>
          </cell>
          <cell r="BO2545">
            <v>717499.99999999988</v>
          </cell>
          <cell r="BP2545">
            <v>787500</v>
          </cell>
          <cell r="BQ2545">
            <v>70000.000000000189</v>
          </cell>
          <cell r="BR2545">
            <v>1575000.0000000002</v>
          </cell>
          <cell r="BX2545">
            <v>488</v>
          </cell>
          <cell r="BY2545">
            <v>34</v>
          </cell>
        </row>
        <row r="2546">
          <cell r="G2546" t="str">
            <v>NE HLW &amp; NNSA Operations - Identified - New</v>
          </cell>
          <cell r="H2546" t="str">
            <v>HLW &amp; NNSA Operations</v>
          </cell>
          <cell r="I2546" t="str">
            <v>NE</v>
          </cell>
          <cell r="J2546" t="str">
            <v>NE HLW &amp; NNSA Operations</v>
          </cell>
          <cell r="U2546" t="str">
            <v>EBITA</v>
          </cell>
          <cell r="V2546" t="str">
            <v>Identified - New</v>
          </cell>
          <cell r="BI2546">
            <v>0</v>
          </cell>
          <cell r="BJ2546">
            <v>0</v>
          </cell>
          <cell r="BK2546">
            <v>0</v>
          </cell>
          <cell r="BL2546">
            <v>0</v>
          </cell>
          <cell r="BM2546">
            <v>0</v>
          </cell>
          <cell r="BN2546">
            <v>0</v>
          </cell>
          <cell r="BO2546">
            <v>126758.33333333333</v>
          </cell>
          <cell r="BP2546">
            <v>147000</v>
          </cell>
          <cell r="BQ2546">
            <v>13766.666666666702</v>
          </cell>
          <cell r="BR2546">
            <v>287525</v>
          </cell>
          <cell r="BX2546">
            <v>488</v>
          </cell>
          <cell r="BY2546">
            <v>39</v>
          </cell>
        </row>
        <row r="2547">
          <cell r="G2547" t="str">
            <v>NE HLW &amp; NNSA Operations - Unidentified - New</v>
          </cell>
          <cell r="H2547" t="str">
            <v>HLW &amp; NNSA Operations</v>
          </cell>
          <cell r="I2547" t="str">
            <v>NE</v>
          </cell>
          <cell r="J2547" t="str">
            <v>NE HLW &amp; NNSA Operations</v>
          </cell>
          <cell r="U2547" t="str">
            <v>REVTOT</v>
          </cell>
          <cell r="V2547" t="str">
            <v>Unidentified - New</v>
          </cell>
          <cell r="BI2547">
            <v>0</v>
          </cell>
          <cell r="BJ2547">
            <v>0</v>
          </cell>
          <cell r="BK2547">
            <v>0</v>
          </cell>
          <cell r="BL2547">
            <v>0</v>
          </cell>
          <cell r="BM2547">
            <v>0</v>
          </cell>
          <cell r="BN2547">
            <v>0</v>
          </cell>
          <cell r="BO2547">
            <v>30000000</v>
          </cell>
          <cell r="BP2547">
            <v>50000000</v>
          </cell>
          <cell r="BQ2547">
            <v>160000000</v>
          </cell>
          <cell r="BR2547">
            <v>240000000</v>
          </cell>
          <cell r="BX2547">
            <v>489</v>
          </cell>
          <cell r="BY2547">
            <v>29</v>
          </cell>
        </row>
        <row r="2548">
          <cell r="G2548" t="str">
            <v>NE HLW &amp; NNSA Operations - Unidentified - New</v>
          </cell>
          <cell r="H2548" t="str">
            <v>HLW &amp; NNSA Operations</v>
          </cell>
          <cell r="I2548" t="str">
            <v>NE</v>
          </cell>
          <cell r="J2548" t="str">
            <v>NE HLW &amp; NNSA Operations</v>
          </cell>
          <cell r="U2548" t="str">
            <v>CONTRACT</v>
          </cell>
          <cell r="V2548" t="str">
            <v>Unidentified - New</v>
          </cell>
          <cell r="BI2548">
            <v>0</v>
          </cell>
          <cell r="BJ2548">
            <v>0</v>
          </cell>
          <cell r="BK2548">
            <v>0</v>
          </cell>
          <cell r="BL2548">
            <v>0</v>
          </cell>
          <cell r="BM2548">
            <v>0</v>
          </cell>
          <cell r="BN2548">
            <v>0</v>
          </cell>
          <cell r="BO2548">
            <v>9000000</v>
          </cell>
          <cell r="BP2548">
            <v>15000000</v>
          </cell>
          <cell r="BQ2548">
            <v>48000000</v>
          </cell>
          <cell r="BR2548">
            <v>72000000</v>
          </cell>
          <cell r="BX2548">
            <v>489</v>
          </cell>
          <cell r="BY2548">
            <v>34</v>
          </cell>
        </row>
        <row r="2549">
          <cell r="G2549" t="str">
            <v>NE HLW &amp; NNSA Operations - Unidentified - New</v>
          </cell>
          <cell r="H2549" t="str">
            <v>HLW &amp; NNSA Operations</v>
          </cell>
          <cell r="I2549" t="str">
            <v>NE</v>
          </cell>
          <cell r="J2549" t="str">
            <v>NE HLW &amp; NNSA Operations</v>
          </cell>
          <cell r="U2549" t="str">
            <v>EBITA</v>
          </cell>
          <cell r="V2549" t="str">
            <v>Unidentified - New</v>
          </cell>
          <cell r="BI2549">
            <v>0</v>
          </cell>
          <cell r="BJ2549">
            <v>0</v>
          </cell>
          <cell r="BK2549">
            <v>0</v>
          </cell>
          <cell r="BL2549">
            <v>0</v>
          </cell>
          <cell r="BM2549">
            <v>0</v>
          </cell>
          <cell r="BN2549">
            <v>0</v>
          </cell>
          <cell r="BO2549">
            <v>1500000</v>
          </cell>
          <cell r="BP2549">
            <v>2500000</v>
          </cell>
          <cell r="BQ2549">
            <v>8000000</v>
          </cell>
          <cell r="BR2549">
            <v>12000000</v>
          </cell>
          <cell r="BX2549">
            <v>489</v>
          </cell>
          <cell r="BY2549">
            <v>39</v>
          </cell>
        </row>
        <row r="2550">
          <cell r="G2550" t="str">
            <v>NE International Programs - Identified - New</v>
          </cell>
          <cell r="H2550" t="str">
            <v>International Programs</v>
          </cell>
          <cell r="I2550" t="str">
            <v>NE</v>
          </cell>
          <cell r="J2550" t="str">
            <v>NE International Programs</v>
          </cell>
          <cell r="U2550" t="str">
            <v>REVTOT</v>
          </cell>
          <cell r="V2550" t="str">
            <v>Identified - New</v>
          </cell>
          <cell r="BI2550">
            <v>0</v>
          </cell>
          <cell r="BJ2550">
            <v>0</v>
          </cell>
          <cell r="BK2550">
            <v>0</v>
          </cell>
          <cell r="BL2550">
            <v>0</v>
          </cell>
          <cell r="BM2550">
            <v>0</v>
          </cell>
          <cell r="BN2550">
            <v>23809023.714085415</v>
          </cell>
          <cell r="BO2550">
            <v>65992696.677581936</v>
          </cell>
          <cell r="BP2550">
            <v>32973647.631049305</v>
          </cell>
          <cell r="BQ2550">
            <v>15918959.146</v>
          </cell>
          <cell r="BR2550">
            <v>138694327.16871667</v>
          </cell>
          <cell r="BX2550">
            <v>490</v>
          </cell>
          <cell r="BY2550">
            <v>29</v>
          </cell>
        </row>
        <row r="2551">
          <cell r="G2551" t="str">
            <v>NE International Programs - Identified - New</v>
          </cell>
          <cell r="H2551" t="str">
            <v>International Programs</v>
          </cell>
          <cell r="I2551" t="str">
            <v>NE</v>
          </cell>
          <cell r="J2551" t="str">
            <v>NE International Programs</v>
          </cell>
          <cell r="U2551" t="str">
            <v>CONTRACT</v>
          </cell>
          <cell r="V2551" t="str">
            <v>Identified - New</v>
          </cell>
          <cell r="BI2551">
            <v>0</v>
          </cell>
          <cell r="BJ2551">
            <v>0</v>
          </cell>
          <cell r="BK2551">
            <v>0</v>
          </cell>
          <cell r="BL2551">
            <v>0</v>
          </cell>
          <cell r="BM2551">
            <v>0</v>
          </cell>
          <cell r="BN2551">
            <v>4097610.5620314446</v>
          </cell>
          <cell r="BO2551">
            <v>11068664.980635332</v>
          </cell>
          <cell r="BP2551">
            <v>5275783.6209678883</v>
          </cell>
          <cell r="BQ2551">
            <v>2547033.4633599999</v>
          </cell>
          <cell r="BR2551">
            <v>22989092.626994666</v>
          </cell>
          <cell r="BX2551">
            <v>490</v>
          </cell>
          <cell r="BY2551">
            <v>34</v>
          </cell>
        </row>
        <row r="2552">
          <cell r="G2552" t="str">
            <v>NE International Programs - Identified - New</v>
          </cell>
          <cell r="H2552" t="str">
            <v>International Programs</v>
          </cell>
          <cell r="I2552" t="str">
            <v>NE</v>
          </cell>
          <cell r="J2552" t="str">
            <v>NE International Programs</v>
          </cell>
          <cell r="U2552" t="str">
            <v>EBITA</v>
          </cell>
          <cell r="V2552" t="str">
            <v>Identified - New</v>
          </cell>
          <cell r="BI2552">
            <v>0</v>
          </cell>
          <cell r="BJ2552">
            <v>0</v>
          </cell>
          <cell r="BK2552">
            <v>0</v>
          </cell>
          <cell r="BL2552">
            <v>0</v>
          </cell>
          <cell r="BM2552">
            <v>0</v>
          </cell>
          <cell r="BN2552">
            <v>1175801.0212319868</v>
          </cell>
          <cell r="BO2552">
            <v>3450784.0070846905</v>
          </cell>
          <cell r="BP2552">
            <v>1830815.1769899493</v>
          </cell>
          <cell r="BQ2552">
            <v>938093.58961399994</v>
          </cell>
          <cell r="BR2552">
            <v>7395493.794920627</v>
          </cell>
          <cell r="BX2552">
            <v>490</v>
          </cell>
          <cell r="BY2552">
            <v>39</v>
          </cell>
        </row>
        <row r="2553">
          <cell r="G2553" t="str">
            <v>NE International Programs - Unidentified - New</v>
          </cell>
          <cell r="H2553" t="str">
            <v>International Programs</v>
          </cell>
          <cell r="I2553" t="str">
            <v>NE</v>
          </cell>
          <cell r="J2553" t="str">
            <v>NE International Programs</v>
          </cell>
          <cell r="U2553" t="str">
            <v>REVTOT</v>
          </cell>
          <cell r="V2553" t="str">
            <v>Unidentified - New</v>
          </cell>
          <cell r="BI2553">
            <v>0</v>
          </cell>
          <cell r="BJ2553">
            <v>0</v>
          </cell>
          <cell r="BK2553">
            <v>0</v>
          </cell>
          <cell r="BL2553">
            <v>0</v>
          </cell>
          <cell r="BM2553">
            <v>0</v>
          </cell>
          <cell r="BN2553">
            <v>0</v>
          </cell>
          <cell r="BO2553">
            <v>0</v>
          </cell>
          <cell r="BP2553">
            <v>50000000</v>
          </cell>
          <cell r="BQ2553">
            <v>50000000</v>
          </cell>
          <cell r="BR2553">
            <v>100000000</v>
          </cell>
          <cell r="BX2553">
            <v>491</v>
          </cell>
          <cell r="BY2553">
            <v>29</v>
          </cell>
        </row>
        <row r="2554">
          <cell r="G2554" t="str">
            <v>NE International Programs - Unidentified - New</v>
          </cell>
          <cell r="H2554" t="str">
            <v>International Programs</v>
          </cell>
          <cell r="I2554" t="str">
            <v>NE</v>
          </cell>
          <cell r="J2554" t="str">
            <v>NE International Programs</v>
          </cell>
          <cell r="U2554" t="str">
            <v>CONTRACT</v>
          </cell>
          <cell r="V2554" t="str">
            <v>Unidentified - New</v>
          </cell>
          <cell r="BI2554">
            <v>0</v>
          </cell>
          <cell r="BJ2554">
            <v>0</v>
          </cell>
          <cell r="BK2554">
            <v>0</v>
          </cell>
          <cell r="BL2554">
            <v>0</v>
          </cell>
          <cell r="BM2554">
            <v>0</v>
          </cell>
          <cell r="BN2554">
            <v>0</v>
          </cell>
          <cell r="BO2554">
            <v>0</v>
          </cell>
          <cell r="BP2554">
            <v>8000000</v>
          </cell>
          <cell r="BQ2554">
            <v>8000000</v>
          </cell>
          <cell r="BR2554">
            <v>16000000</v>
          </cell>
          <cell r="BX2554">
            <v>491</v>
          </cell>
          <cell r="BY2554">
            <v>34</v>
          </cell>
        </row>
        <row r="2555">
          <cell r="G2555" t="str">
            <v>NE International Programs - Unidentified - New</v>
          </cell>
          <cell r="H2555" t="str">
            <v>International Programs</v>
          </cell>
          <cell r="I2555" t="str">
            <v>NE</v>
          </cell>
          <cell r="J2555" t="str">
            <v>NE International Programs</v>
          </cell>
          <cell r="U2555" t="str">
            <v>EBITA</v>
          </cell>
          <cell r="V2555" t="str">
            <v>Unidentified - New</v>
          </cell>
          <cell r="BI2555">
            <v>0</v>
          </cell>
          <cell r="BJ2555">
            <v>0</v>
          </cell>
          <cell r="BK2555">
            <v>0</v>
          </cell>
          <cell r="BL2555">
            <v>0</v>
          </cell>
          <cell r="BM2555">
            <v>0</v>
          </cell>
          <cell r="BN2555">
            <v>0</v>
          </cell>
          <cell r="BO2555">
            <v>0</v>
          </cell>
          <cell r="BP2555">
            <v>2500000</v>
          </cell>
          <cell r="BQ2555">
            <v>2500000</v>
          </cell>
          <cell r="BR2555">
            <v>5000000</v>
          </cell>
          <cell r="BX2555">
            <v>491</v>
          </cell>
          <cell r="BY2555">
            <v>39</v>
          </cell>
        </row>
        <row r="2556">
          <cell r="G2556" t="str">
            <v>NE Technical Services - Identified - New</v>
          </cell>
          <cell r="H2556" t="str">
            <v>Technical Services</v>
          </cell>
          <cell r="I2556" t="str">
            <v>NE</v>
          </cell>
          <cell r="J2556" t="str">
            <v>NE Technical Services</v>
          </cell>
          <cell r="U2556" t="str">
            <v>REVTOT</v>
          </cell>
          <cell r="V2556" t="str">
            <v>Identified - New</v>
          </cell>
          <cell r="BI2556">
            <v>0</v>
          </cell>
          <cell r="BJ2556">
            <v>0</v>
          </cell>
          <cell r="BK2556">
            <v>0</v>
          </cell>
          <cell r="BL2556">
            <v>0</v>
          </cell>
          <cell r="BM2556">
            <v>0</v>
          </cell>
          <cell r="BN2556">
            <v>36056304.51296296</v>
          </cell>
          <cell r="BO2556">
            <v>71802873.529629618</v>
          </cell>
          <cell r="BP2556">
            <v>71498598.29814814</v>
          </cell>
          <cell r="BQ2556">
            <v>62765892.279629633</v>
          </cell>
          <cell r="BR2556">
            <v>242123668.62037039</v>
          </cell>
          <cell r="BX2556">
            <v>492</v>
          </cell>
          <cell r="BY2556">
            <v>29</v>
          </cell>
        </row>
        <row r="2557">
          <cell r="G2557" t="str">
            <v>NE Technical Services - Identified - New</v>
          </cell>
          <cell r="H2557" t="str">
            <v>Technical Services</v>
          </cell>
          <cell r="I2557" t="str">
            <v>NE</v>
          </cell>
          <cell r="J2557" t="str">
            <v>NE Technical Services</v>
          </cell>
          <cell r="U2557" t="str">
            <v>CONTRACT</v>
          </cell>
          <cell r="V2557" t="str">
            <v>Identified - New</v>
          </cell>
          <cell r="BI2557">
            <v>0</v>
          </cell>
          <cell r="BJ2557">
            <v>0</v>
          </cell>
          <cell r="BK2557">
            <v>0</v>
          </cell>
          <cell r="BL2557">
            <v>0</v>
          </cell>
          <cell r="BM2557">
            <v>0</v>
          </cell>
          <cell r="BN2557">
            <v>10816891.353888888</v>
          </cell>
          <cell r="BO2557">
            <v>21540862.058888886</v>
          </cell>
          <cell r="BP2557">
            <v>21449579.489444442</v>
          </cell>
          <cell r="BQ2557">
            <v>18829767.68388889</v>
          </cell>
          <cell r="BR2557">
            <v>72637100.586111099</v>
          </cell>
          <cell r="BX2557">
            <v>492</v>
          </cell>
          <cell r="BY2557">
            <v>34</v>
          </cell>
        </row>
        <row r="2558">
          <cell r="G2558" t="str">
            <v>NE Technical Services - Identified - New</v>
          </cell>
          <cell r="H2558" t="str">
            <v>Technical Services</v>
          </cell>
          <cell r="I2558" t="str">
            <v>NE</v>
          </cell>
          <cell r="J2558" t="str">
            <v>NE Technical Services</v>
          </cell>
          <cell r="U2558" t="str">
            <v>EBITA</v>
          </cell>
          <cell r="V2558" t="str">
            <v>Identified - New</v>
          </cell>
          <cell r="BI2558">
            <v>0</v>
          </cell>
          <cell r="BJ2558">
            <v>0</v>
          </cell>
          <cell r="BK2558">
            <v>0</v>
          </cell>
          <cell r="BL2558">
            <v>0</v>
          </cell>
          <cell r="BM2558">
            <v>0</v>
          </cell>
          <cell r="BN2558">
            <v>2502646.3808462964</v>
          </cell>
          <cell r="BO2558">
            <v>5072613.0725629628</v>
          </cell>
          <cell r="BP2558">
            <v>5251729.0026425924</v>
          </cell>
          <cell r="BQ2558">
            <v>4839029.1262407415</v>
          </cell>
          <cell r="BR2558">
            <v>17666017.582292594</v>
          </cell>
          <cell r="BX2558">
            <v>492</v>
          </cell>
          <cell r="BY2558">
            <v>39</v>
          </cell>
        </row>
        <row r="2559">
          <cell r="G2559" t="str">
            <v>NE Technical Services - Unidentified - New</v>
          </cell>
          <cell r="H2559" t="str">
            <v>Technical Services</v>
          </cell>
          <cell r="I2559" t="str">
            <v>NE</v>
          </cell>
          <cell r="J2559" t="str">
            <v>NE Technical Services</v>
          </cell>
          <cell r="U2559" t="str">
            <v>REVTOT</v>
          </cell>
          <cell r="V2559" t="str">
            <v>Unidentified - New</v>
          </cell>
          <cell r="BI2559">
            <v>0</v>
          </cell>
          <cell r="BJ2559">
            <v>0</v>
          </cell>
          <cell r="BK2559">
            <v>0</v>
          </cell>
          <cell r="BL2559">
            <v>0</v>
          </cell>
          <cell r="BM2559">
            <v>0</v>
          </cell>
          <cell r="BN2559">
            <v>0</v>
          </cell>
          <cell r="BO2559">
            <v>30000000</v>
          </cell>
          <cell r="BP2559">
            <v>50000000</v>
          </cell>
          <cell r="BQ2559">
            <v>100000000</v>
          </cell>
          <cell r="BR2559">
            <v>180000000</v>
          </cell>
          <cell r="BX2559">
            <v>493</v>
          </cell>
          <cell r="BY2559">
            <v>29</v>
          </cell>
        </row>
        <row r="2560">
          <cell r="G2560" t="str">
            <v>NE Technical Services - Unidentified - New</v>
          </cell>
          <cell r="H2560" t="str">
            <v>Technical Services</v>
          </cell>
          <cell r="I2560" t="str">
            <v>NE</v>
          </cell>
          <cell r="J2560" t="str">
            <v>NE Technical Services</v>
          </cell>
          <cell r="U2560" t="str">
            <v>CONTRACT</v>
          </cell>
          <cell r="V2560" t="str">
            <v>Unidentified - New</v>
          </cell>
          <cell r="BI2560">
            <v>0</v>
          </cell>
          <cell r="BJ2560">
            <v>0</v>
          </cell>
          <cell r="BK2560">
            <v>0</v>
          </cell>
          <cell r="BL2560">
            <v>0</v>
          </cell>
          <cell r="BM2560">
            <v>0</v>
          </cell>
          <cell r="BN2560">
            <v>0</v>
          </cell>
          <cell r="BO2560">
            <v>9000000</v>
          </cell>
          <cell r="BP2560">
            <v>15000000</v>
          </cell>
          <cell r="BQ2560">
            <v>30000000</v>
          </cell>
          <cell r="BR2560">
            <v>54000000</v>
          </cell>
          <cell r="BX2560">
            <v>493</v>
          </cell>
          <cell r="BY2560">
            <v>34</v>
          </cell>
        </row>
        <row r="2561">
          <cell r="G2561" t="str">
            <v>NE Technical Services - Unidentified - New</v>
          </cell>
          <cell r="H2561" t="str">
            <v>Technical Services</v>
          </cell>
          <cell r="I2561" t="str">
            <v>NE</v>
          </cell>
          <cell r="J2561" t="str">
            <v>NE Technical Services</v>
          </cell>
          <cell r="U2561" t="str">
            <v>EBITA</v>
          </cell>
          <cell r="V2561" t="str">
            <v>Unidentified - New</v>
          </cell>
          <cell r="BI2561">
            <v>0</v>
          </cell>
          <cell r="BJ2561">
            <v>0</v>
          </cell>
          <cell r="BK2561">
            <v>0</v>
          </cell>
          <cell r="BL2561">
            <v>0</v>
          </cell>
          <cell r="BM2561">
            <v>0</v>
          </cell>
          <cell r="BN2561">
            <v>0</v>
          </cell>
          <cell r="BO2561">
            <v>1920000</v>
          </cell>
          <cell r="BP2561">
            <v>3350000</v>
          </cell>
          <cell r="BQ2561">
            <v>7000000.0000000009</v>
          </cell>
          <cell r="BR2561">
            <v>12270000</v>
          </cell>
          <cell r="BX2561">
            <v>493</v>
          </cell>
          <cell r="BY2561">
            <v>39</v>
          </cell>
        </row>
        <row r="2562">
          <cell r="G2562" t="str">
            <v>Commercial O&amp;M - Identified - New</v>
          </cell>
          <cell r="H2562" t="str">
            <v>Commercial O&amp;M</v>
          </cell>
          <cell r="I2562" t="str">
            <v>COMG</v>
          </cell>
          <cell r="J2562" t="str">
            <v>Commercial O&amp;M</v>
          </cell>
          <cell r="U2562" t="str">
            <v>REVTOT</v>
          </cell>
          <cell r="V2562" t="str">
            <v>Identified - New</v>
          </cell>
          <cell r="BI2562">
            <v>0</v>
          </cell>
          <cell r="BJ2562">
            <v>0</v>
          </cell>
          <cell r="BK2562">
            <v>0</v>
          </cell>
          <cell r="BL2562">
            <v>0</v>
          </cell>
          <cell r="BM2562">
            <v>0</v>
          </cell>
          <cell r="BN2562">
            <v>17573523.735002603</v>
          </cell>
          <cell r="BO2562">
            <v>23057518.58372457</v>
          </cell>
          <cell r="BP2562">
            <v>24436338.028169014</v>
          </cell>
          <cell r="BQ2562">
            <v>7701300.2086593639</v>
          </cell>
          <cell r="BR2562">
            <v>72768680.555555552</v>
          </cell>
          <cell r="BX2562">
            <v>494</v>
          </cell>
          <cell r="BY2562">
            <v>29</v>
          </cell>
        </row>
        <row r="2563">
          <cell r="G2563" t="str">
            <v>Commercial O&amp;M - Identified - New</v>
          </cell>
          <cell r="H2563" t="str">
            <v>Commercial O&amp;M</v>
          </cell>
          <cell r="I2563" t="str">
            <v>COMG</v>
          </cell>
          <cell r="J2563" t="str">
            <v>Commercial O&amp;M</v>
          </cell>
          <cell r="U2563" t="str">
            <v>CONTRACT</v>
          </cell>
          <cell r="V2563" t="str">
            <v>Identified - New</v>
          </cell>
          <cell r="BI2563">
            <v>0</v>
          </cell>
          <cell r="BJ2563">
            <v>0</v>
          </cell>
          <cell r="BK2563">
            <v>0</v>
          </cell>
          <cell r="BL2563">
            <v>0</v>
          </cell>
          <cell r="BM2563">
            <v>0</v>
          </cell>
          <cell r="BN2563">
            <v>2489582.5291253692</v>
          </cell>
          <cell r="BO2563">
            <v>3266481.7993609803</v>
          </cell>
          <cell r="BP2563">
            <v>3461814.5539906099</v>
          </cell>
          <cell r="BQ2563">
            <v>1091017.5295600765</v>
          </cell>
          <cell r="BR2563">
            <v>10308896.412037035</v>
          </cell>
          <cell r="BX2563">
            <v>494</v>
          </cell>
          <cell r="BY2563">
            <v>34</v>
          </cell>
        </row>
        <row r="2564">
          <cell r="G2564" t="str">
            <v>Commercial O&amp;M - Identified - New</v>
          </cell>
          <cell r="H2564" t="str">
            <v>Commercial O&amp;M</v>
          </cell>
          <cell r="I2564" t="str">
            <v>COMG</v>
          </cell>
          <cell r="J2564" t="str">
            <v>Commercial O&amp;M</v>
          </cell>
          <cell r="U2564" t="str">
            <v>EBITA</v>
          </cell>
          <cell r="V2564" t="str">
            <v>Identified - New</v>
          </cell>
          <cell r="BI2564">
            <v>0</v>
          </cell>
          <cell r="BJ2564">
            <v>0</v>
          </cell>
          <cell r="BK2564">
            <v>0</v>
          </cell>
          <cell r="BL2564">
            <v>0</v>
          </cell>
          <cell r="BM2564">
            <v>0</v>
          </cell>
          <cell r="BN2564">
            <v>625591.02112676052</v>
          </cell>
          <cell r="BO2564">
            <v>893788.24334898288</v>
          </cell>
          <cell r="BP2564">
            <v>1042610.2112676057</v>
          </cell>
          <cell r="BQ2564">
            <v>352390.01043296827</v>
          </cell>
          <cell r="BR2564">
            <v>2914379.4861763171</v>
          </cell>
          <cell r="BX2564">
            <v>494</v>
          </cell>
          <cell r="BY2564">
            <v>39</v>
          </cell>
        </row>
        <row r="2565">
          <cell r="G2565" t="str">
            <v>Commercial O&amp;M - Unidentified - New</v>
          </cell>
          <cell r="H2565" t="str">
            <v>Commercial O&amp;M</v>
          </cell>
          <cell r="I2565" t="str">
            <v>COMG</v>
          </cell>
          <cell r="J2565" t="str">
            <v>Commercial O&amp;M</v>
          </cell>
          <cell r="U2565" t="str">
            <v>REVTOT</v>
          </cell>
          <cell r="V2565" t="str">
            <v>Unidentified - New</v>
          </cell>
          <cell r="BI2565">
            <v>0</v>
          </cell>
          <cell r="BJ2565">
            <v>0</v>
          </cell>
          <cell r="BK2565">
            <v>0</v>
          </cell>
          <cell r="BL2565">
            <v>0</v>
          </cell>
          <cell r="BM2565">
            <v>0</v>
          </cell>
          <cell r="BN2565">
            <v>20000000</v>
          </cell>
          <cell r="BO2565">
            <v>65000000</v>
          </cell>
          <cell r="BP2565">
            <v>90000000</v>
          </cell>
          <cell r="BQ2565">
            <v>160000000</v>
          </cell>
          <cell r="BR2565">
            <v>335000000</v>
          </cell>
          <cell r="BX2565">
            <v>495</v>
          </cell>
          <cell r="BY2565">
            <v>29</v>
          </cell>
        </row>
        <row r="2566">
          <cell r="G2566" t="str">
            <v>Commercial O&amp;M - Unidentified - New</v>
          </cell>
          <cell r="H2566" t="str">
            <v>Commercial O&amp;M</v>
          </cell>
          <cell r="I2566" t="str">
            <v>COMG</v>
          </cell>
          <cell r="J2566" t="str">
            <v>Commercial O&amp;M</v>
          </cell>
          <cell r="U2566" t="str">
            <v>CONTRACT</v>
          </cell>
          <cell r="V2566" t="str">
            <v>Unidentified - New</v>
          </cell>
          <cell r="BI2566">
            <v>0</v>
          </cell>
          <cell r="BJ2566">
            <v>0</v>
          </cell>
          <cell r="BK2566">
            <v>0</v>
          </cell>
          <cell r="BL2566">
            <v>0</v>
          </cell>
          <cell r="BM2566">
            <v>0</v>
          </cell>
          <cell r="BN2566">
            <v>2833333.3333333335</v>
          </cell>
          <cell r="BO2566">
            <v>9208333.333333334</v>
          </cell>
          <cell r="BP2566">
            <v>12750000</v>
          </cell>
          <cell r="BQ2566">
            <v>22666666.666666668</v>
          </cell>
          <cell r="BR2566">
            <v>47458333.333333336</v>
          </cell>
          <cell r="BX2566">
            <v>495</v>
          </cell>
          <cell r="BY2566">
            <v>34</v>
          </cell>
        </row>
        <row r="2567">
          <cell r="G2567" t="str">
            <v>Commercial O&amp;M - Unidentified - New</v>
          </cell>
          <cell r="H2567" t="str">
            <v>Commercial O&amp;M</v>
          </cell>
          <cell r="I2567" t="str">
            <v>COMG</v>
          </cell>
          <cell r="J2567" t="str">
            <v>Commercial O&amp;M</v>
          </cell>
          <cell r="U2567" t="str">
            <v>EBITA</v>
          </cell>
          <cell r="V2567" t="str">
            <v>Unidentified - New</v>
          </cell>
          <cell r="BI2567">
            <v>0</v>
          </cell>
          <cell r="BJ2567">
            <v>0</v>
          </cell>
          <cell r="BK2567">
            <v>0</v>
          </cell>
          <cell r="BL2567">
            <v>0</v>
          </cell>
          <cell r="BM2567">
            <v>0</v>
          </cell>
          <cell r="BN2567">
            <v>750000</v>
          </cell>
          <cell r="BO2567">
            <v>2600000</v>
          </cell>
          <cell r="BP2567">
            <v>3825000.0000000005</v>
          </cell>
          <cell r="BQ2567">
            <v>7200000</v>
          </cell>
          <cell r="BR2567">
            <v>14375000</v>
          </cell>
          <cell r="BX2567">
            <v>495</v>
          </cell>
          <cell r="BY2567">
            <v>39</v>
          </cell>
        </row>
      </sheetData>
      <sheetData sheetId="40">
        <row r="3">
          <cell r="C3" t="str">
            <v>JVs</v>
          </cell>
          <cell r="D3">
            <v>2</v>
          </cell>
          <cell r="E3">
            <v>3</v>
          </cell>
          <cell r="F3">
            <v>4</v>
          </cell>
          <cell r="G3">
            <v>5</v>
          </cell>
          <cell r="H3">
            <v>6</v>
          </cell>
          <cell r="I3">
            <v>7</v>
          </cell>
          <cell r="J3">
            <v>8</v>
          </cell>
          <cell r="K3">
            <v>9</v>
          </cell>
          <cell r="L3">
            <v>10</v>
          </cell>
          <cell r="M3">
            <v>11</v>
          </cell>
          <cell r="N3">
            <v>12</v>
          </cell>
          <cell r="O3">
            <v>13</v>
          </cell>
          <cell r="P3">
            <v>14</v>
          </cell>
          <cell r="Q3">
            <v>15</v>
          </cell>
          <cell r="R3">
            <v>16</v>
          </cell>
          <cell r="S3">
            <v>17</v>
          </cell>
          <cell r="T3">
            <v>18</v>
          </cell>
          <cell r="U3">
            <v>19</v>
          </cell>
          <cell r="V3">
            <v>20</v>
          </cell>
          <cell r="W3">
            <v>21</v>
          </cell>
          <cell r="X3">
            <v>22</v>
          </cell>
          <cell r="Y3">
            <v>23</v>
          </cell>
          <cell r="Z3">
            <v>24</v>
          </cell>
          <cell r="AB3">
            <v>26</v>
          </cell>
          <cell r="AD3">
            <v>28</v>
          </cell>
          <cell r="AI3">
            <v>33</v>
          </cell>
          <cell r="AJ3">
            <v>34</v>
          </cell>
          <cell r="AK3">
            <v>35</v>
          </cell>
          <cell r="AL3">
            <v>36</v>
          </cell>
          <cell r="AM3">
            <v>37</v>
          </cell>
          <cell r="AN3">
            <v>38</v>
          </cell>
          <cell r="AR3">
            <v>42</v>
          </cell>
          <cell r="AS3">
            <v>43</v>
          </cell>
          <cell r="AT3">
            <v>44</v>
          </cell>
          <cell r="AU3">
            <v>45</v>
          </cell>
          <cell r="AV3">
            <v>46</v>
          </cell>
          <cell r="BA3">
            <v>51</v>
          </cell>
          <cell r="BB3">
            <v>52</v>
          </cell>
          <cell r="BC3">
            <v>53</v>
          </cell>
          <cell r="BD3">
            <v>54</v>
          </cell>
          <cell r="BE3">
            <v>55</v>
          </cell>
          <cell r="BF3">
            <v>56</v>
          </cell>
          <cell r="BJ3">
            <v>60</v>
          </cell>
          <cell r="BK3">
            <v>61</v>
          </cell>
          <cell r="BL3">
            <v>62</v>
          </cell>
          <cell r="BM3">
            <v>63</v>
          </cell>
          <cell r="BN3">
            <v>64</v>
          </cell>
          <cell r="BS3">
            <v>69</v>
          </cell>
          <cell r="BT3">
            <v>70</v>
          </cell>
          <cell r="BU3">
            <v>71</v>
          </cell>
          <cell r="BV3">
            <v>72</v>
          </cell>
          <cell r="BW3">
            <v>73</v>
          </cell>
          <cell r="CB3">
            <v>78</v>
          </cell>
          <cell r="CC3">
            <v>79</v>
          </cell>
          <cell r="CD3">
            <v>80</v>
          </cell>
          <cell r="CE3">
            <v>81</v>
          </cell>
          <cell r="CF3">
            <v>82</v>
          </cell>
          <cell r="CK3">
            <v>87</v>
          </cell>
          <cell r="CL3">
            <v>88</v>
          </cell>
          <cell r="CM3">
            <v>89</v>
          </cell>
          <cell r="CN3">
            <v>90</v>
          </cell>
          <cell r="CO3">
            <v>91</v>
          </cell>
          <cell r="CP3">
            <v>92</v>
          </cell>
          <cell r="CT3">
            <v>96</v>
          </cell>
          <cell r="CU3">
            <v>97</v>
          </cell>
          <cell r="CV3">
            <v>98</v>
          </cell>
          <cell r="CW3">
            <v>99</v>
          </cell>
          <cell r="CX3">
            <v>100</v>
          </cell>
          <cell r="CY3">
            <v>101</v>
          </cell>
          <cell r="DC3">
            <v>105</v>
          </cell>
          <cell r="DD3">
            <v>106</v>
          </cell>
          <cell r="DE3">
            <v>107</v>
          </cell>
          <cell r="DF3">
            <v>108</v>
          </cell>
          <cell r="DG3">
            <v>109</v>
          </cell>
          <cell r="DH3">
            <v>110</v>
          </cell>
          <cell r="DL3">
            <v>114</v>
          </cell>
          <cell r="DM3">
            <v>115</v>
          </cell>
          <cell r="DN3">
            <v>116</v>
          </cell>
          <cell r="DO3">
            <v>117</v>
          </cell>
          <cell r="DP3">
            <v>118</v>
          </cell>
        </row>
        <row r="5">
          <cell r="F5" t="str">
            <v>Prime / Sub</v>
          </cell>
          <cell r="J5" t="str">
            <v>Summary Agency</v>
          </cell>
          <cell r="K5" t="str">
            <v>Contract Type</v>
          </cell>
          <cell r="L5" t="str">
            <v>Beg. Date</v>
          </cell>
          <cell r="M5" t="str">
            <v>End Date</v>
          </cell>
          <cell r="U5" t="str">
            <v>Backlog</v>
          </cell>
          <cell r="Y5" t="str">
            <v>Pipeline</v>
          </cell>
          <cell r="Z5" t="str">
            <v>P-Win</v>
          </cell>
          <cell r="AB5" t="str">
            <v>Burn</v>
          </cell>
          <cell r="DX5" t="str">
            <v>EBITA % FY20</v>
          </cell>
          <cell r="DY5" t="str">
            <v>EBITA % FY21</v>
          </cell>
          <cell r="DZ5" t="str">
            <v>EBITA % FY22</v>
          </cell>
          <cell r="EA5" t="str">
            <v>EBITA % FY23</v>
          </cell>
        </row>
        <row r="6">
          <cell r="C6" t="str">
            <v>Project Maverick</v>
          </cell>
          <cell r="BJ6">
            <v>43738</v>
          </cell>
          <cell r="BK6">
            <v>44104</v>
          </cell>
          <cell r="BL6">
            <v>44469</v>
          </cell>
          <cell r="BM6">
            <v>44834</v>
          </cell>
          <cell r="BN6">
            <v>45199</v>
          </cell>
          <cell r="BS6">
            <v>43738</v>
          </cell>
          <cell r="BT6">
            <v>44104</v>
          </cell>
          <cell r="BU6">
            <v>44469</v>
          </cell>
          <cell r="BV6">
            <v>44834</v>
          </cell>
          <cell r="BW6">
            <v>45199</v>
          </cell>
        </row>
        <row r="7">
          <cell r="C7" t="str">
            <v>JV Model</v>
          </cell>
        </row>
        <row r="10">
          <cell r="C10" t="str">
            <v>Indicates consolidated JV</v>
          </cell>
          <cell r="AF10" t="str">
            <v>For Consolidated</v>
          </cell>
          <cell r="AX10" t="str">
            <v>For Non-Consolidated</v>
          </cell>
        </row>
        <row r="11">
          <cell r="AD11" t="str">
            <v>Ownership %</v>
          </cell>
          <cell r="BJ11" t="str">
            <v>REVTOT</v>
          </cell>
          <cell r="BS11" t="str">
            <v>P REVTOT</v>
          </cell>
          <cell r="CB11" t="str">
            <v>CONTRACT</v>
          </cell>
          <cell r="CK11" t="str">
            <v>EBITA</v>
          </cell>
          <cell r="CT11" t="str">
            <v>JVTOT</v>
          </cell>
          <cell r="DC11" t="str">
            <v>MINORITY</v>
          </cell>
        </row>
        <row r="12">
          <cell r="C12" t="str">
            <v>Program</v>
          </cell>
          <cell r="G12" t="str">
            <v>MS</v>
          </cell>
          <cell r="I12" t="str">
            <v>SBU</v>
          </cell>
          <cell r="K12" t="str">
            <v>Contract</v>
          </cell>
          <cell r="L12" t="str">
            <v>POP</v>
          </cell>
          <cell r="N12" t="str">
            <v>Backlog / MODs &amp; TOs (Consolidated Only)</v>
          </cell>
          <cell r="R12" t="str">
            <v>Backlog / MODs &amp; TOs (Consolidated and Imputed)</v>
          </cell>
          <cell r="V12" t="str">
            <v>Pipeline Factors</v>
          </cell>
          <cell r="AB12" t="str">
            <v>Core</v>
          </cell>
          <cell r="AD12" t="str">
            <v>MS Economic</v>
          </cell>
          <cell r="AF12" t="str">
            <v>Gross Margin %</v>
          </cell>
          <cell r="AO12" t="str">
            <v>EBITA Margin %</v>
          </cell>
          <cell r="AX12" t="str">
            <v>EBITA Margin %</v>
          </cell>
          <cell r="BG12" t="str">
            <v>MS Recognized Revenue</v>
          </cell>
          <cell r="BP12" t="str">
            <v>Imputed Revenue</v>
          </cell>
          <cell r="BY12" t="str">
            <v>Gross Margin</v>
          </cell>
          <cell r="CH12" t="str">
            <v>EBITA</v>
          </cell>
          <cell r="CQ12" t="str">
            <v>Equity (Gain)/Loss from JVs</v>
          </cell>
          <cell r="CZ12" t="str">
            <v>NCI</v>
          </cell>
          <cell r="DI12" t="str">
            <v>Revenue Attributable to NCI</v>
          </cell>
          <cell r="DX12" t="str">
            <v>LG EBITDA Match Margin</v>
          </cell>
          <cell r="ED12" t="str">
            <v>NCI % of Gross Profit</v>
          </cell>
        </row>
        <row r="13">
          <cell r="C13" t="str">
            <v>ID</v>
          </cell>
          <cell r="D13" t="str">
            <v>Name</v>
          </cell>
          <cell r="E13" t="str">
            <v>Type</v>
          </cell>
          <cell r="F13" t="str">
            <v>JV Type</v>
          </cell>
          <cell r="G13" t="str">
            <v>Consolidator?</v>
          </cell>
          <cell r="H13" t="str">
            <v>SBU</v>
          </cell>
          <cell r="I13" t="str">
            <v>Sector</v>
          </cell>
          <cell r="J13" t="str">
            <v>Agency</v>
          </cell>
          <cell r="K13" t="str">
            <v>Type</v>
          </cell>
          <cell r="L13" t="str">
            <v>Start</v>
          </cell>
          <cell r="M13" t="str">
            <v>End</v>
          </cell>
          <cell r="N13" t="str">
            <v>Contracted (Q4'19)</v>
          </cell>
          <cell r="O13" t="str">
            <v>Awarded (Q4'19)</v>
          </cell>
          <cell r="P13" t="str">
            <v>Future Mods</v>
          </cell>
          <cell r="Q13" t="str">
            <v>Total</v>
          </cell>
          <cell r="R13" t="str">
            <v>Contracted (Q4'19)</v>
          </cell>
          <cell r="S13" t="str">
            <v>Awarded (Q4'19)</v>
          </cell>
          <cell r="T13" t="str">
            <v>Future Mods</v>
          </cell>
          <cell r="U13" t="str">
            <v>Total</v>
          </cell>
          <cell r="V13" t="str">
            <v>Stage</v>
          </cell>
          <cell r="W13" t="str">
            <v>Priority</v>
          </cell>
          <cell r="X13" t="str">
            <v>Program Value</v>
          </cell>
          <cell r="Y13" t="str">
            <v>MS Value</v>
          </cell>
          <cell r="Z13" t="str">
            <v>PWIN</v>
          </cell>
          <cell r="AB13" t="str">
            <v>Burn</v>
          </cell>
          <cell r="AD13" t="str">
            <v>Ownership %</v>
          </cell>
          <cell r="AF13" t="str">
            <v>FY16</v>
          </cell>
          <cell r="AG13" t="str">
            <v>FY17</v>
          </cell>
          <cell r="AH13" t="str">
            <v>FY18</v>
          </cell>
          <cell r="AI13" t="str">
            <v>FY19</v>
          </cell>
          <cell r="AJ13" t="str">
            <v>FY20</v>
          </cell>
          <cell r="AK13" t="str">
            <v>FY21</v>
          </cell>
          <cell r="AL13" t="str">
            <v>FY22</v>
          </cell>
          <cell r="AM13" t="str">
            <v>FY23</v>
          </cell>
          <cell r="AO13" t="str">
            <v>FY16</v>
          </cell>
          <cell r="AP13" t="str">
            <v>FY17</v>
          </cell>
          <cell r="AQ13" t="str">
            <v>FY18</v>
          </cell>
          <cell r="AR13" t="str">
            <v>FY19</v>
          </cell>
          <cell r="AS13" t="str">
            <v>FY20</v>
          </cell>
          <cell r="AT13" t="str">
            <v>FY21</v>
          </cell>
          <cell r="AU13" t="str">
            <v>FY22</v>
          </cell>
          <cell r="AV13" t="str">
            <v>FY23</v>
          </cell>
          <cell r="AX13" t="str">
            <v>FY16</v>
          </cell>
          <cell r="AY13" t="str">
            <v>FY17</v>
          </cell>
          <cell r="AZ13" t="str">
            <v>FY18</v>
          </cell>
          <cell r="BA13" t="str">
            <v>FY19</v>
          </cell>
          <cell r="BB13" t="str">
            <v>FY20</v>
          </cell>
          <cell r="BC13" t="str">
            <v>FY21</v>
          </cell>
          <cell r="BD13" t="str">
            <v>FY22</v>
          </cell>
          <cell r="BE13" t="str">
            <v>FY23</v>
          </cell>
          <cell r="BG13" t="str">
            <v>FY16</v>
          </cell>
          <cell r="BH13" t="str">
            <v>FY17</v>
          </cell>
          <cell r="BI13" t="str">
            <v>FY18</v>
          </cell>
          <cell r="BJ13" t="str">
            <v>FY19</v>
          </cell>
          <cell r="BK13" t="str">
            <v>FY20</v>
          </cell>
          <cell r="BL13" t="str">
            <v>FY21</v>
          </cell>
          <cell r="BM13" t="str">
            <v>FY22</v>
          </cell>
          <cell r="BN13" t="str">
            <v>FY23</v>
          </cell>
          <cell r="BP13" t="str">
            <v>FY16</v>
          </cell>
          <cell r="BQ13" t="str">
            <v>FY17</v>
          </cell>
          <cell r="BR13" t="str">
            <v>FY18</v>
          </cell>
          <cell r="BS13" t="str">
            <v>FY19</v>
          </cell>
          <cell r="BT13" t="str">
            <v>FY20</v>
          </cell>
          <cell r="BU13" t="str">
            <v>FY21</v>
          </cell>
          <cell r="BV13" t="str">
            <v>FY22</v>
          </cell>
          <cell r="BW13" t="str">
            <v>FY23</v>
          </cell>
          <cell r="BY13" t="str">
            <v>FY16</v>
          </cell>
          <cell r="BZ13" t="str">
            <v>FY17</v>
          </cell>
          <cell r="CA13" t="str">
            <v>FY18</v>
          </cell>
          <cell r="CB13" t="str">
            <v>FY19</v>
          </cell>
          <cell r="CC13" t="str">
            <v>FY20</v>
          </cell>
          <cell r="CD13" t="str">
            <v>FY21</v>
          </cell>
          <cell r="CE13" t="str">
            <v>FY22</v>
          </cell>
          <cell r="CF13" t="str">
            <v>FY23</v>
          </cell>
          <cell r="CH13" t="str">
            <v>FY16</v>
          </cell>
          <cell r="CI13" t="str">
            <v>FY17</v>
          </cell>
          <cell r="CJ13" t="str">
            <v>FY18</v>
          </cell>
          <cell r="CK13" t="str">
            <v>FY19</v>
          </cell>
          <cell r="CL13" t="str">
            <v>FY20</v>
          </cell>
          <cell r="CM13" t="str">
            <v>FY21</v>
          </cell>
          <cell r="CN13" t="str">
            <v>FY22</v>
          </cell>
          <cell r="CO13" t="str">
            <v>FY23</v>
          </cell>
          <cell r="CQ13" t="str">
            <v>FY16</v>
          </cell>
          <cell r="CR13" t="str">
            <v>FY17</v>
          </cell>
          <cell r="CS13" t="str">
            <v>FY18</v>
          </cell>
          <cell r="CT13" t="str">
            <v>FY19</v>
          </cell>
          <cell r="CU13" t="str">
            <v>FY20</v>
          </cell>
          <cell r="CV13" t="str">
            <v>FY21</v>
          </cell>
          <cell r="CW13" t="str">
            <v>FY22</v>
          </cell>
          <cell r="CX13" t="str">
            <v>FY23</v>
          </cell>
          <cell r="CZ13" t="str">
            <v>FY16</v>
          </cell>
          <cell r="DA13" t="str">
            <v>FY17</v>
          </cell>
          <cell r="DB13" t="str">
            <v>FY18</v>
          </cell>
          <cell r="DC13" t="str">
            <v>FY19</v>
          </cell>
          <cell r="DD13" t="str">
            <v>FY20</v>
          </cell>
          <cell r="DE13" t="str">
            <v>FY21</v>
          </cell>
          <cell r="DF13" t="str">
            <v>FY22</v>
          </cell>
          <cell r="DG13" t="str">
            <v>FY23</v>
          </cell>
          <cell r="DI13" t="str">
            <v>FY16</v>
          </cell>
          <cell r="DJ13" t="str">
            <v>FY17</v>
          </cell>
          <cell r="DK13" t="str">
            <v>FY18</v>
          </cell>
          <cell r="DL13" t="str">
            <v>FY19</v>
          </cell>
          <cell r="DM13" t="str">
            <v>FY20</v>
          </cell>
          <cell r="DN13" t="str">
            <v>FY21</v>
          </cell>
          <cell r="DO13" t="str">
            <v>FY22</v>
          </cell>
          <cell r="DP13" t="str">
            <v>FY23</v>
          </cell>
          <cell r="DR13" t="str">
            <v>Code</v>
          </cell>
          <cell r="DS13" t="str">
            <v>LG Match Code</v>
          </cell>
          <cell r="DX13" t="str">
            <v>FY20</v>
          </cell>
          <cell r="DY13" t="str">
            <v>FY21</v>
          </cell>
          <cell r="DZ13" t="str">
            <v>FY22</v>
          </cell>
          <cell r="EA13" t="str">
            <v>FY23</v>
          </cell>
          <cell r="ED13" t="str">
            <v>FY16</v>
          </cell>
          <cell r="EE13" t="str">
            <v>FY17</v>
          </cell>
          <cell r="EF13" t="str">
            <v>FY18</v>
          </cell>
          <cell r="EG13" t="str">
            <v>FY19</v>
          </cell>
          <cell r="EH13" t="str">
            <v>FY20</v>
          </cell>
          <cell r="EI13" t="str">
            <v>FY21</v>
          </cell>
          <cell r="EJ13" t="str">
            <v>FY22</v>
          </cell>
          <cell r="EK13" t="str">
            <v>FY23</v>
          </cell>
        </row>
        <row r="15">
          <cell r="C15" t="str">
            <v>N&amp;E</v>
          </cell>
        </row>
        <row r="17">
          <cell r="C17" t="str">
            <v>Existing / Recompetes</v>
          </cell>
        </row>
        <row r="19">
          <cell r="C19" t="str">
            <v>SRR</v>
          </cell>
          <cell r="D19" t="str">
            <v>SRR Total</v>
          </cell>
          <cell r="E19" t="str">
            <v>Base</v>
          </cell>
          <cell r="F19" t="str">
            <v>Majority</v>
          </cell>
          <cell r="G19">
            <v>1</v>
          </cell>
          <cell r="H19" t="str">
            <v>NE</v>
          </cell>
          <cell r="I19" t="str">
            <v>NE HLW &amp; NNSA Operations</v>
          </cell>
          <cell r="J19" t="str">
            <v>DOE-EM</v>
          </cell>
          <cell r="K19" t="str">
            <v>CPAF</v>
          </cell>
          <cell r="L19">
            <v>39995</v>
          </cell>
          <cell r="M19">
            <v>44104</v>
          </cell>
          <cell r="N19">
            <v>698743920</v>
          </cell>
          <cell r="O19">
            <v>0</v>
          </cell>
          <cell r="P19">
            <v>0</v>
          </cell>
          <cell r="Q19">
            <v>698743920</v>
          </cell>
          <cell r="R19">
            <v>698743920</v>
          </cell>
          <cell r="S19">
            <v>0</v>
          </cell>
          <cell r="T19">
            <v>0</v>
          </cell>
          <cell r="U19">
            <v>698743920</v>
          </cell>
          <cell r="V19" t="str">
            <v>05 Won</v>
          </cell>
          <cell r="W19" t="str">
            <v>Active</v>
          </cell>
          <cell r="X19">
            <v>0</v>
          </cell>
          <cell r="Y19">
            <v>0</v>
          </cell>
          <cell r="Z19">
            <v>0</v>
          </cell>
          <cell r="AB19">
            <v>698743920</v>
          </cell>
          <cell r="AD19">
            <v>0.48799999999999999</v>
          </cell>
          <cell r="AF19">
            <v>3.913086361002821E-2</v>
          </cell>
          <cell r="AG19">
            <v>4.2440592237355398E-2</v>
          </cell>
          <cell r="AH19">
            <v>4.5001771377234302E-2</v>
          </cell>
          <cell r="AI19">
            <v>4.8565809470215472E-2</v>
          </cell>
          <cell r="AJ19">
            <v>4.8565809470215472E-2</v>
          </cell>
          <cell r="AK19">
            <v>0</v>
          </cell>
          <cell r="AL19">
            <v>0</v>
          </cell>
          <cell r="AM19">
            <v>0</v>
          </cell>
          <cell r="AO19">
            <v>5.927558746240953E-3</v>
          </cell>
          <cell r="AP19">
            <v>6.8267385064123874E-3</v>
          </cell>
          <cell r="AQ19">
            <v>1.2291475468115034E-2</v>
          </cell>
          <cell r="AR19">
            <v>2.3034139829277329E-2</v>
          </cell>
          <cell r="AS19">
            <v>2.4018120285022992E-2</v>
          </cell>
          <cell r="AT19">
            <v>2.4018120285022992E-2</v>
          </cell>
          <cell r="AU19">
            <v>2.4018120285022992E-2</v>
          </cell>
          <cell r="AV19">
            <v>2.4018120285022992E-2</v>
          </cell>
          <cell r="AX19">
            <v>0</v>
          </cell>
          <cell r="AY19">
            <v>0</v>
          </cell>
          <cell r="AZ19">
            <v>0</v>
          </cell>
          <cell r="BA19">
            <v>0</v>
          </cell>
          <cell r="BB19">
            <v>0</v>
          </cell>
          <cell r="BC19">
            <v>0</v>
          </cell>
          <cell r="BD19">
            <v>0</v>
          </cell>
          <cell r="BE19">
            <v>0</v>
          </cell>
          <cell r="BG19">
            <v>452987540.90000004</v>
          </cell>
          <cell r="BH19">
            <v>464349498.23000002</v>
          </cell>
          <cell r="BI19">
            <v>494211020.13</v>
          </cell>
          <cell r="BJ19">
            <v>578040923.98000002</v>
          </cell>
          <cell r="BK19">
            <v>698743920</v>
          </cell>
          <cell r="BL19">
            <v>0</v>
          </cell>
          <cell r="BM19">
            <v>0</v>
          </cell>
          <cell r="BN19">
            <v>0</v>
          </cell>
          <cell r="BP19">
            <v>0</v>
          </cell>
          <cell r="BQ19">
            <v>0</v>
          </cell>
          <cell r="BR19">
            <v>0</v>
          </cell>
          <cell r="BS19">
            <v>0</v>
          </cell>
          <cell r="BT19">
            <v>0</v>
          </cell>
          <cell r="BU19">
            <v>0</v>
          </cell>
          <cell r="BV19">
            <v>0</v>
          </cell>
          <cell r="BW19">
            <v>0</v>
          </cell>
          <cell r="BY19">
            <v>17725793.679999977</v>
          </cell>
          <cell r="BZ19">
            <v>19707267.710000012</v>
          </cell>
          <cell r="CA19">
            <v>22240371.34</v>
          </cell>
          <cell r="CB19">
            <v>28073025.379999988</v>
          </cell>
          <cell r="CC19">
            <v>33935064.087191485</v>
          </cell>
          <cell r="CD19">
            <v>0</v>
          </cell>
          <cell r="CE19">
            <v>0</v>
          </cell>
          <cell r="CF19">
            <v>0</v>
          </cell>
          <cell r="CH19">
            <v>2685110.2599999765</v>
          </cell>
          <cell r="CI19">
            <v>3169992.6000000117</v>
          </cell>
          <cell r="CJ19">
            <v>6074582.6299999999</v>
          </cell>
          <cell r="CK19">
            <v>13314675.469999988</v>
          </cell>
          <cell r="CL19">
            <v>16782515.518988483</v>
          </cell>
          <cell r="CM19">
            <v>0</v>
          </cell>
          <cell r="CN19">
            <v>0</v>
          </cell>
          <cell r="CO19">
            <v>0</v>
          </cell>
          <cell r="CQ19">
            <v>0</v>
          </cell>
          <cell r="CR19">
            <v>0</v>
          </cell>
          <cell r="CS19">
            <v>0</v>
          </cell>
          <cell r="CT19">
            <v>0</v>
          </cell>
          <cell r="CU19">
            <v>0</v>
          </cell>
          <cell r="CV19">
            <v>0</v>
          </cell>
          <cell r="CW19">
            <v>0</v>
          </cell>
          <cell r="CX19">
            <v>0</v>
          </cell>
          <cell r="CZ19">
            <v>-8427915</v>
          </cell>
          <cell r="DA19">
            <v>-9629316</v>
          </cell>
          <cell r="DB19">
            <v>-10595409</v>
          </cell>
          <cell r="DC19">
            <v>-13280684.879999999</v>
          </cell>
          <cell r="DD19">
            <v>-15607885.134676401</v>
          </cell>
          <cell r="DE19">
            <v>0</v>
          </cell>
          <cell r="DF19">
            <v>0</v>
          </cell>
          <cell r="DG19">
            <v>0</v>
          </cell>
          <cell r="DI19">
            <v>-231929620.94080001</v>
          </cell>
          <cell r="DJ19">
            <v>-237746943.09376001</v>
          </cell>
          <cell r="DK19">
            <v>-253036042.30656001</v>
          </cell>
          <cell r="DL19">
            <v>-295956953.07776004</v>
          </cell>
          <cell r="DM19">
            <v>-357756887.04000002</v>
          </cell>
          <cell r="DN19">
            <v>0</v>
          </cell>
          <cell r="DO19">
            <v>0</v>
          </cell>
          <cell r="DP19">
            <v>0</v>
          </cell>
          <cell r="DR19" t="str">
            <v>SRR - Base</v>
          </cell>
          <cell r="DS19" t="str">
            <v>SRR - Base - NE</v>
          </cell>
          <cell r="DX19">
            <v>2.4018120285022992E-2</v>
          </cell>
          <cell r="DY19">
            <v>2.4018120285022992E-2</v>
          </cell>
          <cell r="DZ19">
            <v>2.4018120285022992E-2</v>
          </cell>
          <cell r="EA19">
            <v>2.4018120285022992E-2</v>
          </cell>
          <cell r="ED19">
            <v>-0.47546051545828499</v>
          </cell>
          <cell r="EE19">
            <v>-0.48861750607436155</v>
          </cell>
          <cell r="EF19">
            <v>-0.47640432068433258</v>
          </cell>
          <cell r="EG19">
            <v>-0.47307636780257861</v>
          </cell>
          <cell r="EH19">
            <v>-0.45993386352753257</v>
          </cell>
          <cell r="EI19">
            <v>0</v>
          </cell>
          <cell r="EJ19">
            <v>0</v>
          </cell>
          <cell r="EK19">
            <v>0</v>
          </cell>
        </row>
        <row r="20">
          <cell r="C20" t="str">
            <v>SRR</v>
          </cell>
          <cell r="D20" t="str">
            <v>SRR Total</v>
          </cell>
          <cell r="E20" t="str">
            <v>Identified - Recompete</v>
          </cell>
          <cell r="F20" t="str">
            <v>Majority</v>
          </cell>
          <cell r="G20">
            <v>1</v>
          </cell>
          <cell r="H20" t="str">
            <v>NE</v>
          </cell>
          <cell r="I20" t="str">
            <v>NE HLW &amp; NNSA Operations</v>
          </cell>
          <cell r="J20" t="str">
            <v>DOE-EM</v>
          </cell>
          <cell r="K20" t="str">
            <v>Multi</v>
          </cell>
          <cell r="L20">
            <v>44105</v>
          </cell>
          <cell r="M20">
            <v>47757</v>
          </cell>
          <cell r="N20">
            <v>0</v>
          </cell>
          <cell r="O20">
            <v>0</v>
          </cell>
          <cell r="P20">
            <v>0</v>
          </cell>
          <cell r="Q20">
            <v>0</v>
          </cell>
          <cell r="R20">
            <v>0</v>
          </cell>
          <cell r="S20">
            <v>0</v>
          </cell>
          <cell r="T20">
            <v>0</v>
          </cell>
          <cell r="U20">
            <v>0</v>
          </cell>
          <cell r="V20" t="str">
            <v>00 Investigate</v>
          </cell>
          <cell r="W20" t="str">
            <v>Priority 1</v>
          </cell>
          <cell r="X20">
            <v>10000000000</v>
          </cell>
          <cell r="Y20">
            <v>5000000000</v>
          </cell>
          <cell r="Z20">
            <v>0.5</v>
          </cell>
          <cell r="AB20">
            <v>1000000000</v>
          </cell>
          <cell r="AD20">
            <v>0.5</v>
          </cell>
          <cell r="AF20">
            <v>0</v>
          </cell>
          <cell r="AG20">
            <v>0</v>
          </cell>
          <cell r="AH20">
            <v>0</v>
          </cell>
          <cell r="AI20">
            <v>0</v>
          </cell>
          <cell r="AJ20">
            <v>5.0995449737520543E-2</v>
          </cell>
          <cell r="AK20">
            <v>5.0995449737520543E-2</v>
          </cell>
          <cell r="AL20">
            <v>5.0995449737520543E-2</v>
          </cell>
          <cell r="AM20">
            <v>5.0995449737520543E-2</v>
          </cell>
          <cell r="AO20">
            <v>0</v>
          </cell>
          <cell r="AP20">
            <v>0</v>
          </cell>
          <cell r="AQ20">
            <v>0</v>
          </cell>
          <cell r="AR20">
            <v>0</v>
          </cell>
          <cell r="AS20">
            <v>2.4018120285022992E-2</v>
          </cell>
          <cell r="AT20">
            <v>2.4018120285022992E-2</v>
          </cell>
          <cell r="AU20">
            <v>2.4018120285022992E-2</v>
          </cell>
          <cell r="AV20">
            <v>2.4018120285022992E-2</v>
          </cell>
          <cell r="AX20">
            <v>0</v>
          </cell>
          <cell r="AY20">
            <v>0</v>
          </cell>
          <cell r="AZ20">
            <v>0</v>
          </cell>
          <cell r="BA20">
            <v>0</v>
          </cell>
          <cell r="BB20">
            <v>0</v>
          </cell>
          <cell r="BC20">
            <v>0</v>
          </cell>
          <cell r="BD20">
            <v>0</v>
          </cell>
          <cell r="BE20">
            <v>0</v>
          </cell>
          <cell r="BG20">
            <v>0</v>
          </cell>
          <cell r="BH20">
            <v>0</v>
          </cell>
          <cell r="BI20">
            <v>0</v>
          </cell>
          <cell r="BJ20">
            <v>0</v>
          </cell>
          <cell r="BK20">
            <v>0</v>
          </cell>
          <cell r="BL20">
            <v>500000000</v>
          </cell>
          <cell r="BM20">
            <v>500000000</v>
          </cell>
          <cell r="BN20">
            <v>500000000</v>
          </cell>
          <cell r="BP20">
            <v>0</v>
          </cell>
          <cell r="BQ20">
            <v>0</v>
          </cell>
          <cell r="BR20">
            <v>0</v>
          </cell>
          <cell r="BS20">
            <v>0</v>
          </cell>
          <cell r="BT20">
            <v>0</v>
          </cell>
          <cell r="BU20">
            <v>0</v>
          </cell>
          <cell r="BV20">
            <v>0</v>
          </cell>
          <cell r="BW20">
            <v>0</v>
          </cell>
          <cell r="BY20">
            <v>0</v>
          </cell>
          <cell r="BZ20">
            <v>0</v>
          </cell>
          <cell r="CA20">
            <v>0</v>
          </cell>
          <cell r="CB20">
            <v>0</v>
          </cell>
          <cell r="CC20">
            <v>0</v>
          </cell>
          <cell r="CD20">
            <v>25497724.868760273</v>
          </cell>
          <cell r="CE20">
            <v>25497724.868760273</v>
          </cell>
          <cell r="CF20">
            <v>25497724.868760273</v>
          </cell>
          <cell r="CH20">
            <v>0</v>
          </cell>
          <cell r="CI20">
            <v>0</v>
          </cell>
          <cell r="CJ20">
            <v>0</v>
          </cell>
          <cell r="CK20">
            <v>0</v>
          </cell>
          <cell r="CL20">
            <v>0</v>
          </cell>
          <cell r="CM20">
            <v>12009060.142511496</v>
          </cell>
          <cell r="CN20">
            <v>12009060.142511496</v>
          </cell>
          <cell r="CO20">
            <v>12009060.142511496</v>
          </cell>
          <cell r="CQ20">
            <v>0</v>
          </cell>
          <cell r="CR20">
            <v>0</v>
          </cell>
          <cell r="CS20">
            <v>0</v>
          </cell>
          <cell r="CT20">
            <v>0</v>
          </cell>
          <cell r="CU20">
            <v>0</v>
          </cell>
          <cell r="CV20">
            <v>0</v>
          </cell>
          <cell r="CW20">
            <v>0</v>
          </cell>
          <cell r="CX20">
            <v>0</v>
          </cell>
          <cell r="CZ20">
            <v>0</v>
          </cell>
          <cell r="DA20">
            <v>0</v>
          </cell>
          <cell r="DB20">
            <v>0</v>
          </cell>
          <cell r="DC20">
            <v>0</v>
          </cell>
          <cell r="DD20">
            <v>0</v>
          </cell>
          <cell r="DE20">
            <v>-12748862.434380136</v>
          </cell>
          <cell r="DF20">
            <v>-12748862.434380136</v>
          </cell>
          <cell r="DG20">
            <v>-12748862.434380136</v>
          </cell>
          <cell r="DI20">
            <v>0</v>
          </cell>
          <cell r="DJ20">
            <v>0</v>
          </cell>
          <cell r="DK20">
            <v>0</v>
          </cell>
          <cell r="DL20">
            <v>0</v>
          </cell>
          <cell r="DM20">
            <v>0</v>
          </cell>
          <cell r="DN20">
            <v>-250000000</v>
          </cell>
          <cell r="DO20">
            <v>-250000000</v>
          </cell>
          <cell r="DP20">
            <v>-250000000</v>
          </cell>
          <cell r="DR20" t="str">
            <v>SRR - Identified - Recompete</v>
          </cell>
          <cell r="DS20" t="str">
            <v>SRR - Identified - Recompete - NE</v>
          </cell>
          <cell r="DX20">
            <v>2.4018120285022992E-2</v>
          </cell>
          <cell r="DY20">
            <v>2.4018120285022992E-2</v>
          </cell>
          <cell r="DZ20">
            <v>2.4018120285022992E-2</v>
          </cell>
          <cell r="EA20">
            <v>2.4018120285022992E-2</v>
          </cell>
          <cell r="ED20">
            <v>0</v>
          </cell>
          <cell r="EE20">
            <v>0</v>
          </cell>
          <cell r="EF20">
            <v>0</v>
          </cell>
          <cell r="EG20">
            <v>0</v>
          </cell>
          <cell r="EH20">
            <v>0</v>
          </cell>
          <cell r="EI20">
            <v>-0.5</v>
          </cell>
          <cell r="EJ20">
            <v>-0.5</v>
          </cell>
          <cell r="EK20">
            <v>-0.5</v>
          </cell>
        </row>
        <row r="21">
          <cell r="C21" t="str">
            <v>ETTP</v>
          </cell>
          <cell r="D21" t="str">
            <v>ETTP Total</v>
          </cell>
          <cell r="E21" t="str">
            <v>Base</v>
          </cell>
          <cell r="F21" t="str">
            <v>Majority</v>
          </cell>
          <cell r="G21">
            <v>1</v>
          </cell>
          <cell r="H21" t="str">
            <v>NE</v>
          </cell>
          <cell r="I21" t="str">
            <v>NE DD and WM Projects</v>
          </cell>
          <cell r="J21" t="str">
            <v>DOE-EM</v>
          </cell>
          <cell r="K21" t="str">
            <v>CPAF</v>
          </cell>
          <cell r="L21">
            <v>40756</v>
          </cell>
          <cell r="M21">
            <v>44227</v>
          </cell>
          <cell r="N21">
            <v>38635108.483007818</v>
          </cell>
          <cell r="O21">
            <v>5404774.0099999998</v>
          </cell>
          <cell r="P21">
            <v>0</v>
          </cell>
          <cell r="Q21">
            <v>44039882.493007816</v>
          </cell>
          <cell r="R21">
            <v>38635108.483007818</v>
          </cell>
          <cell r="S21">
            <v>5404774.0099999998</v>
          </cell>
          <cell r="T21">
            <v>0</v>
          </cell>
          <cell r="U21">
            <v>44039882.493007816</v>
          </cell>
          <cell r="V21" t="str">
            <v>05 Won</v>
          </cell>
          <cell r="W21" t="str">
            <v>Active</v>
          </cell>
          <cell r="X21">
            <v>0</v>
          </cell>
          <cell r="Y21">
            <v>0</v>
          </cell>
          <cell r="Z21">
            <v>0</v>
          </cell>
          <cell r="AB21">
            <v>33540000</v>
          </cell>
          <cell r="AD21">
            <v>0.55000000000000004</v>
          </cell>
          <cell r="AF21">
            <v>0.6839237845058298</v>
          </cell>
          <cell r="AG21">
            <v>0.77929364358044395</v>
          </cell>
          <cell r="AH21">
            <v>0.73406476604461091</v>
          </cell>
          <cell r="AI21">
            <v>0.79904869126208167</v>
          </cell>
          <cell r="AJ21">
            <v>0.8136905348837209</v>
          </cell>
          <cell r="AK21">
            <v>0.8136905348837209</v>
          </cell>
          <cell r="AL21">
            <v>0.8136905348837209</v>
          </cell>
          <cell r="AM21">
            <v>0.8136905348837209</v>
          </cell>
          <cell r="AO21">
            <v>0.33850281483021405</v>
          </cell>
          <cell r="AP21">
            <v>0.38855023246964593</v>
          </cell>
          <cell r="AQ21">
            <v>0.36797802209563674</v>
          </cell>
          <cell r="AR21">
            <v>0.38963467088535642</v>
          </cell>
          <cell r="AS21">
            <v>0.402900782647585</v>
          </cell>
          <cell r="AT21">
            <v>0.402900782647585</v>
          </cell>
          <cell r="AU21">
            <v>0.402900782647585</v>
          </cell>
          <cell r="AV21">
            <v>0.402900782647585</v>
          </cell>
          <cell r="AX21">
            <v>0</v>
          </cell>
          <cell r="AY21">
            <v>0</v>
          </cell>
          <cell r="AZ21">
            <v>0</v>
          </cell>
          <cell r="BA21">
            <v>0</v>
          </cell>
          <cell r="BB21">
            <v>0</v>
          </cell>
          <cell r="BC21">
            <v>0</v>
          </cell>
          <cell r="BD21">
            <v>0</v>
          </cell>
          <cell r="BE21">
            <v>0</v>
          </cell>
          <cell r="BG21">
            <v>16286085.310000001</v>
          </cell>
          <cell r="BH21">
            <v>27398949.120000001</v>
          </cell>
          <cell r="BI21">
            <v>20041219.25</v>
          </cell>
          <cell r="BJ21">
            <v>30567090.199999999</v>
          </cell>
          <cell r="BK21">
            <v>33540000</v>
          </cell>
          <cell r="BL21">
            <v>10499882.493007816</v>
          </cell>
          <cell r="BM21">
            <v>0</v>
          </cell>
          <cell r="BN21">
            <v>0</v>
          </cell>
          <cell r="BP21">
            <v>0</v>
          </cell>
          <cell r="BQ21">
            <v>0</v>
          </cell>
          <cell r="BR21">
            <v>0</v>
          </cell>
          <cell r="BS21">
            <v>0</v>
          </cell>
          <cell r="BT21">
            <v>0</v>
          </cell>
          <cell r="BU21">
            <v>0</v>
          </cell>
          <cell r="BV21">
            <v>0</v>
          </cell>
          <cell r="BW21">
            <v>0</v>
          </cell>
          <cell r="BY21">
            <v>11138441.100000001</v>
          </cell>
          <cell r="BZ21">
            <v>21351826.890000001</v>
          </cell>
          <cell r="CA21">
            <v>14711552.920000002</v>
          </cell>
          <cell r="CB21">
            <v>24424593.420000002</v>
          </cell>
          <cell r="CC21">
            <v>27291180.539999999</v>
          </cell>
          <cell r="CD21">
            <v>8543655.0019517466</v>
          </cell>
          <cell r="CE21">
            <v>0</v>
          </cell>
          <cell r="CF21">
            <v>0</v>
          </cell>
          <cell r="CH21">
            <v>5512885.7199999997</v>
          </cell>
          <cell r="CI21">
            <v>10645868.050000001</v>
          </cell>
          <cell r="CJ21">
            <v>7374728.2200000007</v>
          </cell>
          <cell r="CK21">
            <v>11909998.130000003</v>
          </cell>
          <cell r="CL21">
            <v>13513292.25</v>
          </cell>
          <cell r="CM21">
            <v>4230410.8741405252</v>
          </cell>
          <cell r="CN21">
            <v>0</v>
          </cell>
          <cell r="CO21">
            <v>0</v>
          </cell>
          <cell r="CQ21">
            <v>0</v>
          </cell>
          <cell r="CR21">
            <v>0</v>
          </cell>
          <cell r="CS21">
            <v>0</v>
          </cell>
          <cell r="CT21">
            <v>0</v>
          </cell>
          <cell r="CU21">
            <v>0</v>
          </cell>
          <cell r="CV21">
            <v>0</v>
          </cell>
          <cell r="CW21">
            <v>0</v>
          </cell>
          <cell r="CX21">
            <v>0</v>
          </cell>
          <cell r="CZ21">
            <v>-5054071</v>
          </cell>
          <cell r="DA21">
            <v>-9795143</v>
          </cell>
          <cell r="DB21">
            <v>-6822868.7700000005</v>
          </cell>
          <cell r="DC21">
            <v>-11115509.030000001</v>
          </cell>
          <cell r="DD21">
            <v>-12362590</v>
          </cell>
          <cell r="DE21">
            <v>-3844644.7508782856</v>
          </cell>
          <cell r="DF21">
            <v>0</v>
          </cell>
          <cell r="DG21">
            <v>0</v>
          </cell>
          <cell r="DI21">
            <v>-7328738.3894999996</v>
          </cell>
          <cell r="DJ21">
            <v>-12329527.103999998</v>
          </cell>
          <cell r="DK21">
            <v>-9018548.6624999996</v>
          </cell>
          <cell r="DL21">
            <v>-13755190.589999998</v>
          </cell>
          <cell r="DM21">
            <v>-15092999.999999998</v>
          </cell>
          <cell r="DN21">
            <v>-4724947.1218535164</v>
          </cell>
          <cell r="DO21">
            <v>0</v>
          </cell>
          <cell r="DP21">
            <v>0</v>
          </cell>
          <cell r="DR21" t="str">
            <v>ETTP - Base</v>
          </cell>
          <cell r="DS21" t="str">
            <v>ETTP - Base - NE</v>
          </cell>
          <cell r="DX21">
            <v>0.402900782647585</v>
          </cell>
          <cell r="DY21">
            <v>0.402900782647585</v>
          </cell>
          <cell r="DZ21">
            <v>0.402900782647585</v>
          </cell>
          <cell r="EA21">
            <v>0.402900782647585</v>
          </cell>
          <cell r="ED21">
            <v>-0.4537503008387771</v>
          </cell>
          <cell r="EE21">
            <v>-0.45874964472419438</v>
          </cell>
          <cell r="EF21">
            <v>-0.46377624490780134</v>
          </cell>
          <cell r="EG21">
            <v>-0.45509494626420688</v>
          </cell>
          <cell r="EH21">
            <v>-0.45298846570160134</v>
          </cell>
          <cell r="EI21">
            <v>-0.44999999999999996</v>
          </cell>
          <cell r="EJ21">
            <v>0</v>
          </cell>
          <cell r="EK21">
            <v>0</v>
          </cell>
        </row>
        <row r="22">
          <cell r="C22" t="str">
            <v>ETTP</v>
          </cell>
          <cell r="D22" t="str">
            <v>ETTP Total</v>
          </cell>
          <cell r="E22" t="str">
            <v>Identified - Recompete</v>
          </cell>
          <cell r="F22" t="str">
            <v>Majority</v>
          </cell>
          <cell r="G22">
            <v>0</v>
          </cell>
          <cell r="H22" t="str">
            <v>NE</v>
          </cell>
          <cell r="I22" t="str">
            <v>NE DD and WM Projects</v>
          </cell>
          <cell r="J22" t="str">
            <v>DOE-EM</v>
          </cell>
          <cell r="K22" t="str">
            <v>Cost Plus</v>
          </cell>
          <cell r="L22">
            <v>44228</v>
          </cell>
          <cell r="M22">
            <v>47879</v>
          </cell>
          <cell r="N22">
            <v>0</v>
          </cell>
          <cell r="O22">
            <v>0</v>
          </cell>
          <cell r="P22">
            <v>0</v>
          </cell>
          <cell r="Q22">
            <v>0</v>
          </cell>
          <cell r="R22">
            <v>0</v>
          </cell>
          <cell r="S22">
            <v>0</v>
          </cell>
          <cell r="T22">
            <v>0</v>
          </cell>
          <cell r="U22">
            <v>0</v>
          </cell>
          <cell r="V22" t="str">
            <v>02 Capture</v>
          </cell>
          <cell r="W22" t="str">
            <v>Priority 1</v>
          </cell>
          <cell r="X22">
            <v>5000000000</v>
          </cell>
          <cell r="Y22">
            <v>2600000000</v>
          </cell>
          <cell r="Z22">
            <v>0.5</v>
          </cell>
          <cell r="AB22">
            <v>260000000</v>
          </cell>
          <cell r="AD22">
            <v>0.52</v>
          </cell>
          <cell r="AF22">
            <v>0</v>
          </cell>
          <cell r="AG22">
            <v>0</v>
          </cell>
          <cell r="AH22">
            <v>0</v>
          </cell>
          <cell r="AI22">
            <v>0</v>
          </cell>
          <cell r="AJ22">
            <v>0</v>
          </cell>
          <cell r="AK22">
            <v>0</v>
          </cell>
          <cell r="AL22">
            <v>0</v>
          </cell>
          <cell r="AM22">
            <v>0</v>
          </cell>
          <cell r="AO22">
            <v>0</v>
          </cell>
          <cell r="AP22">
            <v>0</v>
          </cell>
          <cell r="AQ22">
            <v>0</v>
          </cell>
          <cell r="AR22">
            <v>0</v>
          </cell>
          <cell r="AS22">
            <v>0</v>
          </cell>
          <cell r="AT22">
            <v>0</v>
          </cell>
          <cell r="AU22">
            <v>0</v>
          </cell>
          <cell r="AV22">
            <v>0</v>
          </cell>
          <cell r="AX22">
            <v>0</v>
          </cell>
          <cell r="AY22">
            <v>0</v>
          </cell>
          <cell r="AZ22">
            <v>0</v>
          </cell>
          <cell r="BA22">
            <v>0</v>
          </cell>
          <cell r="BB22">
            <v>4.2999999999999997E-2</v>
          </cell>
          <cell r="BC22">
            <v>4.2999999999999997E-2</v>
          </cell>
          <cell r="BD22">
            <v>4.2999999999999997E-2</v>
          </cell>
          <cell r="BE22">
            <v>4.2999999999999997E-2</v>
          </cell>
          <cell r="BG22">
            <v>0</v>
          </cell>
          <cell r="BH22">
            <v>0</v>
          </cell>
          <cell r="BI22">
            <v>0</v>
          </cell>
          <cell r="BJ22">
            <v>0</v>
          </cell>
          <cell r="BK22">
            <v>0</v>
          </cell>
          <cell r="BL22">
            <v>0</v>
          </cell>
          <cell r="BM22">
            <v>0</v>
          </cell>
          <cell r="BN22">
            <v>0</v>
          </cell>
          <cell r="BP22">
            <v>0</v>
          </cell>
          <cell r="BQ22">
            <v>0</v>
          </cell>
          <cell r="BR22">
            <v>0</v>
          </cell>
          <cell r="BS22">
            <v>0</v>
          </cell>
          <cell r="BT22">
            <v>0</v>
          </cell>
          <cell r="BU22">
            <v>86305555.555555552</v>
          </cell>
          <cell r="BV22">
            <v>130000000</v>
          </cell>
          <cell r="BW22">
            <v>130000000</v>
          </cell>
          <cell r="BY22">
            <v>0</v>
          </cell>
          <cell r="BZ22">
            <v>0</v>
          </cell>
          <cell r="CA22">
            <v>0</v>
          </cell>
          <cell r="CB22">
            <v>0</v>
          </cell>
          <cell r="CC22">
            <v>0</v>
          </cell>
          <cell r="CD22">
            <v>0</v>
          </cell>
          <cell r="CE22">
            <v>0</v>
          </cell>
          <cell r="CF22">
            <v>0</v>
          </cell>
          <cell r="CH22">
            <v>0</v>
          </cell>
          <cell r="CI22">
            <v>0</v>
          </cell>
          <cell r="CJ22">
            <v>0</v>
          </cell>
          <cell r="CK22">
            <v>0</v>
          </cell>
          <cell r="CL22">
            <v>0</v>
          </cell>
          <cell r="CM22">
            <v>3711138.8888888885</v>
          </cell>
          <cell r="CN22">
            <v>5590000</v>
          </cell>
          <cell r="CO22">
            <v>5590000</v>
          </cell>
          <cell r="CQ22">
            <v>0</v>
          </cell>
          <cell r="CR22">
            <v>0</v>
          </cell>
          <cell r="CS22">
            <v>0</v>
          </cell>
          <cell r="CT22">
            <v>0</v>
          </cell>
          <cell r="CU22">
            <v>0</v>
          </cell>
          <cell r="CV22">
            <v>-3711138.8888888885</v>
          </cell>
          <cell r="CW22">
            <v>-5590000</v>
          </cell>
          <cell r="CX22">
            <v>-5590000</v>
          </cell>
          <cell r="CZ22">
            <v>0</v>
          </cell>
          <cell r="DA22">
            <v>0</v>
          </cell>
          <cell r="DB22">
            <v>0</v>
          </cell>
          <cell r="DC22">
            <v>0</v>
          </cell>
          <cell r="DD22">
            <v>0</v>
          </cell>
          <cell r="DE22">
            <v>0</v>
          </cell>
          <cell r="DF22">
            <v>0</v>
          </cell>
          <cell r="DG22">
            <v>0</v>
          </cell>
          <cell r="DI22">
            <v>0</v>
          </cell>
          <cell r="DJ22">
            <v>0</v>
          </cell>
          <cell r="DK22">
            <v>0</v>
          </cell>
          <cell r="DL22">
            <v>0</v>
          </cell>
          <cell r="DM22">
            <v>0</v>
          </cell>
          <cell r="DN22">
            <v>0</v>
          </cell>
          <cell r="DO22">
            <v>0</v>
          </cell>
          <cell r="DP22">
            <v>0</v>
          </cell>
          <cell r="DR22" t="str">
            <v>ETTP - Identified - Recompete</v>
          </cell>
          <cell r="DS22" t="str">
            <v>ETTP - Identified - Recompete - NE</v>
          </cell>
          <cell r="DX22">
            <v>4.2999999999999997E-2</v>
          </cell>
          <cell r="DY22">
            <v>4.2999999999999997E-2</v>
          </cell>
          <cell r="DZ22">
            <v>4.2999999999999997E-2</v>
          </cell>
          <cell r="EA22">
            <v>4.2999999999999997E-2</v>
          </cell>
          <cell r="ED22">
            <v>0</v>
          </cell>
          <cell r="EE22">
            <v>0</v>
          </cell>
          <cell r="EF22">
            <v>0</v>
          </cell>
          <cell r="EG22">
            <v>0</v>
          </cell>
          <cell r="EH22">
            <v>0</v>
          </cell>
          <cell r="EI22">
            <v>0</v>
          </cell>
          <cell r="EJ22">
            <v>0</v>
          </cell>
          <cell r="EK22">
            <v>0</v>
          </cell>
        </row>
        <row r="23">
          <cell r="C23" t="str">
            <v>WIPP</v>
          </cell>
          <cell r="D23" t="str">
            <v>WIPP</v>
          </cell>
          <cell r="E23" t="str">
            <v>Base</v>
          </cell>
          <cell r="F23" t="str">
            <v>Majority</v>
          </cell>
          <cell r="G23">
            <v>1</v>
          </cell>
          <cell r="H23" t="str">
            <v>NE</v>
          </cell>
          <cell r="I23" t="str">
            <v>NE DD and WM Projects</v>
          </cell>
          <cell r="J23" t="str">
            <v>DOE-EM</v>
          </cell>
          <cell r="K23" t="str">
            <v>CPAF</v>
          </cell>
          <cell r="L23">
            <v>41183</v>
          </cell>
          <cell r="M23">
            <v>44834</v>
          </cell>
          <cell r="N23">
            <v>10549253.159709524</v>
          </cell>
          <cell r="O23">
            <v>17653096</v>
          </cell>
          <cell r="P23">
            <v>20144730</v>
          </cell>
          <cell r="Q23">
            <v>48347079.159709528</v>
          </cell>
          <cell r="R23">
            <v>10549253.159709524</v>
          </cell>
          <cell r="S23">
            <v>17653096</v>
          </cell>
          <cell r="T23">
            <v>20144730</v>
          </cell>
          <cell r="U23">
            <v>48347079.159709528</v>
          </cell>
          <cell r="V23" t="str">
            <v>05 Won</v>
          </cell>
          <cell r="W23" t="str">
            <v>Active</v>
          </cell>
          <cell r="X23">
            <v>0</v>
          </cell>
          <cell r="Y23">
            <v>0</v>
          </cell>
          <cell r="Z23">
            <v>0</v>
          </cell>
          <cell r="AB23">
            <v>17615693</v>
          </cell>
          <cell r="AD23">
            <v>0.5</v>
          </cell>
          <cell r="AF23">
            <v>0.54456944160245224</v>
          </cell>
          <cell r="AG23">
            <v>0.54665008087567679</v>
          </cell>
          <cell r="AH23">
            <v>0.58519439736080581</v>
          </cell>
          <cell r="AI23">
            <v>0.61655442989934395</v>
          </cell>
          <cell r="AJ23">
            <v>0.62102861352090999</v>
          </cell>
          <cell r="AK23">
            <v>0.62102861352090999</v>
          </cell>
          <cell r="AL23">
            <v>0.62102861352090999</v>
          </cell>
          <cell r="AM23">
            <v>0.62102861352090999</v>
          </cell>
          <cell r="AO23">
            <v>0.30055633480113725</v>
          </cell>
          <cell r="AP23">
            <v>0.29038600980347523</v>
          </cell>
          <cell r="AQ23">
            <v>0.32698309815521454</v>
          </cell>
          <cell r="AR23">
            <v>0.3394999566185119</v>
          </cell>
          <cell r="AS23">
            <v>0.33865718884860224</v>
          </cell>
          <cell r="AT23">
            <v>0.33865718884860224</v>
          </cell>
          <cell r="AU23">
            <v>0.33865718884860224</v>
          </cell>
          <cell r="AV23">
            <v>0.33865718884860224</v>
          </cell>
          <cell r="AX23">
            <v>0</v>
          </cell>
          <cell r="AY23">
            <v>0</v>
          </cell>
          <cell r="AZ23">
            <v>0</v>
          </cell>
          <cell r="BA23">
            <v>0</v>
          </cell>
          <cell r="BB23">
            <v>0</v>
          </cell>
          <cell r="BC23">
            <v>0</v>
          </cell>
          <cell r="BD23">
            <v>0</v>
          </cell>
          <cell r="BE23">
            <v>0</v>
          </cell>
          <cell r="BG23">
            <v>12475599.199999999</v>
          </cell>
          <cell r="BH23">
            <v>13712219.100000001</v>
          </cell>
          <cell r="BI23">
            <v>13361624.300000001</v>
          </cell>
          <cell r="BJ23">
            <v>18909448.16</v>
          </cell>
          <cell r="BK23">
            <v>17615693</v>
          </cell>
          <cell r="BL23">
            <v>17615693</v>
          </cell>
          <cell r="BM23">
            <v>17615693</v>
          </cell>
          <cell r="BN23">
            <v>0</v>
          </cell>
          <cell r="BP23">
            <v>0</v>
          </cell>
          <cell r="BQ23">
            <v>0</v>
          </cell>
          <cell r="BR23">
            <v>0</v>
          </cell>
          <cell r="BS23">
            <v>0</v>
          </cell>
          <cell r="BT23">
            <v>0</v>
          </cell>
          <cell r="BU23">
            <v>0</v>
          </cell>
          <cell r="BV23">
            <v>0</v>
          </cell>
          <cell r="BW23">
            <v>0</v>
          </cell>
          <cell r="BY23">
            <v>6793830.0899999999</v>
          </cell>
          <cell r="BZ23">
            <v>7495785.6800000006</v>
          </cell>
          <cell r="CA23">
            <v>7819147.6799999997</v>
          </cell>
          <cell r="CB23">
            <v>11658704.029999999</v>
          </cell>
          <cell r="CC23">
            <v>10939849.4</v>
          </cell>
          <cell r="CD23">
            <v>10939849.4</v>
          </cell>
          <cell r="CE23">
            <v>10939849.4</v>
          </cell>
          <cell r="CF23">
            <v>0</v>
          </cell>
          <cell r="CH23">
            <v>3749620.37</v>
          </cell>
          <cell r="CI23">
            <v>3981836.5900000008</v>
          </cell>
          <cell r="CJ23">
            <v>4369025.3099999996</v>
          </cell>
          <cell r="CK23">
            <v>6419756.8300000001</v>
          </cell>
          <cell r="CL23">
            <v>5965681.0710000005</v>
          </cell>
          <cell r="CM23">
            <v>5965681.0710000005</v>
          </cell>
          <cell r="CN23">
            <v>5965681.0710000005</v>
          </cell>
          <cell r="CO23">
            <v>0</v>
          </cell>
          <cell r="CQ23">
            <v>0</v>
          </cell>
          <cell r="CR23">
            <v>0</v>
          </cell>
          <cell r="CS23">
            <v>0</v>
          </cell>
          <cell r="CT23">
            <v>0</v>
          </cell>
          <cell r="CU23">
            <v>0</v>
          </cell>
          <cell r="CV23">
            <v>0</v>
          </cell>
          <cell r="CW23">
            <v>0</v>
          </cell>
          <cell r="CX23">
            <v>0</v>
          </cell>
          <cell r="CZ23">
            <v>-2770573</v>
          </cell>
          <cell r="DA23">
            <v>-3031306.74</v>
          </cell>
          <cell r="DB23">
            <v>-3040893.74</v>
          </cell>
          <cell r="DC23">
            <v>-4379226.43</v>
          </cell>
          <cell r="DD23">
            <v>-4128326</v>
          </cell>
          <cell r="DE23">
            <v>-4128326</v>
          </cell>
          <cell r="DF23">
            <v>-4128326</v>
          </cell>
          <cell r="DG23">
            <v>0</v>
          </cell>
          <cell r="DI23">
            <v>-6237799.5999999996</v>
          </cell>
          <cell r="DJ23">
            <v>-6856109.5500000007</v>
          </cell>
          <cell r="DK23">
            <v>-6680812.1500000004</v>
          </cell>
          <cell r="DL23">
            <v>-9454724.0800000001</v>
          </cell>
          <cell r="DM23">
            <v>-8807846.5</v>
          </cell>
          <cell r="DN23">
            <v>-8807846.5</v>
          </cell>
          <cell r="DO23">
            <v>-8807846.5</v>
          </cell>
          <cell r="DP23">
            <v>0</v>
          </cell>
          <cell r="DR23" t="str">
            <v>WIPP - Base</v>
          </cell>
          <cell r="DS23" t="str">
            <v>WIPP - Base - NE</v>
          </cell>
          <cell r="DX23">
            <v>0.33865718884860224</v>
          </cell>
          <cell r="DY23">
            <v>0.33865718884860224</v>
          </cell>
          <cell r="DZ23">
            <v>0.33865718884860224</v>
          </cell>
          <cell r="EA23">
            <v>0.33865718884860224</v>
          </cell>
          <cell r="ED23">
            <v>-0.40780722557045873</v>
          </cell>
          <cell r="EE23">
            <v>-0.40440146895982221</v>
          </cell>
          <cell r="EF23">
            <v>-0.38890347956696991</v>
          </cell>
          <cell r="EG23">
            <v>-0.37561862954333869</v>
          </cell>
          <cell r="EH23">
            <v>-0.37736588951580996</v>
          </cell>
          <cell r="EI23">
            <v>-0.37736588951580996</v>
          </cell>
          <cell r="EJ23">
            <v>-0.37736588951580996</v>
          </cell>
          <cell r="EK23">
            <v>0</v>
          </cell>
        </row>
        <row r="24">
          <cell r="C24" t="str">
            <v>WIPP</v>
          </cell>
          <cell r="D24" t="str">
            <v>WIPP</v>
          </cell>
          <cell r="E24" t="str">
            <v>Identified - Recompete</v>
          </cell>
          <cell r="F24" t="str">
            <v>Minority</v>
          </cell>
          <cell r="G24">
            <v>0</v>
          </cell>
          <cell r="H24" t="str">
            <v>NE</v>
          </cell>
          <cell r="I24" t="str">
            <v>NE DD and WM Projects</v>
          </cell>
          <cell r="J24" t="str">
            <v>DOE-EM</v>
          </cell>
          <cell r="K24" t="str">
            <v>Multi</v>
          </cell>
          <cell r="L24">
            <v>44835</v>
          </cell>
          <cell r="M24">
            <v>48487</v>
          </cell>
          <cell r="N24">
            <v>0</v>
          </cell>
          <cell r="O24">
            <v>0</v>
          </cell>
          <cell r="P24">
            <v>0</v>
          </cell>
          <cell r="Q24">
            <v>0</v>
          </cell>
          <cell r="R24">
            <v>0</v>
          </cell>
          <cell r="S24">
            <v>0</v>
          </cell>
          <cell r="T24">
            <v>0</v>
          </cell>
          <cell r="U24">
            <v>0</v>
          </cell>
          <cell r="V24" t="str">
            <v>00 Investigate</v>
          </cell>
          <cell r="W24" t="str">
            <v>Priority 1</v>
          </cell>
          <cell r="X24">
            <v>3000000000</v>
          </cell>
          <cell r="Y24">
            <v>1200000000</v>
          </cell>
          <cell r="Z24">
            <v>0.5</v>
          </cell>
          <cell r="AB24">
            <v>120033342.59516533</v>
          </cell>
          <cell r="AD24">
            <v>0.4</v>
          </cell>
          <cell r="AF24">
            <v>0</v>
          </cell>
          <cell r="AG24">
            <v>0</v>
          </cell>
          <cell r="AH24">
            <v>0</v>
          </cell>
          <cell r="AI24">
            <v>0</v>
          </cell>
          <cell r="AJ24">
            <v>0</v>
          </cell>
          <cell r="AK24">
            <v>0</v>
          </cell>
          <cell r="AL24">
            <v>0</v>
          </cell>
          <cell r="AM24">
            <v>0</v>
          </cell>
          <cell r="AO24">
            <v>0</v>
          </cell>
          <cell r="AP24">
            <v>0</v>
          </cell>
          <cell r="AQ24">
            <v>0</v>
          </cell>
          <cell r="AR24">
            <v>0</v>
          </cell>
          <cell r="AS24">
            <v>0</v>
          </cell>
          <cell r="AT24">
            <v>0</v>
          </cell>
          <cell r="AU24">
            <v>0</v>
          </cell>
          <cell r="AV24">
            <v>0</v>
          </cell>
          <cell r="AX24">
            <v>0</v>
          </cell>
          <cell r="AY24">
            <v>0</v>
          </cell>
          <cell r="AZ24">
            <v>0</v>
          </cell>
          <cell r="BA24">
            <v>0</v>
          </cell>
          <cell r="BB24">
            <v>0</v>
          </cell>
          <cell r="BC24">
            <v>0</v>
          </cell>
          <cell r="BD24">
            <v>0</v>
          </cell>
          <cell r="BE24">
            <v>4.2999999999999997E-2</v>
          </cell>
          <cell r="BG24">
            <v>0</v>
          </cell>
          <cell r="BH24">
            <v>0</v>
          </cell>
          <cell r="BI24">
            <v>0</v>
          </cell>
          <cell r="BJ24">
            <v>0</v>
          </cell>
          <cell r="BK24">
            <v>0</v>
          </cell>
          <cell r="BL24">
            <v>0</v>
          </cell>
          <cell r="BM24">
            <v>0</v>
          </cell>
          <cell r="BN24">
            <v>0</v>
          </cell>
          <cell r="BP24">
            <v>0</v>
          </cell>
          <cell r="BQ24">
            <v>0</v>
          </cell>
          <cell r="BR24">
            <v>0</v>
          </cell>
          <cell r="BT24">
            <v>0</v>
          </cell>
          <cell r="BU24">
            <v>0</v>
          </cell>
          <cell r="BV24">
            <v>0</v>
          </cell>
          <cell r="BW24">
            <v>60016671.297582664</v>
          </cell>
          <cell r="BY24">
            <v>0</v>
          </cell>
          <cell r="BZ24">
            <v>0</v>
          </cell>
          <cell r="CA24">
            <v>0</v>
          </cell>
          <cell r="CB24">
            <v>0</v>
          </cell>
          <cell r="CC24">
            <v>0</v>
          </cell>
          <cell r="CD24">
            <v>0</v>
          </cell>
          <cell r="CE24">
            <v>0</v>
          </cell>
          <cell r="CF24">
            <v>0</v>
          </cell>
          <cell r="CH24">
            <v>0</v>
          </cell>
          <cell r="CI24">
            <v>0</v>
          </cell>
          <cell r="CJ24">
            <v>0</v>
          </cell>
          <cell r="CK24">
            <v>0</v>
          </cell>
          <cell r="CL24">
            <v>0</v>
          </cell>
          <cell r="CM24">
            <v>0</v>
          </cell>
          <cell r="CN24">
            <v>0</v>
          </cell>
          <cell r="CO24">
            <v>2580716.8657960542</v>
          </cell>
          <cell r="CQ24">
            <v>0</v>
          </cell>
          <cell r="CR24">
            <v>0</v>
          </cell>
          <cell r="CS24">
            <v>0</v>
          </cell>
          <cell r="CT24">
            <v>0</v>
          </cell>
          <cell r="CU24">
            <v>0</v>
          </cell>
          <cell r="CV24">
            <v>0</v>
          </cell>
          <cell r="CW24">
            <v>0</v>
          </cell>
          <cell r="CX24">
            <v>-2580716.8657960542</v>
          </cell>
          <cell r="CZ24">
            <v>0</v>
          </cell>
          <cell r="DA24">
            <v>0</v>
          </cell>
          <cell r="DB24">
            <v>0</v>
          </cell>
          <cell r="DC24">
            <v>0</v>
          </cell>
          <cell r="DD24">
            <v>0</v>
          </cell>
          <cell r="DE24">
            <v>0</v>
          </cell>
          <cell r="DF24">
            <v>0</v>
          </cell>
          <cell r="DG24">
            <v>0</v>
          </cell>
          <cell r="DI24">
            <v>0</v>
          </cell>
          <cell r="DJ24">
            <v>0</v>
          </cell>
          <cell r="DK24">
            <v>0</v>
          </cell>
          <cell r="DL24">
            <v>0</v>
          </cell>
          <cell r="DM24">
            <v>0</v>
          </cell>
          <cell r="DN24">
            <v>0</v>
          </cell>
          <cell r="DO24">
            <v>0</v>
          </cell>
          <cell r="DP24">
            <v>0</v>
          </cell>
          <cell r="DR24" t="str">
            <v>WIPP - Identified - Recompete</v>
          </cell>
          <cell r="DS24" t="str">
            <v>WIPP - Identified - Recompete - NE</v>
          </cell>
          <cell r="DX24">
            <v>0</v>
          </cell>
          <cell r="DY24">
            <v>0</v>
          </cell>
          <cell r="DZ24">
            <v>0</v>
          </cell>
          <cell r="EA24">
            <v>4.2999999999999997E-2</v>
          </cell>
          <cell r="ED24">
            <v>0</v>
          </cell>
          <cell r="EE24">
            <v>0</v>
          </cell>
          <cell r="EF24">
            <v>0</v>
          </cell>
          <cell r="EG24">
            <v>0</v>
          </cell>
          <cell r="EH24">
            <v>0</v>
          </cell>
          <cell r="EI24">
            <v>0</v>
          </cell>
          <cell r="EJ24">
            <v>0</v>
          </cell>
          <cell r="EK24">
            <v>0</v>
          </cell>
        </row>
        <row r="25">
          <cell r="C25" t="str">
            <v>TOC</v>
          </cell>
          <cell r="D25" t="str">
            <v>TOC Total</v>
          </cell>
          <cell r="E25" t="str">
            <v>Base</v>
          </cell>
          <cell r="F25" t="str">
            <v>Majority</v>
          </cell>
          <cell r="G25">
            <v>1</v>
          </cell>
          <cell r="H25" t="str">
            <v>NE</v>
          </cell>
          <cell r="I25" t="str">
            <v>NE HLW &amp; NNSA Operations</v>
          </cell>
          <cell r="J25" t="str">
            <v>DOE-EM</v>
          </cell>
          <cell r="K25" t="str">
            <v>CPAF</v>
          </cell>
          <cell r="L25">
            <v>39722</v>
          </cell>
          <cell r="M25">
            <v>44104</v>
          </cell>
          <cell r="N25">
            <v>0</v>
          </cell>
          <cell r="O25">
            <v>0</v>
          </cell>
          <cell r="P25">
            <v>48145893.724999994</v>
          </cell>
          <cell r="Q25">
            <v>48145893.724999994</v>
          </cell>
          <cell r="R25">
            <v>0</v>
          </cell>
          <cell r="S25">
            <v>0</v>
          </cell>
          <cell r="T25">
            <v>48145893.724999994</v>
          </cell>
          <cell r="U25">
            <v>48145893.724999994</v>
          </cell>
          <cell r="V25" t="str">
            <v>05 Won</v>
          </cell>
          <cell r="W25" t="str">
            <v>Active</v>
          </cell>
          <cell r="X25">
            <v>0</v>
          </cell>
          <cell r="Y25">
            <v>0</v>
          </cell>
          <cell r="Z25">
            <v>0</v>
          </cell>
          <cell r="AB25">
            <v>48145893.449999996</v>
          </cell>
          <cell r="AD25">
            <v>0.45</v>
          </cell>
          <cell r="AF25">
            <v>0.79219593057420334</v>
          </cell>
          <cell r="AG25">
            <v>0.58836414611745613</v>
          </cell>
          <cell r="AH25">
            <v>0.58250185832217516</v>
          </cell>
          <cell r="AI25">
            <v>0.54206400940722399</v>
          </cell>
          <cell r="AJ25">
            <v>0.54206400940722399</v>
          </cell>
          <cell r="AK25">
            <v>0.54206400940722399</v>
          </cell>
          <cell r="AL25">
            <v>0.54206400940722399</v>
          </cell>
          <cell r="AM25">
            <v>0.54206400940722399</v>
          </cell>
          <cell r="AO25">
            <v>0.39283265614604079</v>
          </cell>
          <cell r="AP25">
            <v>0.2954879411033538</v>
          </cell>
          <cell r="AQ25">
            <v>0.29545843465688315</v>
          </cell>
          <cell r="AR25">
            <v>0.23821897690840343</v>
          </cell>
          <cell r="AS25">
            <v>0.23821897690840343</v>
          </cell>
          <cell r="AT25">
            <v>0.23821897690840343</v>
          </cell>
          <cell r="AU25">
            <v>0.23821897690840343</v>
          </cell>
          <cell r="AV25">
            <v>0.23821897690840343</v>
          </cell>
          <cell r="AX25">
            <v>0</v>
          </cell>
          <cell r="AY25">
            <v>0</v>
          </cell>
          <cell r="AZ25">
            <v>0</v>
          </cell>
          <cell r="BA25">
            <v>0</v>
          </cell>
          <cell r="BB25">
            <v>0</v>
          </cell>
          <cell r="BC25">
            <v>0</v>
          </cell>
          <cell r="BD25">
            <v>0</v>
          </cell>
          <cell r="BE25">
            <v>0</v>
          </cell>
          <cell r="BG25">
            <v>35957871.040000007</v>
          </cell>
          <cell r="BH25">
            <v>51926341.469999999</v>
          </cell>
          <cell r="BI25">
            <v>56361580.569999993</v>
          </cell>
          <cell r="BJ25">
            <v>48145893.449999996</v>
          </cell>
          <cell r="BK25">
            <v>48145893.449999996</v>
          </cell>
          <cell r="BL25">
            <v>0</v>
          </cell>
          <cell r="BM25">
            <v>0</v>
          </cell>
          <cell r="BN25">
            <v>0</v>
          </cell>
          <cell r="BP25">
            <v>0</v>
          </cell>
          <cell r="BQ25">
            <v>0</v>
          </cell>
          <cell r="BR25">
            <v>0</v>
          </cell>
          <cell r="BS25">
            <v>0</v>
          </cell>
          <cell r="BT25">
            <v>0</v>
          </cell>
          <cell r="BU25">
            <v>0</v>
          </cell>
          <cell r="BV25">
            <v>0</v>
          </cell>
          <cell r="BW25">
            <v>0</v>
          </cell>
          <cell r="BY25">
            <v>28485679.110000003</v>
          </cell>
          <cell r="BZ25">
            <v>30551597.559999999</v>
          </cell>
          <cell r="CA25">
            <v>32830725.419999998</v>
          </cell>
          <cell r="CB25">
            <v>26098156.039999999</v>
          </cell>
          <cell r="CC25">
            <v>26098156.040000003</v>
          </cell>
          <cell r="CD25">
            <v>0</v>
          </cell>
          <cell r="CE25">
            <v>0</v>
          </cell>
          <cell r="CF25">
            <v>0</v>
          </cell>
          <cell r="CH25">
            <v>14125425.99</v>
          </cell>
          <cell r="CI25">
            <v>15343607.729999999</v>
          </cell>
          <cell r="CJ25">
            <v>16652504.369999997</v>
          </cell>
          <cell r="CK25">
            <v>11469265.48</v>
          </cell>
          <cell r="CL25">
            <v>11469265.48</v>
          </cell>
          <cell r="CM25">
            <v>0</v>
          </cell>
          <cell r="CN25">
            <v>0</v>
          </cell>
          <cell r="CO25">
            <v>0</v>
          </cell>
          <cell r="CQ25">
            <v>0</v>
          </cell>
          <cell r="CR25">
            <v>0</v>
          </cell>
          <cell r="CS25">
            <v>0</v>
          </cell>
          <cell r="CT25">
            <v>0</v>
          </cell>
          <cell r="CU25">
            <v>0</v>
          </cell>
          <cell r="CV25">
            <v>0</v>
          </cell>
          <cell r="CW25">
            <v>0</v>
          </cell>
          <cell r="CX25">
            <v>0</v>
          </cell>
          <cell r="CZ25">
            <v>-14206553.9</v>
          </cell>
          <cell r="DA25">
            <v>-14509788</v>
          </cell>
          <cell r="DB25">
            <v>-15492136</v>
          </cell>
          <cell r="DC25">
            <v>-12412635.710000001</v>
          </cell>
          <cell r="DD25">
            <v>-12412635.710000001</v>
          </cell>
          <cell r="DE25">
            <v>0</v>
          </cell>
          <cell r="DF25">
            <v>0</v>
          </cell>
          <cell r="DG25">
            <v>0</v>
          </cell>
          <cell r="DI25">
            <v>-19776829.072000004</v>
          </cell>
          <cell r="DJ25">
            <v>-28559487.808500003</v>
          </cell>
          <cell r="DK25">
            <v>-30998869.313499998</v>
          </cell>
          <cell r="DL25">
            <v>-26480241.397500001</v>
          </cell>
          <cell r="DM25">
            <v>-26480241.397500001</v>
          </cell>
          <cell r="DN25">
            <v>0</v>
          </cell>
          <cell r="DO25">
            <v>0</v>
          </cell>
          <cell r="DP25">
            <v>0</v>
          </cell>
          <cell r="DR25" t="str">
            <v>TOC - Base</v>
          </cell>
          <cell r="DS25" t="str">
            <v>TOC - Base - NE</v>
          </cell>
          <cell r="DX25">
            <v>0.23821897690840343</v>
          </cell>
          <cell r="DY25">
            <v>0.23821897690840343</v>
          </cell>
          <cell r="DZ25">
            <v>0.23821897690840343</v>
          </cell>
          <cell r="EA25">
            <v>0.23821897690840343</v>
          </cell>
          <cell r="ED25">
            <v>-0.4987261790438669</v>
          </cell>
          <cell r="EE25">
            <v>-0.4749273085148612</v>
          </cell>
          <cell r="EF25">
            <v>-0.47187918639660692</v>
          </cell>
          <cell r="EG25">
            <v>-0.47561351426420551</v>
          </cell>
          <cell r="EH25">
            <v>-0.47561351426420545</v>
          </cell>
          <cell r="EI25">
            <v>0</v>
          </cell>
          <cell r="EJ25">
            <v>0</v>
          </cell>
          <cell r="EK25">
            <v>0</v>
          </cell>
        </row>
        <row r="26">
          <cell r="C26" t="str">
            <v>TOC</v>
          </cell>
          <cell r="D26" t="str">
            <v>TOC Total</v>
          </cell>
          <cell r="E26" t="str">
            <v>Identified - Recompete</v>
          </cell>
          <cell r="F26" t="str">
            <v>Minority</v>
          </cell>
          <cell r="G26">
            <v>0</v>
          </cell>
          <cell r="H26" t="str">
            <v>NE</v>
          </cell>
          <cell r="I26" t="str">
            <v>NE HLW &amp; NNSA Operations</v>
          </cell>
          <cell r="J26" t="str">
            <v>DOE-EM</v>
          </cell>
          <cell r="K26" t="str">
            <v>Multi</v>
          </cell>
          <cell r="L26">
            <v>44105</v>
          </cell>
          <cell r="M26">
            <v>49582</v>
          </cell>
          <cell r="N26">
            <v>0</v>
          </cell>
          <cell r="O26">
            <v>0</v>
          </cell>
          <cell r="P26">
            <v>0</v>
          </cell>
          <cell r="Q26">
            <v>0</v>
          </cell>
          <cell r="R26">
            <v>0</v>
          </cell>
          <cell r="S26">
            <v>0</v>
          </cell>
          <cell r="T26">
            <v>0</v>
          </cell>
          <cell r="U26">
            <v>0</v>
          </cell>
          <cell r="V26" t="str">
            <v>04 Submitted</v>
          </cell>
          <cell r="W26" t="str">
            <v>Priority 2</v>
          </cell>
          <cell r="X26">
            <v>13000000000</v>
          </cell>
          <cell r="Y26">
            <v>5330000000</v>
          </cell>
          <cell r="Z26">
            <v>0.5</v>
          </cell>
          <cell r="AB26">
            <v>355399147.9903686</v>
          </cell>
          <cell r="AD26">
            <v>0.41</v>
          </cell>
          <cell r="AF26">
            <v>0</v>
          </cell>
          <cell r="AG26">
            <v>0</v>
          </cell>
          <cell r="AH26">
            <v>0</v>
          </cell>
          <cell r="AI26">
            <v>0</v>
          </cell>
          <cell r="AJ26">
            <v>0</v>
          </cell>
          <cell r="AK26">
            <v>0</v>
          </cell>
          <cell r="AL26">
            <v>0</v>
          </cell>
          <cell r="AM26">
            <v>0</v>
          </cell>
          <cell r="AO26">
            <v>0</v>
          </cell>
          <cell r="AP26">
            <v>0</v>
          </cell>
          <cell r="AQ26">
            <v>0</v>
          </cell>
          <cell r="AR26">
            <v>0</v>
          </cell>
          <cell r="AS26">
            <v>0</v>
          </cell>
          <cell r="AT26">
            <v>0</v>
          </cell>
          <cell r="AU26">
            <v>0</v>
          </cell>
          <cell r="AV26">
            <v>0</v>
          </cell>
          <cell r="AX26">
            <v>0</v>
          </cell>
          <cell r="AY26">
            <v>0</v>
          </cell>
          <cell r="AZ26">
            <v>0</v>
          </cell>
          <cell r="BA26">
            <v>0</v>
          </cell>
          <cell r="BB26">
            <v>3.3000000000000002E-2</v>
          </cell>
          <cell r="BC26">
            <v>3.3000000000000002E-2</v>
          </cell>
          <cell r="BD26">
            <v>3.3000000000000002E-2</v>
          </cell>
          <cell r="BE26">
            <v>3.3000000000000002E-2</v>
          </cell>
          <cell r="BG26">
            <v>0</v>
          </cell>
          <cell r="BH26">
            <v>0</v>
          </cell>
          <cell r="BI26">
            <v>0</v>
          </cell>
          <cell r="BJ26">
            <v>0</v>
          </cell>
          <cell r="BK26">
            <v>0</v>
          </cell>
          <cell r="BL26">
            <v>0</v>
          </cell>
          <cell r="BM26">
            <v>0</v>
          </cell>
          <cell r="BN26">
            <v>0</v>
          </cell>
          <cell r="BP26">
            <v>0</v>
          </cell>
          <cell r="BQ26">
            <v>0</v>
          </cell>
          <cell r="BR26">
            <v>0</v>
          </cell>
          <cell r="BS26">
            <v>0</v>
          </cell>
          <cell r="BT26">
            <v>0</v>
          </cell>
          <cell r="BU26">
            <v>177699573.9951843</v>
          </cell>
          <cell r="BV26">
            <v>177699573.9951843</v>
          </cell>
          <cell r="BW26">
            <v>177699573.9951843</v>
          </cell>
          <cell r="BY26">
            <v>0</v>
          </cell>
          <cell r="BZ26">
            <v>0</v>
          </cell>
          <cell r="CA26">
            <v>0</v>
          </cell>
          <cell r="CB26">
            <v>0</v>
          </cell>
          <cell r="CC26">
            <v>0</v>
          </cell>
          <cell r="CD26">
            <v>0</v>
          </cell>
          <cell r="CE26">
            <v>0</v>
          </cell>
          <cell r="CF26">
            <v>0</v>
          </cell>
          <cell r="CH26">
            <v>0</v>
          </cell>
          <cell r="CI26">
            <v>0</v>
          </cell>
          <cell r="CJ26">
            <v>0</v>
          </cell>
          <cell r="CK26">
            <v>0</v>
          </cell>
          <cell r="CL26">
            <v>0</v>
          </cell>
          <cell r="CM26">
            <v>5864085.9418410826</v>
          </cell>
          <cell r="CN26">
            <v>5864085.9418410826</v>
          </cell>
          <cell r="CO26">
            <v>5864085.9418410826</v>
          </cell>
          <cell r="CQ26">
            <v>0</v>
          </cell>
          <cell r="CR26">
            <v>0</v>
          </cell>
          <cell r="CS26">
            <v>0</v>
          </cell>
          <cell r="CT26">
            <v>0</v>
          </cell>
          <cell r="CU26">
            <v>0</v>
          </cell>
          <cell r="CV26">
            <v>-5864085.9418410826</v>
          </cell>
          <cell r="CW26">
            <v>-5864085.9418410826</v>
          </cell>
          <cell r="CX26">
            <v>-5864085.9418410826</v>
          </cell>
          <cell r="CZ26">
            <v>0</v>
          </cell>
          <cell r="DA26">
            <v>0</v>
          </cell>
          <cell r="DB26">
            <v>0</v>
          </cell>
          <cell r="DC26">
            <v>0</v>
          </cell>
          <cell r="DD26">
            <v>0</v>
          </cell>
          <cell r="DE26">
            <v>0</v>
          </cell>
          <cell r="DF26">
            <v>0</v>
          </cell>
          <cell r="DG26">
            <v>0</v>
          </cell>
          <cell r="DI26">
            <v>0</v>
          </cell>
          <cell r="DJ26">
            <v>0</v>
          </cell>
          <cell r="DK26">
            <v>0</v>
          </cell>
          <cell r="DL26">
            <v>0</v>
          </cell>
          <cell r="DM26">
            <v>0</v>
          </cell>
          <cell r="DN26">
            <v>0</v>
          </cell>
          <cell r="DO26">
            <v>0</v>
          </cell>
          <cell r="DP26">
            <v>0</v>
          </cell>
          <cell r="DR26" t="str">
            <v>TOC - Identified - Recompete</v>
          </cell>
          <cell r="DS26" t="str">
            <v>TOC - Identified - Recompete - NE</v>
          </cell>
          <cell r="DX26">
            <v>3.3000000000000002E-2</v>
          </cell>
          <cell r="DY26">
            <v>3.3000000000000002E-2</v>
          </cell>
          <cell r="DZ26">
            <v>3.3000000000000002E-2</v>
          </cell>
          <cell r="EA26">
            <v>3.3000000000000002E-2</v>
          </cell>
          <cell r="ED26">
            <v>0</v>
          </cell>
          <cell r="EE26">
            <v>0</v>
          </cell>
          <cell r="EF26">
            <v>0</v>
          </cell>
          <cell r="EG26">
            <v>0</v>
          </cell>
          <cell r="EH26">
            <v>0</v>
          </cell>
          <cell r="EI26">
            <v>0</v>
          </cell>
          <cell r="EJ26">
            <v>0</v>
          </cell>
          <cell r="EK26">
            <v>0</v>
          </cell>
        </row>
        <row r="27">
          <cell r="C27" t="str">
            <v>SONGS</v>
          </cell>
          <cell r="D27" t="str">
            <v>SONGS Total</v>
          </cell>
          <cell r="E27" t="str">
            <v>Base</v>
          </cell>
          <cell r="F27" t="str">
            <v>Majority</v>
          </cell>
          <cell r="G27">
            <v>1</v>
          </cell>
          <cell r="H27" t="str">
            <v>NE</v>
          </cell>
          <cell r="I27" t="str">
            <v>NE DD and WM Projects</v>
          </cell>
          <cell r="J27" t="str">
            <v>Commercial</v>
          </cell>
          <cell r="K27" t="str">
            <v>FFP</v>
          </cell>
          <cell r="L27">
            <v>42724</v>
          </cell>
          <cell r="M27">
            <v>46691</v>
          </cell>
          <cell r="N27">
            <v>1197342139</v>
          </cell>
          <cell r="O27">
            <v>0</v>
          </cell>
          <cell r="P27">
            <v>0</v>
          </cell>
          <cell r="Q27">
            <v>1197342139</v>
          </cell>
          <cell r="R27">
            <v>1197342139</v>
          </cell>
          <cell r="S27">
            <v>0</v>
          </cell>
          <cell r="T27">
            <v>0</v>
          </cell>
          <cell r="U27">
            <v>1197342139</v>
          </cell>
          <cell r="V27" t="str">
            <v>05 Won</v>
          </cell>
          <cell r="W27" t="str">
            <v>Active</v>
          </cell>
          <cell r="X27">
            <v>0</v>
          </cell>
          <cell r="Y27">
            <v>0</v>
          </cell>
          <cell r="Z27">
            <v>0</v>
          </cell>
          <cell r="AB27" t="str">
            <v>n.a.</v>
          </cell>
          <cell r="AD27">
            <v>0.65</v>
          </cell>
          <cell r="AF27">
            <v>0</v>
          </cell>
          <cell r="AG27">
            <v>3.7054823236735368E-2</v>
          </cell>
          <cell r="AH27">
            <v>-2.0572276587951382E-3</v>
          </cell>
          <cell r="AI27">
            <v>0</v>
          </cell>
          <cell r="AJ27">
            <v>9.5384615384615387E-2</v>
          </cell>
          <cell r="AK27">
            <v>9.5384615384615387E-2</v>
          </cell>
          <cell r="AL27">
            <v>9.5384615384615387E-2</v>
          </cell>
          <cell r="AM27">
            <v>9.5384615384615387E-2</v>
          </cell>
          <cell r="AO27">
            <v>0</v>
          </cell>
          <cell r="AP27">
            <v>1.0357412813709499</v>
          </cell>
          <cell r="AQ27">
            <v>0.36610577720724347</v>
          </cell>
          <cell r="AR27">
            <v>1.3445974735927111</v>
          </cell>
          <cell r="AS27">
            <v>6.2E-2</v>
          </cell>
          <cell r="AT27">
            <v>6.2E-2</v>
          </cell>
          <cell r="AU27">
            <v>6.2E-2</v>
          </cell>
          <cell r="AV27">
            <v>6.2E-2</v>
          </cell>
          <cell r="AX27">
            <v>0</v>
          </cell>
          <cell r="AY27">
            <v>0</v>
          </cell>
          <cell r="AZ27">
            <v>0</v>
          </cell>
          <cell r="BA27">
            <v>0</v>
          </cell>
          <cell r="BB27">
            <v>0</v>
          </cell>
          <cell r="BC27">
            <v>0</v>
          </cell>
          <cell r="BD27">
            <v>0</v>
          </cell>
          <cell r="BE27">
            <v>0</v>
          </cell>
          <cell r="BG27">
            <v>0</v>
          </cell>
          <cell r="BH27">
            <v>1229271.82</v>
          </cell>
          <cell r="BI27">
            <v>1394123.7799999998</v>
          </cell>
          <cell r="BJ27">
            <v>1366563.98</v>
          </cell>
          <cell r="BK27">
            <v>153786472</v>
          </cell>
          <cell r="BL27">
            <v>162693412</v>
          </cell>
          <cell r="BM27">
            <v>162693412</v>
          </cell>
          <cell r="BN27">
            <v>162693412</v>
          </cell>
          <cell r="BP27">
            <v>0</v>
          </cell>
          <cell r="BQ27">
            <v>0</v>
          </cell>
          <cell r="BR27">
            <v>0</v>
          </cell>
          <cell r="BS27">
            <v>0</v>
          </cell>
          <cell r="BT27">
            <v>0</v>
          </cell>
          <cell r="BU27">
            <v>0</v>
          </cell>
          <cell r="BV27">
            <v>0</v>
          </cell>
          <cell r="BW27">
            <v>0</v>
          </cell>
          <cell r="BY27">
            <v>0</v>
          </cell>
          <cell r="BZ27">
            <v>45550.449999999983</v>
          </cell>
          <cell r="CA27">
            <v>-2868.0300000000279</v>
          </cell>
          <cell r="CB27">
            <v>188327.34999999998</v>
          </cell>
          <cell r="CC27">
            <v>14668863.483076923</v>
          </cell>
          <cell r="CD27">
            <v>15518448.52923077</v>
          </cell>
          <cell r="CE27">
            <v>15518448.52923077</v>
          </cell>
          <cell r="CF27">
            <v>15518448.52923077</v>
          </cell>
          <cell r="CH27">
            <v>0</v>
          </cell>
          <cell r="CI27">
            <v>1273207.5699999998</v>
          </cell>
          <cell r="CJ27">
            <v>510396.77</v>
          </cell>
          <cell r="CK27">
            <v>1837478.4750108002</v>
          </cell>
          <cell r="CL27">
            <v>9534761.2640000004</v>
          </cell>
          <cell r="CM27">
            <v>10086991.544</v>
          </cell>
          <cell r="CN27">
            <v>10086991.544</v>
          </cell>
          <cell r="CO27">
            <v>10086991.544</v>
          </cell>
          <cell r="CQ27">
            <v>0</v>
          </cell>
          <cell r="CR27">
            <v>0</v>
          </cell>
          <cell r="CS27">
            <v>0</v>
          </cell>
          <cell r="CT27">
            <v>0</v>
          </cell>
          <cell r="CU27">
            <v>0</v>
          </cell>
          <cell r="CV27">
            <v>0</v>
          </cell>
          <cell r="CW27">
            <v>0</v>
          </cell>
          <cell r="CX27">
            <v>0</v>
          </cell>
          <cell r="CZ27">
            <v>0</v>
          </cell>
          <cell r="DA27">
            <v>0</v>
          </cell>
          <cell r="DB27">
            <v>0</v>
          </cell>
          <cell r="DC27">
            <v>0</v>
          </cell>
          <cell r="DD27">
            <v>-5134102.2190769222</v>
          </cell>
          <cell r="DE27">
            <v>-5431456.985230769</v>
          </cell>
          <cell r="DF27">
            <v>-5431456.985230769</v>
          </cell>
          <cell r="DG27">
            <v>-5431456.985230769</v>
          </cell>
          <cell r="DI27">
            <v>0</v>
          </cell>
          <cell r="DJ27">
            <v>0</v>
          </cell>
          <cell r="DK27">
            <v>0</v>
          </cell>
          <cell r="DL27">
            <v>0</v>
          </cell>
          <cell r="DM27">
            <v>-76893236</v>
          </cell>
          <cell r="DN27">
            <v>-81346706</v>
          </cell>
          <cell r="DO27">
            <v>-81346706</v>
          </cell>
          <cell r="DP27">
            <v>-81346706</v>
          </cell>
          <cell r="DR27" t="str">
            <v>SONGS - Base</v>
          </cell>
          <cell r="DS27" t="str">
            <v>SONGS - Base - NE</v>
          </cell>
          <cell r="DX27">
            <v>6.2E-2</v>
          </cell>
          <cell r="DY27">
            <v>6.2E-2</v>
          </cell>
          <cell r="DZ27">
            <v>6.2E-2</v>
          </cell>
          <cell r="EA27">
            <v>6.2E-2</v>
          </cell>
          <cell r="ED27">
            <v>0</v>
          </cell>
          <cell r="EE27">
            <v>0</v>
          </cell>
          <cell r="EF27">
            <v>0</v>
          </cell>
          <cell r="EG27">
            <v>0</v>
          </cell>
          <cell r="EH27">
            <v>-0.34999999999999992</v>
          </cell>
          <cell r="EI27">
            <v>-0.35</v>
          </cell>
          <cell r="EJ27">
            <v>-0.35</v>
          </cell>
          <cell r="EK27">
            <v>-0.35</v>
          </cell>
        </row>
        <row r="28">
          <cell r="C28" t="str">
            <v>WTP</v>
          </cell>
          <cell r="D28" t="str">
            <v>WTP Total</v>
          </cell>
          <cell r="E28" t="str">
            <v>Base</v>
          </cell>
          <cell r="F28" t="str">
            <v>n.a.</v>
          </cell>
          <cell r="G28">
            <v>1</v>
          </cell>
          <cell r="H28" t="str">
            <v>NE</v>
          </cell>
          <cell r="I28" t="str">
            <v>NE HLW &amp; NNSA Operations</v>
          </cell>
          <cell r="J28" t="str">
            <v>DOE-EM</v>
          </cell>
          <cell r="K28" t="str">
            <v>CPAF</v>
          </cell>
          <cell r="L28">
            <v>36871</v>
          </cell>
          <cell r="M28">
            <v>44926</v>
          </cell>
          <cell r="N28">
            <v>342275207.63796222</v>
          </cell>
          <cell r="O28">
            <v>0</v>
          </cell>
          <cell r="P28">
            <v>92367633.362037778</v>
          </cell>
          <cell r="Q28">
            <v>434642841</v>
          </cell>
          <cell r="R28">
            <v>342275207.63796222</v>
          </cell>
          <cell r="S28">
            <v>0</v>
          </cell>
          <cell r="T28">
            <v>92367633.362037778</v>
          </cell>
          <cell r="U28">
            <v>434642841</v>
          </cell>
          <cell r="V28" t="str">
            <v>05 Won</v>
          </cell>
          <cell r="W28" t="str">
            <v>Active</v>
          </cell>
          <cell r="X28">
            <v>0</v>
          </cell>
          <cell r="Y28">
            <v>0</v>
          </cell>
          <cell r="Z28">
            <v>0</v>
          </cell>
          <cell r="AB28" t="str">
            <v>n.a.</v>
          </cell>
          <cell r="AD28" t="str">
            <v>not a JV</v>
          </cell>
          <cell r="AF28">
            <v>0.35076495754418474</v>
          </cell>
          <cell r="AG28">
            <v>0.26404083206904511</v>
          </cell>
          <cell r="AH28">
            <v>0.35187695360983517</v>
          </cell>
          <cell r="AI28">
            <v>0.16181496006336502</v>
          </cell>
          <cell r="AJ28">
            <v>0.1582009178557969</v>
          </cell>
          <cell r="AK28">
            <v>0.14918817561021641</v>
          </cell>
          <cell r="AL28">
            <v>0.24299886369032997</v>
          </cell>
          <cell r="AM28">
            <v>0.27164294802322797</v>
          </cell>
          <cell r="AO28">
            <v>0.28337158907341331</v>
          </cell>
          <cell r="AP28">
            <v>0.17902480067618295</v>
          </cell>
          <cell r="AQ28">
            <v>0.27987876383311105</v>
          </cell>
          <cell r="AR28">
            <v>4.4250888927095888E-2</v>
          </cell>
          <cell r="AS28">
            <v>5.2413021140266386E-2</v>
          </cell>
          <cell r="AT28">
            <v>4.1878575773215625E-2</v>
          </cell>
          <cell r="AU28">
            <v>0.14539861941013449</v>
          </cell>
          <cell r="AV28">
            <v>0.179778094308786</v>
          </cell>
          <cell r="AX28">
            <v>0</v>
          </cell>
          <cell r="AY28">
            <v>0</v>
          </cell>
          <cell r="AZ28">
            <v>0</v>
          </cell>
          <cell r="BA28">
            <v>0</v>
          </cell>
          <cell r="BB28">
            <v>0</v>
          </cell>
          <cell r="BC28">
            <v>0</v>
          </cell>
          <cell r="BD28">
            <v>0</v>
          </cell>
          <cell r="BE28">
            <v>0</v>
          </cell>
          <cell r="BG28">
            <v>96630313.75</v>
          </cell>
          <cell r="BH28">
            <v>92698932.199999988</v>
          </cell>
          <cell r="BI28">
            <v>94861933.49000001</v>
          </cell>
          <cell r="BJ28">
            <v>97626225.929999992</v>
          </cell>
          <cell r="BK28">
            <v>123422002</v>
          </cell>
          <cell r="BL28">
            <v>130135595</v>
          </cell>
          <cell r="BM28">
            <v>143081595</v>
          </cell>
          <cell r="BN28">
            <v>38003649</v>
          </cell>
          <cell r="BP28">
            <v>0</v>
          </cell>
          <cell r="BQ28">
            <v>0</v>
          </cell>
          <cell r="BR28">
            <v>0</v>
          </cell>
          <cell r="BS28">
            <v>0</v>
          </cell>
          <cell r="BT28">
            <v>0</v>
          </cell>
          <cell r="BU28">
            <v>0</v>
          </cell>
          <cell r="BV28">
            <v>0</v>
          </cell>
          <cell r="BW28">
            <v>0</v>
          </cell>
          <cell r="BY28">
            <v>33894527.899999999</v>
          </cell>
          <cell r="BZ28">
            <v>24476303.189999994</v>
          </cell>
          <cell r="CA28">
            <v>33379728.170000002</v>
          </cell>
          <cell r="CB28">
            <v>15797383.849999998</v>
          </cell>
          <cell r="CC28">
            <v>19525474</v>
          </cell>
          <cell r="CD28">
            <v>19414692</v>
          </cell>
          <cell r="CE28">
            <v>34768665</v>
          </cell>
          <cell r="CF28">
            <v>10323423.25</v>
          </cell>
          <cell r="CH28">
            <v>27382285.560000002</v>
          </cell>
          <cell r="CI28">
            <v>16595407.859999996</v>
          </cell>
          <cell r="CJ28">
            <v>26549840.68</v>
          </cell>
          <cell r="CK28">
            <v>4320047.2799999984</v>
          </cell>
          <cell r="CL28">
            <v>6468920</v>
          </cell>
          <cell r="CM28">
            <v>5449893.3760000002</v>
          </cell>
          <cell r="CN28">
            <v>20803866.376000002</v>
          </cell>
          <cell r="CO28">
            <v>6832223.5940000005</v>
          </cell>
          <cell r="CQ28">
            <v>0</v>
          </cell>
          <cell r="CR28">
            <v>0</v>
          </cell>
          <cell r="CS28">
            <v>0</v>
          </cell>
          <cell r="CT28">
            <v>0</v>
          </cell>
          <cell r="CU28">
            <v>0</v>
          </cell>
          <cell r="CV28">
            <v>0</v>
          </cell>
          <cell r="CW28">
            <v>0</v>
          </cell>
          <cell r="CX28">
            <v>0</v>
          </cell>
          <cell r="CZ28">
            <v>0</v>
          </cell>
          <cell r="DA28">
            <v>0</v>
          </cell>
          <cell r="DB28">
            <v>0</v>
          </cell>
          <cell r="DC28">
            <v>0</v>
          </cell>
          <cell r="DD28">
            <v>0</v>
          </cell>
          <cell r="DE28">
            <v>0</v>
          </cell>
          <cell r="DF28">
            <v>0</v>
          </cell>
          <cell r="DG28">
            <v>0</v>
          </cell>
          <cell r="DI28">
            <v>0</v>
          </cell>
          <cell r="DJ28">
            <v>0</v>
          </cell>
          <cell r="DK28">
            <v>0</v>
          </cell>
          <cell r="DL28">
            <v>0</v>
          </cell>
          <cell r="DM28">
            <v>0</v>
          </cell>
          <cell r="DN28">
            <v>0</v>
          </cell>
          <cell r="DO28">
            <v>0</v>
          </cell>
          <cell r="DP28">
            <v>0</v>
          </cell>
          <cell r="DR28" t="str">
            <v>WTP - Base</v>
          </cell>
          <cell r="DS28" t="str">
            <v>WTP - Base - NE</v>
          </cell>
          <cell r="DX28">
            <v>5.2413021140266386E-2</v>
          </cell>
          <cell r="DY28">
            <v>4.1878575773215625E-2</v>
          </cell>
          <cell r="DZ28">
            <v>0.14539861941013449</v>
          </cell>
          <cell r="EA28">
            <v>0.179778094308786</v>
          </cell>
          <cell r="ED28">
            <v>0</v>
          </cell>
          <cell r="EE28">
            <v>0</v>
          </cell>
          <cell r="EF28">
            <v>0</v>
          </cell>
          <cell r="EG28">
            <v>0</v>
          </cell>
          <cell r="EH28">
            <v>0</v>
          </cell>
          <cell r="EI28">
            <v>0</v>
          </cell>
          <cell r="EJ28">
            <v>0</v>
          </cell>
          <cell r="EK28">
            <v>0</v>
          </cell>
        </row>
        <row r="29">
          <cell r="C29" t="str">
            <v>WTP</v>
          </cell>
          <cell r="D29" t="str">
            <v>WTP Total</v>
          </cell>
          <cell r="E29" t="str">
            <v>Base</v>
          </cell>
          <cell r="F29" t="str">
            <v>Minority</v>
          </cell>
          <cell r="G29">
            <v>0</v>
          </cell>
          <cell r="H29" t="str">
            <v>NE</v>
          </cell>
          <cell r="I29" t="str">
            <v>NE HLW &amp; NNSA Operations</v>
          </cell>
          <cell r="J29" t="str">
            <v>DOE-EM</v>
          </cell>
          <cell r="K29" t="str">
            <v>CPAF</v>
          </cell>
          <cell r="L29">
            <v>44927</v>
          </cell>
          <cell r="M29">
            <v>48579</v>
          </cell>
          <cell r="N29">
            <v>0</v>
          </cell>
          <cell r="O29">
            <v>0</v>
          </cell>
          <cell r="P29">
            <v>0</v>
          </cell>
          <cell r="Q29">
            <v>0</v>
          </cell>
          <cell r="R29">
            <v>0</v>
          </cell>
          <cell r="S29">
            <v>0</v>
          </cell>
          <cell r="T29">
            <v>0</v>
          </cell>
          <cell r="U29">
            <v>0</v>
          </cell>
          <cell r="V29" t="str">
            <v>05 Won</v>
          </cell>
          <cell r="W29" t="str">
            <v>Active</v>
          </cell>
          <cell r="X29">
            <v>6000000000</v>
          </cell>
          <cell r="Y29">
            <v>3000000000</v>
          </cell>
          <cell r="Z29">
            <v>1</v>
          </cell>
          <cell r="AB29">
            <v>300000000</v>
          </cell>
          <cell r="AD29">
            <v>0.5</v>
          </cell>
          <cell r="AF29">
            <v>0</v>
          </cell>
          <cell r="AG29">
            <v>0</v>
          </cell>
          <cell r="AH29">
            <v>0</v>
          </cell>
          <cell r="AI29">
            <v>0</v>
          </cell>
          <cell r="AJ29">
            <v>0</v>
          </cell>
          <cell r="AK29">
            <v>0</v>
          </cell>
          <cell r="AL29">
            <v>0</v>
          </cell>
          <cell r="AM29">
            <v>0</v>
          </cell>
          <cell r="AO29">
            <v>0</v>
          </cell>
          <cell r="AP29">
            <v>0</v>
          </cell>
          <cell r="AQ29">
            <v>0</v>
          </cell>
          <cell r="AR29">
            <v>0</v>
          </cell>
          <cell r="AS29">
            <v>0</v>
          </cell>
          <cell r="AT29">
            <v>0</v>
          </cell>
          <cell r="AU29">
            <v>0</v>
          </cell>
          <cell r="AV29">
            <v>0</v>
          </cell>
          <cell r="AX29">
            <v>0</v>
          </cell>
          <cell r="AY29">
            <v>0</v>
          </cell>
          <cell r="AZ29">
            <v>0</v>
          </cell>
          <cell r="BA29">
            <v>0</v>
          </cell>
          <cell r="BB29">
            <v>4.2000000000000003E-2</v>
          </cell>
          <cell r="BC29">
            <v>4.2000000000000003E-2</v>
          </cell>
          <cell r="BD29">
            <v>4.2000000000000003E-2</v>
          </cell>
          <cell r="BE29">
            <v>4.2000000000000003E-2</v>
          </cell>
          <cell r="BG29">
            <v>0</v>
          </cell>
          <cell r="BH29">
            <v>0</v>
          </cell>
          <cell r="BI29">
            <v>0</v>
          </cell>
          <cell r="BJ29">
            <v>0</v>
          </cell>
          <cell r="BK29">
            <v>0</v>
          </cell>
          <cell r="BL29">
            <v>0</v>
          </cell>
          <cell r="BM29">
            <v>0</v>
          </cell>
          <cell r="BN29">
            <v>0</v>
          </cell>
          <cell r="BP29">
            <v>0</v>
          </cell>
          <cell r="BQ29">
            <v>0</v>
          </cell>
          <cell r="BR29">
            <v>0</v>
          </cell>
          <cell r="BS29">
            <v>0</v>
          </cell>
          <cell r="BT29">
            <v>0</v>
          </cell>
          <cell r="BU29">
            <v>0</v>
          </cell>
          <cell r="BV29">
            <v>0</v>
          </cell>
          <cell r="BW29">
            <v>224166666.66666666</v>
          </cell>
          <cell r="BY29">
            <v>0</v>
          </cell>
          <cell r="BZ29">
            <v>0</v>
          </cell>
          <cell r="CA29">
            <v>0</v>
          </cell>
          <cell r="CB29">
            <v>0</v>
          </cell>
          <cell r="CC29">
            <v>0</v>
          </cell>
          <cell r="CD29">
            <v>0</v>
          </cell>
          <cell r="CE29">
            <v>0</v>
          </cell>
          <cell r="CF29">
            <v>0</v>
          </cell>
          <cell r="CH29">
            <v>0</v>
          </cell>
          <cell r="CI29">
            <v>0</v>
          </cell>
          <cell r="CJ29">
            <v>0</v>
          </cell>
          <cell r="CK29">
            <v>0</v>
          </cell>
          <cell r="CL29">
            <v>0</v>
          </cell>
          <cell r="CM29">
            <v>0</v>
          </cell>
          <cell r="CN29">
            <v>0</v>
          </cell>
          <cell r="CO29">
            <v>9415000</v>
          </cell>
          <cell r="CQ29">
            <v>0</v>
          </cell>
          <cell r="CR29">
            <v>0</v>
          </cell>
          <cell r="CS29">
            <v>0</v>
          </cell>
          <cell r="CT29">
            <v>0</v>
          </cell>
          <cell r="CU29">
            <v>0</v>
          </cell>
          <cell r="CV29">
            <v>0</v>
          </cell>
          <cell r="CW29">
            <v>0</v>
          </cell>
          <cell r="CX29">
            <v>-9415000</v>
          </cell>
          <cell r="CZ29">
            <v>0</v>
          </cell>
          <cell r="DA29">
            <v>0</v>
          </cell>
          <cell r="DB29">
            <v>0</v>
          </cell>
          <cell r="DC29">
            <v>0</v>
          </cell>
          <cell r="DD29">
            <v>0</v>
          </cell>
          <cell r="DE29">
            <v>0</v>
          </cell>
          <cell r="DF29">
            <v>0</v>
          </cell>
          <cell r="DG29">
            <v>0</v>
          </cell>
          <cell r="DI29">
            <v>0</v>
          </cell>
          <cell r="DJ29">
            <v>0</v>
          </cell>
          <cell r="DK29">
            <v>0</v>
          </cell>
          <cell r="DL29">
            <v>0</v>
          </cell>
          <cell r="DM29">
            <v>0</v>
          </cell>
          <cell r="DN29">
            <v>0</v>
          </cell>
          <cell r="DO29">
            <v>0</v>
          </cell>
          <cell r="DP29">
            <v>0</v>
          </cell>
          <cell r="DR29" t="str">
            <v>WTP - Base</v>
          </cell>
          <cell r="DS29" t="str">
            <v>WTP - Base - NE - 2</v>
          </cell>
          <cell r="DX29">
            <v>4.2000000000000003E-2</v>
          </cell>
          <cell r="DY29">
            <v>4.2000000000000003E-2</v>
          </cell>
          <cell r="DZ29">
            <v>4.2000000000000003E-2</v>
          </cell>
          <cell r="EA29">
            <v>4.2000000000000003E-2</v>
          </cell>
          <cell r="ED29">
            <v>0</v>
          </cell>
          <cell r="EE29">
            <v>0</v>
          </cell>
          <cell r="EF29">
            <v>0</v>
          </cell>
          <cell r="EG29">
            <v>0</v>
          </cell>
          <cell r="EH29">
            <v>0</v>
          </cell>
          <cell r="EI29">
            <v>0</v>
          </cell>
          <cell r="EJ29">
            <v>0</v>
          </cell>
          <cell r="EK29">
            <v>0</v>
          </cell>
        </row>
        <row r="30">
          <cell r="C30" t="str">
            <v>LLWRTOT</v>
          </cell>
          <cell r="D30" t="str">
            <v>LLWR Total</v>
          </cell>
          <cell r="E30" t="str">
            <v>Base</v>
          </cell>
          <cell r="F30" t="str">
            <v>Minority</v>
          </cell>
          <cell r="G30">
            <v>0</v>
          </cell>
          <cell r="H30" t="str">
            <v>NE</v>
          </cell>
          <cell r="I30" t="str">
            <v>NE International Programs</v>
          </cell>
          <cell r="J30" t="str">
            <v>UK-NDA</v>
          </cell>
          <cell r="K30" t="str">
            <v>CPFF</v>
          </cell>
          <cell r="L30">
            <v>39539</v>
          </cell>
          <cell r="M30">
            <v>45016</v>
          </cell>
          <cell r="N30">
            <v>0</v>
          </cell>
          <cell r="O30">
            <v>0</v>
          </cell>
          <cell r="P30">
            <v>0</v>
          </cell>
          <cell r="Q30">
            <v>0</v>
          </cell>
          <cell r="R30">
            <v>170963542.28250003</v>
          </cell>
          <cell r="S30">
            <v>0</v>
          </cell>
          <cell r="T30">
            <v>348246556.70585471</v>
          </cell>
          <cell r="U30">
            <v>519210098.98835474</v>
          </cell>
          <cell r="V30" t="str">
            <v>05 Won</v>
          </cell>
          <cell r="W30" t="str">
            <v>Active</v>
          </cell>
          <cell r="X30">
            <v>0</v>
          </cell>
          <cell r="Y30">
            <v>0</v>
          </cell>
          <cell r="Z30">
            <v>0</v>
          </cell>
          <cell r="AB30">
            <v>129802524.74708869</v>
          </cell>
          <cell r="AD30">
            <v>0.75</v>
          </cell>
          <cell r="AF30">
            <v>0</v>
          </cell>
          <cell r="AG30">
            <v>0</v>
          </cell>
          <cell r="AH30">
            <v>0</v>
          </cell>
          <cell r="AI30">
            <v>0</v>
          </cell>
          <cell r="AJ30">
            <v>0</v>
          </cell>
          <cell r="AK30">
            <v>0</v>
          </cell>
          <cell r="AL30">
            <v>0</v>
          </cell>
          <cell r="AM30">
            <v>0</v>
          </cell>
          <cell r="AO30">
            <v>0</v>
          </cell>
          <cell r="AP30">
            <v>0</v>
          </cell>
          <cell r="AQ30">
            <v>0</v>
          </cell>
          <cell r="AR30">
            <v>0</v>
          </cell>
          <cell r="AS30">
            <v>0</v>
          </cell>
          <cell r="AT30">
            <v>0</v>
          </cell>
          <cell r="AU30">
            <v>0</v>
          </cell>
          <cell r="AV30">
            <v>0</v>
          </cell>
          <cell r="AX30">
            <v>8.3579061438243424E-2</v>
          </cell>
          <cell r="AY30">
            <v>6.4100777458302366E-2</v>
          </cell>
          <cell r="AZ30">
            <v>5.1380474094774156E-2</v>
          </cell>
          <cell r="BA30">
            <v>1.2895904806843609E-2</v>
          </cell>
          <cell r="BB30">
            <v>1.49E-2</v>
          </cell>
          <cell r="BC30">
            <v>1.49E-2</v>
          </cell>
          <cell r="BD30">
            <v>1.49E-2</v>
          </cell>
          <cell r="BE30">
            <v>1.49E-2</v>
          </cell>
          <cell r="BG30">
            <v>1945834.34</v>
          </cell>
          <cell r="BH30">
            <v>2285434.5999999996</v>
          </cell>
          <cell r="BI30">
            <v>2223747.33</v>
          </cell>
          <cell r="BJ30">
            <v>1897758.8412063301</v>
          </cell>
          <cell r="BK30">
            <v>1398497</v>
          </cell>
          <cell r="BL30">
            <v>0</v>
          </cell>
          <cell r="BM30">
            <v>0</v>
          </cell>
          <cell r="BN30">
            <v>0</v>
          </cell>
          <cell r="BP30">
            <v>82939413.900000006</v>
          </cell>
          <cell r="BQ30">
            <v>89118425.114999995</v>
          </cell>
          <cell r="BR30">
            <v>102430028.47500001</v>
          </cell>
          <cell r="BS30">
            <v>150981098.292</v>
          </cell>
          <cell r="BT30">
            <v>129802524.74708869</v>
          </cell>
          <cell r="BU30">
            <v>129802524.74708869</v>
          </cell>
          <cell r="BV30">
            <v>129802524.74708869</v>
          </cell>
          <cell r="BW30">
            <v>64901262.373544343</v>
          </cell>
          <cell r="BY30">
            <v>-356990.2699999999</v>
          </cell>
          <cell r="BZ30">
            <v>-206153.65000000005</v>
          </cell>
          <cell r="CA30">
            <v>-196837.12220243798</v>
          </cell>
          <cell r="CB30">
            <v>64346.251206329995</v>
          </cell>
          <cell r="CC30">
            <v>0</v>
          </cell>
          <cell r="CD30">
            <v>0</v>
          </cell>
          <cell r="CE30">
            <v>0</v>
          </cell>
          <cell r="CF30">
            <v>0</v>
          </cell>
          <cell r="CH30">
            <v>6931998.370000001</v>
          </cell>
          <cell r="CI30">
            <v>5712560.3357309997</v>
          </cell>
          <cell r="CJ30">
            <v>5262903.424586717</v>
          </cell>
          <cell r="CK30">
            <v>1947037.8712063301</v>
          </cell>
          <cell r="CL30">
            <v>1934057.6187316214</v>
          </cell>
          <cell r="CM30">
            <v>1934057.6187316214</v>
          </cell>
          <cell r="CN30">
            <v>1934057.6187316214</v>
          </cell>
          <cell r="CO30">
            <v>967028.80936581071</v>
          </cell>
          <cell r="CQ30">
            <v>-9666817.3299999982</v>
          </cell>
          <cell r="CR30">
            <v>-7841868.6076410003</v>
          </cell>
          <cell r="CS30">
            <v>-7238909.1561146211</v>
          </cell>
          <cell r="CT30">
            <v>-4235619.7</v>
          </cell>
          <cell r="CU30">
            <v>-1934057.6187316214</v>
          </cell>
          <cell r="CV30">
            <v>-1934057.6187316214</v>
          </cell>
          <cell r="CW30">
            <v>-1934057.6187316214</v>
          </cell>
          <cell r="CX30">
            <v>-967028.80936581071</v>
          </cell>
          <cell r="CZ30">
            <v>-2310929.5400000005</v>
          </cell>
          <cell r="DA30">
            <v>-1903360.8519099997</v>
          </cell>
          <cell r="DB30">
            <v>-1755803.291527906</v>
          </cell>
          <cell r="DC30">
            <v>0</v>
          </cell>
          <cell r="DD30">
            <v>0</v>
          </cell>
          <cell r="DE30">
            <v>0</v>
          </cell>
          <cell r="DF30">
            <v>0</v>
          </cell>
          <cell r="DG30">
            <v>0</v>
          </cell>
          <cell r="DI30">
            <v>0</v>
          </cell>
          <cell r="DJ30">
            <v>0</v>
          </cell>
          <cell r="DK30">
            <v>0</v>
          </cell>
          <cell r="DL30">
            <v>0</v>
          </cell>
          <cell r="DM30">
            <v>0</v>
          </cell>
          <cell r="DN30">
            <v>0</v>
          </cell>
          <cell r="DO30">
            <v>0</v>
          </cell>
          <cell r="DP30">
            <v>0</v>
          </cell>
          <cell r="DR30" t="str">
            <v>LLWRTOT - Base</v>
          </cell>
          <cell r="DS30" t="str">
            <v>LLWRTOT - Base - NE</v>
          </cell>
          <cell r="DX30">
            <v>1.49E-2</v>
          </cell>
          <cell r="DY30">
            <v>1.49E-2</v>
          </cell>
          <cell r="DZ30">
            <v>1.49E-2</v>
          </cell>
          <cell r="EA30">
            <v>1.49E-2</v>
          </cell>
          <cell r="ED30">
            <v>6.4733684198171595</v>
          </cell>
          <cell r="EE30">
            <v>9.2327293351827588</v>
          </cell>
          <cell r="EF30">
            <v>8.920082105864882</v>
          </cell>
          <cell r="EG30">
            <v>0</v>
          </cell>
          <cell r="EH30">
            <v>0</v>
          </cell>
          <cell r="EI30">
            <v>0</v>
          </cell>
          <cell r="EJ30">
            <v>0</v>
          </cell>
          <cell r="EK30">
            <v>0</v>
          </cell>
        </row>
        <row r="31">
          <cell r="C31" t="str">
            <v>LLNL</v>
          </cell>
          <cell r="D31" t="str">
            <v>LLNL Total</v>
          </cell>
          <cell r="E31" t="str">
            <v>Base</v>
          </cell>
          <cell r="F31" t="str">
            <v>Minority</v>
          </cell>
          <cell r="G31">
            <v>0</v>
          </cell>
          <cell r="H31" t="str">
            <v>NE</v>
          </cell>
          <cell r="I31" t="str">
            <v>NE HLW &amp; NNSA Operations</v>
          </cell>
          <cell r="J31" t="str">
            <v>DOE-NNSA</v>
          </cell>
          <cell r="K31" t="str">
            <v>CPAF</v>
          </cell>
          <cell r="L31">
            <v>39356</v>
          </cell>
          <cell r="M31">
            <v>46295</v>
          </cell>
          <cell r="N31">
            <v>0</v>
          </cell>
          <cell r="O31">
            <v>0</v>
          </cell>
          <cell r="P31">
            <v>0</v>
          </cell>
          <cell r="Q31">
            <v>0</v>
          </cell>
          <cell r="R31">
            <v>23180074.048500001</v>
          </cell>
          <cell r="S31">
            <v>0</v>
          </cell>
          <cell r="T31">
            <v>2704503.0669804327</v>
          </cell>
          <cell r="U31">
            <v>25884577.115480434</v>
          </cell>
          <cell r="V31" t="str">
            <v>05 Won</v>
          </cell>
          <cell r="W31" t="str">
            <v>Active</v>
          </cell>
          <cell r="X31">
            <v>0</v>
          </cell>
          <cell r="Y31">
            <v>0</v>
          </cell>
          <cell r="Z31">
            <v>0</v>
          </cell>
          <cell r="AB31">
            <v>6471144.2788701085</v>
          </cell>
          <cell r="AD31">
            <v>0.11</v>
          </cell>
          <cell r="AF31">
            <v>0</v>
          </cell>
          <cell r="AG31">
            <v>0</v>
          </cell>
          <cell r="AH31">
            <v>0</v>
          </cell>
          <cell r="AI31">
            <v>0</v>
          </cell>
          <cell r="AJ31">
            <v>0</v>
          </cell>
          <cell r="AK31">
            <v>0</v>
          </cell>
          <cell r="AL31">
            <v>0</v>
          </cell>
          <cell r="AM31">
            <v>0</v>
          </cell>
          <cell r="AO31">
            <v>0</v>
          </cell>
          <cell r="AP31">
            <v>0</v>
          </cell>
          <cell r="AQ31">
            <v>0</v>
          </cell>
          <cell r="AR31">
            <v>0</v>
          </cell>
          <cell r="AS31">
            <v>0</v>
          </cell>
          <cell r="AT31">
            <v>0</v>
          </cell>
          <cell r="AU31">
            <v>0</v>
          </cell>
          <cell r="AV31">
            <v>0</v>
          </cell>
          <cell r="AX31">
            <v>0.75630490987822652</v>
          </cell>
          <cell r="AY31">
            <v>0.6591370209434656</v>
          </cell>
          <cell r="AZ31">
            <v>0.76313308251061918</v>
          </cell>
          <cell r="BA31">
            <v>0.70235371728868778</v>
          </cell>
          <cell r="BB31">
            <v>0.70199999999999996</v>
          </cell>
          <cell r="BC31">
            <v>0.70199999999999996</v>
          </cell>
          <cell r="BD31">
            <v>0.70199999999999996</v>
          </cell>
          <cell r="BE31">
            <v>0.70199999999999996</v>
          </cell>
          <cell r="BG31">
            <v>192149.25000000003</v>
          </cell>
          <cell r="BH31">
            <v>53287.02</v>
          </cell>
          <cell r="BI31">
            <v>29900.639999999999</v>
          </cell>
          <cell r="BJ31">
            <v>57753.73</v>
          </cell>
          <cell r="BK31">
            <v>60000</v>
          </cell>
          <cell r="BL31">
            <v>0</v>
          </cell>
          <cell r="BM31">
            <v>0</v>
          </cell>
          <cell r="BN31">
            <v>0</v>
          </cell>
          <cell r="BP31">
            <v>4363830.0200000005</v>
          </cell>
          <cell r="BQ31">
            <v>4348182</v>
          </cell>
          <cell r="BR31">
            <v>4615212</v>
          </cell>
          <cell r="BS31">
            <v>5590459</v>
          </cell>
          <cell r="BT31">
            <v>6471144.2788701085</v>
          </cell>
          <cell r="BU31">
            <v>6471144.2788701085</v>
          </cell>
          <cell r="BV31">
            <v>6471144.2788701085</v>
          </cell>
          <cell r="BW31">
            <v>6471144.2788701085</v>
          </cell>
          <cell r="BY31">
            <v>-265016.68</v>
          </cell>
          <cell r="BZ31">
            <v>-224636.36</v>
          </cell>
          <cell r="CA31">
            <v>-386401.97</v>
          </cell>
          <cell r="CB31">
            <v>-185238.61</v>
          </cell>
          <cell r="CC31">
            <v>0</v>
          </cell>
          <cell r="CD31">
            <v>0</v>
          </cell>
          <cell r="CE31">
            <v>0</v>
          </cell>
          <cell r="CF31">
            <v>0</v>
          </cell>
          <cell r="CH31">
            <v>3300386.07</v>
          </cell>
          <cell r="CI31">
            <v>2866047.73</v>
          </cell>
          <cell r="CJ31">
            <v>3522020.96</v>
          </cell>
          <cell r="CK31">
            <v>3926479.66</v>
          </cell>
          <cell r="CL31">
            <v>4542743.2837668164</v>
          </cell>
          <cell r="CM31">
            <v>4542743.2837668164</v>
          </cell>
          <cell r="CN31">
            <v>4542743.2837668164</v>
          </cell>
          <cell r="CO31">
            <v>4542743.2837668164</v>
          </cell>
          <cell r="CQ31">
            <v>-3609438.66</v>
          </cell>
          <cell r="CR31">
            <v>-3164395.0700000003</v>
          </cell>
          <cell r="CS31">
            <v>-3982897.91</v>
          </cell>
          <cell r="CT31">
            <v>-4212754.16</v>
          </cell>
          <cell r="CU31">
            <v>-4542743.2837668164</v>
          </cell>
          <cell r="CV31">
            <v>-4542743.2837668164</v>
          </cell>
          <cell r="CW31">
            <v>-4542743.2837668164</v>
          </cell>
          <cell r="CX31">
            <v>-4542743.2837668164</v>
          </cell>
          <cell r="CZ31">
            <v>0</v>
          </cell>
          <cell r="DA31">
            <v>0</v>
          </cell>
          <cell r="DB31">
            <v>0</v>
          </cell>
          <cell r="DC31">
            <v>0</v>
          </cell>
          <cell r="DD31">
            <v>0</v>
          </cell>
          <cell r="DE31">
            <v>0</v>
          </cell>
          <cell r="DF31">
            <v>0</v>
          </cell>
          <cell r="DG31">
            <v>0</v>
          </cell>
          <cell r="DI31">
            <v>0</v>
          </cell>
          <cell r="DJ31">
            <v>0</v>
          </cell>
          <cell r="DK31">
            <v>0</v>
          </cell>
          <cell r="DL31">
            <v>0</v>
          </cell>
          <cell r="DM31">
            <v>0</v>
          </cell>
          <cell r="DN31">
            <v>0</v>
          </cell>
          <cell r="DO31">
            <v>0</v>
          </cell>
          <cell r="DP31">
            <v>0</v>
          </cell>
          <cell r="DR31" t="str">
            <v>LLNL - Base</v>
          </cell>
          <cell r="DS31" t="str">
            <v>LLNL - Base - NE</v>
          </cell>
          <cell r="DX31">
            <v>0.70199999999999996</v>
          </cell>
          <cell r="DY31">
            <v>0.70199999999999996</v>
          </cell>
          <cell r="DZ31">
            <v>0.70199999999999996</v>
          </cell>
          <cell r="EA31">
            <v>0.70199999999999996</v>
          </cell>
          <cell r="ED31">
            <v>0</v>
          </cell>
          <cell r="EE31">
            <v>0</v>
          </cell>
          <cell r="EF31">
            <v>0</v>
          </cell>
          <cell r="EG31">
            <v>0</v>
          </cell>
          <cell r="EH31">
            <v>0</v>
          </cell>
          <cell r="EI31">
            <v>0</v>
          </cell>
          <cell r="EJ31">
            <v>0</v>
          </cell>
          <cell r="EK31">
            <v>0</v>
          </cell>
        </row>
        <row r="32">
          <cell r="C32" t="str">
            <v>ICP</v>
          </cell>
          <cell r="D32" t="str">
            <v>ICP Total</v>
          </cell>
          <cell r="E32" t="str">
            <v>Base</v>
          </cell>
          <cell r="F32" t="str">
            <v>Minority</v>
          </cell>
          <cell r="G32">
            <v>0</v>
          </cell>
          <cell r="H32" t="str">
            <v>NE</v>
          </cell>
          <cell r="I32" t="str">
            <v>NE DD and WM Projects</v>
          </cell>
          <cell r="J32" t="str">
            <v>DOE-EM</v>
          </cell>
          <cell r="K32" t="str">
            <v>CPIF</v>
          </cell>
          <cell r="L32">
            <v>38435</v>
          </cell>
          <cell r="M32">
            <v>42521</v>
          </cell>
          <cell r="N32">
            <v>0</v>
          </cell>
          <cell r="O32">
            <v>0</v>
          </cell>
          <cell r="P32">
            <v>0</v>
          </cell>
          <cell r="Q32">
            <v>0</v>
          </cell>
          <cell r="R32">
            <v>0</v>
          </cell>
          <cell r="S32">
            <v>0</v>
          </cell>
          <cell r="T32">
            <v>0</v>
          </cell>
          <cell r="U32">
            <v>0</v>
          </cell>
          <cell r="V32" t="str">
            <v>05 Won</v>
          </cell>
          <cell r="W32" t="str">
            <v>Active</v>
          </cell>
          <cell r="X32">
            <v>0</v>
          </cell>
          <cell r="Y32">
            <v>0</v>
          </cell>
          <cell r="Z32">
            <v>0</v>
          </cell>
          <cell r="AB32">
            <v>0</v>
          </cell>
          <cell r="AD32">
            <v>0.495</v>
          </cell>
          <cell r="AF32">
            <v>0</v>
          </cell>
          <cell r="AG32">
            <v>0</v>
          </cell>
          <cell r="AH32">
            <v>0</v>
          </cell>
          <cell r="AI32">
            <v>0</v>
          </cell>
          <cell r="AJ32">
            <v>0</v>
          </cell>
          <cell r="AK32">
            <v>0</v>
          </cell>
          <cell r="AL32">
            <v>0</v>
          </cell>
          <cell r="AM32">
            <v>0</v>
          </cell>
          <cell r="AO32">
            <v>0</v>
          </cell>
          <cell r="AP32">
            <v>0</v>
          </cell>
          <cell r="AQ32">
            <v>0</v>
          </cell>
          <cell r="AR32">
            <v>0</v>
          </cell>
          <cell r="AS32">
            <v>0</v>
          </cell>
          <cell r="AT32">
            <v>0</v>
          </cell>
          <cell r="AU32">
            <v>0</v>
          </cell>
          <cell r="AV32">
            <v>0</v>
          </cell>
          <cell r="AX32">
            <v>4.5875603556007026E-2</v>
          </cell>
          <cell r="AY32" t="str">
            <v>n.a.</v>
          </cell>
          <cell r="AZ32">
            <v>-2.8710959161088949E-2</v>
          </cell>
          <cell r="BA32">
            <v>0.81459526061723586</v>
          </cell>
          <cell r="BB32">
            <v>0</v>
          </cell>
          <cell r="BC32">
            <v>0</v>
          </cell>
          <cell r="BD32">
            <v>0</v>
          </cell>
          <cell r="BE32">
            <v>0</v>
          </cell>
          <cell r="BG32">
            <v>2552929.9099999997</v>
          </cell>
          <cell r="BH32">
            <v>-23183.559999999998</v>
          </cell>
          <cell r="BI32">
            <v>-134.57999999998719</v>
          </cell>
          <cell r="BJ32">
            <v>878.19</v>
          </cell>
          <cell r="BK32">
            <v>0</v>
          </cell>
          <cell r="BL32">
            <v>0</v>
          </cell>
          <cell r="BM32">
            <v>0</v>
          </cell>
          <cell r="BN32">
            <v>0</v>
          </cell>
          <cell r="BP32">
            <v>90013670.010000005</v>
          </cell>
          <cell r="BQ32">
            <v>207846.54</v>
          </cell>
          <cell r="BR32">
            <v>892161.76500000001</v>
          </cell>
          <cell r="BS32">
            <v>1337057.865</v>
          </cell>
          <cell r="BT32">
            <v>0</v>
          </cell>
          <cell r="BU32">
            <v>0</v>
          </cell>
          <cell r="BV32">
            <v>0</v>
          </cell>
          <cell r="BW32">
            <v>0</v>
          </cell>
          <cell r="BY32">
            <v>-439392.36</v>
          </cell>
          <cell r="BZ32">
            <v>-455948.30000000005</v>
          </cell>
          <cell r="CA32">
            <v>-2966.1</v>
          </cell>
          <cell r="CB32">
            <v>163.80000000000007</v>
          </cell>
          <cell r="CC32">
            <v>0</v>
          </cell>
          <cell r="CD32">
            <v>0</v>
          </cell>
          <cell r="CE32">
            <v>0</v>
          </cell>
          <cell r="CF32">
            <v>0</v>
          </cell>
          <cell r="CH32">
            <v>4129431.4399999995</v>
          </cell>
          <cell r="CI32">
            <v>6128083.9100000001</v>
          </cell>
          <cell r="CJ32">
            <v>-25614.820000000036</v>
          </cell>
          <cell r="CK32">
            <v>1089161</v>
          </cell>
          <cell r="CL32">
            <v>0</v>
          </cell>
          <cell r="CM32">
            <v>0</v>
          </cell>
          <cell r="CN32">
            <v>0</v>
          </cell>
          <cell r="CO32">
            <v>0</v>
          </cell>
          <cell r="CQ32">
            <v>-6727849.2000000002</v>
          </cell>
          <cell r="CR32">
            <v>-6595123.54</v>
          </cell>
          <cell r="CS32">
            <v>20285.540000000037</v>
          </cell>
          <cell r="CT32">
            <v>-1089161</v>
          </cell>
          <cell r="CU32">
            <v>0</v>
          </cell>
          <cell r="CV32">
            <v>0</v>
          </cell>
          <cell r="CW32">
            <v>0</v>
          </cell>
          <cell r="CX32">
            <v>0</v>
          </cell>
          <cell r="CZ32">
            <v>0</v>
          </cell>
          <cell r="DA32">
            <v>0</v>
          </cell>
          <cell r="DB32">
            <v>0</v>
          </cell>
          <cell r="DC32">
            <v>0</v>
          </cell>
          <cell r="DD32">
            <v>0</v>
          </cell>
          <cell r="DE32">
            <v>0</v>
          </cell>
          <cell r="DF32">
            <v>0</v>
          </cell>
          <cell r="DG32">
            <v>0</v>
          </cell>
          <cell r="DI32">
            <v>0</v>
          </cell>
          <cell r="DJ32">
            <v>0</v>
          </cell>
          <cell r="DK32">
            <v>0</v>
          </cell>
          <cell r="DL32">
            <v>0</v>
          </cell>
          <cell r="DM32">
            <v>0</v>
          </cell>
          <cell r="DN32">
            <v>0</v>
          </cell>
          <cell r="DO32">
            <v>0</v>
          </cell>
          <cell r="DP32">
            <v>0</v>
          </cell>
          <cell r="DR32" t="str">
            <v>ICP - Base</v>
          </cell>
          <cell r="DS32" t="str">
            <v>ICP - Base - NE</v>
          </cell>
          <cell r="DX32">
            <v>0</v>
          </cell>
          <cell r="DY32">
            <v>0</v>
          </cell>
          <cell r="DZ32">
            <v>0</v>
          </cell>
          <cell r="EA32">
            <v>0</v>
          </cell>
          <cell r="ED32">
            <v>0</v>
          </cell>
          <cell r="EE32">
            <v>0</v>
          </cell>
          <cell r="EF32">
            <v>0</v>
          </cell>
          <cell r="EG32">
            <v>0</v>
          </cell>
          <cell r="EH32">
            <v>0</v>
          </cell>
          <cell r="EI32">
            <v>0</v>
          </cell>
          <cell r="EJ32">
            <v>0</v>
          </cell>
          <cell r="EK32">
            <v>0</v>
          </cell>
        </row>
        <row r="33">
          <cell r="C33" t="str">
            <v>ICP</v>
          </cell>
          <cell r="D33" t="str">
            <v>ICP Total</v>
          </cell>
          <cell r="E33" t="str">
            <v>Identified - Recompete</v>
          </cell>
          <cell r="F33" t="str">
            <v>Minority</v>
          </cell>
          <cell r="G33">
            <v>0</v>
          </cell>
          <cell r="H33" t="str">
            <v>NE</v>
          </cell>
          <cell r="I33" t="str">
            <v>NE DD and WM Projects</v>
          </cell>
          <cell r="J33" t="str">
            <v>DOE-EM</v>
          </cell>
          <cell r="K33" t="str">
            <v>Cost Plus</v>
          </cell>
          <cell r="L33">
            <v>44348</v>
          </cell>
          <cell r="M33">
            <v>48000</v>
          </cell>
          <cell r="N33">
            <v>0</v>
          </cell>
          <cell r="O33">
            <v>0</v>
          </cell>
          <cell r="P33">
            <v>0</v>
          </cell>
          <cell r="Q33">
            <v>0</v>
          </cell>
          <cell r="R33">
            <v>0</v>
          </cell>
          <cell r="S33">
            <v>0</v>
          </cell>
          <cell r="T33">
            <v>0</v>
          </cell>
          <cell r="U33">
            <v>0</v>
          </cell>
          <cell r="V33" t="str">
            <v>01 Prospect</v>
          </cell>
          <cell r="W33" t="str">
            <v>Priority 1</v>
          </cell>
          <cell r="X33">
            <v>1750000000</v>
          </cell>
          <cell r="Y33">
            <v>700000000</v>
          </cell>
          <cell r="Z33">
            <v>0.4</v>
          </cell>
          <cell r="AB33">
            <v>70000000</v>
          </cell>
          <cell r="AD33">
            <v>0.4</v>
          </cell>
          <cell r="AF33">
            <v>0</v>
          </cell>
          <cell r="AG33">
            <v>0</v>
          </cell>
          <cell r="AH33">
            <v>0</v>
          </cell>
          <cell r="AI33">
            <v>0</v>
          </cell>
          <cell r="AJ33">
            <v>0</v>
          </cell>
          <cell r="AK33">
            <v>0</v>
          </cell>
          <cell r="AL33">
            <v>0</v>
          </cell>
          <cell r="AM33">
            <v>0</v>
          </cell>
          <cell r="AO33">
            <v>0</v>
          </cell>
          <cell r="AP33">
            <v>0</v>
          </cell>
          <cell r="AQ33">
            <v>0</v>
          </cell>
          <cell r="AR33">
            <v>0</v>
          </cell>
          <cell r="AS33">
            <v>0</v>
          </cell>
          <cell r="AT33">
            <v>0</v>
          </cell>
          <cell r="AU33">
            <v>0</v>
          </cell>
          <cell r="AV33">
            <v>0</v>
          </cell>
          <cell r="AX33">
            <v>0</v>
          </cell>
          <cell r="AY33">
            <v>0</v>
          </cell>
          <cell r="AZ33">
            <v>0</v>
          </cell>
          <cell r="BA33">
            <v>0</v>
          </cell>
          <cell r="BB33">
            <v>0</v>
          </cell>
          <cell r="BC33">
            <v>4.1857142857142857E-2</v>
          </cell>
          <cell r="BD33">
            <v>4.1857142857142857E-2</v>
          </cell>
          <cell r="BE33">
            <v>4.1857142857142857E-2</v>
          </cell>
          <cell r="BG33">
            <v>0</v>
          </cell>
          <cell r="BH33">
            <v>0</v>
          </cell>
          <cell r="BI33">
            <v>0</v>
          </cell>
          <cell r="BJ33">
            <v>0</v>
          </cell>
          <cell r="BK33">
            <v>0</v>
          </cell>
          <cell r="BL33">
            <v>0</v>
          </cell>
          <cell r="BM33">
            <v>0</v>
          </cell>
          <cell r="BN33">
            <v>0</v>
          </cell>
          <cell r="BP33">
            <v>0</v>
          </cell>
          <cell r="BQ33">
            <v>0</v>
          </cell>
          <cell r="BR33">
            <v>0</v>
          </cell>
          <cell r="BS33">
            <v>0</v>
          </cell>
          <cell r="BT33">
            <v>0</v>
          </cell>
          <cell r="BU33">
            <v>9255555.555555556</v>
          </cell>
          <cell r="BV33">
            <v>28000000</v>
          </cell>
          <cell r="BW33">
            <v>28000000</v>
          </cell>
          <cell r="BY33">
            <v>0</v>
          </cell>
          <cell r="BZ33">
            <v>0</v>
          </cell>
          <cell r="CA33">
            <v>0</v>
          </cell>
          <cell r="CB33">
            <v>0</v>
          </cell>
          <cell r="CC33">
            <v>0</v>
          </cell>
          <cell r="CD33">
            <v>0</v>
          </cell>
          <cell r="CE33">
            <v>0</v>
          </cell>
          <cell r="CF33">
            <v>0</v>
          </cell>
          <cell r="CH33">
            <v>0</v>
          </cell>
          <cell r="CI33">
            <v>0</v>
          </cell>
          <cell r="CJ33">
            <v>0</v>
          </cell>
          <cell r="CK33">
            <v>0</v>
          </cell>
          <cell r="CL33">
            <v>0</v>
          </cell>
          <cell r="CM33">
            <v>387411.11111111112</v>
          </cell>
          <cell r="CN33">
            <v>1172000</v>
          </cell>
          <cell r="CO33">
            <v>1172000</v>
          </cell>
          <cell r="CQ33">
            <v>0</v>
          </cell>
          <cell r="CR33">
            <v>0</v>
          </cell>
          <cell r="CS33">
            <v>0</v>
          </cell>
          <cell r="CT33">
            <v>0</v>
          </cell>
          <cell r="CU33">
            <v>0</v>
          </cell>
          <cell r="CV33">
            <v>-387411.11111111112</v>
          </cell>
          <cell r="CW33">
            <v>-1172000</v>
          </cell>
          <cell r="CX33">
            <v>-1172000</v>
          </cell>
          <cell r="CZ33">
            <v>0</v>
          </cell>
          <cell r="DA33">
            <v>0</v>
          </cell>
          <cell r="DB33">
            <v>0</v>
          </cell>
          <cell r="DC33">
            <v>0</v>
          </cell>
          <cell r="DD33">
            <v>0</v>
          </cell>
          <cell r="DE33">
            <v>0</v>
          </cell>
          <cell r="DF33">
            <v>0</v>
          </cell>
          <cell r="DG33">
            <v>0</v>
          </cell>
          <cell r="DI33">
            <v>0</v>
          </cell>
          <cell r="DJ33">
            <v>0</v>
          </cell>
          <cell r="DK33">
            <v>0</v>
          </cell>
          <cell r="DL33">
            <v>0</v>
          </cell>
          <cell r="DM33">
            <v>0</v>
          </cell>
          <cell r="DN33">
            <v>0</v>
          </cell>
          <cell r="DO33">
            <v>0</v>
          </cell>
          <cell r="DP33">
            <v>0</v>
          </cell>
          <cell r="DR33" t="str">
            <v>ICP - Identified - Recompete</v>
          </cell>
          <cell r="DS33" t="str">
            <v>ICP - Identified - Recompete - NE</v>
          </cell>
          <cell r="DX33">
            <v>0</v>
          </cell>
          <cell r="DY33">
            <v>4.1857142857142857E-2</v>
          </cell>
          <cell r="DZ33">
            <v>4.1857142857142857E-2</v>
          </cell>
          <cell r="EA33">
            <v>4.1857142857142857E-2</v>
          </cell>
          <cell r="ED33">
            <v>0</v>
          </cell>
          <cell r="EE33">
            <v>0</v>
          </cell>
          <cell r="EF33">
            <v>0</v>
          </cell>
          <cell r="EG33">
            <v>0</v>
          </cell>
          <cell r="EH33">
            <v>0</v>
          </cell>
          <cell r="EI33">
            <v>0</v>
          </cell>
          <cell r="EJ33">
            <v>0</v>
          </cell>
          <cell r="EK33">
            <v>0</v>
          </cell>
        </row>
        <row r="34">
          <cell r="C34" t="str">
            <v>LANL</v>
          </cell>
          <cell r="D34" t="str">
            <v>LANL Total</v>
          </cell>
          <cell r="E34" t="str">
            <v>Base</v>
          </cell>
          <cell r="F34" t="str">
            <v>Minority</v>
          </cell>
          <cell r="G34">
            <v>0</v>
          </cell>
          <cell r="H34" t="str">
            <v>NE</v>
          </cell>
          <cell r="I34" t="str">
            <v>NE HLW &amp; NNSA Operations</v>
          </cell>
          <cell r="J34" t="str">
            <v>DOE-NNSA</v>
          </cell>
          <cell r="K34" t="str">
            <v>CPAF</v>
          </cell>
          <cell r="L34">
            <v>38869</v>
          </cell>
          <cell r="M34">
            <v>43404</v>
          </cell>
          <cell r="N34">
            <v>0</v>
          </cell>
          <cell r="O34">
            <v>0</v>
          </cell>
          <cell r="P34">
            <v>0</v>
          </cell>
          <cell r="Q34">
            <v>0</v>
          </cell>
          <cell r="R34">
            <v>0</v>
          </cell>
          <cell r="S34">
            <v>0</v>
          </cell>
          <cell r="T34">
            <v>0</v>
          </cell>
          <cell r="U34">
            <v>0</v>
          </cell>
          <cell r="V34" t="str">
            <v>05 Won</v>
          </cell>
          <cell r="W34" t="str">
            <v>Active</v>
          </cell>
          <cell r="X34">
            <v>0</v>
          </cell>
          <cell r="Y34">
            <v>0</v>
          </cell>
          <cell r="Z34">
            <v>0</v>
          </cell>
          <cell r="AB34">
            <v>0</v>
          </cell>
          <cell r="AD34">
            <v>0.12</v>
          </cell>
          <cell r="AF34">
            <v>0</v>
          </cell>
          <cell r="AG34">
            <v>0</v>
          </cell>
          <cell r="AH34">
            <v>0</v>
          </cell>
          <cell r="AI34">
            <v>0</v>
          </cell>
          <cell r="AJ34">
            <v>0</v>
          </cell>
          <cell r="AK34">
            <v>0</v>
          </cell>
          <cell r="AL34">
            <v>0</v>
          </cell>
          <cell r="AM34">
            <v>0</v>
          </cell>
          <cell r="AO34">
            <v>0</v>
          </cell>
          <cell r="AP34">
            <v>0</v>
          </cell>
          <cell r="AQ34">
            <v>0</v>
          </cell>
          <cell r="AR34">
            <v>0</v>
          </cell>
          <cell r="AS34">
            <v>0</v>
          </cell>
          <cell r="AT34">
            <v>0</v>
          </cell>
          <cell r="AU34">
            <v>0</v>
          </cell>
          <cell r="AV34">
            <v>0</v>
          </cell>
          <cell r="AX34">
            <v>1.903579533382881E-2</v>
          </cell>
          <cell r="AY34">
            <v>2.2896910152544029E-2</v>
          </cell>
          <cell r="AZ34">
            <v>1.7861409224709444E-2</v>
          </cell>
          <cell r="BA34">
            <v>7.2990094367273259E-2</v>
          </cell>
          <cell r="BB34">
            <v>2.6200000000000001E-2</v>
          </cell>
          <cell r="BC34">
            <v>2.6200000000000001E-2</v>
          </cell>
          <cell r="BD34">
            <v>2.6200000000000001E-2</v>
          </cell>
          <cell r="BE34">
            <v>2.6200000000000001E-2</v>
          </cell>
          <cell r="BG34">
            <v>367540.63</v>
          </cell>
          <cell r="BH34">
            <v>803695.26</v>
          </cell>
          <cell r="BI34">
            <v>71704.34</v>
          </cell>
          <cell r="BJ34">
            <v>0</v>
          </cell>
          <cell r="BK34">
            <v>0</v>
          </cell>
          <cell r="BL34">
            <v>0</v>
          </cell>
          <cell r="BM34">
            <v>0</v>
          </cell>
          <cell r="BN34">
            <v>0</v>
          </cell>
          <cell r="BP34">
            <v>292131322.19999999</v>
          </cell>
          <cell r="BQ34">
            <v>293004586.44</v>
          </cell>
          <cell r="BR34">
            <v>304949781.47999996</v>
          </cell>
          <cell r="BS34">
            <v>29243595.84</v>
          </cell>
          <cell r="BT34">
            <v>0</v>
          </cell>
          <cell r="BU34">
            <v>0</v>
          </cell>
          <cell r="BV34">
            <v>0</v>
          </cell>
          <cell r="BW34">
            <v>0</v>
          </cell>
          <cell r="BY34">
            <v>-503627.45000000007</v>
          </cell>
          <cell r="BZ34">
            <v>-202224.01000000004</v>
          </cell>
          <cell r="CA34">
            <v>-2074791.0899999999</v>
          </cell>
          <cell r="CB34">
            <v>1541415.67</v>
          </cell>
          <cell r="CC34">
            <v>0</v>
          </cell>
          <cell r="CD34">
            <v>0</v>
          </cell>
          <cell r="CE34">
            <v>0</v>
          </cell>
          <cell r="CF34">
            <v>0</v>
          </cell>
          <cell r="CH34">
            <v>5560952.0600000005</v>
          </cell>
          <cell r="CI34">
            <v>6708899.6900000004</v>
          </cell>
          <cell r="CJ34">
            <v>5446832.8399999999</v>
          </cell>
          <cell r="CK34">
            <v>2134492.8199999998</v>
          </cell>
          <cell r="CL34">
            <v>0</v>
          </cell>
          <cell r="CM34">
            <v>0</v>
          </cell>
          <cell r="CN34">
            <v>0</v>
          </cell>
          <cell r="CO34">
            <v>0</v>
          </cell>
          <cell r="CQ34">
            <v>-6222409.0199999996</v>
          </cell>
          <cell r="CR34">
            <v>-7369904.2300000004</v>
          </cell>
          <cell r="CS34">
            <v>-7641427.5499999998</v>
          </cell>
          <cell r="CT34">
            <v>-595622</v>
          </cell>
          <cell r="CU34">
            <v>0</v>
          </cell>
          <cell r="CV34">
            <v>0</v>
          </cell>
          <cell r="CW34">
            <v>0</v>
          </cell>
          <cell r="CX34">
            <v>0</v>
          </cell>
          <cell r="CZ34">
            <v>0</v>
          </cell>
          <cell r="DA34">
            <v>0</v>
          </cell>
          <cell r="DB34">
            <v>0</v>
          </cell>
          <cell r="DC34">
            <v>0</v>
          </cell>
          <cell r="DD34">
            <v>0</v>
          </cell>
          <cell r="DE34">
            <v>0</v>
          </cell>
          <cell r="DF34">
            <v>0</v>
          </cell>
          <cell r="DG34">
            <v>0</v>
          </cell>
          <cell r="DI34">
            <v>0</v>
          </cell>
          <cell r="DJ34">
            <v>0</v>
          </cell>
          <cell r="DK34">
            <v>0</v>
          </cell>
          <cell r="DL34">
            <v>0</v>
          </cell>
          <cell r="DM34">
            <v>0</v>
          </cell>
          <cell r="DN34">
            <v>0</v>
          </cell>
          <cell r="DO34">
            <v>0</v>
          </cell>
          <cell r="DP34">
            <v>0</v>
          </cell>
          <cell r="DR34" t="str">
            <v>LANL - Base</v>
          </cell>
          <cell r="DS34" t="str">
            <v>LANL - Base - NE</v>
          </cell>
          <cell r="DX34">
            <v>2.6200000000000001E-2</v>
          </cell>
          <cell r="DY34">
            <v>2.6200000000000001E-2</v>
          </cell>
          <cell r="DZ34">
            <v>2.6200000000000001E-2</v>
          </cell>
          <cell r="EA34">
            <v>2.6200000000000001E-2</v>
          </cell>
          <cell r="ED34">
            <v>0</v>
          </cell>
          <cell r="EE34">
            <v>0</v>
          </cell>
          <cell r="EF34">
            <v>0</v>
          </cell>
          <cell r="EG34">
            <v>0</v>
          </cell>
          <cell r="EH34">
            <v>0</v>
          </cell>
          <cell r="EI34">
            <v>0</v>
          </cell>
          <cell r="EJ34">
            <v>0</v>
          </cell>
          <cell r="EK34">
            <v>0</v>
          </cell>
        </row>
        <row r="35">
          <cell r="C35" t="str">
            <v>DNRYTOT</v>
          </cell>
          <cell r="D35" t="str">
            <v>Dounreay Total</v>
          </cell>
          <cell r="E35" t="str">
            <v>Base</v>
          </cell>
          <cell r="F35" t="str">
            <v>Minority</v>
          </cell>
          <cell r="G35">
            <v>0</v>
          </cell>
          <cell r="H35" t="str">
            <v>NE</v>
          </cell>
          <cell r="I35" t="str">
            <v>NE International Programs</v>
          </cell>
          <cell r="J35" t="str">
            <v>UK-NDA</v>
          </cell>
          <cell r="K35" t="str">
            <v>CPFF</v>
          </cell>
          <cell r="L35">
            <v>41011</v>
          </cell>
          <cell r="M35">
            <v>48219</v>
          </cell>
          <cell r="N35">
            <v>0</v>
          </cell>
          <cell r="O35">
            <v>0</v>
          </cell>
          <cell r="P35">
            <v>0</v>
          </cell>
          <cell r="Q35">
            <v>0</v>
          </cell>
          <cell r="R35">
            <v>299454808.01812398</v>
          </cell>
          <cell r="S35">
            <v>0</v>
          </cell>
          <cell r="T35">
            <v>0</v>
          </cell>
          <cell r="U35">
            <v>299454808.01812398</v>
          </cell>
          <cell r="V35" t="str">
            <v>05 Won</v>
          </cell>
          <cell r="W35" t="str">
            <v>Active</v>
          </cell>
          <cell r="X35">
            <v>0</v>
          </cell>
          <cell r="Y35">
            <v>0</v>
          </cell>
          <cell r="Z35">
            <v>0</v>
          </cell>
          <cell r="AB35">
            <v>61541999.646171212</v>
          </cell>
          <cell r="AD35">
            <v>0.2</v>
          </cell>
          <cell r="AF35">
            <v>0</v>
          </cell>
          <cell r="AG35">
            <v>0</v>
          </cell>
          <cell r="AH35">
            <v>0</v>
          </cell>
          <cell r="AI35">
            <v>0</v>
          </cell>
          <cell r="AJ35">
            <v>0</v>
          </cell>
          <cell r="AK35">
            <v>0</v>
          </cell>
          <cell r="AL35">
            <v>0</v>
          </cell>
          <cell r="AM35">
            <v>0</v>
          </cell>
          <cell r="AO35">
            <v>0</v>
          </cell>
          <cell r="AP35">
            <v>0</v>
          </cell>
          <cell r="AQ35">
            <v>0</v>
          </cell>
          <cell r="AR35">
            <v>0</v>
          </cell>
          <cell r="AS35">
            <v>0</v>
          </cell>
          <cell r="AT35">
            <v>0</v>
          </cell>
          <cell r="AU35">
            <v>0</v>
          </cell>
          <cell r="AV35">
            <v>0</v>
          </cell>
          <cell r="AX35">
            <v>5.7379883660283043E-2</v>
          </cell>
          <cell r="AY35">
            <v>3.1503561843499457E-2</v>
          </cell>
          <cell r="AZ35">
            <v>4.8448937562774685E-2</v>
          </cell>
          <cell r="BA35">
            <v>4.6825518391128487E-3</v>
          </cell>
          <cell r="BB35">
            <v>0.03</v>
          </cell>
          <cell r="BC35">
            <v>0.03</v>
          </cell>
          <cell r="BD35">
            <v>0.03</v>
          </cell>
          <cell r="BE35">
            <v>0.03</v>
          </cell>
          <cell r="BG35">
            <v>5087048.1899999995</v>
          </cell>
          <cell r="BH35">
            <v>3694701.5599999996</v>
          </cell>
          <cell r="BI35">
            <v>2758826.01</v>
          </cell>
          <cell r="BJ35">
            <v>1616858.2506393902</v>
          </cell>
          <cell r="BK35">
            <v>839065</v>
          </cell>
          <cell r="BL35">
            <v>0</v>
          </cell>
          <cell r="BM35">
            <v>0</v>
          </cell>
          <cell r="BN35">
            <v>0</v>
          </cell>
          <cell r="BP35">
            <v>66086777.600000001</v>
          </cell>
          <cell r="BQ35">
            <v>59111546.600000001</v>
          </cell>
          <cell r="BR35">
            <v>57777690.400000006</v>
          </cell>
          <cell r="BS35">
            <v>53234876.879999995</v>
          </cell>
          <cell r="BT35">
            <v>61541999.646171212</v>
          </cell>
          <cell r="BU35">
            <v>61541999.646171212</v>
          </cell>
          <cell r="BV35">
            <v>61541999.646171212</v>
          </cell>
          <cell r="BW35">
            <v>61541999.646171212</v>
          </cell>
          <cell r="BY35">
            <v>143859.79999999976</v>
          </cell>
          <cell r="BZ35">
            <v>287831.66000000003</v>
          </cell>
          <cell r="CA35">
            <v>173780.22000000646</v>
          </cell>
          <cell r="CB35">
            <v>402297.06063938997</v>
          </cell>
          <cell r="CC35">
            <v>0</v>
          </cell>
          <cell r="CD35">
            <v>0</v>
          </cell>
          <cell r="CE35">
            <v>0</v>
          </cell>
          <cell r="CF35">
            <v>0</v>
          </cell>
          <cell r="CH35">
            <v>3792051.6101709995</v>
          </cell>
          <cell r="CI35">
            <v>1862224.263978</v>
          </cell>
          <cell r="CJ35">
            <v>2799267.7147109266</v>
          </cell>
          <cell r="CK35">
            <v>249275.07063939003</v>
          </cell>
          <cell r="CL35">
            <v>1696259.9893851364</v>
          </cell>
          <cell r="CM35">
            <v>1696259.9893851364</v>
          </cell>
          <cell r="CN35">
            <v>1696259.9893851364</v>
          </cell>
          <cell r="CO35">
            <v>1696259.9893851364</v>
          </cell>
          <cell r="CQ35">
            <v>-3779186.3101709997</v>
          </cell>
          <cell r="CR35">
            <v>-1640935.3239779999</v>
          </cell>
          <cell r="CS35">
            <v>-2630131.6447109198</v>
          </cell>
          <cell r="CT35">
            <v>-533340.81999999983</v>
          </cell>
          <cell r="CU35">
            <v>-1696259.9893851364</v>
          </cell>
          <cell r="CV35">
            <v>-1696259.9893851364</v>
          </cell>
          <cell r="CW35">
            <v>-1696259.9893851364</v>
          </cell>
          <cell r="CX35">
            <v>-1696259.9893851364</v>
          </cell>
          <cell r="CZ35">
            <v>0</v>
          </cell>
          <cell r="DA35">
            <v>0</v>
          </cell>
          <cell r="DB35">
            <v>0</v>
          </cell>
          <cell r="DC35">
            <v>0</v>
          </cell>
          <cell r="DD35">
            <v>0</v>
          </cell>
          <cell r="DE35">
            <v>0</v>
          </cell>
          <cell r="DF35">
            <v>0</v>
          </cell>
          <cell r="DG35">
            <v>0</v>
          </cell>
          <cell r="DI35">
            <v>0</v>
          </cell>
          <cell r="DJ35">
            <v>0</v>
          </cell>
          <cell r="DK35">
            <v>0</v>
          </cell>
          <cell r="DL35">
            <v>0</v>
          </cell>
          <cell r="DM35">
            <v>0</v>
          </cell>
          <cell r="DN35">
            <v>0</v>
          </cell>
          <cell r="DO35">
            <v>0</v>
          </cell>
          <cell r="DP35">
            <v>0</v>
          </cell>
          <cell r="DR35" t="str">
            <v>DNRYTOT - Base</v>
          </cell>
          <cell r="DS35" t="str">
            <v>DNRYTOT - Base - NE</v>
          </cell>
          <cell r="DX35">
            <v>0.03</v>
          </cell>
          <cell r="DY35">
            <v>0.03</v>
          </cell>
          <cell r="DZ35">
            <v>0.03</v>
          </cell>
          <cell r="EA35">
            <v>0.03</v>
          </cell>
          <cell r="ED35">
            <v>0</v>
          </cell>
          <cell r="EE35">
            <v>0</v>
          </cell>
          <cell r="EF35">
            <v>0</v>
          </cell>
          <cell r="EG35">
            <v>0</v>
          </cell>
          <cell r="EH35">
            <v>0</v>
          </cell>
          <cell r="EI35">
            <v>0</v>
          </cell>
          <cell r="EJ35">
            <v>0</v>
          </cell>
          <cell r="EK35">
            <v>0</v>
          </cell>
        </row>
        <row r="36">
          <cell r="C36" t="str">
            <v>SORTSG</v>
          </cell>
          <cell r="D36" t="str">
            <v>Sort Seg Canada</v>
          </cell>
          <cell r="E36" t="str">
            <v>Base</v>
          </cell>
          <cell r="F36" t="str">
            <v>Minority</v>
          </cell>
          <cell r="G36">
            <v>0</v>
          </cell>
          <cell r="H36" t="str">
            <v>NE</v>
          </cell>
          <cell r="I36" t="str">
            <v>NE DD and WM Projects</v>
          </cell>
          <cell r="J36" t="str">
            <v>Other Foreign Gov't</v>
          </cell>
          <cell r="K36" t="str">
            <v>FFP</v>
          </cell>
          <cell r="L36">
            <v>43481</v>
          </cell>
          <cell r="M36">
            <v>44196</v>
          </cell>
          <cell r="N36">
            <v>0</v>
          </cell>
          <cell r="O36">
            <v>0</v>
          </cell>
          <cell r="P36">
            <v>0</v>
          </cell>
          <cell r="Q36">
            <v>0</v>
          </cell>
          <cell r="R36">
            <v>1000000</v>
          </cell>
          <cell r="S36">
            <v>0</v>
          </cell>
          <cell r="T36">
            <v>6000000</v>
          </cell>
          <cell r="U36">
            <v>7000000</v>
          </cell>
          <cell r="V36" t="str">
            <v>05 Won</v>
          </cell>
          <cell r="W36" t="str">
            <v>Active</v>
          </cell>
          <cell r="X36">
            <v>0</v>
          </cell>
          <cell r="Y36">
            <v>0</v>
          </cell>
          <cell r="Z36">
            <v>0</v>
          </cell>
          <cell r="AB36">
            <v>6554588.666666667</v>
          </cell>
          <cell r="AD36">
            <v>0.5</v>
          </cell>
          <cell r="AF36">
            <v>0</v>
          </cell>
          <cell r="AG36">
            <v>0</v>
          </cell>
          <cell r="AH36">
            <v>0</v>
          </cell>
          <cell r="AI36">
            <v>0</v>
          </cell>
          <cell r="AJ36">
            <v>0</v>
          </cell>
          <cell r="AK36">
            <v>0</v>
          </cell>
          <cell r="AL36">
            <v>0</v>
          </cell>
          <cell r="AM36">
            <v>0</v>
          </cell>
          <cell r="AO36">
            <v>0</v>
          </cell>
          <cell r="AP36">
            <v>0</v>
          </cell>
          <cell r="AQ36">
            <v>0</v>
          </cell>
          <cell r="AR36">
            <v>0</v>
          </cell>
          <cell r="AS36">
            <v>0</v>
          </cell>
          <cell r="AT36">
            <v>0</v>
          </cell>
          <cell r="AU36">
            <v>0</v>
          </cell>
          <cell r="AV36">
            <v>0</v>
          </cell>
          <cell r="AX36">
            <v>0</v>
          </cell>
          <cell r="AY36">
            <v>0</v>
          </cell>
          <cell r="AZ36">
            <v>0</v>
          </cell>
          <cell r="BA36">
            <v>8.9999999999999983E-2</v>
          </cell>
          <cell r="BB36">
            <v>0.09</v>
          </cell>
          <cell r="BC36">
            <v>0.09</v>
          </cell>
          <cell r="BD36">
            <v>0.09</v>
          </cell>
          <cell r="BE36">
            <v>0.09</v>
          </cell>
          <cell r="BG36">
            <v>0</v>
          </cell>
          <cell r="BH36">
            <v>0</v>
          </cell>
          <cell r="BI36">
            <v>0</v>
          </cell>
          <cell r="BJ36">
            <v>0</v>
          </cell>
          <cell r="BK36">
            <v>0</v>
          </cell>
          <cell r="BL36">
            <v>0</v>
          </cell>
          <cell r="BM36">
            <v>0</v>
          </cell>
          <cell r="BN36">
            <v>0</v>
          </cell>
          <cell r="BP36">
            <v>0</v>
          </cell>
          <cell r="BQ36">
            <v>0</v>
          </cell>
          <cell r="BR36">
            <v>0</v>
          </cell>
          <cell r="BS36">
            <v>555555.55555555562</v>
          </cell>
          <cell r="BT36">
            <v>6554588.666666667</v>
          </cell>
          <cell r="BU36">
            <v>1638647.1666666667</v>
          </cell>
          <cell r="BV36">
            <v>0</v>
          </cell>
          <cell r="BW36">
            <v>0</v>
          </cell>
          <cell r="BY36">
            <v>0</v>
          </cell>
          <cell r="BZ36">
            <v>0</v>
          </cell>
          <cell r="CA36">
            <v>0</v>
          </cell>
          <cell r="CB36">
            <v>0</v>
          </cell>
          <cell r="CC36">
            <v>0</v>
          </cell>
          <cell r="CD36">
            <v>0</v>
          </cell>
          <cell r="CE36">
            <v>0</v>
          </cell>
          <cell r="CF36">
            <v>0</v>
          </cell>
          <cell r="CH36">
            <v>0</v>
          </cell>
          <cell r="CI36">
            <v>0</v>
          </cell>
          <cell r="CJ36">
            <v>0</v>
          </cell>
          <cell r="CK36">
            <v>50000</v>
          </cell>
          <cell r="CL36">
            <v>589912.98</v>
          </cell>
          <cell r="CM36">
            <v>147478.245</v>
          </cell>
          <cell r="CN36">
            <v>0</v>
          </cell>
          <cell r="CO36">
            <v>0</v>
          </cell>
          <cell r="CQ36">
            <v>0</v>
          </cell>
          <cell r="CR36">
            <v>0</v>
          </cell>
          <cell r="CS36">
            <v>0</v>
          </cell>
          <cell r="CT36">
            <v>-50000</v>
          </cell>
          <cell r="CU36">
            <v>-589912.98</v>
          </cell>
          <cell r="CV36">
            <v>-147478.245</v>
          </cell>
          <cell r="CW36">
            <v>0</v>
          </cell>
          <cell r="CX36">
            <v>0</v>
          </cell>
          <cell r="CZ36">
            <v>0</v>
          </cell>
          <cell r="DA36">
            <v>0</v>
          </cell>
          <cell r="DB36">
            <v>0</v>
          </cell>
          <cell r="DC36">
            <v>0</v>
          </cell>
          <cell r="DD36">
            <v>0</v>
          </cell>
          <cell r="DE36">
            <v>0</v>
          </cell>
          <cell r="DF36">
            <v>0</v>
          </cell>
          <cell r="DG36">
            <v>0</v>
          </cell>
          <cell r="DI36">
            <v>0</v>
          </cell>
          <cell r="DJ36">
            <v>0</v>
          </cell>
          <cell r="DK36">
            <v>0</v>
          </cell>
          <cell r="DL36">
            <v>0</v>
          </cell>
          <cell r="DM36">
            <v>0</v>
          </cell>
          <cell r="DN36">
            <v>0</v>
          </cell>
          <cell r="DO36">
            <v>0</v>
          </cell>
          <cell r="DP36">
            <v>0</v>
          </cell>
          <cell r="DR36" t="str">
            <v>SORTSG - Base</v>
          </cell>
          <cell r="DS36" t="str">
            <v>SORTSG - Base - NE</v>
          </cell>
          <cell r="DX36">
            <v>0.09</v>
          </cell>
          <cell r="DY36">
            <v>0.09</v>
          </cell>
          <cell r="DZ36">
            <v>0.09</v>
          </cell>
          <cell r="EA36">
            <v>0.09</v>
          </cell>
          <cell r="ED36">
            <v>0</v>
          </cell>
          <cell r="EE36">
            <v>0</v>
          </cell>
          <cell r="EF36">
            <v>0</v>
          </cell>
          <cell r="EG36">
            <v>0</v>
          </cell>
          <cell r="EH36">
            <v>0</v>
          </cell>
          <cell r="EI36">
            <v>0</v>
          </cell>
          <cell r="EJ36">
            <v>0</v>
          </cell>
          <cell r="EK36">
            <v>0</v>
          </cell>
        </row>
        <row r="37">
          <cell r="DX37">
            <v>0</v>
          </cell>
          <cell r="DY37">
            <v>0</v>
          </cell>
          <cell r="DZ37">
            <v>0</v>
          </cell>
          <cell r="EA37">
            <v>0</v>
          </cell>
        </row>
        <row r="38">
          <cell r="C38" t="str">
            <v>New Business</v>
          </cell>
          <cell r="DX38">
            <v>0</v>
          </cell>
          <cell r="DY38">
            <v>0</v>
          </cell>
          <cell r="DZ38">
            <v>0</v>
          </cell>
          <cell r="EA38">
            <v>0</v>
          </cell>
        </row>
        <row r="39">
          <cell r="DX39">
            <v>0</v>
          </cell>
          <cell r="DY39">
            <v>0</v>
          </cell>
          <cell r="DZ39">
            <v>0</v>
          </cell>
          <cell r="EA39">
            <v>0</v>
          </cell>
        </row>
        <row r="40">
          <cell r="C40" t="str">
            <v>OPP-775052</v>
          </cell>
          <cell r="D40" t="str">
            <v>West Valley Demonstration Project Phase 1B</v>
          </cell>
          <cell r="E40" t="str">
            <v>Identified - New</v>
          </cell>
          <cell r="F40" t="str">
            <v>Majority</v>
          </cell>
          <cell r="G40">
            <v>1</v>
          </cell>
          <cell r="H40" t="str">
            <v>NE</v>
          </cell>
          <cell r="I40" t="str">
            <v>NE DD and WM Projects</v>
          </cell>
          <cell r="J40" t="str">
            <v>DOE-EM</v>
          </cell>
          <cell r="K40" t="str">
            <v>Cost Plus</v>
          </cell>
          <cell r="L40">
            <v>44265</v>
          </cell>
          <cell r="M40">
            <v>47917</v>
          </cell>
          <cell r="N40">
            <v>0</v>
          </cell>
          <cell r="O40">
            <v>0</v>
          </cell>
          <cell r="P40">
            <v>0</v>
          </cell>
          <cell r="Q40">
            <v>0</v>
          </cell>
          <cell r="R40">
            <v>0</v>
          </cell>
          <cell r="S40">
            <v>0</v>
          </cell>
          <cell r="T40">
            <v>0</v>
          </cell>
          <cell r="U40">
            <v>0</v>
          </cell>
          <cell r="V40" t="str">
            <v>02 Capture</v>
          </cell>
          <cell r="W40" t="str">
            <v>Priority 1</v>
          </cell>
          <cell r="X40">
            <v>542000000</v>
          </cell>
          <cell r="Y40">
            <v>271000000</v>
          </cell>
          <cell r="Z40">
            <v>0.4</v>
          </cell>
          <cell r="AB40">
            <v>54200000</v>
          </cell>
          <cell r="AD40">
            <v>0.5</v>
          </cell>
          <cell r="AF40">
            <v>0</v>
          </cell>
          <cell r="AG40">
            <v>0</v>
          </cell>
          <cell r="AH40">
            <v>0</v>
          </cell>
          <cell r="AI40">
            <v>4.1000000000000002E-2</v>
          </cell>
          <cell r="AJ40">
            <v>4.1000000000000002E-2</v>
          </cell>
          <cell r="AK40">
            <v>4.1000000000000002E-2</v>
          </cell>
          <cell r="AL40">
            <v>4.1000000000000002E-2</v>
          </cell>
          <cell r="AM40">
            <v>4.1000000000000002E-2</v>
          </cell>
          <cell r="AO40">
            <v>0</v>
          </cell>
          <cell r="AP40">
            <v>0</v>
          </cell>
          <cell r="AQ40">
            <v>0</v>
          </cell>
          <cell r="AR40">
            <v>2.0500000000000001E-2</v>
          </cell>
          <cell r="AS40">
            <v>2.0500000000000001E-2</v>
          </cell>
          <cell r="AT40">
            <v>2.0500000000000001E-2</v>
          </cell>
          <cell r="AU40">
            <v>2.0500000000000001E-2</v>
          </cell>
          <cell r="AV40">
            <v>2.0500000000000001E-2</v>
          </cell>
          <cell r="AX40">
            <v>0</v>
          </cell>
          <cell r="AY40">
            <v>0</v>
          </cell>
          <cell r="AZ40">
            <v>0</v>
          </cell>
          <cell r="BA40">
            <v>0</v>
          </cell>
          <cell r="BB40">
            <v>0</v>
          </cell>
          <cell r="BC40">
            <v>0</v>
          </cell>
          <cell r="BD40">
            <v>0</v>
          </cell>
          <cell r="BE40">
            <v>0</v>
          </cell>
          <cell r="BG40">
            <v>0</v>
          </cell>
          <cell r="BH40">
            <v>0</v>
          </cell>
          <cell r="BI40">
            <v>0</v>
          </cell>
          <cell r="BJ40">
            <v>0</v>
          </cell>
          <cell r="BK40">
            <v>0</v>
          </cell>
          <cell r="BL40">
            <v>12044444.444444446</v>
          </cell>
          <cell r="BM40">
            <v>21680000</v>
          </cell>
          <cell r="BN40">
            <v>21680000</v>
          </cell>
          <cell r="BP40">
            <v>0</v>
          </cell>
          <cell r="BQ40">
            <v>0</v>
          </cell>
          <cell r="BR40">
            <v>0</v>
          </cell>
          <cell r="BS40">
            <v>0</v>
          </cell>
          <cell r="BT40">
            <v>0</v>
          </cell>
          <cell r="BU40">
            <v>0</v>
          </cell>
          <cell r="BV40">
            <v>0</v>
          </cell>
          <cell r="BW40">
            <v>0</v>
          </cell>
          <cell r="BY40">
            <v>0</v>
          </cell>
          <cell r="BZ40">
            <v>0</v>
          </cell>
          <cell r="CA40">
            <v>0</v>
          </cell>
          <cell r="CB40">
            <v>0</v>
          </cell>
          <cell r="CC40">
            <v>0</v>
          </cell>
          <cell r="CD40">
            <v>493822.22222222231</v>
          </cell>
          <cell r="CE40">
            <v>888880</v>
          </cell>
          <cell r="CF40">
            <v>888880</v>
          </cell>
          <cell r="CH40">
            <v>0</v>
          </cell>
          <cell r="CI40">
            <v>0</v>
          </cell>
          <cell r="CJ40">
            <v>0</v>
          </cell>
          <cell r="CK40">
            <v>0</v>
          </cell>
          <cell r="CL40">
            <v>0</v>
          </cell>
          <cell r="CM40">
            <v>246911.11111111115</v>
          </cell>
          <cell r="CN40">
            <v>444440</v>
          </cell>
          <cell r="CO40">
            <v>444440</v>
          </cell>
          <cell r="CQ40">
            <v>0</v>
          </cell>
          <cell r="CR40">
            <v>0</v>
          </cell>
          <cell r="CS40">
            <v>0</v>
          </cell>
          <cell r="CT40">
            <v>0</v>
          </cell>
          <cell r="CU40">
            <v>0</v>
          </cell>
          <cell r="CV40">
            <v>0</v>
          </cell>
          <cell r="CW40">
            <v>0</v>
          </cell>
          <cell r="CX40">
            <v>0</v>
          </cell>
          <cell r="CZ40">
            <v>0</v>
          </cell>
          <cell r="DA40">
            <v>0</v>
          </cell>
          <cell r="DB40">
            <v>0</v>
          </cell>
          <cell r="DC40">
            <v>0</v>
          </cell>
          <cell r="DD40">
            <v>0</v>
          </cell>
          <cell r="DE40">
            <v>-246911.11111111115</v>
          </cell>
          <cell r="DF40">
            <v>-444440</v>
          </cell>
          <cell r="DG40">
            <v>-444440</v>
          </cell>
          <cell r="DI40">
            <v>0</v>
          </cell>
          <cell r="DJ40">
            <v>0</v>
          </cell>
          <cell r="DK40">
            <v>0</v>
          </cell>
          <cell r="DL40">
            <v>0</v>
          </cell>
          <cell r="DM40">
            <v>0</v>
          </cell>
          <cell r="DN40">
            <v>-6022222.2222222229</v>
          </cell>
          <cell r="DO40">
            <v>-10840000</v>
          </cell>
          <cell r="DP40">
            <v>-10840000</v>
          </cell>
          <cell r="DR40" t="str">
            <v>OPP-775052 - Identified - New</v>
          </cell>
          <cell r="DS40" t="str">
            <v>OPP-775052 - Identified - New - NE</v>
          </cell>
          <cell r="DX40">
            <v>2.0500000000000001E-2</v>
          </cell>
          <cell r="DY40">
            <v>2.0500000000000001E-2</v>
          </cell>
          <cell r="DZ40">
            <v>2.0500000000000001E-2</v>
          </cell>
          <cell r="EA40">
            <v>2.0500000000000001E-2</v>
          </cell>
          <cell r="ED40">
            <v>0</v>
          </cell>
          <cell r="EE40">
            <v>0</v>
          </cell>
          <cell r="EF40">
            <v>0</v>
          </cell>
          <cell r="EG40">
            <v>0</v>
          </cell>
          <cell r="EH40">
            <v>0</v>
          </cell>
          <cell r="EI40">
            <v>-0.5</v>
          </cell>
          <cell r="EJ40">
            <v>-0.5</v>
          </cell>
          <cell r="EK40">
            <v>-0.5</v>
          </cell>
        </row>
        <row r="41">
          <cell r="C41" t="str">
            <v>OPP-489491</v>
          </cell>
          <cell r="D41" t="str">
            <v>CNL Waste Processing Facility (MS Portion)</v>
          </cell>
          <cell r="E41" t="str">
            <v>Identified - New</v>
          </cell>
          <cell r="F41" t="str">
            <v>Majority</v>
          </cell>
          <cell r="G41">
            <v>0</v>
          </cell>
          <cell r="H41" t="str">
            <v>NE</v>
          </cell>
          <cell r="I41" t="str">
            <v>NE International Programs</v>
          </cell>
          <cell r="J41" t="str">
            <v>Other Foreign Gov't</v>
          </cell>
          <cell r="K41" t="str">
            <v>Other</v>
          </cell>
          <cell r="L41">
            <v>44466</v>
          </cell>
          <cell r="M41">
            <v>46292</v>
          </cell>
          <cell r="N41">
            <v>0</v>
          </cell>
          <cell r="O41">
            <v>0</v>
          </cell>
          <cell r="P41">
            <v>0</v>
          </cell>
          <cell r="Q41">
            <v>0</v>
          </cell>
          <cell r="R41">
            <v>0</v>
          </cell>
          <cell r="S41">
            <v>0</v>
          </cell>
          <cell r="T41">
            <v>0</v>
          </cell>
          <cell r="U41">
            <v>0</v>
          </cell>
          <cell r="V41" t="str">
            <v>00 Investigate</v>
          </cell>
          <cell r="W41" t="str">
            <v>Priority 2</v>
          </cell>
          <cell r="X41">
            <v>120000000</v>
          </cell>
          <cell r="Y41">
            <v>61200000</v>
          </cell>
          <cell r="Z41">
            <v>0.4</v>
          </cell>
          <cell r="AB41">
            <v>12240000</v>
          </cell>
          <cell r="AD41">
            <v>0.51</v>
          </cell>
          <cell r="AF41">
            <v>0</v>
          </cell>
          <cell r="AG41">
            <v>0</v>
          </cell>
          <cell r="AH41">
            <v>0</v>
          </cell>
          <cell r="AI41">
            <v>0</v>
          </cell>
          <cell r="AJ41">
            <v>0</v>
          </cell>
          <cell r="AK41">
            <v>0</v>
          </cell>
          <cell r="AL41">
            <v>0</v>
          </cell>
          <cell r="AM41">
            <v>0</v>
          </cell>
          <cell r="AO41">
            <v>0</v>
          </cell>
          <cell r="AP41">
            <v>0</v>
          </cell>
          <cell r="AQ41">
            <v>0</v>
          </cell>
          <cell r="AR41">
            <v>0</v>
          </cell>
          <cell r="AS41">
            <v>0</v>
          </cell>
          <cell r="AT41">
            <v>0</v>
          </cell>
          <cell r="AU41">
            <v>0</v>
          </cell>
          <cell r="AV41">
            <v>0</v>
          </cell>
          <cell r="AX41">
            <v>0</v>
          </cell>
          <cell r="AY41">
            <v>0</v>
          </cell>
          <cell r="AZ41">
            <v>0</v>
          </cell>
          <cell r="BA41">
            <v>4.1000000000000002E-2</v>
          </cell>
          <cell r="BB41">
            <v>4.1000000000000002E-2</v>
          </cell>
          <cell r="BC41">
            <v>4.1000000000000002E-2</v>
          </cell>
          <cell r="BD41">
            <v>4.1000000000000002E-2</v>
          </cell>
          <cell r="BE41">
            <v>4.1000000000000002E-2</v>
          </cell>
          <cell r="BG41">
            <v>0</v>
          </cell>
          <cell r="BH41">
            <v>0</v>
          </cell>
          <cell r="BI41">
            <v>0</v>
          </cell>
          <cell r="BJ41">
            <v>0</v>
          </cell>
          <cell r="BK41">
            <v>0</v>
          </cell>
          <cell r="BL41">
            <v>0</v>
          </cell>
          <cell r="BM41">
            <v>0</v>
          </cell>
          <cell r="BN41">
            <v>0</v>
          </cell>
          <cell r="BP41">
            <v>0</v>
          </cell>
          <cell r="BQ41">
            <v>0</v>
          </cell>
          <cell r="BR41">
            <v>0</v>
          </cell>
          <cell r="BS41">
            <v>0</v>
          </cell>
          <cell r="BT41">
            <v>0</v>
          </cell>
          <cell r="BU41">
            <v>40800</v>
          </cell>
          <cell r="BV41">
            <v>4896000</v>
          </cell>
          <cell r="BW41">
            <v>4896000</v>
          </cell>
          <cell r="BY41">
            <v>0</v>
          </cell>
          <cell r="BZ41">
            <v>0</v>
          </cell>
          <cell r="CA41">
            <v>0</v>
          </cell>
          <cell r="CB41">
            <v>0</v>
          </cell>
          <cell r="CC41">
            <v>0</v>
          </cell>
          <cell r="CD41">
            <v>0</v>
          </cell>
          <cell r="CE41">
            <v>0</v>
          </cell>
          <cell r="CF41">
            <v>0</v>
          </cell>
          <cell r="CH41">
            <v>0</v>
          </cell>
          <cell r="CI41">
            <v>0</v>
          </cell>
          <cell r="CJ41">
            <v>0</v>
          </cell>
          <cell r="CK41">
            <v>0</v>
          </cell>
          <cell r="CL41">
            <v>0</v>
          </cell>
          <cell r="CM41">
            <v>1672.8000000000002</v>
          </cell>
          <cell r="CN41">
            <v>200736</v>
          </cell>
          <cell r="CO41">
            <v>200736</v>
          </cell>
          <cell r="CQ41">
            <v>0</v>
          </cell>
          <cell r="CR41">
            <v>0</v>
          </cell>
          <cell r="CS41">
            <v>0</v>
          </cell>
          <cell r="CT41">
            <v>0</v>
          </cell>
          <cell r="CU41">
            <v>0</v>
          </cell>
          <cell r="CV41">
            <v>-1672.8000000000002</v>
          </cell>
          <cell r="CW41">
            <v>-200736</v>
          </cell>
          <cell r="CX41">
            <v>-200736</v>
          </cell>
          <cell r="CZ41">
            <v>0</v>
          </cell>
          <cell r="DA41">
            <v>0</v>
          </cell>
          <cell r="DB41">
            <v>0</v>
          </cell>
          <cell r="DC41">
            <v>0</v>
          </cell>
          <cell r="DD41">
            <v>0</v>
          </cell>
          <cell r="DE41">
            <v>0</v>
          </cell>
          <cell r="DF41">
            <v>0</v>
          </cell>
          <cell r="DG41">
            <v>0</v>
          </cell>
          <cell r="DI41">
            <v>0</v>
          </cell>
          <cell r="DJ41">
            <v>0</v>
          </cell>
          <cell r="DK41">
            <v>0</v>
          </cell>
          <cell r="DL41">
            <v>0</v>
          </cell>
          <cell r="DM41">
            <v>0</v>
          </cell>
          <cell r="DN41">
            <v>0</v>
          </cell>
          <cell r="DO41">
            <v>0</v>
          </cell>
          <cell r="DP41">
            <v>0</v>
          </cell>
          <cell r="DR41" t="str">
            <v>OPP-489491 - Identified - New</v>
          </cell>
          <cell r="DS41" t="str">
            <v>OPP-489491 - Identified - New - NE</v>
          </cell>
          <cell r="DX41">
            <v>4.1000000000000002E-2</v>
          </cell>
          <cell r="DY41">
            <v>4.1000000000000002E-2</v>
          </cell>
          <cell r="DZ41">
            <v>4.1000000000000002E-2</v>
          </cell>
          <cell r="EA41">
            <v>4.1000000000000002E-2</v>
          </cell>
          <cell r="ED41">
            <v>0</v>
          </cell>
          <cell r="EE41">
            <v>0</v>
          </cell>
          <cell r="EF41">
            <v>0</v>
          </cell>
          <cell r="EG41">
            <v>0</v>
          </cell>
          <cell r="EH41">
            <v>0</v>
          </cell>
          <cell r="EI41">
            <v>0</v>
          </cell>
          <cell r="EJ41">
            <v>0</v>
          </cell>
          <cell r="EK41">
            <v>0</v>
          </cell>
        </row>
        <row r="42">
          <cell r="C42" t="str">
            <v>OPP-625756</v>
          </cell>
          <cell r="D42" t="str">
            <v>NWMO DGR Program Management (MS Portion)</v>
          </cell>
          <cell r="E42" t="str">
            <v>Identified - New</v>
          </cell>
          <cell r="F42" t="str">
            <v>Majority</v>
          </cell>
          <cell r="G42">
            <v>0</v>
          </cell>
          <cell r="H42" t="str">
            <v>NE</v>
          </cell>
          <cell r="I42" t="str">
            <v>NE International Programs</v>
          </cell>
          <cell r="J42" t="str">
            <v>DOE-NNSA</v>
          </cell>
          <cell r="K42" t="str">
            <v>Cost Plus</v>
          </cell>
          <cell r="L42">
            <v>44622</v>
          </cell>
          <cell r="M42">
            <v>45718</v>
          </cell>
          <cell r="N42">
            <v>0</v>
          </cell>
          <cell r="O42">
            <v>0</v>
          </cell>
          <cell r="P42">
            <v>0</v>
          </cell>
          <cell r="Q42">
            <v>0</v>
          </cell>
          <cell r="R42">
            <v>0</v>
          </cell>
          <cell r="S42">
            <v>0</v>
          </cell>
          <cell r="T42">
            <v>0</v>
          </cell>
          <cell r="U42">
            <v>0</v>
          </cell>
          <cell r="V42" t="str">
            <v>00 Investigate</v>
          </cell>
          <cell r="W42" t="str">
            <v>Priority 3</v>
          </cell>
          <cell r="X42">
            <v>30000000</v>
          </cell>
          <cell r="Y42">
            <v>15300000</v>
          </cell>
          <cell r="Z42">
            <v>0.5</v>
          </cell>
          <cell r="AB42">
            <v>5100000</v>
          </cell>
          <cell r="AD42">
            <v>0.51</v>
          </cell>
          <cell r="AF42">
            <v>0</v>
          </cell>
          <cell r="AG42">
            <v>0</v>
          </cell>
          <cell r="AH42">
            <v>0</v>
          </cell>
          <cell r="AI42">
            <v>0</v>
          </cell>
          <cell r="AJ42">
            <v>0</v>
          </cell>
          <cell r="AK42">
            <v>0</v>
          </cell>
          <cell r="AL42">
            <v>0</v>
          </cell>
          <cell r="AM42">
            <v>0</v>
          </cell>
          <cell r="AO42">
            <v>0</v>
          </cell>
          <cell r="AP42">
            <v>0</v>
          </cell>
          <cell r="AQ42">
            <v>0</v>
          </cell>
          <cell r="AR42">
            <v>0</v>
          </cell>
          <cell r="AS42">
            <v>0</v>
          </cell>
          <cell r="AT42">
            <v>0</v>
          </cell>
          <cell r="AU42">
            <v>0</v>
          </cell>
          <cell r="AV42">
            <v>0</v>
          </cell>
          <cell r="AX42">
            <v>0</v>
          </cell>
          <cell r="AY42">
            <v>0</v>
          </cell>
          <cell r="AZ42">
            <v>0</v>
          </cell>
          <cell r="BA42">
            <v>4.1000000000000002E-2</v>
          </cell>
          <cell r="BB42">
            <v>4.1000000000000002E-2</v>
          </cell>
          <cell r="BC42">
            <v>4.1000000000000002E-2</v>
          </cell>
          <cell r="BD42">
            <v>4.1000000000000002E-2</v>
          </cell>
          <cell r="BE42">
            <v>4.1000000000000002E-2</v>
          </cell>
          <cell r="BG42">
            <v>0</v>
          </cell>
          <cell r="BH42">
            <v>0</v>
          </cell>
          <cell r="BI42">
            <v>0</v>
          </cell>
          <cell r="BJ42">
            <v>0</v>
          </cell>
          <cell r="BK42">
            <v>0</v>
          </cell>
          <cell r="BL42">
            <v>0</v>
          </cell>
          <cell r="BM42">
            <v>0</v>
          </cell>
          <cell r="BN42">
            <v>0</v>
          </cell>
          <cell r="BP42">
            <v>0</v>
          </cell>
          <cell r="BQ42">
            <v>0</v>
          </cell>
          <cell r="BR42">
            <v>0</v>
          </cell>
          <cell r="BS42">
            <v>0</v>
          </cell>
          <cell r="BT42">
            <v>0</v>
          </cell>
          <cell r="BU42">
            <v>0</v>
          </cell>
          <cell r="BV42">
            <v>1473333.3333333333</v>
          </cell>
          <cell r="BW42">
            <v>2550000</v>
          </cell>
          <cell r="BY42">
            <v>0</v>
          </cell>
          <cell r="BZ42">
            <v>0</v>
          </cell>
          <cell r="CA42">
            <v>0</v>
          </cell>
          <cell r="CB42">
            <v>0</v>
          </cell>
          <cell r="CC42">
            <v>0</v>
          </cell>
          <cell r="CD42">
            <v>0</v>
          </cell>
          <cell r="CE42">
            <v>0</v>
          </cell>
          <cell r="CF42">
            <v>0</v>
          </cell>
          <cell r="CH42">
            <v>0</v>
          </cell>
          <cell r="CI42">
            <v>0</v>
          </cell>
          <cell r="CJ42">
            <v>0</v>
          </cell>
          <cell r="CK42">
            <v>0</v>
          </cell>
          <cell r="CL42">
            <v>0</v>
          </cell>
          <cell r="CM42">
            <v>0</v>
          </cell>
          <cell r="CN42">
            <v>60406.666666666664</v>
          </cell>
          <cell r="CO42">
            <v>104550</v>
          </cell>
          <cell r="CQ42">
            <v>0</v>
          </cell>
          <cell r="CR42">
            <v>0</v>
          </cell>
          <cell r="CS42">
            <v>0</v>
          </cell>
          <cell r="CT42">
            <v>0</v>
          </cell>
          <cell r="CU42">
            <v>0</v>
          </cell>
          <cell r="CV42">
            <v>0</v>
          </cell>
          <cell r="CW42">
            <v>-60406.666666666664</v>
          </cell>
          <cell r="CX42">
            <v>-104550</v>
          </cell>
          <cell r="CZ42">
            <v>0</v>
          </cell>
          <cell r="DA42">
            <v>0</v>
          </cell>
          <cell r="DB42">
            <v>0</v>
          </cell>
          <cell r="DC42">
            <v>0</v>
          </cell>
          <cell r="DD42">
            <v>0</v>
          </cell>
          <cell r="DE42">
            <v>0</v>
          </cell>
          <cell r="DF42">
            <v>0</v>
          </cell>
          <cell r="DG42">
            <v>0</v>
          </cell>
          <cell r="DI42">
            <v>0</v>
          </cell>
          <cell r="DJ42">
            <v>0</v>
          </cell>
          <cell r="DK42">
            <v>0</v>
          </cell>
          <cell r="DL42">
            <v>0</v>
          </cell>
          <cell r="DM42">
            <v>0</v>
          </cell>
          <cell r="DN42">
            <v>0</v>
          </cell>
          <cell r="DO42">
            <v>0</v>
          </cell>
          <cell r="DP42">
            <v>0</v>
          </cell>
          <cell r="DR42" t="str">
            <v>OPP-625756 - Identified - New</v>
          </cell>
          <cell r="DS42" t="str">
            <v>OPP-625756 - Identified - New - NE</v>
          </cell>
          <cell r="DX42">
            <v>4.1000000000000002E-2</v>
          </cell>
          <cell r="DY42">
            <v>4.1000000000000002E-2</v>
          </cell>
          <cell r="DZ42">
            <v>4.1000000000000002E-2</v>
          </cell>
          <cell r="EA42">
            <v>4.1000000000000002E-2</v>
          </cell>
          <cell r="ED42">
            <v>0</v>
          </cell>
          <cell r="EE42">
            <v>0</v>
          </cell>
          <cell r="EF42">
            <v>0</v>
          </cell>
          <cell r="EG42">
            <v>0</v>
          </cell>
          <cell r="EH42">
            <v>0</v>
          </cell>
          <cell r="EI42">
            <v>0</v>
          </cell>
          <cell r="EJ42">
            <v>0</v>
          </cell>
          <cell r="EK42">
            <v>0</v>
          </cell>
        </row>
        <row r="43">
          <cell r="C43" t="str">
            <v>OPP-959722</v>
          </cell>
          <cell r="D43" t="str">
            <v>Three Mile Island Unit 1 D&amp;D</v>
          </cell>
          <cell r="E43" t="str">
            <v>Identified - New</v>
          </cell>
          <cell r="F43" t="str">
            <v>Majority</v>
          </cell>
          <cell r="G43">
            <v>1</v>
          </cell>
          <cell r="H43" t="str">
            <v>NE</v>
          </cell>
          <cell r="I43" t="str">
            <v>NE DD and WM Projects</v>
          </cell>
          <cell r="J43" t="str">
            <v>Commercial</v>
          </cell>
          <cell r="K43" t="str">
            <v>Fixed Price</v>
          </cell>
          <cell r="L43">
            <v>44075</v>
          </cell>
          <cell r="M43">
            <v>46631</v>
          </cell>
          <cell r="N43">
            <v>0</v>
          </cell>
          <cell r="O43">
            <v>0</v>
          </cell>
          <cell r="P43">
            <v>0</v>
          </cell>
          <cell r="Q43">
            <v>0</v>
          </cell>
          <cell r="R43">
            <v>0</v>
          </cell>
          <cell r="S43">
            <v>0</v>
          </cell>
          <cell r="T43">
            <v>0</v>
          </cell>
          <cell r="U43">
            <v>0</v>
          </cell>
          <cell r="V43" t="str">
            <v>02 Capture</v>
          </cell>
          <cell r="W43" t="str">
            <v>Priority 1</v>
          </cell>
          <cell r="X43">
            <v>600000000</v>
          </cell>
          <cell r="Y43">
            <v>540000000</v>
          </cell>
          <cell r="Z43">
            <v>0.4</v>
          </cell>
          <cell r="AB43">
            <v>85714285.714285716</v>
          </cell>
          <cell r="AD43">
            <v>0.9</v>
          </cell>
          <cell r="AF43">
            <v>0</v>
          </cell>
          <cell r="AG43">
            <v>0</v>
          </cell>
          <cell r="AH43">
            <v>0</v>
          </cell>
          <cell r="AI43">
            <v>0</v>
          </cell>
          <cell r="AJ43">
            <v>9.5384615384615387E-2</v>
          </cell>
          <cell r="AK43">
            <v>9.5384615384615387E-2</v>
          </cell>
          <cell r="AL43">
            <v>9.5384615384615387E-2</v>
          </cell>
          <cell r="AM43">
            <v>9.5384615384615387E-2</v>
          </cell>
          <cell r="AO43">
            <v>0</v>
          </cell>
          <cell r="AP43">
            <v>0</v>
          </cell>
          <cell r="AQ43">
            <v>0</v>
          </cell>
          <cell r="AR43">
            <v>0</v>
          </cell>
          <cell r="AS43">
            <v>8.584615384615385E-2</v>
          </cell>
          <cell r="AT43">
            <v>8.584615384615385E-2</v>
          </cell>
          <cell r="AU43">
            <v>8.584615384615385E-2</v>
          </cell>
          <cell r="AV43">
            <v>8.584615384615385E-2</v>
          </cell>
          <cell r="AX43">
            <v>0</v>
          </cell>
          <cell r="AY43">
            <v>0</v>
          </cell>
          <cell r="AZ43">
            <v>0</v>
          </cell>
          <cell r="BA43">
            <v>0</v>
          </cell>
          <cell r="BB43">
            <v>0</v>
          </cell>
          <cell r="BC43">
            <v>0</v>
          </cell>
          <cell r="BD43">
            <v>0</v>
          </cell>
          <cell r="BE43">
            <v>0</v>
          </cell>
          <cell r="BG43">
            <v>0</v>
          </cell>
          <cell r="BH43">
            <v>0</v>
          </cell>
          <cell r="BI43">
            <v>0</v>
          </cell>
          <cell r="BJ43">
            <v>0</v>
          </cell>
          <cell r="BK43">
            <v>2761904.7619047626</v>
          </cell>
          <cell r="BL43">
            <v>34285714.285714291</v>
          </cell>
          <cell r="BM43">
            <v>34285714.285714291</v>
          </cell>
          <cell r="BN43">
            <v>34285714.285714291</v>
          </cell>
          <cell r="BP43">
            <v>0</v>
          </cell>
          <cell r="BQ43">
            <v>0</v>
          </cell>
          <cell r="BR43">
            <v>0</v>
          </cell>
          <cell r="BS43">
            <v>0</v>
          </cell>
          <cell r="BT43">
            <v>0</v>
          </cell>
          <cell r="BU43">
            <v>0</v>
          </cell>
          <cell r="BV43">
            <v>0</v>
          </cell>
          <cell r="BW43">
            <v>0</v>
          </cell>
          <cell r="BY43">
            <v>0</v>
          </cell>
          <cell r="BZ43">
            <v>0</v>
          </cell>
          <cell r="CA43">
            <v>0</v>
          </cell>
          <cell r="CB43">
            <v>0</v>
          </cell>
          <cell r="CC43">
            <v>263443.22344322351</v>
          </cell>
          <cell r="CD43">
            <v>3270329.6703296709</v>
          </cell>
          <cell r="CE43">
            <v>3270329.6703296709</v>
          </cell>
          <cell r="CF43">
            <v>3270329.6703296709</v>
          </cell>
          <cell r="CH43">
            <v>0</v>
          </cell>
          <cell r="CI43">
            <v>0</v>
          </cell>
          <cell r="CJ43">
            <v>0</v>
          </cell>
          <cell r="CK43">
            <v>0</v>
          </cell>
          <cell r="CL43">
            <v>237098.90109890117</v>
          </cell>
          <cell r="CM43">
            <v>2943296.7032967038</v>
          </cell>
          <cell r="CN43">
            <v>2943296.7032967038</v>
          </cell>
          <cell r="CO43">
            <v>2943296.7032967038</v>
          </cell>
          <cell r="CQ43">
            <v>0</v>
          </cell>
          <cell r="CR43">
            <v>0</v>
          </cell>
          <cell r="CS43">
            <v>0</v>
          </cell>
          <cell r="CT43">
            <v>0</v>
          </cell>
          <cell r="CU43">
            <v>0</v>
          </cell>
          <cell r="CV43">
            <v>0</v>
          </cell>
          <cell r="CW43">
            <v>0</v>
          </cell>
          <cell r="CX43">
            <v>0</v>
          </cell>
          <cell r="CZ43">
            <v>0</v>
          </cell>
          <cell r="DA43">
            <v>0</v>
          </cell>
          <cell r="DB43">
            <v>0</v>
          </cell>
          <cell r="DC43">
            <v>0</v>
          </cell>
          <cell r="DD43">
            <v>-26344.322344322347</v>
          </cell>
          <cell r="DE43">
            <v>-327032.96703296702</v>
          </cell>
          <cell r="DF43">
            <v>-327032.96703296702</v>
          </cell>
          <cell r="DG43">
            <v>-327032.96703296702</v>
          </cell>
          <cell r="DI43">
            <v>0</v>
          </cell>
          <cell r="DJ43">
            <v>0</v>
          </cell>
          <cell r="DK43">
            <v>0</v>
          </cell>
          <cell r="DL43">
            <v>0</v>
          </cell>
          <cell r="DM43">
            <v>-276190.47619047621</v>
          </cell>
          <cell r="DN43">
            <v>-3428571.4285714282</v>
          </cell>
          <cell r="DO43">
            <v>-3428571.4285714282</v>
          </cell>
          <cell r="DP43">
            <v>-3428571.4285714282</v>
          </cell>
          <cell r="DR43" t="str">
            <v>OPP-959722 - Identified - New</v>
          </cell>
          <cell r="DS43" t="str">
            <v>OPP-959722 - Identified - New - NE</v>
          </cell>
          <cell r="DX43">
            <v>8.584615384615385E-2</v>
          </cell>
          <cell r="DY43">
            <v>8.584615384615385E-2</v>
          </cell>
          <cell r="DZ43">
            <v>8.584615384615385E-2</v>
          </cell>
          <cell r="EA43">
            <v>8.584615384615385E-2</v>
          </cell>
          <cell r="ED43">
            <v>0</v>
          </cell>
          <cell r="EE43">
            <v>0</v>
          </cell>
          <cell r="EF43">
            <v>0</v>
          </cell>
          <cell r="EG43">
            <v>0</v>
          </cell>
          <cell r="EH43">
            <v>-9.9999999999999978E-2</v>
          </cell>
          <cell r="EI43">
            <v>-9.9999999999999978E-2</v>
          </cell>
          <cell r="EJ43">
            <v>-9.9999999999999978E-2</v>
          </cell>
          <cell r="EK43">
            <v>-9.9999999999999978E-2</v>
          </cell>
        </row>
        <row r="44">
          <cell r="C44" t="str">
            <v>OPP-420317</v>
          </cell>
          <cell r="D44" t="str">
            <v>DOE Hanford Central Plateau Cleanup Contract</v>
          </cell>
          <cell r="E44" t="str">
            <v>Identified - New</v>
          </cell>
          <cell r="F44" t="str">
            <v>Majority</v>
          </cell>
          <cell r="G44">
            <v>0</v>
          </cell>
          <cell r="H44" t="str">
            <v>NE</v>
          </cell>
          <cell r="I44" t="str">
            <v>NE DD and WM Projects</v>
          </cell>
          <cell r="J44" t="str">
            <v>DOE-EM</v>
          </cell>
          <cell r="K44" t="str">
            <v>Cost Plus</v>
          </cell>
          <cell r="L44">
            <v>43830</v>
          </cell>
          <cell r="M44">
            <v>49309</v>
          </cell>
          <cell r="N44">
            <v>0</v>
          </cell>
          <cell r="O44">
            <v>0</v>
          </cell>
          <cell r="P44">
            <v>0</v>
          </cell>
          <cell r="Q44">
            <v>0</v>
          </cell>
          <cell r="R44">
            <v>0</v>
          </cell>
          <cell r="S44">
            <v>0</v>
          </cell>
          <cell r="T44">
            <v>0</v>
          </cell>
          <cell r="U44">
            <v>0</v>
          </cell>
          <cell r="V44" t="str">
            <v>04 Submitted</v>
          </cell>
          <cell r="W44" t="str">
            <v>Priority 1</v>
          </cell>
          <cell r="X44">
            <v>10000000000</v>
          </cell>
          <cell r="Y44">
            <v>4800000000</v>
          </cell>
          <cell r="Z44">
            <v>0.75</v>
          </cell>
          <cell r="AB44">
            <v>320000000</v>
          </cell>
          <cell r="AD44">
            <v>0.48</v>
          </cell>
          <cell r="AF44">
            <v>0</v>
          </cell>
          <cell r="AG44">
            <v>0</v>
          </cell>
          <cell r="AH44">
            <v>0</v>
          </cell>
          <cell r="AI44">
            <v>0</v>
          </cell>
          <cell r="AJ44">
            <v>0</v>
          </cell>
          <cell r="AK44">
            <v>0</v>
          </cell>
          <cell r="AL44">
            <v>0</v>
          </cell>
          <cell r="AM44">
            <v>0</v>
          </cell>
          <cell r="AO44">
            <v>0</v>
          </cell>
          <cell r="AP44">
            <v>0</v>
          </cell>
          <cell r="AQ44">
            <v>0</v>
          </cell>
          <cell r="AR44">
            <v>0</v>
          </cell>
          <cell r="AS44">
            <v>0</v>
          </cell>
          <cell r="AT44">
            <v>0</v>
          </cell>
          <cell r="AU44">
            <v>0</v>
          </cell>
          <cell r="AV44">
            <v>0</v>
          </cell>
          <cell r="AX44">
            <v>0</v>
          </cell>
          <cell r="AY44">
            <v>0</v>
          </cell>
          <cell r="AZ44">
            <v>0</v>
          </cell>
          <cell r="BA44">
            <v>2.8000000000000001E-2</v>
          </cell>
          <cell r="BB44">
            <v>2.8000000000000001E-2</v>
          </cell>
          <cell r="BC44">
            <v>2.8000000000000001E-2</v>
          </cell>
          <cell r="BD44">
            <v>2.8000000000000001E-2</v>
          </cell>
          <cell r="BE44">
            <v>2.8000000000000001E-2</v>
          </cell>
          <cell r="BG44">
            <v>0</v>
          </cell>
          <cell r="BH44">
            <v>0</v>
          </cell>
          <cell r="BI44">
            <v>0</v>
          </cell>
          <cell r="BJ44">
            <v>0</v>
          </cell>
          <cell r="BK44">
            <v>0</v>
          </cell>
          <cell r="BL44">
            <v>0</v>
          </cell>
          <cell r="BM44">
            <v>0</v>
          </cell>
          <cell r="BN44">
            <v>0</v>
          </cell>
          <cell r="BP44">
            <v>0</v>
          </cell>
          <cell r="BQ44">
            <v>0</v>
          </cell>
          <cell r="BR44">
            <v>0</v>
          </cell>
          <cell r="BS44">
            <v>0</v>
          </cell>
          <cell r="BT44">
            <v>180000000</v>
          </cell>
          <cell r="BU44">
            <v>240000000</v>
          </cell>
          <cell r="BV44">
            <v>240000000</v>
          </cell>
          <cell r="BW44">
            <v>240000000</v>
          </cell>
          <cell r="BY44">
            <v>0</v>
          </cell>
          <cell r="BZ44">
            <v>0</v>
          </cell>
          <cell r="CA44">
            <v>0</v>
          </cell>
          <cell r="CB44">
            <v>0</v>
          </cell>
          <cell r="CC44">
            <v>0</v>
          </cell>
          <cell r="CD44">
            <v>0</v>
          </cell>
          <cell r="CE44">
            <v>0</v>
          </cell>
          <cell r="CF44">
            <v>0</v>
          </cell>
          <cell r="CH44">
            <v>0</v>
          </cell>
          <cell r="CI44">
            <v>0</v>
          </cell>
          <cell r="CJ44">
            <v>0</v>
          </cell>
          <cell r="CK44">
            <v>0</v>
          </cell>
          <cell r="CL44">
            <v>5040000</v>
          </cell>
          <cell r="CM44">
            <v>6720000</v>
          </cell>
          <cell r="CN44">
            <v>6720000</v>
          </cell>
          <cell r="CO44">
            <v>6720000</v>
          </cell>
          <cell r="CQ44">
            <v>0</v>
          </cell>
          <cell r="CR44">
            <v>0</v>
          </cell>
          <cell r="CS44">
            <v>0</v>
          </cell>
          <cell r="CT44">
            <v>0</v>
          </cell>
          <cell r="CU44">
            <v>-5040000</v>
          </cell>
          <cell r="CV44">
            <v>-6720000</v>
          </cell>
          <cell r="CW44">
            <v>-6720000</v>
          </cell>
          <cell r="CX44">
            <v>-6720000</v>
          </cell>
          <cell r="CZ44">
            <v>0</v>
          </cell>
          <cell r="DA44">
            <v>0</v>
          </cell>
          <cell r="DB44">
            <v>0</v>
          </cell>
          <cell r="DC44">
            <v>0</v>
          </cell>
          <cell r="DD44">
            <v>0</v>
          </cell>
          <cell r="DE44">
            <v>0</v>
          </cell>
          <cell r="DF44">
            <v>0</v>
          </cell>
          <cell r="DG44">
            <v>0</v>
          </cell>
          <cell r="DI44">
            <v>0</v>
          </cell>
          <cell r="DJ44">
            <v>0</v>
          </cell>
          <cell r="DK44">
            <v>0</v>
          </cell>
          <cell r="DL44">
            <v>0</v>
          </cell>
          <cell r="DM44">
            <v>0</v>
          </cell>
          <cell r="DN44">
            <v>0</v>
          </cell>
          <cell r="DO44">
            <v>0</v>
          </cell>
          <cell r="DP44">
            <v>0</v>
          </cell>
          <cell r="DR44" t="str">
            <v>OPP-420317 - Identified - New</v>
          </cell>
          <cell r="DS44" t="str">
            <v>OPP-420317 - Identified - New - NE</v>
          </cell>
          <cell r="DX44">
            <v>2.8000000000000001E-2</v>
          </cell>
          <cell r="DY44">
            <v>2.8000000000000001E-2</v>
          </cell>
          <cell r="DZ44">
            <v>2.8000000000000001E-2</v>
          </cell>
          <cell r="EA44">
            <v>2.8000000000000001E-2</v>
          </cell>
          <cell r="ED44">
            <v>0</v>
          </cell>
          <cell r="EE44">
            <v>0</v>
          </cell>
          <cell r="EF44">
            <v>0</v>
          </cell>
          <cell r="EG44">
            <v>0</v>
          </cell>
          <cell r="EH44">
            <v>0</v>
          </cell>
          <cell r="EI44">
            <v>0</v>
          </cell>
          <cell r="EJ44">
            <v>0</v>
          </cell>
          <cell r="EK44">
            <v>0</v>
          </cell>
        </row>
        <row r="45">
          <cell r="C45" t="str">
            <v>OPP-547380</v>
          </cell>
          <cell r="D45" t="str">
            <v>Pantex Y-12</v>
          </cell>
          <cell r="E45" t="str">
            <v>Identified - New</v>
          </cell>
          <cell r="F45" t="str">
            <v>Minority</v>
          </cell>
          <cell r="G45">
            <v>0</v>
          </cell>
          <cell r="H45" t="str">
            <v>NE</v>
          </cell>
          <cell r="I45" t="str">
            <v>NE HLW &amp; NNSA Operations</v>
          </cell>
          <cell r="J45" t="str">
            <v>DOE-NNSA</v>
          </cell>
          <cell r="K45" t="str">
            <v>Cost Plus</v>
          </cell>
          <cell r="L45">
            <v>44378</v>
          </cell>
          <cell r="M45">
            <v>48030</v>
          </cell>
          <cell r="N45">
            <v>0</v>
          </cell>
          <cell r="O45">
            <v>0</v>
          </cell>
          <cell r="P45">
            <v>0</v>
          </cell>
          <cell r="Q45">
            <v>0</v>
          </cell>
          <cell r="R45">
            <v>0</v>
          </cell>
          <cell r="S45">
            <v>0</v>
          </cell>
          <cell r="T45">
            <v>0</v>
          </cell>
          <cell r="U45">
            <v>0</v>
          </cell>
          <cell r="V45" t="str">
            <v>00 Investigate</v>
          </cell>
          <cell r="W45" t="str">
            <v>Priority 1</v>
          </cell>
          <cell r="X45">
            <v>20000000000</v>
          </cell>
          <cell r="Y45">
            <v>3000000000</v>
          </cell>
          <cell r="Z45">
            <v>0.25</v>
          </cell>
          <cell r="AB45">
            <v>300000000</v>
          </cell>
          <cell r="AD45">
            <v>0.15</v>
          </cell>
          <cell r="AF45">
            <v>0</v>
          </cell>
          <cell r="AG45">
            <v>0</v>
          </cell>
          <cell r="AH45">
            <v>0</v>
          </cell>
          <cell r="AI45">
            <v>0</v>
          </cell>
          <cell r="AJ45">
            <v>0</v>
          </cell>
          <cell r="AK45">
            <v>0</v>
          </cell>
          <cell r="AL45">
            <v>0</v>
          </cell>
          <cell r="AM45">
            <v>0</v>
          </cell>
          <cell r="AO45">
            <v>0</v>
          </cell>
          <cell r="AP45">
            <v>0</v>
          </cell>
          <cell r="AQ45">
            <v>0</v>
          </cell>
          <cell r="AR45">
            <v>0</v>
          </cell>
          <cell r="AS45">
            <v>0</v>
          </cell>
          <cell r="AT45">
            <v>0</v>
          </cell>
          <cell r="AU45">
            <v>0</v>
          </cell>
          <cell r="AV45">
            <v>0</v>
          </cell>
          <cell r="AX45">
            <v>0</v>
          </cell>
          <cell r="AY45">
            <v>0</v>
          </cell>
          <cell r="AZ45">
            <v>0</v>
          </cell>
          <cell r="BA45">
            <v>4.0766666666666666E-2</v>
          </cell>
          <cell r="BB45">
            <v>4.0766666666666666E-2</v>
          </cell>
          <cell r="BC45">
            <v>4.0766666666666666E-2</v>
          </cell>
          <cell r="BD45">
            <v>4.0766666666666666E-2</v>
          </cell>
          <cell r="BE45">
            <v>4.0766666666666666E-2</v>
          </cell>
          <cell r="BG45">
            <v>0</v>
          </cell>
          <cell r="BH45">
            <v>0</v>
          </cell>
          <cell r="BI45">
            <v>0</v>
          </cell>
          <cell r="BJ45">
            <v>0</v>
          </cell>
          <cell r="BK45">
            <v>0</v>
          </cell>
          <cell r="BL45">
            <v>0</v>
          </cell>
          <cell r="BM45">
            <v>0</v>
          </cell>
          <cell r="BN45">
            <v>0</v>
          </cell>
          <cell r="BP45">
            <v>0</v>
          </cell>
          <cell r="BQ45">
            <v>0</v>
          </cell>
          <cell r="BR45">
            <v>0</v>
          </cell>
          <cell r="BS45">
            <v>0</v>
          </cell>
          <cell r="BT45">
            <v>0</v>
          </cell>
          <cell r="BU45">
            <v>18541666.666666668</v>
          </cell>
          <cell r="BV45">
            <v>75000000</v>
          </cell>
          <cell r="BW45">
            <v>75000000</v>
          </cell>
          <cell r="BY45">
            <v>0</v>
          </cell>
          <cell r="BZ45">
            <v>0</v>
          </cell>
          <cell r="CA45">
            <v>0</v>
          </cell>
          <cell r="CB45">
            <v>0</v>
          </cell>
          <cell r="CC45">
            <v>0</v>
          </cell>
          <cell r="CD45">
            <v>0</v>
          </cell>
          <cell r="CE45">
            <v>0</v>
          </cell>
          <cell r="CF45">
            <v>0</v>
          </cell>
          <cell r="CH45">
            <v>0</v>
          </cell>
          <cell r="CI45">
            <v>0</v>
          </cell>
          <cell r="CJ45">
            <v>0</v>
          </cell>
          <cell r="CK45">
            <v>0</v>
          </cell>
          <cell r="CL45">
            <v>0</v>
          </cell>
          <cell r="CM45">
            <v>755881.9444444445</v>
          </cell>
          <cell r="CN45">
            <v>3057500</v>
          </cell>
          <cell r="CO45">
            <v>3057500</v>
          </cell>
          <cell r="CQ45">
            <v>0</v>
          </cell>
          <cell r="CR45">
            <v>0</v>
          </cell>
          <cell r="CS45">
            <v>0</v>
          </cell>
          <cell r="CT45">
            <v>0</v>
          </cell>
          <cell r="CU45">
            <v>0</v>
          </cell>
          <cell r="CV45">
            <v>-755881.9444444445</v>
          </cell>
          <cell r="CW45">
            <v>-3057500</v>
          </cell>
          <cell r="CX45">
            <v>-3057500</v>
          </cell>
          <cell r="CZ45">
            <v>0</v>
          </cell>
          <cell r="DA45">
            <v>0</v>
          </cell>
          <cell r="DB45">
            <v>0</v>
          </cell>
          <cell r="DC45">
            <v>0</v>
          </cell>
          <cell r="DD45">
            <v>0</v>
          </cell>
          <cell r="DE45">
            <v>0</v>
          </cell>
          <cell r="DF45">
            <v>0</v>
          </cell>
          <cell r="DG45">
            <v>0</v>
          </cell>
          <cell r="DI45">
            <v>0</v>
          </cell>
          <cell r="DJ45">
            <v>0</v>
          </cell>
          <cell r="DK45">
            <v>0</v>
          </cell>
          <cell r="DL45">
            <v>0</v>
          </cell>
          <cell r="DM45">
            <v>0</v>
          </cell>
          <cell r="DN45">
            <v>0</v>
          </cell>
          <cell r="DO45">
            <v>0</v>
          </cell>
          <cell r="DP45">
            <v>0</v>
          </cell>
          <cell r="DR45" t="str">
            <v>OPP-547380 - Identified - New</v>
          </cell>
          <cell r="DS45" t="str">
            <v>OPP-547380 - Identified - New - NE</v>
          </cell>
          <cell r="DX45">
            <v>4.0766666666666666E-2</v>
          </cell>
          <cell r="DY45">
            <v>4.0766666666666666E-2</v>
          </cell>
          <cell r="DZ45">
            <v>4.0766666666666666E-2</v>
          </cell>
          <cell r="EA45">
            <v>4.0766666666666666E-2</v>
          </cell>
          <cell r="ED45">
            <v>0</v>
          </cell>
          <cell r="EE45">
            <v>0</v>
          </cell>
          <cell r="EF45">
            <v>0</v>
          </cell>
          <cell r="EG45">
            <v>0</v>
          </cell>
          <cell r="EH45">
            <v>0</v>
          </cell>
          <cell r="EI45">
            <v>0</v>
          </cell>
          <cell r="EJ45">
            <v>0</v>
          </cell>
          <cell r="EK45">
            <v>0</v>
          </cell>
        </row>
        <row r="46">
          <cell r="C46" t="str">
            <v>OPP-411980</v>
          </cell>
          <cell r="D46" t="str">
            <v>DOE SRS Operations Contract</v>
          </cell>
          <cell r="E46" t="str">
            <v>Identified - New</v>
          </cell>
          <cell r="F46" t="str">
            <v>Minority</v>
          </cell>
          <cell r="G46">
            <v>0</v>
          </cell>
          <cell r="H46" t="str">
            <v>NE</v>
          </cell>
          <cell r="I46" t="str">
            <v>NE DD and WM Projects</v>
          </cell>
          <cell r="J46" t="str">
            <v>DOE-NNSA</v>
          </cell>
          <cell r="K46" t="str">
            <v>Cost Plus</v>
          </cell>
          <cell r="L46">
            <v>44470</v>
          </cell>
          <cell r="M46">
            <v>48122</v>
          </cell>
          <cell r="N46">
            <v>0</v>
          </cell>
          <cell r="O46">
            <v>0</v>
          </cell>
          <cell r="P46">
            <v>0</v>
          </cell>
          <cell r="Q46">
            <v>0</v>
          </cell>
          <cell r="R46">
            <v>0</v>
          </cell>
          <cell r="S46">
            <v>0</v>
          </cell>
          <cell r="T46">
            <v>0</v>
          </cell>
          <cell r="U46">
            <v>0</v>
          </cell>
          <cell r="V46" t="str">
            <v>00 Investigate</v>
          </cell>
          <cell r="W46" t="str">
            <v>Priority 1</v>
          </cell>
          <cell r="X46">
            <v>9000000000</v>
          </cell>
          <cell r="Y46">
            <v>2070000000</v>
          </cell>
          <cell r="Z46">
            <v>0.4</v>
          </cell>
          <cell r="AB46">
            <v>207000000</v>
          </cell>
          <cell r="AD46">
            <v>0.23</v>
          </cell>
          <cell r="AF46">
            <v>0</v>
          </cell>
          <cell r="AG46">
            <v>0</v>
          </cell>
          <cell r="AH46">
            <v>0</v>
          </cell>
          <cell r="AI46">
            <v>0</v>
          </cell>
          <cell r="AJ46">
            <v>0</v>
          </cell>
          <cell r="AK46">
            <v>0</v>
          </cell>
          <cell r="AL46">
            <v>0</v>
          </cell>
          <cell r="AM46">
            <v>0</v>
          </cell>
          <cell r="AO46">
            <v>0</v>
          </cell>
          <cell r="AP46">
            <v>0</v>
          </cell>
          <cell r="AQ46">
            <v>0</v>
          </cell>
          <cell r="AR46">
            <v>0</v>
          </cell>
          <cell r="AS46">
            <v>0</v>
          </cell>
          <cell r="AT46">
            <v>0</v>
          </cell>
          <cell r="AU46">
            <v>0</v>
          </cell>
          <cell r="AV46">
            <v>0</v>
          </cell>
          <cell r="AX46">
            <v>0</v>
          </cell>
          <cell r="AY46">
            <v>0</v>
          </cell>
          <cell r="AZ46">
            <v>0</v>
          </cell>
          <cell r="BA46">
            <v>4.0772946859903382E-2</v>
          </cell>
          <cell r="BB46">
            <v>4.0772946859903382E-2</v>
          </cell>
          <cell r="BC46">
            <v>4.0772946859903382E-2</v>
          </cell>
          <cell r="BD46">
            <v>4.0772946859903382E-2</v>
          </cell>
          <cell r="BE46">
            <v>4.0772946859903382E-2</v>
          </cell>
          <cell r="BG46">
            <v>0</v>
          </cell>
          <cell r="BH46">
            <v>0</v>
          </cell>
          <cell r="BI46">
            <v>0</v>
          </cell>
          <cell r="BJ46">
            <v>0</v>
          </cell>
          <cell r="BK46">
            <v>0</v>
          </cell>
          <cell r="BL46">
            <v>0</v>
          </cell>
          <cell r="BM46">
            <v>0</v>
          </cell>
          <cell r="BN46">
            <v>0</v>
          </cell>
          <cell r="BP46">
            <v>0</v>
          </cell>
          <cell r="BQ46">
            <v>0</v>
          </cell>
          <cell r="BR46">
            <v>0</v>
          </cell>
          <cell r="BS46">
            <v>0</v>
          </cell>
          <cell r="BT46">
            <v>0</v>
          </cell>
          <cell r="BU46">
            <v>0</v>
          </cell>
          <cell r="BV46">
            <v>82570000</v>
          </cell>
          <cell r="BW46">
            <v>82800000</v>
          </cell>
          <cell r="BY46">
            <v>0</v>
          </cell>
          <cell r="BZ46">
            <v>0</v>
          </cell>
          <cell r="CA46">
            <v>0</v>
          </cell>
          <cell r="CB46">
            <v>0</v>
          </cell>
          <cell r="CC46">
            <v>0</v>
          </cell>
          <cell r="CD46">
            <v>0</v>
          </cell>
          <cell r="CE46">
            <v>0</v>
          </cell>
          <cell r="CF46">
            <v>0</v>
          </cell>
          <cell r="CH46">
            <v>0</v>
          </cell>
          <cell r="CI46">
            <v>0</v>
          </cell>
          <cell r="CJ46">
            <v>0</v>
          </cell>
          <cell r="CK46">
            <v>0</v>
          </cell>
          <cell r="CL46">
            <v>0</v>
          </cell>
          <cell r="CM46">
            <v>0</v>
          </cell>
          <cell r="CN46">
            <v>3366622.2222222225</v>
          </cell>
          <cell r="CO46">
            <v>3376000</v>
          </cell>
          <cell r="CQ46">
            <v>0</v>
          </cell>
          <cell r="CR46">
            <v>0</v>
          </cell>
          <cell r="CS46">
            <v>0</v>
          </cell>
          <cell r="CT46">
            <v>0</v>
          </cell>
          <cell r="CU46">
            <v>0</v>
          </cell>
          <cell r="CV46">
            <v>0</v>
          </cell>
          <cell r="CW46">
            <v>-3366622.2222222225</v>
          </cell>
          <cell r="CX46">
            <v>-3376000</v>
          </cell>
          <cell r="CZ46">
            <v>0</v>
          </cell>
          <cell r="DA46">
            <v>0</v>
          </cell>
          <cell r="DB46">
            <v>0</v>
          </cell>
          <cell r="DC46">
            <v>0</v>
          </cell>
          <cell r="DD46">
            <v>0</v>
          </cell>
          <cell r="DE46">
            <v>0</v>
          </cell>
          <cell r="DF46">
            <v>0</v>
          </cell>
          <cell r="DG46">
            <v>0</v>
          </cell>
          <cell r="DI46">
            <v>0</v>
          </cell>
          <cell r="DJ46">
            <v>0</v>
          </cell>
          <cell r="DK46">
            <v>0</v>
          </cell>
          <cell r="DL46">
            <v>0</v>
          </cell>
          <cell r="DM46">
            <v>0</v>
          </cell>
          <cell r="DN46">
            <v>0</v>
          </cell>
          <cell r="DO46">
            <v>0</v>
          </cell>
          <cell r="DP46">
            <v>0</v>
          </cell>
          <cell r="DR46" t="str">
            <v>OPP-411980 - Identified - New</v>
          </cell>
          <cell r="DS46" t="str">
            <v>OPP-411980 - Identified - New - NE</v>
          </cell>
          <cell r="DX46">
            <v>4.0772946859903382E-2</v>
          </cell>
          <cell r="DY46">
            <v>4.0772946859903382E-2</v>
          </cell>
          <cell r="DZ46">
            <v>4.0772946859903382E-2</v>
          </cell>
          <cell r="EA46">
            <v>4.0772946859903382E-2</v>
          </cell>
          <cell r="ED46">
            <v>0</v>
          </cell>
          <cell r="EE46">
            <v>0</v>
          </cell>
          <cell r="EF46">
            <v>0</v>
          </cell>
          <cell r="EG46">
            <v>0</v>
          </cell>
          <cell r="EH46">
            <v>0</v>
          </cell>
          <cell r="EI46">
            <v>0</v>
          </cell>
          <cell r="EJ46">
            <v>0</v>
          </cell>
          <cell r="EK46">
            <v>0</v>
          </cell>
        </row>
        <row r="47">
          <cell r="C47" t="str">
            <v>OPP-721783</v>
          </cell>
          <cell r="D47" t="str">
            <v>Portsmouth GDP D&amp;D</v>
          </cell>
          <cell r="E47" t="str">
            <v>Identified - New</v>
          </cell>
          <cell r="F47" t="str">
            <v>Minority</v>
          </cell>
          <cell r="G47">
            <v>0</v>
          </cell>
          <cell r="H47" t="str">
            <v>NE</v>
          </cell>
          <cell r="I47" t="str">
            <v>NE DD and WM Projects</v>
          </cell>
          <cell r="J47" t="str">
            <v>DOE-EM</v>
          </cell>
          <cell r="K47" t="str">
            <v>Cost Plus</v>
          </cell>
          <cell r="L47">
            <v>44287</v>
          </cell>
          <cell r="M47">
            <v>47939</v>
          </cell>
          <cell r="N47">
            <v>0</v>
          </cell>
          <cell r="O47">
            <v>0</v>
          </cell>
          <cell r="P47">
            <v>0</v>
          </cell>
          <cell r="Q47">
            <v>0</v>
          </cell>
          <cell r="R47">
            <v>0</v>
          </cell>
          <cell r="S47">
            <v>0</v>
          </cell>
          <cell r="T47">
            <v>0</v>
          </cell>
          <cell r="U47">
            <v>0</v>
          </cell>
          <cell r="V47" t="str">
            <v>00 Investigate</v>
          </cell>
          <cell r="W47" t="str">
            <v>Priority 1</v>
          </cell>
          <cell r="X47">
            <v>3000000000</v>
          </cell>
          <cell r="Y47">
            <v>1350000000</v>
          </cell>
          <cell r="Z47">
            <v>0.4</v>
          </cell>
          <cell r="AB47">
            <v>135000000</v>
          </cell>
          <cell r="AD47">
            <v>0.45</v>
          </cell>
          <cell r="AF47">
            <v>0</v>
          </cell>
          <cell r="AG47">
            <v>0</v>
          </cell>
          <cell r="AH47">
            <v>0</v>
          </cell>
          <cell r="AI47">
            <v>0</v>
          </cell>
          <cell r="AJ47">
            <v>0</v>
          </cell>
          <cell r="AK47">
            <v>0</v>
          </cell>
          <cell r="AL47">
            <v>0</v>
          </cell>
          <cell r="AM47">
            <v>0</v>
          </cell>
          <cell r="AO47">
            <v>0</v>
          </cell>
          <cell r="AP47">
            <v>0</v>
          </cell>
          <cell r="AQ47">
            <v>0</v>
          </cell>
          <cell r="AR47">
            <v>0</v>
          </cell>
          <cell r="AS47">
            <v>0</v>
          </cell>
          <cell r="AT47">
            <v>0</v>
          </cell>
          <cell r="AU47">
            <v>0</v>
          </cell>
          <cell r="AV47">
            <v>0</v>
          </cell>
          <cell r="AX47">
            <v>0</v>
          </cell>
          <cell r="AY47">
            <v>0</v>
          </cell>
          <cell r="AZ47">
            <v>0</v>
          </cell>
          <cell r="BA47">
            <v>4.0740740740740744E-2</v>
          </cell>
          <cell r="BB47">
            <v>4.0740740740740744E-2</v>
          </cell>
          <cell r="BC47">
            <v>4.0740740740740744E-2</v>
          </cell>
          <cell r="BD47">
            <v>4.0740740740740744E-2</v>
          </cell>
          <cell r="BE47">
            <v>4.0740740740740744E-2</v>
          </cell>
          <cell r="BG47">
            <v>0</v>
          </cell>
          <cell r="BH47">
            <v>0</v>
          </cell>
          <cell r="BI47">
            <v>0</v>
          </cell>
          <cell r="BJ47">
            <v>0</v>
          </cell>
          <cell r="BK47">
            <v>0</v>
          </cell>
          <cell r="BL47">
            <v>0</v>
          </cell>
          <cell r="BM47">
            <v>0</v>
          </cell>
          <cell r="BN47">
            <v>0</v>
          </cell>
          <cell r="BP47">
            <v>0</v>
          </cell>
          <cell r="BQ47">
            <v>0</v>
          </cell>
          <cell r="BR47">
            <v>0</v>
          </cell>
          <cell r="BS47">
            <v>0</v>
          </cell>
          <cell r="BT47">
            <v>0</v>
          </cell>
          <cell r="BU47">
            <v>26850000</v>
          </cell>
          <cell r="BV47">
            <v>54000000</v>
          </cell>
          <cell r="BW47">
            <v>54000000</v>
          </cell>
          <cell r="BY47">
            <v>0</v>
          </cell>
          <cell r="BZ47">
            <v>0</v>
          </cell>
          <cell r="CA47">
            <v>0</v>
          </cell>
          <cell r="CB47">
            <v>0</v>
          </cell>
          <cell r="CC47">
            <v>0</v>
          </cell>
          <cell r="CD47">
            <v>0</v>
          </cell>
          <cell r="CE47">
            <v>0</v>
          </cell>
          <cell r="CF47">
            <v>0</v>
          </cell>
          <cell r="CH47">
            <v>0</v>
          </cell>
          <cell r="CI47">
            <v>0</v>
          </cell>
          <cell r="CJ47">
            <v>0</v>
          </cell>
          <cell r="CK47">
            <v>0</v>
          </cell>
          <cell r="CL47">
            <v>0</v>
          </cell>
          <cell r="CM47">
            <v>1093888.888888889</v>
          </cell>
          <cell r="CN47">
            <v>2200000</v>
          </cell>
          <cell r="CO47">
            <v>2200000</v>
          </cell>
          <cell r="CQ47">
            <v>0</v>
          </cell>
          <cell r="CR47">
            <v>0</v>
          </cell>
          <cell r="CS47">
            <v>0</v>
          </cell>
          <cell r="CT47">
            <v>0</v>
          </cell>
          <cell r="CU47">
            <v>0</v>
          </cell>
          <cell r="CV47">
            <v>-1093888.888888889</v>
          </cell>
          <cell r="CW47">
            <v>-2200000</v>
          </cell>
          <cell r="CX47">
            <v>-2200000</v>
          </cell>
          <cell r="CZ47">
            <v>0</v>
          </cell>
          <cell r="DA47">
            <v>0</v>
          </cell>
          <cell r="DB47">
            <v>0</v>
          </cell>
          <cell r="DC47">
            <v>0</v>
          </cell>
          <cell r="DD47">
            <v>0</v>
          </cell>
          <cell r="DE47">
            <v>0</v>
          </cell>
          <cell r="DF47">
            <v>0</v>
          </cell>
          <cell r="DG47">
            <v>0</v>
          </cell>
          <cell r="DI47">
            <v>0</v>
          </cell>
          <cell r="DJ47">
            <v>0</v>
          </cell>
          <cell r="DK47">
            <v>0</v>
          </cell>
          <cell r="DL47">
            <v>0</v>
          </cell>
          <cell r="DM47">
            <v>0</v>
          </cell>
          <cell r="DN47">
            <v>0</v>
          </cell>
          <cell r="DO47">
            <v>0</v>
          </cell>
          <cell r="DP47">
            <v>0</v>
          </cell>
          <cell r="DR47" t="str">
            <v>OPP-721783 - Identified - New</v>
          </cell>
          <cell r="DS47" t="str">
            <v>OPP-721783 - Identified - New - NE</v>
          </cell>
          <cell r="DX47">
            <v>4.0740740740740744E-2</v>
          </cell>
          <cell r="DY47">
            <v>4.0740740740740744E-2</v>
          </cell>
          <cell r="DZ47">
            <v>4.0740740740740744E-2</v>
          </cell>
          <cell r="EA47">
            <v>4.0740740740740744E-2</v>
          </cell>
          <cell r="ED47">
            <v>0</v>
          </cell>
          <cell r="EE47">
            <v>0</v>
          </cell>
          <cell r="EF47">
            <v>0</v>
          </cell>
          <cell r="EG47">
            <v>0</v>
          </cell>
          <cell r="EH47">
            <v>0</v>
          </cell>
          <cell r="EI47">
            <v>0</v>
          </cell>
          <cell r="EJ47">
            <v>0</v>
          </cell>
          <cell r="EK47">
            <v>0</v>
          </cell>
        </row>
        <row r="48">
          <cell r="C48" t="str">
            <v>OPP-870192</v>
          </cell>
          <cell r="D48" t="str">
            <v>Savannah River Plutonium Processing Facility</v>
          </cell>
          <cell r="E48" t="str">
            <v>Identified - New</v>
          </cell>
          <cell r="F48" t="str">
            <v>Minority</v>
          </cell>
          <cell r="G48">
            <v>0</v>
          </cell>
          <cell r="H48" t="str">
            <v>NE</v>
          </cell>
          <cell r="I48" t="str">
            <v>NE Technical Services</v>
          </cell>
          <cell r="J48" t="str">
            <v>DOE-NNSA</v>
          </cell>
          <cell r="K48" t="str">
            <v>Cost Plus</v>
          </cell>
          <cell r="L48">
            <v>44228</v>
          </cell>
          <cell r="M48">
            <v>47880</v>
          </cell>
          <cell r="N48">
            <v>0</v>
          </cell>
          <cell r="O48">
            <v>0</v>
          </cell>
          <cell r="P48">
            <v>0</v>
          </cell>
          <cell r="Q48">
            <v>0</v>
          </cell>
          <cell r="R48">
            <v>0</v>
          </cell>
          <cell r="S48">
            <v>0</v>
          </cell>
          <cell r="T48">
            <v>0</v>
          </cell>
          <cell r="U48">
            <v>0</v>
          </cell>
          <cell r="V48" t="str">
            <v>02 Capture</v>
          </cell>
          <cell r="W48" t="str">
            <v>Priority 2</v>
          </cell>
          <cell r="X48">
            <v>3000000000</v>
          </cell>
          <cell r="Y48">
            <v>900000000</v>
          </cell>
          <cell r="Z48">
            <v>0.3</v>
          </cell>
          <cell r="AB48">
            <v>90000000</v>
          </cell>
          <cell r="AD48">
            <v>0.3</v>
          </cell>
          <cell r="AF48">
            <v>0</v>
          </cell>
          <cell r="AG48">
            <v>0</v>
          </cell>
          <cell r="AH48">
            <v>0</v>
          </cell>
          <cell r="AI48">
            <v>0</v>
          </cell>
          <cell r="AJ48">
            <v>0</v>
          </cell>
          <cell r="AK48">
            <v>0</v>
          </cell>
          <cell r="AL48">
            <v>0</v>
          </cell>
          <cell r="AM48">
            <v>0</v>
          </cell>
          <cell r="AO48">
            <v>0</v>
          </cell>
          <cell r="AP48">
            <v>0</v>
          </cell>
          <cell r="AQ48">
            <v>0</v>
          </cell>
          <cell r="AR48">
            <v>0</v>
          </cell>
          <cell r="AS48">
            <v>0</v>
          </cell>
          <cell r="AT48">
            <v>0</v>
          </cell>
          <cell r="AU48">
            <v>0</v>
          </cell>
          <cell r="AV48">
            <v>0</v>
          </cell>
          <cell r="AX48">
            <v>0</v>
          </cell>
          <cell r="AY48">
            <v>0</v>
          </cell>
          <cell r="AZ48">
            <v>0</v>
          </cell>
          <cell r="BA48">
            <v>4.1000000000000002E-2</v>
          </cell>
          <cell r="BB48">
            <v>4.1000000000000002E-2</v>
          </cell>
          <cell r="BC48">
            <v>4.1000000000000002E-2</v>
          </cell>
          <cell r="BD48">
            <v>4.1000000000000002E-2</v>
          </cell>
          <cell r="BE48">
            <v>4.1000000000000002E-2</v>
          </cell>
          <cell r="BG48">
            <v>0</v>
          </cell>
          <cell r="BH48">
            <v>0</v>
          </cell>
          <cell r="BI48">
            <v>0</v>
          </cell>
          <cell r="BJ48">
            <v>0</v>
          </cell>
          <cell r="BK48">
            <v>0</v>
          </cell>
          <cell r="BL48">
            <v>0</v>
          </cell>
          <cell r="BM48">
            <v>0</v>
          </cell>
          <cell r="BN48">
            <v>0</v>
          </cell>
          <cell r="BP48">
            <v>0</v>
          </cell>
          <cell r="BQ48">
            <v>0</v>
          </cell>
          <cell r="BR48">
            <v>0</v>
          </cell>
          <cell r="BS48">
            <v>0</v>
          </cell>
          <cell r="BT48">
            <v>0</v>
          </cell>
          <cell r="BU48">
            <v>17925000</v>
          </cell>
          <cell r="BV48">
            <v>27000000</v>
          </cell>
          <cell r="BW48">
            <v>27000000</v>
          </cell>
          <cell r="BY48">
            <v>0</v>
          </cell>
          <cell r="BZ48">
            <v>0</v>
          </cell>
          <cell r="CA48">
            <v>0</v>
          </cell>
          <cell r="CB48">
            <v>0</v>
          </cell>
          <cell r="CC48">
            <v>0</v>
          </cell>
          <cell r="CD48">
            <v>0</v>
          </cell>
          <cell r="CE48">
            <v>0</v>
          </cell>
          <cell r="CF48">
            <v>0</v>
          </cell>
          <cell r="CH48">
            <v>0</v>
          </cell>
          <cell r="CI48">
            <v>0</v>
          </cell>
          <cell r="CJ48">
            <v>0</v>
          </cell>
          <cell r="CK48">
            <v>0</v>
          </cell>
          <cell r="CL48">
            <v>0</v>
          </cell>
          <cell r="CM48">
            <v>734925</v>
          </cell>
          <cell r="CN48">
            <v>1107000</v>
          </cell>
          <cell r="CO48">
            <v>1107000</v>
          </cell>
          <cell r="CQ48">
            <v>0</v>
          </cell>
          <cell r="CR48">
            <v>0</v>
          </cell>
          <cell r="CS48">
            <v>0</v>
          </cell>
          <cell r="CT48">
            <v>0</v>
          </cell>
          <cell r="CU48">
            <v>0</v>
          </cell>
          <cell r="CV48">
            <v>-734925</v>
          </cell>
          <cell r="CW48">
            <v>-1107000</v>
          </cell>
          <cell r="CX48">
            <v>-1107000</v>
          </cell>
          <cell r="CZ48">
            <v>0</v>
          </cell>
          <cell r="DA48">
            <v>0</v>
          </cell>
          <cell r="DB48">
            <v>0</v>
          </cell>
          <cell r="DC48">
            <v>0</v>
          </cell>
          <cell r="DD48">
            <v>0</v>
          </cell>
          <cell r="DE48">
            <v>0</v>
          </cell>
          <cell r="DF48">
            <v>0</v>
          </cell>
          <cell r="DG48">
            <v>0</v>
          </cell>
          <cell r="DI48">
            <v>0</v>
          </cell>
          <cell r="DJ48">
            <v>0</v>
          </cell>
          <cell r="DK48">
            <v>0</v>
          </cell>
          <cell r="DL48">
            <v>0</v>
          </cell>
          <cell r="DM48">
            <v>0</v>
          </cell>
          <cell r="DN48">
            <v>0</v>
          </cell>
          <cell r="DO48">
            <v>0</v>
          </cell>
          <cell r="DP48">
            <v>0</v>
          </cell>
          <cell r="DR48" t="str">
            <v>OPP-870192 - Identified - New</v>
          </cell>
          <cell r="DS48" t="str">
            <v>OPP-870192 - Identified - New - NE</v>
          </cell>
          <cell r="DX48">
            <v>4.1000000000000002E-2</v>
          </cell>
          <cell r="DY48">
            <v>4.1000000000000002E-2</v>
          </cell>
          <cell r="DZ48">
            <v>4.1000000000000002E-2</v>
          </cell>
          <cell r="EA48">
            <v>4.1000000000000002E-2</v>
          </cell>
          <cell r="ED48">
            <v>0</v>
          </cell>
          <cell r="EE48">
            <v>0</v>
          </cell>
          <cell r="EF48">
            <v>0</v>
          </cell>
          <cell r="EG48">
            <v>0</v>
          </cell>
          <cell r="EH48">
            <v>0</v>
          </cell>
          <cell r="EI48">
            <v>0</v>
          </cell>
          <cell r="EJ48">
            <v>0</v>
          </cell>
          <cell r="EK48">
            <v>0</v>
          </cell>
        </row>
        <row r="49">
          <cell r="C49" t="str">
            <v>OPP-411104</v>
          </cell>
          <cell r="D49" t="str">
            <v>DOE SC ORNL M&amp;O (Oak Ridge National Laboratory)</v>
          </cell>
          <cell r="E49" t="str">
            <v>Identified - New</v>
          </cell>
          <cell r="F49" t="str">
            <v>Minority</v>
          </cell>
          <cell r="G49">
            <v>0</v>
          </cell>
          <cell r="H49" t="str">
            <v>NE</v>
          </cell>
          <cell r="I49" t="str">
            <v>NE HLW &amp; NNSA Operations</v>
          </cell>
          <cell r="J49" t="str">
            <v>DOE-NNSA</v>
          </cell>
          <cell r="K49" t="str">
            <v>Cost Plus</v>
          </cell>
          <cell r="L49">
            <v>44652</v>
          </cell>
          <cell r="M49">
            <v>48305</v>
          </cell>
          <cell r="N49">
            <v>0</v>
          </cell>
          <cell r="O49">
            <v>0</v>
          </cell>
          <cell r="P49">
            <v>0</v>
          </cell>
          <cell r="Q49">
            <v>0</v>
          </cell>
          <cell r="R49">
            <v>0</v>
          </cell>
          <cell r="S49">
            <v>0</v>
          </cell>
          <cell r="T49">
            <v>0</v>
          </cell>
          <cell r="U49">
            <v>0</v>
          </cell>
          <cell r="V49" t="str">
            <v>01 Prospect</v>
          </cell>
          <cell r="W49" t="str">
            <v>Priority 2</v>
          </cell>
          <cell r="X49">
            <v>2700000000</v>
          </cell>
          <cell r="Y49">
            <v>1323000000</v>
          </cell>
          <cell r="Z49">
            <v>0.25</v>
          </cell>
          <cell r="AB49">
            <v>132300000</v>
          </cell>
          <cell r="AD49">
            <v>0.49</v>
          </cell>
          <cell r="AF49">
            <v>0</v>
          </cell>
          <cell r="AG49">
            <v>0</v>
          </cell>
          <cell r="AH49">
            <v>0</v>
          </cell>
          <cell r="AI49">
            <v>0</v>
          </cell>
          <cell r="AJ49">
            <v>0</v>
          </cell>
          <cell r="AK49">
            <v>0</v>
          </cell>
          <cell r="AL49">
            <v>0</v>
          </cell>
          <cell r="AM49">
            <v>0</v>
          </cell>
          <cell r="AO49">
            <v>0</v>
          </cell>
          <cell r="AP49">
            <v>0</v>
          </cell>
          <cell r="AQ49">
            <v>0</v>
          </cell>
          <cell r="AR49">
            <v>0</v>
          </cell>
          <cell r="AS49">
            <v>0</v>
          </cell>
          <cell r="AT49">
            <v>0</v>
          </cell>
          <cell r="AU49">
            <v>0</v>
          </cell>
          <cell r="AV49">
            <v>0</v>
          </cell>
          <cell r="AX49">
            <v>0</v>
          </cell>
          <cell r="AY49">
            <v>0</v>
          </cell>
          <cell r="AZ49">
            <v>0</v>
          </cell>
          <cell r="BA49">
            <v>4.1000000000000002E-2</v>
          </cell>
          <cell r="BB49">
            <v>4.1000000000000002E-2</v>
          </cell>
          <cell r="BC49">
            <v>4.1000000000000002E-2</v>
          </cell>
          <cell r="BD49">
            <v>4.1000000000000002E-2</v>
          </cell>
          <cell r="BE49">
            <v>4.1000000000000002E-2</v>
          </cell>
          <cell r="BG49">
            <v>0</v>
          </cell>
          <cell r="BH49">
            <v>0</v>
          </cell>
          <cell r="BI49">
            <v>0</v>
          </cell>
          <cell r="BJ49">
            <v>0</v>
          </cell>
          <cell r="BK49">
            <v>0</v>
          </cell>
          <cell r="BL49">
            <v>0</v>
          </cell>
          <cell r="BM49">
            <v>0</v>
          </cell>
          <cell r="BN49">
            <v>0</v>
          </cell>
          <cell r="BP49">
            <v>0</v>
          </cell>
          <cell r="BQ49">
            <v>0</v>
          </cell>
          <cell r="BR49">
            <v>0</v>
          </cell>
          <cell r="BS49">
            <v>0</v>
          </cell>
          <cell r="BT49">
            <v>0</v>
          </cell>
          <cell r="BU49">
            <v>0</v>
          </cell>
          <cell r="BV49">
            <v>16445625</v>
          </cell>
          <cell r="BW49">
            <v>33075000</v>
          </cell>
          <cell r="BY49">
            <v>0</v>
          </cell>
          <cell r="BZ49">
            <v>0</v>
          </cell>
          <cell r="CA49">
            <v>0</v>
          </cell>
          <cell r="CB49">
            <v>0</v>
          </cell>
          <cell r="CC49">
            <v>0</v>
          </cell>
          <cell r="CD49">
            <v>0</v>
          </cell>
          <cell r="CE49">
            <v>0</v>
          </cell>
          <cell r="CF49">
            <v>0</v>
          </cell>
          <cell r="CH49">
            <v>0</v>
          </cell>
          <cell r="CI49">
            <v>0</v>
          </cell>
          <cell r="CJ49">
            <v>0</v>
          </cell>
          <cell r="CK49">
            <v>0</v>
          </cell>
          <cell r="CL49">
            <v>0</v>
          </cell>
          <cell r="CM49">
            <v>0</v>
          </cell>
          <cell r="CN49">
            <v>674270.625</v>
          </cell>
          <cell r="CO49">
            <v>1356075</v>
          </cell>
          <cell r="CQ49">
            <v>0</v>
          </cell>
          <cell r="CR49">
            <v>0</v>
          </cell>
          <cell r="CS49">
            <v>0</v>
          </cell>
          <cell r="CT49">
            <v>0</v>
          </cell>
          <cell r="CU49">
            <v>0</v>
          </cell>
          <cell r="CV49">
            <v>0</v>
          </cell>
          <cell r="CW49">
            <v>-674270.625</v>
          </cell>
          <cell r="CX49">
            <v>-1356075</v>
          </cell>
          <cell r="CZ49">
            <v>0</v>
          </cell>
          <cell r="DA49">
            <v>0</v>
          </cell>
          <cell r="DB49">
            <v>0</v>
          </cell>
          <cell r="DC49">
            <v>0</v>
          </cell>
          <cell r="DD49">
            <v>0</v>
          </cell>
          <cell r="DE49">
            <v>0</v>
          </cell>
          <cell r="DF49">
            <v>0</v>
          </cell>
          <cell r="DG49">
            <v>0</v>
          </cell>
          <cell r="DI49">
            <v>0</v>
          </cell>
          <cell r="DJ49">
            <v>0</v>
          </cell>
          <cell r="DK49">
            <v>0</v>
          </cell>
          <cell r="DL49">
            <v>0</v>
          </cell>
          <cell r="DM49">
            <v>0</v>
          </cell>
          <cell r="DN49">
            <v>0</v>
          </cell>
          <cell r="DO49">
            <v>0</v>
          </cell>
          <cell r="DP49">
            <v>0</v>
          </cell>
          <cell r="DR49" t="str">
            <v>OPP-411104 - Identified - New</v>
          </cell>
          <cell r="DS49" t="str">
            <v>OPP-411104 - Identified - New - NE</v>
          </cell>
          <cell r="DX49">
            <v>4.1000000000000002E-2</v>
          </cell>
          <cell r="DY49">
            <v>4.1000000000000002E-2</v>
          </cell>
          <cell r="DZ49">
            <v>4.1000000000000002E-2</v>
          </cell>
          <cell r="EA49">
            <v>4.1000000000000002E-2</v>
          </cell>
          <cell r="ED49">
            <v>0</v>
          </cell>
          <cell r="EE49">
            <v>0</v>
          </cell>
          <cell r="EF49">
            <v>0</v>
          </cell>
          <cell r="EG49">
            <v>0</v>
          </cell>
          <cell r="EH49">
            <v>0</v>
          </cell>
          <cell r="EI49">
            <v>0</v>
          </cell>
          <cell r="EJ49">
            <v>0</v>
          </cell>
          <cell r="EK49">
            <v>0</v>
          </cell>
        </row>
        <row r="50">
          <cell r="C50" t="str">
            <v>OPP-885599</v>
          </cell>
          <cell r="D50" t="str">
            <v>SM-1 Reactor D&amp;D (MS Portion)</v>
          </cell>
          <cell r="E50" t="str">
            <v>Identified - New</v>
          </cell>
          <cell r="F50" t="str">
            <v>Minority</v>
          </cell>
          <cell r="G50">
            <v>0</v>
          </cell>
          <cell r="H50" t="str">
            <v>NE</v>
          </cell>
          <cell r="I50" t="str">
            <v>NE DD and WM Projects</v>
          </cell>
          <cell r="J50" t="str">
            <v>DoD</v>
          </cell>
          <cell r="K50" t="str">
            <v>Multi</v>
          </cell>
          <cell r="L50">
            <v>43982</v>
          </cell>
          <cell r="M50">
            <v>45808</v>
          </cell>
          <cell r="N50">
            <v>0</v>
          </cell>
          <cell r="O50">
            <v>0</v>
          </cell>
          <cell r="P50">
            <v>0</v>
          </cell>
          <cell r="Q50">
            <v>0</v>
          </cell>
          <cell r="R50">
            <v>0</v>
          </cell>
          <cell r="S50">
            <v>0</v>
          </cell>
          <cell r="T50">
            <v>0</v>
          </cell>
          <cell r="U50">
            <v>0</v>
          </cell>
          <cell r="V50" t="str">
            <v>02 Capture</v>
          </cell>
          <cell r="W50" t="str">
            <v>Priority 3</v>
          </cell>
          <cell r="X50">
            <v>100000000</v>
          </cell>
          <cell r="Y50">
            <v>22000000</v>
          </cell>
          <cell r="Z50">
            <v>0.35</v>
          </cell>
          <cell r="AB50">
            <v>4400000</v>
          </cell>
          <cell r="AD50">
            <v>0.22</v>
          </cell>
          <cell r="AF50">
            <v>0</v>
          </cell>
          <cell r="AG50">
            <v>0</v>
          </cell>
          <cell r="AH50">
            <v>0</v>
          </cell>
          <cell r="AI50">
            <v>0</v>
          </cell>
          <cell r="AJ50">
            <v>0</v>
          </cell>
          <cell r="AK50">
            <v>0</v>
          </cell>
          <cell r="AL50">
            <v>0</v>
          </cell>
          <cell r="AM50">
            <v>0</v>
          </cell>
          <cell r="AO50">
            <v>0</v>
          </cell>
          <cell r="AP50">
            <v>0</v>
          </cell>
          <cell r="AQ50">
            <v>0</v>
          </cell>
          <cell r="AR50">
            <v>0</v>
          </cell>
          <cell r="AS50">
            <v>0</v>
          </cell>
          <cell r="AT50">
            <v>0</v>
          </cell>
          <cell r="AU50">
            <v>0</v>
          </cell>
          <cell r="AV50">
            <v>0</v>
          </cell>
          <cell r="AX50">
            <v>0</v>
          </cell>
          <cell r="AY50">
            <v>0</v>
          </cell>
          <cell r="AZ50">
            <v>0</v>
          </cell>
          <cell r="BA50">
            <v>4.1000000000000002E-2</v>
          </cell>
          <cell r="BB50">
            <v>4.1000000000000002E-2</v>
          </cell>
          <cell r="BC50">
            <v>4.1000000000000002E-2</v>
          </cell>
          <cell r="BD50">
            <v>4.1000000000000002E-2</v>
          </cell>
          <cell r="BE50">
            <v>4.1000000000000002E-2</v>
          </cell>
          <cell r="BG50">
            <v>0</v>
          </cell>
          <cell r="BH50">
            <v>0</v>
          </cell>
          <cell r="BI50">
            <v>0</v>
          </cell>
          <cell r="BJ50">
            <v>0</v>
          </cell>
          <cell r="BK50">
            <v>0</v>
          </cell>
          <cell r="BL50">
            <v>0</v>
          </cell>
          <cell r="BM50">
            <v>0</v>
          </cell>
          <cell r="BN50">
            <v>0</v>
          </cell>
          <cell r="BP50">
            <v>0</v>
          </cell>
          <cell r="BQ50">
            <v>0</v>
          </cell>
          <cell r="BR50">
            <v>0</v>
          </cell>
          <cell r="BS50">
            <v>0</v>
          </cell>
          <cell r="BT50">
            <v>0</v>
          </cell>
          <cell r="BU50">
            <v>2053333.333333333</v>
          </cell>
          <cell r="BV50">
            <v>1540000</v>
          </cell>
          <cell r="BW50">
            <v>1540000</v>
          </cell>
          <cell r="BY50">
            <v>0</v>
          </cell>
          <cell r="BZ50">
            <v>0</v>
          </cell>
          <cell r="CA50">
            <v>0</v>
          </cell>
          <cell r="CB50">
            <v>0</v>
          </cell>
          <cell r="CC50">
            <v>0</v>
          </cell>
          <cell r="CD50">
            <v>0</v>
          </cell>
          <cell r="CE50">
            <v>0</v>
          </cell>
          <cell r="CF50">
            <v>0</v>
          </cell>
          <cell r="CH50">
            <v>0</v>
          </cell>
          <cell r="CI50">
            <v>0</v>
          </cell>
          <cell r="CJ50">
            <v>0</v>
          </cell>
          <cell r="CK50">
            <v>0</v>
          </cell>
          <cell r="CL50">
            <v>0</v>
          </cell>
          <cell r="CM50">
            <v>84186.666666666657</v>
          </cell>
          <cell r="CN50">
            <v>63140</v>
          </cell>
          <cell r="CO50">
            <v>63140</v>
          </cell>
          <cell r="CQ50">
            <v>0</v>
          </cell>
          <cell r="CR50">
            <v>0</v>
          </cell>
          <cell r="CS50">
            <v>0</v>
          </cell>
          <cell r="CT50">
            <v>0</v>
          </cell>
          <cell r="CU50">
            <v>0</v>
          </cell>
          <cell r="CV50">
            <v>-84186.666666666657</v>
          </cell>
          <cell r="CW50">
            <v>-63140</v>
          </cell>
          <cell r="CX50">
            <v>-63140</v>
          </cell>
          <cell r="CZ50">
            <v>0</v>
          </cell>
          <cell r="DA50">
            <v>0</v>
          </cell>
          <cell r="DB50">
            <v>0</v>
          </cell>
          <cell r="DC50">
            <v>0</v>
          </cell>
          <cell r="DD50">
            <v>0</v>
          </cell>
          <cell r="DE50">
            <v>0</v>
          </cell>
          <cell r="DF50">
            <v>0</v>
          </cell>
          <cell r="DG50">
            <v>0</v>
          </cell>
          <cell r="DI50">
            <v>0</v>
          </cell>
          <cell r="DJ50">
            <v>0</v>
          </cell>
          <cell r="DK50">
            <v>0</v>
          </cell>
          <cell r="DL50">
            <v>0</v>
          </cell>
          <cell r="DM50">
            <v>0</v>
          </cell>
          <cell r="DN50">
            <v>0</v>
          </cell>
          <cell r="DO50">
            <v>0</v>
          </cell>
          <cell r="DP50">
            <v>0</v>
          </cell>
          <cell r="DR50" t="str">
            <v>OPP-885599 - Identified - New</v>
          </cell>
          <cell r="DS50" t="str">
            <v>OPP-885599 - Identified - New - NE</v>
          </cell>
          <cell r="DX50">
            <v>4.1000000000000002E-2</v>
          </cell>
          <cell r="DY50">
            <v>4.1000000000000002E-2</v>
          </cell>
          <cell r="DZ50">
            <v>4.1000000000000002E-2</v>
          </cell>
          <cell r="EA50">
            <v>4.1000000000000002E-2</v>
          </cell>
          <cell r="ED50">
            <v>0</v>
          </cell>
          <cell r="EE50">
            <v>0</v>
          </cell>
          <cell r="EF50">
            <v>0</v>
          </cell>
          <cell r="EG50">
            <v>0</v>
          </cell>
          <cell r="EH50">
            <v>0</v>
          </cell>
          <cell r="EI50">
            <v>0</v>
          </cell>
          <cell r="EJ50">
            <v>0</v>
          </cell>
          <cell r="EK50">
            <v>0</v>
          </cell>
        </row>
        <row r="51">
          <cell r="C51" t="str">
            <v>OPP-625519</v>
          </cell>
          <cell r="D51" t="str">
            <v>CNL Chalk River Site Utilities Revitalization Work Package #3 (MS Portion - FY19)</v>
          </cell>
          <cell r="E51" t="str">
            <v>Identified - New</v>
          </cell>
          <cell r="F51" t="str">
            <v>Minority</v>
          </cell>
          <cell r="G51">
            <v>0</v>
          </cell>
          <cell r="H51" t="str">
            <v>NE</v>
          </cell>
          <cell r="I51" t="str">
            <v>NE International Programs</v>
          </cell>
          <cell r="J51" t="str">
            <v>Other Foreign Gov't</v>
          </cell>
          <cell r="K51" t="str">
            <v>Cost Plus</v>
          </cell>
          <cell r="L51">
            <v>43921</v>
          </cell>
          <cell r="M51">
            <v>45747</v>
          </cell>
          <cell r="N51">
            <v>0</v>
          </cell>
          <cell r="O51">
            <v>0</v>
          </cell>
          <cell r="P51">
            <v>0</v>
          </cell>
          <cell r="Q51">
            <v>0</v>
          </cell>
          <cell r="R51">
            <v>0</v>
          </cell>
          <cell r="S51">
            <v>0</v>
          </cell>
          <cell r="T51">
            <v>0</v>
          </cell>
          <cell r="U51">
            <v>0</v>
          </cell>
          <cell r="V51" t="str">
            <v>02 Capture</v>
          </cell>
          <cell r="W51" t="str">
            <v>Priority 3</v>
          </cell>
          <cell r="X51">
            <v>1140000.4099999999</v>
          </cell>
          <cell r="Y51">
            <v>558600.20089999994</v>
          </cell>
          <cell r="Z51">
            <v>0.4</v>
          </cell>
          <cell r="AB51">
            <v>111720.04017999998</v>
          </cell>
          <cell r="AD51">
            <v>0.49</v>
          </cell>
          <cell r="AF51">
            <v>0</v>
          </cell>
          <cell r="AG51">
            <v>0</v>
          </cell>
          <cell r="AH51">
            <v>0</v>
          </cell>
          <cell r="AI51">
            <v>0</v>
          </cell>
          <cell r="AJ51">
            <v>0</v>
          </cell>
          <cell r="AK51">
            <v>0</v>
          </cell>
          <cell r="AL51">
            <v>0</v>
          </cell>
          <cell r="AM51">
            <v>0</v>
          </cell>
          <cell r="AO51">
            <v>0</v>
          </cell>
          <cell r="AP51">
            <v>0</v>
          </cell>
          <cell r="AQ51">
            <v>0</v>
          </cell>
          <cell r="AR51">
            <v>0</v>
          </cell>
          <cell r="AS51">
            <v>0</v>
          </cell>
          <cell r="AT51">
            <v>0</v>
          </cell>
          <cell r="AU51">
            <v>0</v>
          </cell>
          <cell r="AV51">
            <v>0</v>
          </cell>
          <cell r="AX51">
            <v>0</v>
          </cell>
          <cell r="AY51">
            <v>0</v>
          </cell>
          <cell r="AZ51">
            <v>0</v>
          </cell>
          <cell r="BA51">
            <v>4.1000000000000002E-2</v>
          </cell>
          <cell r="BB51">
            <v>4.1000000000000002E-2</v>
          </cell>
          <cell r="BC51">
            <v>4.1000000000000002E-2</v>
          </cell>
          <cell r="BD51">
            <v>4.1000000000000002E-2</v>
          </cell>
          <cell r="BE51">
            <v>4.1000000000000002E-2</v>
          </cell>
          <cell r="BG51">
            <v>0</v>
          </cell>
          <cell r="BH51">
            <v>0</v>
          </cell>
          <cell r="BI51">
            <v>0</v>
          </cell>
          <cell r="BJ51">
            <v>0</v>
          </cell>
          <cell r="BK51">
            <v>0</v>
          </cell>
          <cell r="BL51">
            <v>0</v>
          </cell>
          <cell r="BM51">
            <v>0</v>
          </cell>
          <cell r="BN51">
            <v>0</v>
          </cell>
          <cell r="BP51">
            <v>0</v>
          </cell>
          <cell r="BQ51">
            <v>0</v>
          </cell>
          <cell r="BR51">
            <v>0</v>
          </cell>
          <cell r="BS51">
            <v>0</v>
          </cell>
          <cell r="BT51">
            <v>22344.008035999999</v>
          </cell>
          <cell r="BU51">
            <v>44688.016071999999</v>
          </cell>
          <cell r="BV51">
            <v>44688.016071999999</v>
          </cell>
          <cell r="BW51">
            <v>44688.016071999999</v>
          </cell>
          <cell r="BY51">
            <v>0</v>
          </cell>
          <cell r="BZ51">
            <v>0</v>
          </cell>
          <cell r="CA51">
            <v>0</v>
          </cell>
          <cell r="CB51">
            <v>0</v>
          </cell>
          <cell r="CC51">
            <v>0</v>
          </cell>
          <cell r="CD51">
            <v>0</v>
          </cell>
          <cell r="CE51">
            <v>0</v>
          </cell>
          <cell r="CF51">
            <v>0</v>
          </cell>
          <cell r="CH51">
            <v>0</v>
          </cell>
          <cell r="CI51">
            <v>0</v>
          </cell>
          <cell r="CJ51">
            <v>0</v>
          </cell>
          <cell r="CK51">
            <v>0</v>
          </cell>
          <cell r="CL51">
            <v>916.10432947599998</v>
          </cell>
          <cell r="CM51">
            <v>1832.208658952</v>
          </cell>
          <cell r="CN51">
            <v>1832.208658952</v>
          </cell>
          <cell r="CO51">
            <v>1832.208658952</v>
          </cell>
          <cell r="CQ51">
            <v>0</v>
          </cell>
          <cell r="CR51">
            <v>0</v>
          </cell>
          <cell r="CS51">
            <v>0</v>
          </cell>
          <cell r="CT51">
            <v>0</v>
          </cell>
          <cell r="CU51">
            <v>-916.10432947599998</v>
          </cell>
          <cell r="CV51">
            <v>-1832.208658952</v>
          </cell>
          <cell r="CW51">
            <v>-1832.208658952</v>
          </cell>
          <cell r="CX51">
            <v>-1832.208658952</v>
          </cell>
          <cell r="CZ51">
            <v>0</v>
          </cell>
          <cell r="DA51">
            <v>0</v>
          </cell>
          <cell r="DB51">
            <v>0</v>
          </cell>
          <cell r="DC51">
            <v>0</v>
          </cell>
          <cell r="DD51">
            <v>0</v>
          </cell>
          <cell r="DE51">
            <v>0</v>
          </cell>
          <cell r="DF51">
            <v>0</v>
          </cell>
          <cell r="DG51">
            <v>0</v>
          </cell>
          <cell r="DI51">
            <v>0</v>
          </cell>
          <cell r="DJ51">
            <v>0</v>
          </cell>
          <cell r="DK51">
            <v>0</v>
          </cell>
          <cell r="DL51">
            <v>0</v>
          </cell>
          <cell r="DM51">
            <v>0</v>
          </cell>
          <cell r="DN51">
            <v>0</v>
          </cell>
          <cell r="DO51">
            <v>0</v>
          </cell>
          <cell r="DP51">
            <v>0</v>
          </cell>
          <cell r="DR51" t="str">
            <v>OPP-625519 - Identified - New</v>
          </cell>
          <cell r="DS51" t="str">
            <v>OPP-625519 - Identified - New - NE</v>
          </cell>
          <cell r="DX51">
            <v>4.1000000000000002E-2</v>
          </cell>
          <cell r="DY51">
            <v>4.1000000000000002E-2</v>
          </cell>
          <cell r="DZ51">
            <v>4.1000000000000002E-2</v>
          </cell>
          <cell r="EA51">
            <v>4.1000000000000002E-2</v>
          </cell>
          <cell r="ED51">
            <v>0</v>
          </cell>
          <cell r="EE51">
            <v>0</v>
          </cell>
          <cell r="EF51">
            <v>0</v>
          </cell>
          <cell r="EG51">
            <v>0</v>
          </cell>
          <cell r="EH51">
            <v>0</v>
          </cell>
          <cell r="EI51">
            <v>0</v>
          </cell>
          <cell r="EJ51">
            <v>0</v>
          </cell>
          <cell r="EK51">
            <v>0</v>
          </cell>
        </row>
        <row r="52">
          <cell r="C52" t="str">
            <v>OPP-900972</v>
          </cell>
          <cell r="D52" t="str">
            <v>Submarine D&amp;D</v>
          </cell>
          <cell r="E52" t="str">
            <v>Identified - New</v>
          </cell>
          <cell r="F52" t="str">
            <v>Minority</v>
          </cell>
          <cell r="G52">
            <v>0</v>
          </cell>
          <cell r="H52" t="str">
            <v>NE</v>
          </cell>
          <cell r="I52" t="str">
            <v>NE International Programs</v>
          </cell>
          <cell r="J52" t="str">
            <v>Other Foreign Gov't</v>
          </cell>
          <cell r="K52" t="str">
            <v>Cost Plus Incentive Fee</v>
          </cell>
          <cell r="L52">
            <v>44387</v>
          </cell>
          <cell r="M52">
            <v>46213</v>
          </cell>
          <cell r="N52">
            <v>0</v>
          </cell>
          <cell r="O52">
            <v>0</v>
          </cell>
          <cell r="P52">
            <v>0</v>
          </cell>
          <cell r="Q52">
            <v>0</v>
          </cell>
          <cell r="R52">
            <v>0</v>
          </cell>
          <cell r="S52">
            <v>0</v>
          </cell>
          <cell r="T52">
            <v>0</v>
          </cell>
          <cell r="U52">
            <v>0</v>
          </cell>
          <cell r="V52" t="str">
            <v>01 Prospect</v>
          </cell>
          <cell r="W52" t="str">
            <v>Priority 1</v>
          </cell>
          <cell r="X52">
            <v>242853000</v>
          </cell>
          <cell r="Y52">
            <v>97141200</v>
          </cell>
          <cell r="Z52">
            <v>0.25</v>
          </cell>
          <cell r="AB52">
            <v>19428240</v>
          </cell>
          <cell r="AD52">
            <v>0.4</v>
          </cell>
          <cell r="AF52">
            <v>0</v>
          </cell>
          <cell r="AG52">
            <v>0</v>
          </cell>
          <cell r="AH52">
            <v>0</v>
          </cell>
          <cell r="AI52">
            <v>0</v>
          </cell>
          <cell r="AJ52">
            <v>0</v>
          </cell>
          <cell r="AK52">
            <v>0</v>
          </cell>
          <cell r="AL52">
            <v>0</v>
          </cell>
          <cell r="AM52">
            <v>0</v>
          </cell>
          <cell r="AO52">
            <v>0</v>
          </cell>
          <cell r="AP52">
            <v>0</v>
          </cell>
          <cell r="AQ52">
            <v>0</v>
          </cell>
          <cell r="AR52">
            <v>0</v>
          </cell>
          <cell r="AS52">
            <v>0</v>
          </cell>
          <cell r="AT52">
            <v>0</v>
          </cell>
          <cell r="AU52">
            <v>0</v>
          </cell>
          <cell r="AV52">
            <v>0</v>
          </cell>
          <cell r="AX52">
            <v>0</v>
          </cell>
          <cell r="AY52">
            <v>0</v>
          </cell>
          <cell r="AZ52">
            <v>0</v>
          </cell>
          <cell r="BA52">
            <v>0</v>
          </cell>
          <cell r="BB52">
            <v>0</v>
          </cell>
          <cell r="BC52">
            <v>2.5000000000000001E-2</v>
          </cell>
          <cell r="BD52">
            <v>2.5000000000000001E-2</v>
          </cell>
          <cell r="BE52">
            <v>2.5000000000000001E-2</v>
          </cell>
          <cell r="BG52">
            <v>0</v>
          </cell>
          <cell r="BH52">
            <v>0</v>
          </cell>
          <cell r="BI52">
            <v>0</v>
          </cell>
          <cell r="BJ52">
            <v>0</v>
          </cell>
          <cell r="BK52">
            <v>0</v>
          </cell>
          <cell r="BL52">
            <v>0</v>
          </cell>
          <cell r="BM52">
            <v>0</v>
          </cell>
          <cell r="BN52">
            <v>0</v>
          </cell>
          <cell r="BP52">
            <v>0</v>
          </cell>
          <cell r="BQ52">
            <v>0</v>
          </cell>
          <cell r="BR52">
            <v>0</v>
          </cell>
          <cell r="BS52">
            <v>0</v>
          </cell>
          <cell r="BT52">
            <v>0</v>
          </cell>
          <cell r="BU52">
            <v>1079346.6666666665</v>
          </cell>
          <cell r="BV52">
            <v>4857060</v>
          </cell>
          <cell r="BW52">
            <v>4857060</v>
          </cell>
          <cell r="BY52">
            <v>0</v>
          </cell>
          <cell r="BZ52">
            <v>0</v>
          </cell>
          <cell r="CA52">
            <v>0</v>
          </cell>
          <cell r="CB52">
            <v>0</v>
          </cell>
          <cell r="CC52">
            <v>0</v>
          </cell>
          <cell r="CD52">
            <v>0</v>
          </cell>
          <cell r="CE52">
            <v>0</v>
          </cell>
          <cell r="CF52">
            <v>0</v>
          </cell>
          <cell r="CH52">
            <v>0</v>
          </cell>
          <cell r="CI52">
            <v>0</v>
          </cell>
          <cell r="CJ52">
            <v>0</v>
          </cell>
          <cell r="CK52">
            <v>0</v>
          </cell>
          <cell r="CL52">
            <v>0</v>
          </cell>
          <cell r="CM52">
            <v>26983.666666666664</v>
          </cell>
          <cell r="CN52">
            <v>121426.5</v>
          </cell>
          <cell r="CO52">
            <v>121426.5</v>
          </cell>
          <cell r="CQ52">
            <v>0</v>
          </cell>
          <cell r="CR52">
            <v>0</v>
          </cell>
          <cell r="CS52">
            <v>0</v>
          </cell>
          <cell r="CT52">
            <v>0</v>
          </cell>
          <cell r="CU52">
            <v>0</v>
          </cell>
          <cell r="CV52">
            <v>-26983.666666666664</v>
          </cell>
          <cell r="CW52">
            <v>-121426.5</v>
          </cell>
          <cell r="CX52">
            <v>-121426.5</v>
          </cell>
          <cell r="CZ52">
            <v>0</v>
          </cell>
          <cell r="DA52">
            <v>0</v>
          </cell>
          <cell r="DB52">
            <v>0</v>
          </cell>
          <cell r="DC52">
            <v>0</v>
          </cell>
          <cell r="DD52">
            <v>0</v>
          </cell>
          <cell r="DE52">
            <v>0</v>
          </cell>
          <cell r="DF52">
            <v>0</v>
          </cell>
          <cell r="DG52">
            <v>0</v>
          </cell>
          <cell r="DI52">
            <v>0</v>
          </cell>
          <cell r="DJ52">
            <v>0</v>
          </cell>
          <cell r="DK52">
            <v>0</v>
          </cell>
          <cell r="DL52">
            <v>0</v>
          </cell>
          <cell r="DM52">
            <v>0</v>
          </cell>
          <cell r="DN52">
            <v>0</v>
          </cell>
          <cell r="DO52">
            <v>0</v>
          </cell>
          <cell r="DP52">
            <v>0</v>
          </cell>
          <cell r="DR52" t="str">
            <v>OPP-900972 - Identified - New</v>
          </cell>
          <cell r="DS52" t="str">
            <v>OPP-900972 - Identified - New - NE</v>
          </cell>
          <cell r="DX52">
            <v>0</v>
          </cell>
          <cell r="DY52">
            <v>2.5000000000000001E-2</v>
          </cell>
          <cell r="DZ52">
            <v>2.5000000000000001E-2</v>
          </cell>
          <cell r="EA52">
            <v>2.5000000000000001E-2</v>
          </cell>
          <cell r="ED52">
            <v>0</v>
          </cell>
          <cell r="EE52">
            <v>0</v>
          </cell>
          <cell r="EF52">
            <v>0</v>
          </cell>
          <cell r="EG52">
            <v>0</v>
          </cell>
          <cell r="EH52">
            <v>0</v>
          </cell>
          <cell r="EI52">
            <v>0</v>
          </cell>
          <cell r="EJ52">
            <v>0</v>
          </cell>
          <cell r="EK52">
            <v>0</v>
          </cell>
        </row>
        <row r="53">
          <cell r="C53" t="str">
            <v>OPP-475254</v>
          </cell>
          <cell r="D53" t="str">
            <v>MoD Vulcan D&amp;D (MS Portion)</v>
          </cell>
          <cell r="E53" t="str">
            <v>Identified - New</v>
          </cell>
          <cell r="F53" t="str">
            <v>Majority</v>
          </cell>
          <cell r="G53">
            <v>1</v>
          </cell>
          <cell r="H53" t="str">
            <v>NE</v>
          </cell>
          <cell r="I53" t="str">
            <v>NE International Programs</v>
          </cell>
          <cell r="J53" t="str">
            <v>Other Foreign Gov't</v>
          </cell>
          <cell r="K53" t="str">
            <v>Cost Plus Incentive Fee</v>
          </cell>
          <cell r="L53">
            <v>44958</v>
          </cell>
          <cell r="M53">
            <v>46784</v>
          </cell>
          <cell r="N53">
            <v>0</v>
          </cell>
          <cell r="O53">
            <v>0</v>
          </cell>
          <cell r="P53">
            <v>0</v>
          </cell>
          <cell r="Q53">
            <v>0</v>
          </cell>
          <cell r="R53">
            <v>0</v>
          </cell>
          <cell r="S53">
            <v>0</v>
          </cell>
          <cell r="T53">
            <v>0</v>
          </cell>
          <cell r="U53">
            <v>0</v>
          </cell>
          <cell r="V53" t="str">
            <v>00 Investigate</v>
          </cell>
          <cell r="W53" t="str">
            <v>Priority 1</v>
          </cell>
          <cell r="X53">
            <v>242853000</v>
          </cell>
          <cell r="Y53">
            <v>145711800</v>
          </cell>
          <cell r="Z53">
            <v>0.3</v>
          </cell>
          <cell r="AB53">
            <v>48570600</v>
          </cell>
          <cell r="AD53">
            <v>0.6</v>
          </cell>
          <cell r="AF53">
            <v>0</v>
          </cell>
          <cell r="AG53">
            <v>0</v>
          </cell>
          <cell r="AH53">
            <v>0</v>
          </cell>
          <cell r="AI53">
            <v>0</v>
          </cell>
          <cell r="AJ53">
            <v>0</v>
          </cell>
          <cell r="AK53">
            <v>0</v>
          </cell>
          <cell r="AL53">
            <v>0</v>
          </cell>
          <cell r="AM53">
            <v>0.05</v>
          </cell>
          <cell r="AO53">
            <v>0</v>
          </cell>
          <cell r="AP53">
            <v>0</v>
          </cell>
          <cell r="AQ53">
            <v>0</v>
          </cell>
          <cell r="AR53">
            <v>0</v>
          </cell>
          <cell r="AS53">
            <v>0</v>
          </cell>
          <cell r="AT53">
            <v>0</v>
          </cell>
          <cell r="AU53">
            <v>0</v>
          </cell>
          <cell r="AV53">
            <v>2.5000000000000001E-2</v>
          </cell>
          <cell r="AX53">
            <v>0</v>
          </cell>
          <cell r="AY53">
            <v>0</v>
          </cell>
          <cell r="AZ53">
            <v>0</v>
          </cell>
          <cell r="BA53">
            <v>0</v>
          </cell>
          <cell r="BB53">
            <v>0</v>
          </cell>
          <cell r="BC53">
            <v>0</v>
          </cell>
          <cell r="BD53">
            <v>0</v>
          </cell>
          <cell r="BE53">
            <v>0</v>
          </cell>
          <cell r="BG53">
            <v>0</v>
          </cell>
          <cell r="BH53">
            <v>0</v>
          </cell>
          <cell r="BI53">
            <v>0</v>
          </cell>
          <cell r="BJ53">
            <v>0</v>
          </cell>
          <cell r="BK53">
            <v>0</v>
          </cell>
          <cell r="BL53">
            <v>0</v>
          </cell>
          <cell r="BM53">
            <v>0</v>
          </cell>
          <cell r="BN53">
            <v>9673644.4999999981</v>
          </cell>
          <cell r="BP53">
            <v>0</v>
          </cell>
          <cell r="BQ53">
            <v>0</v>
          </cell>
          <cell r="BR53">
            <v>0</v>
          </cell>
          <cell r="BS53">
            <v>0</v>
          </cell>
          <cell r="BT53">
            <v>0</v>
          </cell>
          <cell r="BU53">
            <v>0</v>
          </cell>
          <cell r="BV53">
            <v>0</v>
          </cell>
          <cell r="BW53">
            <v>0</v>
          </cell>
          <cell r="BY53">
            <v>0</v>
          </cell>
          <cell r="BZ53">
            <v>0</v>
          </cell>
          <cell r="CA53">
            <v>0</v>
          </cell>
          <cell r="CB53">
            <v>0</v>
          </cell>
          <cell r="CC53">
            <v>0</v>
          </cell>
          <cell r="CD53">
            <v>0</v>
          </cell>
          <cell r="CE53">
            <v>0</v>
          </cell>
          <cell r="CF53">
            <v>483682.22499999992</v>
          </cell>
          <cell r="CH53">
            <v>0</v>
          </cell>
          <cell r="CI53">
            <v>0</v>
          </cell>
          <cell r="CJ53">
            <v>0</v>
          </cell>
          <cell r="CK53">
            <v>0</v>
          </cell>
          <cell r="CL53">
            <v>0</v>
          </cell>
          <cell r="CM53">
            <v>0</v>
          </cell>
          <cell r="CN53">
            <v>0</v>
          </cell>
          <cell r="CO53">
            <v>241841.11249999996</v>
          </cell>
          <cell r="CQ53">
            <v>0</v>
          </cell>
          <cell r="CR53">
            <v>0</v>
          </cell>
          <cell r="CS53">
            <v>0</v>
          </cell>
          <cell r="CT53">
            <v>0</v>
          </cell>
          <cell r="CU53">
            <v>0</v>
          </cell>
          <cell r="CV53">
            <v>0</v>
          </cell>
          <cell r="CW53">
            <v>0</v>
          </cell>
          <cell r="CX53">
            <v>0</v>
          </cell>
          <cell r="CZ53">
            <v>0</v>
          </cell>
          <cell r="DA53">
            <v>0</v>
          </cell>
          <cell r="DB53">
            <v>0</v>
          </cell>
          <cell r="DC53">
            <v>0</v>
          </cell>
          <cell r="DD53">
            <v>0</v>
          </cell>
          <cell r="DE53">
            <v>0</v>
          </cell>
          <cell r="DF53">
            <v>0</v>
          </cell>
          <cell r="DG53">
            <v>-193472.88999999998</v>
          </cell>
          <cell r="DI53">
            <v>0</v>
          </cell>
          <cell r="DJ53">
            <v>0</v>
          </cell>
          <cell r="DK53">
            <v>0</v>
          </cell>
          <cell r="DL53">
            <v>0</v>
          </cell>
          <cell r="DM53">
            <v>0</v>
          </cell>
          <cell r="DN53">
            <v>0</v>
          </cell>
          <cell r="DO53">
            <v>0</v>
          </cell>
          <cell r="DP53">
            <v>-3869457.7999999993</v>
          </cell>
          <cell r="DR53" t="str">
            <v>OPP-475254 - Identified - New</v>
          </cell>
          <cell r="DS53" t="str">
            <v>OPP-475254 - Identified - New - NE</v>
          </cell>
          <cell r="DX53">
            <v>0</v>
          </cell>
          <cell r="DY53">
            <v>0</v>
          </cell>
          <cell r="DZ53">
            <v>0</v>
          </cell>
          <cell r="EA53">
            <v>2.5000000000000001E-2</v>
          </cell>
          <cell r="ED53">
            <v>0</v>
          </cell>
          <cell r="EE53">
            <v>0</v>
          </cell>
          <cell r="EF53">
            <v>0</v>
          </cell>
          <cell r="EG53">
            <v>0</v>
          </cell>
          <cell r="EH53">
            <v>0</v>
          </cell>
          <cell r="EI53">
            <v>0</v>
          </cell>
          <cell r="EJ53">
            <v>0</v>
          </cell>
          <cell r="EK53">
            <v>-0.4</v>
          </cell>
        </row>
        <row r="54">
          <cell r="C54" t="str">
            <v>OPP-900987</v>
          </cell>
          <cell r="D54" t="str">
            <v>Magnox</v>
          </cell>
          <cell r="E54" t="str">
            <v>Identified - New</v>
          </cell>
          <cell r="F54" t="str">
            <v>Majority</v>
          </cell>
          <cell r="G54">
            <v>1</v>
          </cell>
          <cell r="H54" t="str">
            <v>NE</v>
          </cell>
          <cell r="I54" t="str">
            <v>NE International Programs</v>
          </cell>
          <cell r="J54" t="str">
            <v>UK-NDA</v>
          </cell>
          <cell r="K54" t="str">
            <v>Cost Plus Incentive Fee</v>
          </cell>
          <cell r="L54">
            <v>44423</v>
          </cell>
          <cell r="M54">
            <v>46980</v>
          </cell>
          <cell r="N54">
            <v>0</v>
          </cell>
          <cell r="O54">
            <v>0</v>
          </cell>
          <cell r="P54">
            <v>0</v>
          </cell>
          <cell r="Q54">
            <v>0</v>
          </cell>
          <cell r="R54">
            <v>0</v>
          </cell>
          <cell r="S54">
            <v>0</v>
          </cell>
          <cell r="T54">
            <v>0</v>
          </cell>
          <cell r="U54">
            <v>0</v>
          </cell>
          <cell r="V54" t="str">
            <v>01 Prospect</v>
          </cell>
          <cell r="W54" t="str">
            <v>Priority 2</v>
          </cell>
          <cell r="X54">
            <v>121426500</v>
          </cell>
          <cell r="Y54">
            <v>97141200</v>
          </cell>
          <cell r="Z54">
            <v>0.4</v>
          </cell>
          <cell r="AB54">
            <v>17346642.857142858</v>
          </cell>
          <cell r="AD54">
            <v>0.8</v>
          </cell>
          <cell r="AF54">
            <v>0</v>
          </cell>
          <cell r="AG54">
            <v>0</v>
          </cell>
          <cell r="AH54">
            <v>0</v>
          </cell>
          <cell r="AI54">
            <v>0</v>
          </cell>
          <cell r="AJ54">
            <v>0</v>
          </cell>
          <cell r="AK54">
            <v>0.05</v>
          </cell>
          <cell r="AL54">
            <v>0.05</v>
          </cell>
          <cell r="AM54">
            <v>0.05</v>
          </cell>
          <cell r="AO54">
            <v>0</v>
          </cell>
          <cell r="AP54">
            <v>0</v>
          </cell>
          <cell r="AQ54">
            <v>0</v>
          </cell>
          <cell r="AR54">
            <v>0</v>
          </cell>
          <cell r="AS54">
            <v>0</v>
          </cell>
          <cell r="AT54">
            <v>2.5000000000000001E-2</v>
          </cell>
          <cell r="AU54">
            <v>2.5000000000000001E-2</v>
          </cell>
          <cell r="AV54">
            <v>2.5000000000000001E-2</v>
          </cell>
          <cell r="AX54">
            <v>0</v>
          </cell>
          <cell r="AY54">
            <v>0</v>
          </cell>
          <cell r="AZ54">
            <v>0</v>
          </cell>
          <cell r="BA54">
            <v>0</v>
          </cell>
          <cell r="BB54">
            <v>0</v>
          </cell>
          <cell r="BC54">
            <v>0</v>
          </cell>
          <cell r="BD54">
            <v>0</v>
          </cell>
          <cell r="BE54">
            <v>0</v>
          </cell>
          <cell r="BG54">
            <v>0</v>
          </cell>
          <cell r="BH54">
            <v>0</v>
          </cell>
          <cell r="BI54">
            <v>0</v>
          </cell>
          <cell r="BJ54">
            <v>0</v>
          </cell>
          <cell r="BK54">
            <v>0</v>
          </cell>
          <cell r="BL54">
            <v>867332.14285714296</v>
          </cell>
          <cell r="BM54">
            <v>6938657.1428571437</v>
          </cell>
          <cell r="BN54">
            <v>6938657.1428571437</v>
          </cell>
          <cell r="BP54">
            <v>0</v>
          </cell>
          <cell r="BQ54">
            <v>0</v>
          </cell>
          <cell r="BR54">
            <v>0</v>
          </cell>
          <cell r="BS54">
            <v>0</v>
          </cell>
          <cell r="BT54">
            <v>0</v>
          </cell>
          <cell r="BU54">
            <v>0</v>
          </cell>
          <cell r="BV54">
            <v>0</v>
          </cell>
          <cell r="BW54">
            <v>0</v>
          </cell>
          <cell r="BY54">
            <v>0</v>
          </cell>
          <cell r="BZ54">
            <v>0</v>
          </cell>
          <cell r="CA54">
            <v>0</v>
          </cell>
          <cell r="CB54">
            <v>0</v>
          </cell>
          <cell r="CC54">
            <v>0</v>
          </cell>
          <cell r="CD54">
            <v>43366.607142857152</v>
          </cell>
          <cell r="CE54">
            <v>346932.85714285722</v>
          </cell>
          <cell r="CF54">
            <v>346932.85714285722</v>
          </cell>
          <cell r="CH54">
            <v>0</v>
          </cell>
          <cell r="CI54">
            <v>0</v>
          </cell>
          <cell r="CJ54">
            <v>0</v>
          </cell>
          <cell r="CK54">
            <v>0</v>
          </cell>
          <cell r="CL54">
            <v>0</v>
          </cell>
          <cell r="CM54">
            <v>21683.303571428576</v>
          </cell>
          <cell r="CN54">
            <v>173466.42857142861</v>
          </cell>
          <cell r="CO54">
            <v>173466.42857142861</v>
          </cell>
          <cell r="CQ54">
            <v>0</v>
          </cell>
          <cell r="CR54">
            <v>0</v>
          </cell>
          <cell r="CS54">
            <v>0</v>
          </cell>
          <cell r="CT54">
            <v>0</v>
          </cell>
          <cell r="CU54">
            <v>0</v>
          </cell>
          <cell r="CV54">
            <v>0</v>
          </cell>
          <cell r="CW54">
            <v>0</v>
          </cell>
          <cell r="CX54">
            <v>0</v>
          </cell>
          <cell r="CZ54">
            <v>0</v>
          </cell>
          <cell r="DA54">
            <v>0</v>
          </cell>
          <cell r="DB54">
            <v>0</v>
          </cell>
          <cell r="DC54">
            <v>0</v>
          </cell>
          <cell r="DD54">
            <v>0</v>
          </cell>
          <cell r="DE54">
            <v>-8673.3214285714294</v>
          </cell>
          <cell r="DF54">
            <v>-69386.571428571435</v>
          </cell>
          <cell r="DG54">
            <v>-69386.571428571435</v>
          </cell>
          <cell r="DI54">
            <v>0</v>
          </cell>
          <cell r="DJ54">
            <v>0</v>
          </cell>
          <cell r="DK54">
            <v>0</v>
          </cell>
          <cell r="DL54">
            <v>0</v>
          </cell>
          <cell r="DM54">
            <v>0</v>
          </cell>
          <cell r="DN54">
            <v>-173466.42857142855</v>
          </cell>
          <cell r="DO54">
            <v>-1387731.4285714284</v>
          </cell>
          <cell r="DP54">
            <v>-1387731.4285714284</v>
          </cell>
          <cell r="DR54" t="str">
            <v>OPP-900987 - Identified - New</v>
          </cell>
          <cell r="DS54" t="str">
            <v>OPP-900987 - Identified - New - NE</v>
          </cell>
          <cell r="DX54">
            <v>0</v>
          </cell>
          <cell r="DY54">
            <v>2.5000000000000001E-2</v>
          </cell>
          <cell r="DZ54">
            <v>2.5000000000000001E-2</v>
          </cell>
          <cell r="EA54">
            <v>2.5000000000000001E-2</v>
          </cell>
          <cell r="ED54">
            <v>0</v>
          </cell>
          <cell r="EE54">
            <v>0</v>
          </cell>
          <cell r="EF54">
            <v>0</v>
          </cell>
          <cell r="EG54">
            <v>0</v>
          </cell>
          <cell r="EH54">
            <v>0</v>
          </cell>
          <cell r="EI54">
            <v>-0.19999999999999998</v>
          </cell>
          <cell r="EJ54">
            <v>-0.19999999999999998</v>
          </cell>
          <cell r="EK54">
            <v>-0.19999999999999998</v>
          </cell>
        </row>
        <row r="55">
          <cell r="C55" t="str">
            <v>OPP-939035</v>
          </cell>
          <cell r="D55" t="str">
            <v>Japan - Monju Reaction Sodium Disposition</v>
          </cell>
          <cell r="E55" t="str">
            <v>Identified - New</v>
          </cell>
          <cell r="F55" t="str">
            <v>Minority</v>
          </cell>
          <cell r="G55">
            <v>0</v>
          </cell>
          <cell r="H55" t="str">
            <v>NE</v>
          </cell>
          <cell r="I55" t="str">
            <v>NE International Programs</v>
          </cell>
          <cell r="J55" t="str">
            <v>Other Foreign Gov't</v>
          </cell>
          <cell r="K55" t="str">
            <v>Other</v>
          </cell>
          <cell r="L55">
            <v>43922</v>
          </cell>
          <cell r="M55">
            <v>51227</v>
          </cell>
          <cell r="N55">
            <v>0</v>
          </cell>
          <cell r="O55">
            <v>0</v>
          </cell>
          <cell r="P55">
            <v>0</v>
          </cell>
          <cell r="Q55">
            <v>0</v>
          </cell>
          <cell r="R55">
            <v>0</v>
          </cell>
          <cell r="S55">
            <v>0</v>
          </cell>
          <cell r="T55">
            <v>0</v>
          </cell>
          <cell r="U55">
            <v>0</v>
          </cell>
          <cell r="V55" t="str">
            <v>00 Investigate</v>
          </cell>
          <cell r="W55" t="str">
            <v>Priority 1</v>
          </cell>
          <cell r="X55">
            <v>3000000000</v>
          </cell>
          <cell r="Y55">
            <v>1000199999.9999999</v>
          </cell>
          <cell r="Z55">
            <v>0.35</v>
          </cell>
          <cell r="AB55">
            <v>50009999.999999993</v>
          </cell>
          <cell r="AD55">
            <v>0.33339999999999997</v>
          </cell>
          <cell r="AF55">
            <v>0</v>
          </cell>
          <cell r="AG55">
            <v>0</v>
          </cell>
          <cell r="AH55">
            <v>0</v>
          </cell>
          <cell r="AI55">
            <v>0</v>
          </cell>
          <cell r="AJ55">
            <v>0</v>
          </cell>
          <cell r="AK55">
            <v>0</v>
          </cell>
          <cell r="AL55">
            <v>0</v>
          </cell>
          <cell r="AM55">
            <v>0</v>
          </cell>
          <cell r="AO55">
            <v>0</v>
          </cell>
          <cell r="AP55">
            <v>0</v>
          </cell>
          <cell r="AQ55">
            <v>0</v>
          </cell>
          <cell r="AR55">
            <v>0</v>
          </cell>
          <cell r="AS55">
            <v>0</v>
          </cell>
          <cell r="AT55">
            <v>0</v>
          </cell>
          <cell r="AU55">
            <v>0</v>
          </cell>
          <cell r="AV55">
            <v>0</v>
          </cell>
          <cell r="BA55">
            <v>0</v>
          </cell>
          <cell r="BB55">
            <v>2.5000000000000001E-2</v>
          </cell>
          <cell r="BC55">
            <v>2.5000000000000001E-2</v>
          </cell>
          <cell r="BD55">
            <v>2.5000000000000001E-2</v>
          </cell>
          <cell r="BE55">
            <v>2.5000000000000001E-2</v>
          </cell>
          <cell r="BG55">
            <v>0</v>
          </cell>
          <cell r="BH55">
            <v>0</v>
          </cell>
          <cell r="BI55">
            <v>0</v>
          </cell>
          <cell r="BJ55">
            <v>0</v>
          </cell>
          <cell r="BK55">
            <v>0</v>
          </cell>
          <cell r="BL55">
            <v>0</v>
          </cell>
          <cell r="BM55">
            <v>0</v>
          </cell>
          <cell r="BN55">
            <v>0</v>
          </cell>
          <cell r="BP55">
            <v>0</v>
          </cell>
          <cell r="BQ55">
            <v>0</v>
          </cell>
          <cell r="BR55">
            <v>0</v>
          </cell>
          <cell r="BS55">
            <v>0</v>
          </cell>
          <cell r="BT55">
            <v>8703129.1666666642</v>
          </cell>
          <cell r="BU55">
            <v>17503499.999999996</v>
          </cell>
          <cell r="BV55">
            <v>17503499.999999996</v>
          </cell>
          <cell r="BW55">
            <v>17503499.999999996</v>
          </cell>
          <cell r="BY55">
            <v>0</v>
          </cell>
          <cell r="BZ55">
            <v>0</v>
          </cell>
          <cell r="CA55">
            <v>0</v>
          </cell>
          <cell r="CB55">
            <v>0</v>
          </cell>
          <cell r="CC55">
            <v>0</v>
          </cell>
          <cell r="CD55">
            <v>0</v>
          </cell>
          <cell r="CE55">
            <v>0</v>
          </cell>
          <cell r="CF55">
            <v>0</v>
          </cell>
          <cell r="CH55">
            <v>0</v>
          </cell>
          <cell r="CI55">
            <v>0</v>
          </cell>
          <cell r="CJ55">
            <v>0</v>
          </cell>
          <cell r="CK55">
            <v>0</v>
          </cell>
          <cell r="CL55">
            <v>217578.22916666663</v>
          </cell>
          <cell r="CM55">
            <v>437587.49999999994</v>
          </cell>
          <cell r="CN55">
            <v>437587.49999999994</v>
          </cell>
          <cell r="CO55">
            <v>437587.49999999994</v>
          </cell>
          <cell r="CQ55">
            <v>0</v>
          </cell>
          <cell r="CR55">
            <v>0</v>
          </cell>
          <cell r="CS55">
            <v>0</v>
          </cell>
          <cell r="CT55">
            <v>0</v>
          </cell>
          <cell r="CU55">
            <v>-217578.22916666663</v>
          </cell>
          <cell r="CV55">
            <v>-437587.49999999994</v>
          </cell>
          <cell r="CW55">
            <v>-437587.49999999994</v>
          </cell>
          <cell r="CX55">
            <v>-437587.49999999994</v>
          </cell>
          <cell r="CZ55">
            <v>0</v>
          </cell>
          <cell r="DA55">
            <v>0</v>
          </cell>
          <cell r="DB55">
            <v>0</v>
          </cell>
          <cell r="DC55">
            <v>0</v>
          </cell>
          <cell r="DD55">
            <v>0</v>
          </cell>
          <cell r="DE55">
            <v>0</v>
          </cell>
          <cell r="DF55">
            <v>0</v>
          </cell>
          <cell r="DG55">
            <v>0</v>
          </cell>
          <cell r="DI55">
            <v>0</v>
          </cell>
          <cell r="DJ55">
            <v>0</v>
          </cell>
          <cell r="DK55">
            <v>0</v>
          </cell>
          <cell r="DL55">
            <v>0</v>
          </cell>
          <cell r="DM55">
            <v>0</v>
          </cell>
          <cell r="DN55">
            <v>0</v>
          </cell>
          <cell r="DO55">
            <v>0</v>
          </cell>
          <cell r="DP55">
            <v>0</v>
          </cell>
          <cell r="DR55" t="str">
            <v>OPP-939035 - Identified - New</v>
          </cell>
          <cell r="DS55" t="str">
            <v>OPP-939035 - Identified - New - NE</v>
          </cell>
          <cell r="DX55">
            <v>2.5000000000000001E-2</v>
          </cell>
          <cell r="DY55">
            <v>2.5000000000000001E-2</v>
          </cell>
          <cell r="DZ55">
            <v>2.5000000000000001E-2</v>
          </cell>
          <cell r="EA55">
            <v>2.5000000000000001E-2</v>
          </cell>
          <cell r="ED55">
            <v>0</v>
          </cell>
          <cell r="EE55">
            <v>0</v>
          </cell>
          <cell r="EF55">
            <v>0</v>
          </cell>
          <cell r="EG55">
            <v>0</v>
          </cell>
          <cell r="EH55">
            <v>0</v>
          </cell>
          <cell r="EI55">
            <v>0</v>
          </cell>
          <cell r="EJ55">
            <v>0</v>
          </cell>
          <cell r="EK55">
            <v>0</v>
          </cell>
        </row>
        <row r="56">
          <cell r="C56" t="str">
            <v>OPP-901320</v>
          </cell>
          <cell r="D56" t="str">
            <v>Decommissioning Support for Duane Arnold Energy Center</v>
          </cell>
          <cell r="E56" t="str">
            <v>Identified - New</v>
          </cell>
          <cell r="F56" t="str">
            <v>Majority</v>
          </cell>
          <cell r="G56">
            <v>1</v>
          </cell>
          <cell r="H56" t="str">
            <v>NE</v>
          </cell>
          <cell r="I56" t="str">
            <v>NE DD and WM Projects</v>
          </cell>
          <cell r="J56" t="str">
            <v>Commercial</v>
          </cell>
          <cell r="K56" t="str">
            <v>Fixed Price</v>
          </cell>
          <cell r="L56">
            <v>43861</v>
          </cell>
          <cell r="M56">
            <v>45661</v>
          </cell>
          <cell r="N56">
            <v>0</v>
          </cell>
          <cell r="O56">
            <v>0</v>
          </cell>
          <cell r="P56">
            <v>0</v>
          </cell>
          <cell r="Q56">
            <v>0</v>
          </cell>
          <cell r="R56">
            <v>0</v>
          </cell>
          <cell r="S56">
            <v>0</v>
          </cell>
          <cell r="T56">
            <v>0</v>
          </cell>
          <cell r="U56">
            <v>0</v>
          </cell>
          <cell r="V56" t="str">
            <v>02 Capture</v>
          </cell>
          <cell r="W56" t="str">
            <v>Priority 1</v>
          </cell>
          <cell r="X56">
            <v>200000000</v>
          </cell>
          <cell r="Y56">
            <v>130000000</v>
          </cell>
          <cell r="Z56">
            <v>0.3</v>
          </cell>
          <cell r="AB56">
            <v>40586245.77226606</v>
          </cell>
          <cell r="AD56">
            <v>0.65</v>
          </cell>
          <cell r="AF56">
            <v>0</v>
          </cell>
          <cell r="AG56">
            <v>0</v>
          </cell>
          <cell r="AH56">
            <v>0</v>
          </cell>
          <cell r="AI56">
            <v>0</v>
          </cell>
          <cell r="AJ56">
            <v>9.5384615384615387E-2</v>
          </cell>
          <cell r="AK56">
            <v>9.5384615384615387E-2</v>
          </cell>
          <cell r="AL56">
            <v>9.5384615384615387E-2</v>
          </cell>
          <cell r="AM56">
            <v>9.5384615384615387E-2</v>
          </cell>
          <cell r="AO56">
            <v>0</v>
          </cell>
          <cell r="AP56">
            <v>0</v>
          </cell>
          <cell r="AQ56">
            <v>0</v>
          </cell>
          <cell r="AR56">
            <v>0</v>
          </cell>
          <cell r="AS56">
            <v>6.2E-2</v>
          </cell>
          <cell r="AT56">
            <v>6.2E-2</v>
          </cell>
          <cell r="AU56">
            <v>6.2E-2</v>
          </cell>
          <cell r="AV56">
            <v>6.2E-2</v>
          </cell>
          <cell r="AX56">
            <v>0</v>
          </cell>
          <cell r="AY56">
            <v>0</v>
          </cell>
          <cell r="AZ56">
            <v>0</v>
          </cell>
          <cell r="BA56">
            <v>0</v>
          </cell>
          <cell r="BB56">
            <v>0</v>
          </cell>
          <cell r="BC56">
            <v>0</v>
          </cell>
          <cell r="BD56">
            <v>0</v>
          </cell>
          <cell r="BE56">
            <v>0</v>
          </cell>
          <cell r="BG56">
            <v>0</v>
          </cell>
          <cell r="BH56">
            <v>0</v>
          </cell>
          <cell r="BI56">
            <v>0</v>
          </cell>
          <cell r="BJ56">
            <v>0</v>
          </cell>
          <cell r="BK56">
            <v>8117249.1544532115</v>
          </cell>
          <cell r="BL56">
            <v>12175873.731679818</v>
          </cell>
          <cell r="BM56">
            <v>12175873.731679818</v>
          </cell>
          <cell r="BN56">
            <v>12175873.731679818</v>
          </cell>
          <cell r="BP56">
            <v>0</v>
          </cell>
          <cell r="BQ56">
            <v>0</v>
          </cell>
          <cell r="BR56">
            <v>0</v>
          </cell>
          <cell r="BS56">
            <v>0</v>
          </cell>
          <cell r="BT56">
            <v>0</v>
          </cell>
          <cell r="BU56">
            <v>0</v>
          </cell>
          <cell r="BV56">
            <v>0</v>
          </cell>
          <cell r="BW56">
            <v>0</v>
          </cell>
          <cell r="BY56">
            <v>0</v>
          </cell>
          <cell r="BZ56">
            <v>0</v>
          </cell>
          <cell r="CA56">
            <v>0</v>
          </cell>
          <cell r="CB56">
            <v>0</v>
          </cell>
          <cell r="CC56">
            <v>774260.68857861403</v>
          </cell>
          <cell r="CD56">
            <v>1161391.0328679211</v>
          </cell>
          <cell r="CE56">
            <v>1161391.0328679211</v>
          </cell>
          <cell r="CF56">
            <v>1161391.0328679211</v>
          </cell>
          <cell r="CH56">
            <v>0</v>
          </cell>
          <cell r="CI56">
            <v>0</v>
          </cell>
          <cell r="CJ56">
            <v>0</v>
          </cell>
          <cell r="CK56">
            <v>0</v>
          </cell>
          <cell r="CL56">
            <v>503269.44757609913</v>
          </cell>
          <cell r="CM56">
            <v>754904.17136414873</v>
          </cell>
          <cell r="CN56">
            <v>754904.17136414873</v>
          </cell>
          <cell r="CO56">
            <v>754904.17136414873</v>
          </cell>
          <cell r="CQ56">
            <v>0</v>
          </cell>
          <cell r="CR56">
            <v>0</v>
          </cell>
          <cell r="CS56">
            <v>0</v>
          </cell>
          <cell r="CT56">
            <v>0</v>
          </cell>
          <cell r="CU56">
            <v>0</v>
          </cell>
          <cell r="CV56">
            <v>0</v>
          </cell>
          <cell r="CW56">
            <v>0</v>
          </cell>
          <cell r="CX56">
            <v>0</v>
          </cell>
          <cell r="CZ56">
            <v>0</v>
          </cell>
          <cell r="DA56">
            <v>0</v>
          </cell>
          <cell r="DB56">
            <v>0</v>
          </cell>
          <cell r="DC56">
            <v>0</v>
          </cell>
          <cell r="DD56">
            <v>-270991.2410025149</v>
          </cell>
          <cell r="DE56">
            <v>-406486.86150377232</v>
          </cell>
          <cell r="DF56">
            <v>-406486.86150377232</v>
          </cell>
          <cell r="DG56">
            <v>-406486.86150377232</v>
          </cell>
          <cell r="DI56">
            <v>0</v>
          </cell>
          <cell r="DJ56">
            <v>0</v>
          </cell>
          <cell r="DK56">
            <v>0</v>
          </cell>
          <cell r="DL56">
            <v>0</v>
          </cell>
          <cell r="DM56">
            <v>-2841037.2040586239</v>
          </cell>
          <cell r="DN56">
            <v>-4261555.8060879363</v>
          </cell>
          <cell r="DO56">
            <v>-4261555.8060879363</v>
          </cell>
          <cell r="DP56">
            <v>-4261555.8060879363</v>
          </cell>
          <cell r="DR56" t="str">
            <v>OPP-901320 - Identified - New</v>
          </cell>
          <cell r="DS56" t="str">
            <v>OPP-901320 - Identified - New - NE</v>
          </cell>
          <cell r="DX56">
            <v>6.2E-2</v>
          </cell>
          <cell r="DY56">
            <v>6.2E-2</v>
          </cell>
          <cell r="DZ56">
            <v>6.2E-2</v>
          </cell>
          <cell r="EA56">
            <v>6.2E-2</v>
          </cell>
          <cell r="ED56">
            <v>0</v>
          </cell>
          <cell r="EE56">
            <v>0</v>
          </cell>
          <cell r="EF56">
            <v>0</v>
          </cell>
          <cell r="EG56">
            <v>0</v>
          </cell>
          <cell r="EH56">
            <v>-0.35</v>
          </cell>
          <cell r="EI56">
            <v>-0.35</v>
          </cell>
          <cell r="EJ56">
            <v>-0.35</v>
          </cell>
          <cell r="EK56">
            <v>-0.35</v>
          </cell>
        </row>
        <row r="57">
          <cell r="DX57">
            <v>0</v>
          </cell>
          <cell r="DY57">
            <v>0</v>
          </cell>
          <cell r="DZ57">
            <v>0</v>
          </cell>
          <cell r="EA57">
            <v>0</v>
          </cell>
        </row>
        <row r="58">
          <cell r="DX58">
            <v>0</v>
          </cell>
          <cell r="DY58">
            <v>0</v>
          </cell>
          <cell r="DZ58">
            <v>0</v>
          </cell>
          <cell r="EA58">
            <v>0</v>
          </cell>
        </row>
        <row r="59">
          <cell r="C59" t="str">
            <v>MR</v>
          </cell>
          <cell r="DX59">
            <v>0</v>
          </cell>
          <cell r="DY59">
            <v>0</v>
          </cell>
          <cell r="DZ59">
            <v>0</v>
          </cell>
          <cell r="EA59">
            <v>0</v>
          </cell>
        </row>
        <row r="60">
          <cell r="DX60">
            <v>0</v>
          </cell>
          <cell r="DY60">
            <v>0</v>
          </cell>
          <cell r="DZ60">
            <v>0</v>
          </cell>
          <cell r="EA60">
            <v>0</v>
          </cell>
        </row>
        <row r="61">
          <cell r="C61" t="str">
            <v>Existing / Recompetes / Associated New Business</v>
          </cell>
          <cell r="DX61">
            <v>0</v>
          </cell>
          <cell r="DY61">
            <v>0</v>
          </cell>
          <cell r="DZ61">
            <v>0</v>
          </cell>
          <cell r="EA61">
            <v>0</v>
          </cell>
        </row>
        <row r="62">
          <cell r="DX62">
            <v>0</v>
          </cell>
          <cell r="DY62">
            <v>0</v>
          </cell>
          <cell r="DZ62">
            <v>0</v>
          </cell>
          <cell r="EA62">
            <v>0</v>
          </cell>
        </row>
        <row r="63">
          <cell r="C63" t="str">
            <v>000036</v>
          </cell>
          <cell r="D63" t="str">
            <v>Min JV Rock Island</v>
          </cell>
          <cell r="E63" t="str">
            <v>Base</v>
          </cell>
          <cell r="F63" t="str">
            <v>Minority</v>
          </cell>
          <cell r="G63">
            <v>0</v>
          </cell>
          <cell r="H63" t="str">
            <v>MR</v>
          </cell>
          <cell r="I63" t="str">
            <v>MR Maintenance &amp; Sustainment</v>
          </cell>
          <cell r="J63" t="str">
            <v>Other DOD</v>
          </cell>
          <cell r="K63" t="str">
            <v>MinJV</v>
          </cell>
          <cell r="L63">
            <v>41120</v>
          </cell>
          <cell r="M63">
            <v>43904</v>
          </cell>
          <cell r="N63">
            <v>0</v>
          </cell>
          <cell r="O63">
            <v>0</v>
          </cell>
          <cell r="P63">
            <v>0</v>
          </cell>
          <cell r="Q63">
            <v>0</v>
          </cell>
          <cell r="R63">
            <v>0</v>
          </cell>
          <cell r="S63">
            <v>0</v>
          </cell>
          <cell r="T63">
            <v>0</v>
          </cell>
          <cell r="U63">
            <v>4095376.4460000014</v>
          </cell>
          <cell r="V63" t="str">
            <v>05 Won</v>
          </cell>
          <cell r="W63" t="str">
            <v>Active</v>
          </cell>
          <cell r="X63">
            <v>0</v>
          </cell>
          <cell r="Y63">
            <v>0</v>
          </cell>
          <cell r="Z63">
            <v>0</v>
          </cell>
          <cell r="AB63">
            <v>6000010.7120787213</v>
          </cell>
          <cell r="AD63">
            <v>0.49</v>
          </cell>
          <cell r="AF63">
            <v>0</v>
          </cell>
          <cell r="AG63">
            <v>0</v>
          </cell>
          <cell r="AH63">
            <v>0</v>
          </cell>
          <cell r="AI63">
            <v>0</v>
          </cell>
          <cell r="AJ63">
            <v>0</v>
          </cell>
          <cell r="AK63">
            <v>0</v>
          </cell>
          <cell r="AL63">
            <v>0</v>
          </cell>
          <cell r="AM63">
            <v>0</v>
          </cell>
          <cell r="AO63">
            <v>0</v>
          </cell>
          <cell r="AP63">
            <v>0</v>
          </cell>
          <cell r="AQ63">
            <v>0</v>
          </cell>
          <cell r="AR63">
            <v>0</v>
          </cell>
          <cell r="AS63">
            <v>0</v>
          </cell>
          <cell r="AT63">
            <v>0</v>
          </cell>
          <cell r="AU63">
            <v>0</v>
          </cell>
          <cell r="AV63">
            <v>0</v>
          </cell>
          <cell r="AX63">
            <v>3.4311554364437058E-2</v>
          </cell>
          <cell r="AY63">
            <v>1.7929368709891706E-2</v>
          </cell>
          <cell r="AZ63">
            <v>6.0500523602293792E-2</v>
          </cell>
          <cell r="BA63">
            <v>0.18697599998899322</v>
          </cell>
          <cell r="BB63">
            <v>0.17617577046521299</v>
          </cell>
          <cell r="BC63">
            <v>0.17617577046521299</v>
          </cell>
          <cell r="BD63">
            <v>0.17617577046521299</v>
          </cell>
          <cell r="BE63">
            <v>0.17617577046521299</v>
          </cell>
          <cell r="BG63">
            <v>0</v>
          </cell>
          <cell r="BH63">
            <v>0</v>
          </cell>
          <cell r="BI63">
            <v>0</v>
          </cell>
          <cell r="BJ63">
            <v>0</v>
          </cell>
          <cell r="BK63">
            <v>0</v>
          </cell>
          <cell r="BL63">
            <v>0</v>
          </cell>
          <cell r="BM63">
            <v>0</v>
          </cell>
          <cell r="BN63">
            <v>0</v>
          </cell>
          <cell r="BP63">
            <v>10632258.629999999</v>
          </cell>
          <cell r="BQ63">
            <v>8148190.3999999994</v>
          </cell>
          <cell r="BR63">
            <v>8040195.8700000001</v>
          </cell>
          <cell r="BS63">
            <v>5653434.1843992071</v>
          </cell>
          <cell r="BT63">
            <v>3266672.4987984146</v>
          </cell>
          <cell r="BU63">
            <v>0</v>
          </cell>
          <cell r="BV63">
            <v>0</v>
          </cell>
          <cell r="BW63">
            <v>0</v>
          </cell>
          <cell r="BY63">
            <v>0</v>
          </cell>
          <cell r="BZ63">
            <v>0</v>
          </cell>
          <cell r="CA63">
            <v>0</v>
          </cell>
          <cell r="CB63">
            <v>0</v>
          </cell>
          <cell r="CC63">
            <v>0</v>
          </cell>
          <cell r="CD63">
            <v>0</v>
          </cell>
          <cell r="CE63">
            <v>0</v>
          </cell>
          <cell r="CF63">
            <v>0</v>
          </cell>
          <cell r="CH63">
            <v>364809.32</v>
          </cell>
          <cell r="CI63">
            <v>146091.90999999997</v>
          </cell>
          <cell r="CJ63">
            <v>486436.06000000006</v>
          </cell>
          <cell r="CK63">
            <v>1057056.51</v>
          </cell>
          <cell r="CL63">
            <v>575508.54433333327</v>
          </cell>
          <cell r="CM63">
            <v>0</v>
          </cell>
          <cell r="CN63">
            <v>0</v>
          </cell>
          <cell r="CO63">
            <v>0</v>
          </cell>
          <cell r="CQ63">
            <v>-364809.32</v>
          </cell>
          <cell r="CR63">
            <v>-146091.90999999997</v>
          </cell>
          <cell r="CS63">
            <v>-486436.06000000006</v>
          </cell>
          <cell r="CT63">
            <v>-1057056.51</v>
          </cell>
          <cell r="CU63">
            <v>-575508.54433333327</v>
          </cell>
          <cell r="CV63">
            <v>0</v>
          </cell>
          <cell r="CW63">
            <v>0</v>
          </cell>
          <cell r="CX63">
            <v>0</v>
          </cell>
          <cell r="CZ63">
            <v>0</v>
          </cell>
          <cell r="DA63">
            <v>0</v>
          </cell>
          <cell r="DB63">
            <v>0</v>
          </cell>
          <cell r="DC63">
            <v>0</v>
          </cell>
          <cell r="DD63">
            <v>0</v>
          </cell>
          <cell r="DE63">
            <v>0</v>
          </cell>
          <cell r="DF63">
            <v>0</v>
          </cell>
          <cell r="DG63">
            <v>0</v>
          </cell>
          <cell r="DI63">
            <v>0</v>
          </cell>
          <cell r="DJ63">
            <v>0</v>
          </cell>
          <cell r="DK63">
            <v>0</v>
          </cell>
          <cell r="DL63">
            <v>0</v>
          </cell>
          <cell r="DM63">
            <v>0</v>
          </cell>
          <cell r="DN63">
            <v>0</v>
          </cell>
          <cell r="DO63">
            <v>0</v>
          </cell>
          <cell r="DP63">
            <v>0</v>
          </cell>
          <cell r="DR63" t="str">
            <v>000036 - Base</v>
          </cell>
          <cell r="DS63" t="str">
            <v>000036 - Base - MR</v>
          </cell>
          <cell r="DX63">
            <v>0.17617577046521299</v>
          </cell>
          <cell r="DY63">
            <v>0.17617577046521299</v>
          </cell>
          <cell r="DZ63">
            <v>0.17617577046521299</v>
          </cell>
          <cell r="EA63">
            <v>0.17617577046521299</v>
          </cell>
          <cell r="ED63">
            <v>0</v>
          </cell>
          <cell r="EE63">
            <v>0</v>
          </cell>
          <cell r="EF63">
            <v>0</v>
          </cell>
          <cell r="EG63">
            <v>0</v>
          </cell>
          <cell r="EH63">
            <v>0</v>
          </cell>
          <cell r="EI63">
            <v>0</v>
          </cell>
          <cell r="EJ63">
            <v>0</v>
          </cell>
          <cell r="EK63">
            <v>0</v>
          </cell>
        </row>
        <row r="64">
          <cell r="C64" t="str">
            <v>000036</v>
          </cell>
          <cell r="D64" t="str">
            <v>Min JV Rock Island</v>
          </cell>
          <cell r="E64" t="str">
            <v>Identified - Recompete</v>
          </cell>
          <cell r="F64" t="str">
            <v>Minority</v>
          </cell>
          <cell r="G64">
            <v>0</v>
          </cell>
          <cell r="H64" t="str">
            <v>MR</v>
          </cell>
          <cell r="I64" t="str">
            <v>MR Maintenance &amp; Sustainment</v>
          </cell>
          <cell r="J64" t="str">
            <v>Other DOD</v>
          </cell>
          <cell r="K64" t="str">
            <v>Cost Plus</v>
          </cell>
          <cell r="L64">
            <v>43930</v>
          </cell>
          <cell r="M64">
            <v>45391</v>
          </cell>
          <cell r="N64">
            <v>0</v>
          </cell>
          <cell r="O64">
            <v>0</v>
          </cell>
          <cell r="P64">
            <v>0</v>
          </cell>
          <cell r="Q64">
            <v>0</v>
          </cell>
          <cell r="R64">
            <v>0</v>
          </cell>
          <cell r="S64">
            <v>0</v>
          </cell>
          <cell r="T64">
            <v>0</v>
          </cell>
          <cell r="U64">
            <v>0</v>
          </cell>
          <cell r="V64" t="str">
            <v>00 Investigate</v>
          </cell>
          <cell r="W64" t="str">
            <v>Priority 3</v>
          </cell>
          <cell r="X64">
            <v>15000000</v>
          </cell>
          <cell r="Y64">
            <v>7350000</v>
          </cell>
          <cell r="Z64">
            <v>0.3</v>
          </cell>
          <cell r="AB64">
            <v>1837500</v>
          </cell>
          <cell r="AD64">
            <v>0.49</v>
          </cell>
          <cell r="AF64">
            <v>0</v>
          </cell>
          <cell r="AG64">
            <v>0</v>
          </cell>
          <cell r="AH64">
            <v>0</v>
          </cell>
          <cell r="AI64">
            <v>0</v>
          </cell>
          <cell r="AJ64">
            <v>0</v>
          </cell>
          <cell r="AK64">
            <v>0</v>
          </cell>
          <cell r="AL64">
            <v>0</v>
          </cell>
          <cell r="AM64">
            <v>0</v>
          </cell>
          <cell r="AO64">
            <v>0</v>
          </cell>
          <cell r="AP64">
            <v>0</v>
          </cell>
          <cell r="AQ64">
            <v>0</v>
          </cell>
          <cell r="AR64">
            <v>0</v>
          </cell>
          <cell r="AS64">
            <v>0</v>
          </cell>
          <cell r="AT64">
            <v>0</v>
          </cell>
          <cell r="AU64">
            <v>0</v>
          </cell>
          <cell r="AV64">
            <v>0</v>
          </cell>
          <cell r="AX64">
            <v>0</v>
          </cell>
          <cell r="AY64">
            <v>0</v>
          </cell>
          <cell r="AZ64">
            <v>0</v>
          </cell>
          <cell r="BA64">
            <v>0</v>
          </cell>
          <cell r="BB64">
            <v>0.17617577046521299</v>
          </cell>
          <cell r="BC64">
            <v>0.17617577046521299</v>
          </cell>
          <cell r="BD64">
            <v>0.17617577046521299</v>
          </cell>
          <cell r="BE64">
            <v>0.17617577046521299</v>
          </cell>
          <cell r="BG64">
            <v>0</v>
          </cell>
          <cell r="BH64">
            <v>0</v>
          </cell>
          <cell r="BI64">
            <v>0</v>
          </cell>
          <cell r="BJ64">
            <v>0</v>
          </cell>
          <cell r="BK64">
            <v>0</v>
          </cell>
          <cell r="BL64">
            <v>0</v>
          </cell>
          <cell r="BM64">
            <v>0</v>
          </cell>
          <cell r="BN64">
            <v>0</v>
          </cell>
          <cell r="BP64">
            <v>0</v>
          </cell>
          <cell r="BQ64">
            <v>0</v>
          </cell>
          <cell r="BR64">
            <v>0</v>
          </cell>
          <cell r="BS64">
            <v>0</v>
          </cell>
          <cell r="BT64">
            <v>261843.75</v>
          </cell>
          <cell r="BU64">
            <v>551250</v>
          </cell>
          <cell r="BV64">
            <v>551250</v>
          </cell>
          <cell r="BW64">
            <v>551250</v>
          </cell>
          <cell r="BY64">
            <v>0</v>
          </cell>
          <cell r="BZ64">
            <v>0</v>
          </cell>
          <cell r="CA64">
            <v>0</v>
          </cell>
          <cell r="CB64">
            <v>0</v>
          </cell>
          <cell r="CC64">
            <v>0</v>
          </cell>
          <cell r="CD64">
            <v>0</v>
          </cell>
          <cell r="CE64">
            <v>0</v>
          </cell>
          <cell r="CF64">
            <v>0</v>
          </cell>
          <cell r="CH64">
            <v>0</v>
          </cell>
          <cell r="CI64">
            <v>0</v>
          </cell>
          <cell r="CJ64">
            <v>0</v>
          </cell>
          <cell r="CK64">
            <v>0</v>
          </cell>
          <cell r="CL64">
            <v>46130.524397750611</v>
          </cell>
          <cell r="CM64">
            <v>97116.893468948663</v>
          </cell>
          <cell r="CN64">
            <v>97116.893468948663</v>
          </cell>
          <cell r="CO64">
            <v>97116.893468948663</v>
          </cell>
          <cell r="CQ64">
            <v>0</v>
          </cell>
          <cell r="CR64">
            <v>0</v>
          </cell>
          <cell r="CS64">
            <v>0</v>
          </cell>
          <cell r="CT64">
            <v>0</v>
          </cell>
          <cell r="CU64">
            <v>-46130.524397750611</v>
          </cell>
          <cell r="CV64">
            <v>-97116.893468948663</v>
          </cell>
          <cell r="CW64">
            <v>-97116.893468948663</v>
          </cell>
          <cell r="CX64">
            <v>-97116.893468948663</v>
          </cell>
          <cell r="CZ64">
            <v>0</v>
          </cell>
          <cell r="DA64">
            <v>0</v>
          </cell>
          <cell r="DB64">
            <v>0</v>
          </cell>
          <cell r="DC64">
            <v>0</v>
          </cell>
          <cell r="DD64">
            <v>0</v>
          </cell>
          <cell r="DE64">
            <v>0</v>
          </cell>
          <cell r="DF64">
            <v>0</v>
          </cell>
          <cell r="DG64">
            <v>0</v>
          </cell>
          <cell r="DI64">
            <v>0</v>
          </cell>
          <cell r="DJ64">
            <v>0</v>
          </cell>
          <cell r="DK64">
            <v>0</v>
          </cell>
          <cell r="DL64">
            <v>0</v>
          </cell>
          <cell r="DM64">
            <v>0</v>
          </cell>
          <cell r="DN64">
            <v>0</v>
          </cell>
          <cell r="DO64">
            <v>0</v>
          </cell>
          <cell r="DP64">
            <v>0</v>
          </cell>
          <cell r="DR64" t="str">
            <v>000036 - Identified - Recompete</v>
          </cell>
          <cell r="DS64" t="str">
            <v>000036 - Identified - Recompete - MR</v>
          </cell>
          <cell r="DX64">
            <v>0.17617577046521299</v>
          </cell>
          <cell r="DY64">
            <v>0.17617577046521299</v>
          </cell>
          <cell r="DZ64">
            <v>0.17617577046521299</v>
          </cell>
          <cell r="EA64">
            <v>0.17617577046521299</v>
          </cell>
          <cell r="ED64">
            <v>0</v>
          </cell>
          <cell r="EE64">
            <v>0</v>
          </cell>
          <cell r="EF64">
            <v>0</v>
          </cell>
          <cell r="EG64">
            <v>0</v>
          </cell>
          <cell r="EH64">
            <v>0</v>
          </cell>
          <cell r="EI64">
            <v>0</v>
          </cell>
          <cell r="EJ64">
            <v>0</v>
          </cell>
          <cell r="EK64">
            <v>0</v>
          </cell>
        </row>
        <row r="65">
          <cell r="C65" t="str">
            <v>JVEGLI</v>
          </cell>
          <cell r="D65" t="str">
            <v>JV - Eglin</v>
          </cell>
          <cell r="E65" t="str">
            <v>Base</v>
          </cell>
          <cell r="F65" t="str">
            <v>Minority</v>
          </cell>
          <cell r="G65">
            <v>0</v>
          </cell>
          <cell r="H65" t="str">
            <v>MR</v>
          </cell>
          <cell r="I65" t="str">
            <v>MR Warfighter Support</v>
          </cell>
          <cell r="J65" t="str">
            <v>Air Force</v>
          </cell>
          <cell r="K65" t="str">
            <v>CPAF</v>
          </cell>
          <cell r="L65">
            <v>42461</v>
          </cell>
          <cell r="M65">
            <v>46295</v>
          </cell>
          <cell r="N65">
            <v>0</v>
          </cell>
          <cell r="O65">
            <v>0</v>
          </cell>
          <cell r="P65">
            <v>0</v>
          </cell>
          <cell r="Q65">
            <v>0</v>
          </cell>
          <cell r="R65">
            <v>0</v>
          </cell>
          <cell r="S65">
            <v>0</v>
          </cell>
          <cell r="T65">
            <v>0</v>
          </cell>
          <cell r="U65">
            <v>163217032.86083335</v>
          </cell>
          <cell r="V65" t="str">
            <v>05 Won</v>
          </cell>
          <cell r="W65" t="str">
            <v>Active</v>
          </cell>
          <cell r="X65">
            <v>0</v>
          </cell>
          <cell r="Y65">
            <v>0</v>
          </cell>
          <cell r="Z65">
            <v>0</v>
          </cell>
          <cell r="AB65">
            <v>36418912.698241875</v>
          </cell>
          <cell r="AD65">
            <v>0.25</v>
          </cell>
          <cell r="AF65">
            <v>0</v>
          </cell>
          <cell r="AG65">
            <v>0</v>
          </cell>
          <cell r="AH65">
            <v>0</v>
          </cell>
          <cell r="AI65">
            <v>0</v>
          </cell>
          <cell r="AJ65">
            <v>0</v>
          </cell>
          <cell r="AK65">
            <v>0</v>
          </cell>
          <cell r="AL65">
            <v>0</v>
          </cell>
          <cell r="AM65">
            <v>0</v>
          </cell>
          <cell r="AO65">
            <v>0</v>
          </cell>
          <cell r="AP65">
            <v>0</v>
          </cell>
          <cell r="AQ65">
            <v>0</v>
          </cell>
          <cell r="AR65">
            <v>0</v>
          </cell>
          <cell r="AS65">
            <v>0</v>
          </cell>
          <cell r="AT65">
            <v>0</v>
          </cell>
          <cell r="AU65">
            <v>0</v>
          </cell>
          <cell r="AV65">
            <v>0</v>
          </cell>
          <cell r="AX65">
            <v>0</v>
          </cell>
          <cell r="AY65">
            <v>7.1763381754392872E-3</v>
          </cell>
          <cell r="AZ65">
            <v>1.5063937069903331E-2</v>
          </cell>
          <cell r="BA65">
            <v>1.5062915258385589E-2</v>
          </cell>
          <cell r="BB65">
            <v>1.43269273120059E-2</v>
          </cell>
          <cell r="BC65">
            <v>1.43269273120059E-2</v>
          </cell>
          <cell r="BD65">
            <v>1.43269273120059E-2</v>
          </cell>
          <cell r="BE65">
            <v>1.43269273120059E-2</v>
          </cell>
          <cell r="BG65">
            <v>0</v>
          </cell>
          <cell r="BH65">
            <v>0</v>
          </cell>
          <cell r="BI65">
            <v>0</v>
          </cell>
          <cell r="BJ65">
            <v>0</v>
          </cell>
          <cell r="BK65">
            <v>0</v>
          </cell>
          <cell r="BL65">
            <v>0</v>
          </cell>
          <cell r="BM65">
            <v>0</v>
          </cell>
          <cell r="BN65">
            <v>0</v>
          </cell>
          <cell r="BP65">
            <v>0</v>
          </cell>
          <cell r="BQ65">
            <v>27512891</v>
          </cell>
          <cell r="BR65">
            <v>34639451</v>
          </cell>
          <cell r="BS65">
            <v>34639451</v>
          </cell>
          <cell r="BT65">
            <v>36418912.698241875</v>
          </cell>
          <cell r="BU65">
            <v>36418912.698241875</v>
          </cell>
          <cell r="BV65">
            <v>36418912.698241875</v>
          </cell>
          <cell r="BW65">
            <v>36418912.698241875</v>
          </cell>
          <cell r="BY65">
            <v>0</v>
          </cell>
          <cell r="BZ65">
            <v>0</v>
          </cell>
          <cell r="CA65">
            <v>0</v>
          </cell>
          <cell r="CB65">
            <v>0</v>
          </cell>
          <cell r="CC65">
            <v>0</v>
          </cell>
          <cell r="CD65">
            <v>0</v>
          </cell>
          <cell r="CE65">
            <v>0</v>
          </cell>
          <cell r="CF65">
            <v>0</v>
          </cell>
          <cell r="CH65">
            <v>0</v>
          </cell>
          <cell r="CI65">
            <v>197441.81</v>
          </cell>
          <cell r="CJ65">
            <v>521806.51</v>
          </cell>
          <cell r="CK65">
            <v>521771.11500999995</v>
          </cell>
          <cell r="CL65">
            <v>521771.11501000001</v>
          </cell>
          <cell r="CM65">
            <v>521771.11501000001</v>
          </cell>
          <cell r="CN65">
            <v>521771.11501000001</v>
          </cell>
          <cell r="CO65">
            <v>521771.11501000001</v>
          </cell>
          <cell r="CQ65">
            <v>0</v>
          </cell>
          <cell r="CR65">
            <v>-197441.81</v>
          </cell>
          <cell r="CS65">
            <v>-521806.51</v>
          </cell>
          <cell r="CT65">
            <v>-521771.11500999995</v>
          </cell>
          <cell r="CU65">
            <v>-521771.11501000001</v>
          </cell>
          <cell r="CV65">
            <v>-521771.11501000001</v>
          </cell>
          <cell r="CW65">
            <v>-521771.11501000001</v>
          </cell>
          <cell r="CX65">
            <v>-521771.11501000001</v>
          </cell>
          <cell r="CZ65">
            <v>0</v>
          </cell>
          <cell r="DA65">
            <v>0</v>
          </cell>
          <cell r="DB65">
            <v>0</v>
          </cell>
          <cell r="DC65">
            <v>0</v>
          </cell>
          <cell r="DD65">
            <v>0</v>
          </cell>
          <cell r="DE65">
            <v>0</v>
          </cell>
          <cell r="DF65">
            <v>0</v>
          </cell>
          <cell r="DG65">
            <v>0</v>
          </cell>
          <cell r="DI65">
            <v>0</v>
          </cell>
          <cell r="DJ65">
            <v>0</v>
          </cell>
          <cell r="DK65">
            <v>0</v>
          </cell>
          <cell r="DL65">
            <v>0</v>
          </cell>
          <cell r="DM65">
            <v>0</v>
          </cell>
          <cell r="DN65">
            <v>0</v>
          </cell>
          <cell r="DO65">
            <v>0</v>
          </cell>
          <cell r="DP65">
            <v>0</v>
          </cell>
          <cell r="DR65" t="str">
            <v>JVEGLI - Base</v>
          </cell>
          <cell r="DS65" t="str">
            <v>JVEGLI - Base - MR</v>
          </cell>
          <cell r="DX65">
            <v>1.43269273120059E-2</v>
          </cell>
          <cell r="DY65">
            <v>1.43269273120059E-2</v>
          </cell>
          <cell r="DZ65">
            <v>1.43269273120059E-2</v>
          </cell>
          <cell r="EA65">
            <v>1.43269273120059E-2</v>
          </cell>
          <cell r="ED65">
            <v>0</v>
          </cell>
          <cell r="EE65">
            <v>0</v>
          </cell>
          <cell r="EF65">
            <v>0</v>
          </cell>
          <cell r="EG65">
            <v>0</v>
          </cell>
          <cell r="EH65">
            <v>0</v>
          </cell>
          <cell r="EI65">
            <v>0</v>
          </cell>
          <cell r="EJ65">
            <v>0</v>
          </cell>
          <cell r="EK65">
            <v>0</v>
          </cell>
        </row>
        <row r="66">
          <cell r="DX66">
            <v>0</v>
          </cell>
          <cell r="DY66">
            <v>0</v>
          </cell>
          <cell r="DZ66">
            <v>0</v>
          </cell>
          <cell r="EA66">
            <v>0</v>
          </cell>
        </row>
        <row r="67">
          <cell r="C67" t="str">
            <v>New Business</v>
          </cell>
          <cell r="DX67">
            <v>0</v>
          </cell>
          <cell r="DY67">
            <v>0</v>
          </cell>
          <cell r="DZ67">
            <v>0</v>
          </cell>
          <cell r="EA67">
            <v>0</v>
          </cell>
        </row>
        <row r="68">
          <cell r="DX68">
            <v>0</v>
          </cell>
          <cell r="DY68">
            <v>0</v>
          </cell>
          <cell r="DZ68">
            <v>0</v>
          </cell>
          <cell r="EA68">
            <v>0</v>
          </cell>
        </row>
        <row r="69">
          <cell r="C69" t="str">
            <v>OPP-480972</v>
          </cell>
          <cell r="D69" t="str">
            <v>Pacific Missile Range Facility (PMRF) Base Operations Service (BOS) / Range Operations Service (ROS)</v>
          </cell>
          <cell r="E69" t="str">
            <v>Identified - New</v>
          </cell>
          <cell r="F69" t="str">
            <v>Minority</v>
          </cell>
          <cell r="G69">
            <v>0</v>
          </cell>
          <cell r="H69" t="str">
            <v>MR</v>
          </cell>
          <cell r="I69" t="str">
            <v>MR Warfighter Support</v>
          </cell>
          <cell r="J69" t="str">
            <v>Navy</v>
          </cell>
          <cell r="K69" t="str">
            <v>Multi</v>
          </cell>
          <cell r="L69">
            <v>43862</v>
          </cell>
          <cell r="M69">
            <v>47515</v>
          </cell>
          <cell r="N69">
            <v>0</v>
          </cell>
          <cell r="O69">
            <v>0</v>
          </cell>
          <cell r="P69">
            <v>0</v>
          </cell>
          <cell r="Q69">
            <v>0</v>
          </cell>
          <cell r="R69">
            <v>0</v>
          </cell>
          <cell r="S69">
            <v>0</v>
          </cell>
          <cell r="T69">
            <v>0</v>
          </cell>
          <cell r="U69">
            <v>0</v>
          </cell>
          <cell r="V69" t="str">
            <v>03 Proposal</v>
          </cell>
          <cell r="W69" t="str">
            <v>Priority 1</v>
          </cell>
          <cell r="X69">
            <v>500000000</v>
          </cell>
          <cell r="Y69">
            <v>200000000</v>
          </cell>
          <cell r="Z69">
            <v>0.45</v>
          </cell>
          <cell r="AB69">
            <v>20000000</v>
          </cell>
          <cell r="AD69">
            <v>0.49</v>
          </cell>
          <cell r="AF69">
            <v>0</v>
          </cell>
          <cell r="AG69">
            <v>0</v>
          </cell>
          <cell r="AH69">
            <v>0</v>
          </cell>
          <cell r="AI69">
            <v>0</v>
          </cell>
          <cell r="AJ69">
            <v>0</v>
          </cell>
          <cell r="AK69">
            <v>0</v>
          </cell>
          <cell r="AL69">
            <v>0</v>
          </cell>
          <cell r="AM69">
            <v>0</v>
          </cell>
          <cell r="AO69">
            <v>0</v>
          </cell>
          <cell r="AP69">
            <v>0</v>
          </cell>
          <cell r="AQ69">
            <v>0</v>
          </cell>
          <cell r="AR69">
            <v>0</v>
          </cell>
          <cell r="AS69">
            <v>0</v>
          </cell>
          <cell r="AT69">
            <v>0</v>
          </cell>
          <cell r="AU69">
            <v>0</v>
          </cell>
          <cell r="AV69">
            <v>0</v>
          </cell>
          <cell r="AX69">
            <v>0</v>
          </cell>
          <cell r="AY69">
            <v>0</v>
          </cell>
          <cell r="AZ69">
            <v>0</v>
          </cell>
          <cell r="BA69">
            <v>0</v>
          </cell>
          <cell r="BB69">
            <v>0.06</v>
          </cell>
          <cell r="BC69">
            <v>0.06</v>
          </cell>
          <cell r="BD69">
            <v>0.06</v>
          </cell>
          <cell r="BE69">
            <v>0.06</v>
          </cell>
          <cell r="BG69">
            <v>0</v>
          </cell>
          <cell r="BH69">
            <v>0</v>
          </cell>
          <cell r="BI69">
            <v>0</v>
          </cell>
          <cell r="BJ69">
            <v>0</v>
          </cell>
          <cell r="BK69">
            <v>0</v>
          </cell>
          <cell r="BL69">
            <v>0</v>
          </cell>
          <cell r="BM69">
            <v>0</v>
          </cell>
          <cell r="BN69">
            <v>0</v>
          </cell>
          <cell r="BP69">
            <v>0</v>
          </cell>
          <cell r="BQ69">
            <v>0</v>
          </cell>
          <cell r="BR69">
            <v>0</v>
          </cell>
          <cell r="BS69">
            <v>0</v>
          </cell>
          <cell r="BT69">
            <v>5975000</v>
          </cell>
          <cell r="BU69">
            <v>9000000</v>
          </cell>
          <cell r="BV69">
            <v>9000000</v>
          </cell>
          <cell r="BW69">
            <v>9000000</v>
          </cell>
          <cell r="BY69">
            <v>0</v>
          </cell>
          <cell r="BZ69">
            <v>0</v>
          </cell>
          <cell r="CA69">
            <v>0</v>
          </cell>
          <cell r="CB69">
            <v>0</v>
          </cell>
          <cell r="CC69">
            <v>0</v>
          </cell>
          <cell r="CD69">
            <v>0</v>
          </cell>
          <cell r="CE69">
            <v>0</v>
          </cell>
          <cell r="CF69">
            <v>0</v>
          </cell>
          <cell r="CH69">
            <v>0</v>
          </cell>
          <cell r="CI69">
            <v>0</v>
          </cell>
          <cell r="CJ69">
            <v>0</v>
          </cell>
          <cell r="CK69">
            <v>0</v>
          </cell>
          <cell r="CL69">
            <v>358500</v>
          </cell>
          <cell r="CM69">
            <v>540000</v>
          </cell>
          <cell r="CN69">
            <v>540000</v>
          </cell>
          <cell r="CO69">
            <v>540000</v>
          </cell>
          <cell r="CQ69">
            <v>0</v>
          </cell>
          <cell r="CR69">
            <v>0</v>
          </cell>
          <cell r="CS69">
            <v>0</v>
          </cell>
          <cell r="CT69">
            <v>0</v>
          </cell>
          <cell r="CU69">
            <v>-358500</v>
          </cell>
          <cell r="CV69">
            <v>-540000</v>
          </cell>
          <cell r="CW69">
            <v>-540000</v>
          </cell>
          <cell r="CX69">
            <v>-540000</v>
          </cell>
          <cell r="CZ69">
            <v>0</v>
          </cell>
          <cell r="DA69">
            <v>0</v>
          </cell>
          <cell r="DB69">
            <v>0</v>
          </cell>
          <cell r="DC69">
            <v>0</v>
          </cell>
          <cell r="DD69">
            <v>0</v>
          </cell>
          <cell r="DE69">
            <v>0</v>
          </cell>
          <cell r="DF69">
            <v>0</v>
          </cell>
          <cell r="DG69">
            <v>0</v>
          </cell>
          <cell r="DI69">
            <v>0</v>
          </cell>
          <cell r="DJ69">
            <v>0</v>
          </cell>
          <cell r="DK69">
            <v>0</v>
          </cell>
          <cell r="DL69">
            <v>0</v>
          </cell>
          <cell r="DM69">
            <v>0</v>
          </cell>
          <cell r="DN69">
            <v>0</v>
          </cell>
          <cell r="DO69">
            <v>0</v>
          </cell>
          <cell r="DP69">
            <v>0</v>
          </cell>
          <cell r="DR69" t="str">
            <v>OPP-480972 - Identified - New</v>
          </cell>
          <cell r="DS69" t="str">
            <v>OPP-480972 - Identified - New - MR</v>
          </cell>
          <cell r="DX69">
            <v>0.06</v>
          </cell>
          <cell r="DY69">
            <v>0.06</v>
          </cell>
          <cell r="DZ69">
            <v>0.06</v>
          </cell>
          <cell r="EA69">
            <v>0.06</v>
          </cell>
        </row>
        <row r="70">
          <cell r="C70" t="str">
            <v>OPP-482048</v>
          </cell>
          <cell r="D70" t="str">
            <v>Range Technical Support Services for the Atlantic Test Range (ATR) and Atlantic Test &amp; Marine Operations Division (ATMO)</v>
          </cell>
          <cell r="E70" t="str">
            <v>Identified - New</v>
          </cell>
          <cell r="F70" t="str">
            <v>Minority</v>
          </cell>
          <cell r="G70">
            <v>0</v>
          </cell>
          <cell r="H70" t="str">
            <v>MR</v>
          </cell>
          <cell r="I70" t="str">
            <v>MR Warfighter Support</v>
          </cell>
          <cell r="J70" t="str">
            <v>Navy</v>
          </cell>
          <cell r="K70" t="str">
            <v>Cost Plus</v>
          </cell>
          <cell r="L70">
            <v>44046</v>
          </cell>
          <cell r="M70">
            <v>47698</v>
          </cell>
          <cell r="N70">
            <v>0</v>
          </cell>
          <cell r="O70">
            <v>0</v>
          </cell>
          <cell r="P70">
            <v>0</v>
          </cell>
          <cell r="Q70">
            <v>0</v>
          </cell>
          <cell r="R70">
            <v>0</v>
          </cell>
          <cell r="S70">
            <v>0</v>
          </cell>
          <cell r="T70">
            <v>0</v>
          </cell>
          <cell r="U70">
            <v>0</v>
          </cell>
          <cell r="V70" t="str">
            <v>03 Proposal</v>
          </cell>
          <cell r="W70" t="str">
            <v>Priority 3</v>
          </cell>
          <cell r="X70">
            <v>700000000</v>
          </cell>
          <cell r="Y70">
            <v>244999999.99999997</v>
          </cell>
          <cell r="Z70">
            <v>0.25</v>
          </cell>
          <cell r="AB70">
            <v>24499999.999999996</v>
          </cell>
          <cell r="AD70">
            <v>0.35</v>
          </cell>
          <cell r="AF70">
            <v>0</v>
          </cell>
          <cell r="AG70">
            <v>0</v>
          </cell>
          <cell r="AH70">
            <v>0</v>
          </cell>
          <cell r="AI70">
            <v>0</v>
          </cell>
          <cell r="AJ70">
            <v>0</v>
          </cell>
          <cell r="AK70">
            <v>0</v>
          </cell>
          <cell r="AL70">
            <v>0</v>
          </cell>
          <cell r="AM70">
            <v>0</v>
          </cell>
          <cell r="AO70">
            <v>0</v>
          </cell>
          <cell r="AP70">
            <v>0</v>
          </cell>
          <cell r="AQ70">
            <v>0</v>
          </cell>
          <cell r="AR70">
            <v>0</v>
          </cell>
          <cell r="AS70">
            <v>0</v>
          </cell>
          <cell r="AT70">
            <v>0</v>
          </cell>
          <cell r="AU70">
            <v>0</v>
          </cell>
          <cell r="AV70">
            <v>0</v>
          </cell>
          <cell r="AX70">
            <v>0</v>
          </cell>
          <cell r="AY70">
            <v>0</v>
          </cell>
          <cell r="AZ70">
            <v>0</v>
          </cell>
          <cell r="BA70">
            <v>0</v>
          </cell>
          <cell r="BB70">
            <v>2.6244897959183677E-2</v>
          </cell>
          <cell r="BC70">
            <v>2.6244897959183677E-2</v>
          </cell>
          <cell r="BD70">
            <v>2.6244897959183677E-2</v>
          </cell>
          <cell r="BE70">
            <v>2.6244897959183677E-2</v>
          </cell>
          <cell r="BG70">
            <v>0</v>
          </cell>
          <cell r="BH70">
            <v>0</v>
          </cell>
          <cell r="BI70">
            <v>0</v>
          </cell>
          <cell r="BJ70">
            <v>0</v>
          </cell>
          <cell r="BK70">
            <v>0</v>
          </cell>
          <cell r="BL70">
            <v>0</v>
          </cell>
          <cell r="BM70">
            <v>0</v>
          </cell>
          <cell r="BN70">
            <v>0</v>
          </cell>
          <cell r="BP70">
            <v>0</v>
          </cell>
          <cell r="BQ70">
            <v>0</v>
          </cell>
          <cell r="BR70">
            <v>0</v>
          </cell>
          <cell r="BS70">
            <v>0</v>
          </cell>
          <cell r="BT70">
            <v>969791.66666666651</v>
          </cell>
          <cell r="BU70">
            <v>6124999.9999999991</v>
          </cell>
          <cell r="BV70">
            <v>6124999.9999999991</v>
          </cell>
          <cell r="BW70">
            <v>6124999.9999999991</v>
          </cell>
          <cell r="BY70">
            <v>0</v>
          </cell>
          <cell r="BZ70">
            <v>0</v>
          </cell>
          <cell r="CA70">
            <v>0</v>
          </cell>
          <cell r="CB70">
            <v>0</v>
          </cell>
          <cell r="CC70">
            <v>0</v>
          </cell>
          <cell r="CD70">
            <v>0</v>
          </cell>
          <cell r="CE70">
            <v>0</v>
          </cell>
          <cell r="CF70">
            <v>0</v>
          </cell>
          <cell r="CH70">
            <v>0</v>
          </cell>
          <cell r="CI70">
            <v>0</v>
          </cell>
          <cell r="CJ70">
            <v>0</v>
          </cell>
          <cell r="CK70">
            <v>0</v>
          </cell>
          <cell r="CL70">
            <v>25452.083333333332</v>
          </cell>
          <cell r="CM70">
            <v>160750</v>
          </cell>
          <cell r="CN70">
            <v>160750</v>
          </cell>
          <cell r="CO70">
            <v>160750</v>
          </cell>
          <cell r="CQ70">
            <v>0</v>
          </cell>
          <cell r="CR70">
            <v>0</v>
          </cell>
          <cell r="CS70">
            <v>0</v>
          </cell>
          <cell r="CT70">
            <v>0</v>
          </cell>
          <cell r="CU70">
            <v>-25452.083333333332</v>
          </cell>
          <cell r="CV70">
            <v>-160750</v>
          </cell>
          <cell r="CW70">
            <v>-160750</v>
          </cell>
          <cell r="CX70">
            <v>-160750</v>
          </cell>
          <cell r="CZ70">
            <v>0</v>
          </cell>
          <cell r="DA70">
            <v>0</v>
          </cell>
          <cell r="DB70">
            <v>0</v>
          </cell>
          <cell r="DC70">
            <v>0</v>
          </cell>
          <cell r="DD70">
            <v>0</v>
          </cell>
          <cell r="DE70">
            <v>0</v>
          </cell>
          <cell r="DF70">
            <v>0</v>
          </cell>
          <cell r="DG70">
            <v>0</v>
          </cell>
          <cell r="DI70">
            <v>0</v>
          </cell>
          <cell r="DJ70">
            <v>0</v>
          </cell>
          <cell r="DK70">
            <v>0</v>
          </cell>
          <cell r="DL70">
            <v>0</v>
          </cell>
          <cell r="DM70">
            <v>0</v>
          </cell>
          <cell r="DN70">
            <v>0</v>
          </cell>
          <cell r="DO70">
            <v>0</v>
          </cell>
          <cell r="DP70">
            <v>0</v>
          </cell>
          <cell r="DR70" t="str">
            <v>OPP-482048 - Identified - New</v>
          </cell>
          <cell r="DS70" t="str">
            <v>OPP-482048 - Identified - New - MR</v>
          </cell>
          <cell r="DX70">
            <v>2.6244897959183677E-2</v>
          </cell>
          <cell r="DY70">
            <v>2.6244897959183677E-2</v>
          </cell>
          <cell r="DZ70">
            <v>2.6244897959183677E-2</v>
          </cell>
          <cell r="EA70">
            <v>2.6244897959183677E-2</v>
          </cell>
        </row>
        <row r="71">
          <cell r="DX71">
            <v>0</v>
          </cell>
          <cell r="DY71">
            <v>0</v>
          </cell>
          <cell r="DZ71">
            <v>0</v>
          </cell>
          <cell r="EA71">
            <v>0</v>
          </cell>
        </row>
        <row r="72">
          <cell r="DX72">
            <v>0</v>
          </cell>
          <cell r="DY72">
            <v>0</v>
          </cell>
          <cell r="DZ72">
            <v>0</v>
          </cell>
          <cell r="EA72">
            <v>0</v>
          </cell>
        </row>
        <row r="73">
          <cell r="C73" t="str">
            <v>IS4</v>
          </cell>
          <cell r="DX73">
            <v>0</v>
          </cell>
          <cell r="DY73">
            <v>0</v>
          </cell>
          <cell r="DZ73">
            <v>0</v>
          </cell>
          <cell r="EA73">
            <v>0</v>
          </cell>
        </row>
        <row r="74">
          <cell r="DX74">
            <v>0</v>
          </cell>
          <cell r="DY74">
            <v>0</v>
          </cell>
          <cell r="DZ74">
            <v>0</v>
          </cell>
          <cell r="EA74">
            <v>0</v>
          </cell>
        </row>
        <row r="75">
          <cell r="C75" t="str">
            <v>Existing / Recompetes / Associated New Business</v>
          </cell>
          <cell r="DX75">
            <v>0</v>
          </cell>
          <cell r="DY75">
            <v>0</v>
          </cell>
          <cell r="DZ75">
            <v>0</v>
          </cell>
          <cell r="EA75">
            <v>0</v>
          </cell>
        </row>
        <row r="76">
          <cell r="DX76">
            <v>0</v>
          </cell>
          <cell r="DY76">
            <v>0</v>
          </cell>
          <cell r="DZ76">
            <v>0</v>
          </cell>
          <cell r="EA76">
            <v>0</v>
          </cell>
        </row>
        <row r="77">
          <cell r="C77" t="str">
            <v>000033</v>
          </cell>
          <cell r="D77" t="str">
            <v>MIN JV- FSA</v>
          </cell>
          <cell r="E77" t="str">
            <v>Base</v>
          </cell>
          <cell r="F77" t="str">
            <v>Minority</v>
          </cell>
          <cell r="G77">
            <v>0</v>
          </cell>
          <cell r="H77" t="str">
            <v>IS4</v>
          </cell>
          <cell r="I77" t="str">
            <v>IS4 Engineering and Technology Services</v>
          </cell>
          <cell r="J77" t="str">
            <v>DOJ</v>
          </cell>
          <cell r="K77" t="str">
            <v>Fixed Price</v>
          </cell>
          <cell r="L77">
            <v>40634</v>
          </cell>
          <cell r="M77">
            <v>43738</v>
          </cell>
          <cell r="N77">
            <v>0</v>
          </cell>
          <cell r="O77">
            <v>0</v>
          </cell>
          <cell r="P77">
            <v>0</v>
          </cell>
          <cell r="Q77">
            <v>0</v>
          </cell>
          <cell r="R77">
            <v>0</v>
          </cell>
          <cell r="S77">
            <v>0</v>
          </cell>
          <cell r="T77">
            <v>0</v>
          </cell>
          <cell r="U77">
            <v>0</v>
          </cell>
          <cell r="V77" t="str">
            <v>05 Won</v>
          </cell>
          <cell r="W77" t="str">
            <v>Active</v>
          </cell>
          <cell r="X77">
            <v>0</v>
          </cell>
          <cell r="Y77">
            <v>0</v>
          </cell>
          <cell r="Z77">
            <v>0</v>
          </cell>
          <cell r="AB77">
            <v>0</v>
          </cell>
          <cell r="AD77">
            <v>0.499</v>
          </cell>
          <cell r="AF77">
            <v>0</v>
          </cell>
          <cell r="AG77">
            <v>0</v>
          </cell>
          <cell r="AH77">
            <v>0</v>
          </cell>
          <cell r="AI77">
            <v>0</v>
          </cell>
          <cell r="AJ77">
            <v>0</v>
          </cell>
          <cell r="AK77">
            <v>0</v>
          </cell>
          <cell r="AL77">
            <v>0</v>
          </cell>
          <cell r="AM77">
            <v>0</v>
          </cell>
          <cell r="AO77">
            <v>0</v>
          </cell>
          <cell r="AP77">
            <v>0</v>
          </cell>
          <cell r="AQ77">
            <v>0</v>
          </cell>
          <cell r="AR77">
            <v>0</v>
          </cell>
          <cell r="AS77">
            <v>0</v>
          </cell>
          <cell r="AT77">
            <v>0</v>
          </cell>
          <cell r="AU77">
            <v>0</v>
          </cell>
          <cell r="AV77">
            <v>0</v>
          </cell>
          <cell r="AX77">
            <v>6.5625088512521301E-2</v>
          </cell>
          <cell r="AY77">
            <v>6.6658589285195788E-2</v>
          </cell>
          <cell r="AZ77">
            <v>5.4048645132720695E-2</v>
          </cell>
          <cell r="BA77">
            <v>5.4761326885983737E-2</v>
          </cell>
          <cell r="BB77">
            <v>6.6500000000000004E-2</v>
          </cell>
          <cell r="BC77">
            <v>6.7500000000000004E-2</v>
          </cell>
          <cell r="BD77">
            <v>6.8500000000000005E-2</v>
          </cell>
          <cell r="BE77">
            <v>6.9500000000000006E-2</v>
          </cell>
          <cell r="BG77">
            <v>0</v>
          </cell>
          <cell r="BH77">
            <v>0</v>
          </cell>
          <cell r="BI77">
            <v>0</v>
          </cell>
          <cell r="BJ77">
            <v>0</v>
          </cell>
          <cell r="BK77">
            <v>0</v>
          </cell>
          <cell r="BL77">
            <v>0</v>
          </cell>
          <cell r="BM77">
            <v>0</v>
          </cell>
          <cell r="BN77">
            <v>0</v>
          </cell>
          <cell r="BP77">
            <v>71902980.505690008</v>
          </cell>
          <cell r="BQ77">
            <v>66549400.273390003</v>
          </cell>
          <cell r="BR77">
            <v>67762706.373240009</v>
          </cell>
          <cell r="BS77">
            <v>69952410.221463636</v>
          </cell>
          <cell r="BT77">
            <v>0</v>
          </cell>
          <cell r="BU77">
            <v>0</v>
          </cell>
          <cell r="BV77">
            <v>0</v>
          </cell>
          <cell r="BW77">
            <v>0</v>
          </cell>
          <cell r="BY77">
            <v>-217779</v>
          </cell>
          <cell r="BZ77">
            <v>0</v>
          </cell>
          <cell r="CA77">
            <v>-168788</v>
          </cell>
          <cell r="CB77">
            <v>-71384</v>
          </cell>
          <cell r="CC77">
            <v>0</v>
          </cell>
          <cell r="CD77">
            <v>0</v>
          </cell>
          <cell r="CE77">
            <v>0</v>
          </cell>
          <cell r="CF77">
            <v>0</v>
          </cell>
          <cell r="CH77">
            <v>4718639.46</v>
          </cell>
          <cell r="CI77">
            <v>4436089.1400000006</v>
          </cell>
          <cell r="CJ77">
            <v>3662482.47</v>
          </cell>
          <cell r="CK77">
            <v>3830686.8026000001</v>
          </cell>
          <cell r="CL77">
            <v>0</v>
          </cell>
          <cell r="CM77">
            <v>0</v>
          </cell>
          <cell r="CN77">
            <v>0</v>
          </cell>
          <cell r="CO77">
            <v>0</v>
          </cell>
          <cell r="CQ77">
            <v>-4960108.1899999995</v>
          </cell>
          <cell r="CR77">
            <v>-4436089.1400000006</v>
          </cell>
          <cell r="CS77">
            <v>-3838438</v>
          </cell>
          <cell r="CT77">
            <v>-3830686.8026000001</v>
          </cell>
          <cell r="CU77">
            <v>0</v>
          </cell>
          <cell r="CV77">
            <v>0</v>
          </cell>
          <cell r="CW77">
            <v>0</v>
          </cell>
          <cell r="CX77">
            <v>0</v>
          </cell>
          <cell r="CZ77">
            <v>0</v>
          </cell>
          <cell r="DA77">
            <v>0</v>
          </cell>
          <cell r="DB77">
            <v>0</v>
          </cell>
          <cell r="DC77">
            <v>0</v>
          </cell>
          <cell r="DD77">
            <v>0</v>
          </cell>
          <cell r="DE77">
            <v>0</v>
          </cell>
          <cell r="DF77">
            <v>0</v>
          </cell>
          <cell r="DG77">
            <v>0</v>
          </cell>
          <cell r="DI77">
            <v>0</v>
          </cell>
          <cell r="DJ77">
            <v>0</v>
          </cell>
          <cell r="DK77">
            <v>0</v>
          </cell>
          <cell r="DL77">
            <v>0</v>
          </cell>
          <cell r="DM77">
            <v>0</v>
          </cell>
          <cell r="DN77">
            <v>0</v>
          </cell>
          <cell r="DO77">
            <v>0</v>
          </cell>
          <cell r="DP77">
            <v>0</v>
          </cell>
          <cell r="DR77" t="str">
            <v>000033 - Base</v>
          </cell>
          <cell r="DS77" t="str">
            <v>000033 - Base - IS4</v>
          </cell>
          <cell r="DX77">
            <v>6.6500000000000004E-2</v>
          </cell>
          <cell r="DY77">
            <v>6.7500000000000004E-2</v>
          </cell>
          <cell r="DZ77">
            <v>6.8500000000000005E-2</v>
          </cell>
          <cell r="EA77">
            <v>6.9500000000000006E-2</v>
          </cell>
          <cell r="ED77">
            <v>0</v>
          </cell>
          <cell r="EE77">
            <v>0</v>
          </cell>
          <cell r="EF77">
            <v>0</v>
          </cell>
          <cell r="EG77">
            <v>0</v>
          </cell>
          <cell r="EH77">
            <v>0</v>
          </cell>
          <cell r="EI77">
            <v>0</v>
          </cell>
          <cell r="EJ77">
            <v>0</v>
          </cell>
          <cell r="EK77">
            <v>0</v>
          </cell>
        </row>
        <row r="78">
          <cell r="C78" t="str">
            <v>000033</v>
          </cell>
          <cell r="D78" t="str">
            <v>MIN JV- FSA</v>
          </cell>
          <cell r="E78" t="str">
            <v>Identified - Recompete</v>
          </cell>
          <cell r="F78" t="str">
            <v>Minority</v>
          </cell>
          <cell r="G78">
            <v>0</v>
          </cell>
          <cell r="H78" t="str">
            <v>IS4</v>
          </cell>
          <cell r="I78" t="str">
            <v>IS4 Engineering and Technology Services</v>
          </cell>
          <cell r="J78" t="str">
            <v>DOJ</v>
          </cell>
          <cell r="K78" t="str">
            <v>Fixed Price</v>
          </cell>
          <cell r="L78">
            <v>43739</v>
          </cell>
          <cell r="M78">
            <v>46296</v>
          </cell>
          <cell r="N78">
            <v>0</v>
          </cell>
          <cell r="O78">
            <v>0</v>
          </cell>
          <cell r="P78">
            <v>0</v>
          </cell>
          <cell r="Q78">
            <v>0</v>
          </cell>
          <cell r="R78">
            <v>0</v>
          </cell>
          <cell r="S78">
            <v>0</v>
          </cell>
          <cell r="T78">
            <v>0</v>
          </cell>
          <cell r="U78">
            <v>0</v>
          </cell>
          <cell r="V78" t="str">
            <v>04 Submitted</v>
          </cell>
          <cell r="W78" t="str">
            <v>Priority 2</v>
          </cell>
          <cell r="X78">
            <v>924718562.97567129</v>
          </cell>
          <cell r="Y78">
            <v>461434562.92486</v>
          </cell>
          <cell r="Z78">
            <v>0.9</v>
          </cell>
          <cell r="AB78">
            <v>65919223.274980001</v>
          </cell>
          <cell r="AD78">
            <v>0.499</v>
          </cell>
          <cell r="AF78">
            <v>0</v>
          </cell>
          <cell r="AG78">
            <v>0</v>
          </cell>
          <cell r="AH78">
            <v>0</v>
          </cell>
          <cell r="AI78">
            <v>0</v>
          </cell>
          <cell r="AJ78">
            <v>0</v>
          </cell>
          <cell r="AK78">
            <v>0</v>
          </cell>
          <cell r="AL78">
            <v>0</v>
          </cell>
          <cell r="AM78">
            <v>0</v>
          </cell>
          <cell r="AO78">
            <v>0</v>
          </cell>
          <cell r="AP78">
            <v>0</v>
          </cell>
          <cell r="AQ78">
            <v>0</v>
          </cell>
          <cell r="AR78">
            <v>0</v>
          </cell>
          <cell r="AS78">
            <v>0</v>
          </cell>
          <cell r="AT78">
            <v>0</v>
          </cell>
          <cell r="AU78">
            <v>0</v>
          </cell>
          <cell r="AV78">
            <v>0</v>
          </cell>
          <cell r="AX78">
            <v>0</v>
          </cell>
          <cell r="AY78">
            <v>0</v>
          </cell>
          <cell r="AZ78">
            <v>0</v>
          </cell>
          <cell r="BA78">
            <v>0</v>
          </cell>
          <cell r="BB78">
            <v>6.6500000000000004E-2</v>
          </cell>
          <cell r="BC78">
            <v>6.7500000000000004E-2</v>
          </cell>
          <cell r="BD78">
            <v>6.8500000000000005E-2</v>
          </cell>
          <cell r="BE78">
            <v>6.9500000000000006E-2</v>
          </cell>
          <cell r="BG78">
            <v>0</v>
          </cell>
          <cell r="BH78">
            <v>0</v>
          </cell>
          <cell r="BI78">
            <v>0</v>
          </cell>
          <cell r="BJ78">
            <v>0</v>
          </cell>
          <cell r="BK78">
            <v>0</v>
          </cell>
          <cell r="BL78">
            <v>0</v>
          </cell>
          <cell r="BM78">
            <v>0</v>
          </cell>
          <cell r="BN78">
            <v>0</v>
          </cell>
          <cell r="BP78">
            <v>0</v>
          </cell>
          <cell r="BQ78">
            <v>0</v>
          </cell>
          <cell r="BR78">
            <v>0</v>
          </cell>
          <cell r="BS78">
            <v>0</v>
          </cell>
          <cell r="BT78">
            <v>59162502.88929455</v>
          </cell>
          <cell r="BU78">
            <v>65078753.178224012</v>
          </cell>
          <cell r="BV78">
            <v>71586628.496046424</v>
          </cell>
          <cell r="BW78">
            <v>78745291.345651075</v>
          </cell>
          <cell r="BY78">
            <v>0</v>
          </cell>
          <cell r="BZ78">
            <v>0</v>
          </cell>
          <cell r="CA78">
            <v>0</v>
          </cell>
          <cell r="CB78">
            <v>0</v>
          </cell>
          <cell r="CC78">
            <v>0</v>
          </cell>
          <cell r="CD78">
            <v>0</v>
          </cell>
          <cell r="CE78">
            <v>0</v>
          </cell>
          <cell r="CF78">
            <v>0</v>
          </cell>
          <cell r="CH78">
            <v>0</v>
          </cell>
          <cell r="CI78">
            <v>0</v>
          </cell>
          <cell r="CJ78">
            <v>0</v>
          </cell>
          <cell r="CK78">
            <v>0</v>
          </cell>
          <cell r="CL78">
            <v>3934306.4421380879</v>
          </cell>
          <cell r="CM78">
            <v>4392815.8395301215</v>
          </cell>
          <cell r="CN78">
            <v>4903684.0519791804</v>
          </cell>
          <cell r="CO78">
            <v>5472797.7485227501</v>
          </cell>
          <cell r="CQ78">
            <v>0</v>
          </cell>
          <cell r="CR78">
            <v>0</v>
          </cell>
          <cell r="CS78">
            <v>0</v>
          </cell>
          <cell r="CT78">
            <v>0</v>
          </cell>
          <cell r="CU78">
            <v>-3934306.4421380879</v>
          </cell>
          <cell r="CV78">
            <v>-4392815.8395301215</v>
          </cell>
          <cell r="CW78">
            <v>-4903684.0519791804</v>
          </cell>
          <cell r="CX78">
            <v>-5472797.7485227501</v>
          </cell>
          <cell r="CZ78">
            <v>0</v>
          </cell>
          <cell r="DA78">
            <v>0</v>
          </cell>
          <cell r="DB78">
            <v>0</v>
          </cell>
          <cell r="DC78">
            <v>0</v>
          </cell>
          <cell r="DD78">
            <v>0</v>
          </cell>
          <cell r="DE78">
            <v>0</v>
          </cell>
          <cell r="DF78">
            <v>0</v>
          </cell>
          <cell r="DG78">
            <v>0</v>
          </cell>
          <cell r="DI78">
            <v>0</v>
          </cell>
          <cell r="DJ78">
            <v>0</v>
          </cell>
          <cell r="DK78">
            <v>0</v>
          </cell>
          <cell r="DL78">
            <v>0</v>
          </cell>
          <cell r="DM78">
            <v>0</v>
          </cell>
          <cell r="DN78">
            <v>0</v>
          </cell>
          <cell r="DO78">
            <v>0</v>
          </cell>
          <cell r="DP78">
            <v>0</v>
          </cell>
          <cell r="DR78" t="str">
            <v>000033 - Identified - Recompete</v>
          </cell>
          <cell r="DS78" t="str">
            <v>000033 - Identified - Recompete - IS4</v>
          </cell>
          <cell r="DX78">
            <v>6.6500000000000004E-2</v>
          </cell>
          <cell r="DY78">
            <v>6.7500000000000004E-2</v>
          </cell>
          <cell r="DZ78">
            <v>6.8500000000000005E-2</v>
          </cell>
          <cell r="EA78">
            <v>6.9500000000000006E-2</v>
          </cell>
          <cell r="ED78">
            <v>0</v>
          </cell>
          <cell r="EE78">
            <v>0</v>
          </cell>
          <cell r="EF78">
            <v>0</v>
          </cell>
          <cell r="EG78">
            <v>0</v>
          </cell>
          <cell r="EH78">
            <v>0</v>
          </cell>
          <cell r="EI78">
            <v>0</v>
          </cell>
          <cell r="EJ78">
            <v>0</v>
          </cell>
          <cell r="EK78">
            <v>0</v>
          </cell>
        </row>
        <row r="79">
          <cell r="C79" t="str">
            <v>000107</v>
          </cell>
          <cell r="D79" t="str">
            <v>Equity JV- GLS</v>
          </cell>
          <cell r="E79" t="str">
            <v>Base</v>
          </cell>
          <cell r="F79" t="str">
            <v>Minority</v>
          </cell>
          <cell r="G79">
            <v>0</v>
          </cell>
          <cell r="H79" t="str">
            <v>IS4</v>
          </cell>
          <cell r="I79" t="str">
            <v>IS4 Global Mission Solutions</v>
          </cell>
          <cell r="J79" t="str">
            <v>Army</v>
          </cell>
          <cell r="K79" t="str">
            <v>Cost Plus</v>
          </cell>
          <cell r="L79">
            <v>42917</v>
          </cell>
          <cell r="M79">
            <v>43738</v>
          </cell>
          <cell r="N79">
            <v>0</v>
          </cell>
          <cell r="O79">
            <v>0</v>
          </cell>
          <cell r="P79">
            <v>0</v>
          </cell>
          <cell r="Q79">
            <v>0</v>
          </cell>
          <cell r="R79">
            <v>0</v>
          </cell>
          <cell r="S79">
            <v>0</v>
          </cell>
          <cell r="T79">
            <v>0</v>
          </cell>
          <cell r="U79">
            <v>0</v>
          </cell>
          <cell r="V79" t="str">
            <v>05 Won</v>
          </cell>
          <cell r="W79" t="str">
            <v>Active</v>
          </cell>
          <cell r="X79">
            <v>0</v>
          </cell>
          <cell r="Y79">
            <v>0</v>
          </cell>
          <cell r="Z79">
            <v>0</v>
          </cell>
          <cell r="AB79">
            <v>0</v>
          </cell>
          <cell r="AD79">
            <v>0.49</v>
          </cell>
          <cell r="AF79">
            <v>0</v>
          </cell>
          <cell r="AG79">
            <v>0</v>
          </cell>
          <cell r="AH79">
            <v>0</v>
          </cell>
          <cell r="AI79">
            <v>0</v>
          </cell>
          <cell r="AJ79">
            <v>0</v>
          </cell>
          <cell r="AK79">
            <v>0</v>
          </cell>
          <cell r="AL79">
            <v>0</v>
          </cell>
          <cell r="AM79">
            <v>0</v>
          </cell>
          <cell r="AO79">
            <v>0</v>
          </cell>
          <cell r="AP79">
            <v>0</v>
          </cell>
          <cell r="AQ79">
            <v>0</v>
          </cell>
          <cell r="AR79">
            <v>0</v>
          </cell>
          <cell r="AS79">
            <v>0</v>
          </cell>
          <cell r="AT79">
            <v>0</v>
          </cell>
          <cell r="AU79">
            <v>0</v>
          </cell>
          <cell r="AV79">
            <v>0</v>
          </cell>
          <cell r="AX79">
            <v>-0.14828923994505516</v>
          </cell>
          <cell r="AY79">
            <v>-0.10155951710541247</v>
          </cell>
          <cell r="AZ79">
            <v>5.8823209022377039E-2</v>
          </cell>
          <cell r="BA79">
            <v>7.6617540394533154E-2</v>
          </cell>
          <cell r="BB79">
            <v>2.3E-2</v>
          </cell>
          <cell r="BC79">
            <v>2.3E-2</v>
          </cell>
          <cell r="BD79">
            <v>2.3E-2</v>
          </cell>
          <cell r="BE79">
            <v>2.3E-2</v>
          </cell>
          <cell r="BG79">
            <v>0</v>
          </cell>
          <cell r="BH79">
            <v>0</v>
          </cell>
          <cell r="BI79">
            <v>0</v>
          </cell>
          <cell r="BJ79">
            <v>0</v>
          </cell>
          <cell r="BK79">
            <v>0</v>
          </cell>
          <cell r="BL79">
            <v>0</v>
          </cell>
          <cell r="BM79">
            <v>0</v>
          </cell>
          <cell r="BN79">
            <v>0</v>
          </cell>
          <cell r="BP79">
            <v>18766328.905799996</v>
          </cell>
          <cell r="BQ79">
            <v>16841001.697800003</v>
          </cell>
          <cell r="BR79">
            <v>25198914.248900004</v>
          </cell>
          <cell r="BS79">
            <v>28714058.800000001</v>
          </cell>
          <cell r="BT79">
            <v>0</v>
          </cell>
          <cell r="BU79">
            <v>0</v>
          </cell>
          <cell r="BV79">
            <v>0</v>
          </cell>
          <cell r="BW79">
            <v>0</v>
          </cell>
          <cell r="BY79">
            <v>0</v>
          </cell>
          <cell r="BZ79">
            <v>0</v>
          </cell>
          <cell r="CA79">
            <v>0</v>
          </cell>
          <cell r="CB79">
            <v>-432893.44</v>
          </cell>
          <cell r="CC79">
            <v>0</v>
          </cell>
          <cell r="CD79">
            <v>0</v>
          </cell>
          <cell r="CE79">
            <v>0</v>
          </cell>
          <cell r="CF79">
            <v>0</v>
          </cell>
          <cell r="CH79">
            <v>-2782844.6500000004</v>
          </cell>
          <cell r="CI79">
            <v>-1710364</v>
          </cell>
          <cell r="CJ79">
            <v>1482281</v>
          </cell>
          <cell r="CK79">
            <v>2200000.56</v>
          </cell>
          <cell r="CL79">
            <v>0</v>
          </cell>
          <cell r="CM79">
            <v>0</v>
          </cell>
          <cell r="CN79">
            <v>0</v>
          </cell>
          <cell r="CO79">
            <v>0</v>
          </cell>
          <cell r="CQ79">
            <v>2782844.6500000004</v>
          </cell>
          <cell r="CR79">
            <v>1710364</v>
          </cell>
          <cell r="CS79">
            <v>-1482281</v>
          </cell>
          <cell r="CT79">
            <v>-2200000.56</v>
          </cell>
          <cell r="CU79">
            <v>0</v>
          </cell>
          <cell r="CV79">
            <v>0</v>
          </cell>
          <cell r="CW79">
            <v>0</v>
          </cell>
          <cell r="CX79">
            <v>0</v>
          </cell>
          <cell r="CZ79">
            <v>0</v>
          </cell>
          <cell r="DA79">
            <v>0</v>
          </cell>
          <cell r="DB79">
            <v>0</v>
          </cell>
          <cell r="DC79">
            <v>0</v>
          </cell>
          <cell r="DD79">
            <v>0</v>
          </cell>
          <cell r="DE79">
            <v>0</v>
          </cell>
          <cell r="DF79">
            <v>0</v>
          </cell>
          <cell r="DG79">
            <v>0</v>
          </cell>
          <cell r="DI79">
            <v>0</v>
          </cell>
          <cell r="DJ79">
            <v>0</v>
          </cell>
          <cell r="DK79">
            <v>0</v>
          </cell>
          <cell r="DL79">
            <v>0</v>
          </cell>
          <cell r="DM79">
            <v>0</v>
          </cell>
          <cell r="DN79">
            <v>0</v>
          </cell>
          <cell r="DO79">
            <v>0</v>
          </cell>
          <cell r="DP79">
            <v>0</v>
          </cell>
          <cell r="DR79" t="str">
            <v>000107 - Base</v>
          </cell>
          <cell r="DS79" t="str">
            <v>000107 - Base - IS4</v>
          </cell>
          <cell r="DX79">
            <v>2.3E-2</v>
          </cell>
          <cell r="DY79">
            <v>2.3E-2</v>
          </cell>
          <cell r="DZ79">
            <v>2.3E-2</v>
          </cell>
          <cell r="EA79">
            <v>2.3E-2</v>
          </cell>
          <cell r="ED79">
            <v>0</v>
          </cell>
          <cell r="EE79">
            <v>0</v>
          </cell>
          <cell r="EF79">
            <v>0</v>
          </cell>
          <cell r="EG79">
            <v>0</v>
          </cell>
          <cell r="EH79">
            <v>0</v>
          </cell>
          <cell r="EI79">
            <v>0</v>
          </cell>
          <cell r="EJ79">
            <v>0</v>
          </cell>
          <cell r="EK79">
            <v>0</v>
          </cell>
        </row>
        <row r="80">
          <cell r="C80" t="str">
            <v>000107</v>
          </cell>
          <cell r="D80" t="str">
            <v>Equity JV- GLS</v>
          </cell>
          <cell r="E80" t="str">
            <v>Identified - Recompete</v>
          </cell>
          <cell r="F80" t="str">
            <v>Minority</v>
          </cell>
          <cell r="G80">
            <v>0</v>
          </cell>
          <cell r="H80" t="str">
            <v>IS4</v>
          </cell>
          <cell r="I80" t="str">
            <v>IS4 Global Mission Solutions</v>
          </cell>
          <cell r="J80" t="str">
            <v>Army</v>
          </cell>
          <cell r="K80" t="str">
            <v>Cost Plus</v>
          </cell>
          <cell r="L80">
            <v>43755</v>
          </cell>
          <cell r="M80">
            <v>45582</v>
          </cell>
          <cell r="N80">
            <v>0</v>
          </cell>
          <cell r="O80">
            <v>0</v>
          </cell>
          <cell r="P80">
            <v>0</v>
          </cell>
          <cell r="Q80">
            <v>0</v>
          </cell>
          <cell r="R80">
            <v>0</v>
          </cell>
          <cell r="S80">
            <v>0</v>
          </cell>
          <cell r="T80">
            <v>0</v>
          </cell>
          <cell r="U80">
            <v>0</v>
          </cell>
          <cell r="V80" t="str">
            <v>04 Submitted</v>
          </cell>
          <cell r="W80" t="str">
            <v>Priority 2</v>
          </cell>
          <cell r="X80">
            <v>889727613</v>
          </cell>
          <cell r="Y80">
            <v>435966530.37</v>
          </cell>
          <cell r="Z80">
            <v>0.3</v>
          </cell>
          <cell r="AB80">
            <v>87193306.074000001</v>
          </cell>
          <cell r="AD80">
            <v>0.49</v>
          </cell>
          <cell r="AF80">
            <v>0</v>
          </cell>
          <cell r="AG80">
            <v>0</v>
          </cell>
          <cell r="AH80">
            <v>0</v>
          </cell>
          <cell r="AI80">
            <v>0</v>
          </cell>
          <cell r="AJ80">
            <v>0</v>
          </cell>
          <cell r="AK80">
            <v>0</v>
          </cell>
          <cell r="AL80">
            <v>0</v>
          </cell>
          <cell r="AM80">
            <v>0</v>
          </cell>
          <cell r="AO80">
            <v>0</v>
          </cell>
          <cell r="AP80">
            <v>0</v>
          </cell>
          <cell r="AQ80">
            <v>0</v>
          </cell>
          <cell r="AR80">
            <v>0</v>
          </cell>
          <cell r="AS80">
            <v>0</v>
          </cell>
          <cell r="AT80">
            <v>0</v>
          </cell>
          <cell r="AU80">
            <v>0</v>
          </cell>
          <cell r="AV80">
            <v>0</v>
          </cell>
          <cell r="AX80">
            <v>0</v>
          </cell>
          <cell r="AY80">
            <v>0</v>
          </cell>
          <cell r="AZ80">
            <v>0</v>
          </cell>
          <cell r="BA80">
            <v>0</v>
          </cell>
          <cell r="BB80">
            <v>1.7244556396610339E-2</v>
          </cell>
          <cell r="BC80">
            <v>1.7244556396610339E-2</v>
          </cell>
          <cell r="BD80">
            <v>1.7244556396610339E-2</v>
          </cell>
          <cell r="BE80">
            <v>1.7244556396610339E-2</v>
          </cell>
          <cell r="BG80">
            <v>0</v>
          </cell>
          <cell r="BH80">
            <v>0</v>
          </cell>
          <cell r="BI80">
            <v>0</v>
          </cell>
          <cell r="BJ80">
            <v>0</v>
          </cell>
          <cell r="BK80">
            <v>0</v>
          </cell>
          <cell r="BL80">
            <v>0</v>
          </cell>
          <cell r="BM80">
            <v>0</v>
          </cell>
          <cell r="BN80">
            <v>0</v>
          </cell>
          <cell r="BP80">
            <v>0</v>
          </cell>
          <cell r="BQ80">
            <v>0</v>
          </cell>
          <cell r="BR80">
            <v>0</v>
          </cell>
          <cell r="BS80">
            <v>0</v>
          </cell>
          <cell r="BT80">
            <v>24922753.319484998</v>
          </cell>
          <cell r="BU80">
            <v>26157991.8222</v>
          </cell>
          <cell r="BV80">
            <v>26157991.8222</v>
          </cell>
          <cell r="BW80">
            <v>26157991.8222</v>
          </cell>
          <cell r="BY80">
            <v>0</v>
          </cell>
          <cell r="BZ80">
            <v>0</v>
          </cell>
          <cell r="CA80">
            <v>0</v>
          </cell>
          <cell r="CB80">
            <v>0</v>
          </cell>
          <cell r="CC80">
            <v>0</v>
          </cell>
          <cell r="CD80">
            <v>0</v>
          </cell>
          <cell r="CE80">
            <v>0</v>
          </cell>
          <cell r="CF80">
            <v>0</v>
          </cell>
          <cell r="CH80">
            <v>0</v>
          </cell>
          <cell r="CI80">
            <v>0</v>
          </cell>
          <cell r="CJ80">
            <v>0</v>
          </cell>
          <cell r="CK80">
            <v>0</v>
          </cell>
          <cell r="CL80">
            <v>429781.82517666661</v>
          </cell>
          <cell r="CM80">
            <v>451082.96519999998</v>
          </cell>
          <cell r="CN80">
            <v>451082.96519999998</v>
          </cell>
          <cell r="CO80">
            <v>451082.96519999998</v>
          </cell>
          <cell r="CQ80">
            <v>0</v>
          </cell>
          <cell r="CR80">
            <v>0</v>
          </cell>
          <cell r="CS80">
            <v>0</v>
          </cell>
          <cell r="CT80">
            <v>0</v>
          </cell>
          <cell r="CU80">
            <v>-429781.82517666661</v>
          </cell>
          <cell r="CV80">
            <v>-451082.96519999998</v>
          </cell>
          <cell r="CW80">
            <v>-451082.96519999998</v>
          </cell>
          <cell r="CX80">
            <v>-451082.96519999998</v>
          </cell>
          <cell r="CZ80">
            <v>0</v>
          </cell>
          <cell r="DA80">
            <v>0</v>
          </cell>
          <cell r="DB80">
            <v>0</v>
          </cell>
          <cell r="DC80">
            <v>0</v>
          </cell>
          <cell r="DD80">
            <v>0</v>
          </cell>
          <cell r="DE80">
            <v>0</v>
          </cell>
          <cell r="DF80">
            <v>0</v>
          </cell>
          <cell r="DG80">
            <v>0</v>
          </cell>
          <cell r="DI80">
            <v>0</v>
          </cell>
          <cell r="DJ80">
            <v>0</v>
          </cell>
          <cell r="DK80">
            <v>0</v>
          </cell>
          <cell r="DL80">
            <v>0</v>
          </cell>
          <cell r="DM80">
            <v>0</v>
          </cell>
          <cell r="DN80">
            <v>0</v>
          </cell>
          <cell r="DO80">
            <v>0</v>
          </cell>
          <cell r="DP80">
            <v>0</v>
          </cell>
          <cell r="DR80" t="str">
            <v>000107 - Identified - Recompete</v>
          </cell>
          <cell r="DS80" t="str">
            <v>000107 - Identified - Recompete - IS4</v>
          </cell>
          <cell r="DX80">
            <v>1.7244556396610339E-2</v>
          </cell>
          <cell r="DY80">
            <v>1.7244556396610339E-2</v>
          </cell>
          <cell r="DZ80">
            <v>1.7244556396610339E-2</v>
          </cell>
          <cell r="EA80">
            <v>1.7244556396610339E-2</v>
          </cell>
        </row>
        <row r="81">
          <cell r="DX81">
            <v>0</v>
          </cell>
          <cell r="DY81">
            <v>0</v>
          </cell>
          <cell r="DZ81">
            <v>0</v>
          </cell>
          <cell r="EA81">
            <v>0</v>
          </cell>
        </row>
        <row r="82">
          <cell r="C82" t="str">
            <v>New Business</v>
          </cell>
          <cell r="DX82">
            <v>0</v>
          </cell>
          <cell r="DY82">
            <v>0</v>
          </cell>
          <cell r="DZ82">
            <v>0</v>
          </cell>
          <cell r="EA82">
            <v>0</v>
          </cell>
        </row>
        <row r="83">
          <cell r="DX83">
            <v>0</v>
          </cell>
          <cell r="DY83">
            <v>0</v>
          </cell>
          <cell r="DZ83">
            <v>0</v>
          </cell>
          <cell r="EA83">
            <v>0</v>
          </cell>
        </row>
        <row r="84">
          <cell r="C84" t="str">
            <v>OPP-902466</v>
          </cell>
          <cell r="D84" t="str">
            <v>DLITE II KOSOVO</v>
          </cell>
          <cell r="E84" t="str">
            <v>Identified - New</v>
          </cell>
          <cell r="F84" t="str">
            <v>Minority</v>
          </cell>
          <cell r="G84">
            <v>0</v>
          </cell>
          <cell r="H84" t="str">
            <v>IS4</v>
          </cell>
          <cell r="I84" t="str">
            <v>IS4 Global Mission Solutions</v>
          </cell>
          <cell r="J84" t="str">
            <v>Army</v>
          </cell>
          <cell r="K84" t="str">
            <v>Fixed Price</v>
          </cell>
          <cell r="L84">
            <v>43739</v>
          </cell>
          <cell r="M84">
            <v>45566</v>
          </cell>
          <cell r="N84">
            <v>0</v>
          </cell>
          <cell r="O84">
            <v>0</v>
          </cell>
          <cell r="P84">
            <v>0</v>
          </cell>
          <cell r="Q84">
            <v>0</v>
          </cell>
          <cell r="R84">
            <v>0</v>
          </cell>
          <cell r="S84">
            <v>0</v>
          </cell>
          <cell r="T84">
            <v>0</v>
          </cell>
          <cell r="U84">
            <v>0</v>
          </cell>
          <cell r="V84" t="str">
            <v>03 Proposal</v>
          </cell>
          <cell r="W84" t="str">
            <v>Priority 2</v>
          </cell>
          <cell r="X84">
            <v>22734840</v>
          </cell>
          <cell r="Y84">
            <v>11140071.6</v>
          </cell>
          <cell r="Z84">
            <v>0.3</v>
          </cell>
          <cell r="AB84">
            <v>2228014.3199999998</v>
          </cell>
          <cell r="AD84">
            <v>0.49</v>
          </cell>
          <cell r="AF84">
            <v>0</v>
          </cell>
          <cell r="AG84">
            <v>0</v>
          </cell>
          <cell r="AH84">
            <v>0</v>
          </cell>
          <cell r="AI84">
            <v>0</v>
          </cell>
          <cell r="AJ84">
            <v>0</v>
          </cell>
          <cell r="AK84">
            <v>0</v>
          </cell>
          <cell r="AL84">
            <v>0</v>
          </cell>
          <cell r="AM84">
            <v>0</v>
          </cell>
          <cell r="AO84">
            <v>0</v>
          </cell>
          <cell r="AP84">
            <v>0</v>
          </cell>
          <cell r="AQ84">
            <v>0</v>
          </cell>
          <cell r="AR84">
            <v>0</v>
          </cell>
          <cell r="AS84">
            <v>0</v>
          </cell>
          <cell r="AT84">
            <v>0</v>
          </cell>
          <cell r="AU84">
            <v>0</v>
          </cell>
          <cell r="AV84">
            <v>0</v>
          </cell>
          <cell r="AX84">
            <v>0</v>
          </cell>
          <cell r="AY84">
            <v>0</v>
          </cell>
          <cell r="AZ84">
            <v>0</v>
          </cell>
          <cell r="BA84">
            <v>0.03</v>
          </cell>
          <cell r="BB84">
            <v>0.03</v>
          </cell>
          <cell r="BC84">
            <v>0.03</v>
          </cell>
          <cell r="BD84">
            <v>0.03</v>
          </cell>
          <cell r="BE84">
            <v>0.03</v>
          </cell>
          <cell r="BG84">
            <v>0</v>
          </cell>
          <cell r="BH84">
            <v>0</v>
          </cell>
          <cell r="BI84">
            <v>0</v>
          </cell>
          <cell r="BJ84">
            <v>0</v>
          </cell>
          <cell r="BK84">
            <v>0</v>
          </cell>
          <cell r="BL84">
            <v>0</v>
          </cell>
          <cell r="BM84">
            <v>0</v>
          </cell>
          <cell r="BN84">
            <v>0</v>
          </cell>
          <cell r="BP84">
            <v>0</v>
          </cell>
          <cell r="BQ84">
            <v>0</v>
          </cell>
          <cell r="BR84">
            <v>0</v>
          </cell>
          <cell r="BS84">
            <v>0</v>
          </cell>
          <cell r="BT84">
            <v>666547.61739999999</v>
          </cell>
          <cell r="BU84">
            <v>668404.29599999997</v>
          </cell>
          <cell r="BV84">
            <v>668404.29599999997</v>
          </cell>
          <cell r="BW84">
            <v>668404.29599999997</v>
          </cell>
          <cell r="BY84">
            <v>0</v>
          </cell>
          <cell r="BZ84">
            <v>0</v>
          </cell>
          <cell r="CA84">
            <v>0</v>
          </cell>
          <cell r="CB84">
            <v>0</v>
          </cell>
          <cell r="CC84">
            <v>0</v>
          </cell>
          <cell r="CD84">
            <v>0</v>
          </cell>
          <cell r="CE84">
            <v>0</v>
          </cell>
          <cell r="CF84">
            <v>0</v>
          </cell>
          <cell r="CH84">
            <v>0</v>
          </cell>
          <cell r="CI84">
            <v>0</v>
          </cell>
          <cell r="CJ84">
            <v>0</v>
          </cell>
          <cell r="CK84">
            <v>0</v>
          </cell>
          <cell r="CL84">
            <v>19996.428521999998</v>
          </cell>
          <cell r="CM84">
            <v>20052.12888</v>
          </cell>
          <cell r="CN84">
            <v>20052.12888</v>
          </cell>
          <cell r="CO84">
            <v>20052.12888</v>
          </cell>
          <cell r="CQ84">
            <v>0</v>
          </cell>
          <cell r="CR84">
            <v>0</v>
          </cell>
          <cell r="CS84">
            <v>0</v>
          </cell>
          <cell r="CT84">
            <v>0</v>
          </cell>
          <cell r="CU84">
            <v>-19996.428521999998</v>
          </cell>
          <cell r="CV84">
            <v>-20052.12888</v>
          </cell>
          <cell r="CW84">
            <v>-20052.12888</v>
          </cell>
          <cell r="CX84">
            <v>-20052.12888</v>
          </cell>
          <cell r="CZ84">
            <v>0</v>
          </cell>
          <cell r="DA84">
            <v>0</v>
          </cell>
          <cell r="DB84">
            <v>0</v>
          </cell>
          <cell r="DC84">
            <v>0</v>
          </cell>
          <cell r="DD84">
            <v>0</v>
          </cell>
          <cell r="DE84">
            <v>0</v>
          </cell>
          <cell r="DF84">
            <v>0</v>
          </cell>
          <cell r="DG84">
            <v>0</v>
          </cell>
          <cell r="DI84">
            <v>0</v>
          </cell>
          <cell r="DJ84">
            <v>0</v>
          </cell>
          <cell r="DK84">
            <v>0</v>
          </cell>
          <cell r="DL84">
            <v>0</v>
          </cell>
          <cell r="DM84">
            <v>0</v>
          </cell>
          <cell r="DN84">
            <v>0</v>
          </cell>
          <cell r="DO84">
            <v>0</v>
          </cell>
          <cell r="DP84">
            <v>0</v>
          </cell>
          <cell r="DR84" t="str">
            <v>OPP-902466 - Identified - New</v>
          </cell>
          <cell r="DS84" t="str">
            <v>OPP-902466 - Identified - New - IS4</v>
          </cell>
          <cell r="DX84">
            <v>0.03</v>
          </cell>
          <cell r="DY84">
            <v>0.03</v>
          </cell>
          <cell r="DZ84">
            <v>0.03</v>
          </cell>
          <cell r="EA84">
            <v>0.03</v>
          </cell>
          <cell r="ED84">
            <v>0</v>
          </cell>
          <cell r="EE84">
            <v>0</v>
          </cell>
          <cell r="EF84">
            <v>0</v>
          </cell>
          <cell r="EG84">
            <v>0</v>
          </cell>
          <cell r="EH84">
            <v>0</v>
          </cell>
          <cell r="EI84">
            <v>0</v>
          </cell>
          <cell r="EJ84">
            <v>0</v>
          </cell>
          <cell r="EK84">
            <v>0</v>
          </cell>
        </row>
        <row r="85">
          <cell r="C85" t="str">
            <v>OPP-902468</v>
          </cell>
          <cell r="D85" t="str">
            <v>DLITE II NAVCENT</v>
          </cell>
          <cell r="E85" t="str">
            <v>Identified - New</v>
          </cell>
          <cell r="F85" t="str">
            <v>Minority</v>
          </cell>
          <cell r="G85">
            <v>0</v>
          </cell>
          <cell r="H85" t="str">
            <v>IS4</v>
          </cell>
          <cell r="I85" t="str">
            <v>IS4 Global Mission Solutions</v>
          </cell>
          <cell r="J85" t="str">
            <v>Army</v>
          </cell>
          <cell r="K85" t="str">
            <v>Cost Plus</v>
          </cell>
          <cell r="L85">
            <v>43805</v>
          </cell>
          <cell r="M85">
            <v>45632</v>
          </cell>
          <cell r="N85">
            <v>0</v>
          </cell>
          <cell r="O85">
            <v>0</v>
          </cell>
          <cell r="P85">
            <v>0</v>
          </cell>
          <cell r="Q85">
            <v>0</v>
          </cell>
          <cell r="R85">
            <v>0</v>
          </cell>
          <cell r="S85">
            <v>0</v>
          </cell>
          <cell r="T85">
            <v>0</v>
          </cell>
          <cell r="U85">
            <v>0</v>
          </cell>
          <cell r="V85" t="str">
            <v>02 Capture</v>
          </cell>
          <cell r="W85" t="str">
            <v>Priority 2</v>
          </cell>
          <cell r="X85">
            <v>40000000</v>
          </cell>
          <cell r="Y85">
            <v>19600000</v>
          </cell>
          <cell r="Z85">
            <v>0.3</v>
          </cell>
          <cell r="AB85">
            <v>3920000</v>
          </cell>
          <cell r="AD85">
            <v>0.49</v>
          </cell>
          <cell r="AF85">
            <v>0</v>
          </cell>
          <cell r="AG85">
            <v>0</v>
          </cell>
          <cell r="AH85">
            <v>0</v>
          </cell>
          <cell r="AI85">
            <v>0</v>
          </cell>
          <cell r="AJ85">
            <v>0</v>
          </cell>
          <cell r="AK85">
            <v>0</v>
          </cell>
          <cell r="AL85">
            <v>0</v>
          </cell>
          <cell r="AM85">
            <v>0</v>
          </cell>
          <cell r="AO85">
            <v>0</v>
          </cell>
          <cell r="AP85">
            <v>0</v>
          </cell>
          <cell r="AQ85">
            <v>0</v>
          </cell>
          <cell r="AR85">
            <v>0</v>
          </cell>
          <cell r="AS85">
            <v>0</v>
          </cell>
          <cell r="AT85">
            <v>0</v>
          </cell>
          <cell r="AU85">
            <v>0</v>
          </cell>
          <cell r="AV85">
            <v>0</v>
          </cell>
          <cell r="AX85">
            <v>0</v>
          </cell>
          <cell r="AY85">
            <v>0</v>
          </cell>
          <cell r="AZ85">
            <v>0</v>
          </cell>
          <cell r="BA85">
            <v>0.03</v>
          </cell>
          <cell r="BB85">
            <v>0.03</v>
          </cell>
          <cell r="BC85">
            <v>0.03</v>
          </cell>
          <cell r="BD85">
            <v>0.03</v>
          </cell>
          <cell r="BE85">
            <v>0.03</v>
          </cell>
          <cell r="BG85">
            <v>0</v>
          </cell>
          <cell r="BH85">
            <v>0</v>
          </cell>
          <cell r="BI85">
            <v>0</v>
          </cell>
          <cell r="BJ85">
            <v>0</v>
          </cell>
          <cell r="BK85">
            <v>0</v>
          </cell>
          <cell r="BL85">
            <v>0</v>
          </cell>
          <cell r="BM85">
            <v>0</v>
          </cell>
          <cell r="BN85">
            <v>0</v>
          </cell>
          <cell r="BP85">
            <v>0</v>
          </cell>
          <cell r="BQ85">
            <v>0</v>
          </cell>
          <cell r="BR85">
            <v>0</v>
          </cell>
          <cell r="BS85">
            <v>0</v>
          </cell>
          <cell r="BT85">
            <v>960400</v>
          </cell>
          <cell r="BU85">
            <v>1176000</v>
          </cell>
          <cell r="BV85">
            <v>1176000</v>
          </cell>
          <cell r="BW85">
            <v>1176000</v>
          </cell>
          <cell r="BY85">
            <v>0</v>
          </cell>
          <cell r="BZ85">
            <v>0</v>
          </cell>
          <cell r="CA85">
            <v>0</v>
          </cell>
          <cell r="CB85">
            <v>0</v>
          </cell>
          <cell r="CC85">
            <v>0</v>
          </cell>
          <cell r="CD85">
            <v>0</v>
          </cell>
          <cell r="CE85">
            <v>0</v>
          </cell>
          <cell r="CF85">
            <v>0</v>
          </cell>
          <cell r="CH85">
            <v>0</v>
          </cell>
          <cell r="CI85">
            <v>0</v>
          </cell>
          <cell r="CJ85">
            <v>0</v>
          </cell>
          <cell r="CK85">
            <v>0</v>
          </cell>
          <cell r="CL85">
            <v>28812</v>
          </cell>
          <cell r="CM85">
            <v>35280</v>
          </cell>
          <cell r="CN85">
            <v>35280</v>
          </cell>
          <cell r="CO85">
            <v>35280</v>
          </cell>
          <cell r="CQ85">
            <v>0</v>
          </cell>
          <cell r="CR85">
            <v>0</v>
          </cell>
          <cell r="CS85">
            <v>0</v>
          </cell>
          <cell r="CT85">
            <v>0</v>
          </cell>
          <cell r="CU85">
            <v>-28812</v>
          </cell>
          <cell r="CV85">
            <v>-35280</v>
          </cell>
          <cell r="CW85">
            <v>-35280</v>
          </cell>
          <cell r="CX85">
            <v>-35280</v>
          </cell>
          <cell r="CZ85">
            <v>0</v>
          </cell>
          <cell r="DA85">
            <v>0</v>
          </cell>
          <cell r="DB85">
            <v>0</v>
          </cell>
          <cell r="DC85">
            <v>0</v>
          </cell>
          <cell r="DD85">
            <v>0</v>
          </cell>
          <cell r="DE85">
            <v>0</v>
          </cell>
          <cell r="DF85">
            <v>0</v>
          </cell>
          <cell r="DG85">
            <v>0</v>
          </cell>
          <cell r="DI85">
            <v>0</v>
          </cell>
          <cell r="DJ85">
            <v>0</v>
          </cell>
          <cell r="DK85">
            <v>0</v>
          </cell>
          <cell r="DL85">
            <v>0</v>
          </cell>
          <cell r="DM85">
            <v>0</v>
          </cell>
          <cell r="DN85">
            <v>0</v>
          </cell>
          <cell r="DO85">
            <v>0</v>
          </cell>
          <cell r="DP85">
            <v>0</v>
          </cell>
          <cell r="DR85" t="str">
            <v>OPP-902468 - Identified - New</v>
          </cell>
          <cell r="DS85" t="str">
            <v>OPP-902468 - Identified - New - IS4</v>
          </cell>
          <cell r="DX85">
            <v>0.03</v>
          </cell>
          <cell r="DY85">
            <v>0.03</v>
          </cell>
          <cell r="DZ85">
            <v>0.03</v>
          </cell>
          <cell r="EA85">
            <v>0.03</v>
          </cell>
          <cell r="ED85">
            <v>0</v>
          </cell>
          <cell r="EE85">
            <v>0</v>
          </cell>
          <cell r="EF85">
            <v>0</v>
          </cell>
          <cell r="EG85">
            <v>0</v>
          </cell>
          <cell r="EH85">
            <v>0</v>
          </cell>
          <cell r="EI85">
            <v>0</v>
          </cell>
          <cell r="EJ85">
            <v>0</v>
          </cell>
          <cell r="EK85">
            <v>0</v>
          </cell>
        </row>
        <row r="86">
          <cell r="C86" t="str">
            <v>OPP-817075</v>
          </cell>
          <cell r="D86" t="str">
            <v>DLITE II AFRICOM III</v>
          </cell>
          <cell r="E86" t="str">
            <v>Identified - New</v>
          </cell>
          <cell r="F86" t="str">
            <v>Minority</v>
          </cell>
          <cell r="G86">
            <v>0</v>
          </cell>
          <cell r="H86" t="str">
            <v>IS4</v>
          </cell>
          <cell r="I86" t="str">
            <v>IS4 Global Mission Solutions</v>
          </cell>
          <cell r="J86" t="str">
            <v>Army</v>
          </cell>
          <cell r="K86" t="str">
            <v>Cost Plus</v>
          </cell>
          <cell r="L86">
            <v>43818</v>
          </cell>
          <cell r="M86">
            <v>45645</v>
          </cell>
          <cell r="N86">
            <v>0</v>
          </cell>
          <cell r="O86">
            <v>0</v>
          </cell>
          <cell r="P86">
            <v>0</v>
          </cell>
          <cell r="Q86">
            <v>0</v>
          </cell>
          <cell r="R86">
            <v>0</v>
          </cell>
          <cell r="S86">
            <v>0</v>
          </cell>
          <cell r="T86">
            <v>0</v>
          </cell>
          <cell r="U86">
            <v>0</v>
          </cell>
          <cell r="V86" t="str">
            <v>02 Capture</v>
          </cell>
          <cell r="W86" t="str">
            <v>Priority 2</v>
          </cell>
          <cell r="X86">
            <v>43000000</v>
          </cell>
          <cell r="Y86">
            <v>21070000</v>
          </cell>
          <cell r="Z86">
            <v>0.2</v>
          </cell>
          <cell r="AB86">
            <v>4214000</v>
          </cell>
          <cell r="AD86">
            <v>0.49</v>
          </cell>
          <cell r="AF86">
            <v>0</v>
          </cell>
          <cell r="AG86">
            <v>0</v>
          </cell>
          <cell r="AH86">
            <v>0</v>
          </cell>
          <cell r="AI86">
            <v>0</v>
          </cell>
          <cell r="AJ86">
            <v>0</v>
          </cell>
          <cell r="AK86">
            <v>0</v>
          </cell>
          <cell r="AL86">
            <v>0</v>
          </cell>
          <cell r="AM86">
            <v>0</v>
          </cell>
          <cell r="AO86">
            <v>0</v>
          </cell>
          <cell r="AP86">
            <v>0</v>
          </cell>
          <cell r="AQ86">
            <v>0</v>
          </cell>
          <cell r="AR86">
            <v>0</v>
          </cell>
          <cell r="AS86">
            <v>0</v>
          </cell>
          <cell r="AT86">
            <v>0</v>
          </cell>
          <cell r="AU86">
            <v>0</v>
          </cell>
          <cell r="AV86">
            <v>0</v>
          </cell>
          <cell r="AX86">
            <v>0</v>
          </cell>
          <cell r="AY86">
            <v>0</v>
          </cell>
          <cell r="AZ86">
            <v>0</v>
          </cell>
          <cell r="BA86">
            <v>0.03</v>
          </cell>
          <cell r="BB86">
            <v>0.03</v>
          </cell>
          <cell r="BC86">
            <v>0.03</v>
          </cell>
          <cell r="BD86">
            <v>0.03</v>
          </cell>
          <cell r="BE86">
            <v>0.03</v>
          </cell>
          <cell r="BG86">
            <v>0</v>
          </cell>
          <cell r="BH86">
            <v>0</v>
          </cell>
          <cell r="BI86">
            <v>0</v>
          </cell>
          <cell r="BJ86">
            <v>0</v>
          </cell>
          <cell r="BK86">
            <v>0</v>
          </cell>
          <cell r="BL86">
            <v>0</v>
          </cell>
          <cell r="BM86">
            <v>0</v>
          </cell>
          <cell r="BN86">
            <v>0</v>
          </cell>
          <cell r="BP86">
            <v>0</v>
          </cell>
          <cell r="BQ86">
            <v>0</v>
          </cell>
          <cell r="BR86">
            <v>0</v>
          </cell>
          <cell r="BS86">
            <v>0</v>
          </cell>
          <cell r="BT86">
            <v>657852.22222222225</v>
          </cell>
          <cell r="BU86">
            <v>842800</v>
          </cell>
          <cell r="BV86">
            <v>842800</v>
          </cell>
          <cell r="BW86">
            <v>842800</v>
          </cell>
          <cell r="BY86">
            <v>0</v>
          </cell>
          <cell r="BZ86">
            <v>0</v>
          </cell>
          <cell r="CA86">
            <v>0</v>
          </cell>
          <cell r="CB86">
            <v>0</v>
          </cell>
          <cell r="CC86">
            <v>0</v>
          </cell>
          <cell r="CD86">
            <v>0</v>
          </cell>
          <cell r="CE86">
            <v>0</v>
          </cell>
          <cell r="CF86">
            <v>0</v>
          </cell>
          <cell r="CH86">
            <v>0</v>
          </cell>
          <cell r="CI86">
            <v>0</v>
          </cell>
          <cell r="CJ86">
            <v>0</v>
          </cell>
          <cell r="CK86">
            <v>0</v>
          </cell>
          <cell r="CL86">
            <v>19735.566666666666</v>
          </cell>
          <cell r="CM86">
            <v>25284</v>
          </cell>
          <cell r="CN86">
            <v>25284</v>
          </cell>
          <cell r="CO86">
            <v>25284</v>
          </cell>
          <cell r="CQ86">
            <v>0</v>
          </cell>
          <cell r="CR86">
            <v>0</v>
          </cell>
          <cell r="CS86">
            <v>0</v>
          </cell>
          <cell r="CT86">
            <v>0</v>
          </cell>
          <cell r="CU86">
            <v>-19735.566666666666</v>
          </cell>
          <cell r="CV86">
            <v>-25284</v>
          </cell>
          <cell r="CW86">
            <v>-25284</v>
          </cell>
          <cell r="CX86">
            <v>-25284</v>
          </cell>
          <cell r="CZ86">
            <v>0</v>
          </cell>
          <cell r="DA86">
            <v>0</v>
          </cell>
          <cell r="DB86">
            <v>0</v>
          </cell>
          <cell r="DC86">
            <v>0</v>
          </cell>
          <cell r="DD86">
            <v>0</v>
          </cell>
          <cell r="DE86">
            <v>0</v>
          </cell>
          <cell r="DF86">
            <v>0</v>
          </cell>
          <cell r="DG86">
            <v>0</v>
          </cell>
          <cell r="DI86">
            <v>0</v>
          </cell>
          <cell r="DJ86">
            <v>0</v>
          </cell>
          <cell r="DK86">
            <v>0</v>
          </cell>
          <cell r="DL86">
            <v>0</v>
          </cell>
          <cell r="DM86">
            <v>0</v>
          </cell>
          <cell r="DN86">
            <v>0</v>
          </cell>
          <cell r="DO86">
            <v>0</v>
          </cell>
          <cell r="DP86">
            <v>0</v>
          </cell>
          <cell r="DR86" t="str">
            <v>OPP-817075 - Identified - New</v>
          </cell>
          <cell r="DS86" t="str">
            <v>OPP-817075 - Identified - New - IS4</v>
          </cell>
          <cell r="DX86">
            <v>0.03</v>
          </cell>
          <cell r="DY86">
            <v>0.03</v>
          </cell>
          <cell r="DZ86">
            <v>0.03</v>
          </cell>
          <cell r="EA86">
            <v>0.03</v>
          </cell>
          <cell r="ED86">
            <v>0</v>
          </cell>
          <cell r="EE86">
            <v>0</v>
          </cell>
          <cell r="EF86">
            <v>0</v>
          </cell>
          <cell r="EG86">
            <v>0</v>
          </cell>
          <cell r="EH86">
            <v>0</v>
          </cell>
          <cell r="EI86">
            <v>0</v>
          </cell>
          <cell r="EJ86">
            <v>0</v>
          </cell>
          <cell r="EK86">
            <v>0</v>
          </cell>
        </row>
        <row r="87">
          <cell r="C87" t="str">
            <v>OPP-935036</v>
          </cell>
          <cell r="D87" t="str">
            <v>NATIONAL BENEFITS CENTER RECORDS OPERATIONS CONTRACT</v>
          </cell>
          <cell r="E87" t="str">
            <v>Identified - New</v>
          </cell>
          <cell r="F87" t="str">
            <v>Minority</v>
          </cell>
          <cell r="G87">
            <v>0</v>
          </cell>
          <cell r="H87" t="str">
            <v>IS4</v>
          </cell>
          <cell r="I87" t="str">
            <v>IS4 Engineering and Technology Services</v>
          </cell>
          <cell r="J87" t="str">
            <v>Homeland Security</v>
          </cell>
          <cell r="K87" t="str">
            <v>Multi</v>
          </cell>
          <cell r="L87">
            <v>44166</v>
          </cell>
          <cell r="M87">
            <v>45992</v>
          </cell>
          <cell r="N87">
            <v>0</v>
          </cell>
          <cell r="O87">
            <v>0</v>
          </cell>
          <cell r="P87">
            <v>0</v>
          </cell>
          <cell r="Q87">
            <v>0</v>
          </cell>
          <cell r="R87">
            <v>0</v>
          </cell>
          <cell r="S87">
            <v>0</v>
          </cell>
          <cell r="T87">
            <v>0</v>
          </cell>
          <cell r="U87">
            <v>0</v>
          </cell>
          <cell r="V87" t="str">
            <v>00 Investigate</v>
          </cell>
          <cell r="W87" t="str">
            <v>Priority 2</v>
          </cell>
          <cell r="X87">
            <v>20000000</v>
          </cell>
          <cell r="Y87">
            <v>9800000</v>
          </cell>
          <cell r="Z87">
            <v>0.25</v>
          </cell>
          <cell r="AB87">
            <v>1960000</v>
          </cell>
          <cell r="AD87">
            <v>0.49</v>
          </cell>
          <cell r="AF87">
            <v>0</v>
          </cell>
          <cell r="AG87">
            <v>0</v>
          </cell>
          <cell r="AH87">
            <v>0</v>
          </cell>
          <cell r="AI87">
            <v>0</v>
          </cell>
          <cell r="AJ87">
            <v>0</v>
          </cell>
          <cell r="AK87">
            <v>0</v>
          </cell>
          <cell r="AL87">
            <v>0</v>
          </cell>
          <cell r="AM87">
            <v>0</v>
          </cell>
          <cell r="AO87">
            <v>0</v>
          </cell>
          <cell r="AP87">
            <v>0</v>
          </cell>
          <cell r="AQ87">
            <v>0</v>
          </cell>
          <cell r="AR87">
            <v>0</v>
          </cell>
          <cell r="AS87">
            <v>0</v>
          </cell>
          <cell r="AT87">
            <v>0</v>
          </cell>
          <cell r="AU87">
            <v>0</v>
          </cell>
          <cell r="AV87">
            <v>0</v>
          </cell>
          <cell r="AX87">
            <v>0</v>
          </cell>
          <cell r="AY87">
            <v>0</v>
          </cell>
          <cell r="AZ87">
            <v>0</v>
          </cell>
          <cell r="BA87">
            <v>0.06</v>
          </cell>
          <cell r="BB87">
            <v>0.06</v>
          </cell>
          <cell r="BC87">
            <v>0.06</v>
          </cell>
          <cell r="BD87">
            <v>0.06</v>
          </cell>
          <cell r="BE87">
            <v>0.06</v>
          </cell>
          <cell r="BG87">
            <v>0</v>
          </cell>
          <cell r="BH87">
            <v>0</v>
          </cell>
          <cell r="BI87">
            <v>0</v>
          </cell>
          <cell r="BJ87">
            <v>0</v>
          </cell>
          <cell r="BK87">
            <v>0</v>
          </cell>
          <cell r="BL87">
            <v>0</v>
          </cell>
          <cell r="BM87">
            <v>0</v>
          </cell>
          <cell r="BN87">
            <v>0</v>
          </cell>
          <cell r="BP87">
            <v>0</v>
          </cell>
          <cell r="BQ87">
            <v>0</v>
          </cell>
          <cell r="BR87">
            <v>0</v>
          </cell>
          <cell r="BS87">
            <v>0</v>
          </cell>
          <cell r="BT87">
            <v>0</v>
          </cell>
          <cell r="BU87">
            <v>406972.22222222225</v>
          </cell>
          <cell r="BV87">
            <v>490000</v>
          </cell>
          <cell r="BW87">
            <v>490000</v>
          </cell>
          <cell r="BY87">
            <v>0</v>
          </cell>
          <cell r="BZ87">
            <v>0</v>
          </cell>
          <cell r="CA87">
            <v>0</v>
          </cell>
          <cell r="CB87">
            <v>0</v>
          </cell>
          <cell r="CC87">
            <v>0</v>
          </cell>
          <cell r="CD87">
            <v>0</v>
          </cell>
          <cell r="CE87">
            <v>0</v>
          </cell>
          <cell r="CF87">
            <v>0</v>
          </cell>
          <cell r="CH87">
            <v>0</v>
          </cell>
          <cell r="CI87">
            <v>0</v>
          </cell>
          <cell r="CJ87">
            <v>0</v>
          </cell>
          <cell r="CK87">
            <v>0</v>
          </cell>
          <cell r="CL87">
            <v>0</v>
          </cell>
          <cell r="CM87">
            <v>24418.333333333336</v>
          </cell>
          <cell r="CN87">
            <v>29400</v>
          </cell>
          <cell r="CO87">
            <v>29400</v>
          </cell>
          <cell r="CQ87">
            <v>0</v>
          </cell>
          <cell r="CR87">
            <v>0</v>
          </cell>
          <cell r="CS87">
            <v>0</v>
          </cell>
          <cell r="CT87">
            <v>0</v>
          </cell>
          <cell r="CU87">
            <v>0</v>
          </cell>
          <cell r="CV87">
            <v>-24418.333333333336</v>
          </cell>
          <cell r="CW87">
            <v>-29400</v>
          </cell>
          <cell r="CX87">
            <v>-29400</v>
          </cell>
          <cell r="CZ87">
            <v>0</v>
          </cell>
          <cell r="DA87">
            <v>0</v>
          </cell>
          <cell r="DB87">
            <v>0</v>
          </cell>
          <cell r="DC87">
            <v>0</v>
          </cell>
          <cell r="DD87">
            <v>0</v>
          </cell>
          <cell r="DE87">
            <v>0</v>
          </cell>
          <cell r="DF87">
            <v>0</v>
          </cell>
          <cell r="DG87">
            <v>0</v>
          </cell>
          <cell r="DI87">
            <v>0</v>
          </cell>
          <cell r="DJ87">
            <v>0</v>
          </cell>
          <cell r="DK87">
            <v>0</v>
          </cell>
          <cell r="DL87">
            <v>0</v>
          </cell>
          <cell r="DM87">
            <v>0</v>
          </cell>
          <cell r="DN87">
            <v>0</v>
          </cell>
          <cell r="DO87">
            <v>0</v>
          </cell>
          <cell r="DP87">
            <v>0</v>
          </cell>
          <cell r="DR87" t="str">
            <v>OPP-935036 - Identified - New</v>
          </cell>
          <cell r="DS87" t="str">
            <v>OPP-935036 - Identified - New - IS4</v>
          </cell>
          <cell r="DX87">
            <v>0.06</v>
          </cell>
          <cell r="DY87">
            <v>0.06</v>
          </cell>
          <cell r="DZ87">
            <v>0.06</v>
          </cell>
          <cell r="EA87">
            <v>0.06</v>
          </cell>
          <cell r="ED87">
            <v>0</v>
          </cell>
          <cell r="EE87">
            <v>0</v>
          </cell>
          <cell r="EF87">
            <v>0</v>
          </cell>
          <cell r="EG87">
            <v>0</v>
          </cell>
          <cell r="EH87">
            <v>0</v>
          </cell>
          <cell r="EI87">
            <v>0</v>
          </cell>
          <cell r="EJ87">
            <v>0</v>
          </cell>
          <cell r="EK87">
            <v>0</v>
          </cell>
        </row>
        <row r="88">
          <cell r="C88" t="str">
            <v>OPP-693600</v>
          </cell>
          <cell r="D88" t="str">
            <v>DLITE II EUCOM</v>
          </cell>
          <cell r="E88" t="str">
            <v>Identified - New</v>
          </cell>
          <cell r="F88" t="str">
            <v>Minority</v>
          </cell>
          <cell r="G88">
            <v>0</v>
          </cell>
          <cell r="H88" t="str">
            <v>IS4</v>
          </cell>
          <cell r="I88" t="str">
            <v>IS4 Global Mission Solutions</v>
          </cell>
          <cell r="J88" t="str">
            <v>Army</v>
          </cell>
          <cell r="K88" t="str">
            <v>Cost Plus</v>
          </cell>
          <cell r="L88">
            <v>43892</v>
          </cell>
          <cell r="M88">
            <v>45718</v>
          </cell>
          <cell r="N88">
            <v>0</v>
          </cell>
          <cell r="O88">
            <v>0</v>
          </cell>
          <cell r="P88">
            <v>0</v>
          </cell>
          <cell r="Q88">
            <v>0</v>
          </cell>
          <cell r="R88">
            <v>0</v>
          </cell>
          <cell r="S88">
            <v>0</v>
          </cell>
          <cell r="T88">
            <v>0</v>
          </cell>
          <cell r="U88">
            <v>0</v>
          </cell>
          <cell r="V88" t="str">
            <v>01 Prospect</v>
          </cell>
          <cell r="W88" t="str">
            <v>Priority 3</v>
          </cell>
          <cell r="X88">
            <v>61807265</v>
          </cell>
          <cell r="Y88">
            <v>30285559.849999998</v>
          </cell>
          <cell r="Z88">
            <v>0.2</v>
          </cell>
          <cell r="AB88">
            <v>6057111.9699999997</v>
          </cell>
          <cell r="AD88">
            <v>0.49</v>
          </cell>
          <cell r="AF88">
            <v>0</v>
          </cell>
          <cell r="AG88">
            <v>0</v>
          </cell>
          <cell r="AH88">
            <v>0</v>
          </cell>
          <cell r="AI88">
            <v>0</v>
          </cell>
          <cell r="AJ88">
            <v>0</v>
          </cell>
          <cell r="AK88">
            <v>0</v>
          </cell>
          <cell r="AL88">
            <v>0</v>
          </cell>
          <cell r="AM88">
            <v>0</v>
          </cell>
          <cell r="AO88">
            <v>0</v>
          </cell>
          <cell r="AP88">
            <v>0</v>
          </cell>
          <cell r="AQ88">
            <v>0</v>
          </cell>
          <cell r="AR88">
            <v>0</v>
          </cell>
          <cell r="AS88">
            <v>0</v>
          </cell>
          <cell r="AT88">
            <v>0</v>
          </cell>
          <cell r="AU88">
            <v>0</v>
          </cell>
          <cell r="AV88">
            <v>0</v>
          </cell>
          <cell r="AX88">
            <v>0</v>
          </cell>
          <cell r="AY88">
            <v>0</v>
          </cell>
          <cell r="AZ88">
            <v>0</v>
          </cell>
          <cell r="BA88">
            <v>0.03</v>
          </cell>
          <cell r="BB88">
            <v>0.03</v>
          </cell>
          <cell r="BC88">
            <v>0.03</v>
          </cell>
          <cell r="BD88">
            <v>0.03</v>
          </cell>
          <cell r="BE88">
            <v>0.03</v>
          </cell>
          <cell r="BG88">
            <v>0</v>
          </cell>
          <cell r="BH88">
            <v>0</v>
          </cell>
          <cell r="BI88">
            <v>0</v>
          </cell>
          <cell r="BJ88">
            <v>0</v>
          </cell>
          <cell r="BK88">
            <v>0</v>
          </cell>
          <cell r="BL88">
            <v>0</v>
          </cell>
          <cell r="BM88">
            <v>0</v>
          </cell>
          <cell r="BN88">
            <v>0</v>
          </cell>
          <cell r="BP88">
            <v>0</v>
          </cell>
          <cell r="BQ88">
            <v>0</v>
          </cell>
          <cell r="BR88">
            <v>0</v>
          </cell>
          <cell r="BS88">
            <v>0</v>
          </cell>
          <cell r="BT88">
            <v>699932.93875555554</v>
          </cell>
          <cell r="BU88">
            <v>1211422.3940000001</v>
          </cell>
          <cell r="BV88">
            <v>1211422.3940000001</v>
          </cell>
          <cell r="BW88">
            <v>1211422.3940000001</v>
          </cell>
          <cell r="BY88">
            <v>0</v>
          </cell>
          <cell r="BZ88">
            <v>0</v>
          </cell>
          <cell r="CA88">
            <v>0</v>
          </cell>
          <cell r="CB88">
            <v>0</v>
          </cell>
          <cell r="CC88">
            <v>0</v>
          </cell>
          <cell r="CD88">
            <v>0</v>
          </cell>
          <cell r="CE88">
            <v>0</v>
          </cell>
          <cell r="CF88">
            <v>0</v>
          </cell>
          <cell r="CH88">
            <v>0</v>
          </cell>
          <cell r="CI88">
            <v>0</v>
          </cell>
          <cell r="CJ88">
            <v>0</v>
          </cell>
          <cell r="CK88">
            <v>0</v>
          </cell>
          <cell r="CL88">
            <v>20997.988162666665</v>
          </cell>
          <cell r="CM88">
            <v>36342.671820000003</v>
          </cell>
          <cell r="CN88">
            <v>36342.671820000003</v>
          </cell>
          <cell r="CO88">
            <v>36342.671820000003</v>
          </cell>
          <cell r="CQ88">
            <v>0</v>
          </cell>
          <cell r="CR88">
            <v>0</v>
          </cell>
          <cell r="CS88">
            <v>0</v>
          </cell>
          <cell r="CT88">
            <v>0</v>
          </cell>
          <cell r="CU88">
            <v>-20997.988162666665</v>
          </cell>
          <cell r="CV88">
            <v>-36342.671820000003</v>
          </cell>
          <cell r="CW88">
            <v>-36342.671820000003</v>
          </cell>
          <cell r="CX88">
            <v>-36342.671820000003</v>
          </cell>
          <cell r="CZ88">
            <v>0</v>
          </cell>
          <cell r="DA88">
            <v>0</v>
          </cell>
          <cell r="DB88">
            <v>0</v>
          </cell>
          <cell r="DC88">
            <v>0</v>
          </cell>
          <cell r="DD88">
            <v>0</v>
          </cell>
          <cell r="DE88">
            <v>0</v>
          </cell>
          <cell r="DF88">
            <v>0</v>
          </cell>
          <cell r="DG88">
            <v>0</v>
          </cell>
          <cell r="DI88">
            <v>0</v>
          </cell>
          <cell r="DJ88">
            <v>0</v>
          </cell>
          <cell r="DK88">
            <v>0</v>
          </cell>
          <cell r="DL88">
            <v>0</v>
          </cell>
          <cell r="DM88">
            <v>0</v>
          </cell>
          <cell r="DN88">
            <v>0</v>
          </cell>
          <cell r="DO88">
            <v>0</v>
          </cell>
          <cell r="DP88">
            <v>0</v>
          </cell>
          <cell r="DR88" t="str">
            <v>OPP-693600 - Identified - New</v>
          </cell>
          <cell r="DS88" t="str">
            <v>OPP-693600 - Identified - New - IS4</v>
          </cell>
          <cell r="DX88">
            <v>0.03</v>
          </cell>
          <cell r="DY88">
            <v>0.03</v>
          </cell>
          <cell r="DZ88">
            <v>0.03</v>
          </cell>
          <cell r="EA88">
            <v>0.03</v>
          </cell>
          <cell r="ED88">
            <v>0</v>
          </cell>
          <cell r="EE88">
            <v>0</v>
          </cell>
          <cell r="EF88">
            <v>0</v>
          </cell>
          <cell r="EG88">
            <v>0</v>
          </cell>
          <cell r="EH88">
            <v>0</v>
          </cell>
          <cell r="EI88">
            <v>0</v>
          </cell>
          <cell r="EJ88">
            <v>0</v>
          </cell>
          <cell r="EK88">
            <v>0</v>
          </cell>
        </row>
        <row r="89">
          <cell r="C89" t="str">
            <v>OPP-748382</v>
          </cell>
          <cell r="D89" t="str">
            <v>RCAF Future Fighter Capability Project (FFCP) - Infrastructure DBO</v>
          </cell>
          <cell r="E89" t="str">
            <v>Identified - New</v>
          </cell>
          <cell r="F89" t="str">
            <v>Minority</v>
          </cell>
          <cell r="G89">
            <v>0</v>
          </cell>
          <cell r="H89" t="str">
            <v>IS4</v>
          </cell>
          <cell r="I89" t="str">
            <v>IS4 Infrastructure and Engineering</v>
          </cell>
          <cell r="J89" t="str">
            <v>Foreign Government</v>
          </cell>
          <cell r="K89" t="str">
            <v>Cost Plus</v>
          </cell>
          <cell r="L89">
            <v>44075</v>
          </cell>
          <cell r="M89">
            <v>45901</v>
          </cell>
          <cell r="N89">
            <v>0</v>
          </cell>
          <cell r="O89">
            <v>0</v>
          </cell>
          <cell r="P89">
            <v>0</v>
          </cell>
          <cell r="Q89">
            <v>0</v>
          </cell>
          <cell r="R89">
            <v>0</v>
          </cell>
          <cell r="S89">
            <v>0</v>
          </cell>
          <cell r="T89">
            <v>0</v>
          </cell>
          <cell r="U89">
            <v>0</v>
          </cell>
          <cell r="V89" t="str">
            <v>01 Prospect</v>
          </cell>
          <cell r="W89" t="str">
            <v>Priority 3</v>
          </cell>
          <cell r="X89">
            <v>76000027.359999999</v>
          </cell>
          <cell r="Y89">
            <v>19000006.84</v>
          </cell>
          <cell r="Z89">
            <v>0.2</v>
          </cell>
          <cell r="AB89">
            <v>3800001.3679999998</v>
          </cell>
          <cell r="AD89">
            <v>0.25</v>
          </cell>
          <cell r="AF89">
            <v>0</v>
          </cell>
          <cell r="AG89">
            <v>0</v>
          </cell>
          <cell r="AH89">
            <v>0</v>
          </cell>
          <cell r="AI89">
            <v>0</v>
          </cell>
          <cell r="AJ89">
            <v>0</v>
          </cell>
          <cell r="AK89">
            <v>0</v>
          </cell>
          <cell r="AL89">
            <v>0</v>
          </cell>
          <cell r="AM89">
            <v>0</v>
          </cell>
          <cell r="AO89">
            <v>0</v>
          </cell>
          <cell r="AP89">
            <v>0</v>
          </cell>
          <cell r="AQ89">
            <v>0</v>
          </cell>
          <cell r="AR89">
            <v>0</v>
          </cell>
          <cell r="AS89">
            <v>0</v>
          </cell>
          <cell r="AT89">
            <v>0</v>
          </cell>
          <cell r="AU89">
            <v>0</v>
          </cell>
          <cell r="AV89">
            <v>0</v>
          </cell>
          <cell r="AX89">
            <v>0</v>
          </cell>
          <cell r="AY89">
            <v>0</v>
          </cell>
          <cell r="AZ89">
            <v>0</v>
          </cell>
          <cell r="BA89">
            <v>2.9000000000000001E-2</v>
          </cell>
          <cell r="BB89">
            <v>2.9000000000000001E-2</v>
          </cell>
          <cell r="BC89">
            <v>2.9000000000000001E-2</v>
          </cell>
          <cell r="BD89">
            <v>2.9000000000000001E-2</v>
          </cell>
          <cell r="BE89">
            <v>2.9000000000000001E-2</v>
          </cell>
          <cell r="BG89">
            <v>0</v>
          </cell>
          <cell r="BH89">
            <v>0</v>
          </cell>
          <cell r="BI89">
            <v>0</v>
          </cell>
          <cell r="BJ89">
            <v>0</v>
          </cell>
          <cell r="BK89">
            <v>0</v>
          </cell>
          <cell r="BL89">
            <v>0</v>
          </cell>
          <cell r="BM89">
            <v>0</v>
          </cell>
          <cell r="BN89">
            <v>0</v>
          </cell>
          <cell r="BP89">
            <v>0</v>
          </cell>
          <cell r="BQ89">
            <v>0</v>
          </cell>
          <cell r="BR89">
            <v>0</v>
          </cell>
          <cell r="BS89">
            <v>0</v>
          </cell>
          <cell r="BT89">
            <v>61222.24426222223</v>
          </cell>
          <cell r="BU89">
            <v>760000.27359999996</v>
          </cell>
          <cell r="BV89">
            <v>760000.27359999996</v>
          </cell>
          <cell r="BW89">
            <v>760000.27359999996</v>
          </cell>
          <cell r="BY89">
            <v>0</v>
          </cell>
          <cell r="BZ89">
            <v>0</v>
          </cell>
          <cell r="CA89">
            <v>0</v>
          </cell>
          <cell r="CB89">
            <v>0</v>
          </cell>
          <cell r="CC89">
            <v>0</v>
          </cell>
          <cell r="CD89">
            <v>0</v>
          </cell>
          <cell r="CE89">
            <v>0</v>
          </cell>
          <cell r="CF89">
            <v>0</v>
          </cell>
          <cell r="CH89">
            <v>0</v>
          </cell>
          <cell r="CI89">
            <v>0</v>
          </cell>
          <cell r="CJ89">
            <v>0</v>
          </cell>
          <cell r="CK89">
            <v>0</v>
          </cell>
          <cell r="CL89">
            <v>1775.4450836044448</v>
          </cell>
          <cell r="CM89">
            <v>22040.007934400001</v>
          </cell>
          <cell r="CN89">
            <v>22040.007934400001</v>
          </cell>
          <cell r="CO89">
            <v>22040.007934400001</v>
          </cell>
          <cell r="CQ89">
            <v>0</v>
          </cell>
          <cell r="CR89">
            <v>0</v>
          </cell>
          <cell r="CS89">
            <v>0</v>
          </cell>
          <cell r="CT89">
            <v>0</v>
          </cell>
          <cell r="CU89">
            <v>-1775.4450836044448</v>
          </cell>
          <cell r="CV89">
            <v>-22040.007934400001</v>
          </cell>
          <cell r="CW89">
            <v>-22040.007934400001</v>
          </cell>
          <cell r="CX89">
            <v>-22040.007934400001</v>
          </cell>
          <cell r="CZ89">
            <v>0</v>
          </cell>
          <cell r="DA89">
            <v>0</v>
          </cell>
          <cell r="DB89">
            <v>0</v>
          </cell>
          <cell r="DC89">
            <v>0</v>
          </cell>
          <cell r="DD89">
            <v>0</v>
          </cell>
          <cell r="DE89">
            <v>0</v>
          </cell>
          <cell r="DF89">
            <v>0</v>
          </cell>
          <cell r="DG89">
            <v>0</v>
          </cell>
          <cell r="DI89">
            <v>0</v>
          </cell>
          <cell r="DJ89">
            <v>0</v>
          </cell>
          <cell r="DK89">
            <v>0</v>
          </cell>
          <cell r="DL89">
            <v>0</v>
          </cell>
          <cell r="DM89">
            <v>0</v>
          </cell>
          <cell r="DN89">
            <v>0</v>
          </cell>
          <cell r="DO89">
            <v>0</v>
          </cell>
          <cell r="DP89">
            <v>0</v>
          </cell>
          <cell r="DR89" t="str">
            <v>OPP-748382 - Identified - New</v>
          </cell>
          <cell r="DS89" t="str">
            <v>OPP-748382 - Identified - New - IS4</v>
          </cell>
          <cell r="DX89">
            <v>2.9000000000000001E-2</v>
          </cell>
          <cell r="DY89">
            <v>2.9000000000000001E-2</v>
          </cell>
          <cell r="DZ89">
            <v>2.9000000000000001E-2</v>
          </cell>
          <cell r="EA89">
            <v>2.9000000000000001E-2</v>
          </cell>
          <cell r="ED89">
            <v>0</v>
          </cell>
          <cell r="EE89">
            <v>0</v>
          </cell>
          <cell r="EF89">
            <v>0</v>
          </cell>
          <cell r="EG89">
            <v>0</v>
          </cell>
          <cell r="EH89">
            <v>0</v>
          </cell>
          <cell r="EI89">
            <v>0</v>
          </cell>
          <cell r="EJ89">
            <v>0</v>
          </cell>
          <cell r="EK89">
            <v>0</v>
          </cell>
        </row>
        <row r="90">
          <cell r="C90" t="str">
            <v>OPP-410520</v>
          </cell>
          <cell r="D90" t="str">
            <v>HHS FNLCR NCI O&amp;M</v>
          </cell>
          <cell r="E90" t="str">
            <v>Identified - New</v>
          </cell>
          <cell r="F90" t="str">
            <v>Minority</v>
          </cell>
          <cell r="G90">
            <v>0</v>
          </cell>
          <cell r="H90" t="str">
            <v>IS4</v>
          </cell>
          <cell r="I90" t="str">
            <v>IS4 Infrastructure and Engineering</v>
          </cell>
          <cell r="J90" t="str">
            <v>DHHS</v>
          </cell>
          <cell r="K90" t="str">
            <v>Cost Plus</v>
          </cell>
          <cell r="L90">
            <v>44837</v>
          </cell>
          <cell r="M90">
            <v>52142</v>
          </cell>
          <cell r="N90">
            <v>0</v>
          </cell>
          <cell r="O90">
            <v>0</v>
          </cell>
          <cell r="P90">
            <v>0</v>
          </cell>
          <cell r="Q90">
            <v>0</v>
          </cell>
          <cell r="R90">
            <v>0</v>
          </cell>
          <cell r="S90">
            <v>0</v>
          </cell>
          <cell r="T90">
            <v>0</v>
          </cell>
          <cell r="U90">
            <v>0</v>
          </cell>
          <cell r="V90" t="str">
            <v>02 Capture</v>
          </cell>
          <cell r="W90" t="str">
            <v>Priority 2</v>
          </cell>
          <cell r="X90">
            <v>70000000</v>
          </cell>
          <cell r="Y90">
            <v>17500000</v>
          </cell>
          <cell r="Z90">
            <v>0.3</v>
          </cell>
          <cell r="AB90">
            <v>875000</v>
          </cell>
          <cell r="AD90">
            <v>0.25</v>
          </cell>
          <cell r="AF90">
            <v>0</v>
          </cell>
          <cell r="AG90">
            <v>0</v>
          </cell>
          <cell r="AH90">
            <v>0</v>
          </cell>
          <cell r="AI90">
            <v>0</v>
          </cell>
          <cell r="AJ90">
            <v>0</v>
          </cell>
          <cell r="AK90">
            <v>0</v>
          </cell>
          <cell r="AL90">
            <v>0</v>
          </cell>
          <cell r="AM90">
            <v>0</v>
          </cell>
          <cell r="AO90">
            <v>0</v>
          </cell>
          <cell r="AP90">
            <v>0</v>
          </cell>
          <cell r="AQ90">
            <v>0</v>
          </cell>
          <cell r="AR90">
            <v>0</v>
          </cell>
          <cell r="AS90">
            <v>0</v>
          </cell>
          <cell r="AT90">
            <v>0</v>
          </cell>
          <cell r="AU90">
            <v>0</v>
          </cell>
          <cell r="AV90">
            <v>0</v>
          </cell>
          <cell r="AX90">
            <v>0</v>
          </cell>
          <cell r="AY90">
            <v>0</v>
          </cell>
          <cell r="AZ90">
            <v>0</v>
          </cell>
          <cell r="BA90">
            <v>2.9000000000000001E-2</v>
          </cell>
          <cell r="BB90">
            <v>2.9000000000000001E-2</v>
          </cell>
          <cell r="BC90">
            <v>2.9000000000000001E-2</v>
          </cell>
          <cell r="BD90">
            <v>2.9000000000000001E-2</v>
          </cell>
          <cell r="BE90">
            <v>2.9000000000000001E-2</v>
          </cell>
          <cell r="BG90">
            <v>0</v>
          </cell>
          <cell r="BH90">
            <v>0</v>
          </cell>
          <cell r="BI90">
            <v>0</v>
          </cell>
          <cell r="BJ90">
            <v>0</v>
          </cell>
          <cell r="BK90">
            <v>0</v>
          </cell>
          <cell r="BL90">
            <v>0</v>
          </cell>
          <cell r="BM90">
            <v>0</v>
          </cell>
          <cell r="BN90">
            <v>0</v>
          </cell>
          <cell r="BP90">
            <v>0</v>
          </cell>
          <cell r="BQ90">
            <v>0</v>
          </cell>
          <cell r="BR90">
            <v>0</v>
          </cell>
          <cell r="BS90">
            <v>0</v>
          </cell>
          <cell r="BT90">
            <v>0</v>
          </cell>
          <cell r="BU90">
            <v>0</v>
          </cell>
          <cell r="BV90">
            <v>0</v>
          </cell>
          <cell r="BW90">
            <v>260312.5</v>
          </cell>
          <cell r="BY90">
            <v>0</v>
          </cell>
          <cell r="BZ90">
            <v>0</v>
          </cell>
          <cell r="CA90">
            <v>0</v>
          </cell>
          <cell r="CB90">
            <v>0</v>
          </cell>
          <cell r="CC90">
            <v>0</v>
          </cell>
          <cell r="CD90">
            <v>0</v>
          </cell>
          <cell r="CE90">
            <v>0</v>
          </cell>
          <cell r="CF90">
            <v>0</v>
          </cell>
          <cell r="CH90">
            <v>0</v>
          </cell>
          <cell r="CI90">
            <v>0</v>
          </cell>
          <cell r="CJ90">
            <v>0</v>
          </cell>
          <cell r="CK90">
            <v>0</v>
          </cell>
          <cell r="CL90">
            <v>0</v>
          </cell>
          <cell r="CM90">
            <v>0</v>
          </cell>
          <cell r="CN90">
            <v>0</v>
          </cell>
          <cell r="CO90">
            <v>7549.0625</v>
          </cell>
          <cell r="CQ90">
            <v>0</v>
          </cell>
          <cell r="CR90">
            <v>0</v>
          </cell>
          <cell r="CS90">
            <v>0</v>
          </cell>
          <cell r="CT90">
            <v>0</v>
          </cell>
          <cell r="CU90">
            <v>0</v>
          </cell>
          <cell r="CV90">
            <v>0</v>
          </cell>
          <cell r="CW90">
            <v>0</v>
          </cell>
          <cell r="CX90">
            <v>-7549.0625</v>
          </cell>
          <cell r="CZ90">
            <v>0</v>
          </cell>
          <cell r="DA90">
            <v>0</v>
          </cell>
          <cell r="DB90">
            <v>0</v>
          </cell>
          <cell r="DC90">
            <v>0</v>
          </cell>
          <cell r="DD90">
            <v>0</v>
          </cell>
          <cell r="DE90">
            <v>0</v>
          </cell>
          <cell r="DF90">
            <v>0</v>
          </cell>
          <cell r="DG90">
            <v>0</v>
          </cell>
          <cell r="DI90">
            <v>0</v>
          </cell>
          <cell r="DJ90">
            <v>0</v>
          </cell>
          <cell r="DK90">
            <v>0</v>
          </cell>
          <cell r="DL90">
            <v>0</v>
          </cell>
          <cell r="DM90">
            <v>0</v>
          </cell>
          <cell r="DN90">
            <v>0</v>
          </cell>
          <cell r="DO90">
            <v>0</v>
          </cell>
          <cell r="DP90">
            <v>0</v>
          </cell>
          <cell r="DR90" t="str">
            <v>OPP-410520 - Identified - New</v>
          </cell>
          <cell r="DS90" t="str">
            <v>OPP-410520 - Identified - New - IS4</v>
          </cell>
          <cell r="DX90">
            <v>2.9000000000000001E-2</v>
          </cell>
          <cell r="DY90">
            <v>2.9000000000000001E-2</v>
          </cell>
          <cell r="DZ90">
            <v>2.9000000000000001E-2</v>
          </cell>
          <cell r="EA90">
            <v>2.9000000000000001E-2</v>
          </cell>
          <cell r="ED90">
            <v>0</v>
          </cell>
          <cell r="EE90">
            <v>0</v>
          </cell>
          <cell r="EF90">
            <v>0</v>
          </cell>
          <cell r="EG90">
            <v>0</v>
          </cell>
          <cell r="EH90">
            <v>0</v>
          </cell>
          <cell r="EI90">
            <v>0</v>
          </cell>
          <cell r="EJ90">
            <v>0</v>
          </cell>
          <cell r="EK90">
            <v>0</v>
          </cell>
        </row>
        <row r="92">
          <cell r="C92" t="str">
            <v>Total</v>
          </cell>
          <cell r="BG92">
            <v>624482912.5200001</v>
          </cell>
          <cell r="BH92">
            <v>658129146.82000005</v>
          </cell>
          <cell r="BI92">
            <v>685315545.25999999</v>
          </cell>
          <cell r="BJ92">
            <v>778229394.71184587</v>
          </cell>
          <cell r="BK92">
            <v>1088430696.366358</v>
          </cell>
          <cell r="BL92">
            <v>880317947.09770358</v>
          </cell>
          <cell r="BM92">
            <v>898470945.16025126</v>
          </cell>
          <cell r="BN92">
            <v>785450950.66025126</v>
          </cell>
          <cell r="BP92">
            <v>636836581.77148998</v>
          </cell>
          <cell r="BQ92">
            <v>564842070.06619012</v>
          </cell>
          <cell r="BR92">
            <v>606306141.61214006</v>
          </cell>
          <cell r="BS92">
            <v>379901997.63841844</v>
          </cell>
          <cell r="BT92">
            <v>527119162.35862595</v>
          </cell>
          <cell r="BU92">
            <v>945150842.51231885</v>
          </cell>
          <cell r="BV92">
            <v>1213833858.9968083</v>
          </cell>
          <cell r="BW92">
            <v>1458470951.6037846</v>
          </cell>
        </row>
      </sheetData>
      <sheetData sheetId="41"/>
      <sheetData sheetId="42">
        <row r="1">
          <cell r="B1">
            <v>1</v>
          </cell>
          <cell r="C1">
            <v>2</v>
          </cell>
          <cell r="D1">
            <v>3</v>
          </cell>
          <cell r="E1">
            <v>4</v>
          </cell>
          <cell r="F1">
            <v>5</v>
          </cell>
          <cell r="G1">
            <v>6</v>
          </cell>
          <cell r="I1">
            <v>8</v>
          </cell>
          <cell r="J1">
            <v>9</v>
          </cell>
          <cell r="K1">
            <v>10</v>
          </cell>
          <cell r="L1">
            <v>11</v>
          </cell>
          <cell r="N1">
            <v>13</v>
          </cell>
          <cell r="O1">
            <v>14</v>
          </cell>
          <cell r="P1">
            <v>15</v>
          </cell>
          <cell r="Q1">
            <v>16</v>
          </cell>
          <cell r="R1">
            <v>17</v>
          </cell>
          <cell r="S1">
            <v>18</v>
          </cell>
          <cell r="T1">
            <v>19</v>
          </cell>
          <cell r="U1">
            <v>20</v>
          </cell>
          <cell r="V1">
            <v>21</v>
          </cell>
          <cell r="W1">
            <v>22</v>
          </cell>
          <cell r="X1">
            <v>23</v>
          </cell>
          <cell r="Y1">
            <v>24</v>
          </cell>
          <cell r="Z1">
            <v>25</v>
          </cell>
          <cell r="AA1">
            <v>26</v>
          </cell>
          <cell r="AB1">
            <v>27</v>
          </cell>
          <cell r="AC1">
            <v>28</v>
          </cell>
          <cell r="AD1">
            <v>29</v>
          </cell>
          <cell r="AE1">
            <v>30</v>
          </cell>
          <cell r="AF1">
            <v>31</v>
          </cell>
          <cell r="AG1">
            <v>32</v>
          </cell>
          <cell r="AH1">
            <v>33</v>
          </cell>
          <cell r="AI1">
            <v>34</v>
          </cell>
          <cell r="AJ1">
            <v>35</v>
          </cell>
          <cell r="AK1">
            <v>36</v>
          </cell>
          <cell r="AL1">
            <v>37</v>
          </cell>
          <cell r="AM1">
            <v>38</v>
          </cell>
          <cell r="AN1">
            <v>39</v>
          </cell>
          <cell r="AO1">
            <v>40</v>
          </cell>
          <cell r="AP1">
            <v>41</v>
          </cell>
          <cell r="AQ1">
            <v>42</v>
          </cell>
          <cell r="AR1">
            <v>43</v>
          </cell>
        </row>
        <row r="3">
          <cell r="B3" t="str">
            <v>Drivers</v>
          </cell>
          <cell r="S3">
            <v>8</v>
          </cell>
          <cell r="T3">
            <v>9</v>
          </cell>
          <cell r="U3">
            <v>10</v>
          </cell>
          <cell r="V3">
            <v>11</v>
          </cell>
          <cell r="W3">
            <v>12</v>
          </cell>
          <cell r="X3">
            <v>13</v>
          </cell>
          <cell r="Y3">
            <v>14</v>
          </cell>
          <cell r="Z3">
            <v>15</v>
          </cell>
          <cell r="AA3">
            <v>16</v>
          </cell>
          <cell r="AB3">
            <v>17</v>
          </cell>
          <cell r="AD3">
            <v>0</v>
          </cell>
          <cell r="AE3">
            <v>1</v>
          </cell>
          <cell r="AF3">
            <v>2</v>
          </cell>
          <cell r="AG3">
            <v>3</v>
          </cell>
          <cell r="AH3">
            <v>4</v>
          </cell>
        </row>
        <row r="4">
          <cell r="B4" t="str">
            <v>LG Match Columns:</v>
          </cell>
          <cell r="C4" t="str">
            <v>Entity Name</v>
          </cell>
          <cell r="G4" t="str">
            <v>Summary Agency</v>
          </cell>
          <cell r="I4" t="str">
            <v>Beg. Date</v>
          </cell>
          <cell r="J4" t="str">
            <v>End Date</v>
          </cell>
          <cell r="K4" t="str">
            <v>Prime / Sub</v>
          </cell>
          <cell r="M4" t="str">
            <v>Contract Type</v>
          </cell>
          <cell r="Q4" t="str">
            <v>P-Win</v>
          </cell>
          <cell r="R4" t="str">
            <v>Pipeline</v>
          </cell>
          <cell r="T4" t="str">
            <v>GM % FY20</v>
          </cell>
          <cell r="U4" t="str">
            <v>GM % FY21</v>
          </cell>
          <cell r="V4" t="str">
            <v>GM % FY22</v>
          </cell>
          <cell r="W4" t="str">
            <v>GM % FY23</v>
          </cell>
          <cell r="X4" t="str">
            <v>EBITA % FY19</v>
          </cell>
          <cell r="Y4" t="str">
            <v>EBITA % FY20</v>
          </cell>
          <cell r="Z4" t="str">
            <v>EBITA % FY21</v>
          </cell>
          <cell r="AA4" t="str">
            <v>EBITA % FY22</v>
          </cell>
          <cell r="AB4" t="str">
            <v>EBITA % FY23</v>
          </cell>
          <cell r="AC4" t="str">
            <v>Burn</v>
          </cell>
          <cell r="AD4" t="str">
            <v>REVTOT FY19</v>
          </cell>
          <cell r="AE4" t="str">
            <v>REVTOT FY20</v>
          </cell>
          <cell r="AF4" t="str">
            <v>REVTOT FY21</v>
          </cell>
          <cell r="AG4" t="str">
            <v>REVTOT FY22</v>
          </cell>
          <cell r="AH4" t="str">
            <v>REVTOT FY23</v>
          </cell>
          <cell r="AI4" t="str">
            <v>CONTRACT FY19</v>
          </cell>
          <cell r="AJ4" t="str">
            <v>CONTRACT FY20</v>
          </cell>
          <cell r="AK4" t="str">
            <v>CONTRACT FY21</v>
          </cell>
          <cell r="AL4" t="str">
            <v>CONTRACT FY22</v>
          </cell>
          <cell r="AM4" t="str">
            <v>CONTRACT FY23</v>
          </cell>
          <cell r="AN4" t="str">
            <v>EBITA FY19</v>
          </cell>
          <cell r="AO4" t="str">
            <v>EBITA FY20</v>
          </cell>
          <cell r="AP4" t="str">
            <v>EBITA FY21</v>
          </cell>
          <cell r="AQ4" t="str">
            <v>EBITA FY22</v>
          </cell>
          <cell r="AR4" t="str">
            <v>EBITA FY23</v>
          </cell>
        </row>
        <row r="5">
          <cell r="B5" t="str">
            <v>Project Maverick</v>
          </cell>
        </row>
        <row r="6">
          <cell r="B6" t="str">
            <v>New Business (Active)</v>
          </cell>
        </row>
        <row r="7">
          <cell r="B7" t="str">
            <v>Active Pipeline in Stage 01 Capture - 04 Submitted</v>
          </cell>
        </row>
        <row r="9">
          <cell r="AD9">
            <v>43738</v>
          </cell>
          <cell r="AE9">
            <v>44104</v>
          </cell>
          <cell r="AF9">
            <v>44469</v>
          </cell>
          <cell r="AG9">
            <v>44834</v>
          </cell>
          <cell r="AH9">
            <v>45199</v>
          </cell>
        </row>
        <row r="10">
          <cell r="L10" t="str">
            <v>Contract Information</v>
          </cell>
          <cell r="O10" t="str">
            <v>Pipeline Factors</v>
          </cell>
          <cell r="S10" t="str">
            <v>GM%</v>
          </cell>
          <cell r="X10" t="str">
            <v>EBITA %</v>
          </cell>
          <cell r="AC10" t="str">
            <v>Annual</v>
          </cell>
          <cell r="AD10" t="str">
            <v>Revenue</v>
          </cell>
          <cell r="AI10" t="str">
            <v>Gross Margin</v>
          </cell>
          <cell r="AN10" t="str">
            <v>EBITA</v>
          </cell>
          <cell r="AV10" t="str">
            <v>'20 - '23 EBITA by SBU</v>
          </cell>
          <cell r="AZ10" t="str">
            <v>Ranked by SBU</v>
          </cell>
        </row>
        <row r="11">
          <cell r="B11" t="str">
            <v>Opportunity ID#</v>
          </cell>
          <cell r="C11" t="str">
            <v>Opportunity Name</v>
          </cell>
          <cell r="D11" t="str">
            <v>SBU</v>
          </cell>
          <cell r="E11" t="str">
            <v>SBU Sector</v>
          </cell>
          <cell r="F11" t="str">
            <v>Agency</v>
          </cell>
          <cell r="G11" t="str">
            <v>Summary Agency</v>
          </cell>
          <cell r="H11" t="str">
            <v>Award Date</v>
          </cell>
          <cell r="I11" t="str">
            <v>Beg. Date</v>
          </cell>
          <cell r="J11" t="str">
            <v>End Date</v>
          </cell>
          <cell r="K11" t="str">
            <v>Prime / Sub</v>
          </cell>
          <cell r="L11" t="str">
            <v>Contract Type</v>
          </cell>
          <cell r="M11" t="str">
            <v>Summary Type</v>
          </cell>
          <cell r="N11" t="str">
            <v>Revenue Type</v>
          </cell>
          <cell r="O11" t="str">
            <v>Stage</v>
          </cell>
          <cell r="P11" t="str">
            <v>Priority</v>
          </cell>
          <cell r="Q11" t="str">
            <v>PWIN (1)</v>
          </cell>
          <cell r="R11" t="str">
            <v>Contract Value</v>
          </cell>
          <cell r="S11" t="str">
            <v>GM % FY19</v>
          </cell>
          <cell r="T11" t="str">
            <v>GM % FY20</v>
          </cell>
          <cell r="U11" t="str">
            <v>GM % FY21</v>
          </cell>
          <cell r="V11" t="str">
            <v>GM % FY22</v>
          </cell>
          <cell r="W11" t="str">
            <v>GM % FY23</v>
          </cell>
          <cell r="X11" t="str">
            <v>EBITA % FY19</v>
          </cell>
          <cell r="Y11" t="str">
            <v>EBITA % FY20</v>
          </cell>
          <cell r="Z11" t="str">
            <v>EBITA % FY21</v>
          </cell>
          <cell r="AA11" t="str">
            <v>EBITA % FY22</v>
          </cell>
          <cell r="AB11" t="str">
            <v>EBITA % FY23</v>
          </cell>
          <cell r="AC11" t="str">
            <v>Burn</v>
          </cell>
          <cell r="AD11" t="str">
            <v>FY19</v>
          </cell>
          <cell r="AE11" t="str">
            <v>FY20</v>
          </cell>
          <cell r="AF11" t="str">
            <v>FY21</v>
          </cell>
          <cell r="AG11" t="str">
            <v>FY22</v>
          </cell>
          <cell r="AH11" t="str">
            <v>FY23</v>
          </cell>
          <cell r="AI11" t="str">
            <v>FY19</v>
          </cell>
          <cell r="AJ11" t="str">
            <v>FY20</v>
          </cell>
          <cell r="AK11" t="str">
            <v>FY21</v>
          </cell>
          <cell r="AL11" t="str">
            <v>FY22</v>
          </cell>
          <cell r="AM11" t="str">
            <v>FY23</v>
          </cell>
          <cell r="AN11" t="str">
            <v>FY19</v>
          </cell>
          <cell r="AO11" t="str">
            <v>FY20</v>
          </cell>
          <cell r="AP11" t="str">
            <v>FY21</v>
          </cell>
          <cell r="AQ11" t="str">
            <v>FY22</v>
          </cell>
          <cell r="AR11" t="str">
            <v>FY23</v>
          </cell>
          <cell r="AT11" t="str">
            <v>LG Match Code</v>
          </cell>
          <cell r="AU11" t="str">
            <v>'20 - '23 EBITA</v>
          </cell>
          <cell r="AV11" t="str">
            <v>MR</v>
          </cell>
          <cell r="AW11" t="str">
            <v>IS4</v>
          </cell>
          <cell r="AX11" t="str">
            <v>NE</v>
          </cell>
          <cell r="AZ11" t="str">
            <v>MR</v>
          </cell>
          <cell r="BA11" t="str">
            <v>IS4</v>
          </cell>
          <cell r="BB11" t="str">
            <v>NE</v>
          </cell>
        </row>
        <row r="12">
          <cell r="B12" t="str">
            <v>OPP-427627</v>
          </cell>
          <cell r="C12" t="str">
            <v>Gordie Howe International Bridge - Security</v>
          </cell>
          <cell r="D12" t="str">
            <v>MR</v>
          </cell>
          <cell r="E12" t="str">
            <v>MR Non-Proliferation and Security Services</v>
          </cell>
          <cell r="F12" t="str">
            <v>Foreign Government</v>
          </cell>
          <cell r="G12" t="str">
            <v>Non-US Gov't</v>
          </cell>
          <cell r="H12">
            <v>43864</v>
          </cell>
          <cell r="I12">
            <v>43865</v>
          </cell>
          <cell r="J12">
            <v>45665</v>
          </cell>
          <cell r="K12" t="str">
            <v>Sub</v>
          </cell>
          <cell r="L12" t="str">
            <v>Fixed Price</v>
          </cell>
          <cell r="M12" t="str">
            <v>Fixed Price</v>
          </cell>
          <cell r="N12" t="str">
            <v>Identified - New</v>
          </cell>
          <cell r="O12" t="str">
            <v>04 Submitted</v>
          </cell>
          <cell r="P12" t="str">
            <v>Priority 2</v>
          </cell>
          <cell r="Q12">
            <v>0.25</v>
          </cell>
          <cell r="R12">
            <v>32000000</v>
          </cell>
          <cell r="S12">
            <v>0.18</v>
          </cell>
          <cell r="T12">
            <v>0.183</v>
          </cell>
          <cell r="U12">
            <v>0.185</v>
          </cell>
          <cell r="V12">
            <v>0.187</v>
          </cell>
          <cell r="W12">
            <v>0.189</v>
          </cell>
          <cell r="X12">
            <v>8.5000000000000006E-2</v>
          </cell>
          <cell r="Y12">
            <v>0.09</v>
          </cell>
          <cell r="Z12">
            <v>9.5000000000000001E-2</v>
          </cell>
          <cell r="AA12">
            <v>9.7000000000000003E-2</v>
          </cell>
          <cell r="AB12">
            <v>9.9000000000000005E-2</v>
          </cell>
          <cell r="AC12">
            <v>6493799.3235625699</v>
          </cell>
          <cell r="AD12">
            <v>0</v>
          </cell>
          <cell r="AE12">
            <v>1064261.5558060878</v>
          </cell>
          <cell r="AF12">
            <v>1623449.8308906425</v>
          </cell>
          <cell r="AG12">
            <v>1623449.8308906425</v>
          </cell>
          <cell r="AH12">
            <v>1623449.8308906425</v>
          </cell>
          <cell r="AI12">
            <v>0</v>
          </cell>
          <cell r="AJ12">
            <v>194759.86471251407</v>
          </cell>
          <cell r="AK12">
            <v>300338.21871476888</v>
          </cell>
          <cell r="AL12">
            <v>303585.11837655015</v>
          </cell>
          <cell r="AM12">
            <v>306832.01803833141</v>
          </cell>
          <cell r="AN12">
            <v>0</v>
          </cell>
          <cell r="AO12">
            <v>95783.540022547895</v>
          </cell>
          <cell r="AP12">
            <v>154227.73393461102</v>
          </cell>
          <cell r="AQ12">
            <v>157474.63359639232</v>
          </cell>
          <cell r="AR12">
            <v>160721.53325817361</v>
          </cell>
          <cell r="AT12" t="str">
            <v>OPP-427627 - Identified - New - MR</v>
          </cell>
          <cell r="AU12">
            <v>568207.44081172487</v>
          </cell>
          <cell r="AV12">
            <v>568207.44081172487</v>
          </cell>
          <cell r="AW12">
            <v>0</v>
          </cell>
          <cell r="AX12">
            <v>0</v>
          </cell>
          <cell r="AZ12">
            <v>30</v>
          </cell>
          <cell r="BA12">
            <v>278</v>
          </cell>
          <cell r="BB12">
            <v>63</v>
          </cell>
        </row>
        <row r="13">
          <cell r="B13" t="str">
            <v>OPP-920197</v>
          </cell>
          <cell r="C13" t="str">
            <v>Vietnam Port Security</v>
          </cell>
          <cell r="D13" t="str">
            <v>MR</v>
          </cell>
          <cell r="E13" t="str">
            <v>MR Non-Proliferation and Security Services</v>
          </cell>
          <cell r="F13" t="str">
            <v>Homeland Security</v>
          </cell>
          <cell r="G13" t="str">
            <v>DOD</v>
          </cell>
          <cell r="H13">
            <v>43862</v>
          </cell>
          <cell r="I13">
            <v>43863</v>
          </cell>
          <cell r="J13">
            <v>44229</v>
          </cell>
          <cell r="K13" t="str">
            <v>Prime</v>
          </cell>
          <cell r="L13" t="str">
            <v>Fixed Price</v>
          </cell>
          <cell r="M13" t="str">
            <v>Fixed Price</v>
          </cell>
          <cell r="N13" t="str">
            <v>Identified - New</v>
          </cell>
          <cell r="O13" t="str">
            <v>01 Prospect</v>
          </cell>
          <cell r="P13" t="str">
            <v>Priority 2</v>
          </cell>
          <cell r="Q13">
            <v>0.15</v>
          </cell>
          <cell r="R13">
            <v>25000000</v>
          </cell>
          <cell r="S13">
            <v>0.18</v>
          </cell>
          <cell r="T13">
            <v>0.183</v>
          </cell>
          <cell r="U13">
            <v>0.185</v>
          </cell>
          <cell r="V13">
            <v>0.187</v>
          </cell>
          <cell r="W13">
            <v>0.189</v>
          </cell>
          <cell r="X13">
            <v>8.5000000000000006E-2</v>
          </cell>
          <cell r="Y13">
            <v>0.09</v>
          </cell>
          <cell r="Z13">
            <v>9.5000000000000001E-2</v>
          </cell>
          <cell r="AA13">
            <v>9.7000000000000003E-2</v>
          </cell>
          <cell r="AB13">
            <v>9.9000000000000005E-2</v>
          </cell>
          <cell r="AC13">
            <v>25000000</v>
          </cell>
          <cell r="AD13">
            <v>0</v>
          </cell>
          <cell r="AE13">
            <v>2479166.6666666665</v>
          </cell>
          <cell r="AF13">
            <v>1270833.3333333335</v>
          </cell>
          <cell r="AG13">
            <v>0</v>
          </cell>
          <cell r="AH13">
            <v>0</v>
          </cell>
          <cell r="AI13">
            <v>0</v>
          </cell>
          <cell r="AJ13">
            <v>453687.49999999994</v>
          </cell>
          <cell r="AK13">
            <v>235104.16666666669</v>
          </cell>
          <cell r="AL13">
            <v>0</v>
          </cell>
          <cell r="AM13">
            <v>0</v>
          </cell>
          <cell r="AN13">
            <v>0</v>
          </cell>
          <cell r="AO13">
            <v>223124.99999999997</v>
          </cell>
          <cell r="AP13">
            <v>120729.16666666669</v>
          </cell>
          <cell r="AQ13">
            <v>0</v>
          </cell>
          <cell r="AR13">
            <v>0</v>
          </cell>
          <cell r="AT13" t="str">
            <v>OPP-920197 - Identified - New - MR</v>
          </cell>
          <cell r="AU13">
            <v>343854.16666666663</v>
          </cell>
          <cell r="AV13">
            <v>343854.16666666663</v>
          </cell>
          <cell r="AW13">
            <v>0</v>
          </cell>
          <cell r="AX13">
            <v>0</v>
          </cell>
          <cell r="AZ13">
            <v>47</v>
          </cell>
          <cell r="BA13">
            <v>279</v>
          </cell>
          <cell r="BB13">
            <v>64</v>
          </cell>
        </row>
        <row r="14">
          <cell r="B14" t="str">
            <v>OPP-920196</v>
          </cell>
          <cell r="C14" t="str">
            <v>Singapore Port Security</v>
          </cell>
          <cell r="D14" t="str">
            <v>MR</v>
          </cell>
          <cell r="E14" t="str">
            <v>MR Non-Proliferation and Security Services</v>
          </cell>
          <cell r="F14" t="str">
            <v>Homeland Security</v>
          </cell>
          <cell r="G14" t="str">
            <v>DOD</v>
          </cell>
          <cell r="H14">
            <v>44075</v>
          </cell>
          <cell r="I14">
            <v>44076</v>
          </cell>
          <cell r="J14">
            <v>44441</v>
          </cell>
          <cell r="K14" t="str">
            <v>Prime</v>
          </cell>
          <cell r="L14" t="str">
            <v>Fixed Price</v>
          </cell>
          <cell r="M14" t="str">
            <v>Fixed Price</v>
          </cell>
          <cell r="N14" t="str">
            <v>Identified - New</v>
          </cell>
          <cell r="O14" t="str">
            <v>01 Prospect</v>
          </cell>
          <cell r="P14" t="str">
            <v>Priority 2</v>
          </cell>
          <cell r="Q14">
            <v>0.15</v>
          </cell>
          <cell r="R14">
            <v>25000000</v>
          </cell>
          <cell r="S14">
            <v>0.18</v>
          </cell>
          <cell r="T14">
            <v>0.183</v>
          </cell>
          <cell r="U14">
            <v>0.185</v>
          </cell>
          <cell r="V14">
            <v>0.187</v>
          </cell>
          <cell r="W14">
            <v>0.189</v>
          </cell>
          <cell r="X14">
            <v>8.5000000000000006E-2</v>
          </cell>
          <cell r="Y14">
            <v>0.09</v>
          </cell>
          <cell r="Z14">
            <v>9.5000000000000001E-2</v>
          </cell>
          <cell r="AA14">
            <v>9.7000000000000003E-2</v>
          </cell>
          <cell r="AB14">
            <v>9.9000000000000005E-2</v>
          </cell>
          <cell r="AC14">
            <v>25000000</v>
          </cell>
          <cell r="AD14">
            <v>0</v>
          </cell>
          <cell r="AE14">
            <v>291666.66666666669</v>
          </cell>
          <cell r="AF14">
            <v>3458333.3333333335</v>
          </cell>
          <cell r="AG14">
            <v>0</v>
          </cell>
          <cell r="AH14">
            <v>0</v>
          </cell>
          <cell r="AI14">
            <v>0</v>
          </cell>
          <cell r="AJ14">
            <v>53375</v>
          </cell>
          <cell r="AK14">
            <v>639791.66666666674</v>
          </cell>
          <cell r="AL14">
            <v>0</v>
          </cell>
          <cell r="AM14">
            <v>0</v>
          </cell>
          <cell r="AN14">
            <v>0</v>
          </cell>
          <cell r="AO14">
            <v>26250</v>
          </cell>
          <cell r="AP14">
            <v>328541.66666666669</v>
          </cell>
          <cell r="AQ14">
            <v>0</v>
          </cell>
          <cell r="AR14">
            <v>0</v>
          </cell>
          <cell r="AT14" t="str">
            <v>OPP-920196 - Identified - New - MR</v>
          </cell>
          <cell r="AU14">
            <v>354791.66666666669</v>
          </cell>
          <cell r="AV14">
            <v>354791.66666666669</v>
          </cell>
          <cell r="AW14">
            <v>0</v>
          </cell>
          <cell r="AX14">
            <v>0</v>
          </cell>
          <cell r="AZ14">
            <v>46</v>
          </cell>
          <cell r="BA14">
            <v>280</v>
          </cell>
          <cell r="BB14">
            <v>65</v>
          </cell>
        </row>
        <row r="15">
          <cell r="B15" t="str">
            <v>OPP-920198</v>
          </cell>
          <cell r="C15" t="str">
            <v>UK HO Security</v>
          </cell>
          <cell r="D15" t="str">
            <v>MR</v>
          </cell>
          <cell r="E15" t="str">
            <v>MR Non-Proliferation and Security Services</v>
          </cell>
          <cell r="F15" t="str">
            <v>Homeland Security</v>
          </cell>
          <cell r="G15" t="str">
            <v>DOD</v>
          </cell>
          <cell r="H15">
            <v>43831</v>
          </cell>
          <cell r="I15">
            <v>43832</v>
          </cell>
          <cell r="J15">
            <v>44198</v>
          </cell>
          <cell r="K15" t="str">
            <v>Prime</v>
          </cell>
          <cell r="L15" t="str">
            <v>Fixed Price</v>
          </cell>
          <cell r="M15" t="str">
            <v>Fixed Price</v>
          </cell>
          <cell r="N15" t="str">
            <v>Identified - New</v>
          </cell>
          <cell r="O15" t="str">
            <v>01 Prospect</v>
          </cell>
          <cell r="P15" t="str">
            <v>Priority 2</v>
          </cell>
          <cell r="Q15">
            <v>0.1</v>
          </cell>
          <cell r="R15">
            <v>15000000</v>
          </cell>
          <cell r="S15">
            <v>0.18</v>
          </cell>
          <cell r="T15">
            <v>0.183</v>
          </cell>
          <cell r="U15">
            <v>0.185</v>
          </cell>
          <cell r="V15">
            <v>0.187</v>
          </cell>
          <cell r="W15">
            <v>0.189</v>
          </cell>
          <cell r="X15">
            <v>8.5000000000000006E-2</v>
          </cell>
          <cell r="Y15">
            <v>0.09</v>
          </cell>
          <cell r="Z15">
            <v>9.5000000000000001E-2</v>
          </cell>
          <cell r="AA15">
            <v>9.7000000000000003E-2</v>
          </cell>
          <cell r="AB15">
            <v>9.9000000000000005E-2</v>
          </cell>
          <cell r="AC15">
            <v>15000000</v>
          </cell>
          <cell r="AD15">
            <v>0</v>
          </cell>
          <cell r="AE15">
            <v>1116666.6666666667</v>
          </cell>
          <cell r="AF15">
            <v>383333.33333333326</v>
          </cell>
          <cell r="AG15">
            <v>0</v>
          </cell>
          <cell r="AH15">
            <v>0</v>
          </cell>
          <cell r="AI15">
            <v>0</v>
          </cell>
          <cell r="AJ15">
            <v>204350</v>
          </cell>
          <cell r="AK15">
            <v>70916.666666666657</v>
          </cell>
          <cell r="AL15">
            <v>0</v>
          </cell>
          <cell r="AM15">
            <v>0</v>
          </cell>
          <cell r="AN15">
            <v>0</v>
          </cell>
          <cell r="AO15">
            <v>100500</v>
          </cell>
          <cell r="AP15">
            <v>36416.666666666657</v>
          </cell>
          <cell r="AQ15">
            <v>0</v>
          </cell>
          <cell r="AR15">
            <v>0</v>
          </cell>
          <cell r="AT15" t="str">
            <v>OPP-920198 - Identified - New - MR</v>
          </cell>
          <cell r="AU15">
            <v>136916.66666666666</v>
          </cell>
          <cell r="AV15">
            <v>136916.66666666666</v>
          </cell>
          <cell r="AW15">
            <v>0</v>
          </cell>
          <cell r="AX15">
            <v>0</v>
          </cell>
          <cell r="AZ15">
            <v>65</v>
          </cell>
          <cell r="BA15">
            <v>281</v>
          </cell>
          <cell r="BB15">
            <v>66</v>
          </cell>
        </row>
        <row r="16">
          <cell r="B16" t="str">
            <v>OPP-800983</v>
          </cell>
          <cell r="C16" t="str">
            <v>DHS/Dutch Customs Rotterdam Port Security Pilot with PSI</v>
          </cell>
          <cell r="D16" t="str">
            <v>MR</v>
          </cell>
          <cell r="E16" t="str">
            <v>MR Non-Proliferation and Security Services</v>
          </cell>
          <cell r="F16" t="str">
            <v>Homeland Security</v>
          </cell>
          <cell r="G16" t="str">
            <v>DOD</v>
          </cell>
          <cell r="H16">
            <v>43845</v>
          </cell>
          <cell r="I16">
            <v>43846</v>
          </cell>
          <cell r="J16">
            <v>44212</v>
          </cell>
          <cell r="K16" t="str">
            <v>Sub</v>
          </cell>
          <cell r="L16" t="str">
            <v>Fixed Price</v>
          </cell>
          <cell r="M16" t="str">
            <v>Fixed Price</v>
          </cell>
          <cell r="N16" t="str">
            <v>Identified - New</v>
          </cell>
          <cell r="O16" t="str">
            <v>02 Capture</v>
          </cell>
          <cell r="P16" t="str">
            <v>Priority 2</v>
          </cell>
          <cell r="Q16">
            <v>0.15</v>
          </cell>
          <cell r="R16">
            <v>10000000</v>
          </cell>
          <cell r="S16">
            <v>0.18</v>
          </cell>
          <cell r="T16">
            <v>0.183</v>
          </cell>
          <cell r="U16">
            <v>0.185</v>
          </cell>
          <cell r="V16">
            <v>0.187</v>
          </cell>
          <cell r="W16">
            <v>0.189</v>
          </cell>
          <cell r="X16">
            <v>8.5000000000000006E-2</v>
          </cell>
          <cell r="Y16">
            <v>0.09</v>
          </cell>
          <cell r="Z16">
            <v>9.5000000000000001E-2</v>
          </cell>
          <cell r="AA16">
            <v>9.7000000000000003E-2</v>
          </cell>
          <cell r="AB16">
            <v>9.9000000000000005E-2</v>
          </cell>
          <cell r="AC16">
            <v>10000000</v>
          </cell>
          <cell r="AD16">
            <v>0</v>
          </cell>
          <cell r="AE16">
            <v>1058333.3333333333</v>
          </cell>
          <cell r="AF16">
            <v>441666.66666666674</v>
          </cell>
          <cell r="AG16">
            <v>0</v>
          </cell>
          <cell r="AH16">
            <v>0</v>
          </cell>
          <cell r="AI16">
            <v>0</v>
          </cell>
          <cell r="AJ16">
            <v>193674.99999999997</v>
          </cell>
          <cell r="AK16">
            <v>81708.333333333343</v>
          </cell>
          <cell r="AL16">
            <v>0</v>
          </cell>
          <cell r="AM16">
            <v>0</v>
          </cell>
          <cell r="AN16">
            <v>0</v>
          </cell>
          <cell r="AO16">
            <v>95249.999999999985</v>
          </cell>
          <cell r="AP16">
            <v>41958.333333333343</v>
          </cell>
          <cell r="AQ16">
            <v>0</v>
          </cell>
          <cell r="AR16">
            <v>0</v>
          </cell>
          <cell r="AT16" t="str">
            <v>OPP-800983 - Identified - New - MR</v>
          </cell>
          <cell r="AU16">
            <v>137208.33333333331</v>
          </cell>
          <cell r="AV16">
            <v>137208.33333333331</v>
          </cell>
          <cell r="AW16">
            <v>0</v>
          </cell>
          <cell r="AX16">
            <v>0</v>
          </cell>
          <cell r="AZ16">
            <v>64</v>
          </cell>
          <cell r="BA16">
            <v>282</v>
          </cell>
          <cell r="BB16">
            <v>67</v>
          </cell>
        </row>
        <row r="17">
          <cell r="B17" t="str">
            <v>OPP-920195</v>
          </cell>
          <cell r="C17" t="str">
            <v>DHS S&amp;T OTA</v>
          </cell>
          <cell r="D17" t="str">
            <v>MR</v>
          </cell>
          <cell r="E17" t="str">
            <v>MR Non-Proliferation and Security Services</v>
          </cell>
          <cell r="F17" t="str">
            <v>Homeland Security</v>
          </cell>
          <cell r="G17" t="str">
            <v>DOD</v>
          </cell>
          <cell r="H17">
            <v>43831</v>
          </cell>
          <cell r="I17">
            <v>43832</v>
          </cell>
          <cell r="J17">
            <v>44198</v>
          </cell>
          <cell r="K17" t="str">
            <v>Prime</v>
          </cell>
          <cell r="L17" t="str">
            <v>Fixed Price</v>
          </cell>
          <cell r="M17" t="str">
            <v>Fixed Price</v>
          </cell>
          <cell r="N17" t="str">
            <v>Identified - New</v>
          </cell>
          <cell r="O17" t="str">
            <v>01 Prospect</v>
          </cell>
          <cell r="P17" t="str">
            <v>Priority 3</v>
          </cell>
          <cell r="Q17">
            <v>0.1</v>
          </cell>
          <cell r="R17">
            <v>5000000</v>
          </cell>
          <cell r="S17">
            <v>0.18</v>
          </cell>
          <cell r="T17">
            <v>0.183</v>
          </cell>
          <cell r="U17">
            <v>0.185</v>
          </cell>
          <cell r="V17">
            <v>0.187</v>
          </cell>
          <cell r="W17">
            <v>0.189</v>
          </cell>
          <cell r="X17">
            <v>8.5000000000000006E-2</v>
          </cell>
          <cell r="Y17">
            <v>0.09</v>
          </cell>
          <cell r="Z17">
            <v>9.5000000000000001E-2</v>
          </cell>
          <cell r="AA17">
            <v>9.7000000000000003E-2</v>
          </cell>
          <cell r="AB17">
            <v>9.9000000000000005E-2</v>
          </cell>
          <cell r="AC17">
            <v>5000000</v>
          </cell>
          <cell r="AD17">
            <v>0</v>
          </cell>
          <cell r="AE17">
            <v>372222.22222222225</v>
          </cell>
          <cell r="AF17">
            <v>127777.77777777775</v>
          </cell>
          <cell r="AG17">
            <v>0</v>
          </cell>
          <cell r="AH17">
            <v>0</v>
          </cell>
          <cell r="AI17">
            <v>0</v>
          </cell>
          <cell r="AJ17">
            <v>68116.666666666672</v>
          </cell>
          <cell r="AK17">
            <v>23638.888888888883</v>
          </cell>
          <cell r="AL17">
            <v>0</v>
          </cell>
          <cell r="AM17">
            <v>0</v>
          </cell>
          <cell r="AN17">
            <v>0</v>
          </cell>
          <cell r="AO17">
            <v>33500</v>
          </cell>
          <cell r="AP17">
            <v>12138.888888888887</v>
          </cell>
          <cell r="AQ17">
            <v>0</v>
          </cell>
          <cell r="AR17">
            <v>0</v>
          </cell>
          <cell r="AT17" t="str">
            <v>OPP-920195 - Identified - New - MR</v>
          </cell>
          <cell r="AU17">
            <v>45638.888888888891</v>
          </cell>
          <cell r="AV17">
            <v>45638.888888888891</v>
          </cell>
          <cell r="AW17">
            <v>0</v>
          </cell>
          <cell r="AX17">
            <v>0</v>
          </cell>
          <cell r="AZ17">
            <v>86</v>
          </cell>
          <cell r="BA17">
            <v>283</v>
          </cell>
          <cell r="BB17">
            <v>68</v>
          </cell>
        </row>
        <row r="18">
          <cell r="B18" t="str">
            <v>OPP-762262</v>
          </cell>
          <cell r="C18" t="str">
            <v>DHS CWMD/CBP HERS (IRIS)</v>
          </cell>
          <cell r="D18" t="str">
            <v>MR</v>
          </cell>
          <cell r="E18" t="str">
            <v>MR Non-Proliferation and Security Services</v>
          </cell>
          <cell r="F18" t="str">
            <v>Homeland Security</v>
          </cell>
          <cell r="G18" t="str">
            <v>DOD</v>
          </cell>
          <cell r="H18">
            <v>43817</v>
          </cell>
          <cell r="I18">
            <v>43818</v>
          </cell>
          <cell r="J18">
            <v>45645</v>
          </cell>
          <cell r="K18" t="str">
            <v>Prime</v>
          </cell>
          <cell r="L18" t="str">
            <v>Hybrid/Mixed Cost-Plus/Fixed</v>
          </cell>
          <cell r="M18" t="str">
            <v>Other</v>
          </cell>
          <cell r="N18" t="str">
            <v>Identified - New</v>
          </cell>
          <cell r="O18" t="str">
            <v>02 Capture</v>
          </cell>
          <cell r="P18" t="str">
            <v>Priority 2</v>
          </cell>
          <cell r="Q18">
            <v>0.35</v>
          </cell>
          <cell r="R18">
            <v>75000000</v>
          </cell>
          <cell r="S18">
            <v>0.18</v>
          </cell>
          <cell r="T18">
            <v>0.183</v>
          </cell>
          <cell r="U18">
            <v>0.185</v>
          </cell>
          <cell r="V18">
            <v>0.186</v>
          </cell>
          <cell r="W18">
            <v>0.187</v>
          </cell>
          <cell r="X18">
            <v>7.0000000000000007E-2</v>
          </cell>
          <cell r="Y18">
            <v>7.3999999999999996E-2</v>
          </cell>
          <cell r="Z18">
            <v>7.4999999999999997E-2</v>
          </cell>
          <cell r="AA18">
            <v>1.1666666666666667E-2</v>
          </cell>
          <cell r="AB18">
            <v>7.6999999999999999E-2</v>
          </cell>
          <cell r="AC18">
            <v>15000000</v>
          </cell>
          <cell r="AD18">
            <v>0</v>
          </cell>
          <cell r="AE18">
            <v>4097916.6666666665</v>
          </cell>
          <cell r="AF18">
            <v>5250000</v>
          </cell>
          <cell r="AG18">
            <v>5250000</v>
          </cell>
          <cell r="AH18">
            <v>5250000</v>
          </cell>
          <cell r="AI18">
            <v>0</v>
          </cell>
          <cell r="AJ18">
            <v>749918.75</v>
          </cell>
          <cell r="AK18">
            <v>971250</v>
          </cell>
          <cell r="AL18">
            <v>976500</v>
          </cell>
          <cell r="AM18">
            <v>981750</v>
          </cell>
          <cell r="AN18">
            <v>0</v>
          </cell>
          <cell r="AO18">
            <v>303245.83333333331</v>
          </cell>
          <cell r="AP18">
            <v>393750</v>
          </cell>
          <cell r="AQ18">
            <v>61250</v>
          </cell>
          <cell r="AR18">
            <v>404250</v>
          </cell>
          <cell r="AT18" t="str">
            <v>OPP-762262 - Identified - New - MR</v>
          </cell>
          <cell r="AU18">
            <v>1162495.8333333333</v>
          </cell>
          <cell r="AV18">
            <v>1162495.8333333333</v>
          </cell>
          <cell r="AW18">
            <v>0</v>
          </cell>
          <cell r="AX18">
            <v>0</v>
          </cell>
          <cell r="AZ18">
            <v>19</v>
          </cell>
          <cell r="BA18">
            <v>284</v>
          </cell>
          <cell r="BB18">
            <v>69</v>
          </cell>
        </row>
        <row r="19">
          <cell r="B19" t="str">
            <v>OPP-841314</v>
          </cell>
          <cell r="C19" t="str">
            <v>PSST Aerostats</v>
          </cell>
          <cell r="D19" t="str">
            <v>MR</v>
          </cell>
          <cell r="E19" t="str">
            <v>MR Logistics &amp; Supply</v>
          </cell>
          <cell r="F19" t="str">
            <v>Army</v>
          </cell>
          <cell r="G19" t="str">
            <v>DOD</v>
          </cell>
          <cell r="H19">
            <v>43739</v>
          </cell>
          <cell r="I19">
            <v>43739</v>
          </cell>
          <cell r="J19">
            <v>45565</v>
          </cell>
          <cell r="K19" t="str">
            <v>Prime</v>
          </cell>
          <cell r="L19" t="str">
            <v>Hybrid/Mixed Cost-Plus/Fixed</v>
          </cell>
          <cell r="M19" t="str">
            <v>Other</v>
          </cell>
          <cell r="N19" t="str">
            <v>Identified - New</v>
          </cell>
          <cell r="O19" t="str">
            <v>01 Prospect</v>
          </cell>
          <cell r="P19" t="str">
            <v>Priority 2</v>
          </cell>
          <cell r="Q19">
            <v>1</v>
          </cell>
          <cell r="R19">
            <v>113000000</v>
          </cell>
          <cell r="S19">
            <v>0.14000000000000001</v>
          </cell>
          <cell r="T19">
            <v>0.14000000000000001</v>
          </cell>
          <cell r="U19">
            <v>0.14000000000000001</v>
          </cell>
          <cell r="V19">
            <v>0.14000000000000001</v>
          </cell>
          <cell r="W19">
            <v>0.14000000000000001</v>
          </cell>
          <cell r="X19">
            <v>0.06</v>
          </cell>
          <cell r="Y19">
            <v>0.06</v>
          </cell>
          <cell r="Z19">
            <v>0.06</v>
          </cell>
          <cell r="AA19">
            <v>0.06</v>
          </cell>
          <cell r="AB19">
            <v>0.06</v>
          </cell>
          <cell r="AC19">
            <v>22612562.534741525</v>
          </cell>
          <cell r="AD19">
            <v>0</v>
          </cell>
          <cell r="AE19">
            <v>22549749.861033909</v>
          </cell>
          <cell r="AF19">
            <v>22612562.534741525</v>
          </cell>
          <cell r="AG19">
            <v>22612562.534741525</v>
          </cell>
          <cell r="AH19">
            <v>22612562.534741525</v>
          </cell>
          <cell r="AI19">
            <v>0</v>
          </cell>
          <cell r="AJ19">
            <v>3156964.9805447478</v>
          </cell>
          <cell r="AK19">
            <v>3165758.7548638135</v>
          </cell>
          <cell r="AL19">
            <v>3165758.7548638135</v>
          </cell>
          <cell r="AM19">
            <v>3165758.7548638135</v>
          </cell>
          <cell r="AN19">
            <v>0</v>
          </cell>
          <cell r="AO19">
            <v>1352984.9916620345</v>
          </cell>
          <cell r="AP19">
            <v>1356753.7520844915</v>
          </cell>
          <cell r="AQ19">
            <v>1356753.7520844915</v>
          </cell>
          <cell r="AR19">
            <v>1356753.7520844915</v>
          </cell>
          <cell r="AT19" t="str">
            <v>OPP-841314 - Identified - New - MR</v>
          </cell>
          <cell r="AU19">
            <v>5423246.2479155092</v>
          </cell>
          <cell r="AV19">
            <v>5423246.2479155092</v>
          </cell>
          <cell r="AW19">
            <v>0</v>
          </cell>
          <cell r="AX19">
            <v>0</v>
          </cell>
          <cell r="AZ19">
            <v>2</v>
          </cell>
          <cell r="BA19">
            <v>285</v>
          </cell>
          <cell r="BB19">
            <v>70</v>
          </cell>
        </row>
        <row r="20">
          <cell r="B20" t="str">
            <v>OPP-920553</v>
          </cell>
          <cell r="C20" t="str">
            <v>PM Tactical Networks</v>
          </cell>
          <cell r="D20" t="str">
            <v>MR</v>
          </cell>
          <cell r="E20" t="str">
            <v>MR Logistics &amp; Supply</v>
          </cell>
          <cell r="F20" t="str">
            <v>Army</v>
          </cell>
          <cell r="G20" t="str">
            <v>DOD</v>
          </cell>
          <cell r="H20">
            <v>43756</v>
          </cell>
          <cell r="I20">
            <v>43759</v>
          </cell>
          <cell r="J20">
            <v>45586</v>
          </cell>
          <cell r="K20" t="str">
            <v>Prime</v>
          </cell>
          <cell r="L20" t="str">
            <v>Hybrid/Mixed Cost-Plus/Fixed</v>
          </cell>
          <cell r="M20" t="str">
            <v>Other</v>
          </cell>
          <cell r="N20" t="str">
            <v>Identified - New</v>
          </cell>
          <cell r="O20" t="str">
            <v>04 Submitted</v>
          </cell>
          <cell r="P20" t="str">
            <v>Priority 2</v>
          </cell>
          <cell r="Q20">
            <v>0.25</v>
          </cell>
          <cell r="R20">
            <v>125000000</v>
          </cell>
          <cell r="S20">
            <v>0.15</v>
          </cell>
          <cell r="T20">
            <v>0.154</v>
          </cell>
          <cell r="U20">
            <v>0.156</v>
          </cell>
          <cell r="V20">
            <v>0.158</v>
          </cell>
          <cell r="W20">
            <v>0.159</v>
          </cell>
          <cell r="X20">
            <v>0.05</v>
          </cell>
          <cell r="Y20">
            <v>5.5E-2</v>
          </cell>
          <cell r="Z20">
            <v>5.6000000000000001E-2</v>
          </cell>
          <cell r="AA20">
            <v>5.7000000000000002E-2</v>
          </cell>
          <cell r="AB20">
            <v>5.8999999999999997E-2</v>
          </cell>
          <cell r="AC20">
            <v>25000000</v>
          </cell>
          <cell r="AD20">
            <v>0</v>
          </cell>
          <cell r="AE20">
            <v>5885416.666666667</v>
          </cell>
          <cell r="AF20">
            <v>6250000</v>
          </cell>
          <cell r="AG20">
            <v>6250000</v>
          </cell>
          <cell r="AH20">
            <v>6250000</v>
          </cell>
          <cell r="AI20">
            <v>0</v>
          </cell>
          <cell r="AJ20">
            <v>906354.16666666674</v>
          </cell>
          <cell r="AK20">
            <v>975000</v>
          </cell>
          <cell r="AL20">
            <v>987500</v>
          </cell>
          <cell r="AM20">
            <v>993750</v>
          </cell>
          <cell r="AN20">
            <v>0</v>
          </cell>
          <cell r="AO20">
            <v>323697.91666666669</v>
          </cell>
          <cell r="AP20">
            <v>350000</v>
          </cell>
          <cell r="AQ20">
            <v>356250</v>
          </cell>
          <cell r="AR20">
            <v>368750</v>
          </cell>
          <cell r="AT20" t="str">
            <v>OPP-920553 - Identified - New - MR</v>
          </cell>
          <cell r="AU20">
            <v>1398697.9166666667</v>
          </cell>
          <cell r="AV20">
            <v>1398697.9166666667</v>
          </cell>
          <cell r="AW20">
            <v>0</v>
          </cell>
          <cell r="AX20">
            <v>0</v>
          </cell>
          <cell r="AZ20">
            <v>13</v>
          </cell>
          <cell r="BA20">
            <v>286</v>
          </cell>
          <cell r="BB20">
            <v>71</v>
          </cell>
        </row>
        <row r="21">
          <cell r="B21" t="str">
            <v>OPP-411734</v>
          </cell>
          <cell r="C21" t="str">
            <v>Hawthorne Army Depot O&amp;M</v>
          </cell>
          <cell r="D21" t="str">
            <v>MR</v>
          </cell>
          <cell r="E21" t="str">
            <v>MR Non-Proliferation and Security Services</v>
          </cell>
          <cell r="F21" t="str">
            <v>Army</v>
          </cell>
          <cell r="G21" t="str">
            <v>DOD</v>
          </cell>
          <cell r="H21">
            <v>44046</v>
          </cell>
          <cell r="I21">
            <v>44197</v>
          </cell>
          <cell r="J21">
            <v>46023</v>
          </cell>
          <cell r="K21" t="str">
            <v>Sub</v>
          </cell>
          <cell r="L21" t="str">
            <v>Cost Plus Fixed Fee</v>
          </cell>
          <cell r="M21" t="str">
            <v>Cost Reimbursable</v>
          </cell>
          <cell r="N21" t="str">
            <v>Identified - New</v>
          </cell>
          <cell r="O21" t="str">
            <v>02 Capture</v>
          </cell>
          <cell r="P21" t="str">
            <v>Priority 1</v>
          </cell>
          <cell r="Q21">
            <v>0.35</v>
          </cell>
          <cell r="R21">
            <v>75000000</v>
          </cell>
          <cell r="S21">
            <v>0.16</v>
          </cell>
          <cell r="T21">
            <v>0.16400000000000001</v>
          </cell>
          <cell r="U21">
            <v>0.16600000000000001</v>
          </cell>
          <cell r="V21">
            <v>0.16800000000000001</v>
          </cell>
          <cell r="W21">
            <v>0.17</v>
          </cell>
          <cell r="X21">
            <v>0.05</v>
          </cell>
          <cell r="Y21">
            <v>5.3999999999999999E-2</v>
          </cell>
          <cell r="Z21">
            <v>5.6000000000000001E-2</v>
          </cell>
          <cell r="AA21">
            <v>5.8000000000000003E-2</v>
          </cell>
          <cell r="AB21">
            <v>0.06</v>
          </cell>
          <cell r="AC21">
            <v>15000000</v>
          </cell>
          <cell r="AD21">
            <v>0</v>
          </cell>
          <cell r="AE21">
            <v>0</v>
          </cell>
          <cell r="AF21">
            <v>3922916.6666666665</v>
          </cell>
          <cell r="AG21">
            <v>5250000</v>
          </cell>
          <cell r="AH21">
            <v>5250000</v>
          </cell>
          <cell r="AI21">
            <v>0</v>
          </cell>
          <cell r="AJ21">
            <v>0</v>
          </cell>
          <cell r="AK21">
            <v>651204.16666666663</v>
          </cell>
          <cell r="AL21">
            <v>882000</v>
          </cell>
          <cell r="AM21">
            <v>892500.00000000012</v>
          </cell>
          <cell r="AN21">
            <v>0</v>
          </cell>
          <cell r="AO21">
            <v>0</v>
          </cell>
          <cell r="AP21">
            <v>219683.33333333334</v>
          </cell>
          <cell r="AQ21">
            <v>304500</v>
          </cell>
          <cell r="AR21">
            <v>315000</v>
          </cell>
          <cell r="AT21" t="str">
            <v>OPP-411734 - Identified - New - MR</v>
          </cell>
          <cell r="AU21">
            <v>839183.33333333337</v>
          </cell>
          <cell r="AV21">
            <v>839183.33333333337</v>
          </cell>
          <cell r="AW21">
            <v>0</v>
          </cell>
          <cell r="AX21">
            <v>0</v>
          </cell>
          <cell r="AZ21">
            <v>23</v>
          </cell>
          <cell r="BA21">
            <v>287</v>
          </cell>
          <cell r="BB21">
            <v>72</v>
          </cell>
        </row>
        <row r="22">
          <cell r="B22" t="str">
            <v>OPP-678925</v>
          </cell>
          <cell r="C22" t="str">
            <v>AEC OPERATION AND MAINTENANCE SERVICES FOR ROCKY MOUNTAIN ARSENAL</v>
          </cell>
          <cell r="D22" t="str">
            <v>MR</v>
          </cell>
          <cell r="E22" t="str">
            <v>MR Non-Proliferation and Security Services</v>
          </cell>
          <cell r="F22" t="str">
            <v>Air Force</v>
          </cell>
          <cell r="G22" t="str">
            <v>DOD</v>
          </cell>
          <cell r="H22">
            <v>44511</v>
          </cell>
          <cell r="I22">
            <v>44511</v>
          </cell>
          <cell r="J22">
            <v>47798</v>
          </cell>
          <cell r="K22" t="str">
            <v>Prime</v>
          </cell>
          <cell r="L22" t="str">
            <v>Cost Plus Award Fee; Hybrid/Mixed Cost-Plus/Fixed</v>
          </cell>
          <cell r="M22" t="str">
            <v>Cost Reimbursable</v>
          </cell>
          <cell r="N22" t="str">
            <v>Identified - New</v>
          </cell>
          <cell r="O22" t="str">
            <v>01 Prospect</v>
          </cell>
          <cell r="P22" t="str">
            <v>Priority 2</v>
          </cell>
          <cell r="Q22">
            <v>0.25</v>
          </cell>
          <cell r="R22">
            <v>68507000</v>
          </cell>
          <cell r="S22">
            <v>0.16</v>
          </cell>
          <cell r="T22">
            <v>0.16400000000000001</v>
          </cell>
          <cell r="U22">
            <v>0.16600000000000001</v>
          </cell>
          <cell r="V22">
            <v>0.16800000000000001</v>
          </cell>
          <cell r="W22">
            <v>0.17</v>
          </cell>
          <cell r="X22">
            <v>0.05</v>
          </cell>
          <cell r="Y22">
            <v>5.3999999999999999E-2</v>
          </cell>
          <cell r="Z22">
            <v>5.6000000000000001E-2</v>
          </cell>
          <cell r="AA22">
            <v>5.8000000000000003E-2</v>
          </cell>
          <cell r="AB22">
            <v>0.06</v>
          </cell>
          <cell r="AC22">
            <v>7611888.888888889</v>
          </cell>
          <cell r="AD22">
            <v>0</v>
          </cell>
          <cell r="AE22">
            <v>0</v>
          </cell>
          <cell r="AF22">
            <v>0</v>
          </cell>
          <cell r="AG22">
            <v>1686244.8302469135</v>
          </cell>
          <cell r="AH22">
            <v>1902972.2222222222</v>
          </cell>
          <cell r="AI22">
            <v>0</v>
          </cell>
          <cell r="AJ22">
            <v>0</v>
          </cell>
          <cell r="AK22">
            <v>0</v>
          </cell>
          <cell r="AL22">
            <v>283289.13148148148</v>
          </cell>
          <cell r="AM22">
            <v>323505.27777777781</v>
          </cell>
          <cell r="AN22">
            <v>0</v>
          </cell>
          <cell r="AO22">
            <v>0</v>
          </cell>
          <cell r="AP22">
            <v>0</v>
          </cell>
          <cell r="AQ22">
            <v>97802.200154320992</v>
          </cell>
          <cell r="AR22">
            <v>114178.33333333333</v>
          </cell>
          <cell r="AT22" t="str">
            <v>OPP-678925 - Identified - New - MR</v>
          </cell>
          <cell r="AU22">
            <v>211980.53348765432</v>
          </cell>
          <cell r="AV22">
            <v>211980.53348765432</v>
          </cell>
          <cell r="AW22">
            <v>0</v>
          </cell>
          <cell r="AX22">
            <v>0</v>
          </cell>
          <cell r="AZ22">
            <v>55</v>
          </cell>
          <cell r="BA22">
            <v>288</v>
          </cell>
          <cell r="BB22">
            <v>73</v>
          </cell>
        </row>
        <row r="23">
          <cell r="B23" t="str">
            <v>OPP-481574</v>
          </cell>
          <cell r="C23" t="str">
            <v>CMMARS E-6B CLS</v>
          </cell>
          <cell r="D23" t="str">
            <v>MR</v>
          </cell>
          <cell r="E23" t="str">
            <v>MR Logistics &amp; Supply</v>
          </cell>
          <cell r="F23" t="str">
            <v>Navy</v>
          </cell>
          <cell r="G23" t="str">
            <v>DOD</v>
          </cell>
          <cell r="H23">
            <v>44302</v>
          </cell>
          <cell r="I23">
            <v>44348</v>
          </cell>
          <cell r="J23">
            <v>46388</v>
          </cell>
          <cell r="K23" t="str">
            <v>Prime</v>
          </cell>
          <cell r="L23" t="str">
            <v>Fixed Price</v>
          </cell>
          <cell r="M23" t="str">
            <v>Fixed Price</v>
          </cell>
          <cell r="N23" t="str">
            <v>Identified - New</v>
          </cell>
          <cell r="O23" t="str">
            <v>01 Prospect</v>
          </cell>
          <cell r="P23" t="str">
            <v>Priority 1</v>
          </cell>
          <cell r="Q23">
            <v>0.25</v>
          </cell>
          <cell r="R23">
            <v>335000000</v>
          </cell>
          <cell r="S23">
            <v>0.16</v>
          </cell>
          <cell r="T23">
            <v>0.17</v>
          </cell>
          <cell r="U23">
            <v>0.17</v>
          </cell>
          <cell r="V23">
            <v>0.17499999999999999</v>
          </cell>
          <cell r="W23">
            <v>0.18</v>
          </cell>
          <cell r="X23">
            <v>0.05</v>
          </cell>
          <cell r="Y23">
            <v>5.2499999999999998E-2</v>
          </cell>
          <cell r="Z23">
            <v>5.5E-2</v>
          </cell>
          <cell r="AA23">
            <v>5.8000000000000003E-2</v>
          </cell>
          <cell r="AB23">
            <v>5.8000000000000003E-2</v>
          </cell>
          <cell r="AC23">
            <v>60000000</v>
          </cell>
          <cell r="AD23">
            <v>0</v>
          </cell>
          <cell r="AE23">
            <v>0</v>
          </cell>
          <cell r="AF23">
            <v>4958333.333333333</v>
          </cell>
          <cell r="AG23">
            <v>15000000</v>
          </cell>
          <cell r="AH23">
            <v>15000000</v>
          </cell>
          <cell r="AI23">
            <v>0</v>
          </cell>
          <cell r="AJ23">
            <v>0</v>
          </cell>
          <cell r="AK23">
            <v>842916.66666666663</v>
          </cell>
          <cell r="AL23">
            <v>2625000</v>
          </cell>
          <cell r="AM23">
            <v>2700000</v>
          </cell>
          <cell r="AN23">
            <v>0</v>
          </cell>
          <cell r="AO23">
            <v>0</v>
          </cell>
          <cell r="AP23">
            <v>272708.33333333331</v>
          </cell>
          <cell r="AQ23">
            <v>870000</v>
          </cell>
          <cell r="AR23">
            <v>870000</v>
          </cell>
          <cell r="AT23" t="str">
            <v>OPP-481574 - Identified - New - MR</v>
          </cell>
          <cell r="AU23">
            <v>2012708.3333333333</v>
          </cell>
          <cell r="AV23">
            <v>2012708.3333333333</v>
          </cell>
          <cell r="AW23">
            <v>0</v>
          </cell>
          <cell r="AX23">
            <v>0</v>
          </cell>
          <cell r="AZ23">
            <v>10</v>
          </cell>
          <cell r="BA23">
            <v>289</v>
          </cell>
          <cell r="BB23">
            <v>74</v>
          </cell>
        </row>
        <row r="24">
          <cell r="B24" t="str">
            <v>OPP-631300</v>
          </cell>
          <cell r="C24" t="str">
            <v>MAINTENANCE REPAIR AND OPERATIONS PRIME VENDOR FOR THE US SOUTHEAST REGION (MRO SOUTHEAST)</v>
          </cell>
          <cell r="D24" t="str">
            <v>MR</v>
          </cell>
          <cell r="E24" t="str">
            <v>MR Logistics &amp; Supply</v>
          </cell>
          <cell r="F24" t="str">
            <v>DLA</v>
          </cell>
          <cell r="G24" t="str">
            <v>DLA</v>
          </cell>
          <cell r="H24">
            <v>43860</v>
          </cell>
          <cell r="I24">
            <v>43927</v>
          </cell>
          <cell r="J24">
            <v>45753</v>
          </cell>
          <cell r="K24" t="str">
            <v>Prime</v>
          </cell>
          <cell r="L24" t="str">
            <v>Fixed Price</v>
          </cell>
          <cell r="M24" t="str">
            <v>Fixed Price</v>
          </cell>
          <cell r="N24" t="str">
            <v>Identified - New</v>
          </cell>
          <cell r="O24" t="str">
            <v>01 Prospect</v>
          </cell>
          <cell r="P24" t="str">
            <v>Priority 1</v>
          </cell>
          <cell r="Q24">
            <v>0.25</v>
          </cell>
          <cell r="R24">
            <v>123000000</v>
          </cell>
          <cell r="S24">
            <v>0.16</v>
          </cell>
          <cell r="T24">
            <v>0.17</v>
          </cell>
          <cell r="U24">
            <v>0.17</v>
          </cell>
          <cell r="V24">
            <v>0.17499999999999999</v>
          </cell>
          <cell r="W24">
            <v>0.18</v>
          </cell>
          <cell r="X24">
            <v>0.05</v>
          </cell>
          <cell r="Y24">
            <v>5.2499999999999998E-2</v>
          </cell>
          <cell r="Z24">
            <v>5.5E-2</v>
          </cell>
          <cell r="AA24">
            <v>5.8000000000000003E-2</v>
          </cell>
          <cell r="AB24">
            <v>5.8000000000000003E-2</v>
          </cell>
          <cell r="AC24">
            <v>24600000</v>
          </cell>
          <cell r="AD24">
            <v>0</v>
          </cell>
          <cell r="AE24">
            <v>2972500</v>
          </cell>
          <cell r="AF24">
            <v>6150000</v>
          </cell>
          <cell r="AG24">
            <v>6150000</v>
          </cell>
          <cell r="AH24">
            <v>6150000</v>
          </cell>
          <cell r="AI24">
            <v>0</v>
          </cell>
          <cell r="AJ24">
            <v>505325.00000000006</v>
          </cell>
          <cell r="AK24">
            <v>1045500.0000000001</v>
          </cell>
          <cell r="AL24">
            <v>1076250</v>
          </cell>
          <cell r="AM24">
            <v>1107000</v>
          </cell>
          <cell r="AN24">
            <v>0</v>
          </cell>
          <cell r="AO24">
            <v>156056.25</v>
          </cell>
          <cell r="AP24">
            <v>338250</v>
          </cell>
          <cell r="AQ24">
            <v>356700</v>
          </cell>
          <cell r="AR24">
            <v>356700</v>
          </cell>
          <cell r="AT24" t="str">
            <v>OPP-631300 - Identified - New - MR</v>
          </cell>
          <cell r="AU24">
            <v>1207706.25</v>
          </cell>
          <cell r="AV24">
            <v>1207706.25</v>
          </cell>
          <cell r="AW24">
            <v>0</v>
          </cell>
          <cell r="AX24">
            <v>0</v>
          </cell>
          <cell r="AZ24">
            <v>17</v>
          </cell>
          <cell r="BA24">
            <v>290</v>
          </cell>
          <cell r="BB24">
            <v>75</v>
          </cell>
        </row>
        <row r="25">
          <cell r="B25" t="str">
            <v>OPP-631279</v>
          </cell>
          <cell r="C25" t="str">
            <v>MAINTENANCE REPAIR AND OPERATIONS PRIME VENDOR FOR THE US NORTHEAST REGION</v>
          </cell>
          <cell r="D25" t="str">
            <v>MR</v>
          </cell>
          <cell r="E25" t="str">
            <v>MR Logistics &amp; Supply</v>
          </cell>
          <cell r="F25" t="str">
            <v>DLA</v>
          </cell>
          <cell r="G25" t="str">
            <v>DLA</v>
          </cell>
          <cell r="H25">
            <v>44044</v>
          </cell>
          <cell r="I25">
            <v>44044</v>
          </cell>
          <cell r="J25">
            <v>45870</v>
          </cell>
          <cell r="K25" t="str">
            <v>Prime</v>
          </cell>
          <cell r="L25" t="str">
            <v>Fixed Price</v>
          </cell>
          <cell r="M25" t="str">
            <v>Fixed Price</v>
          </cell>
          <cell r="N25" t="str">
            <v>Identified - New</v>
          </cell>
          <cell r="O25" t="str">
            <v>01 Prospect</v>
          </cell>
          <cell r="P25" t="str">
            <v>Priority 1</v>
          </cell>
          <cell r="Q25">
            <v>0.15</v>
          </cell>
          <cell r="R25">
            <v>94500000</v>
          </cell>
          <cell r="S25">
            <v>0.16</v>
          </cell>
          <cell r="T25">
            <v>0.17</v>
          </cell>
          <cell r="U25">
            <v>0.17</v>
          </cell>
          <cell r="V25">
            <v>0.17499999999999999</v>
          </cell>
          <cell r="W25">
            <v>0.18</v>
          </cell>
          <cell r="X25">
            <v>0.05</v>
          </cell>
          <cell r="Y25">
            <v>5.2499999999999998E-2</v>
          </cell>
          <cell r="Z25">
            <v>5.5E-2</v>
          </cell>
          <cell r="AA25">
            <v>5.8000000000000003E-2</v>
          </cell>
          <cell r="AB25">
            <v>5.8000000000000003E-2</v>
          </cell>
          <cell r="AC25">
            <v>18900000</v>
          </cell>
          <cell r="AD25">
            <v>0</v>
          </cell>
          <cell r="AE25">
            <v>464625</v>
          </cell>
          <cell r="AF25">
            <v>2835000</v>
          </cell>
          <cell r="AG25">
            <v>2835000</v>
          </cell>
          <cell r="AH25">
            <v>2835000</v>
          </cell>
          <cell r="AI25">
            <v>0</v>
          </cell>
          <cell r="AJ25">
            <v>78986.25</v>
          </cell>
          <cell r="AK25">
            <v>481950.00000000006</v>
          </cell>
          <cell r="AL25">
            <v>496124.99999999994</v>
          </cell>
          <cell r="AM25">
            <v>510300</v>
          </cell>
          <cell r="AN25">
            <v>0</v>
          </cell>
          <cell r="AO25">
            <v>24392.8125</v>
          </cell>
          <cell r="AP25">
            <v>155925</v>
          </cell>
          <cell r="AQ25">
            <v>164430</v>
          </cell>
          <cell r="AR25">
            <v>164430</v>
          </cell>
          <cell r="AT25" t="str">
            <v>OPP-631279 - Identified - New - MR</v>
          </cell>
          <cell r="AU25">
            <v>509177.8125</v>
          </cell>
          <cell r="AV25">
            <v>509177.8125</v>
          </cell>
          <cell r="AW25">
            <v>0</v>
          </cell>
          <cell r="AX25">
            <v>0</v>
          </cell>
          <cell r="AZ25">
            <v>33</v>
          </cell>
          <cell r="BA25">
            <v>291</v>
          </cell>
          <cell r="BB25">
            <v>76</v>
          </cell>
        </row>
        <row r="26">
          <cell r="B26" t="str">
            <v>OPP-631298</v>
          </cell>
          <cell r="C26" t="str">
            <v>MAINTENANCE REPAIR AND OPERATIONS PRIME VENDOR FOR THE US SOUTHWEST REGION (MRO SOUTHWEST)</v>
          </cell>
          <cell r="D26" t="str">
            <v>MR</v>
          </cell>
          <cell r="E26" t="str">
            <v>MR Logistics &amp; Supply</v>
          </cell>
          <cell r="F26" t="str">
            <v>DLA</v>
          </cell>
          <cell r="G26" t="str">
            <v>DLA</v>
          </cell>
          <cell r="H26">
            <v>43921</v>
          </cell>
          <cell r="I26">
            <v>43997</v>
          </cell>
          <cell r="J26">
            <v>45823</v>
          </cell>
          <cell r="K26" t="str">
            <v>Prime</v>
          </cell>
          <cell r="L26" t="str">
            <v>Fixed Price</v>
          </cell>
          <cell r="M26" t="str">
            <v>Fixed Price</v>
          </cell>
          <cell r="N26" t="str">
            <v>Identified - New</v>
          </cell>
          <cell r="O26" t="str">
            <v>01 Prospect</v>
          </cell>
          <cell r="P26" t="str">
            <v>Priority 1</v>
          </cell>
          <cell r="Q26">
            <v>0.15</v>
          </cell>
          <cell r="R26">
            <v>81000000</v>
          </cell>
          <cell r="S26">
            <v>0.16</v>
          </cell>
          <cell r="T26">
            <v>0.17</v>
          </cell>
          <cell r="U26">
            <v>0.17</v>
          </cell>
          <cell r="V26">
            <v>0.17499999999999999</v>
          </cell>
          <cell r="W26">
            <v>0.18</v>
          </cell>
          <cell r="X26">
            <v>0.05</v>
          </cell>
          <cell r="Y26">
            <v>5.2499999999999998E-2</v>
          </cell>
          <cell r="Z26">
            <v>5.5E-2</v>
          </cell>
          <cell r="AA26">
            <v>5.8000000000000003E-2</v>
          </cell>
          <cell r="AB26">
            <v>5.8000000000000003E-2</v>
          </cell>
          <cell r="AC26">
            <v>16200000</v>
          </cell>
          <cell r="AD26">
            <v>0</v>
          </cell>
          <cell r="AE26">
            <v>708750</v>
          </cell>
          <cell r="AF26">
            <v>2430000</v>
          </cell>
          <cell r="AG26">
            <v>2430000</v>
          </cell>
          <cell r="AH26">
            <v>2430000</v>
          </cell>
          <cell r="AI26">
            <v>0</v>
          </cell>
          <cell r="AJ26">
            <v>120487.50000000001</v>
          </cell>
          <cell r="AK26">
            <v>413100.00000000006</v>
          </cell>
          <cell r="AL26">
            <v>425250</v>
          </cell>
          <cell r="AM26">
            <v>437400</v>
          </cell>
          <cell r="AN26">
            <v>0</v>
          </cell>
          <cell r="AO26">
            <v>37209.375</v>
          </cell>
          <cell r="AP26">
            <v>133650</v>
          </cell>
          <cell r="AQ26">
            <v>140940</v>
          </cell>
          <cell r="AR26">
            <v>140940</v>
          </cell>
          <cell r="AT26" t="str">
            <v>OPP-631298 - Identified - New - MR</v>
          </cell>
          <cell r="AU26">
            <v>452739.375</v>
          </cell>
          <cell r="AV26">
            <v>452739.375</v>
          </cell>
          <cell r="AW26">
            <v>0</v>
          </cell>
          <cell r="AX26">
            <v>0</v>
          </cell>
          <cell r="AZ26">
            <v>38</v>
          </cell>
          <cell r="BA26">
            <v>292</v>
          </cell>
          <cell r="BB26">
            <v>77</v>
          </cell>
        </row>
        <row r="27">
          <cell r="B27" t="str">
            <v>OPP-631299</v>
          </cell>
          <cell r="C27" t="str">
            <v>MAINTENANCE REPAIR AND OPERATIONS PRIME VENDOR FOR THE US SOUTH CENTRAL REGION</v>
          </cell>
          <cell r="D27" t="str">
            <v>MR</v>
          </cell>
          <cell r="E27" t="str">
            <v>MR Logistics &amp; Supply</v>
          </cell>
          <cell r="F27" t="str">
            <v>DLA</v>
          </cell>
          <cell r="G27" t="str">
            <v>DLA</v>
          </cell>
          <cell r="H27">
            <v>43922</v>
          </cell>
          <cell r="I27">
            <v>44032</v>
          </cell>
          <cell r="J27">
            <v>45858</v>
          </cell>
          <cell r="K27" t="str">
            <v>Prime</v>
          </cell>
          <cell r="L27" t="str">
            <v>Fixed Price</v>
          </cell>
          <cell r="M27" t="str">
            <v>Fixed Price</v>
          </cell>
          <cell r="N27" t="str">
            <v>Identified - New</v>
          </cell>
          <cell r="O27" t="str">
            <v>01 Prospect</v>
          </cell>
          <cell r="P27" t="str">
            <v>Priority 1</v>
          </cell>
          <cell r="Q27">
            <v>0.15</v>
          </cell>
          <cell r="R27">
            <v>67500000</v>
          </cell>
          <cell r="S27">
            <v>0.16</v>
          </cell>
          <cell r="T27">
            <v>0.17</v>
          </cell>
          <cell r="U27">
            <v>0.17</v>
          </cell>
          <cell r="V27">
            <v>0.17499999999999999</v>
          </cell>
          <cell r="W27">
            <v>0.18</v>
          </cell>
          <cell r="X27">
            <v>0.05</v>
          </cell>
          <cell r="Y27">
            <v>5.2499999999999998E-2</v>
          </cell>
          <cell r="Z27">
            <v>5.5E-2</v>
          </cell>
          <cell r="AA27">
            <v>5.8000000000000003E-2</v>
          </cell>
          <cell r="AB27">
            <v>5.8000000000000003E-2</v>
          </cell>
          <cell r="AC27">
            <v>13500000</v>
          </cell>
          <cell r="AD27">
            <v>0</v>
          </cell>
          <cell r="AE27">
            <v>393750</v>
          </cell>
          <cell r="AF27">
            <v>2025000</v>
          </cell>
          <cell r="AG27">
            <v>2025000</v>
          </cell>
          <cell r="AH27">
            <v>2025000</v>
          </cell>
          <cell r="AI27">
            <v>0</v>
          </cell>
          <cell r="AJ27">
            <v>66937.5</v>
          </cell>
          <cell r="AK27">
            <v>344250</v>
          </cell>
          <cell r="AL27">
            <v>354375</v>
          </cell>
          <cell r="AM27">
            <v>364500</v>
          </cell>
          <cell r="AN27">
            <v>0</v>
          </cell>
          <cell r="AO27">
            <v>20671.875</v>
          </cell>
          <cell r="AP27">
            <v>111375</v>
          </cell>
          <cell r="AQ27">
            <v>117450</v>
          </cell>
          <cell r="AR27">
            <v>117450</v>
          </cell>
          <cell r="AT27" t="str">
            <v>OPP-631299 - Identified - New - MR</v>
          </cell>
          <cell r="AU27">
            <v>366946.875</v>
          </cell>
          <cell r="AV27">
            <v>366946.875</v>
          </cell>
          <cell r="AW27">
            <v>0</v>
          </cell>
          <cell r="AX27">
            <v>0</v>
          </cell>
          <cell r="AZ27">
            <v>42</v>
          </cell>
          <cell r="BA27">
            <v>293</v>
          </cell>
          <cell r="BB27">
            <v>78</v>
          </cell>
        </row>
        <row r="28">
          <cell r="B28" t="str">
            <v>OPP-631303</v>
          </cell>
          <cell r="C28" t="str">
            <v>MAINTENANCE REPAIR AND OPERATIONS PRIME VENDOR FOR THE US ALASKA REGION (MRO ALASKA)</v>
          </cell>
          <cell r="D28" t="str">
            <v>MR</v>
          </cell>
          <cell r="E28" t="str">
            <v>MR Logistics &amp; Supply</v>
          </cell>
          <cell r="F28" t="str">
            <v>DLA</v>
          </cell>
          <cell r="G28" t="str">
            <v>DLA</v>
          </cell>
          <cell r="H28">
            <v>43952</v>
          </cell>
          <cell r="I28">
            <v>43952</v>
          </cell>
          <cell r="J28">
            <v>45778</v>
          </cell>
          <cell r="K28" t="str">
            <v>Prime</v>
          </cell>
          <cell r="L28" t="str">
            <v>Fixed Price</v>
          </cell>
          <cell r="M28" t="str">
            <v>Fixed Price</v>
          </cell>
          <cell r="N28" t="str">
            <v>Identified - New</v>
          </cell>
          <cell r="O28" t="str">
            <v>01 Prospect</v>
          </cell>
          <cell r="P28" t="str">
            <v>Priority 2</v>
          </cell>
          <cell r="Q28">
            <v>0.15</v>
          </cell>
          <cell r="R28">
            <v>18000000</v>
          </cell>
          <cell r="S28">
            <v>0.16</v>
          </cell>
          <cell r="T28">
            <v>0.17</v>
          </cell>
          <cell r="U28">
            <v>0.17</v>
          </cell>
          <cell r="V28">
            <v>0.17499999999999999</v>
          </cell>
          <cell r="W28">
            <v>0.18</v>
          </cell>
          <cell r="X28">
            <v>0.05</v>
          </cell>
          <cell r="Y28">
            <v>5.2499999999999998E-2</v>
          </cell>
          <cell r="Z28">
            <v>5.5E-2</v>
          </cell>
          <cell r="AA28">
            <v>5.8000000000000003E-2</v>
          </cell>
          <cell r="AB28">
            <v>5.8000000000000003E-2</v>
          </cell>
          <cell r="AC28">
            <v>3600000</v>
          </cell>
          <cell r="AD28">
            <v>0</v>
          </cell>
          <cell r="AE28">
            <v>223500</v>
          </cell>
          <cell r="AF28">
            <v>540000</v>
          </cell>
          <cell r="AG28">
            <v>540000</v>
          </cell>
          <cell r="AH28">
            <v>540000</v>
          </cell>
          <cell r="AI28">
            <v>0</v>
          </cell>
          <cell r="AJ28">
            <v>37995</v>
          </cell>
          <cell r="AK28">
            <v>91800</v>
          </cell>
          <cell r="AL28">
            <v>94500</v>
          </cell>
          <cell r="AM28">
            <v>97200</v>
          </cell>
          <cell r="AN28">
            <v>0</v>
          </cell>
          <cell r="AO28">
            <v>11733.75</v>
          </cell>
          <cell r="AP28">
            <v>29700</v>
          </cell>
          <cell r="AQ28">
            <v>31320</v>
          </cell>
          <cell r="AR28">
            <v>31320</v>
          </cell>
          <cell r="AT28" t="str">
            <v>OPP-631303 - Identified - New - MR</v>
          </cell>
          <cell r="AU28">
            <v>104073.75</v>
          </cell>
          <cell r="AV28">
            <v>104073.75</v>
          </cell>
          <cell r="AW28">
            <v>0</v>
          </cell>
          <cell r="AX28">
            <v>0</v>
          </cell>
          <cell r="AZ28">
            <v>71</v>
          </cell>
          <cell r="BA28">
            <v>294</v>
          </cell>
          <cell r="BB28">
            <v>79</v>
          </cell>
        </row>
        <row r="29">
          <cell r="B29" t="str">
            <v>OPP-631280</v>
          </cell>
          <cell r="C29" t="str">
            <v>MAINTENANCE REPAIR AND OPERATIONS PRIME VENDOR FOR THE US NORTHWEST REGION</v>
          </cell>
          <cell r="D29" t="str">
            <v>MR</v>
          </cell>
          <cell r="E29" t="str">
            <v>MR Logistics &amp; Supply</v>
          </cell>
          <cell r="F29" t="str">
            <v>DLA</v>
          </cell>
          <cell r="G29" t="str">
            <v>DLA</v>
          </cell>
          <cell r="H29">
            <v>43915</v>
          </cell>
          <cell r="I29">
            <v>43922</v>
          </cell>
          <cell r="J29">
            <v>45748</v>
          </cell>
          <cell r="K29" t="str">
            <v>Prime</v>
          </cell>
          <cell r="L29" t="str">
            <v>Fixed Price</v>
          </cell>
          <cell r="M29" t="str">
            <v>Fixed Price</v>
          </cell>
          <cell r="N29" t="str">
            <v>Identified - New</v>
          </cell>
          <cell r="O29" t="str">
            <v>01 Prospect</v>
          </cell>
          <cell r="P29" t="str">
            <v>Priority 2</v>
          </cell>
          <cell r="Q29">
            <v>0.15</v>
          </cell>
          <cell r="R29">
            <v>47000000</v>
          </cell>
          <cell r="S29">
            <v>0.16</v>
          </cell>
          <cell r="T29">
            <v>0.17</v>
          </cell>
          <cell r="U29">
            <v>0.17</v>
          </cell>
          <cell r="V29">
            <v>0.17499999999999999</v>
          </cell>
          <cell r="W29">
            <v>0.18</v>
          </cell>
          <cell r="X29">
            <v>0.05</v>
          </cell>
          <cell r="Y29">
            <v>5.2499999999999998E-2</v>
          </cell>
          <cell r="Z29">
            <v>5.5E-2</v>
          </cell>
          <cell r="AA29">
            <v>5.8000000000000003E-2</v>
          </cell>
          <cell r="AB29">
            <v>5.8000000000000003E-2</v>
          </cell>
          <cell r="AC29">
            <v>9400000</v>
          </cell>
          <cell r="AD29">
            <v>0</v>
          </cell>
          <cell r="AE29">
            <v>701083.33333333337</v>
          </cell>
          <cell r="AF29">
            <v>1410000</v>
          </cell>
          <cell r="AG29">
            <v>1410000</v>
          </cell>
          <cell r="AH29">
            <v>1410000</v>
          </cell>
          <cell r="AI29">
            <v>0</v>
          </cell>
          <cell r="AJ29">
            <v>119184.16666666669</v>
          </cell>
          <cell r="AK29">
            <v>239700.00000000003</v>
          </cell>
          <cell r="AL29">
            <v>246749.99999999997</v>
          </cell>
          <cell r="AM29">
            <v>253800</v>
          </cell>
          <cell r="AN29">
            <v>0</v>
          </cell>
          <cell r="AO29">
            <v>36806.875</v>
          </cell>
          <cell r="AP29">
            <v>77550</v>
          </cell>
          <cell r="AQ29">
            <v>81780</v>
          </cell>
          <cell r="AR29">
            <v>81780</v>
          </cell>
          <cell r="AT29" t="str">
            <v>OPP-631280 - Identified - New - MR</v>
          </cell>
          <cell r="AU29">
            <v>277916.875</v>
          </cell>
          <cell r="AV29">
            <v>277916.875</v>
          </cell>
          <cell r="AW29">
            <v>0</v>
          </cell>
          <cell r="AX29">
            <v>0</v>
          </cell>
          <cell r="AZ29">
            <v>51</v>
          </cell>
          <cell r="BA29">
            <v>295</v>
          </cell>
          <cell r="BB29">
            <v>80</v>
          </cell>
        </row>
        <row r="30">
          <cell r="B30" t="str">
            <v>OPP-631302</v>
          </cell>
          <cell r="C30" t="str">
            <v>MAINTENANCE REPAIR AND OPERATIONS PRIME VENDOR FOR THE US NORTH CENTRAL REGION</v>
          </cell>
          <cell r="D30" t="str">
            <v>MR</v>
          </cell>
          <cell r="E30" t="str">
            <v>MR Logistics &amp; Supply</v>
          </cell>
          <cell r="F30" t="str">
            <v>DLA</v>
          </cell>
          <cell r="G30" t="str">
            <v>DLA</v>
          </cell>
          <cell r="H30">
            <v>43921</v>
          </cell>
          <cell r="I30">
            <v>43980</v>
          </cell>
          <cell r="J30">
            <v>45806</v>
          </cell>
          <cell r="K30" t="str">
            <v>Prime</v>
          </cell>
          <cell r="L30" t="str">
            <v>Fixed Price</v>
          </cell>
          <cell r="M30" t="str">
            <v>Fixed Price</v>
          </cell>
          <cell r="N30" t="str">
            <v>Identified - New</v>
          </cell>
          <cell r="O30" t="str">
            <v>01 Prospect</v>
          </cell>
          <cell r="P30" t="str">
            <v>Priority 2</v>
          </cell>
          <cell r="Q30">
            <v>0.15</v>
          </cell>
          <cell r="R30">
            <v>27000000</v>
          </cell>
          <cell r="S30">
            <v>0.16</v>
          </cell>
          <cell r="T30">
            <v>0.17</v>
          </cell>
          <cell r="U30">
            <v>0.17</v>
          </cell>
          <cell r="V30">
            <v>0.17499999999999999</v>
          </cell>
          <cell r="W30">
            <v>0.18</v>
          </cell>
          <cell r="X30">
            <v>0.05</v>
          </cell>
          <cell r="Y30">
            <v>5.2499999999999998E-2</v>
          </cell>
          <cell r="Z30">
            <v>5.5E-2</v>
          </cell>
          <cell r="AA30">
            <v>5.8000000000000003E-2</v>
          </cell>
          <cell r="AB30">
            <v>5.8000000000000003E-2</v>
          </cell>
          <cell r="AC30">
            <v>5400000</v>
          </cell>
          <cell r="AD30">
            <v>0</v>
          </cell>
          <cell r="AE30">
            <v>272250</v>
          </cell>
          <cell r="AF30">
            <v>810000</v>
          </cell>
          <cell r="AG30">
            <v>810000</v>
          </cell>
          <cell r="AH30">
            <v>810000</v>
          </cell>
          <cell r="AI30">
            <v>0</v>
          </cell>
          <cell r="AJ30">
            <v>46282.5</v>
          </cell>
          <cell r="AK30">
            <v>137700</v>
          </cell>
          <cell r="AL30">
            <v>141750</v>
          </cell>
          <cell r="AM30">
            <v>145800</v>
          </cell>
          <cell r="AN30">
            <v>0</v>
          </cell>
          <cell r="AO30">
            <v>14293.125</v>
          </cell>
          <cell r="AP30">
            <v>44550</v>
          </cell>
          <cell r="AQ30">
            <v>46980</v>
          </cell>
          <cell r="AR30">
            <v>46980</v>
          </cell>
          <cell r="AT30" t="str">
            <v>OPP-631302 - Identified - New - MR</v>
          </cell>
          <cell r="AU30">
            <v>152803.125</v>
          </cell>
          <cell r="AV30">
            <v>152803.125</v>
          </cell>
          <cell r="AW30">
            <v>0</v>
          </cell>
          <cell r="AX30">
            <v>0</v>
          </cell>
          <cell r="AZ30">
            <v>62</v>
          </cell>
          <cell r="BA30">
            <v>296</v>
          </cell>
          <cell r="BB30">
            <v>81</v>
          </cell>
        </row>
        <row r="31">
          <cell r="B31" t="str">
            <v>OPP-926408</v>
          </cell>
          <cell r="C31" t="str">
            <v>Expeditionary Contingency Medical Material (ECMM)</v>
          </cell>
          <cell r="D31" t="str">
            <v>MR</v>
          </cell>
          <cell r="E31" t="str">
            <v>MR Logistics &amp; Supply</v>
          </cell>
          <cell r="F31" t="str">
            <v>Air Force</v>
          </cell>
          <cell r="G31" t="str">
            <v>DOD</v>
          </cell>
          <cell r="H31">
            <v>43798</v>
          </cell>
          <cell r="I31">
            <v>43799</v>
          </cell>
          <cell r="J31">
            <v>45807</v>
          </cell>
          <cell r="K31" t="str">
            <v>Sub</v>
          </cell>
          <cell r="L31" t="str">
            <v>Fixed Price</v>
          </cell>
          <cell r="M31" t="str">
            <v>Fixed Price</v>
          </cell>
          <cell r="N31" t="str">
            <v>Identified - New</v>
          </cell>
          <cell r="O31" t="str">
            <v>04 Submitted</v>
          </cell>
          <cell r="P31" t="str">
            <v>Priority 2</v>
          </cell>
          <cell r="Q31">
            <v>0.25</v>
          </cell>
          <cell r="R31">
            <v>19030000</v>
          </cell>
          <cell r="S31">
            <v>0.16</v>
          </cell>
          <cell r="T31">
            <v>0.17</v>
          </cell>
          <cell r="U31">
            <v>0.17</v>
          </cell>
          <cell r="V31">
            <v>0.17499999999999999</v>
          </cell>
          <cell r="W31">
            <v>0.18</v>
          </cell>
          <cell r="X31">
            <v>0.05</v>
          </cell>
          <cell r="Y31">
            <v>5.2499999999999998E-2</v>
          </cell>
          <cell r="Z31">
            <v>5.5E-2</v>
          </cell>
          <cell r="AA31">
            <v>5.8000000000000003E-2</v>
          </cell>
          <cell r="AB31">
            <v>5.8000000000000003E-2</v>
          </cell>
          <cell r="AC31">
            <v>3460000</v>
          </cell>
          <cell r="AD31">
            <v>0</v>
          </cell>
          <cell r="AE31">
            <v>720833.33333333337</v>
          </cell>
          <cell r="AF31">
            <v>865000</v>
          </cell>
          <cell r="AG31">
            <v>865000</v>
          </cell>
          <cell r="AH31">
            <v>865000</v>
          </cell>
          <cell r="AI31">
            <v>0</v>
          </cell>
          <cell r="AJ31">
            <v>122541.66666666669</v>
          </cell>
          <cell r="AK31">
            <v>147050</v>
          </cell>
          <cell r="AL31">
            <v>151375</v>
          </cell>
          <cell r="AM31">
            <v>155700</v>
          </cell>
          <cell r="AN31">
            <v>0</v>
          </cell>
          <cell r="AO31">
            <v>37843.75</v>
          </cell>
          <cell r="AP31">
            <v>47575</v>
          </cell>
          <cell r="AQ31">
            <v>50170</v>
          </cell>
          <cell r="AR31">
            <v>50170</v>
          </cell>
          <cell r="AT31" t="str">
            <v>OPP-926408 - Identified - New - MR</v>
          </cell>
          <cell r="AU31">
            <v>185758.75</v>
          </cell>
          <cell r="AV31">
            <v>185758.75</v>
          </cell>
          <cell r="AW31">
            <v>0</v>
          </cell>
          <cell r="AX31">
            <v>0</v>
          </cell>
          <cell r="AZ31">
            <v>57</v>
          </cell>
          <cell r="BA31">
            <v>297</v>
          </cell>
          <cell r="BB31">
            <v>82</v>
          </cell>
        </row>
        <row r="32">
          <cell r="B32" t="str">
            <v>OPP-898906</v>
          </cell>
          <cell r="C32" t="str">
            <v>AFCAP IV TO 19-R-1006: Niger Mission Support Services - MS</v>
          </cell>
          <cell r="D32" t="str">
            <v>MR</v>
          </cell>
          <cell r="E32" t="str">
            <v>MR Logistics &amp; Supply</v>
          </cell>
          <cell r="F32" t="str">
            <v>Air Force</v>
          </cell>
          <cell r="G32" t="str">
            <v>DOD</v>
          </cell>
          <cell r="H32">
            <v>43721</v>
          </cell>
          <cell r="I32">
            <v>43721</v>
          </cell>
          <cell r="J32">
            <v>44633</v>
          </cell>
          <cell r="K32" t="str">
            <v>Prime</v>
          </cell>
          <cell r="L32" t="str">
            <v>Fixed Price</v>
          </cell>
          <cell r="M32" t="str">
            <v>Fixed Price</v>
          </cell>
          <cell r="N32" t="str">
            <v>Identified - New</v>
          </cell>
          <cell r="O32" t="str">
            <v>03 Proposal</v>
          </cell>
          <cell r="P32" t="str">
            <v>Priority 2</v>
          </cell>
          <cell r="Q32">
            <v>0.15</v>
          </cell>
          <cell r="R32">
            <v>12500000</v>
          </cell>
          <cell r="S32">
            <v>0.16</v>
          </cell>
          <cell r="T32">
            <v>0.17</v>
          </cell>
          <cell r="U32">
            <v>0.17</v>
          </cell>
          <cell r="V32">
            <v>0.17499999999999999</v>
          </cell>
          <cell r="W32">
            <v>0.18</v>
          </cell>
          <cell r="X32">
            <v>0.05</v>
          </cell>
          <cell r="Y32">
            <v>5.2499999999999998E-2</v>
          </cell>
          <cell r="Z32">
            <v>5.5E-2</v>
          </cell>
          <cell r="AA32">
            <v>5.8000000000000003E-2</v>
          </cell>
          <cell r="AB32">
            <v>5.8000000000000003E-2</v>
          </cell>
          <cell r="AC32">
            <v>5000000</v>
          </cell>
          <cell r="AD32">
            <v>0</v>
          </cell>
          <cell r="AE32">
            <v>750000</v>
          </cell>
          <cell r="AF32">
            <v>750000</v>
          </cell>
          <cell r="AG32">
            <v>375000</v>
          </cell>
          <cell r="AH32">
            <v>0</v>
          </cell>
          <cell r="AI32">
            <v>0</v>
          </cell>
          <cell r="AJ32">
            <v>127500.00000000001</v>
          </cell>
          <cell r="AK32">
            <v>127500.00000000001</v>
          </cell>
          <cell r="AL32">
            <v>65625</v>
          </cell>
          <cell r="AM32">
            <v>0</v>
          </cell>
          <cell r="AN32">
            <v>0</v>
          </cell>
          <cell r="AO32">
            <v>39375</v>
          </cell>
          <cell r="AP32">
            <v>41250</v>
          </cell>
          <cell r="AQ32">
            <v>21750</v>
          </cell>
          <cell r="AR32">
            <v>0</v>
          </cell>
          <cell r="AT32" t="str">
            <v>OPP-898906 - Identified - New - MR</v>
          </cell>
          <cell r="AU32">
            <v>102375</v>
          </cell>
          <cell r="AV32">
            <v>102375</v>
          </cell>
          <cell r="AW32">
            <v>0</v>
          </cell>
          <cell r="AX32">
            <v>0</v>
          </cell>
          <cell r="AZ32">
            <v>73</v>
          </cell>
          <cell r="BA32">
            <v>298</v>
          </cell>
          <cell r="BB32">
            <v>83</v>
          </cell>
        </row>
        <row r="33">
          <cell r="B33" t="str">
            <v>OPP-412757</v>
          </cell>
          <cell r="C33" t="str">
            <v>Logistics Civil Augmentation Program V (LOGCAP V) (Cross-Group Opportunity)</v>
          </cell>
          <cell r="D33" t="str">
            <v>MR</v>
          </cell>
          <cell r="E33" t="str">
            <v>MR Logistics &amp; Supply</v>
          </cell>
          <cell r="F33" t="str">
            <v>Army</v>
          </cell>
          <cell r="G33" t="str">
            <v>DOD</v>
          </cell>
          <cell r="H33">
            <v>43678</v>
          </cell>
          <cell r="I33">
            <v>43798</v>
          </cell>
          <cell r="J33">
            <v>47451</v>
          </cell>
          <cell r="K33" t="str">
            <v>Prime</v>
          </cell>
          <cell r="L33" t="str">
            <v>Fixed Price - Negotiated</v>
          </cell>
          <cell r="M33" t="str">
            <v>Fixed Price</v>
          </cell>
          <cell r="N33" t="str">
            <v>Identified - New</v>
          </cell>
          <cell r="O33" t="str">
            <v>04 Submitted</v>
          </cell>
          <cell r="P33" t="str">
            <v>Priority 1</v>
          </cell>
          <cell r="Q33">
            <v>0.35</v>
          </cell>
          <cell r="R33">
            <v>3000000</v>
          </cell>
          <cell r="S33">
            <v>0.16</v>
          </cell>
          <cell r="T33">
            <v>0.17</v>
          </cell>
          <cell r="U33">
            <v>0.17</v>
          </cell>
          <cell r="V33">
            <v>0.17499999999999999</v>
          </cell>
          <cell r="W33">
            <v>0.18</v>
          </cell>
          <cell r="X33">
            <v>0.05</v>
          </cell>
          <cell r="Y33">
            <v>5.2499999999999998E-2</v>
          </cell>
          <cell r="Z33">
            <v>5.5E-2</v>
          </cell>
          <cell r="AA33">
            <v>5.8000000000000003E-2</v>
          </cell>
          <cell r="AB33">
            <v>5.8000000000000003E-2</v>
          </cell>
          <cell r="AC33">
            <v>300000</v>
          </cell>
          <cell r="AD33">
            <v>0</v>
          </cell>
          <cell r="AE33">
            <v>87791.666666666672</v>
          </cell>
          <cell r="AF33">
            <v>105000</v>
          </cell>
          <cell r="AG33">
            <v>105000</v>
          </cell>
          <cell r="AH33">
            <v>105000</v>
          </cell>
          <cell r="AI33">
            <v>0</v>
          </cell>
          <cell r="AJ33">
            <v>14924.583333333336</v>
          </cell>
          <cell r="AK33">
            <v>17850</v>
          </cell>
          <cell r="AL33">
            <v>18375</v>
          </cell>
          <cell r="AM33">
            <v>18900</v>
          </cell>
          <cell r="AN33">
            <v>0</v>
          </cell>
          <cell r="AO33">
            <v>4609.0625</v>
          </cell>
          <cell r="AP33">
            <v>5775</v>
          </cell>
          <cell r="AQ33">
            <v>6090</v>
          </cell>
          <cell r="AR33">
            <v>6090</v>
          </cell>
          <cell r="AT33" t="str">
            <v>OPP-412757 - Identified - New - MR</v>
          </cell>
          <cell r="AU33">
            <v>22564.0625</v>
          </cell>
          <cell r="AV33">
            <v>22564.0625</v>
          </cell>
          <cell r="AW33">
            <v>0</v>
          </cell>
          <cell r="AX33">
            <v>0</v>
          </cell>
          <cell r="AZ33">
            <v>91</v>
          </cell>
          <cell r="BA33">
            <v>299</v>
          </cell>
          <cell r="BB33">
            <v>84</v>
          </cell>
        </row>
        <row r="34">
          <cell r="B34" t="str">
            <v>OPP-934563</v>
          </cell>
          <cell r="C34" t="str">
            <v>TORP-0015 (GNS Kazakhstan Nuclear Security Enhancements (KNSE))</v>
          </cell>
          <cell r="D34" t="str">
            <v>MR</v>
          </cell>
          <cell r="E34" t="str">
            <v>MR Non-Proliferation and Security Services</v>
          </cell>
          <cell r="F34" t="str">
            <v>Other DOD</v>
          </cell>
          <cell r="G34" t="str">
            <v>DOD</v>
          </cell>
          <cell r="H34">
            <v>43707</v>
          </cell>
          <cell r="I34">
            <v>43723</v>
          </cell>
          <cell r="J34">
            <v>45184</v>
          </cell>
          <cell r="K34" t="str">
            <v>Prime</v>
          </cell>
          <cell r="L34" t="str">
            <v>Cost Plus Fixed Fee</v>
          </cell>
          <cell r="M34" t="str">
            <v>Cost Reimbursable</v>
          </cell>
          <cell r="N34" t="str">
            <v>Identified - New</v>
          </cell>
          <cell r="O34" t="str">
            <v>03 Proposal</v>
          </cell>
          <cell r="P34" t="str">
            <v>Priority 3</v>
          </cell>
          <cell r="Q34">
            <v>0.5</v>
          </cell>
          <cell r="R34">
            <v>25000000</v>
          </cell>
          <cell r="S34">
            <v>0.16</v>
          </cell>
          <cell r="T34">
            <v>0.16400000000000001</v>
          </cell>
          <cell r="U34">
            <v>0.16600000000000001</v>
          </cell>
          <cell r="V34">
            <v>0.16800000000000001</v>
          </cell>
          <cell r="W34">
            <v>0.17</v>
          </cell>
          <cell r="X34">
            <v>0.05</v>
          </cell>
          <cell r="Y34">
            <v>5.1999999999999998E-2</v>
          </cell>
          <cell r="Z34">
            <v>5.3999999999999999E-2</v>
          </cell>
          <cell r="AA34">
            <v>5.6000000000000001E-2</v>
          </cell>
          <cell r="AB34">
            <v>5.6000000000000001E-2</v>
          </cell>
          <cell r="AC34">
            <v>6250000</v>
          </cell>
          <cell r="AD34">
            <v>0</v>
          </cell>
          <cell r="AE34">
            <v>3125000</v>
          </cell>
          <cell r="AF34">
            <v>3125000</v>
          </cell>
          <cell r="AG34">
            <v>3125000</v>
          </cell>
          <cell r="AH34">
            <v>3125000</v>
          </cell>
          <cell r="AI34">
            <v>0</v>
          </cell>
          <cell r="AJ34">
            <v>512500</v>
          </cell>
          <cell r="AK34">
            <v>518750</v>
          </cell>
          <cell r="AL34">
            <v>525000</v>
          </cell>
          <cell r="AM34">
            <v>531250</v>
          </cell>
          <cell r="AN34">
            <v>0</v>
          </cell>
          <cell r="AO34">
            <v>162500</v>
          </cell>
          <cell r="AP34">
            <v>168750</v>
          </cell>
          <cell r="AQ34">
            <v>175000</v>
          </cell>
          <cell r="AR34">
            <v>175000</v>
          </cell>
          <cell r="AT34" t="str">
            <v>OPP-934563 - Identified - New - MR</v>
          </cell>
          <cell r="AU34">
            <v>681250</v>
          </cell>
          <cell r="AV34">
            <v>681250</v>
          </cell>
          <cell r="AW34">
            <v>0</v>
          </cell>
          <cell r="AX34">
            <v>0</v>
          </cell>
          <cell r="AZ34">
            <v>28</v>
          </cell>
          <cell r="BA34">
            <v>300</v>
          </cell>
          <cell r="BB34">
            <v>85</v>
          </cell>
        </row>
        <row r="35">
          <cell r="B35" t="str">
            <v>OPP-934562</v>
          </cell>
          <cell r="C35" t="str">
            <v>WMDPPP Levant - Iraq/Jordan (TORP-0012)</v>
          </cell>
          <cell r="D35" t="str">
            <v>MR</v>
          </cell>
          <cell r="E35" t="str">
            <v>MR Non-Proliferation and Security Services</v>
          </cell>
          <cell r="F35" t="str">
            <v>Other DOD</v>
          </cell>
          <cell r="G35" t="str">
            <v>DOD</v>
          </cell>
          <cell r="H35">
            <v>43724</v>
          </cell>
          <cell r="I35">
            <v>43725</v>
          </cell>
          <cell r="J35">
            <v>45186</v>
          </cell>
          <cell r="K35" t="str">
            <v>Prime</v>
          </cell>
          <cell r="L35" t="str">
            <v>Cost Plus Fixed Fee</v>
          </cell>
          <cell r="M35" t="str">
            <v>Cost Reimbursable</v>
          </cell>
          <cell r="N35" t="str">
            <v>Identified - New</v>
          </cell>
          <cell r="O35" t="str">
            <v>03 Proposal</v>
          </cell>
          <cell r="P35" t="str">
            <v>Priority 3</v>
          </cell>
          <cell r="Q35">
            <v>0.15</v>
          </cell>
          <cell r="R35">
            <v>25000000</v>
          </cell>
          <cell r="S35">
            <v>0.16</v>
          </cell>
          <cell r="T35">
            <v>0.16400000000000001</v>
          </cell>
          <cell r="U35">
            <v>0.16600000000000001</v>
          </cell>
          <cell r="V35">
            <v>0.16800000000000001</v>
          </cell>
          <cell r="W35">
            <v>0.17</v>
          </cell>
          <cell r="X35">
            <v>0.05</v>
          </cell>
          <cell r="Y35">
            <v>5.1999999999999998E-2</v>
          </cell>
          <cell r="Z35">
            <v>5.3999999999999999E-2</v>
          </cell>
          <cell r="AA35">
            <v>5.6000000000000001E-2</v>
          </cell>
          <cell r="AB35">
            <v>5.6000000000000001E-2</v>
          </cell>
          <cell r="AC35">
            <v>6250000</v>
          </cell>
          <cell r="AD35">
            <v>0</v>
          </cell>
          <cell r="AE35">
            <v>937500</v>
          </cell>
          <cell r="AF35">
            <v>937500</v>
          </cell>
          <cell r="AG35">
            <v>937500</v>
          </cell>
          <cell r="AH35">
            <v>937500</v>
          </cell>
          <cell r="AI35">
            <v>0</v>
          </cell>
          <cell r="AJ35">
            <v>153750</v>
          </cell>
          <cell r="AK35">
            <v>155625</v>
          </cell>
          <cell r="AL35">
            <v>157500</v>
          </cell>
          <cell r="AM35">
            <v>159375</v>
          </cell>
          <cell r="AN35">
            <v>0</v>
          </cell>
          <cell r="AO35">
            <v>48750</v>
          </cell>
          <cell r="AP35">
            <v>50625</v>
          </cell>
          <cell r="AQ35">
            <v>52500</v>
          </cell>
          <cell r="AR35">
            <v>52500</v>
          </cell>
          <cell r="AT35" t="str">
            <v>OPP-934562 - Identified - New - MR</v>
          </cell>
          <cell r="AU35">
            <v>204375</v>
          </cell>
          <cell r="AV35">
            <v>204375</v>
          </cell>
          <cell r="AW35">
            <v>0</v>
          </cell>
          <cell r="AX35">
            <v>0</v>
          </cell>
          <cell r="AZ35">
            <v>56</v>
          </cell>
          <cell r="BA35">
            <v>301</v>
          </cell>
          <cell r="BB35">
            <v>86</v>
          </cell>
        </row>
        <row r="36">
          <cell r="B36" t="str">
            <v>OPP-800430</v>
          </cell>
          <cell r="C36" t="str">
            <v>CTRIC III GNS Ukraine Nuclear Readiness Task Order (TORP 11)</v>
          </cell>
          <cell r="D36" t="str">
            <v>MR</v>
          </cell>
          <cell r="E36" t="str">
            <v>MR Non-Proliferation and Security Services</v>
          </cell>
          <cell r="F36" t="str">
            <v>Other DOD</v>
          </cell>
          <cell r="G36" t="str">
            <v>DOD</v>
          </cell>
          <cell r="H36">
            <v>43738</v>
          </cell>
          <cell r="I36">
            <v>43739</v>
          </cell>
          <cell r="J36">
            <v>44835</v>
          </cell>
          <cell r="K36" t="str">
            <v>Prime</v>
          </cell>
          <cell r="L36" t="str">
            <v>Cost Plus Fixed Fee</v>
          </cell>
          <cell r="M36" t="str">
            <v>Cost Reimbursable</v>
          </cell>
          <cell r="N36" t="str">
            <v>Identified - New</v>
          </cell>
          <cell r="O36" t="str">
            <v>04 Submitted</v>
          </cell>
          <cell r="P36" t="str">
            <v>Priority 3</v>
          </cell>
          <cell r="Q36">
            <v>0.35</v>
          </cell>
          <cell r="R36">
            <v>25000000</v>
          </cell>
          <cell r="S36">
            <v>0.16</v>
          </cell>
          <cell r="T36">
            <v>0.16400000000000001</v>
          </cell>
          <cell r="U36">
            <v>0.16600000000000001</v>
          </cell>
          <cell r="V36">
            <v>0.16800000000000001</v>
          </cell>
          <cell r="W36">
            <v>0.17</v>
          </cell>
          <cell r="X36">
            <v>0.05</v>
          </cell>
          <cell r="Y36">
            <v>5.1999999999999998E-2</v>
          </cell>
          <cell r="Z36">
            <v>5.3999999999999999E-2</v>
          </cell>
          <cell r="AA36">
            <v>5.6000000000000001E-2</v>
          </cell>
          <cell r="AB36">
            <v>5.6000000000000001E-2</v>
          </cell>
          <cell r="AC36">
            <v>8333333.333333333</v>
          </cell>
          <cell r="AD36">
            <v>0</v>
          </cell>
          <cell r="AE36">
            <v>2908564.8148148144</v>
          </cell>
          <cell r="AF36">
            <v>2916666.6666666665</v>
          </cell>
          <cell r="AG36">
            <v>2916666.6666666665</v>
          </cell>
          <cell r="AH36">
            <v>8101.8518518526107</v>
          </cell>
          <cell r="AI36">
            <v>0</v>
          </cell>
          <cell r="AJ36">
            <v>477004.62962962955</v>
          </cell>
          <cell r="AK36">
            <v>484166.66666666669</v>
          </cell>
          <cell r="AL36">
            <v>490000</v>
          </cell>
          <cell r="AM36">
            <v>1377.3148148149439</v>
          </cell>
          <cell r="AN36">
            <v>0</v>
          </cell>
          <cell r="AO36">
            <v>151245.37037037034</v>
          </cell>
          <cell r="AP36">
            <v>157500</v>
          </cell>
          <cell r="AQ36">
            <v>163333.33333333331</v>
          </cell>
          <cell r="AR36">
            <v>453.70370370374621</v>
          </cell>
          <cell r="AT36" t="str">
            <v>OPP-800430 - Identified - New - MR</v>
          </cell>
          <cell r="AU36">
            <v>472532.40740740742</v>
          </cell>
          <cell r="AV36">
            <v>472532.40740740742</v>
          </cell>
          <cell r="AW36">
            <v>0</v>
          </cell>
          <cell r="AX36">
            <v>0</v>
          </cell>
          <cell r="AZ36">
            <v>37</v>
          </cell>
          <cell r="BA36">
            <v>302</v>
          </cell>
          <cell r="BB36">
            <v>87</v>
          </cell>
        </row>
        <row r="37">
          <cell r="B37" t="str">
            <v>OPP-800436</v>
          </cell>
          <cell r="C37" t="str">
            <v>Contingency TORP-X (Classified)</v>
          </cell>
          <cell r="D37" t="str">
            <v>MR</v>
          </cell>
          <cell r="E37" t="str">
            <v>MR Non-Proliferation and Security Services</v>
          </cell>
          <cell r="F37" t="str">
            <v>Other DOD</v>
          </cell>
          <cell r="G37" t="str">
            <v>DOD</v>
          </cell>
          <cell r="H37">
            <v>43875</v>
          </cell>
          <cell r="I37">
            <v>43878</v>
          </cell>
          <cell r="J37">
            <v>44974</v>
          </cell>
          <cell r="K37" t="str">
            <v>Prime</v>
          </cell>
          <cell r="L37" t="str">
            <v>Cost Plus Fixed Fee</v>
          </cell>
          <cell r="M37" t="str">
            <v>Cost Reimbursable</v>
          </cell>
          <cell r="N37" t="str">
            <v>Identified - New</v>
          </cell>
          <cell r="O37" t="str">
            <v>01 Prospect</v>
          </cell>
          <cell r="P37" t="str">
            <v>Priority 3</v>
          </cell>
          <cell r="Q37">
            <v>0.35</v>
          </cell>
          <cell r="R37">
            <v>25000000</v>
          </cell>
          <cell r="S37">
            <v>0.16</v>
          </cell>
          <cell r="T37">
            <v>0.16400000000000001</v>
          </cell>
          <cell r="U37">
            <v>0.16600000000000001</v>
          </cell>
          <cell r="V37">
            <v>0.16800000000000001</v>
          </cell>
          <cell r="W37">
            <v>0.17</v>
          </cell>
          <cell r="X37">
            <v>0.05</v>
          </cell>
          <cell r="Y37">
            <v>5.1999999999999998E-2</v>
          </cell>
          <cell r="Z37">
            <v>5.3999999999999999E-2</v>
          </cell>
          <cell r="AA37">
            <v>5.6000000000000001E-2</v>
          </cell>
          <cell r="AB37">
            <v>5.6000000000000001E-2</v>
          </cell>
          <cell r="AC37">
            <v>8333333.333333333</v>
          </cell>
          <cell r="AD37">
            <v>0</v>
          </cell>
          <cell r="AE37">
            <v>1806712.9629629629</v>
          </cell>
          <cell r="AF37">
            <v>2916666.6666666665</v>
          </cell>
          <cell r="AG37">
            <v>2916666.6666666665</v>
          </cell>
          <cell r="AH37">
            <v>1109953.7037037034</v>
          </cell>
          <cell r="AI37">
            <v>0</v>
          </cell>
          <cell r="AJ37">
            <v>296300.92592592596</v>
          </cell>
          <cell r="AK37">
            <v>484166.66666666669</v>
          </cell>
          <cell r="AL37">
            <v>490000</v>
          </cell>
          <cell r="AM37">
            <v>188692.12962962958</v>
          </cell>
          <cell r="AN37">
            <v>0</v>
          </cell>
          <cell r="AO37">
            <v>93949.074074074073</v>
          </cell>
          <cell r="AP37">
            <v>157500</v>
          </cell>
          <cell r="AQ37">
            <v>163333.33333333331</v>
          </cell>
          <cell r="AR37">
            <v>62157.407407407387</v>
          </cell>
          <cell r="AT37" t="str">
            <v>OPP-800436 - Identified - New - MR</v>
          </cell>
          <cell r="AU37">
            <v>476939.81481481483</v>
          </cell>
          <cell r="AV37">
            <v>476939.81481481483</v>
          </cell>
          <cell r="AW37">
            <v>0</v>
          </cell>
          <cell r="AX37">
            <v>0</v>
          </cell>
          <cell r="AZ37">
            <v>36</v>
          </cell>
          <cell r="BA37">
            <v>303</v>
          </cell>
          <cell r="BB37">
            <v>88</v>
          </cell>
        </row>
        <row r="38">
          <cell r="B38" t="str">
            <v>OPP-558456</v>
          </cell>
          <cell r="C38" t="str">
            <v>BG Rocket Motor destruction</v>
          </cell>
          <cell r="D38" t="str">
            <v>MR</v>
          </cell>
          <cell r="E38" t="str">
            <v>MR Non-Proliferation and Security Services</v>
          </cell>
          <cell r="F38" t="str">
            <v>Army</v>
          </cell>
          <cell r="G38" t="str">
            <v>DOD</v>
          </cell>
          <cell r="H38">
            <v>44926</v>
          </cell>
          <cell r="I38">
            <v>44927</v>
          </cell>
          <cell r="J38">
            <v>46508</v>
          </cell>
          <cell r="K38" t="str">
            <v>Prime</v>
          </cell>
          <cell r="L38" t="str">
            <v>Cost Plus Award Fee</v>
          </cell>
          <cell r="M38" t="str">
            <v>Cost Reimbursable</v>
          </cell>
          <cell r="N38" t="str">
            <v>Identified - New</v>
          </cell>
          <cell r="O38" t="str">
            <v>04 Submitted</v>
          </cell>
          <cell r="P38" t="str">
            <v>Priority 3</v>
          </cell>
          <cell r="Q38">
            <v>0.6</v>
          </cell>
          <cell r="R38">
            <v>21000000</v>
          </cell>
          <cell r="S38">
            <v>0.185</v>
          </cell>
          <cell r="T38">
            <v>0.185</v>
          </cell>
          <cell r="U38">
            <v>0.185</v>
          </cell>
          <cell r="V38">
            <v>0.185</v>
          </cell>
          <cell r="W38">
            <v>0.185</v>
          </cell>
          <cell r="X38">
            <v>0.08</v>
          </cell>
          <cell r="Y38">
            <v>0.08</v>
          </cell>
          <cell r="Z38">
            <v>5.3999999999999999E-2</v>
          </cell>
          <cell r="AA38">
            <v>0.08</v>
          </cell>
          <cell r="AB38">
            <v>0.08</v>
          </cell>
          <cell r="AC38">
            <v>4846153.8461538469</v>
          </cell>
          <cell r="AD38">
            <v>0</v>
          </cell>
          <cell r="AE38">
            <v>0</v>
          </cell>
          <cell r="AF38">
            <v>0</v>
          </cell>
          <cell r="AG38">
            <v>0</v>
          </cell>
          <cell r="AH38">
            <v>2172692.307692308</v>
          </cell>
          <cell r="AI38">
            <v>0</v>
          </cell>
          <cell r="AJ38">
            <v>0</v>
          </cell>
          <cell r="AK38">
            <v>0</v>
          </cell>
          <cell r="AL38">
            <v>0</v>
          </cell>
          <cell r="AM38">
            <v>401948.07692307699</v>
          </cell>
          <cell r="AN38">
            <v>0</v>
          </cell>
          <cell r="AO38">
            <v>0</v>
          </cell>
          <cell r="AP38">
            <v>0</v>
          </cell>
          <cell r="AQ38">
            <v>0</v>
          </cell>
          <cell r="AR38">
            <v>173815.38461538465</v>
          </cell>
          <cell r="AT38" t="str">
            <v>OPP-558456 - Identified - New - MR</v>
          </cell>
          <cell r="AU38">
            <v>173815.38461538465</v>
          </cell>
          <cell r="AV38">
            <v>173815.38461538465</v>
          </cell>
          <cell r="AW38">
            <v>0</v>
          </cell>
          <cell r="AX38">
            <v>0</v>
          </cell>
          <cell r="AZ38">
            <v>61</v>
          </cell>
          <cell r="BA38">
            <v>304</v>
          </cell>
          <cell r="BB38">
            <v>89</v>
          </cell>
        </row>
        <row r="39">
          <cell r="B39" t="str">
            <v>OPP-800438</v>
          </cell>
          <cell r="C39" t="str">
            <v>WMDPPP Lebanon - TORP-0010</v>
          </cell>
          <cell r="D39" t="str">
            <v>MR</v>
          </cell>
          <cell r="E39" t="str">
            <v>MR Non-Proliferation and Security Services</v>
          </cell>
          <cell r="F39" t="str">
            <v>Other DOD</v>
          </cell>
          <cell r="G39" t="str">
            <v>DOD</v>
          </cell>
          <cell r="H39">
            <v>43700</v>
          </cell>
          <cell r="I39">
            <v>43723</v>
          </cell>
          <cell r="J39">
            <v>44819</v>
          </cell>
          <cell r="K39" t="str">
            <v>Prime</v>
          </cell>
          <cell r="L39" t="str">
            <v>Cost Plus Fixed Fee</v>
          </cell>
          <cell r="M39" t="str">
            <v>Cost Reimbursable</v>
          </cell>
          <cell r="N39" t="str">
            <v>Identified - New</v>
          </cell>
          <cell r="O39" t="str">
            <v>03 Proposal</v>
          </cell>
          <cell r="P39" t="str">
            <v>Priority 3</v>
          </cell>
          <cell r="Q39">
            <v>0.35</v>
          </cell>
          <cell r="R39">
            <v>20000000</v>
          </cell>
          <cell r="S39">
            <v>0.16</v>
          </cell>
          <cell r="T39">
            <v>0.16400000000000001</v>
          </cell>
          <cell r="U39">
            <v>0.16600000000000001</v>
          </cell>
          <cell r="V39">
            <v>0.16800000000000001</v>
          </cell>
          <cell r="W39">
            <v>0.17</v>
          </cell>
          <cell r="X39">
            <v>0.05</v>
          </cell>
          <cell r="Y39">
            <v>5.1999999999999998E-2</v>
          </cell>
          <cell r="Z39">
            <v>5.3999999999999999E-2</v>
          </cell>
          <cell r="AA39">
            <v>5.6000000000000001E-2</v>
          </cell>
          <cell r="AB39">
            <v>5.6000000000000001E-2</v>
          </cell>
          <cell r="AC39">
            <v>6666666.666666667</v>
          </cell>
          <cell r="AD39">
            <v>0</v>
          </cell>
          <cell r="AE39">
            <v>2333333.3333333335</v>
          </cell>
          <cell r="AF39">
            <v>2333333.3333333335</v>
          </cell>
          <cell r="AG39">
            <v>2333333.333333333</v>
          </cell>
          <cell r="AH39">
            <v>0</v>
          </cell>
          <cell r="AI39">
            <v>0</v>
          </cell>
          <cell r="AJ39">
            <v>382666.66666666669</v>
          </cell>
          <cell r="AK39">
            <v>387333.33333333337</v>
          </cell>
          <cell r="AL39">
            <v>392000</v>
          </cell>
          <cell r="AM39">
            <v>0</v>
          </cell>
          <cell r="AN39">
            <v>0</v>
          </cell>
          <cell r="AO39">
            <v>121333.33333333334</v>
          </cell>
          <cell r="AP39">
            <v>126000</v>
          </cell>
          <cell r="AQ39">
            <v>130666.66666666666</v>
          </cell>
          <cell r="AR39">
            <v>0</v>
          </cell>
          <cell r="AT39" t="str">
            <v>OPP-800438 - Identified - New - MR</v>
          </cell>
          <cell r="AU39">
            <v>378000</v>
          </cell>
          <cell r="AV39">
            <v>378000</v>
          </cell>
          <cell r="AW39">
            <v>0</v>
          </cell>
          <cell r="AX39">
            <v>0</v>
          </cell>
          <cell r="AZ39">
            <v>41</v>
          </cell>
          <cell r="BA39">
            <v>305</v>
          </cell>
          <cell r="BB39">
            <v>90</v>
          </cell>
        </row>
        <row r="40">
          <cell r="B40" t="str">
            <v>OPP-877585</v>
          </cell>
          <cell r="C40" t="str">
            <v>DHS HERS Laredo</v>
          </cell>
          <cell r="D40" t="str">
            <v>MR</v>
          </cell>
          <cell r="E40" t="str">
            <v>MR Non-Proliferation and Security Services</v>
          </cell>
          <cell r="F40" t="str">
            <v>Homeland Security</v>
          </cell>
          <cell r="G40" t="str">
            <v>DOD</v>
          </cell>
          <cell r="H40">
            <v>43800</v>
          </cell>
          <cell r="I40">
            <v>43801</v>
          </cell>
          <cell r="J40">
            <v>44167</v>
          </cell>
          <cell r="K40" t="str">
            <v>Prime</v>
          </cell>
          <cell r="L40" t="str">
            <v>Cost Plus Fixed Fee</v>
          </cell>
          <cell r="M40" t="str">
            <v>Cost Reimbursable</v>
          </cell>
          <cell r="N40" t="str">
            <v>Identified - New</v>
          </cell>
          <cell r="O40" t="str">
            <v>02 Capture</v>
          </cell>
          <cell r="P40" t="str">
            <v>Priority 3</v>
          </cell>
          <cell r="Q40">
            <v>0.15</v>
          </cell>
          <cell r="R40">
            <v>9000000</v>
          </cell>
          <cell r="S40">
            <v>0.16</v>
          </cell>
          <cell r="T40">
            <v>0.16400000000000001</v>
          </cell>
          <cell r="U40">
            <v>0.16600000000000001</v>
          </cell>
          <cell r="V40">
            <v>0.16800000000000001</v>
          </cell>
          <cell r="W40">
            <v>0.17</v>
          </cell>
          <cell r="X40">
            <v>0.05</v>
          </cell>
          <cell r="Y40">
            <v>5.1999999999999998E-2</v>
          </cell>
          <cell r="Z40">
            <v>5.3999999999999999E-2</v>
          </cell>
          <cell r="AA40">
            <v>5.6000000000000001E-2</v>
          </cell>
          <cell r="AB40">
            <v>5.6000000000000001E-2</v>
          </cell>
          <cell r="AC40">
            <v>9000000</v>
          </cell>
          <cell r="AD40">
            <v>0</v>
          </cell>
          <cell r="AE40">
            <v>1117499.9999999998</v>
          </cell>
          <cell r="AF40">
            <v>232500.00000000023</v>
          </cell>
          <cell r="AG40">
            <v>0</v>
          </cell>
          <cell r="AH40">
            <v>0</v>
          </cell>
          <cell r="AI40">
            <v>0</v>
          </cell>
          <cell r="AJ40">
            <v>183269.99999999997</v>
          </cell>
          <cell r="AK40">
            <v>38595.000000000044</v>
          </cell>
          <cell r="AL40">
            <v>0</v>
          </cell>
          <cell r="AM40">
            <v>0</v>
          </cell>
          <cell r="AN40">
            <v>0</v>
          </cell>
          <cell r="AO40">
            <v>58109.999999999985</v>
          </cell>
          <cell r="AP40">
            <v>12555.000000000013</v>
          </cell>
          <cell r="AQ40">
            <v>0</v>
          </cell>
          <cell r="AR40">
            <v>0</v>
          </cell>
          <cell r="AT40" t="str">
            <v>OPP-877585 - Identified - New - MR</v>
          </cell>
          <cell r="AU40">
            <v>70665</v>
          </cell>
          <cell r="AV40">
            <v>70665</v>
          </cell>
          <cell r="AW40">
            <v>0</v>
          </cell>
          <cell r="AX40">
            <v>0</v>
          </cell>
          <cell r="AZ40">
            <v>82</v>
          </cell>
          <cell r="BA40">
            <v>306</v>
          </cell>
          <cell r="BB40">
            <v>91</v>
          </cell>
        </row>
        <row r="41">
          <cell r="B41" t="str">
            <v>OPP-877578</v>
          </cell>
          <cell r="C41" t="str">
            <v>DHS HERS Brownsville</v>
          </cell>
          <cell r="D41" t="str">
            <v>MR</v>
          </cell>
          <cell r="E41" t="str">
            <v>MR Non-Proliferation and Security Services</v>
          </cell>
          <cell r="F41" t="str">
            <v>Homeland Security</v>
          </cell>
          <cell r="G41" t="str">
            <v>DOD</v>
          </cell>
          <cell r="H41">
            <v>43831</v>
          </cell>
          <cell r="I41">
            <v>43832</v>
          </cell>
          <cell r="J41">
            <v>44198</v>
          </cell>
          <cell r="K41" t="str">
            <v>Prime</v>
          </cell>
          <cell r="L41" t="str">
            <v>Cost Plus Fixed Fee</v>
          </cell>
          <cell r="M41" t="str">
            <v>Cost Reimbursable</v>
          </cell>
          <cell r="N41" t="str">
            <v>Identified - New</v>
          </cell>
          <cell r="O41" t="str">
            <v>02 Capture</v>
          </cell>
          <cell r="P41" t="str">
            <v>Priority 3</v>
          </cell>
          <cell r="Q41">
            <v>0.15</v>
          </cell>
          <cell r="R41">
            <v>9000000</v>
          </cell>
          <cell r="S41">
            <v>0.16</v>
          </cell>
          <cell r="T41">
            <v>0.16400000000000001</v>
          </cell>
          <cell r="U41">
            <v>0.16600000000000001</v>
          </cell>
          <cell r="V41">
            <v>0.16800000000000001</v>
          </cell>
          <cell r="W41">
            <v>0.17</v>
          </cell>
          <cell r="X41">
            <v>0.05</v>
          </cell>
          <cell r="Y41">
            <v>5.1999999999999998E-2</v>
          </cell>
          <cell r="Z41">
            <v>5.3999999999999999E-2</v>
          </cell>
          <cell r="AA41">
            <v>5.6000000000000001E-2</v>
          </cell>
          <cell r="AB41">
            <v>5.6000000000000001E-2</v>
          </cell>
          <cell r="AC41">
            <v>9000000</v>
          </cell>
          <cell r="AD41">
            <v>0</v>
          </cell>
          <cell r="AE41">
            <v>1005000</v>
          </cell>
          <cell r="AF41">
            <v>345000</v>
          </cell>
          <cell r="AG41">
            <v>0</v>
          </cell>
          <cell r="AH41">
            <v>0</v>
          </cell>
          <cell r="AI41">
            <v>0</v>
          </cell>
          <cell r="AJ41">
            <v>164820</v>
          </cell>
          <cell r="AK41">
            <v>57270</v>
          </cell>
          <cell r="AL41">
            <v>0</v>
          </cell>
          <cell r="AM41">
            <v>0</v>
          </cell>
          <cell r="AN41">
            <v>0</v>
          </cell>
          <cell r="AO41">
            <v>52260</v>
          </cell>
          <cell r="AP41">
            <v>18630</v>
          </cell>
          <cell r="AQ41">
            <v>0</v>
          </cell>
          <cell r="AR41">
            <v>0</v>
          </cell>
          <cell r="AT41" t="str">
            <v>OPP-877578 - Identified - New - MR</v>
          </cell>
          <cell r="AU41">
            <v>70890</v>
          </cell>
          <cell r="AV41">
            <v>70890</v>
          </cell>
          <cell r="AW41">
            <v>0</v>
          </cell>
          <cell r="AX41">
            <v>0</v>
          </cell>
          <cell r="AZ41">
            <v>81</v>
          </cell>
          <cell r="BA41">
            <v>307</v>
          </cell>
          <cell r="BB41">
            <v>92</v>
          </cell>
        </row>
        <row r="42">
          <cell r="B42" t="str">
            <v>OPP-877587</v>
          </cell>
          <cell r="C42" t="str">
            <v>DHS HERS Nogales</v>
          </cell>
          <cell r="D42" t="str">
            <v>MR</v>
          </cell>
          <cell r="E42" t="str">
            <v>MR Non-Proliferation and Security Services</v>
          </cell>
          <cell r="F42" t="str">
            <v>Homeland Security</v>
          </cell>
          <cell r="G42" t="str">
            <v>DOD</v>
          </cell>
          <cell r="H42">
            <v>43862</v>
          </cell>
          <cell r="I42">
            <v>43863</v>
          </cell>
          <cell r="J42">
            <v>44229</v>
          </cell>
          <cell r="K42" t="str">
            <v>Prime</v>
          </cell>
          <cell r="L42" t="str">
            <v>Cost Plus Fixed Fee</v>
          </cell>
          <cell r="M42" t="str">
            <v>Cost Reimbursable</v>
          </cell>
          <cell r="N42" t="str">
            <v>Identified - New</v>
          </cell>
          <cell r="O42" t="str">
            <v>02 Capture</v>
          </cell>
          <cell r="P42" t="str">
            <v>Priority 3</v>
          </cell>
          <cell r="Q42">
            <v>0.15</v>
          </cell>
          <cell r="R42">
            <v>9000000</v>
          </cell>
          <cell r="S42">
            <v>0.16</v>
          </cell>
          <cell r="T42">
            <v>0.16400000000000001</v>
          </cell>
          <cell r="U42">
            <v>0.16600000000000001</v>
          </cell>
          <cell r="V42">
            <v>0.16800000000000001</v>
          </cell>
          <cell r="W42">
            <v>0.17</v>
          </cell>
          <cell r="X42">
            <v>0.05</v>
          </cell>
          <cell r="Y42">
            <v>5.1999999999999998E-2</v>
          </cell>
          <cell r="Z42">
            <v>5.3999999999999999E-2</v>
          </cell>
          <cell r="AA42">
            <v>5.6000000000000001E-2</v>
          </cell>
          <cell r="AB42">
            <v>5.6000000000000001E-2</v>
          </cell>
          <cell r="AC42">
            <v>9000000</v>
          </cell>
          <cell r="AD42">
            <v>0</v>
          </cell>
          <cell r="AE42">
            <v>892500</v>
          </cell>
          <cell r="AF42">
            <v>457500</v>
          </cell>
          <cell r="AG42">
            <v>0</v>
          </cell>
          <cell r="AH42">
            <v>0</v>
          </cell>
          <cell r="AI42">
            <v>0</v>
          </cell>
          <cell r="AJ42">
            <v>146370</v>
          </cell>
          <cell r="AK42">
            <v>75945</v>
          </cell>
          <cell r="AL42">
            <v>0</v>
          </cell>
          <cell r="AM42">
            <v>0</v>
          </cell>
          <cell r="AN42">
            <v>0</v>
          </cell>
          <cell r="AO42">
            <v>46410</v>
          </cell>
          <cell r="AP42">
            <v>24705</v>
          </cell>
          <cell r="AQ42">
            <v>0</v>
          </cell>
          <cell r="AR42">
            <v>0</v>
          </cell>
          <cell r="AT42" t="str">
            <v>OPP-877587 - Identified - New - MR</v>
          </cell>
          <cell r="AU42">
            <v>71115</v>
          </cell>
          <cell r="AV42">
            <v>71115</v>
          </cell>
          <cell r="AW42">
            <v>0</v>
          </cell>
          <cell r="AX42">
            <v>0</v>
          </cell>
          <cell r="AZ42">
            <v>80</v>
          </cell>
          <cell r="BA42">
            <v>308</v>
          </cell>
          <cell r="BB42">
            <v>93</v>
          </cell>
        </row>
        <row r="43">
          <cell r="B43" t="str">
            <v>OPP-800971</v>
          </cell>
          <cell r="C43" t="str">
            <v>DICCE II (Bosnia)</v>
          </cell>
          <cell r="D43" t="str">
            <v>MR</v>
          </cell>
          <cell r="E43" t="str">
            <v>MR Non-Proliferation and Security Services</v>
          </cell>
          <cell r="F43" t="str">
            <v>DOE</v>
          </cell>
          <cell r="G43" t="str">
            <v>DOE</v>
          </cell>
          <cell r="H43">
            <v>43740</v>
          </cell>
          <cell r="I43">
            <v>43743</v>
          </cell>
          <cell r="J43">
            <v>44109</v>
          </cell>
          <cell r="K43" t="str">
            <v>Sub</v>
          </cell>
          <cell r="L43" t="str">
            <v>Cost Plus Fixed Fee</v>
          </cell>
          <cell r="M43" t="str">
            <v>Cost Reimbursable</v>
          </cell>
          <cell r="N43" t="str">
            <v>Identified - New</v>
          </cell>
          <cell r="O43" t="str">
            <v>01 Prospect</v>
          </cell>
          <cell r="P43" t="str">
            <v>Priority 3</v>
          </cell>
          <cell r="Q43">
            <v>0.35</v>
          </cell>
          <cell r="R43">
            <v>1000000</v>
          </cell>
          <cell r="S43">
            <v>0.16</v>
          </cell>
          <cell r="T43">
            <v>0.16400000000000001</v>
          </cell>
          <cell r="U43">
            <v>0.16600000000000001</v>
          </cell>
          <cell r="V43">
            <v>0.16800000000000001</v>
          </cell>
          <cell r="W43">
            <v>0.17</v>
          </cell>
          <cell r="X43">
            <v>0.05</v>
          </cell>
          <cell r="Y43">
            <v>5.1999999999999998E-2</v>
          </cell>
          <cell r="Z43">
            <v>5.3999999999999999E-2</v>
          </cell>
          <cell r="AA43">
            <v>5.6000000000000001E-2</v>
          </cell>
          <cell r="AB43">
            <v>5.6000000000000001E-2</v>
          </cell>
          <cell r="AC43">
            <v>1000000</v>
          </cell>
          <cell r="AD43">
            <v>0</v>
          </cell>
          <cell r="AE43">
            <v>345138.88888888888</v>
          </cell>
          <cell r="AF43">
            <v>4861.111111111124</v>
          </cell>
          <cell r="AG43">
            <v>0</v>
          </cell>
          <cell r="AH43">
            <v>0</v>
          </cell>
          <cell r="AI43">
            <v>0</v>
          </cell>
          <cell r="AJ43">
            <v>56602.777777777781</v>
          </cell>
          <cell r="AK43">
            <v>806.94444444444662</v>
          </cell>
          <cell r="AL43">
            <v>0</v>
          </cell>
          <cell r="AM43">
            <v>0</v>
          </cell>
          <cell r="AN43">
            <v>0</v>
          </cell>
          <cell r="AO43">
            <v>17947.222222222219</v>
          </cell>
          <cell r="AP43">
            <v>262.50000000000068</v>
          </cell>
          <cell r="AQ43">
            <v>0</v>
          </cell>
          <cell r="AR43">
            <v>0</v>
          </cell>
          <cell r="AT43" t="str">
            <v>OPP-800971 - Identified - New - MR</v>
          </cell>
          <cell r="AU43">
            <v>18209.722222222219</v>
          </cell>
          <cell r="AV43">
            <v>18209.722222222219</v>
          </cell>
          <cell r="AW43">
            <v>0</v>
          </cell>
          <cell r="AX43">
            <v>0</v>
          </cell>
          <cell r="AZ43">
            <v>92</v>
          </cell>
          <cell r="BA43">
            <v>309</v>
          </cell>
          <cell r="BB43">
            <v>94</v>
          </cell>
        </row>
        <row r="44">
          <cell r="B44" t="str">
            <v>OPP-947697</v>
          </cell>
          <cell r="C44" t="str">
            <v>DICCE II Middle East Countries (5 countries grouped together)</v>
          </cell>
          <cell r="D44" t="str">
            <v>MR</v>
          </cell>
          <cell r="E44" t="str">
            <v>MR Non-Proliferation and Security Services</v>
          </cell>
          <cell r="F44" t="str">
            <v>Other DOD</v>
          </cell>
          <cell r="G44" t="str">
            <v>DOD</v>
          </cell>
          <cell r="H44">
            <v>43770</v>
          </cell>
          <cell r="I44">
            <v>43771</v>
          </cell>
          <cell r="J44">
            <v>44137</v>
          </cell>
          <cell r="K44" t="str">
            <v>Prime</v>
          </cell>
          <cell r="L44" t="str">
            <v>Cost Plus Fixed Fee</v>
          </cell>
          <cell r="M44" t="str">
            <v>Cost Reimbursable</v>
          </cell>
          <cell r="N44" t="str">
            <v>Identified - New</v>
          </cell>
          <cell r="O44" t="str">
            <v>01 Prospect</v>
          </cell>
          <cell r="P44" t="str">
            <v>Priority 3</v>
          </cell>
          <cell r="Q44">
            <v>0.25</v>
          </cell>
          <cell r="R44">
            <v>1000000</v>
          </cell>
          <cell r="S44">
            <v>0.16</v>
          </cell>
          <cell r="T44">
            <v>0.16400000000000001</v>
          </cell>
          <cell r="U44">
            <v>0.16600000000000001</v>
          </cell>
          <cell r="V44">
            <v>0.16800000000000001</v>
          </cell>
          <cell r="W44">
            <v>0.17</v>
          </cell>
          <cell r="X44">
            <v>0.05</v>
          </cell>
          <cell r="Y44">
            <v>5.1999999999999998E-2</v>
          </cell>
          <cell r="Z44">
            <v>5.3999999999999999E-2</v>
          </cell>
          <cell r="AA44">
            <v>5.6000000000000001E-2</v>
          </cell>
          <cell r="AB44">
            <v>5.6000000000000001E-2</v>
          </cell>
          <cell r="AC44">
            <v>1000000</v>
          </cell>
          <cell r="AD44">
            <v>0</v>
          </cell>
          <cell r="AE44">
            <v>227777.77777777778</v>
          </cell>
          <cell r="AF44">
            <v>22222.222222222219</v>
          </cell>
          <cell r="AG44">
            <v>0</v>
          </cell>
          <cell r="AH44">
            <v>0</v>
          </cell>
          <cell r="AI44">
            <v>0</v>
          </cell>
          <cell r="AJ44">
            <v>37355.555555555555</v>
          </cell>
          <cell r="AK44">
            <v>3688.8888888888887</v>
          </cell>
          <cell r="AL44">
            <v>0</v>
          </cell>
          <cell r="AM44">
            <v>0</v>
          </cell>
          <cell r="AN44">
            <v>0</v>
          </cell>
          <cell r="AO44">
            <v>11844.444444444443</v>
          </cell>
          <cell r="AP44">
            <v>1199.9999999999998</v>
          </cell>
          <cell r="AQ44">
            <v>0</v>
          </cell>
          <cell r="AR44">
            <v>0</v>
          </cell>
          <cell r="AT44" t="str">
            <v>OPP-947697 - Identified - New - MR</v>
          </cell>
          <cell r="AU44">
            <v>13044.444444444443</v>
          </cell>
          <cell r="AV44">
            <v>13044.444444444443</v>
          </cell>
          <cell r="AW44">
            <v>0</v>
          </cell>
          <cell r="AX44">
            <v>0</v>
          </cell>
          <cell r="AZ44">
            <v>94</v>
          </cell>
          <cell r="BA44">
            <v>310</v>
          </cell>
          <cell r="BB44">
            <v>95</v>
          </cell>
        </row>
        <row r="45">
          <cell r="B45" t="str">
            <v>OPP-925843</v>
          </cell>
          <cell r="C45" t="str">
            <v>DICE II (Belarus Group 9&amp;10 Ph 1)</v>
          </cell>
          <cell r="D45" t="str">
            <v>MR</v>
          </cell>
          <cell r="E45" t="str">
            <v>MR Non-Proliferation and Security Services</v>
          </cell>
          <cell r="F45" t="str">
            <v>DOE</v>
          </cell>
          <cell r="G45" t="str">
            <v>DOE</v>
          </cell>
          <cell r="H45">
            <v>43675</v>
          </cell>
          <cell r="I45">
            <v>43718</v>
          </cell>
          <cell r="J45">
            <v>44084</v>
          </cell>
          <cell r="K45" t="str">
            <v>Prime</v>
          </cell>
          <cell r="L45" t="str">
            <v>Cost Plus Fixed Fee</v>
          </cell>
          <cell r="M45" t="str">
            <v>Cost Reimbursable</v>
          </cell>
          <cell r="N45" t="str">
            <v>Identified - New</v>
          </cell>
          <cell r="O45" t="str">
            <v>05 Awarded/Won</v>
          </cell>
          <cell r="P45" t="str">
            <v>Priority 3</v>
          </cell>
          <cell r="Q45">
            <v>1</v>
          </cell>
          <cell r="R45">
            <v>70865</v>
          </cell>
          <cell r="S45">
            <v>0.16</v>
          </cell>
          <cell r="T45">
            <v>0.16400000000000001</v>
          </cell>
          <cell r="U45">
            <v>0.16600000000000001</v>
          </cell>
          <cell r="V45">
            <v>0.16800000000000001</v>
          </cell>
          <cell r="W45">
            <v>0.17</v>
          </cell>
          <cell r="X45">
            <v>0.05</v>
          </cell>
          <cell r="Y45">
            <v>5.1999999999999998E-2</v>
          </cell>
          <cell r="Z45">
            <v>5.3999999999999999E-2</v>
          </cell>
          <cell r="AA45">
            <v>5.6000000000000001E-2</v>
          </cell>
          <cell r="AB45">
            <v>5.6000000000000001E-2</v>
          </cell>
          <cell r="AC45">
            <v>70865</v>
          </cell>
          <cell r="AD45">
            <v>0</v>
          </cell>
          <cell r="AE45">
            <v>70865</v>
          </cell>
          <cell r="AF45">
            <v>0</v>
          </cell>
          <cell r="AG45">
            <v>0</v>
          </cell>
          <cell r="AH45">
            <v>0</v>
          </cell>
          <cell r="AI45">
            <v>0</v>
          </cell>
          <cell r="AJ45">
            <v>11621.86</v>
          </cell>
          <cell r="AK45">
            <v>0</v>
          </cell>
          <cell r="AL45">
            <v>0</v>
          </cell>
          <cell r="AM45">
            <v>0</v>
          </cell>
          <cell r="AN45">
            <v>0</v>
          </cell>
          <cell r="AO45">
            <v>3684.98</v>
          </cell>
          <cell r="AP45">
            <v>0</v>
          </cell>
          <cell r="AQ45">
            <v>0</v>
          </cell>
          <cell r="AR45">
            <v>0</v>
          </cell>
          <cell r="AT45" t="str">
            <v>OPP-925843 - Identified - New - MR</v>
          </cell>
          <cell r="AU45">
            <v>3684.98</v>
          </cell>
          <cell r="AV45">
            <v>3684.98</v>
          </cell>
          <cell r="AW45">
            <v>0</v>
          </cell>
          <cell r="AX45">
            <v>0</v>
          </cell>
          <cell r="AZ45">
            <v>95</v>
          </cell>
          <cell r="BA45">
            <v>311</v>
          </cell>
          <cell r="BB45">
            <v>96</v>
          </cell>
        </row>
        <row r="46">
          <cell r="B46" t="str">
            <v>OPP-413657</v>
          </cell>
          <cell r="C46" t="str">
            <v>DHS-CBP P-3 Aircraft Maintenance Logistics Support (P-3 AM) - MS Portion</v>
          </cell>
          <cell r="D46" t="str">
            <v>MR</v>
          </cell>
          <cell r="E46" t="str">
            <v>MR Logistics &amp; Supply</v>
          </cell>
          <cell r="F46" t="str">
            <v>Homeland Security</v>
          </cell>
          <cell r="G46" t="str">
            <v>DOD</v>
          </cell>
          <cell r="H46">
            <v>43784</v>
          </cell>
          <cell r="I46">
            <v>44044</v>
          </cell>
          <cell r="J46">
            <v>47694</v>
          </cell>
          <cell r="K46" t="str">
            <v>Prime</v>
          </cell>
          <cell r="L46" t="str">
            <v>Hybrid/Mixed Cost-Plus/Fixed</v>
          </cell>
          <cell r="M46" t="str">
            <v>Other</v>
          </cell>
          <cell r="N46" t="str">
            <v>Identified - New</v>
          </cell>
          <cell r="O46" t="str">
            <v>03 Proposal</v>
          </cell>
          <cell r="P46" t="str">
            <v>Priority 1</v>
          </cell>
          <cell r="Q46">
            <v>0.25</v>
          </cell>
          <cell r="R46">
            <v>821959000</v>
          </cell>
          <cell r="S46">
            <v>0.1</v>
          </cell>
          <cell r="T46">
            <v>0.11</v>
          </cell>
          <cell r="U46">
            <v>0.12</v>
          </cell>
          <cell r="V46">
            <v>0.13</v>
          </cell>
          <cell r="W46">
            <v>0.13500000000000001</v>
          </cell>
          <cell r="X46">
            <v>0.03</v>
          </cell>
          <cell r="Y46">
            <v>0.04</v>
          </cell>
          <cell r="Z46">
            <v>0.05</v>
          </cell>
          <cell r="AA46">
            <v>5.5E-2</v>
          </cell>
          <cell r="AB46">
            <v>0.06</v>
          </cell>
          <cell r="AC46">
            <v>82218738.538482919</v>
          </cell>
          <cell r="AD46">
            <v>0</v>
          </cell>
          <cell r="AE46">
            <v>3368684.4262295086</v>
          </cell>
          <cell r="AF46">
            <v>20554684.63462073</v>
          </cell>
          <cell r="AG46">
            <v>20554684.63462073</v>
          </cell>
          <cell r="AH46">
            <v>20554684.63462073</v>
          </cell>
          <cell r="AI46">
            <v>0</v>
          </cell>
          <cell r="AJ46">
            <v>370555.28688524594</v>
          </cell>
          <cell r="AK46">
            <v>2466562.1561544873</v>
          </cell>
          <cell r="AL46">
            <v>2672109.0025006952</v>
          </cell>
          <cell r="AM46">
            <v>2774882.4256737987</v>
          </cell>
          <cell r="AN46">
            <v>0</v>
          </cell>
          <cell r="AO46">
            <v>134747.37704918036</v>
          </cell>
          <cell r="AP46">
            <v>1027734.2317310366</v>
          </cell>
          <cell r="AQ46">
            <v>1130507.6549041402</v>
          </cell>
          <cell r="AR46">
            <v>1233281.0780772436</v>
          </cell>
          <cell r="AT46" t="str">
            <v>OPP-413657 - Identified - New - MR</v>
          </cell>
          <cell r="AU46">
            <v>3526270.3417616007</v>
          </cell>
          <cell r="AV46">
            <v>3526270.3417616007</v>
          </cell>
          <cell r="AW46">
            <v>0</v>
          </cell>
          <cell r="AX46">
            <v>0</v>
          </cell>
          <cell r="AZ46">
            <v>6</v>
          </cell>
          <cell r="BA46">
            <v>312</v>
          </cell>
          <cell r="BB46">
            <v>97</v>
          </cell>
        </row>
        <row r="47">
          <cell r="B47" t="str">
            <v>OPP-415560</v>
          </cell>
          <cell r="C47" t="str">
            <v>NASA JSC Facilities Contract (FAC)</v>
          </cell>
          <cell r="D47" t="str">
            <v>MR</v>
          </cell>
          <cell r="E47" t="str">
            <v>MR NASA</v>
          </cell>
          <cell r="F47" t="str">
            <v>NASA</v>
          </cell>
          <cell r="G47" t="str">
            <v>NASA</v>
          </cell>
          <cell r="H47">
            <v>44445</v>
          </cell>
          <cell r="I47">
            <v>44526</v>
          </cell>
          <cell r="J47">
            <v>48178</v>
          </cell>
          <cell r="K47" t="str">
            <v>Prime</v>
          </cell>
          <cell r="L47" t="str">
            <v>Fixed Price</v>
          </cell>
          <cell r="M47" t="str">
            <v>Fixed Price</v>
          </cell>
          <cell r="N47" t="str">
            <v>Identified - New</v>
          </cell>
          <cell r="O47" t="str">
            <v>02 Capture</v>
          </cell>
          <cell r="P47" t="str">
            <v>Priority 1</v>
          </cell>
          <cell r="Q47">
            <v>0.35</v>
          </cell>
          <cell r="R47">
            <v>550000000</v>
          </cell>
          <cell r="S47">
            <v>0.14000000000000001</v>
          </cell>
          <cell r="T47">
            <v>0.14199999999999999</v>
          </cell>
          <cell r="U47">
            <v>0.14399999999999999</v>
          </cell>
          <cell r="V47">
            <v>0.14599999999999999</v>
          </cell>
          <cell r="W47">
            <v>0.14799999999999999</v>
          </cell>
          <cell r="X47">
            <v>0.03</v>
          </cell>
          <cell r="Y47">
            <v>0.04</v>
          </cell>
          <cell r="Z47">
            <v>0.05</v>
          </cell>
          <cell r="AA47">
            <v>0.06</v>
          </cell>
          <cell r="AB47">
            <v>7.0000000000000007E-2</v>
          </cell>
          <cell r="AC47">
            <v>55000000</v>
          </cell>
          <cell r="AD47">
            <v>0</v>
          </cell>
          <cell r="AE47">
            <v>0</v>
          </cell>
          <cell r="AF47">
            <v>0</v>
          </cell>
          <cell r="AG47">
            <v>16255555.555555556</v>
          </cell>
          <cell r="AH47">
            <v>19250000</v>
          </cell>
          <cell r="AI47">
            <v>0</v>
          </cell>
          <cell r="AJ47">
            <v>0</v>
          </cell>
          <cell r="AK47">
            <v>0</v>
          </cell>
          <cell r="AL47">
            <v>2373311.111111111</v>
          </cell>
          <cell r="AM47">
            <v>2849000</v>
          </cell>
          <cell r="AN47">
            <v>0</v>
          </cell>
          <cell r="AO47">
            <v>0</v>
          </cell>
          <cell r="AP47">
            <v>0</v>
          </cell>
          <cell r="AQ47">
            <v>975333.33333333337</v>
          </cell>
          <cell r="AR47">
            <v>1347500.0000000002</v>
          </cell>
          <cell r="AT47" t="str">
            <v>OPP-415560 - Identified - New - MR</v>
          </cell>
          <cell r="AU47">
            <v>2322833.3333333335</v>
          </cell>
          <cell r="AV47">
            <v>2322833.3333333335</v>
          </cell>
          <cell r="AW47">
            <v>0</v>
          </cell>
          <cell r="AX47">
            <v>0</v>
          </cell>
          <cell r="AZ47">
            <v>9</v>
          </cell>
          <cell r="BA47">
            <v>313</v>
          </cell>
          <cell r="BB47">
            <v>98</v>
          </cell>
        </row>
        <row r="48">
          <cell r="B48" t="str">
            <v>OPP-948653</v>
          </cell>
          <cell r="C48" t="str">
            <v>GSA ASTRO</v>
          </cell>
          <cell r="D48" t="str">
            <v>MR</v>
          </cell>
          <cell r="E48" t="str">
            <v>MR Warfighter Support</v>
          </cell>
          <cell r="F48" t="str">
            <v>Other Civilian</v>
          </cell>
          <cell r="G48" t="str">
            <v>Other</v>
          </cell>
          <cell r="H48">
            <v>43983</v>
          </cell>
          <cell r="I48">
            <v>44013</v>
          </cell>
          <cell r="J48">
            <v>47665</v>
          </cell>
          <cell r="K48" t="str">
            <v>Prime</v>
          </cell>
          <cell r="L48" t="str">
            <v>IDIQ/Mixed Cost-Plus/Fixed</v>
          </cell>
          <cell r="M48" t="str">
            <v>Other</v>
          </cell>
          <cell r="N48" t="str">
            <v>Identified - New</v>
          </cell>
          <cell r="O48" t="str">
            <v>01 Prospect</v>
          </cell>
          <cell r="P48" t="str">
            <v>Priority 1</v>
          </cell>
          <cell r="Q48">
            <v>0.1</v>
          </cell>
          <cell r="R48">
            <v>100000000</v>
          </cell>
          <cell r="S48">
            <v>0.14000000000000001</v>
          </cell>
          <cell r="T48">
            <v>0.14499999999999999</v>
          </cell>
          <cell r="U48">
            <v>0.15</v>
          </cell>
          <cell r="V48">
            <v>0.1525</v>
          </cell>
          <cell r="W48">
            <v>0.156</v>
          </cell>
          <cell r="X48">
            <v>0.04</v>
          </cell>
          <cell r="Y48">
            <v>4.4999999999999998E-2</v>
          </cell>
          <cell r="Z48">
            <v>0.05</v>
          </cell>
          <cell r="AA48">
            <v>5.5E-2</v>
          </cell>
          <cell r="AB48">
            <v>0.06</v>
          </cell>
          <cell r="AC48">
            <v>10000000</v>
          </cell>
          <cell r="AD48">
            <v>0</v>
          </cell>
          <cell r="AE48">
            <v>247222.22222222225</v>
          </cell>
          <cell r="AF48">
            <v>1000000</v>
          </cell>
          <cell r="AG48">
            <v>1000000</v>
          </cell>
          <cell r="AH48">
            <v>1000000</v>
          </cell>
          <cell r="AI48">
            <v>0</v>
          </cell>
          <cell r="AJ48">
            <v>35847.222222222226</v>
          </cell>
          <cell r="AK48">
            <v>150000</v>
          </cell>
          <cell r="AL48">
            <v>152500</v>
          </cell>
          <cell r="AM48">
            <v>156000</v>
          </cell>
          <cell r="AN48">
            <v>0</v>
          </cell>
          <cell r="AO48">
            <v>11125</v>
          </cell>
          <cell r="AP48">
            <v>50000</v>
          </cell>
          <cell r="AQ48">
            <v>55000</v>
          </cell>
          <cell r="AR48">
            <v>60000</v>
          </cell>
          <cell r="AT48" t="str">
            <v>OPP-948653 - Identified - New - MR</v>
          </cell>
          <cell r="AU48">
            <v>176125</v>
          </cell>
          <cell r="AV48">
            <v>176125</v>
          </cell>
          <cell r="AW48">
            <v>0</v>
          </cell>
          <cell r="AX48">
            <v>0</v>
          </cell>
          <cell r="AZ48">
            <v>59</v>
          </cell>
          <cell r="BA48">
            <v>314</v>
          </cell>
          <cell r="BB48">
            <v>99</v>
          </cell>
        </row>
        <row r="49">
          <cell r="B49" t="str">
            <v>OPP-745886</v>
          </cell>
          <cell r="C49" t="str">
            <v>TO RS3-19-TBD STAMP</v>
          </cell>
          <cell r="D49" t="str">
            <v>MR</v>
          </cell>
          <cell r="E49" t="str">
            <v>MR Logistics &amp; Supply</v>
          </cell>
          <cell r="F49" t="str">
            <v>Army</v>
          </cell>
          <cell r="G49" t="str">
            <v>DOD</v>
          </cell>
          <cell r="H49">
            <v>43864</v>
          </cell>
          <cell r="I49">
            <v>43907</v>
          </cell>
          <cell r="J49">
            <v>45733</v>
          </cell>
          <cell r="K49" t="str">
            <v>Prime</v>
          </cell>
          <cell r="L49" t="str">
            <v>Cost Plus Fixed Fee</v>
          </cell>
          <cell r="M49" t="str">
            <v>Cost Reimbursable</v>
          </cell>
          <cell r="N49" t="str">
            <v>Identified - New</v>
          </cell>
          <cell r="O49" t="str">
            <v>02 Capture</v>
          </cell>
          <cell r="P49" t="str">
            <v>Priority 1</v>
          </cell>
          <cell r="Q49">
            <v>0.15</v>
          </cell>
          <cell r="R49">
            <v>250000000</v>
          </cell>
          <cell r="S49">
            <v>0.15</v>
          </cell>
          <cell r="T49">
            <v>0.155</v>
          </cell>
          <cell r="U49">
            <v>0.16</v>
          </cell>
          <cell r="V49">
            <v>0.16300000000000001</v>
          </cell>
          <cell r="W49">
            <v>0.16700000000000001</v>
          </cell>
          <cell r="X49">
            <v>0.04</v>
          </cell>
          <cell r="Y49">
            <v>4.4999999999999998E-2</v>
          </cell>
          <cell r="Z49">
            <v>0.05</v>
          </cell>
          <cell r="AA49">
            <v>5.2499999999999998E-2</v>
          </cell>
          <cell r="AB49">
            <v>5.3999999999999999E-2</v>
          </cell>
          <cell r="AC49">
            <v>50000000</v>
          </cell>
          <cell r="AD49">
            <v>0</v>
          </cell>
          <cell r="AE49">
            <v>4020833.333333333</v>
          </cell>
          <cell r="AF49">
            <v>7500000</v>
          </cell>
          <cell r="AG49">
            <v>7500000</v>
          </cell>
          <cell r="AH49">
            <v>7500000</v>
          </cell>
          <cell r="AI49">
            <v>0</v>
          </cell>
          <cell r="AJ49">
            <v>623229.16666666663</v>
          </cell>
          <cell r="AK49">
            <v>1200000</v>
          </cell>
          <cell r="AL49">
            <v>1222500</v>
          </cell>
          <cell r="AM49">
            <v>1252500</v>
          </cell>
          <cell r="AN49">
            <v>0</v>
          </cell>
          <cell r="AO49">
            <v>180937.49999999997</v>
          </cell>
          <cell r="AP49">
            <v>375000</v>
          </cell>
          <cell r="AQ49">
            <v>393750</v>
          </cell>
          <cell r="AR49">
            <v>405000</v>
          </cell>
          <cell r="AT49" t="str">
            <v>OPP-745886 - Identified - New - MR</v>
          </cell>
          <cell r="AU49">
            <v>1354687.5</v>
          </cell>
          <cell r="AV49">
            <v>1354687.5</v>
          </cell>
          <cell r="AW49">
            <v>0</v>
          </cell>
          <cell r="AX49">
            <v>0</v>
          </cell>
          <cell r="AZ49">
            <v>14</v>
          </cell>
          <cell r="BA49">
            <v>315</v>
          </cell>
          <cell r="BB49">
            <v>100</v>
          </cell>
        </row>
        <row r="50">
          <cell r="B50" t="str">
            <v>OPP-838350</v>
          </cell>
          <cell r="C50" t="str">
            <v>Navy C-26 CLS</v>
          </cell>
          <cell r="D50" t="str">
            <v>MR</v>
          </cell>
          <cell r="E50" t="str">
            <v>MR Logistics &amp; Supply</v>
          </cell>
          <cell r="F50" t="str">
            <v>Army</v>
          </cell>
          <cell r="G50" t="str">
            <v>DOD</v>
          </cell>
          <cell r="H50">
            <v>43906</v>
          </cell>
          <cell r="I50">
            <v>44013</v>
          </cell>
          <cell r="J50">
            <v>45838</v>
          </cell>
          <cell r="K50" t="str">
            <v>Prime</v>
          </cell>
          <cell r="L50" t="str">
            <v>Hybrid/Mixed Cost-Plus/Fixed</v>
          </cell>
          <cell r="M50" t="str">
            <v>Other</v>
          </cell>
          <cell r="N50" t="str">
            <v>Identified - New</v>
          </cell>
          <cell r="O50" t="str">
            <v>02 Capture</v>
          </cell>
          <cell r="P50" t="str">
            <v>Priority 3</v>
          </cell>
          <cell r="Q50">
            <v>0.35</v>
          </cell>
          <cell r="R50">
            <v>30000000</v>
          </cell>
          <cell r="S50">
            <v>0.15</v>
          </cell>
          <cell r="T50">
            <v>0.155</v>
          </cell>
          <cell r="U50">
            <v>0.16</v>
          </cell>
          <cell r="V50">
            <v>0.16</v>
          </cell>
          <cell r="W50">
            <v>0.16350000000000001</v>
          </cell>
          <cell r="X50">
            <v>0.16500000000000001</v>
          </cell>
          <cell r="Y50">
            <v>0.04</v>
          </cell>
          <cell r="Z50">
            <v>0.05</v>
          </cell>
          <cell r="AA50">
            <v>5.5E-2</v>
          </cell>
          <cell r="AB50">
            <v>5.8000000000000003E-2</v>
          </cell>
          <cell r="AC50">
            <v>6003335.1862145644</v>
          </cell>
          <cell r="AD50">
            <v>0</v>
          </cell>
          <cell r="AE50">
            <v>519455.252918288</v>
          </cell>
          <cell r="AF50">
            <v>2101167.3151750974</v>
          </cell>
          <cell r="AG50">
            <v>2101167.3151750974</v>
          </cell>
          <cell r="AH50">
            <v>2101167.3151750974</v>
          </cell>
          <cell r="AI50">
            <v>0</v>
          </cell>
          <cell r="AJ50">
            <v>80515.564202334645</v>
          </cell>
          <cell r="AK50">
            <v>336186.77042801562</v>
          </cell>
          <cell r="AL50">
            <v>336186.77042801562</v>
          </cell>
          <cell r="AM50">
            <v>343540.85603112844</v>
          </cell>
          <cell r="AN50">
            <v>0</v>
          </cell>
          <cell r="AO50">
            <v>20778.21011673152</v>
          </cell>
          <cell r="AP50">
            <v>105058.36575875488</v>
          </cell>
          <cell r="AQ50">
            <v>115564.20233463036</v>
          </cell>
          <cell r="AR50">
            <v>121867.70428015565</v>
          </cell>
          <cell r="AT50" t="str">
            <v>OPP-838350 - Identified - New - MR</v>
          </cell>
          <cell r="AU50">
            <v>363268.48249027238</v>
          </cell>
          <cell r="AV50">
            <v>363268.48249027238</v>
          </cell>
          <cell r="AW50">
            <v>0</v>
          </cell>
          <cell r="AX50">
            <v>0</v>
          </cell>
          <cell r="AZ50">
            <v>43</v>
          </cell>
          <cell r="BA50">
            <v>316</v>
          </cell>
          <cell r="BB50">
            <v>101</v>
          </cell>
        </row>
        <row r="51">
          <cell r="B51" t="str">
            <v>OPP-868709</v>
          </cell>
          <cell r="C51" t="str">
            <v>AFCAP IV TO 19-R-TBD (FY2019) All IDIQ TO U&amp;C Work - MS</v>
          </cell>
          <cell r="D51" t="str">
            <v>MR</v>
          </cell>
          <cell r="E51" t="str">
            <v>MR Logistics &amp; Supply</v>
          </cell>
          <cell r="F51" t="str">
            <v>Air Force</v>
          </cell>
          <cell r="G51" t="str">
            <v>DOD</v>
          </cell>
          <cell r="H51">
            <v>43738</v>
          </cell>
          <cell r="I51">
            <v>43739</v>
          </cell>
          <cell r="J51">
            <v>43922</v>
          </cell>
          <cell r="K51" t="str">
            <v>Prime</v>
          </cell>
          <cell r="L51" t="str">
            <v>Cost Plus Fixed Fee; Fixed Price; Hybrid/Mixed Cost-Plus/Fixed</v>
          </cell>
          <cell r="M51" t="str">
            <v>Cost Reimbursable</v>
          </cell>
          <cell r="N51" t="str">
            <v>Identified - New</v>
          </cell>
          <cell r="O51" t="str">
            <v>01 Prospect</v>
          </cell>
          <cell r="P51" t="str">
            <v>Priority 3</v>
          </cell>
          <cell r="Q51">
            <v>0.15</v>
          </cell>
          <cell r="R51">
            <v>5000000</v>
          </cell>
          <cell r="S51">
            <v>0.15</v>
          </cell>
          <cell r="T51">
            <v>0.155</v>
          </cell>
          <cell r="U51">
            <v>0.16</v>
          </cell>
          <cell r="V51">
            <v>0.16300000000000001</v>
          </cell>
          <cell r="W51">
            <v>0.16700000000000001</v>
          </cell>
          <cell r="X51">
            <v>0.04</v>
          </cell>
          <cell r="Y51">
            <v>4.4999999999999998E-2</v>
          </cell>
          <cell r="Z51">
            <v>0.05</v>
          </cell>
          <cell r="AA51">
            <v>5.2499999999999998E-2</v>
          </cell>
          <cell r="AB51">
            <v>5.3999999999999999E-2</v>
          </cell>
          <cell r="AC51">
            <v>5000000</v>
          </cell>
          <cell r="AD51">
            <v>0</v>
          </cell>
          <cell r="AE51">
            <v>747916.66666666663</v>
          </cell>
          <cell r="AF51">
            <v>2083.3333333333721</v>
          </cell>
          <cell r="AG51">
            <v>0</v>
          </cell>
          <cell r="AH51">
            <v>0</v>
          </cell>
          <cell r="AI51">
            <v>0</v>
          </cell>
          <cell r="AJ51">
            <v>115927.08333333333</v>
          </cell>
          <cell r="AK51">
            <v>333.33333333333957</v>
          </cell>
          <cell r="AL51">
            <v>0</v>
          </cell>
          <cell r="AM51">
            <v>0</v>
          </cell>
          <cell r="AN51">
            <v>0</v>
          </cell>
          <cell r="AO51">
            <v>33656.25</v>
          </cell>
          <cell r="AP51">
            <v>104.16666666666862</v>
          </cell>
          <cell r="AQ51">
            <v>0</v>
          </cell>
          <cell r="AR51">
            <v>0</v>
          </cell>
          <cell r="AT51" t="str">
            <v>OPP-868709 - Identified - New - MR</v>
          </cell>
          <cell r="AU51">
            <v>33760.416666666672</v>
          </cell>
          <cell r="AV51">
            <v>33760.416666666672</v>
          </cell>
          <cell r="AW51">
            <v>0</v>
          </cell>
          <cell r="AX51">
            <v>0</v>
          </cell>
          <cell r="AZ51">
            <v>87</v>
          </cell>
          <cell r="BA51">
            <v>317</v>
          </cell>
          <cell r="BB51">
            <v>102</v>
          </cell>
        </row>
        <row r="52">
          <cell r="B52" t="str">
            <v>OPP-771070</v>
          </cell>
          <cell r="C52" t="str">
            <v>RS3-18-016 DCATS Satcom Support Services- PEO EIS</v>
          </cell>
          <cell r="D52" t="str">
            <v>MR</v>
          </cell>
          <cell r="E52" t="str">
            <v>MR Logistics &amp; Supply</v>
          </cell>
          <cell r="F52" t="str">
            <v>Army</v>
          </cell>
          <cell r="G52" t="str">
            <v>DOD</v>
          </cell>
          <cell r="H52">
            <v>43931</v>
          </cell>
          <cell r="I52">
            <v>43941</v>
          </cell>
          <cell r="J52">
            <v>45767</v>
          </cell>
          <cell r="K52" t="str">
            <v>Prime</v>
          </cell>
          <cell r="L52" t="str">
            <v>Cost Plus Fixed Fee</v>
          </cell>
          <cell r="M52" t="str">
            <v>Cost Reimbursable</v>
          </cell>
          <cell r="N52" t="str">
            <v>Identified - New</v>
          </cell>
          <cell r="O52" t="str">
            <v>01 Prospect</v>
          </cell>
          <cell r="P52" t="str">
            <v>Priority 3</v>
          </cell>
          <cell r="Q52">
            <v>0.1</v>
          </cell>
          <cell r="R52">
            <v>4000000</v>
          </cell>
          <cell r="S52">
            <v>0.15</v>
          </cell>
          <cell r="T52">
            <v>0.155</v>
          </cell>
          <cell r="U52">
            <v>0.16</v>
          </cell>
          <cell r="V52">
            <v>0.16300000000000001</v>
          </cell>
          <cell r="W52">
            <v>0.16700000000000001</v>
          </cell>
          <cell r="X52">
            <v>0.04</v>
          </cell>
          <cell r="Y52">
            <v>4.4999999999999998E-2</v>
          </cell>
          <cell r="Z52">
            <v>0.05</v>
          </cell>
          <cell r="AA52">
            <v>5.2499999999999998E-2</v>
          </cell>
          <cell r="AB52">
            <v>5.3999999999999999E-2</v>
          </cell>
          <cell r="AC52">
            <v>800000</v>
          </cell>
          <cell r="AD52">
            <v>0</v>
          </cell>
          <cell r="AE52">
            <v>35555.555555555555</v>
          </cell>
          <cell r="AF52">
            <v>80000</v>
          </cell>
          <cell r="AG52">
            <v>80000</v>
          </cell>
          <cell r="AH52">
            <v>80000</v>
          </cell>
          <cell r="AI52">
            <v>0</v>
          </cell>
          <cell r="AJ52">
            <v>5511.1111111111113</v>
          </cell>
          <cell r="AK52">
            <v>12800</v>
          </cell>
          <cell r="AL52">
            <v>13040</v>
          </cell>
          <cell r="AM52">
            <v>13360</v>
          </cell>
          <cell r="AN52">
            <v>0</v>
          </cell>
          <cell r="AO52">
            <v>1600</v>
          </cell>
          <cell r="AP52">
            <v>4000</v>
          </cell>
          <cell r="AQ52">
            <v>4200</v>
          </cell>
          <cell r="AR52">
            <v>4320</v>
          </cell>
          <cell r="AT52" t="str">
            <v>OPP-771070 - Identified - New - MR</v>
          </cell>
          <cell r="AU52">
            <v>14120</v>
          </cell>
          <cell r="AV52">
            <v>14120</v>
          </cell>
          <cell r="AW52">
            <v>0</v>
          </cell>
          <cell r="AX52">
            <v>0</v>
          </cell>
          <cell r="AZ52">
            <v>93</v>
          </cell>
          <cell r="BA52">
            <v>318</v>
          </cell>
          <cell r="BB52">
            <v>103</v>
          </cell>
        </row>
        <row r="53">
          <cell r="B53" t="str">
            <v>OPP-843085</v>
          </cell>
          <cell r="C53" t="str">
            <v>Advanced Helicopter Flight Training Services Contract</v>
          </cell>
          <cell r="D53" t="str">
            <v>MR</v>
          </cell>
          <cell r="E53" t="str">
            <v>MR Warfighter Support</v>
          </cell>
          <cell r="F53" t="str">
            <v>Army</v>
          </cell>
          <cell r="G53" t="str">
            <v>DOD</v>
          </cell>
          <cell r="H53">
            <v>43708</v>
          </cell>
          <cell r="I53">
            <v>43826</v>
          </cell>
          <cell r="J53">
            <v>46383</v>
          </cell>
          <cell r="K53" t="str">
            <v>Prime</v>
          </cell>
          <cell r="L53" t="str">
            <v>Fixed Price</v>
          </cell>
          <cell r="M53" t="str">
            <v>Fixed Price</v>
          </cell>
          <cell r="N53" t="str">
            <v>Identified - New</v>
          </cell>
          <cell r="O53" t="str">
            <v>04 Submitted</v>
          </cell>
          <cell r="P53" t="str">
            <v>Priority 1</v>
          </cell>
          <cell r="Q53">
            <v>0.5</v>
          </cell>
          <cell r="R53">
            <v>62000000</v>
          </cell>
          <cell r="S53">
            <v>0.12</v>
          </cell>
          <cell r="T53">
            <v>0.122</v>
          </cell>
          <cell r="U53">
            <v>0.124</v>
          </cell>
          <cell r="V53">
            <v>0.126</v>
          </cell>
          <cell r="W53">
            <v>0.128</v>
          </cell>
          <cell r="X53">
            <v>4.2999999999999997E-2</v>
          </cell>
          <cell r="Y53">
            <v>4.3999999999999997E-2</v>
          </cell>
          <cell r="Z53">
            <v>4.8000000000000001E-2</v>
          </cell>
          <cell r="AA53">
            <v>0.05</v>
          </cell>
          <cell r="AB53">
            <v>5.1999999999999998E-2</v>
          </cell>
          <cell r="AC53">
            <v>8857142.8571428563</v>
          </cell>
          <cell r="AD53">
            <v>0</v>
          </cell>
          <cell r="AE53">
            <v>3358333.333333333</v>
          </cell>
          <cell r="AF53">
            <v>4428571.4285714282</v>
          </cell>
          <cell r="AG53">
            <v>4428571.4285714282</v>
          </cell>
          <cell r="AH53">
            <v>4428571.4285714282</v>
          </cell>
          <cell r="AI53">
            <v>0</v>
          </cell>
          <cell r="AJ53">
            <v>409716.66666666663</v>
          </cell>
          <cell r="AK53">
            <v>549142.85714285704</v>
          </cell>
          <cell r="AL53">
            <v>558000</v>
          </cell>
          <cell r="AM53">
            <v>566857.14285714284</v>
          </cell>
          <cell r="AN53">
            <v>0</v>
          </cell>
          <cell r="AO53">
            <v>147766.66666666666</v>
          </cell>
          <cell r="AP53">
            <v>212571.42857142855</v>
          </cell>
          <cell r="AQ53">
            <v>221428.57142857142</v>
          </cell>
          <cell r="AR53">
            <v>230285.71428571426</v>
          </cell>
          <cell r="AT53" t="str">
            <v>OPP-843085 - Identified - New - MR</v>
          </cell>
          <cell r="AU53">
            <v>812052.38095238083</v>
          </cell>
          <cell r="AV53">
            <v>812052.38095238083</v>
          </cell>
          <cell r="AW53">
            <v>0</v>
          </cell>
          <cell r="AX53">
            <v>0</v>
          </cell>
          <cell r="AZ53">
            <v>24</v>
          </cell>
          <cell r="BA53">
            <v>319</v>
          </cell>
          <cell r="BB53">
            <v>104</v>
          </cell>
        </row>
        <row r="54">
          <cell r="B54" t="str">
            <v>OPP-842402</v>
          </cell>
          <cell r="C54" t="str">
            <v>Redstone Installation Support Services (ISS)</v>
          </cell>
          <cell r="D54" t="str">
            <v>MR</v>
          </cell>
          <cell r="E54" t="str">
            <v>MR Warfighter Support</v>
          </cell>
          <cell r="F54" t="str">
            <v>Army</v>
          </cell>
          <cell r="G54" t="str">
            <v>DOD</v>
          </cell>
          <cell r="H54">
            <v>43983</v>
          </cell>
          <cell r="I54">
            <v>44046</v>
          </cell>
          <cell r="J54">
            <v>45507</v>
          </cell>
          <cell r="K54" t="str">
            <v>Sub</v>
          </cell>
          <cell r="L54" t="str">
            <v>Fixed Price</v>
          </cell>
          <cell r="M54" t="str">
            <v>Fixed Price</v>
          </cell>
          <cell r="N54" t="str">
            <v>Identified - New</v>
          </cell>
          <cell r="O54" t="str">
            <v>02 Capture</v>
          </cell>
          <cell r="P54" t="str">
            <v>Priority 2</v>
          </cell>
          <cell r="Q54">
            <v>0.15</v>
          </cell>
          <cell r="R54">
            <v>40000000</v>
          </cell>
          <cell r="S54">
            <v>0.12</v>
          </cell>
          <cell r="T54">
            <v>0.122</v>
          </cell>
          <cell r="U54">
            <v>0.124</v>
          </cell>
          <cell r="V54">
            <v>0.126</v>
          </cell>
          <cell r="W54">
            <v>0.128</v>
          </cell>
          <cell r="X54">
            <v>4.2999999999999997E-2</v>
          </cell>
          <cell r="Y54">
            <v>4.3999999999999997E-2</v>
          </cell>
          <cell r="Z54">
            <v>4.8000000000000001E-2</v>
          </cell>
          <cell r="AA54">
            <v>0.05</v>
          </cell>
          <cell r="AB54">
            <v>5.1999999999999998E-2</v>
          </cell>
          <cell r="AC54">
            <v>10000000</v>
          </cell>
          <cell r="AD54">
            <v>0</v>
          </cell>
          <cell r="AE54">
            <v>237499.99999999997</v>
          </cell>
          <cell r="AF54">
            <v>1500000</v>
          </cell>
          <cell r="AG54">
            <v>1500000</v>
          </cell>
          <cell r="AH54">
            <v>1500000</v>
          </cell>
          <cell r="AI54">
            <v>0</v>
          </cell>
          <cell r="AJ54">
            <v>28974.999999999996</v>
          </cell>
          <cell r="AK54">
            <v>186000</v>
          </cell>
          <cell r="AL54">
            <v>189000</v>
          </cell>
          <cell r="AM54">
            <v>192000</v>
          </cell>
          <cell r="AN54">
            <v>0</v>
          </cell>
          <cell r="AO54">
            <v>10449.999999999998</v>
          </cell>
          <cell r="AP54">
            <v>72000</v>
          </cell>
          <cell r="AQ54">
            <v>75000</v>
          </cell>
          <cell r="AR54">
            <v>78000</v>
          </cell>
          <cell r="AT54" t="str">
            <v>OPP-842402 - Identified - New - MR</v>
          </cell>
          <cell r="AU54">
            <v>235450</v>
          </cell>
          <cell r="AV54">
            <v>235450</v>
          </cell>
          <cell r="AW54">
            <v>0</v>
          </cell>
          <cell r="AX54">
            <v>0</v>
          </cell>
          <cell r="AZ54">
            <v>54</v>
          </cell>
          <cell r="BA54">
            <v>320</v>
          </cell>
          <cell r="BB54">
            <v>105</v>
          </cell>
        </row>
        <row r="55">
          <cell r="B55" t="str">
            <v>OPP-937977</v>
          </cell>
          <cell r="C55" t="str">
            <v>ACC PRIMARY TRAINING RANGES OPERATIONS MAINTENANCE AND SUPPORT (PTR)</v>
          </cell>
          <cell r="D55" t="str">
            <v>MR</v>
          </cell>
          <cell r="E55" t="str">
            <v>MR Warfighter Support</v>
          </cell>
          <cell r="F55" t="str">
            <v>Air Force</v>
          </cell>
          <cell r="G55" t="str">
            <v>DOD</v>
          </cell>
          <cell r="H55">
            <v>44853</v>
          </cell>
          <cell r="I55">
            <v>44928</v>
          </cell>
          <cell r="J55">
            <v>46754</v>
          </cell>
          <cell r="K55" t="str">
            <v>Sub</v>
          </cell>
          <cell r="L55" t="str">
            <v>Fixed Price</v>
          </cell>
          <cell r="M55" t="str">
            <v>Fixed Price</v>
          </cell>
          <cell r="N55" t="str">
            <v>Identified - New</v>
          </cell>
          <cell r="O55" t="str">
            <v>01 Prospect</v>
          </cell>
          <cell r="P55" t="str">
            <v>Priority 2</v>
          </cell>
          <cell r="Q55">
            <v>0.15</v>
          </cell>
          <cell r="R55">
            <v>25000000</v>
          </cell>
          <cell r="S55">
            <v>0.12</v>
          </cell>
          <cell r="T55">
            <v>0.122</v>
          </cell>
          <cell r="U55">
            <v>0.124</v>
          </cell>
          <cell r="V55">
            <v>0.126</v>
          </cell>
          <cell r="W55">
            <v>0.128</v>
          </cell>
          <cell r="X55">
            <v>4.2999999999999997E-2</v>
          </cell>
          <cell r="Y55">
            <v>4.3999999999999997E-2</v>
          </cell>
          <cell r="Z55">
            <v>4.8000000000000001E-2</v>
          </cell>
          <cell r="AA55">
            <v>0.05</v>
          </cell>
          <cell r="AB55">
            <v>5.1999999999999998E-2</v>
          </cell>
          <cell r="AC55">
            <v>5000000</v>
          </cell>
          <cell r="AD55">
            <v>0</v>
          </cell>
          <cell r="AE55">
            <v>0</v>
          </cell>
          <cell r="AF55">
            <v>0</v>
          </cell>
          <cell r="AG55">
            <v>0</v>
          </cell>
          <cell r="AH55">
            <v>558333.33333333337</v>
          </cell>
          <cell r="AI55">
            <v>0</v>
          </cell>
          <cell r="AJ55">
            <v>0</v>
          </cell>
          <cell r="AK55">
            <v>0</v>
          </cell>
          <cell r="AL55">
            <v>0</v>
          </cell>
          <cell r="AM55">
            <v>71466.666666666672</v>
          </cell>
          <cell r="AN55">
            <v>0</v>
          </cell>
          <cell r="AO55">
            <v>0</v>
          </cell>
          <cell r="AP55">
            <v>0</v>
          </cell>
          <cell r="AQ55">
            <v>0</v>
          </cell>
          <cell r="AR55">
            <v>29033.333333333336</v>
          </cell>
          <cell r="AT55" t="str">
            <v>OPP-937977 - Identified - New - MR</v>
          </cell>
          <cell r="AU55">
            <v>29033.333333333336</v>
          </cell>
          <cell r="AV55">
            <v>29033.333333333336</v>
          </cell>
          <cell r="AW55">
            <v>0</v>
          </cell>
          <cell r="AX55">
            <v>0</v>
          </cell>
          <cell r="AZ55">
            <v>88</v>
          </cell>
          <cell r="BA55">
            <v>321</v>
          </cell>
          <cell r="BB55">
            <v>106</v>
          </cell>
        </row>
        <row r="56">
          <cell r="B56" t="str">
            <v>OPP-938063</v>
          </cell>
          <cell r="C56" t="str">
            <v>Army Training Information System Support</v>
          </cell>
          <cell r="D56" t="str">
            <v>MR</v>
          </cell>
          <cell r="E56" t="str">
            <v>MR Warfighter Support</v>
          </cell>
          <cell r="F56" t="str">
            <v>Army</v>
          </cell>
          <cell r="G56" t="str">
            <v>DOD</v>
          </cell>
          <cell r="H56">
            <v>43864</v>
          </cell>
          <cell r="I56">
            <v>43891</v>
          </cell>
          <cell r="J56">
            <v>45352</v>
          </cell>
          <cell r="K56" t="str">
            <v>Prime</v>
          </cell>
          <cell r="L56" t="str">
            <v>Fixed Price</v>
          </cell>
          <cell r="M56" t="str">
            <v>Fixed Price</v>
          </cell>
          <cell r="N56" t="str">
            <v>Identified - New</v>
          </cell>
          <cell r="O56" t="str">
            <v>01 Prospect</v>
          </cell>
          <cell r="P56" t="str">
            <v>Priority 2</v>
          </cell>
          <cell r="Q56">
            <v>0.15</v>
          </cell>
          <cell r="R56">
            <v>20000000</v>
          </cell>
          <cell r="S56">
            <v>0.12</v>
          </cell>
          <cell r="T56">
            <v>0.122</v>
          </cell>
          <cell r="U56">
            <v>0.124</v>
          </cell>
          <cell r="V56">
            <v>0.126</v>
          </cell>
          <cell r="W56">
            <v>0.128</v>
          </cell>
          <cell r="X56">
            <v>4.2999999999999997E-2</v>
          </cell>
          <cell r="Y56">
            <v>4.3999999999999997E-2</v>
          </cell>
          <cell r="Z56">
            <v>4.8000000000000001E-2</v>
          </cell>
          <cell r="AA56">
            <v>0.05</v>
          </cell>
          <cell r="AB56">
            <v>5.1999999999999998E-2</v>
          </cell>
          <cell r="AC56">
            <v>5000000</v>
          </cell>
          <cell r="AD56">
            <v>0</v>
          </cell>
          <cell r="AE56">
            <v>435416.66666666669</v>
          </cell>
          <cell r="AF56">
            <v>750000</v>
          </cell>
          <cell r="AG56">
            <v>750000</v>
          </cell>
          <cell r="AH56">
            <v>750000</v>
          </cell>
          <cell r="AI56">
            <v>0</v>
          </cell>
          <cell r="AJ56">
            <v>53120.833333333336</v>
          </cell>
          <cell r="AK56">
            <v>93000</v>
          </cell>
          <cell r="AL56">
            <v>94500</v>
          </cell>
          <cell r="AM56">
            <v>96000</v>
          </cell>
          <cell r="AN56">
            <v>0</v>
          </cell>
          <cell r="AO56">
            <v>19158.333333333332</v>
          </cell>
          <cell r="AP56">
            <v>36000</v>
          </cell>
          <cell r="AQ56">
            <v>37500</v>
          </cell>
          <cell r="AR56">
            <v>39000</v>
          </cell>
          <cell r="AT56" t="str">
            <v>OPP-938063 - Identified - New - MR</v>
          </cell>
          <cell r="AU56">
            <v>131658.33333333331</v>
          </cell>
          <cell r="AV56">
            <v>131658.33333333331</v>
          </cell>
          <cell r="AW56">
            <v>0</v>
          </cell>
          <cell r="AX56">
            <v>0</v>
          </cell>
          <cell r="AZ56">
            <v>67</v>
          </cell>
          <cell r="BA56">
            <v>322</v>
          </cell>
          <cell r="BB56">
            <v>107</v>
          </cell>
        </row>
        <row r="57">
          <cell r="B57" t="str">
            <v>OPP-845622</v>
          </cell>
          <cell r="C57" t="str">
            <v>Remote Piloted Aircraft System (RPAS)</v>
          </cell>
          <cell r="D57" t="str">
            <v>MR</v>
          </cell>
          <cell r="E57" t="str">
            <v>MR Warfighter Support</v>
          </cell>
          <cell r="F57" t="str">
            <v>Foreign Government</v>
          </cell>
          <cell r="G57" t="str">
            <v>Non-US Gov't</v>
          </cell>
          <cell r="H57">
            <v>43956</v>
          </cell>
          <cell r="I57">
            <v>43956</v>
          </cell>
          <cell r="J57">
            <v>45417</v>
          </cell>
          <cell r="K57" t="str">
            <v>Prime</v>
          </cell>
          <cell r="L57" t="str">
            <v>Fixed Price</v>
          </cell>
          <cell r="M57" t="str">
            <v>Fixed Price</v>
          </cell>
          <cell r="N57" t="str">
            <v>Identified - New</v>
          </cell>
          <cell r="O57" t="str">
            <v>01 Prospect</v>
          </cell>
          <cell r="P57" t="str">
            <v>Priority 1</v>
          </cell>
          <cell r="Q57">
            <v>0.15</v>
          </cell>
          <cell r="R57">
            <v>15000000</v>
          </cell>
          <cell r="S57">
            <v>0.12</v>
          </cell>
          <cell r="T57">
            <v>0.122</v>
          </cell>
          <cell r="U57">
            <v>0.124</v>
          </cell>
          <cell r="V57">
            <v>0.126</v>
          </cell>
          <cell r="W57">
            <v>0.128</v>
          </cell>
          <cell r="X57">
            <v>4.2999999999999997E-2</v>
          </cell>
          <cell r="Y57">
            <v>4.3999999999999997E-2</v>
          </cell>
          <cell r="Z57">
            <v>4.8000000000000001E-2</v>
          </cell>
          <cell r="AA57">
            <v>0.05</v>
          </cell>
          <cell r="AB57">
            <v>5.1999999999999998E-2</v>
          </cell>
          <cell r="AC57">
            <v>3750000</v>
          </cell>
          <cell r="AD57">
            <v>0</v>
          </cell>
          <cell r="AE57">
            <v>226562.5</v>
          </cell>
          <cell r="AF57">
            <v>562500</v>
          </cell>
          <cell r="AG57">
            <v>562500</v>
          </cell>
          <cell r="AH57">
            <v>562500</v>
          </cell>
          <cell r="AI57">
            <v>0</v>
          </cell>
          <cell r="AJ57">
            <v>27640.625</v>
          </cell>
          <cell r="AK57">
            <v>69750</v>
          </cell>
          <cell r="AL57">
            <v>70875</v>
          </cell>
          <cell r="AM57">
            <v>72000</v>
          </cell>
          <cell r="AN57">
            <v>0</v>
          </cell>
          <cell r="AO57">
            <v>9968.75</v>
          </cell>
          <cell r="AP57">
            <v>27000</v>
          </cell>
          <cell r="AQ57">
            <v>28125</v>
          </cell>
          <cell r="AR57">
            <v>29250</v>
          </cell>
          <cell r="AT57" t="str">
            <v>OPP-845622 - Identified - New - MR</v>
          </cell>
          <cell r="AU57">
            <v>94343.75</v>
          </cell>
          <cell r="AV57">
            <v>94343.75</v>
          </cell>
          <cell r="AW57">
            <v>0</v>
          </cell>
          <cell r="AX57">
            <v>0</v>
          </cell>
          <cell r="AZ57">
            <v>76</v>
          </cell>
          <cell r="BA57">
            <v>323</v>
          </cell>
          <cell r="BB57">
            <v>108</v>
          </cell>
        </row>
        <row r="58">
          <cell r="B58" t="str">
            <v>OPP-937965</v>
          </cell>
          <cell r="C58" t="str">
            <v>MELROSE AIR FORCE RANGE OPERATIONS SERVICES (MAFR)</v>
          </cell>
          <cell r="D58" t="str">
            <v>MR</v>
          </cell>
          <cell r="E58" t="str">
            <v>MR Warfighter Support</v>
          </cell>
          <cell r="F58" t="str">
            <v>Air Force</v>
          </cell>
          <cell r="G58" t="str">
            <v>DOD</v>
          </cell>
          <cell r="H58">
            <v>44470</v>
          </cell>
          <cell r="I58">
            <v>44531</v>
          </cell>
          <cell r="J58">
            <v>45992</v>
          </cell>
          <cell r="K58" t="str">
            <v>Sub</v>
          </cell>
          <cell r="L58" t="str">
            <v>Fixed Price</v>
          </cell>
          <cell r="M58" t="str">
            <v>Fixed Price</v>
          </cell>
          <cell r="N58" t="str">
            <v>Identified - New</v>
          </cell>
          <cell r="O58" t="str">
            <v>01 Prospect</v>
          </cell>
          <cell r="P58" t="str">
            <v>Priority 2</v>
          </cell>
          <cell r="Q58">
            <v>0.25</v>
          </cell>
          <cell r="R58">
            <v>14000000</v>
          </cell>
          <cell r="S58">
            <v>0.12</v>
          </cell>
          <cell r="T58">
            <v>0.122</v>
          </cell>
          <cell r="U58">
            <v>0.124</v>
          </cell>
          <cell r="V58">
            <v>0.126</v>
          </cell>
          <cell r="W58">
            <v>0.128</v>
          </cell>
          <cell r="X58">
            <v>4.2999999999999997E-2</v>
          </cell>
          <cell r="Y58">
            <v>4.3999999999999997E-2</v>
          </cell>
          <cell r="Z58">
            <v>4.8000000000000001E-2</v>
          </cell>
          <cell r="AA58">
            <v>0.05</v>
          </cell>
          <cell r="AB58">
            <v>5.1999999999999998E-2</v>
          </cell>
          <cell r="AC58">
            <v>3500000</v>
          </cell>
          <cell r="AD58">
            <v>0</v>
          </cell>
          <cell r="AE58">
            <v>0</v>
          </cell>
          <cell r="AF58">
            <v>0</v>
          </cell>
          <cell r="AG58">
            <v>726736.11111111112</v>
          </cell>
          <cell r="AH58">
            <v>875000</v>
          </cell>
          <cell r="AI58">
            <v>0</v>
          </cell>
          <cell r="AJ58">
            <v>0</v>
          </cell>
          <cell r="AK58">
            <v>0</v>
          </cell>
          <cell r="AL58">
            <v>91568.75</v>
          </cell>
          <cell r="AM58">
            <v>112000</v>
          </cell>
          <cell r="AN58">
            <v>0</v>
          </cell>
          <cell r="AO58">
            <v>0</v>
          </cell>
          <cell r="AP58">
            <v>0</v>
          </cell>
          <cell r="AQ58">
            <v>36336.805555555555</v>
          </cell>
          <cell r="AR58">
            <v>45500</v>
          </cell>
          <cell r="AT58" t="str">
            <v>OPP-937965 - Identified - New - MR</v>
          </cell>
          <cell r="AU58">
            <v>81836.805555555562</v>
          </cell>
          <cell r="AV58">
            <v>81836.805555555562</v>
          </cell>
          <cell r="AW58">
            <v>0</v>
          </cell>
          <cell r="AX58">
            <v>0</v>
          </cell>
          <cell r="AZ58">
            <v>77</v>
          </cell>
          <cell r="BA58">
            <v>324</v>
          </cell>
          <cell r="BB58">
            <v>109</v>
          </cell>
        </row>
        <row r="59">
          <cell r="B59" t="str">
            <v>OPP-927678</v>
          </cell>
          <cell r="C59" t="str">
            <v>Big Safari RSO+</v>
          </cell>
          <cell r="D59" t="str">
            <v>MR</v>
          </cell>
          <cell r="E59" t="str">
            <v>MR Warfighter Support</v>
          </cell>
          <cell r="F59" t="str">
            <v>National Guard</v>
          </cell>
          <cell r="G59" t="str">
            <v>National Guard</v>
          </cell>
          <cell r="H59">
            <v>43784</v>
          </cell>
          <cell r="I59">
            <v>43798</v>
          </cell>
          <cell r="J59">
            <v>44894</v>
          </cell>
          <cell r="K59" t="str">
            <v>Prime</v>
          </cell>
          <cell r="L59" t="str">
            <v>Fixed Price</v>
          </cell>
          <cell r="M59" t="str">
            <v>Fixed Price</v>
          </cell>
          <cell r="N59" t="str">
            <v>Identified - New</v>
          </cell>
          <cell r="O59" t="str">
            <v>02 Capture</v>
          </cell>
          <cell r="P59" t="str">
            <v>Priority 3</v>
          </cell>
          <cell r="Q59">
            <v>0.9</v>
          </cell>
          <cell r="R59">
            <v>7000000</v>
          </cell>
          <cell r="S59">
            <v>0.12</v>
          </cell>
          <cell r="T59">
            <v>0.122</v>
          </cell>
          <cell r="U59">
            <v>0.124</v>
          </cell>
          <cell r="V59">
            <v>0.126</v>
          </cell>
          <cell r="W59">
            <v>0.128</v>
          </cell>
          <cell r="X59">
            <v>4.2999999999999997E-2</v>
          </cell>
          <cell r="Y59">
            <v>4.3999999999999997E-2</v>
          </cell>
          <cell r="Z59">
            <v>4.8000000000000001E-2</v>
          </cell>
          <cell r="AA59">
            <v>0.05</v>
          </cell>
          <cell r="AB59">
            <v>5.1999999999999998E-2</v>
          </cell>
          <cell r="AC59">
            <v>2333333.3333333335</v>
          </cell>
          <cell r="AD59">
            <v>0</v>
          </cell>
          <cell r="AE59">
            <v>1755833.3333333335</v>
          </cell>
          <cell r="AF59">
            <v>2100000</v>
          </cell>
          <cell r="AG59">
            <v>2100000</v>
          </cell>
          <cell r="AH59">
            <v>344166.66666666605</v>
          </cell>
          <cell r="AI59">
            <v>0</v>
          </cell>
          <cell r="AJ59">
            <v>214211.66666666669</v>
          </cell>
          <cell r="AK59">
            <v>260400</v>
          </cell>
          <cell r="AL59">
            <v>264600</v>
          </cell>
          <cell r="AM59">
            <v>44053.333333333256</v>
          </cell>
          <cell r="AN59">
            <v>0</v>
          </cell>
          <cell r="AO59">
            <v>77256.666666666672</v>
          </cell>
          <cell r="AP59">
            <v>100800</v>
          </cell>
          <cell r="AQ59">
            <v>105000</v>
          </cell>
          <cell r="AR59">
            <v>17896.666666666635</v>
          </cell>
          <cell r="AT59" t="str">
            <v>OPP-927678 - Identified - New - MR</v>
          </cell>
          <cell r="AU59">
            <v>300953.33333333331</v>
          </cell>
          <cell r="AV59">
            <v>300953.33333333331</v>
          </cell>
          <cell r="AW59">
            <v>0</v>
          </cell>
          <cell r="AX59">
            <v>0</v>
          </cell>
          <cell r="AZ59">
            <v>49</v>
          </cell>
          <cell r="BA59">
            <v>325</v>
          </cell>
          <cell r="BB59">
            <v>110</v>
          </cell>
        </row>
        <row r="60">
          <cell r="B60" t="str">
            <v>OPP-864199</v>
          </cell>
          <cell r="C60" t="str">
            <v>Remote Split Operations (RSO) Plus</v>
          </cell>
          <cell r="D60" t="str">
            <v>MR</v>
          </cell>
          <cell r="E60" t="str">
            <v>MR Warfighter Support</v>
          </cell>
          <cell r="F60" t="str">
            <v>National Guard</v>
          </cell>
          <cell r="G60" t="str">
            <v>National Guard</v>
          </cell>
          <cell r="H60">
            <v>44075</v>
          </cell>
          <cell r="I60">
            <v>44104</v>
          </cell>
          <cell r="J60">
            <v>45930</v>
          </cell>
          <cell r="K60" t="str">
            <v>Sub</v>
          </cell>
          <cell r="L60" t="str">
            <v>Fixed Price</v>
          </cell>
          <cell r="M60" t="str">
            <v>Fixed Price</v>
          </cell>
          <cell r="N60" t="str">
            <v>Identified - New</v>
          </cell>
          <cell r="O60" t="str">
            <v>02 Capture</v>
          </cell>
          <cell r="P60" t="str">
            <v>Priority 3</v>
          </cell>
          <cell r="Q60">
            <v>0.9</v>
          </cell>
          <cell r="R60">
            <v>2000000</v>
          </cell>
          <cell r="S60">
            <v>0.12</v>
          </cell>
          <cell r="T60">
            <v>0.122</v>
          </cell>
          <cell r="U60">
            <v>0.124</v>
          </cell>
          <cell r="V60">
            <v>0.126</v>
          </cell>
          <cell r="W60">
            <v>0.128</v>
          </cell>
          <cell r="X60">
            <v>4.2999999999999997E-2</v>
          </cell>
          <cell r="Y60">
            <v>4.3999999999999997E-2</v>
          </cell>
          <cell r="Z60">
            <v>4.8000000000000001E-2</v>
          </cell>
          <cell r="AA60">
            <v>0.05</v>
          </cell>
          <cell r="AB60">
            <v>5.1999999999999998E-2</v>
          </cell>
          <cell r="AC60">
            <v>400000</v>
          </cell>
          <cell r="AD60">
            <v>0</v>
          </cell>
          <cell r="AE60">
            <v>0</v>
          </cell>
          <cell r="AF60">
            <v>360000</v>
          </cell>
          <cell r="AG60">
            <v>360000</v>
          </cell>
          <cell r="AH60">
            <v>360000</v>
          </cell>
          <cell r="AI60">
            <v>0</v>
          </cell>
          <cell r="AJ60">
            <v>0</v>
          </cell>
          <cell r="AK60">
            <v>44640</v>
          </cell>
          <cell r="AL60">
            <v>45360</v>
          </cell>
          <cell r="AM60">
            <v>46080</v>
          </cell>
          <cell r="AN60">
            <v>0</v>
          </cell>
          <cell r="AO60">
            <v>0</v>
          </cell>
          <cell r="AP60">
            <v>17280</v>
          </cell>
          <cell r="AQ60">
            <v>18000</v>
          </cell>
          <cell r="AR60">
            <v>18720</v>
          </cell>
          <cell r="AT60" t="str">
            <v>OPP-864199 - Identified - New - MR</v>
          </cell>
          <cell r="AU60">
            <v>54000</v>
          </cell>
          <cell r="AV60">
            <v>54000</v>
          </cell>
          <cell r="AW60">
            <v>0</v>
          </cell>
          <cell r="AX60">
            <v>0</v>
          </cell>
          <cell r="AZ60">
            <v>85</v>
          </cell>
          <cell r="BA60">
            <v>326</v>
          </cell>
          <cell r="BB60">
            <v>111</v>
          </cell>
        </row>
        <row r="61">
          <cell r="B61" t="str">
            <v>OPP-859277</v>
          </cell>
          <cell r="C61" t="str">
            <v>T-1A Contractor Logistics Support Services (CLS)</v>
          </cell>
          <cell r="D61" t="str">
            <v>MR</v>
          </cell>
          <cell r="E61" t="str">
            <v>MR Maintenance &amp; Sustainment</v>
          </cell>
          <cell r="F61" t="str">
            <v>Air Force</v>
          </cell>
          <cell r="G61" t="str">
            <v>DOD</v>
          </cell>
          <cell r="H61">
            <v>44903</v>
          </cell>
          <cell r="I61">
            <v>44903</v>
          </cell>
          <cell r="J61">
            <v>47825</v>
          </cell>
          <cell r="K61" t="str">
            <v>Prime</v>
          </cell>
          <cell r="L61" t="str">
            <v>Fixed Price</v>
          </cell>
          <cell r="M61" t="str">
            <v>Fixed Price</v>
          </cell>
          <cell r="N61" t="str">
            <v>Identified - New</v>
          </cell>
          <cell r="O61" t="str">
            <v>02 Capture</v>
          </cell>
          <cell r="P61" t="str">
            <v>Priority 1</v>
          </cell>
          <cell r="Q61">
            <v>0.25</v>
          </cell>
          <cell r="R61">
            <v>90000000</v>
          </cell>
          <cell r="S61">
            <v>0.15</v>
          </cell>
          <cell r="T61">
            <v>0.153</v>
          </cell>
          <cell r="U61">
            <v>0.158</v>
          </cell>
          <cell r="V61">
            <v>0.16</v>
          </cell>
          <cell r="W61">
            <v>0.16</v>
          </cell>
          <cell r="X61">
            <v>4.4999999999999998E-2</v>
          </cell>
          <cell r="Y61">
            <v>4.7E-2</v>
          </cell>
          <cell r="Z61">
            <v>4.7500000000000001E-2</v>
          </cell>
          <cell r="AA61">
            <v>0.05</v>
          </cell>
          <cell r="AB61">
            <v>0.05</v>
          </cell>
          <cell r="AC61">
            <v>11250000</v>
          </cell>
          <cell r="AD61">
            <v>0</v>
          </cell>
          <cell r="AE61">
            <v>0</v>
          </cell>
          <cell r="AF61">
            <v>0</v>
          </cell>
          <cell r="AG61">
            <v>0</v>
          </cell>
          <cell r="AH61">
            <v>2281250</v>
          </cell>
          <cell r="AI61">
            <v>0</v>
          </cell>
          <cell r="AJ61">
            <v>0</v>
          </cell>
          <cell r="AK61">
            <v>0</v>
          </cell>
          <cell r="AL61">
            <v>0</v>
          </cell>
          <cell r="AM61">
            <v>365000</v>
          </cell>
          <cell r="AN61">
            <v>0</v>
          </cell>
          <cell r="AO61">
            <v>0</v>
          </cell>
          <cell r="AP61">
            <v>0</v>
          </cell>
          <cell r="AQ61">
            <v>0</v>
          </cell>
          <cell r="AR61">
            <v>114062.5</v>
          </cell>
          <cell r="AT61" t="str">
            <v>OPP-859277 - Identified - New - MR</v>
          </cell>
          <cell r="AU61">
            <v>114062.5</v>
          </cell>
          <cell r="AV61">
            <v>114062.5</v>
          </cell>
          <cell r="AW61">
            <v>0</v>
          </cell>
          <cell r="AX61">
            <v>0</v>
          </cell>
          <cell r="AZ61">
            <v>70</v>
          </cell>
          <cell r="BA61">
            <v>327</v>
          </cell>
          <cell r="BB61">
            <v>112</v>
          </cell>
        </row>
        <row r="62">
          <cell r="B62" t="str">
            <v>OPP-861056</v>
          </cell>
          <cell r="C62" t="str">
            <v>Third Party Logistics for Europe-Wide Movement (3PLEWM)</v>
          </cell>
          <cell r="D62" t="str">
            <v>MR</v>
          </cell>
          <cell r="E62" t="str">
            <v>MR Maintenance &amp; Sustainment</v>
          </cell>
          <cell r="F62" t="str">
            <v>Army</v>
          </cell>
          <cell r="G62" t="str">
            <v>DOD</v>
          </cell>
          <cell r="H62">
            <v>43763</v>
          </cell>
          <cell r="I62">
            <v>43773</v>
          </cell>
          <cell r="J62">
            <v>44869</v>
          </cell>
          <cell r="K62" t="str">
            <v>Prime</v>
          </cell>
          <cell r="L62" t="str">
            <v>Fixed Price</v>
          </cell>
          <cell r="M62" t="str">
            <v>Fixed Price</v>
          </cell>
          <cell r="N62" t="str">
            <v>Identified - New</v>
          </cell>
          <cell r="O62" t="str">
            <v>03 Proposal</v>
          </cell>
          <cell r="P62" t="str">
            <v>Priority 3</v>
          </cell>
          <cell r="Q62">
            <v>0.2</v>
          </cell>
          <cell r="R62">
            <v>50000000</v>
          </cell>
          <cell r="S62">
            <v>0.15</v>
          </cell>
          <cell r="T62">
            <v>0.153</v>
          </cell>
          <cell r="U62">
            <v>0.158</v>
          </cell>
          <cell r="V62">
            <v>0.16</v>
          </cell>
          <cell r="W62">
            <v>0.16</v>
          </cell>
          <cell r="X62">
            <v>4.4999999999999998E-2</v>
          </cell>
          <cell r="Y62">
            <v>4.7E-2</v>
          </cell>
          <cell r="Z62">
            <v>4.7500000000000001E-2</v>
          </cell>
          <cell r="AA62">
            <v>0.05</v>
          </cell>
          <cell r="AB62">
            <v>0.05</v>
          </cell>
          <cell r="AC62">
            <v>16666666.666666666</v>
          </cell>
          <cell r="AD62">
            <v>0</v>
          </cell>
          <cell r="AE62">
            <v>3018518.5185185187</v>
          </cell>
          <cell r="AF62">
            <v>3333333.3333333335</v>
          </cell>
          <cell r="AG62">
            <v>3333333.3333333335</v>
          </cell>
          <cell r="AH62">
            <v>314814.81481481344</v>
          </cell>
          <cell r="AI62">
            <v>0</v>
          </cell>
          <cell r="AJ62">
            <v>461833.33333333337</v>
          </cell>
          <cell r="AK62">
            <v>526666.66666666674</v>
          </cell>
          <cell r="AL62">
            <v>533333.33333333337</v>
          </cell>
          <cell r="AM62">
            <v>50370.370370370154</v>
          </cell>
          <cell r="AN62">
            <v>0</v>
          </cell>
          <cell r="AO62">
            <v>141870.37037037036</v>
          </cell>
          <cell r="AP62">
            <v>158333.33333333334</v>
          </cell>
          <cell r="AQ62">
            <v>166666.66666666669</v>
          </cell>
          <cell r="AR62">
            <v>15740.740740740672</v>
          </cell>
          <cell r="AT62" t="str">
            <v>OPP-861056 - Identified - New - MR</v>
          </cell>
          <cell r="AU62">
            <v>482611.11111111107</v>
          </cell>
          <cell r="AV62">
            <v>482611.11111111107</v>
          </cell>
          <cell r="AW62">
            <v>0</v>
          </cell>
          <cell r="AX62">
            <v>0</v>
          </cell>
          <cell r="AZ62">
            <v>35</v>
          </cell>
          <cell r="BA62">
            <v>328</v>
          </cell>
          <cell r="BB62">
            <v>113</v>
          </cell>
        </row>
        <row r="63">
          <cell r="B63" t="str">
            <v>OPP-896548</v>
          </cell>
          <cell r="C63" t="str">
            <v>MATERIAL MANAGEMENT AND MAINTENANCE LOGISTICS SUPPORT 88TH LRS</v>
          </cell>
          <cell r="D63" t="str">
            <v>MR</v>
          </cell>
          <cell r="E63" t="str">
            <v>MR Maintenance &amp; Sustainment</v>
          </cell>
          <cell r="F63" t="str">
            <v>Air Force</v>
          </cell>
          <cell r="G63" t="str">
            <v>DOD</v>
          </cell>
          <cell r="H63">
            <v>43672</v>
          </cell>
          <cell r="I63">
            <v>43739</v>
          </cell>
          <cell r="J63">
            <v>45566</v>
          </cell>
          <cell r="K63" t="str">
            <v>Sub</v>
          </cell>
          <cell r="L63" t="str">
            <v>Fixed Price</v>
          </cell>
          <cell r="M63" t="str">
            <v>Fixed Price</v>
          </cell>
          <cell r="N63" t="str">
            <v>Identified - New</v>
          </cell>
          <cell r="O63" t="str">
            <v>04 Submitted</v>
          </cell>
          <cell r="P63" t="str">
            <v>Priority 3</v>
          </cell>
          <cell r="Q63">
            <v>0.25</v>
          </cell>
          <cell r="R63">
            <v>30000000</v>
          </cell>
          <cell r="S63">
            <v>0.15</v>
          </cell>
          <cell r="T63">
            <v>0.153</v>
          </cell>
          <cell r="U63">
            <v>0.158</v>
          </cell>
          <cell r="V63">
            <v>0.16</v>
          </cell>
          <cell r="W63">
            <v>0.16</v>
          </cell>
          <cell r="X63">
            <v>4.4999999999999998E-2</v>
          </cell>
          <cell r="Y63">
            <v>4.7E-2</v>
          </cell>
          <cell r="Z63">
            <v>4.7500000000000001E-2</v>
          </cell>
          <cell r="AA63">
            <v>0.05</v>
          </cell>
          <cell r="AB63">
            <v>0.05</v>
          </cell>
          <cell r="AC63">
            <v>6000000</v>
          </cell>
          <cell r="AD63">
            <v>0</v>
          </cell>
          <cell r="AE63">
            <v>1495833.3333333333</v>
          </cell>
          <cell r="AF63">
            <v>1500000</v>
          </cell>
          <cell r="AG63">
            <v>1500000</v>
          </cell>
          <cell r="AH63">
            <v>1500000</v>
          </cell>
          <cell r="AI63">
            <v>0</v>
          </cell>
          <cell r="AJ63">
            <v>228862.49999999997</v>
          </cell>
          <cell r="AK63">
            <v>237000</v>
          </cell>
          <cell r="AL63">
            <v>240000</v>
          </cell>
          <cell r="AM63">
            <v>240000</v>
          </cell>
          <cell r="AN63">
            <v>0</v>
          </cell>
          <cell r="AO63">
            <v>70304.166666666657</v>
          </cell>
          <cell r="AP63">
            <v>71250</v>
          </cell>
          <cell r="AQ63">
            <v>75000</v>
          </cell>
          <cell r="AR63">
            <v>75000</v>
          </cell>
          <cell r="AT63" t="str">
            <v>OPP-896548 - Identified - New - MR</v>
          </cell>
          <cell r="AU63">
            <v>291554.16666666663</v>
          </cell>
          <cell r="AV63">
            <v>291554.16666666663</v>
          </cell>
          <cell r="AW63">
            <v>0</v>
          </cell>
          <cell r="AX63">
            <v>0</v>
          </cell>
          <cell r="AZ63">
            <v>50</v>
          </cell>
          <cell r="BA63">
            <v>329</v>
          </cell>
          <cell r="BB63">
            <v>114</v>
          </cell>
        </row>
        <row r="64">
          <cell r="B64" t="str">
            <v>OPP-679967</v>
          </cell>
          <cell r="C64" t="str">
            <v>Ft Hood DPW</v>
          </cell>
          <cell r="D64" t="str">
            <v>MR</v>
          </cell>
          <cell r="E64" t="str">
            <v>MR Maintenance &amp; Sustainment</v>
          </cell>
          <cell r="F64" t="str">
            <v>Army</v>
          </cell>
          <cell r="G64" t="str">
            <v>DOD</v>
          </cell>
          <cell r="H64">
            <v>43834</v>
          </cell>
          <cell r="I64">
            <v>43836</v>
          </cell>
          <cell r="J64">
            <v>45663</v>
          </cell>
          <cell r="K64" t="str">
            <v>Sub</v>
          </cell>
          <cell r="L64" t="str">
            <v>Fixed Price</v>
          </cell>
          <cell r="M64" t="str">
            <v>Fixed Price</v>
          </cell>
          <cell r="N64" t="str">
            <v>Identified - New</v>
          </cell>
          <cell r="O64" t="str">
            <v>02 Capture</v>
          </cell>
          <cell r="P64" t="str">
            <v>Priority 3</v>
          </cell>
          <cell r="Q64">
            <v>0.25</v>
          </cell>
          <cell r="R64">
            <v>15000000</v>
          </cell>
          <cell r="S64">
            <v>0.15</v>
          </cell>
          <cell r="T64">
            <v>0.153</v>
          </cell>
          <cell r="U64">
            <v>0.158</v>
          </cell>
          <cell r="V64">
            <v>0.16</v>
          </cell>
          <cell r="W64">
            <v>0.16</v>
          </cell>
          <cell r="X64">
            <v>4.4999999999999998E-2</v>
          </cell>
          <cell r="Y64">
            <v>4.7E-2</v>
          </cell>
          <cell r="Z64">
            <v>4.7500000000000001E-2</v>
          </cell>
          <cell r="AA64">
            <v>0.05</v>
          </cell>
          <cell r="AB64">
            <v>0.05</v>
          </cell>
          <cell r="AC64">
            <v>3000000</v>
          </cell>
          <cell r="AD64">
            <v>0</v>
          </cell>
          <cell r="AE64">
            <v>550000</v>
          </cell>
          <cell r="AF64">
            <v>750000</v>
          </cell>
          <cell r="AG64">
            <v>750000</v>
          </cell>
          <cell r="AH64">
            <v>750000</v>
          </cell>
          <cell r="AI64">
            <v>0</v>
          </cell>
          <cell r="AJ64">
            <v>84150</v>
          </cell>
          <cell r="AK64">
            <v>118500</v>
          </cell>
          <cell r="AL64">
            <v>120000</v>
          </cell>
          <cell r="AM64">
            <v>120000</v>
          </cell>
          <cell r="AN64">
            <v>0</v>
          </cell>
          <cell r="AO64">
            <v>25850</v>
          </cell>
          <cell r="AP64">
            <v>35625</v>
          </cell>
          <cell r="AQ64">
            <v>37500</v>
          </cell>
          <cell r="AR64">
            <v>37500</v>
          </cell>
          <cell r="AT64" t="str">
            <v>OPP-679967 - Identified - New - MR</v>
          </cell>
          <cell r="AU64">
            <v>136475</v>
          </cell>
          <cell r="AV64">
            <v>136475</v>
          </cell>
          <cell r="AW64">
            <v>0</v>
          </cell>
          <cell r="AX64">
            <v>0</v>
          </cell>
          <cell r="AZ64">
            <v>66</v>
          </cell>
          <cell r="BA64">
            <v>330</v>
          </cell>
          <cell r="BB64">
            <v>115</v>
          </cell>
        </row>
        <row r="65">
          <cell r="B65" t="str">
            <v>OPP-459456</v>
          </cell>
          <cell r="C65" t="str">
            <v>NASA Ames RC Fully Integrated Lifecycle Mission Support Services (FILMSS II)</v>
          </cell>
          <cell r="D65" t="str">
            <v>MR</v>
          </cell>
          <cell r="E65" t="str">
            <v>MR NASA</v>
          </cell>
          <cell r="F65" t="str">
            <v>NASA</v>
          </cell>
          <cell r="G65" t="str">
            <v>NASA</v>
          </cell>
          <cell r="H65">
            <v>43862</v>
          </cell>
          <cell r="I65">
            <v>44044</v>
          </cell>
          <cell r="J65">
            <v>45870</v>
          </cell>
          <cell r="K65" t="str">
            <v>Prime</v>
          </cell>
          <cell r="L65" t="str">
            <v>Cost Plus Fixed Fee</v>
          </cell>
          <cell r="M65" t="str">
            <v>Cost Reimbursable</v>
          </cell>
          <cell r="N65" t="str">
            <v>Identified - New</v>
          </cell>
          <cell r="O65" t="str">
            <v>04 Submitted</v>
          </cell>
          <cell r="P65" t="str">
            <v>Priority 2</v>
          </cell>
          <cell r="Q65">
            <v>0.5</v>
          </cell>
          <cell r="R65">
            <v>160939000</v>
          </cell>
          <cell r="S65">
            <v>0.13</v>
          </cell>
          <cell r="T65">
            <v>0.13200000000000001</v>
          </cell>
          <cell r="U65">
            <v>0.13300000000000001</v>
          </cell>
          <cell r="V65">
            <v>0.13500000000000001</v>
          </cell>
          <cell r="W65">
            <v>0.13600000000000001</v>
          </cell>
          <cell r="X65">
            <v>0.04</v>
          </cell>
          <cell r="Y65">
            <v>4.3999999999999997E-2</v>
          </cell>
          <cell r="Z65">
            <v>4.5999999999999999E-2</v>
          </cell>
          <cell r="AA65">
            <v>4.7E-2</v>
          </cell>
          <cell r="AB65">
            <v>4.8000000000000001E-2</v>
          </cell>
          <cell r="AC65">
            <v>32187800</v>
          </cell>
          <cell r="AD65">
            <v>0</v>
          </cell>
          <cell r="AE65">
            <v>2637611.388888889</v>
          </cell>
          <cell r="AF65">
            <v>16093900</v>
          </cell>
          <cell r="AG65">
            <v>16093900</v>
          </cell>
          <cell r="AH65">
            <v>16093900</v>
          </cell>
          <cell r="AI65">
            <v>0</v>
          </cell>
          <cell r="AJ65">
            <v>348164.70333333337</v>
          </cell>
          <cell r="AK65">
            <v>2140488.7000000002</v>
          </cell>
          <cell r="AL65">
            <v>2172676.5</v>
          </cell>
          <cell r="AM65">
            <v>2188770.4000000004</v>
          </cell>
          <cell r="AN65">
            <v>0</v>
          </cell>
          <cell r="AO65">
            <v>116054.9011111111</v>
          </cell>
          <cell r="AP65">
            <v>740319.4</v>
          </cell>
          <cell r="AQ65">
            <v>756413.3</v>
          </cell>
          <cell r="AR65">
            <v>772507.20000000007</v>
          </cell>
          <cell r="AT65" t="str">
            <v>OPP-459456 - Identified - New - MR</v>
          </cell>
          <cell r="AU65">
            <v>2385294.8011111114</v>
          </cell>
          <cell r="AV65">
            <v>2385294.8011111114</v>
          </cell>
          <cell r="AW65">
            <v>0</v>
          </cell>
          <cell r="AX65">
            <v>0</v>
          </cell>
          <cell r="AZ65">
            <v>8</v>
          </cell>
          <cell r="BA65">
            <v>331</v>
          </cell>
          <cell r="BB65">
            <v>116</v>
          </cell>
        </row>
        <row r="66">
          <cell r="B66" t="str">
            <v>OPP-415763</v>
          </cell>
          <cell r="C66" t="str">
            <v>NASA GSFC/WFF WESC</v>
          </cell>
          <cell r="D66" t="str">
            <v>MR</v>
          </cell>
          <cell r="E66" t="str">
            <v>MR NASA</v>
          </cell>
          <cell r="F66" t="str">
            <v>NASA</v>
          </cell>
          <cell r="G66" t="str">
            <v>NASA</v>
          </cell>
          <cell r="H66">
            <v>43770</v>
          </cell>
          <cell r="I66">
            <v>43800</v>
          </cell>
          <cell r="J66">
            <v>45627</v>
          </cell>
          <cell r="K66" t="str">
            <v>Sub</v>
          </cell>
          <cell r="L66" t="str">
            <v>IDIQ/Mixed Cost-Plus/Fixed</v>
          </cell>
          <cell r="M66" t="str">
            <v>Other</v>
          </cell>
          <cell r="N66" t="str">
            <v>Identified - New</v>
          </cell>
          <cell r="O66" t="str">
            <v>01 Prospect</v>
          </cell>
          <cell r="P66" t="str">
            <v>Priority 3</v>
          </cell>
          <cell r="Q66">
            <v>0.15</v>
          </cell>
          <cell r="R66">
            <v>15000000</v>
          </cell>
          <cell r="S66">
            <v>0.13</v>
          </cell>
          <cell r="T66">
            <v>0.13200000000000001</v>
          </cell>
          <cell r="U66">
            <v>0.13300000000000001</v>
          </cell>
          <cell r="V66">
            <v>0.13500000000000001</v>
          </cell>
          <cell r="W66">
            <v>0.13600000000000001</v>
          </cell>
          <cell r="X66">
            <v>0.04</v>
          </cell>
          <cell r="Y66">
            <v>4.3999999999999997E-2</v>
          </cell>
          <cell r="Z66">
            <v>4.5999999999999999E-2</v>
          </cell>
          <cell r="AA66">
            <v>4.7E-2</v>
          </cell>
          <cell r="AB66">
            <v>4.8000000000000001E-2</v>
          </cell>
          <cell r="AC66">
            <v>3000000</v>
          </cell>
          <cell r="AD66">
            <v>0</v>
          </cell>
          <cell r="AE66">
            <v>373750.00000000006</v>
          </cell>
          <cell r="AF66">
            <v>450000</v>
          </cell>
          <cell r="AG66">
            <v>450000</v>
          </cell>
          <cell r="AH66">
            <v>450000</v>
          </cell>
          <cell r="AI66">
            <v>0</v>
          </cell>
          <cell r="AJ66">
            <v>49335.000000000007</v>
          </cell>
          <cell r="AK66">
            <v>59850</v>
          </cell>
          <cell r="AL66">
            <v>60750.000000000007</v>
          </cell>
          <cell r="AM66">
            <v>61200.000000000007</v>
          </cell>
          <cell r="AN66">
            <v>0</v>
          </cell>
          <cell r="AO66">
            <v>16445</v>
          </cell>
          <cell r="AP66">
            <v>20700</v>
          </cell>
          <cell r="AQ66">
            <v>21150</v>
          </cell>
          <cell r="AR66">
            <v>21600</v>
          </cell>
          <cell r="AT66" t="str">
            <v>OPP-415763 - Identified - New - MR</v>
          </cell>
          <cell r="AU66">
            <v>79895</v>
          </cell>
          <cell r="AV66">
            <v>79895</v>
          </cell>
          <cell r="AW66">
            <v>0</v>
          </cell>
          <cell r="AX66">
            <v>0</v>
          </cell>
          <cell r="AZ66">
            <v>78</v>
          </cell>
          <cell r="BA66">
            <v>332</v>
          </cell>
          <cell r="BB66">
            <v>117</v>
          </cell>
        </row>
        <row r="67">
          <cell r="B67" t="str">
            <v>OPP-459448</v>
          </cell>
          <cell r="C67" t="str">
            <v>NASA MSFC Marshall Operations Services Systems &amp; Integration (MOSSI)</v>
          </cell>
          <cell r="D67" t="str">
            <v>MR</v>
          </cell>
          <cell r="E67" t="str">
            <v>MR NASA</v>
          </cell>
          <cell r="F67" t="str">
            <v>NASA</v>
          </cell>
          <cell r="G67" t="str">
            <v>NASA</v>
          </cell>
          <cell r="H67">
            <v>43952</v>
          </cell>
          <cell r="I67">
            <v>44105</v>
          </cell>
          <cell r="J67">
            <v>45931</v>
          </cell>
          <cell r="K67" t="str">
            <v>Sub</v>
          </cell>
          <cell r="L67" t="str">
            <v>Cost Plus Award Fee</v>
          </cell>
          <cell r="M67" t="str">
            <v>Cost Reimbursable</v>
          </cell>
          <cell r="N67" t="str">
            <v>Identified - New</v>
          </cell>
          <cell r="O67" t="str">
            <v>04 Submitted</v>
          </cell>
          <cell r="P67" t="str">
            <v>Priority 3</v>
          </cell>
          <cell r="Q67">
            <v>0.25</v>
          </cell>
          <cell r="R67">
            <v>10880000</v>
          </cell>
          <cell r="S67">
            <v>0.13</v>
          </cell>
          <cell r="T67">
            <v>0.13200000000000001</v>
          </cell>
          <cell r="U67">
            <v>0.13300000000000001</v>
          </cell>
          <cell r="V67">
            <v>0.13500000000000001</v>
          </cell>
          <cell r="W67">
            <v>0.13600000000000001</v>
          </cell>
          <cell r="X67">
            <v>0.04</v>
          </cell>
          <cell r="Y67">
            <v>4.3999999999999997E-2</v>
          </cell>
          <cell r="Z67">
            <v>4.5999999999999999E-2</v>
          </cell>
          <cell r="AA67">
            <v>4.7E-2</v>
          </cell>
          <cell r="AB67">
            <v>4.8000000000000001E-2</v>
          </cell>
          <cell r="AC67">
            <v>2176000</v>
          </cell>
          <cell r="AD67">
            <v>0</v>
          </cell>
          <cell r="AE67">
            <v>0</v>
          </cell>
          <cell r="AF67">
            <v>542488.88888888888</v>
          </cell>
          <cell r="AG67">
            <v>544000</v>
          </cell>
          <cell r="AH67">
            <v>544000</v>
          </cell>
          <cell r="AI67">
            <v>0</v>
          </cell>
          <cell r="AJ67">
            <v>0</v>
          </cell>
          <cell r="AK67">
            <v>72151.022222222222</v>
          </cell>
          <cell r="AL67">
            <v>73440</v>
          </cell>
          <cell r="AM67">
            <v>73984</v>
          </cell>
          <cell r="AN67">
            <v>0</v>
          </cell>
          <cell r="AO67">
            <v>0</v>
          </cell>
          <cell r="AP67">
            <v>24954.488888888889</v>
          </cell>
          <cell r="AQ67">
            <v>25568</v>
          </cell>
          <cell r="AR67">
            <v>26112</v>
          </cell>
          <cell r="AT67" t="str">
            <v>OPP-459448 - Identified - New - MR</v>
          </cell>
          <cell r="AU67">
            <v>76634.488888888882</v>
          </cell>
          <cell r="AV67">
            <v>76634.488888888882</v>
          </cell>
          <cell r="AW67">
            <v>0</v>
          </cell>
          <cell r="AX67">
            <v>0</v>
          </cell>
          <cell r="AZ67">
            <v>79</v>
          </cell>
          <cell r="BA67">
            <v>333</v>
          </cell>
          <cell r="BB67">
            <v>118</v>
          </cell>
        </row>
        <row r="68">
          <cell r="B68" t="str">
            <v>OPP-458994</v>
          </cell>
          <cell r="C68" t="str">
            <v>NASA GSFC Hydrosperic Biospheric Science Support (HBS)</v>
          </cell>
          <cell r="D68" t="str">
            <v>MR</v>
          </cell>
          <cell r="E68" t="str">
            <v>MR NASA</v>
          </cell>
          <cell r="F68" t="str">
            <v>NASA</v>
          </cell>
          <cell r="G68" t="str">
            <v>NASA</v>
          </cell>
          <cell r="H68">
            <v>43860</v>
          </cell>
          <cell r="I68">
            <v>43952</v>
          </cell>
          <cell r="J68">
            <v>45778</v>
          </cell>
          <cell r="K68" t="str">
            <v>Sub</v>
          </cell>
          <cell r="L68" t="str">
            <v>Cost Plus Fixed Fee</v>
          </cell>
          <cell r="M68" t="str">
            <v>Cost Reimbursable</v>
          </cell>
          <cell r="N68" t="str">
            <v>Identified - New</v>
          </cell>
          <cell r="O68" t="str">
            <v>03 Proposal</v>
          </cell>
          <cell r="P68" t="str">
            <v>Priority 3</v>
          </cell>
          <cell r="Q68">
            <v>0.35</v>
          </cell>
          <cell r="R68">
            <v>5000000</v>
          </cell>
          <cell r="S68">
            <v>0.13</v>
          </cell>
          <cell r="T68">
            <v>0.13200000000000001</v>
          </cell>
          <cell r="U68">
            <v>0.13300000000000001</v>
          </cell>
          <cell r="V68">
            <v>0.13500000000000001</v>
          </cell>
          <cell r="W68">
            <v>0.13600000000000001</v>
          </cell>
          <cell r="X68">
            <v>0.04</v>
          </cell>
          <cell r="Y68">
            <v>4.3999999999999997E-2</v>
          </cell>
          <cell r="Z68">
            <v>4.5999999999999999E-2</v>
          </cell>
          <cell r="AA68">
            <v>4.7E-2</v>
          </cell>
          <cell r="AB68">
            <v>4.8000000000000001E-2</v>
          </cell>
          <cell r="AC68">
            <v>1000000</v>
          </cell>
          <cell r="AD68">
            <v>0</v>
          </cell>
          <cell r="AE68">
            <v>144861.11111111109</v>
          </cell>
          <cell r="AF68">
            <v>350000</v>
          </cell>
          <cell r="AG68">
            <v>350000</v>
          </cell>
          <cell r="AH68">
            <v>350000</v>
          </cell>
          <cell r="AI68">
            <v>0</v>
          </cell>
          <cell r="AJ68">
            <v>19121.666666666664</v>
          </cell>
          <cell r="AK68">
            <v>46550</v>
          </cell>
          <cell r="AL68">
            <v>47250</v>
          </cell>
          <cell r="AM68">
            <v>47600</v>
          </cell>
          <cell r="AN68">
            <v>0</v>
          </cell>
          <cell r="AO68">
            <v>6373.8888888888878</v>
          </cell>
          <cell r="AP68">
            <v>16100</v>
          </cell>
          <cell r="AQ68">
            <v>16450</v>
          </cell>
          <cell r="AR68">
            <v>16800</v>
          </cell>
          <cell r="AT68" t="str">
            <v>OPP-458994 - Identified - New - MR</v>
          </cell>
          <cell r="AU68">
            <v>55723.888888888891</v>
          </cell>
          <cell r="AV68">
            <v>55723.888888888891</v>
          </cell>
          <cell r="AW68">
            <v>0</v>
          </cell>
          <cell r="AX68">
            <v>0</v>
          </cell>
          <cell r="AZ68">
            <v>84</v>
          </cell>
          <cell r="BA68">
            <v>334</v>
          </cell>
          <cell r="BB68">
            <v>119</v>
          </cell>
        </row>
        <row r="69">
          <cell r="B69" t="str">
            <v>OPP-932631</v>
          </cell>
          <cell r="C69" t="str">
            <v>AEC Warehouse and Dist Spt Svcs Cherry Point</v>
          </cell>
          <cell r="D69" t="str">
            <v>MR</v>
          </cell>
          <cell r="E69" t="str">
            <v>MR Logistics &amp; Supply</v>
          </cell>
          <cell r="F69" t="str">
            <v>DLA</v>
          </cell>
          <cell r="G69" t="str">
            <v>DLA</v>
          </cell>
          <cell r="H69">
            <v>43843</v>
          </cell>
          <cell r="I69">
            <v>43899</v>
          </cell>
          <cell r="J69">
            <v>45725</v>
          </cell>
          <cell r="K69" t="str">
            <v>Sub</v>
          </cell>
          <cell r="L69" t="str">
            <v>T&amp;M</v>
          </cell>
          <cell r="M69" t="str">
            <v>T&amp;M</v>
          </cell>
          <cell r="N69" t="str">
            <v>Identified - New</v>
          </cell>
          <cell r="O69" t="str">
            <v>04 Submitted</v>
          </cell>
          <cell r="P69" t="str">
            <v>Priority 3</v>
          </cell>
          <cell r="Q69">
            <v>0.25</v>
          </cell>
          <cell r="R69">
            <v>18000000</v>
          </cell>
          <cell r="S69">
            <v>0.13</v>
          </cell>
          <cell r="T69">
            <v>0.13300000000000001</v>
          </cell>
          <cell r="U69">
            <v>0.13300000000000001</v>
          </cell>
          <cell r="V69">
            <v>0.13400000000000001</v>
          </cell>
          <cell r="W69">
            <v>0.13500000000000001</v>
          </cell>
          <cell r="X69">
            <v>0.04</v>
          </cell>
          <cell r="Y69">
            <v>4.2500000000000003E-2</v>
          </cell>
          <cell r="Z69">
            <v>4.4999999999999998E-2</v>
          </cell>
          <cell r="AA69">
            <v>4.5999999999999999E-2</v>
          </cell>
          <cell r="AB69">
            <v>4.7E-2</v>
          </cell>
          <cell r="AC69">
            <v>3600000</v>
          </cell>
          <cell r="AD69">
            <v>0</v>
          </cell>
          <cell r="AE69">
            <v>502500</v>
          </cell>
          <cell r="AF69">
            <v>900000</v>
          </cell>
          <cell r="AG69">
            <v>900000</v>
          </cell>
          <cell r="AH69">
            <v>900000</v>
          </cell>
          <cell r="AI69">
            <v>0</v>
          </cell>
          <cell r="AJ69">
            <v>66832.5</v>
          </cell>
          <cell r="AK69">
            <v>119700</v>
          </cell>
          <cell r="AL69">
            <v>120600</v>
          </cell>
          <cell r="AM69">
            <v>121500.00000000001</v>
          </cell>
          <cell r="AN69">
            <v>0</v>
          </cell>
          <cell r="AO69">
            <v>21356.25</v>
          </cell>
          <cell r="AP69">
            <v>40500</v>
          </cell>
          <cell r="AQ69">
            <v>41400</v>
          </cell>
          <cell r="AR69">
            <v>42300</v>
          </cell>
          <cell r="AT69" t="str">
            <v>OPP-932631 - Identified - New - MR</v>
          </cell>
          <cell r="AU69">
            <v>145556.25</v>
          </cell>
          <cell r="AV69">
            <v>145556.25</v>
          </cell>
          <cell r="AW69">
            <v>0</v>
          </cell>
          <cell r="AX69">
            <v>0</v>
          </cell>
          <cell r="AZ69">
            <v>63</v>
          </cell>
          <cell r="BA69">
            <v>335</v>
          </cell>
          <cell r="BB69">
            <v>120</v>
          </cell>
        </row>
        <row r="70">
          <cell r="B70" t="str">
            <v>OPP-708299</v>
          </cell>
          <cell r="C70" t="str">
            <v>DLA Labor and Logistics Support for DLA Maritime</v>
          </cell>
          <cell r="D70" t="str">
            <v>MR</v>
          </cell>
          <cell r="E70" t="str">
            <v>MR Logistics &amp; Supply</v>
          </cell>
          <cell r="F70" t="str">
            <v>DLA</v>
          </cell>
          <cell r="G70" t="str">
            <v>DLA</v>
          </cell>
          <cell r="H70">
            <v>44166</v>
          </cell>
          <cell r="I70">
            <v>44166</v>
          </cell>
          <cell r="J70">
            <v>45992</v>
          </cell>
          <cell r="K70" t="str">
            <v>Sub</v>
          </cell>
          <cell r="L70" t="str">
            <v>Hybrid/Mixed Cost-Plus/Fixed</v>
          </cell>
          <cell r="M70" t="str">
            <v>Other</v>
          </cell>
          <cell r="N70" t="str">
            <v>Identified - New</v>
          </cell>
          <cell r="O70" t="str">
            <v>01 Prospect</v>
          </cell>
          <cell r="P70" t="str">
            <v>Priority 3</v>
          </cell>
          <cell r="Q70">
            <v>0.25</v>
          </cell>
          <cell r="R70">
            <v>15000000</v>
          </cell>
          <cell r="S70">
            <v>0.13</v>
          </cell>
          <cell r="T70">
            <v>0.13300000000000001</v>
          </cell>
          <cell r="U70">
            <v>0.13300000000000001</v>
          </cell>
          <cell r="V70">
            <v>0.13400000000000001</v>
          </cell>
          <cell r="W70">
            <v>0.13500000000000001</v>
          </cell>
          <cell r="X70">
            <v>0.04</v>
          </cell>
          <cell r="Y70">
            <v>4.2500000000000003E-2</v>
          </cell>
          <cell r="Z70">
            <v>4.4999999999999998E-2</v>
          </cell>
          <cell r="AA70">
            <v>4.5999999999999999E-2</v>
          </cell>
          <cell r="AB70">
            <v>4.7E-2</v>
          </cell>
          <cell r="AC70">
            <v>3000000</v>
          </cell>
          <cell r="AD70">
            <v>0</v>
          </cell>
          <cell r="AE70">
            <v>0</v>
          </cell>
          <cell r="AF70">
            <v>622916.66666666674</v>
          </cell>
          <cell r="AG70">
            <v>750000</v>
          </cell>
          <cell r="AH70">
            <v>750000</v>
          </cell>
          <cell r="AI70">
            <v>0</v>
          </cell>
          <cell r="AJ70">
            <v>0</v>
          </cell>
          <cell r="AK70">
            <v>82847.916666666686</v>
          </cell>
          <cell r="AL70">
            <v>100500</v>
          </cell>
          <cell r="AM70">
            <v>101250</v>
          </cell>
          <cell r="AN70">
            <v>0</v>
          </cell>
          <cell r="AO70">
            <v>0</v>
          </cell>
          <cell r="AP70">
            <v>28031.250000000004</v>
          </cell>
          <cell r="AQ70">
            <v>34500</v>
          </cell>
          <cell r="AR70">
            <v>35250</v>
          </cell>
          <cell r="AT70" t="str">
            <v>OPP-708299 - Identified - New - MR</v>
          </cell>
          <cell r="AU70">
            <v>97781.25</v>
          </cell>
          <cell r="AV70">
            <v>97781.25</v>
          </cell>
          <cell r="AW70">
            <v>0</v>
          </cell>
          <cell r="AX70">
            <v>0</v>
          </cell>
          <cell r="AZ70">
            <v>74</v>
          </cell>
          <cell r="BA70">
            <v>336</v>
          </cell>
          <cell r="BB70">
            <v>121</v>
          </cell>
        </row>
        <row r="71">
          <cell r="B71" t="str">
            <v>OPP-673534</v>
          </cell>
          <cell r="C71" t="str">
            <v>RS3-18-0008 ARMY Integrated Base Defense SS (IBD-SS)</v>
          </cell>
          <cell r="D71" t="str">
            <v>MR</v>
          </cell>
          <cell r="E71" t="str">
            <v>MR Logistics &amp; Supply</v>
          </cell>
          <cell r="F71" t="str">
            <v>Army</v>
          </cell>
          <cell r="G71" t="str">
            <v>DOD</v>
          </cell>
          <cell r="H71">
            <v>43752</v>
          </cell>
          <cell r="I71">
            <v>43891</v>
          </cell>
          <cell r="J71">
            <v>45716</v>
          </cell>
          <cell r="K71" t="str">
            <v>Prime</v>
          </cell>
          <cell r="L71" t="str">
            <v>Hybrid/Mixed Cost-Plus/Fixed</v>
          </cell>
          <cell r="M71" t="str">
            <v>Other</v>
          </cell>
          <cell r="N71" t="str">
            <v>Identified - New</v>
          </cell>
          <cell r="O71" t="str">
            <v>04 Submitted</v>
          </cell>
          <cell r="P71" t="str">
            <v>Priority 1</v>
          </cell>
          <cell r="Q71">
            <v>0.25</v>
          </cell>
          <cell r="R71">
            <v>550000000</v>
          </cell>
          <cell r="S71">
            <v>0.14000000000000001</v>
          </cell>
          <cell r="T71">
            <v>0.14499999999999999</v>
          </cell>
          <cell r="U71">
            <v>0.15</v>
          </cell>
          <cell r="V71">
            <v>0.1525</v>
          </cell>
          <cell r="W71">
            <v>0.155</v>
          </cell>
          <cell r="X71">
            <v>0.04</v>
          </cell>
          <cell r="Y71">
            <v>4.2000000000000003E-2</v>
          </cell>
          <cell r="Z71">
            <v>4.3999999999999997E-2</v>
          </cell>
          <cell r="AA71">
            <v>4.5999999999999999E-2</v>
          </cell>
          <cell r="AB71">
            <v>4.7E-2</v>
          </cell>
          <cell r="AC71">
            <v>110183639.39899834</v>
          </cell>
          <cell r="AD71">
            <v>0</v>
          </cell>
          <cell r="AE71">
            <v>15991930.99610462</v>
          </cell>
          <cell r="AF71">
            <v>27545909.849749584</v>
          </cell>
          <cell r="AG71">
            <v>27545909.849749584</v>
          </cell>
          <cell r="AH71">
            <v>27545909.849749584</v>
          </cell>
          <cell r="AI71">
            <v>0</v>
          </cell>
          <cell r="AJ71">
            <v>2318829.9944351697</v>
          </cell>
          <cell r="AK71">
            <v>4131886.4774624375</v>
          </cell>
          <cell r="AL71">
            <v>4200751.2520868117</v>
          </cell>
          <cell r="AM71">
            <v>4269616.0267111855</v>
          </cell>
          <cell r="AN71">
            <v>0</v>
          </cell>
          <cell r="AO71">
            <v>671661.10183639405</v>
          </cell>
          <cell r="AP71">
            <v>1212020.0333889816</v>
          </cell>
          <cell r="AQ71">
            <v>1267111.8530884809</v>
          </cell>
          <cell r="AR71">
            <v>1294657.7629382305</v>
          </cell>
          <cell r="AT71" t="str">
            <v>OPP-673534 - Identified - New - MR</v>
          </cell>
          <cell r="AU71">
            <v>4445450.7512520868</v>
          </cell>
          <cell r="AV71">
            <v>4445450.7512520868</v>
          </cell>
          <cell r="AW71">
            <v>0</v>
          </cell>
          <cell r="AX71">
            <v>0</v>
          </cell>
          <cell r="AZ71">
            <v>4</v>
          </cell>
          <cell r="BA71">
            <v>337</v>
          </cell>
          <cell r="BB71">
            <v>122</v>
          </cell>
        </row>
        <row r="72">
          <cell r="B72" t="str">
            <v>OPP-865329</v>
          </cell>
          <cell r="C72" t="str">
            <v>ABERDEEN TEST SUPPORT SERVICES FOR THE ABERDEEN TEST CENTER (ATSS)(ATEC)</v>
          </cell>
          <cell r="D72" t="str">
            <v>MR</v>
          </cell>
          <cell r="E72" t="str">
            <v>MR Warfighter Support</v>
          </cell>
          <cell r="F72" t="str">
            <v>Army</v>
          </cell>
          <cell r="G72" t="str">
            <v>DOD</v>
          </cell>
          <cell r="H72">
            <v>44063</v>
          </cell>
          <cell r="I72">
            <v>44075</v>
          </cell>
          <cell r="J72">
            <v>45901</v>
          </cell>
          <cell r="K72" t="str">
            <v>Prime</v>
          </cell>
          <cell r="L72" t="str">
            <v>Hybrid/Mixed Cost-Plus/Fixed</v>
          </cell>
          <cell r="M72" t="str">
            <v>Other</v>
          </cell>
          <cell r="N72" t="str">
            <v>Identified - New</v>
          </cell>
          <cell r="O72" t="str">
            <v>02 Capture</v>
          </cell>
          <cell r="P72" t="str">
            <v>Priority 1</v>
          </cell>
          <cell r="Q72">
            <v>0.15</v>
          </cell>
          <cell r="R72">
            <v>250000000</v>
          </cell>
          <cell r="S72">
            <v>0.12</v>
          </cell>
          <cell r="T72">
            <v>0.122</v>
          </cell>
          <cell r="U72">
            <v>0.124</v>
          </cell>
          <cell r="V72">
            <v>0.126</v>
          </cell>
          <cell r="W72">
            <v>0.128</v>
          </cell>
          <cell r="X72">
            <v>0.04</v>
          </cell>
          <cell r="Y72">
            <v>0.04</v>
          </cell>
          <cell r="Z72">
            <v>4.2999999999999997E-2</v>
          </cell>
          <cell r="AA72">
            <v>4.2999999999999997E-2</v>
          </cell>
          <cell r="AB72">
            <v>4.4999999999999998E-2</v>
          </cell>
          <cell r="AC72">
            <v>50000000</v>
          </cell>
          <cell r="AD72">
            <v>0</v>
          </cell>
          <cell r="AE72">
            <v>604166.66666666663</v>
          </cell>
          <cell r="AF72">
            <v>7500000</v>
          </cell>
          <cell r="AG72">
            <v>7500000</v>
          </cell>
          <cell r="AH72">
            <v>7500000</v>
          </cell>
          <cell r="AI72">
            <v>0</v>
          </cell>
          <cell r="AJ72">
            <v>73708.333333333328</v>
          </cell>
          <cell r="AK72">
            <v>930000</v>
          </cell>
          <cell r="AL72">
            <v>945000</v>
          </cell>
          <cell r="AM72">
            <v>960000</v>
          </cell>
          <cell r="AN72">
            <v>0</v>
          </cell>
          <cell r="AO72">
            <v>24166.666666666664</v>
          </cell>
          <cell r="AP72">
            <v>322500</v>
          </cell>
          <cell r="AQ72">
            <v>322500</v>
          </cell>
          <cell r="AR72">
            <v>337500</v>
          </cell>
          <cell r="AT72" t="str">
            <v>OPP-865329 - Identified - New - MR</v>
          </cell>
          <cell r="AU72">
            <v>1006666.6666666667</v>
          </cell>
          <cell r="AV72">
            <v>1006666.6666666667</v>
          </cell>
          <cell r="AW72">
            <v>0</v>
          </cell>
          <cell r="AX72">
            <v>0</v>
          </cell>
          <cell r="AZ72">
            <v>20</v>
          </cell>
          <cell r="BA72">
            <v>338</v>
          </cell>
          <cell r="BB72">
            <v>123</v>
          </cell>
        </row>
        <row r="73">
          <cell r="B73" t="str">
            <v>OPP-937959</v>
          </cell>
          <cell r="C73" t="str">
            <v>MISSION TEST SUPPORT SERVICES (MTSS)</v>
          </cell>
          <cell r="D73" t="str">
            <v>MR</v>
          </cell>
          <cell r="E73" t="str">
            <v>MR Warfighter Support</v>
          </cell>
          <cell r="F73" t="str">
            <v>Army</v>
          </cell>
          <cell r="G73" t="str">
            <v>DOD</v>
          </cell>
          <cell r="H73">
            <v>44655</v>
          </cell>
          <cell r="I73">
            <v>44713</v>
          </cell>
          <cell r="J73">
            <v>46539</v>
          </cell>
          <cell r="K73" t="str">
            <v>Prime</v>
          </cell>
          <cell r="L73" t="str">
            <v>Hybrid/Mixed Cost-Plus/Fixed</v>
          </cell>
          <cell r="M73" t="str">
            <v>Other</v>
          </cell>
          <cell r="N73" t="str">
            <v>Identified - New</v>
          </cell>
          <cell r="O73" t="str">
            <v>01 Prospect</v>
          </cell>
          <cell r="P73" t="str">
            <v>Priority 1</v>
          </cell>
          <cell r="Q73">
            <v>0.15</v>
          </cell>
          <cell r="R73">
            <v>450000000</v>
          </cell>
          <cell r="S73">
            <v>0.12</v>
          </cell>
          <cell r="T73">
            <v>0.122</v>
          </cell>
          <cell r="U73">
            <v>0.124</v>
          </cell>
          <cell r="V73">
            <v>0.126</v>
          </cell>
          <cell r="W73">
            <v>0.128</v>
          </cell>
          <cell r="X73">
            <v>0.04</v>
          </cell>
          <cell r="Y73">
            <v>0.04</v>
          </cell>
          <cell r="Z73">
            <v>4.2999999999999997E-2</v>
          </cell>
          <cell r="AA73">
            <v>4.2999999999999997E-2</v>
          </cell>
          <cell r="AB73">
            <v>4.4999999999999998E-2</v>
          </cell>
          <cell r="AC73">
            <v>90000000</v>
          </cell>
          <cell r="AD73">
            <v>0</v>
          </cell>
          <cell r="AE73">
            <v>0</v>
          </cell>
          <cell r="AF73">
            <v>0</v>
          </cell>
          <cell r="AG73">
            <v>4462500</v>
          </cell>
          <cell r="AH73">
            <v>13500000</v>
          </cell>
          <cell r="AI73">
            <v>0</v>
          </cell>
          <cell r="AJ73">
            <v>0</v>
          </cell>
          <cell r="AK73">
            <v>0</v>
          </cell>
          <cell r="AL73">
            <v>562275</v>
          </cell>
          <cell r="AM73">
            <v>1728000</v>
          </cell>
          <cell r="AN73">
            <v>0</v>
          </cell>
          <cell r="AO73">
            <v>0</v>
          </cell>
          <cell r="AP73">
            <v>0</v>
          </cell>
          <cell r="AQ73">
            <v>191887.49999999997</v>
          </cell>
          <cell r="AR73">
            <v>607500</v>
          </cell>
          <cell r="AT73" t="str">
            <v>OPP-937959 - Identified - New - MR</v>
          </cell>
          <cell r="AU73">
            <v>799387.5</v>
          </cell>
          <cell r="AV73">
            <v>799387.5</v>
          </cell>
          <cell r="AW73">
            <v>0</v>
          </cell>
          <cell r="AX73">
            <v>0</v>
          </cell>
          <cell r="AZ73">
            <v>25</v>
          </cell>
          <cell r="BA73">
            <v>339</v>
          </cell>
          <cell r="BB73">
            <v>124</v>
          </cell>
        </row>
        <row r="74">
          <cell r="B74" t="str">
            <v>OPP-925839</v>
          </cell>
          <cell r="C74" t="str">
            <v>SCTX Supply Chain Transformation</v>
          </cell>
          <cell r="D74" t="str">
            <v>MR</v>
          </cell>
          <cell r="E74" t="str">
            <v>MR Logistics &amp; Supply</v>
          </cell>
          <cell r="F74" t="str">
            <v>Foreign Government</v>
          </cell>
          <cell r="G74" t="str">
            <v>Non-US Gov't</v>
          </cell>
          <cell r="H74">
            <v>44630</v>
          </cell>
          <cell r="I74">
            <v>44713</v>
          </cell>
          <cell r="J74">
            <v>48366</v>
          </cell>
          <cell r="K74" t="str">
            <v>Prime</v>
          </cell>
          <cell r="L74" t="str">
            <v>Hybrid/Mixed Cost-Plus/Fixed</v>
          </cell>
          <cell r="M74" t="str">
            <v>Other</v>
          </cell>
          <cell r="N74" t="str">
            <v>Identified - New</v>
          </cell>
          <cell r="O74" t="str">
            <v>01 Prospect</v>
          </cell>
          <cell r="P74" t="str">
            <v>Priority 1</v>
          </cell>
          <cell r="Q74">
            <v>0.15</v>
          </cell>
          <cell r="R74">
            <v>515999865.83999997</v>
          </cell>
          <cell r="S74">
            <v>0.14000000000000001</v>
          </cell>
          <cell r="T74">
            <v>0.14199999999999999</v>
          </cell>
          <cell r="U74">
            <v>0.14399999999999999</v>
          </cell>
          <cell r="V74">
            <v>0.14599999999999999</v>
          </cell>
          <cell r="W74">
            <v>0.14799999999999999</v>
          </cell>
          <cell r="X74">
            <v>3.5000000000000003E-2</v>
          </cell>
          <cell r="Y74">
            <v>0.04</v>
          </cell>
          <cell r="Z74">
            <v>4.2500000000000003E-2</v>
          </cell>
          <cell r="AA74">
            <v>4.4999999999999998E-2</v>
          </cell>
          <cell r="AB74">
            <v>4.7500000000000001E-2</v>
          </cell>
          <cell r="AC74">
            <v>51599986.583999999</v>
          </cell>
          <cell r="AD74">
            <v>0</v>
          </cell>
          <cell r="AE74">
            <v>0</v>
          </cell>
          <cell r="AF74">
            <v>0</v>
          </cell>
          <cell r="AG74">
            <v>2558499.3347899998</v>
          </cell>
          <cell r="AH74">
            <v>7739997.9875999996</v>
          </cell>
          <cell r="AI74">
            <v>0</v>
          </cell>
          <cell r="AJ74">
            <v>0</v>
          </cell>
          <cell r="AK74">
            <v>0</v>
          </cell>
          <cell r="AL74">
            <v>373540.90287933993</v>
          </cell>
          <cell r="AM74">
            <v>1145519.7021647999</v>
          </cell>
          <cell r="AN74">
            <v>0</v>
          </cell>
          <cell r="AO74">
            <v>0</v>
          </cell>
          <cell r="AP74">
            <v>0</v>
          </cell>
          <cell r="AQ74">
            <v>115132.47006554999</v>
          </cell>
          <cell r="AR74">
            <v>367649.90441099997</v>
          </cell>
          <cell r="AT74" t="str">
            <v>OPP-925839 - Identified - New - MR</v>
          </cell>
          <cell r="AU74">
            <v>482782.37447654997</v>
          </cell>
          <cell r="AV74">
            <v>482782.37447654997</v>
          </cell>
          <cell r="AW74">
            <v>0</v>
          </cell>
          <cell r="AX74">
            <v>0</v>
          </cell>
          <cell r="AZ74">
            <v>34</v>
          </cell>
          <cell r="BA74">
            <v>340</v>
          </cell>
          <cell r="BB74">
            <v>125</v>
          </cell>
        </row>
        <row r="75">
          <cell r="B75" t="str">
            <v>OPP-673544</v>
          </cell>
          <cell r="C75" t="str">
            <v>RS3 Combined Field Support</v>
          </cell>
          <cell r="D75" t="str">
            <v>MR</v>
          </cell>
          <cell r="E75" t="str">
            <v>MR Logistics &amp; Supply</v>
          </cell>
          <cell r="F75" t="str">
            <v>Army</v>
          </cell>
          <cell r="G75" t="str">
            <v>DOD</v>
          </cell>
          <cell r="H75">
            <v>44060</v>
          </cell>
          <cell r="I75">
            <v>44109</v>
          </cell>
          <cell r="J75">
            <v>45935</v>
          </cell>
          <cell r="K75" t="str">
            <v>Prime</v>
          </cell>
          <cell r="L75" t="str">
            <v>Cost Plus Fixed Fee</v>
          </cell>
          <cell r="M75" t="str">
            <v>Cost Reimbursable</v>
          </cell>
          <cell r="N75" t="str">
            <v>Identified - New</v>
          </cell>
          <cell r="O75" t="str">
            <v>02 Capture</v>
          </cell>
          <cell r="P75" t="str">
            <v>Priority 1</v>
          </cell>
          <cell r="Q75">
            <v>0.2</v>
          </cell>
          <cell r="R75">
            <v>800000000</v>
          </cell>
          <cell r="S75">
            <v>0.14000000000000001</v>
          </cell>
          <cell r="T75">
            <v>0.14000000000000001</v>
          </cell>
          <cell r="U75">
            <v>0.14000000000000001</v>
          </cell>
          <cell r="V75">
            <v>0.14000000000000001</v>
          </cell>
          <cell r="W75">
            <v>0.14000000000000001</v>
          </cell>
          <cell r="X75">
            <v>0.03</v>
          </cell>
          <cell r="Y75">
            <v>3.5000000000000003E-2</v>
          </cell>
          <cell r="Z75">
            <v>0.04</v>
          </cell>
          <cell r="AA75">
            <v>0.04</v>
          </cell>
          <cell r="AB75">
            <v>4.2000000000000003E-2</v>
          </cell>
          <cell r="AC75">
            <v>160000000</v>
          </cell>
          <cell r="AD75">
            <v>0</v>
          </cell>
          <cell r="AE75">
            <v>0</v>
          </cell>
          <cell r="AF75">
            <v>31555555.55555556</v>
          </cell>
          <cell r="AG75">
            <v>32000000</v>
          </cell>
          <cell r="AH75">
            <v>32000000</v>
          </cell>
          <cell r="AI75">
            <v>0</v>
          </cell>
          <cell r="AJ75">
            <v>0</v>
          </cell>
          <cell r="AK75">
            <v>4417777.7777777789</v>
          </cell>
          <cell r="AL75">
            <v>4480000</v>
          </cell>
          <cell r="AM75">
            <v>4480000</v>
          </cell>
          <cell r="AN75">
            <v>0</v>
          </cell>
          <cell r="AO75">
            <v>0</v>
          </cell>
          <cell r="AP75">
            <v>1262222.2222222225</v>
          </cell>
          <cell r="AQ75">
            <v>1280000</v>
          </cell>
          <cell r="AR75">
            <v>1344000</v>
          </cell>
          <cell r="AT75" t="str">
            <v>OPP-673544 - Identified - New - MR</v>
          </cell>
          <cell r="AU75">
            <v>3886222.2222222225</v>
          </cell>
          <cell r="AV75">
            <v>3886222.2222222225</v>
          </cell>
          <cell r="AW75">
            <v>0</v>
          </cell>
          <cell r="AX75">
            <v>0</v>
          </cell>
          <cell r="AZ75">
            <v>5</v>
          </cell>
          <cell r="BA75">
            <v>341</v>
          </cell>
          <cell r="BB75">
            <v>126</v>
          </cell>
        </row>
        <row r="76">
          <cell r="B76" t="str">
            <v>OPP-800372</v>
          </cell>
          <cell r="C76" t="str">
            <v>Scientific &amp; Engineering Support to the US Army Electronic Proving Ground</v>
          </cell>
          <cell r="D76" t="str">
            <v>MR</v>
          </cell>
          <cell r="E76" t="str">
            <v>MR Warfighter Support</v>
          </cell>
          <cell r="F76" t="str">
            <v>Army</v>
          </cell>
          <cell r="G76" t="str">
            <v>DOD</v>
          </cell>
          <cell r="H76">
            <v>44621</v>
          </cell>
          <cell r="I76">
            <v>44652</v>
          </cell>
          <cell r="J76">
            <v>46478</v>
          </cell>
          <cell r="K76" t="str">
            <v>Prime</v>
          </cell>
          <cell r="L76" t="str">
            <v>Cost Plus Award Fee; Fixed Price</v>
          </cell>
          <cell r="M76" t="str">
            <v>Cost Reimbursable</v>
          </cell>
          <cell r="N76" t="str">
            <v>Identified - New</v>
          </cell>
          <cell r="O76" t="str">
            <v>01 Prospect</v>
          </cell>
          <cell r="P76" t="str">
            <v>Priority 2</v>
          </cell>
          <cell r="Q76">
            <v>0.15</v>
          </cell>
          <cell r="R76">
            <v>210000000</v>
          </cell>
          <cell r="S76">
            <v>0.12</v>
          </cell>
          <cell r="T76">
            <v>0.122</v>
          </cell>
          <cell r="U76">
            <v>0.124</v>
          </cell>
          <cell r="V76">
            <v>0.126</v>
          </cell>
          <cell r="W76">
            <v>0.128</v>
          </cell>
          <cell r="X76">
            <v>3.5000000000000003E-2</v>
          </cell>
          <cell r="Y76">
            <v>3.6999999999999998E-2</v>
          </cell>
          <cell r="Z76">
            <v>3.7999999999999999E-2</v>
          </cell>
          <cell r="AA76">
            <v>0.04</v>
          </cell>
          <cell r="AB76">
            <v>4.2999999999999997E-2</v>
          </cell>
          <cell r="AC76">
            <v>42000000</v>
          </cell>
          <cell r="AD76">
            <v>0</v>
          </cell>
          <cell r="AE76">
            <v>0</v>
          </cell>
          <cell r="AF76">
            <v>0</v>
          </cell>
          <cell r="AG76">
            <v>3132499.9999999995</v>
          </cell>
          <cell r="AH76">
            <v>6300000</v>
          </cell>
          <cell r="AI76">
            <v>0</v>
          </cell>
          <cell r="AJ76">
            <v>0</v>
          </cell>
          <cell r="AK76">
            <v>0</v>
          </cell>
          <cell r="AL76">
            <v>394694.99999999994</v>
          </cell>
          <cell r="AM76">
            <v>806400</v>
          </cell>
          <cell r="AN76">
            <v>0</v>
          </cell>
          <cell r="AO76">
            <v>0</v>
          </cell>
          <cell r="AP76">
            <v>0</v>
          </cell>
          <cell r="AQ76">
            <v>125299.99999999999</v>
          </cell>
          <cell r="AR76">
            <v>270900</v>
          </cell>
          <cell r="AT76" t="str">
            <v>OPP-800372 - Identified - New - MR</v>
          </cell>
          <cell r="AU76">
            <v>396200</v>
          </cell>
          <cell r="AV76">
            <v>396200</v>
          </cell>
          <cell r="AW76">
            <v>0</v>
          </cell>
          <cell r="AX76">
            <v>0</v>
          </cell>
          <cell r="AZ76">
            <v>39</v>
          </cell>
          <cell r="BA76">
            <v>342</v>
          </cell>
          <cell r="BB76">
            <v>127</v>
          </cell>
        </row>
        <row r="77">
          <cell r="B77" t="str">
            <v>OPP-887099</v>
          </cell>
          <cell r="C77" t="str">
            <v>Ascension Island Mission Support (AIMS)</v>
          </cell>
          <cell r="D77" t="str">
            <v>MR</v>
          </cell>
          <cell r="E77" t="str">
            <v>MR Warfighter Support</v>
          </cell>
          <cell r="F77" t="str">
            <v>Air Force</v>
          </cell>
          <cell r="G77" t="str">
            <v>DOD</v>
          </cell>
          <cell r="H77">
            <v>43998</v>
          </cell>
          <cell r="I77">
            <v>44105</v>
          </cell>
          <cell r="J77">
            <v>45931</v>
          </cell>
          <cell r="K77" t="str">
            <v>Sub</v>
          </cell>
          <cell r="L77" t="str">
            <v>Cost Plus Fixed Fee; Fixed Price</v>
          </cell>
          <cell r="M77" t="str">
            <v>Cost Reimbursable</v>
          </cell>
          <cell r="N77" t="str">
            <v>Identified - New</v>
          </cell>
          <cell r="O77" t="str">
            <v>02 Capture</v>
          </cell>
          <cell r="P77" t="str">
            <v>Priority 2</v>
          </cell>
          <cell r="Q77">
            <v>0.15</v>
          </cell>
          <cell r="R77">
            <v>50000000</v>
          </cell>
          <cell r="S77">
            <v>0.12</v>
          </cell>
          <cell r="T77">
            <v>0.122</v>
          </cell>
          <cell r="U77">
            <v>0.124</v>
          </cell>
          <cell r="V77">
            <v>0.126</v>
          </cell>
          <cell r="W77">
            <v>0.128</v>
          </cell>
          <cell r="X77">
            <v>3.5000000000000003E-2</v>
          </cell>
          <cell r="Y77">
            <v>3.6999999999999998E-2</v>
          </cell>
          <cell r="Z77">
            <v>3.7999999999999999E-2</v>
          </cell>
          <cell r="AA77">
            <v>0.04</v>
          </cell>
          <cell r="AB77">
            <v>4.2999999999999997E-2</v>
          </cell>
          <cell r="AC77">
            <v>10000000</v>
          </cell>
          <cell r="AD77">
            <v>0</v>
          </cell>
          <cell r="AE77">
            <v>0</v>
          </cell>
          <cell r="AF77">
            <v>1495833.3333333333</v>
          </cell>
          <cell r="AG77">
            <v>1500000</v>
          </cell>
          <cell r="AH77">
            <v>1500000</v>
          </cell>
          <cell r="AI77">
            <v>0</v>
          </cell>
          <cell r="AJ77">
            <v>0</v>
          </cell>
          <cell r="AK77">
            <v>185483.33333333331</v>
          </cell>
          <cell r="AL77">
            <v>189000</v>
          </cell>
          <cell r="AM77">
            <v>192000</v>
          </cell>
          <cell r="AN77">
            <v>0</v>
          </cell>
          <cell r="AO77">
            <v>0</v>
          </cell>
          <cell r="AP77">
            <v>56841.666666666664</v>
          </cell>
          <cell r="AQ77">
            <v>60000</v>
          </cell>
          <cell r="AR77">
            <v>64499.999999999993</v>
          </cell>
          <cell r="AT77" t="str">
            <v>OPP-887099 - Identified - New - MR</v>
          </cell>
          <cell r="AU77">
            <v>181341.66666666666</v>
          </cell>
          <cell r="AV77">
            <v>181341.66666666666</v>
          </cell>
          <cell r="AW77">
            <v>0</v>
          </cell>
          <cell r="AX77">
            <v>0</v>
          </cell>
          <cell r="AZ77">
            <v>58</v>
          </cell>
          <cell r="BA77">
            <v>343</v>
          </cell>
          <cell r="BB77">
            <v>128</v>
          </cell>
        </row>
        <row r="78">
          <cell r="B78" t="str">
            <v>OPP-870104</v>
          </cell>
          <cell r="C78" t="str">
            <v>Information Systems Security Officer (ISSO) Support</v>
          </cell>
          <cell r="D78" t="str">
            <v>MR</v>
          </cell>
          <cell r="E78" t="str">
            <v>MR Warfighter Support</v>
          </cell>
          <cell r="F78" t="str">
            <v>Army</v>
          </cell>
          <cell r="G78" t="str">
            <v>DOD</v>
          </cell>
          <cell r="H78">
            <v>43742</v>
          </cell>
          <cell r="I78">
            <v>43773</v>
          </cell>
          <cell r="J78">
            <v>45600</v>
          </cell>
          <cell r="K78" t="str">
            <v>Sub</v>
          </cell>
          <cell r="L78" t="str">
            <v>Cost Plus Fixed Fee</v>
          </cell>
          <cell r="M78" t="str">
            <v>Cost Reimbursable</v>
          </cell>
          <cell r="N78" t="str">
            <v>Identified - New</v>
          </cell>
          <cell r="O78" t="str">
            <v>02 Capture</v>
          </cell>
          <cell r="P78" t="str">
            <v>Priority 3</v>
          </cell>
          <cell r="Q78">
            <v>0.35</v>
          </cell>
          <cell r="R78">
            <v>35000000</v>
          </cell>
          <cell r="S78">
            <v>0.12</v>
          </cell>
          <cell r="T78">
            <v>0.122</v>
          </cell>
          <cell r="U78">
            <v>0.124</v>
          </cell>
          <cell r="V78">
            <v>0.126</v>
          </cell>
          <cell r="W78">
            <v>0.128</v>
          </cell>
          <cell r="X78">
            <v>3.5000000000000003E-2</v>
          </cell>
          <cell r="Y78">
            <v>3.6999999999999998E-2</v>
          </cell>
          <cell r="Z78">
            <v>3.7999999999999999E-2</v>
          </cell>
          <cell r="AA78">
            <v>0.04</v>
          </cell>
          <cell r="AB78">
            <v>4.2999999999999997E-2</v>
          </cell>
          <cell r="AC78">
            <v>7000000</v>
          </cell>
          <cell r="AD78">
            <v>0</v>
          </cell>
          <cell r="AE78">
            <v>2218611.111111111</v>
          </cell>
          <cell r="AF78">
            <v>2450000</v>
          </cell>
          <cell r="AG78">
            <v>2450000</v>
          </cell>
          <cell r="AH78">
            <v>2450000</v>
          </cell>
          <cell r="AI78">
            <v>0</v>
          </cell>
          <cell r="AJ78">
            <v>270670.55555555556</v>
          </cell>
          <cell r="AK78">
            <v>303800</v>
          </cell>
          <cell r="AL78">
            <v>308700</v>
          </cell>
          <cell r="AM78">
            <v>313600</v>
          </cell>
          <cell r="AN78">
            <v>0</v>
          </cell>
          <cell r="AO78">
            <v>82088.611111111109</v>
          </cell>
          <cell r="AP78">
            <v>93100</v>
          </cell>
          <cell r="AQ78">
            <v>98000</v>
          </cell>
          <cell r="AR78">
            <v>105349.99999999999</v>
          </cell>
          <cell r="AT78" t="str">
            <v>OPP-870104 - Identified - New - MR</v>
          </cell>
          <cell r="AU78">
            <v>378538.61111111112</v>
          </cell>
          <cell r="AV78">
            <v>378538.61111111112</v>
          </cell>
          <cell r="AW78">
            <v>0</v>
          </cell>
          <cell r="AX78">
            <v>0</v>
          </cell>
          <cell r="AZ78">
            <v>40</v>
          </cell>
          <cell r="BA78">
            <v>344</v>
          </cell>
          <cell r="BB78">
            <v>129</v>
          </cell>
        </row>
        <row r="79">
          <cell r="B79" t="str">
            <v>OPP-616421</v>
          </cell>
          <cell r="C79" t="str">
            <v>RPA Command and Control (RPA C2)</v>
          </cell>
          <cell r="D79" t="str">
            <v>MR</v>
          </cell>
          <cell r="E79" t="str">
            <v>MR Warfighter Support</v>
          </cell>
          <cell r="F79" t="str">
            <v>Air Force</v>
          </cell>
          <cell r="G79" t="str">
            <v>DOD</v>
          </cell>
          <cell r="H79">
            <v>43861</v>
          </cell>
          <cell r="I79">
            <v>43935</v>
          </cell>
          <cell r="J79">
            <v>45396</v>
          </cell>
          <cell r="K79" t="str">
            <v>Sub</v>
          </cell>
          <cell r="L79" t="str">
            <v>Cost Plus Fixed Fee</v>
          </cell>
          <cell r="M79" t="str">
            <v>Cost Reimbursable</v>
          </cell>
          <cell r="N79" t="str">
            <v>Identified - New</v>
          </cell>
          <cell r="O79" t="str">
            <v>01 Prospect</v>
          </cell>
          <cell r="P79" t="str">
            <v>Priority 3</v>
          </cell>
          <cell r="Q79">
            <v>0.35</v>
          </cell>
          <cell r="R79">
            <v>30000000</v>
          </cell>
          <cell r="S79">
            <v>0.12</v>
          </cell>
          <cell r="T79">
            <v>0.122</v>
          </cell>
          <cell r="U79">
            <v>0.124</v>
          </cell>
          <cell r="V79">
            <v>0.126</v>
          </cell>
          <cell r="W79">
            <v>0.128</v>
          </cell>
          <cell r="X79">
            <v>3.5000000000000003E-2</v>
          </cell>
          <cell r="Y79">
            <v>3.6999999999999998E-2</v>
          </cell>
          <cell r="Z79">
            <v>3.7999999999999999E-2</v>
          </cell>
          <cell r="AA79">
            <v>0.04</v>
          </cell>
          <cell r="AB79">
            <v>4.2999999999999997E-2</v>
          </cell>
          <cell r="AC79">
            <v>7500000</v>
          </cell>
          <cell r="AD79">
            <v>0</v>
          </cell>
          <cell r="AE79">
            <v>1210416.6666666667</v>
          </cell>
          <cell r="AF79">
            <v>2625000</v>
          </cell>
          <cell r="AG79">
            <v>2625000</v>
          </cell>
          <cell r="AH79">
            <v>2625000</v>
          </cell>
          <cell r="AI79">
            <v>0</v>
          </cell>
          <cell r="AJ79">
            <v>147670.83333333334</v>
          </cell>
          <cell r="AK79">
            <v>325500</v>
          </cell>
          <cell r="AL79">
            <v>330750</v>
          </cell>
          <cell r="AM79">
            <v>336000</v>
          </cell>
          <cell r="AN79">
            <v>0</v>
          </cell>
          <cell r="AO79">
            <v>44785.416666666664</v>
          </cell>
          <cell r="AP79">
            <v>99750</v>
          </cell>
          <cell r="AQ79">
            <v>105000</v>
          </cell>
          <cell r="AR79">
            <v>112874.99999999999</v>
          </cell>
          <cell r="AT79" t="str">
            <v>OPP-616421 - Identified - New - MR</v>
          </cell>
          <cell r="AU79">
            <v>362410.41666666663</v>
          </cell>
          <cell r="AV79">
            <v>362410.41666666663</v>
          </cell>
          <cell r="AW79">
            <v>0</v>
          </cell>
          <cell r="AX79">
            <v>0</v>
          </cell>
          <cell r="AZ79">
            <v>44</v>
          </cell>
          <cell r="BA79">
            <v>345</v>
          </cell>
          <cell r="BB79">
            <v>130</v>
          </cell>
        </row>
        <row r="80">
          <cell r="B80" t="str">
            <v>OPP-887089</v>
          </cell>
          <cell r="C80" t="str">
            <v>Eastern-Western Operational Communications Services (EWOCS)</v>
          </cell>
          <cell r="D80" t="str">
            <v>MR</v>
          </cell>
          <cell r="E80" t="str">
            <v>MR Warfighter Support</v>
          </cell>
          <cell r="F80" t="str">
            <v>Air Force</v>
          </cell>
          <cell r="G80" t="str">
            <v>DOD</v>
          </cell>
          <cell r="H80">
            <v>43997</v>
          </cell>
          <cell r="I80">
            <v>44105</v>
          </cell>
          <cell r="J80">
            <v>46661</v>
          </cell>
          <cell r="K80" t="str">
            <v>Prime</v>
          </cell>
          <cell r="L80" t="str">
            <v>Cost Plus Fixed Fee; Fixed Price</v>
          </cell>
          <cell r="M80" t="str">
            <v>Cost Reimbursable</v>
          </cell>
          <cell r="N80" t="str">
            <v>Identified - New</v>
          </cell>
          <cell r="O80" t="str">
            <v>02 Capture</v>
          </cell>
          <cell r="P80" t="str">
            <v>Priority 3</v>
          </cell>
          <cell r="Q80">
            <v>0.15</v>
          </cell>
          <cell r="R80">
            <v>10000000</v>
          </cell>
          <cell r="S80">
            <v>0.12</v>
          </cell>
          <cell r="T80">
            <v>0.122</v>
          </cell>
          <cell r="U80">
            <v>0.124</v>
          </cell>
          <cell r="V80">
            <v>0.126</v>
          </cell>
          <cell r="W80">
            <v>0.128</v>
          </cell>
          <cell r="X80">
            <v>3.5000000000000003E-2</v>
          </cell>
          <cell r="Y80">
            <v>3.6999999999999998E-2</v>
          </cell>
          <cell r="Z80">
            <v>3.7999999999999999E-2</v>
          </cell>
          <cell r="AA80">
            <v>0.04</v>
          </cell>
          <cell r="AB80">
            <v>4.2999999999999997E-2</v>
          </cell>
          <cell r="AC80">
            <v>1428571.4285714286</v>
          </cell>
          <cell r="AD80">
            <v>0</v>
          </cell>
          <cell r="AE80">
            <v>0</v>
          </cell>
          <cell r="AF80">
            <v>213690.47619047618</v>
          </cell>
          <cell r="AG80">
            <v>214285.71428571429</v>
          </cell>
          <cell r="AH80">
            <v>214285.71428571429</v>
          </cell>
          <cell r="AI80">
            <v>0</v>
          </cell>
          <cell r="AJ80">
            <v>0</v>
          </cell>
          <cell r="AK80">
            <v>26497.619047619046</v>
          </cell>
          <cell r="AL80">
            <v>27000</v>
          </cell>
          <cell r="AM80">
            <v>27428.571428571431</v>
          </cell>
          <cell r="AN80">
            <v>0</v>
          </cell>
          <cell r="AO80">
            <v>0</v>
          </cell>
          <cell r="AP80">
            <v>8120.2380952380945</v>
          </cell>
          <cell r="AQ80">
            <v>8571.4285714285725</v>
          </cell>
          <cell r="AR80">
            <v>9214.2857142857138</v>
          </cell>
          <cell r="AT80" t="str">
            <v>OPP-887089 - Identified - New - MR</v>
          </cell>
          <cell r="AU80">
            <v>25905.952380952382</v>
          </cell>
          <cell r="AV80">
            <v>25905.952380952382</v>
          </cell>
          <cell r="AW80">
            <v>0</v>
          </cell>
          <cell r="AX80">
            <v>0</v>
          </cell>
          <cell r="AZ80">
            <v>90</v>
          </cell>
          <cell r="BA80">
            <v>346</v>
          </cell>
          <cell r="BB80">
            <v>131</v>
          </cell>
        </row>
        <row r="81">
          <cell r="B81" t="str">
            <v>OPP-937963</v>
          </cell>
          <cell r="C81" t="str">
            <v>TEST OPERATIONS AND SUSTAINMENT (TOS)</v>
          </cell>
          <cell r="D81" t="str">
            <v>MR</v>
          </cell>
          <cell r="E81" t="str">
            <v>MR NASA</v>
          </cell>
          <cell r="F81" t="str">
            <v>NASA</v>
          </cell>
          <cell r="G81" t="str">
            <v>NASA</v>
          </cell>
          <cell r="H81">
            <v>45121</v>
          </cell>
          <cell r="I81">
            <v>45201</v>
          </cell>
          <cell r="J81">
            <v>48123</v>
          </cell>
          <cell r="K81" t="str">
            <v>Prime</v>
          </cell>
          <cell r="L81" t="str">
            <v>Hybrid/Mixed Cost-Plus/Fixed</v>
          </cell>
          <cell r="M81" t="str">
            <v>Other</v>
          </cell>
          <cell r="N81" t="str">
            <v>Identified - New</v>
          </cell>
          <cell r="O81" t="str">
            <v>01 Prospect</v>
          </cell>
          <cell r="P81" t="str">
            <v>Priority 1</v>
          </cell>
          <cell r="Q81">
            <v>0.15</v>
          </cell>
          <cell r="R81">
            <v>1600000000</v>
          </cell>
          <cell r="S81">
            <v>0.12</v>
          </cell>
          <cell r="T81">
            <v>0.12</v>
          </cell>
          <cell r="U81">
            <v>0.12</v>
          </cell>
          <cell r="V81">
            <v>0.12</v>
          </cell>
          <cell r="W81">
            <v>0.12</v>
          </cell>
          <cell r="X81">
            <v>0.03</v>
          </cell>
          <cell r="Y81">
            <v>3.5000000000000003E-2</v>
          </cell>
          <cell r="Z81">
            <v>3.7499999999999999E-2</v>
          </cell>
          <cell r="AA81">
            <v>3.7499999999999999E-2</v>
          </cell>
          <cell r="AB81">
            <v>4.2500000000000003E-2</v>
          </cell>
          <cell r="AC81">
            <v>200000000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T81" t="str">
            <v>OPP-937963 - Identified - New - MR</v>
          </cell>
          <cell r="AU81">
            <v>0</v>
          </cell>
          <cell r="AV81">
            <v>0</v>
          </cell>
          <cell r="AW81">
            <v>0</v>
          </cell>
          <cell r="AX81">
            <v>0</v>
          </cell>
          <cell r="AZ81">
            <v>97</v>
          </cell>
          <cell r="BA81">
            <v>347</v>
          </cell>
          <cell r="BB81">
            <v>132</v>
          </cell>
        </row>
        <row r="82">
          <cell r="B82" t="str">
            <v>OPP-932639</v>
          </cell>
          <cell r="C82" t="str">
            <v>CHEMICAL MANAGEMENT SERVICES CMS AND THIRD PARTY LOGISTICS 3PL FOR WARNER ROBINS AIR LOGISTICS COMPLEX WRALC</v>
          </cell>
          <cell r="D82" t="str">
            <v>MR</v>
          </cell>
          <cell r="E82" t="str">
            <v>MR Logistics &amp; Supply</v>
          </cell>
          <cell r="F82" t="str">
            <v>DLA</v>
          </cell>
          <cell r="G82" t="str">
            <v>DLA</v>
          </cell>
          <cell r="H82">
            <v>43818</v>
          </cell>
          <cell r="I82">
            <v>43861</v>
          </cell>
          <cell r="J82">
            <v>45688</v>
          </cell>
          <cell r="K82" t="str">
            <v>Prime</v>
          </cell>
          <cell r="L82" t="str">
            <v>Hybrid/Mixed Cost-Plus/Fixed</v>
          </cell>
          <cell r="M82" t="str">
            <v>Other</v>
          </cell>
          <cell r="N82" t="str">
            <v>Identified - New</v>
          </cell>
          <cell r="O82" t="str">
            <v>04 Submitted</v>
          </cell>
          <cell r="P82" t="str">
            <v>Priority 2</v>
          </cell>
          <cell r="Q82">
            <v>0.35</v>
          </cell>
          <cell r="R82">
            <v>125000000</v>
          </cell>
          <cell r="S82">
            <v>0.15</v>
          </cell>
          <cell r="T82">
            <v>0.154</v>
          </cell>
          <cell r="U82">
            <v>0.155</v>
          </cell>
          <cell r="V82">
            <v>0.156</v>
          </cell>
          <cell r="W82">
            <v>0.157</v>
          </cell>
          <cell r="X82">
            <v>0.03</v>
          </cell>
          <cell r="Y82">
            <v>3.5000000000000003E-2</v>
          </cell>
          <cell r="Z82">
            <v>3.6999999999999998E-2</v>
          </cell>
          <cell r="AA82">
            <v>0.04</v>
          </cell>
          <cell r="AB82">
            <v>4.2500000000000003E-2</v>
          </cell>
          <cell r="AC82">
            <v>25000000</v>
          </cell>
          <cell r="AD82">
            <v>0</v>
          </cell>
          <cell r="AE82">
            <v>5833333.333333333</v>
          </cell>
          <cell r="AF82">
            <v>8750000</v>
          </cell>
          <cell r="AG82">
            <v>8750000</v>
          </cell>
          <cell r="AH82">
            <v>8750000</v>
          </cell>
          <cell r="AI82">
            <v>0</v>
          </cell>
          <cell r="AJ82">
            <v>898333.33333333326</v>
          </cell>
          <cell r="AK82">
            <v>1356250</v>
          </cell>
          <cell r="AL82">
            <v>1365000</v>
          </cell>
          <cell r="AM82">
            <v>1373750</v>
          </cell>
          <cell r="AN82">
            <v>0</v>
          </cell>
          <cell r="AO82">
            <v>204166.66666666669</v>
          </cell>
          <cell r="AP82">
            <v>323750</v>
          </cell>
          <cell r="AQ82">
            <v>350000</v>
          </cell>
          <cell r="AR82">
            <v>371875</v>
          </cell>
          <cell r="AT82" t="str">
            <v>OPP-932639 - Identified - New - MR</v>
          </cell>
          <cell r="AU82">
            <v>1249791.6666666667</v>
          </cell>
          <cell r="AV82">
            <v>1249791.6666666667</v>
          </cell>
          <cell r="AW82">
            <v>0</v>
          </cell>
          <cell r="AX82">
            <v>0</v>
          </cell>
          <cell r="AZ82">
            <v>16</v>
          </cell>
          <cell r="BA82">
            <v>348</v>
          </cell>
          <cell r="BB82">
            <v>133</v>
          </cell>
        </row>
        <row r="83">
          <cell r="B83" t="str">
            <v>OPP-416027</v>
          </cell>
          <cell r="C83" t="str">
            <v>CBP National Aircraft Maintenance (NAM) and Logistics Support</v>
          </cell>
          <cell r="D83" t="str">
            <v>MR</v>
          </cell>
          <cell r="E83" t="str">
            <v>MR Maintenance &amp; Sustainment</v>
          </cell>
          <cell r="F83" t="str">
            <v>Homeland Security</v>
          </cell>
          <cell r="G83" t="str">
            <v>DOD</v>
          </cell>
          <cell r="H83">
            <v>43830</v>
          </cell>
          <cell r="I83">
            <v>43921</v>
          </cell>
          <cell r="J83">
            <v>47542</v>
          </cell>
          <cell r="K83" t="str">
            <v>Prime</v>
          </cell>
          <cell r="L83" t="str">
            <v>Hybrid/Mixed Cost-Plus/Fixed</v>
          </cell>
          <cell r="M83" t="str">
            <v>Other</v>
          </cell>
          <cell r="N83" t="str">
            <v>Identified - New</v>
          </cell>
          <cell r="O83" t="str">
            <v>04 Submitted</v>
          </cell>
          <cell r="P83" t="str">
            <v>Priority 1</v>
          </cell>
          <cell r="Q83">
            <v>0.3</v>
          </cell>
          <cell r="R83">
            <v>1400000000</v>
          </cell>
          <cell r="S83">
            <v>0.12</v>
          </cell>
          <cell r="T83">
            <v>0.124</v>
          </cell>
          <cell r="U83">
            <v>0.125</v>
          </cell>
          <cell r="V83">
            <v>0.126</v>
          </cell>
          <cell r="W83">
            <v>0.127</v>
          </cell>
          <cell r="X83">
            <v>0.03</v>
          </cell>
          <cell r="Y83">
            <v>3.2000000000000001E-2</v>
          </cell>
          <cell r="Z83">
            <v>3.4000000000000002E-2</v>
          </cell>
          <cell r="AA83">
            <v>3.5999999999999997E-2</v>
          </cell>
          <cell r="AB83">
            <v>3.6999999999999998E-2</v>
          </cell>
          <cell r="AC83">
            <v>141255605.38116592</v>
          </cell>
          <cell r="AD83">
            <v>0</v>
          </cell>
          <cell r="AE83">
            <v>21188340.807174888</v>
          </cell>
          <cell r="AF83">
            <v>42376681.614349775</v>
          </cell>
          <cell r="AG83">
            <v>42376681.614349775</v>
          </cell>
          <cell r="AH83">
            <v>42376681.614349775</v>
          </cell>
          <cell r="AI83">
            <v>0</v>
          </cell>
          <cell r="AJ83">
            <v>2627354.2600896861</v>
          </cell>
          <cell r="AK83">
            <v>5297085.2017937219</v>
          </cell>
          <cell r="AL83">
            <v>5339461.8834080715</v>
          </cell>
          <cell r="AM83">
            <v>5381838.5650224211</v>
          </cell>
          <cell r="AN83">
            <v>0</v>
          </cell>
          <cell r="AO83">
            <v>678026.90582959645</v>
          </cell>
          <cell r="AP83">
            <v>1440807.1748878926</v>
          </cell>
          <cell r="AQ83">
            <v>1525560.5381165917</v>
          </cell>
          <cell r="AR83">
            <v>1567937.2197309416</v>
          </cell>
          <cell r="AT83" t="str">
            <v>OPP-416027 - Identified - New - MR</v>
          </cell>
          <cell r="AU83">
            <v>5212331.8385650227</v>
          </cell>
          <cell r="AV83">
            <v>5212331.8385650227</v>
          </cell>
          <cell r="AW83">
            <v>0</v>
          </cell>
          <cell r="AX83">
            <v>0</v>
          </cell>
          <cell r="AZ83">
            <v>3</v>
          </cell>
          <cell r="BA83">
            <v>349</v>
          </cell>
          <cell r="BB83">
            <v>134</v>
          </cell>
        </row>
        <row r="84">
          <cell r="B84" t="str">
            <v>OPP-888988</v>
          </cell>
          <cell r="C84" t="str">
            <v>DIPSS-Baghdad Life Support (BLISS)</v>
          </cell>
          <cell r="D84" t="str">
            <v>MR</v>
          </cell>
          <cell r="E84" t="str">
            <v>MR Logistics &amp; Supply</v>
          </cell>
          <cell r="F84" t="str">
            <v>Dept. of State</v>
          </cell>
          <cell r="G84" t="str">
            <v>DOS</v>
          </cell>
          <cell r="H84">
            <v>43951</v>
          </cell>
          <cell r="I84">
            <v>44105</v>
          </cell>
          <cell r="J84">
            <v>45931</v>
          </cell>
          <cell r="K84" t="str">
            <v>Prime</v>
          </cell>
          <cell r="L84" t="str">
            <v>Hybrid/Mixed Cost-Plus/Fixed</v>
          </cell>
          <cell r="M84" t="str">
            <v>Other</v>
          </cell>
          <cell r="N84" t="str">
            <v>Identified - New</v>
          </cell>
          <cell r="O84" t="str">
            <v>01 Prospect</v>
          </cell>
          <cell r="P84" t="str">
            <v>Priority 1</v>
          </cell>
          <cell r="Q84">
            <v>0.1</v>
          </cell>
          <cell r="R84">
            <v>800000000</v>
          </cell>
          <cell r="S84">
            <v>0.14000000000000001</v>
          </cell>
          <cell r="T84">
            <v>0.14000000000000001</v>
          </cell>
          <cell r="U84">
            <v>0.14000000000000001</v>
          </cell>
          <cell r="V84">
            <v>0.14000000000000001</v>
          </cell>
          <cell r="W84">
            <v>0.14000000000000001</v>
          </cell>
          <cell r="X84">
            <v>0.03</v>
          </cell>
          <cell r="Y84">
            <v>3.2000000000000001E-2</v>
          </cell>
          <cell r="Z84">
            <v>3.4000000000000002E-2</v>
          </cell>
          <cell r="AA84">
            <v>3.5999999999999997E-2</v>
          </cell>
          <cell r="AB84">
            <v>3.7999999999999999E-2</v>
          </cell>
          <cell r="AC84">
            <v>160000000</v>
          </cell>
          <cell r="AD84">
            <v>0</v>
          </cell>
          <cell r="AE84">
            <v>0</v>
          </cell>
          <cell r="AF84">
            <v>15955555.555555556</v>
          </cell>
          <cell r="AG84">
            <v>16000000</v>
          </cell>
          <cell r="AH84">
            <v>16000000</v>
          </cell>
          <cell r="AI84">
            <v>0</v>
          </cell>
          <cell r="AJ84">
            <v>0</v>
          </cell>
          <cell r="AK84">
            <v>2233777.777777778</v>
          </cell>
          <cell r="AL84">
            <v>2240000</v>
          </cell>
          <cell r="AM84">
            <v>2240000</v>
          </cell>
          <cell r="AN84">
            <v>0</v>
          </cell>
          <cell r="AO84">
            <v>0</v>
          </cell>
          <cell r="AP84">
            <v>542488.88888888899</v>
          </cell>
          <cell r="AQ84">
            <v>576000</v>
          </cell>
          <cell r="AR84">
            <v>608000</v>
          </cell>
          <cell r="AT84" t="str">
            <v>OPP-888988 - Identified - New - MR</v>
          </cell>
          <cell r="AU84">
            <v>1726488.888888889</v>
          </cell>
          <cell r="AV84">
            <v>1726488.888888889</v>
          </cell>
          <cell r="AW84">
            <v>0</v>
          </cell>
          <cell r="AX84">
            <v>0</v>
          </cell>
          <cell r="AZ84">
            <v>11</v>
          </cell>
          <cell r="BA84">
            <v>350</v>
          </cell>
          <cell r="BB84">
            <v>135</v>
          </cell>
        </row>
        <row r="85">
          <cell r="B85" t="str">
            <v>OPP-581062</v>
          </cell>
          <cell r="C85" t="str">
            <v>TS3 ERS Organic Industrial Base (OIB) Supplemental Labor Contract</v>
          </cell>
          <cell r="D85" t="str">
            <v>MR</v>
          </cell>
          <cell r="E85" t="str">
            <v>MR Maintenance &amp; Sustainment</v>
          </cell>
          <cell r="F85" t="str">
            <v>Army</v>
          </cell>
          <cell r="G85" t="str">
            <v>DOD</v>
          </cell>
          <cell r="H85">
            <v>43682</v>
          </cell>
          <cell r="I85">
            <v>43739</v>
          </cell>
          <cell r="J85">
            <v>44835</v>
          </cell>
          <cell r="K85" t="str">
            <v>Prime</v>
          </cell>
          <cell r="L85" t="str">
            <v>Labor Hour - Cost Reimbursable</v>
          </cell>
          <cell r="M85" t="str">
            <v>Other</v>
          </cell>
          <cell r="N85" t="str">
            <v>Identified - New</v>
          </cell>
          <cell r="O85" t="str">
            <v>04 Submitted</v>
          </cell>
          <cell r="P85" t="str">
            <v>Priority 1</v>
          </cell>
          <cell r="Q85">
            <v>0.3</v>
          </cell>
          <cell r="R85">
            <v>700000000</v>
          </cell>
          <cell r="S85">
            <v>0.14000000000000001</v>
          </cell>
          <cell r="T85">
            <v>0.14000000000000001</v>
          </cell>
          <cell r="U85">
            <v>0.14000000000000001</v>
          </cell>
          <cell r="V85">
            <v>0.14000000000000001</v>
          </cell>
          <cell r="W85">
            <v>0.14000000000000001</v>
          </cell>
          <cell r="X85">
            <v>0.03</v>
          </cell>
          <cell r="Y85">
            <v>3.2000000000000001E-2</v>
          </cell>
          <cell r="Z85">
            <v>3.4000000000000002E-2</v>
          </cell>
          <cell r="AA85">
            <v>3.5000000000000003E-2</v>
          </cell>
          <cell r="AB85">
            <v>3.5999999999999997E-2</v>
          </cell>
          <cell r="AC85">
            <v>233333333.33333334</v>
          </cell>
          <cell r="AD85">
            <v>0</v>
          </cell>
          <cell r="AE85">
            <v>69805555.555555552</v>
          </cell>
          <cell r="AF85">
            <v>70000000</v>
          </cell>
          <cell r="AG85">
            <v>70000000</v>
          </cell>
          <cell r="AH85">
            <v>194444.44444444776</v>
          </cell>
          <cell r="AI85">
            <v>0</v>
          </cell>
          <cell r="AJ85">
            <v>9772777.777777778</v>
          </cell>
          <cell r="AK85">
            <v>9800000.0000000019</v>
          </cell>
          <cell r="AL85">
            <v>9800000.0000000019</v>
          </cell>
          <cell r="AM85">
            <v>27222.222222222688</v>
          </cell>
          <cell r="AN85">
            <v>0</v>
          </cell>
          <cell r="AO85">
            <v>2233777.7777777775</v>
          </cell>
          <cell r="AP85">
            <v>2380000</v>
          </cell>
          <cell r="AQ85">
            <v>2450000.0000000005</v>
          </cell>
          <cell r="AR85">
            <v>7000.0000000001182</v>
          </cell>
          <cell r="AT85" t="str">
            <v>OPP-581062 - Identified - New - MR</v>
          </cell>
          <cell r="AU85">
            <v>7070777.777777778</v>
          </cell>
          <cell r="AV85">
            <v>7070777.777777778</v>
          </cell>
          <cell r="AW85">
            <v>0</v>
          </cell>
          <cell r="AX85">
            <v>0</v>
          </cell>
          <cell r="AZ85">
            <v>1</v>
          </cell>
          <cell r="BA85">
            <v>351</v>
          </cell>
          <cell r="BB85">
            <v>136</v>
          </cell>
        </row>
        <row r="86">
          <cell r="B86" t="str">
            <v>OPP-905347</v>
          </cell>
          <cell r="C86" t="str">
            <v>AIRCRAFT MAINTENANCE ENTERPRISE SOLUTION (ACES)</v>
          </cell>
          <cell r="D86" t="str">
            <v>MR</v>
          </cell>
          <cell r="E86" t="str">
            <v>MR Maintenance &amp; Sustainment</v>
          </cell>
          <cell r="F86" t="str">
            <v>Air Force</v>
          </cell>
          <cell r="G86" t="str">
            <v>DOD</v>
          </cell>
          <cell r="H86">
            <v>43812</v>
          </cell>
          <cell r="I86">
            <v>44197</v>
          </cell>
          <cell r="J86">
            <v>47849</v>
          </cell>
          <cell r="K86" t="str">
            <v>Prime</v>
          </cell>
          <cell r="L86" t="str">
            <v>Fixed Price</v>
          </cell>
          <cell r="M86" t="str">
            <v>Fixed Price</v>
          </cell>
          <cell r="N86" t="str">
            <v>Identified - New</v>
          </cell>
          <cell r="O86" t="str">
            <v>02 Capture</v>
          </cell>
          <cell r="P86" t="str">
            <v>Priority 2</v>
          </cell>
          <cell r="Q86">
            <v>0.25</v>
          </cell>
          <cell r="R86">
            <v>250000000</v>
          </cell>
          <cell r="S86">
            <v>0.12</v>
          </cell>
          <cell r="T86">
            <v>0.12</v>
          </cell>
          <cell r="U86">
            <v>0.12</v>
          </cell>
          <cell r="V86">
            <v>0.12</v>
          </cell>
          <cell r="W86">
            <v>0.12</v>
          </cell>
          <cell r="X86">
            <v>0.03</v>
          </cell>
          <cell r="Y86">
            <v>3.2000000000000001E-2</v>
          </cell>
          <cell r="Z86">
            <v>3.4000000000000002E-2</v>
          </cell>
          <cell r="AA86">
            <v>3.5000000000000003E-2</v>
          </cell>
          <cell r="AB86">
            <v>3.5999999999999997E-2</v>
          </cell>
          <cell r="AC86">
            <v>25000000</v>
          </cell>
          <cell r="AD86">
            <v>0</v>
          </cell>
          <cell r="AE86">
            <v>0</v>
          </cell>
          <cell r="AF86">
            <v>4670138.888888889</v>
          </cell>
          <cell r="AG86">
            <v>6250000</v>
          </cell>
          <cell r="AH86">
            <v>6250000</v>
          </cell>
          <cell r="AI86">
            <v>0</v>
          </cell>
          <cell r="AJ86">
            <v>0</v>
          </cell>
          <cell r="AK86">
            <v>560416.66666666663</v>
          </cell>
          <cell r="AL86">
            <v>750000</v>
          </cell>
          <cell r="AM86">
            <v>750000</v>
          </cell>
          <cell r="AN86">
            <v>0</v>
          </cell>
          <cell r="AO86">
            <v>0</v>
          </cell>
          <cell r="AP86">
            <v>158784.72222222225</v>
          </cell>
          <cell r="AQ86">
            <v>218750.00000000003</v>
          </cell>
          <cell r="AR86">
            <v>224999.99999999997</v>
          </cell>
          <cell r="AT86" t="str">
            <v>OPP-905347 - Identified - New - MR</v>
          </cell>
          <cell r="AU86">
            <v>602534.72222222225</v>
          </cell>
          <cell r="AV86">
            <v>602534.72222222225</v>
          </cell>
          <cell r="AW86">
            <v>0</v>
          </cell>
          <cell r="AX86">
            <v>0</v>
          </cell>
          <cell r="AZ86">
            <v>29</v>
          </cell>
          <cell r="BA86">
            <v>352</v>
          </cell>
          <cell r="BB86">
            <v>137</v>
          </cell>
        </row>
        <row r="87">
          <cell r="B87" t="str">
            <v>OPP-811421</v>
          </cell>
          <cell r="C87" t="str">
            <v>Nellis Backshop Maintenance</v>
          </cell>
          <cell r="D87" t="str">
            <v>MR</v>
          </cell>
          <cell r="E87" t="str">
            <v>MR Maintenance &amp; Sustainment</v>
          </cell>
          <cell r="F87" t="str">
            <v>Air Force</v>
          </cell>
          <cell r="G87" t="str">
            <v>DOD</v>
          </cell>
          <cell r="H87">
            <v>44155</v>
          </cell>
          <cell r="I87">
            <v>44166</v>
          </cell>
          <cell r="J87">
            <v>45992</v>
          </cell>
          <cell r="K87" t="str">
            <v>Prime</v>
          </cell>
          <cell r="L87" t="str">
            <v>Cost Reimbursable; Fixed Price</v>
          </cell>
          <cell r="M87" t="str">
            <v>Cost Reimbursable</v>
          </cell>
          <cell r="N87" t="str">
            <v>Identified - New</v>
          </cell>
          <cell r="O87" t="str">
            <v>02 Capture</v>
          </cell>
          <cell r="P87" t="str">
            <v>Priority 1</v>
          </cell>
          <cell r="Q87">
            <v>0.25</v>
          </cell>
          <cell r="R87">
            <v>500000000</v>
          </cell>
          <cell r="S87">
            <v>0.12</v>
          </cell>
          <cell r="T87">
            <v>0.12</v>
          </cell>
          <cell r="U87">
            <v>0.12</v>
          </cell>
          <cell r="V87">
            <v>0.12</v>
          </cell>
          <cell r="W87">
            <v>0.12</v>
          </cell>
          <cell r="X87">
            <v>0.03</v>
          </cell>
          <cell r="Y87">
            <v>3.2000000000000001E-2</v>
          </cell>
          <cell r="Z87">
            <v>3.4000000000000002E-2</v>
          </cell>
          <cell r="AA87">
            <v>3.5000000000000003E-2</v>
          </cell>
          <cell r="AB87">
            <v>3.5999999999999997E-2</v>
          </cell>
          <cell r="AC87">
            <v>100000000</v>
          </cell>
          <cell r="AD87">
            <v>0</v>
          </cell>
          <cell r="AE87">
            <v>0</v>
          </cell>
          <cell r="AF87">
            <v>20763888.888888892</v>
          </cell>
          <cell r="AG87">
            <v>25000000</v>
          </cell>
          <cell r="AH87">
            <v>25000000</v>
          </cell>
          <cell r="AI87">
            <v>0</v>
          </cell>
          <cell r="AJ87">
            <v>0</v>
          </cell>
          <cell r="AK87">
            <v>2491666.666666667</v>
          </cell>
          <cell r="AL87">
            <v>3000000</v>
          </cell>
          <cell r="AM87">
            <v>3000000</v>
          </cell>
          <cell r="AN87">
            <v>0</v>
          </cell>
          <cell r="AO87">
            <v>0</v>
          </cell>
          <cell r="AP87">
            <v>705972.22222222236</v>
          </cell>
          <cell r="AQ87">
            <v>875000.00000000012</v>
          </cell>
          <cell r="AR87">
            <v>899999.99999999988</v>
          </cell>
          <cell r="AT87" t="str">
            <v>OPP-811421 - Identified - New - MR</v>
          </cell>
          <cell r="AU87">
            <v>2480972.2222222225</v>
          </cell>
          <cell r="AV87">
            <v>2480972.2222222225</v>
          </cell>
          <cell r="AW87">
            <v>0</v>
          </cell>
          <cell r="AX87">
            <v>0</v>
          </cell>
          <cell r="AZ87">
            <v>7</v>
          </cell>
          <cell r="BA87">
            <v>353</v>
          </cell>
          <cell r="BB87">
            <v>138</v>
          </cell>
        </row>
        <row r="88">
          <cell r="B88" t="str">
            <v>OPP-937956</v>
          </cell>
          <cell r="C88" t="str">
            <v>SCIENTIFIC AND ENGINEERING SUPPORT TO THE US ARMY ELECTRONIC PROVING GROUND</v>
          </cell>
          <cell r="D88" t="str">
            <v>MR</v>
          </cell>
          <cell r="E88" t="str">
            <v>MR Warfighter Support</v>
          </cell>
          <cell r="F88" t="str">
            <v>Army</v>
          </cell>
          <cell r="G88" t="str">
            <v>DOD</v>
          </cell>
          <cell r="H88">
            <v>44593</v>
          </cell>
          <cell r="I88">
            <v>44652</v>
          </cell>
          <cell r="J88">
            <v>46478</v>
          </cell>
          <cell r="K88" t="str">
            <v>Prime</v>
          </cell>
          <cell r="L88" t="str">
            <v>Hybrid/Mixed Cost-Plus/Fixed</v>
          </cell>
          <cell r="M88" t="str">
            <v>Other</v>
          </cell>
          <cell r="N88" t="str">
            <v>Identified - New</v>
          </cell>
          <cell r="O88" t="str">
            <v>01 Prospect</v>
          </cell>
          <cell r="P88" t="str">
            <v>Priority 2</v>
          </cell>
          <cell r="Q88">
            <v>0.15</v>
          </cell>
          <cell r="R88">
            <v>210000000</v>
          </cell>
          <cell r="S88">
            <v>0.12</v>
          </cell>
          <cell r="T88">
            <v>0.122</v>
          </cell>
          <cell r="U88">
            <v>0.124</v>
          </cell>
          <cell r="V88">
            <v>0.126</v>
          </cell>
          <cell r="W88">
            <v>0.128</v>
          </cell>
          <cell r="X88">
            <v>0.03</v>
          </cell>
          <cell r="Y88">
            <v>3.2000000000000001E-2</v>
          </cell>
          <cell r="Z88">
            <v>3.4000000000000002E-2</v>
          </cell>
          <cell r="AA88">
            <v>3.5999999999999997E-2</v>
          </cell>
          <cell r="AB88">
            <v>3.9E-2</v>
          </cell>
          <cell r="AC88">
            <v>42000000</v>
          </cell>
          <cell r="AD88">
            <v>0</v>
          </cell>
          <cell r="AE88">
            <v>0</v>
          </cell>
          <cell r="AF88">
            <v>0</v>
          </cell>
          <cell r="AG88">
            <v>3132499.9999999995</v>
          </cell>
          <cell r="AH88">
            <v>6300000</v>
          </cell>
          <cell r="AI88">
            <v>0</v>
          </cell>
          <cell r="AJ88">
            <v>0</v>
          </cell>
          <cell r="AK88">
            <v>0</v>
          </cell>
          <cell r="AL88">
            <v>394694.99999999994</v>
          </cell>
          <cell r="AM88">
            <v>806400</v>
          </cell>
          <cell r="AN88">
            <v>0</v>
          </cell>
          <cell r="AO88">
            <v>0</v>
          </cell>
          <cell r="AP88">
            <v>0</v>
          </cell>
          <cell r="AQ88">
            <v>112769.99999999997</v>
          </cell>
          <cell r="AR88">
            <v>245700</v>
          </cell>
          <cell r="AT88" t="str">
            <v>OPP-937956 - Identified - New - MR</v>
          </cell>
          <cell r="AU88">
            <v>358470</v>
          </cell>
          <cell r="AV88">
            <v>358470</v>
          </cell>
          <cell r="AW88">
            <v>0</v>
          </cell>
          <cell r="AX88">
            <v>0</v>
          </cell>
          <cell r="AZ88">
            <v>45</v>
          </cell>
          <cell r="BA88">
            <v>354</v>
          </cell>
          <cell r="BB88">
            <v>139</v>
          </cell>
        </row>
        <row r="89">
          <cell r="B89" t="str">
            <v>OPP-718483</v>
          </cell>
          <cell r="C89" t="str">
            <v>EAGLE TO - Ft. Benning DOL</v>
          </cell>
          <cell r="D89" t="str">
            <v>MR</v>
          </cell>
          <cell r="E89" t="str">
            <v>MR Maintenance &amp; Sustainment</v>
          </cell>
          <cell r="F89" t="str">
            <v>Army</v>
          </cell>
          <cell r="G89" t="str">
            <v>DOD</v>
          </cell>
          <cell r="H89">
            <v>43875</v>
          </cell>
          <cell r="I89">
            <v>43876</v>
          </cell>
          <cell r="J89">
            <v>45703</v>
          </cell>
          <cell r="K89" t="str">
            <v>Prime</v>
          </cell>
          <cell r="L89" t="str">
            <v>Hybrid/Mixed Cost-Plus/Fixed</v>
          </cell>
          <cell r="M89" t="str">
            <v>Other</v>
          </cell>
          <cell r="N89" t="str">
            <v>Identified - New</v>
          </cell>
          <cell r="O89" t="str">
            <v>02 Capture</v>
          </cell>
          <cell r="P89" t="str">
            <v>Priority 2</v>
          </cell>
          <cell r="Q89">
            <v>0.25</v>
          </cell>
          <cell r="R89">
            <v>200000000</v>
          </cell>
          <cell r="S89">
            <v>0.12</v>
          </cell>
          <cell r="T89">
            <v>0.122</v>
          </cell>
          <cell r="U89">
            <v>0.124</v>
          </cell>
          <cell r="V89">
            <v>0.126</v>
          </cell>
          <cell r="W89">
            <v>0.128</v>
          </cell>
          <cell r="X89">
            <v>0.03</v>
          </cell>
          <cell r="Y89">
            <v>3.2000000000000001E-2</v>
          </cell>
          <cell r="Z89">
            <v>3.4000000000000002E-2</v>
          </cell>
          <cell r="AA89">
            <v>3.5999999999999997E-2</v>
          </cell>
          <cell r="AB89">
            <v>3.9E-2</v>
          </cell>
          <cell r="AC89">
            <v>40000000</v>
          </cell>
          <cell r="AD89">
            <v>0</v>
          </cell>
          <cell r="AE89">
            <v>6250000</v>
          </cell>
          <cell r="AF89">
            <v>10000000</v>
          </cell>
          <cell r="AG89">
            <v>10000000</v>
          </cell>
          <cell r="AH89">
            <v>10000000</v>
          </cell>
          <cell r="AI89">
            <v>0</v>
          </cell>
          <cell r="AJ89">
            <v>762500</v>
          </cell>
          <cell r="AK89">
            <v>1240000</v>
          </cell>
          <cell r="AL89">
            <v>1260000</v>
          </cell>
          <cell r="AM89">
            <v>1280000</v>
          </cell>
          <cell r="AN89">
            <v>0</v>
          </cell>
          <cell r="AO89">
            <v>200000</v>
          </cell>
          <cell r="AP89">
            <v>340000</v>
          </cell>
          <cell r="AQ89">
            <v>360000</v>
          </cell>
          <cell r="AR89">
            <v>390000</v>
          </cell>
          <cell r="AT89" t="str">
            <v>OPP-718483 - Identified - New - MR</v>
          </cell>
          <cell r="AU89">
            <v>1290000</v>
          </cell>
          <cell r="AV89">
            <v>1290000</v>
          </cell>
          <cell r="AW89">
            <v>0</v>
          </cell>
          <cell r="AX89">
            <v>0</v>
          </cell>
          <cell r="AZ89">
            <v>15</v>
          </cell>
          <cell r="BA89">
            <v>355</v>
          </cell>
          <cell r="BB89">
            <v>140</v>
          </cell>
        </row>
        <row r="90">
          <cell r="B90" t="str">
            <v>OPP-860793</v>
          </cell>
          <cell r="C90" t="str">
            <v>UAS Maintenance and Logistics Support Services Huachuca</v>
          </cell>
          <cell r="D90" t="str">
            <v>MR</v>
          </cell>
          <cell r="E90" t="str">
            <v>MR Warfighter Support</v>
          </cell>
          <cell r="F90" t="str">
            <v>Army</v>
          </cell>
          <cell r="G90" t="str">
            <v>DOD</v>
          </cell>
          <cell r="H90">
            <v>43861</v>
          </cell>
          <cell r="I90">
            <v>43889</v>
          </cell>
          <cell r="J90">
            <v>45350</v>
          </cell>
          <cell r="K90" t="str">
            <v>Prime</v>
          </cell>
          <cell r="L90">
            <v>0</v>
          </cell>
          <cell r="M90" t="str">
            <v>Other</v>
          </cell>
          <cell r="N90" t="str">
            <v>Identified - New</v>
          </cell>
          <cell r="O90" t="str">
            <v>01 Prospect</v>
          </cell>
          <cell r="P90" t="str">
            <v>Priority 3</v>
          </cell>
          <cell r="Q90">
            <v>0.25</v>
          </cell>
          <cell r="R90">
            <v>30000000</v>
          </cell>
          <cell r="S90">
            <v>0.12</v>
          </cell>
          <cell r="T90">
            <v>0.122</v>
          </cell>
          <cell r="U90">
            <v>0.124</v>
          </cell>
          <cell r="V90">
            <v>0.126</v>
          </cell>
          <cell r="W90">
            <v>0.128</v>
          </cell>
          <cell r="X90">
            <v>0.03</v>
          </cell>
          <cell r="Y90">
            <v>3.2000000000000001E-2</v>
          </cell>
          <cell r="Z90">
            <v>3.4000000000000002E-2</v>
          </cell>
          <cell r="AA90">
            <v>3.5999999999999997E-2</v>
          </cell>
          <cell r="AB90">
            <v>3.9E-2</v>
          </cell>
          <cell r="AC90">
            <v>7500000</v>
          </cell>
          <cell r="AD90">
            <v>0</v>
          </cell>
          <cell r="AE90">
            <v>1104166.6666666667</v>
          </cell>
          <cell r="AF90">
            <v>1875000</v>
          </cell>
          <cell r="AG90">
            <v>1875000</v>
          </cell>
          <cell r="AH90">
            <v>1875000</v>
          </cell>
          <cell r="AI90">
            <v>0</v>
          </cell>
          <cell r="AJ90">
            <v>134708.33333333334</v>
          </cell>
          <cell r="AK90">
            <v>232500</v>
          </cell>
          <cell r="AL90">
            <v>236250</v>
          </cell>
          <cell r="AM90">
            <v>240000</v>
          </cell>
          <cell r="AN90">
            <v>0</v>
          </cell>
          <cell r="AO90">
            <v>35333.333333333336</v>
          </cell>
          <cell r="AP90">
            <v>63750.000000000007</v>
          </cell>
          <cell r="AQ90">
            <v>67500</v>
          </cell>
          <cell r="AR90">
            <v>73125</v>
          </cell>
          <cell r="AT90" t="str">
            <v>OPP-860793 - Identified - New - MR</v>
          </cell>
          <cell r="AU90">
            <v>239708.33333333334</v>
          </cell>
          <cell r="AV90">
            <v>239708.33333333334</v>
          </cell>
          <cell r="AW90">
            <v>0</v>
          </cell>
          <cell r="AX90">
            <v>0</v>
          </cell>
          <cell r="AZ90">
            <v>53</v>
          </cell>
          <cell r="BA90">
            <v>356</v>
          </cell>
          <cell r="BB90">
            <v>141</v>
          </cell>
        </row>
        <row r="91">
          <cell r="B91" t="str">
            <v>OPP-865644</v>
          </cell>
          <cell r="C91" t="str">
            <v>RPA SOC</v>
          </cell>
          <cell r="D91" t="str">
            <v>MR</v>
          </cell>
          <cell r="E91" t="str">
            <v>MR Warfighter Support</v>
          </cell>
          <cell r="F91" t="str">
            <v>Army</v>
          </cell>
          <cell r="G91" t="str">
            <v>DOD</v>
          </cell>
          <cell r="H91">
            <v>43714</v>
          </cell>
          <cell r="I91">
            <v>44105</v>
          </cell>
          <cell r="J91">
            <v>44835</v>
          </cell>
          <cell r="K91" t="str">
            <v>Sub</v>
          </cell>
          <cell r="L91" t="str">
            <v>Hybrid/Mixed Cost-Plus/Fixed</v>
          </cell>
          <cell r="M91" t="str">
            <v>Other</v>
          </cell>
          <cell r="N91" t="str">
            <v>Identified - New</v>
          </cell>
          <cell r="O91" t="str">
            <v>01 Prospect</v>
          </cell>
          <cell r="P91" t="str">
            <v>Priority 3</v>
          </cell>
          <cell r="Q91">
            <v>0.25</v>
          </cell>
          <cell r="R91">
            <v>15000000</v>
          </cell>
          <cell r="S91">
            <v>0.12</v>
          </cell>
          <cell r="T91">
            <v>0.122</v>
          </cell>
          <cell r="U91">
            <v>0.124</v>
          </cell>
          <cell r="V91">
            <v>0.126</v>
          </cell>
          <cell r="W91">
            <v>0.128</v>
          </cell>
          <cell r="X91">
            <v>0.03</v>
          </cell>
          <cell r="Y91">
            <v>3.2000000000000001E-2</v>
          </cell>
          <cell r="Z91">
            <v>3.4000000000000002E-2</v>
          </cell>
          <cell r="AA91">
            <v>3.5999999999999997E-2</v>
          </cell>
          <cell r="AB91">
            <v>3.9E-2</v>
          </cell>
          <cell r="AC91">
            <v>7500000</v>
          </cell>
          <cell r="AD91">
            <v>0</v>
          </cell>
          <cell r="AE91">
            <v>0</v>
          </cell>
          <cell r="AF91">
            <v>1869791.6666666667</v>
          </cell>
          <cell r="AG91">
            <v>1875000</v>
          </cell>
          <cell r="AH91">
            <v>5208.3333333330229</v>
          </cell>
          <cell r="AI91">
            <v>0</v>
          </cell>
          <cell r="AJ91">
            <v>0</v>
          </cell>
          <cell r="AK91">
            <v>231854.16666666669</v>
          </cell>
          <cell r="AL91">
            <v>236250</v>
          </cell>
          <cell r="AM91">
            <v>666.66666666662695</v>
          </cell>
          <cell r="AN91">
            <v>0</v>
          </cell>
          <cell r="AO91">
            <v>0</v>
          </cell>
          <cell r="AP91">
            <v>63572.916666666672</v>
          </cell>
          <cell r="AQ91">
            <v>67500</v>
          </cell>
          <cell r="AR91">
            <v>203.12499999998789</v>
          </cell>
          <cell r="AT91" t="str">
            <v>OPP-865644 - Identified - New - MR</v>
          </cell>
          <cell r="AU91">
            <v>131276.04166666669</v>
          </cell>
          <cell r="AV91">
            <v>131276.04166666669</v>
          </cell>
          <cell r="AW91">
            <v>0</v>
          </cell>
          <cell r="AX91">
            <v>0</v>
          </cell>
          <cell r="AZ91">
            <v>68</v>
          </cell>
          <cell r="BA91">
            <v>357</v>
          </cell>
          <cell r="BB91">
            <v>142</v>
          </cell>
        </row>
        <row r="92">
          <cell r="B92" t="str">
            <v>OPP-865038</v>
          </cell>
          <cell r="C92" t="str">
            <v>THREAT SYSTEMS OPERATIONS AND MAINTENANCE INTEGRATED SUPPORT SERVICES II (TSOMIS II)</v>
          </cell>
          <cell r="D92" t="str">
            <v>MR</v>
          </cell>
          <cell r="E92" t="str">
            <v>MR Warfighter Support</v>
          </cell>
          <cell r="F92" t="str">
            <v>Army</v>
          </cell>
          <cell r="G92" t="str">
            <v>DOD</v>
          </cell>
          <cell r="H92">
            <v>43788</v>
          </cell>
          <cell r="I92">
            <v>43789</v>
          </cell>
          <cell r="J92">
            <v>46346</v>
          </cell>
          <cell r="K92" t="str">
            <v>Sub</v>
          </cell>
          <cell r="L92" t="str">
            <v>Hybrid/Mixed Cost-Plus/Fixed</v>
          </cell>
          <cell r="M92" t="str">
            <v>Other</v>
          </cell>
          <cell r="N92" t="str">
            <v>Identified - New</v>
          </cell>
          <cell r="O92" t="str">
            <v>04 Submitted</v>
          </cell>
          <cell r="P92" t="str">
            <v>Priority 3</v>
          </cell>
          <cell r="Q92">
            <v>0.25</v>
          </cell>
          <cell r="R92">
            <v>14000000</v>
          </cell>
          <cell r="S92">
            <v>0.12</v>
          </cell>
          <cell r="T92">
            <v>0.122</v>
          </cell>
          <cell r="U92">
            <v>0.124</v>
          </cell>
          <cell r="V92">
            <v>0.126</v>
          </cell>
          <cell r="W92">
            <v>0.128</v>
          </cell>
          <cell r="X92">
            <v>0.03</v>
          </cell>
          <cell r="Y92">
            <v>3.2000000000000001E-2</v>
          </cell>
          <cell r="Z92">
            <v>3.4000000000000002E-2</v>
          </cell>
          <cell r="AA92">
            <v>3.5999999999999997E-2</v>
          </cell>
          <cell r="AB92">
            <v>3.9E-2</v>
          </cell>
          <cell r="AC92">
            <v>2000000</v>
          </cell>
          <cell r="AD92">
            <v>0</v>
          </cell>
          <cell r="AE92">
            <v>430555.55555555556</v>
          </cell>
          <cell r="AF92">
            <v>500000</v>
          </cell>
          <cell r="AG92">
            <v>500000</v>
          </cell>
          <cell r="AH92">
            <v>500000</v>
          </cell>
          <cell r="AI92">
            <v>0</v>
          </cell>
          <cell r="AJ92">
            <v>52527.777777777781</v>
          </cell>
          <cell r="AK92">
            <v>62000</v>
          </cell>
          <cell r="AL92">
            <v>63000</v>
          </cell>
          <cell r="AM92">
            <v>64000</v>
          </cell>
          <cell r="AN92">
            <v>0</v>
          </cell>
          <cell r="AO92">
            <v>13777.777777777777</v>
          </cell>
          <cell r="AP92">
            <v>17000</v>
          </cell>
          <cell r="AQ92">
            <v>18000</v>
          </cell>
          <cell r="AR92">
            <v>19500</v>
          </cell>
          <cell r="AT92" t="str">
            <v>OPP-865038 - Identified - New - MR</v>
          </cell>
          <cell r="AU92">
            <v>68277.777777777781</v>
          </cell>
          <cell r="AV92">
            <v>68277.777777777781</v>
          </cell>
          <cell r="AW92">
            <v>0</v>
          </cell>
          <cell r="AX92">
            <v>0</v>
          </cell>
          <cell r="AZ92">
            <v>83</v>
          </cell>
          <cell r="BA92">
            <v>358</v>
          </cell>
          <cell r="BB92">
            <v>143</v>
          </cell>
        </row>
        <row r="93">
          <cell r="B93" t="str">
            <v>OPP-458244</v>
          </cell>
          <cell r="C93" t="str">
            <v>Commercial UAV Placeholder</v>
          </cell>
          <cell r="D93" t="str">
            <v>MR</v>
          </cell>
          <cell r="E93" t="str">
            <v>MR Warfighter Support</v>
          </cell>
          <cell r="F93" t="str">
            <v>Intercompany</v>
          </cell>
          <cell r="G93" t="str">
            <v>Intercompany</v>
          </cell>
          <cell r="H93">
            <v>43845</v>
          </cell>
          <cell r="I93">
            <v>43845</v>
          </cell>
          <cell r="J93">
            <v>45672</v>
          </cell>
          <cell r="K93" t="str">
            <v>Prime</v>
          </cell>
          <cell r="L93">
            <v>0</v>
          </cell>
          <cell r="M93" t="str">
            <v>Other</v>
          </cell>
          <cell r="N93" t="str">
            <v>Identified - New</v>
          </cell>
          <cell r="O93" t="str">
            <v>01 Prospect</v>
          </cell>
          <cell r="P93" t="str">
            <v>Priority 3</v>
          </cell>
          <cell r="Q93">
            <v>0.1</v>
          </cell>
          <cell r="R93">
            <v>10000000</v>
          </cell>
          <cell r="S93">
            <v>0.12</v>
          </cell>
          <cell r="T93">
            <v>0.122</v>
          </cell>
          <cell r="U93">
            <v>0.124</v>
          </cell>
          <cell r="V93">
            <v>0.126</v>
          </cell>
          <cell r="W93">
            <v>0.128</v>
          </cell>
          <cell r="X93">
            <v>0.03</v>
          </cell>
          <cell r="Y93">
            <v>3.2000000000000001E-2</v>
          </cell>
          <cell r="Z93">
            <v>3.4000000000000002E-2</v>
          </cell>
          <cell r="AA93">
            <v>3.5999999999999997E-2</v>
          </cell>
          <cell r="AB93">
            <v>3.9E-2</v>
          </cell>
          <cell r="AC93">
            <v>2000000</v>
          </cell>
          <cell r="AD93">
            <v>0</v>
          </cell>
          <cell r="AE93">
            <v>141666.66666666669</v>
          </cell>
          <cell r="AF93">
            <v>200000</v>
          </cell>
          <cell r="AG93">
            <v>200000</v>
          </cell>
          <cell r="AH93">
            <v>200000</v>
          </cell>
          <cell r="AI93">
            <v>0</v>
          </cell>
          <cell r="AJ93">
            <v>17283.333333333336</v>
          </cell>
          <cell r="AK93">
            <v>24800</v>
          </cell>
          <cell r="AL93">
            <v>25200</v>
          </cell>
          <cell r="AM93">
            <v>25600</v>
          </cell>
          <cell r="AN93">
            <v>0</v>
          </cell>
          <cell r="AO93">
            <v>4533.3333333333339</v>
          </cell>
          <cell r="AP93">
            <v>6800.0000000000009</v>
          </cell>
          <cell r="AQ93">
            <v>7199.9999999999991</v>
          </cell>
          <cell r="AR93">
            <v>7800</v>
          </cell>
          <cell r="AT93" t="str">
            <v>OPP-458244 - Identified - New - MR</v>
          </cell>
          <cell r="AU93">
            <v>26333.333333333336</v>
          </cell>
          <cell r="AV93">
            <v>26333.333333333336</v>
          </cell>
          <cell r="AW93">
            <v>0</v>
          </cell>
          <cell r="AX93">
            <v>0</v>
          </cell>
          <cell r="AZ93">
            <v>89</v>
          </cell>
          <cell r="BA93">
            <v>359</v>
          </cell>
          <cell r="BB93">
            <v>144</v>
          </cell>
        </row>
        <row r="94">
          <cell r="B94" t="str">
            <v>OPP-594854</v>
          </cell>
          <cell r="C94" t="str">
            <v>LOGCAP V - MS</v>
          </cell>
          <cell r="D94" t="str">
            <v>MR</v>
          </cell>
          <cell r="E94" t="str">
            <v>MR Logistics &amp; Supply</v>
          </cell>
          <cell r="F94" t="str">
            <v>Army</v>
          </cell>
          <cell r="G94" t="str">
            <v>DOD</v>
          </cell>
          <cell r="H94">
            <v>43678</v>
          </cell>
          <cell r="I94">
            <v>43862</v>
          </cell>
          <cell r="J94">
            <v>47514</v>
          </cell>
          <cell r="K94" t="str">
            <v>Prime</v>
          </cell>
          <cell r="L94" t="str">
            <v>Cost Plus Fixed Fee</v>
          </cell>
          <cell r="M94" t="str">
            <v>Cost Reimbursable</v>
          </cell>
          <cell r="N94" t="str">
            <v>Identified - New</v>
          </cell>
          <cell r="O94" t="str">
            <v>04 Submitted</v>
          </cell>
          <cell r="P94" t="str">
            <v>Priority 1</v>
          </cell>
          <cell r="Q94">
            <v>0.05</v>
          </cell>
          <cell r="R94">
            <v>1000000000</v>
          </cell>
          <cell r="S94">
            <v>0.12</v>
          </cell>
          <cell r="T94">
            <v>0.12</v>
          </cell>
          <cell r="U94">
            <v>0.12</v>
          </cell>
          <cell r="V94">
            <v>0.12</v>
          </cell>
          <cell r="W94">
            <v>0.12</v>
          </cell>
          <cell r="X94">
            <v>0.03</v>
          </cell>
          <cell r="Y94">
            <v>0.03</v>
          </cell>
          <cell r="Z94">
            <v>0.03</v>
          </cell>
          <cell r="AA94">
            <v>0.03</v>
          </cell>
          <cell r="AB94">
            <v>0.03</v>
          </cell>
          <cell r="AC94">
            <v>100000000</v>
          </cell>
          <cell r="AD94">
            <v>0</v>
          </cell>
          <cell r="AE94">
            <v>3319444.4444444445</v>
          </cell>
          <cell r="AF94">
            <v>5000000</v>
          </cell>
          <cell r="AG94">
            <v>5000000</v>
          </cell>
          <cell r="AH94">
            <v>5000000</v>
          </cell>
          <cell r="AI94">
            <v>0</v>
          </cell>
          <cell r="AJ94">
            <v>398333.33333333331</v>
          </cell>
          <cell r="AK94">
            <v>600000</v>
          </cell>
          <cell r="AL94">
            <v>600000</v>
          </cell>
          <cell r="AM94">
            <v>600000</v>
          </cell>
          <cell r="AN94">
            <v>0</v>
          </cell>
          <cell r="AO94">
            <v>99583.333333333328</v>
          </cell>
          <cell r="AP94">
            <v>150000</v>
          </cell>
          <cell r="AQ94">
            <v>150000</v>
          </cell>
          <cell r="AR94">
            <v>150000</v>
          </cell>
          <cell r="AT94" t="str">
            <v>OPP-594854 - Identified - New - MR</v>
          </cell>
          <cell r="AU94">
            <v>549583.33333333326</v>
          </cell>
          <cell r="AV94">
            <v>549583.33333333326</v>
          </cell>
          <cell r="AW94">
            <v>0</v>
          </cell>
          <cell r="AX94">
            <v>0</v>
          </cell>
          <cell r="AZ94">
            <v>32</v>
          </cell>
          <cell r="BA94">
            <v>360</v>
          </cell>
          <cell r="BB94">
            <v>145</v>
          </cell>
        </row>
        <row r="95">
          <cell r="B95" t="str">
            <v>OPP-413856</v>
          </cell>
          <cell r="C95" t="str">
            <v>US NSF Antarctic Program</v>
          </cell>
          <cell r="D95" t="str">
            <v>MR</v>
          </cell>
          <cell r="E95" t="str">
            <v>MR Warfighter Support</v>
          </cell>
          <cell r="F95" t="str">
            <v>Other Civilian</v>
          </cell>
          <cell r="G95" t="str">
            <v>Other</v>
          </cell>
          <cell r="H95">
            <v>44564</v>
          </cell>
          <cell r="I95">
            <v>44600</v>
          </cell>
          <cell r="J95">
            <v>48252</v>
          </cell>
          <cell r="K95" t="str">
            <v>Prime</v>
          </cell>
          <cell r="L95" t="str">
            <v>IDIQ/Mixed Cost-Plus/Fixed</v>
          </cell>
          <cell r="M95" t="str">
            <v>Other</v>
          </cell>
          <cell r="N95" t="str">
            <v>Identified - New</v>
          </cell>
          <cell r="O95" t="str">
            <v>01 Prospect</v>
          </cell>
          <cell r="P95" t="str">
            <v>Priority 1</v>
          </cell>
          <cell r="Q95">
            <v>0.2</v>
          </cell>
          <cell r="R95">
            <v>1000000000</v>
          </cell>
          <cell r="S95">
            <v>0.11</v>
          </cell>
          <cell r="T95">
            <v>0.11</v>
          </cell>
          <cell r="U95">
            <v>0.11</v>
          </cell>
          <cell r="V95">
            <v>0.11</v>
          </cell>
          <cell r="W95">
            <v>0.11</v>
          </cell>
          <cell r="X95">
            <v>0.03</v>
          </cell>
          <cell r="Y95">
            <v>0.03</v>
          </cell>
          <cell r="Z95">
            <v>0.03</v>
          </cell>
          <cell r="AA95">
            <v>0.03</v>
          </cell>
          <cell r="AB95">
            <v>0.03</v>
          </cell>
          <cell r="AC95">
            <v>100000000</v>
          </cell>
          <cell r="AD95">
            <v>0</v>
          </cell>
          <cell r="AE95">
            <v>0</v>
          </cell>
          <cell r="AF95">
            <v>0</v>
          </cell>
          <cell r="AG95">
            <v>12888888.88888889</v>
          </cell>
          <cell r="AH95">
            <v>20000000</v>
          </cell>
          <cell r="AI95">
            <v>0</v>
          </cell>
          <cell r="AJ95">
            <v>0</v>
          </cell>
          <cell r="AK95">
            <v>0</v>
          </cell>
          <cell r="AL95">
            <v>1417777.777777778</v>
          </cell>
          <cell r="AM95">
            <v>2200000</v>
          </cell>
          <cell r="AN95">
            <v>0</v>
          </cell>
          <cell r="AO95">
            <v>0</v>
          </cell>
          <cell r="AP95">
            <v>0</v>
          </cell>
          <cell r="AQ95">
            <v>386666.66666666669</v>
          </cell>
          <cell r="AR95">
            <v>600000</v>
          </cell>
          <cell r="AT95" t="str">
            <v>OPP-413856 - Identified - New - MR</v>
          </cell>
          <cell r="AU95">
            <v>986666.66666666674</v>
          </cell>
          <cell r="AV95">
            <v>986666.66666666674</v>
          </cell>
          <cell r="AW95">
            <v>0</v>
          </cell>
          <cell r="AX95">
            <v>0</v>
          </cell>
          <cell r="AZ95">
            <v>21</v>
          </cell>
          <cell r="BA95">
            <v>361</v>
          </cell>
          <cell r="BB95">
            <v>146</v>
          </cell>
        </row>
        <row r="96">
          <cell r="B96" t="str">
            <v>OPP-937961</v>
          </cell>
          <cell r="C96" t="str">
            <v>SUSTAINMENT AND MODIFICATION OF RADAR SENSORS (SMORS)</v>
          </cell>
          <cell r="D96" t="str">
            <v>MR</v>
          </cell>
          <cell r="E96" t="str">
            <v>MR Warfighter Support</v>
          </cell>
          <cell r="F96" t="str">
            <v>Air Force</v>
          </cell>
          <cell r="G96" t="str">
            <v>DOD</v>
          </cell>
          <cell r="H96">
            <v>45019</v>
          </cell>
          <cell r="I96">
            <v>45078</v>
          </cell>
          <cell r="J96">
            <v>46905</v>
          </cell>
          <cell r="K96" t="str">
            <v>Prime</v>
          </cell>
          <cell r="L96" t="str">
            <v>Hybrid/Mixed Cost-Plus/Fixed</v>
          </cell>
          <cell r="M96" t="str">
            <v>Other</v>
          </cell>
          <cell r="N96" t="str">
            <v>Identified - New</v>
          </cell>
          <cell r="O96" t="str">
            <v>01 Prospect</v>
          </cell>
          <cell r="P96" t="str">
            <v>Priority 1</v>
          </cell>
          <cell r="Q96">
            <v>0.15</v>
          </cell>
          <cell r="R96">
            <v>866000000</v>
          </cell>
          <cell r="S96">
            <v>0.1</v>
          </cell>
          <cell r="T96">
            <v>0.1</v>
          </cell>
          <cell r="U96">
            <v>0.1</v>
          </cell>
          <cell r="V96">
            <v>0.1</v>
          </cell>
          <cell r="W96">
            <v>0.1</v>
          </cell>
          <cell r="X96">
            <v>0.1</v>
          </cell>
          <cell r="Y96">
            <v>0.03</v>
          </cell>
          <cell r="Z96">
            <v>0.03</v>
          </cell>
          <cell r="AA96">
            <v>0.03</v>
          </cell>
          <cell r="AB96">
            <v>0.03</v>
          </cell>
          <cell r="AC96">
            <v>173200000</v>
          </cell>
          <cell r="AD96">
            <v>0</v>
          </cell>
          <cell r="AE96">
            <v>0</v>
          </cell>
          <cell r="AF96">
            <v>0</v>
          </cell>
          <cell r="AG96">
            <v>0</v>
          </cell>
          <cell r="AH96">
            <v>8587833.333333334</v>
          </cell>
          <cell r="AI96">
            <v>0</v>
          </cell>
          <cell r="AJ96">
            <v>0</v>
          </cell>
          <cell r="AK96">
            <v>0</v>
          </cell>
          <cell r="AL96">
            <v>0</v>
          </cell>
          <cell r="AM96">
            <v>858783.33333333349</v>
          </cell>
          <cell r="AN96">
            <v>0</v>
          </cell>
          <cell r="AO96">
            <v>0</v>
          </cell>
          <cell r="AP96">
            <v>0</v>
          </cell>
          <cell r="AQ96">
            <v>0</v>
          </cell>
          <cell r="AR96">
            <v>257635</v>
          </cell>
          <cell r="AT96" t="str">
            <v>OPP-937961 - Identified - New - MR</v>
          </cell>
          <cell r="AU96">
            <v>257635</v>
          </cell>
          <cell r="AV96">
            <v>257635</v>
          </cell>
          <cell r="AW96">
            <v>0</v>
          </cell>
          <cell r="AX96">
            <v>0</v>
          </cell>
          <cell r="AZ96">
            <v>52</v>
          </cell>
          <cell r="BA96">
            <v>362</v>
          </cell>
          <cell r="BB96">
            <v>147</v>
          </cell>
        </row>
        <row r="97">
          <cell r="B97" t="str">
            <v>OPP-415553</v>
          </cell>
          <cell r="C97" t="str">
            <v>Atlantic Undersea Test and Evaluation Center (AUTEC) Operations and Maintenance</v>
          </cell>
          <cell r="D97" t="str">
            <v>MR</v>
          </cell>
          <cell r="E97" t="str">
            <v>MR Warfighter Support</v>
          </cell>
          <cell r="F97" t="str">
            <v>Navy</v>
          </cell>
          <cell r="G97" t="str">
            <v>DOD</v>
          </cell>
          <cell r="H97">
            <v>43815</v>
          </cell>
          <cell r="I97">
            <v>43922</v>
          </cell>
          <cell r="J97">
            <v>47574</v>
          </cell>
          <cell r="K97" t="str">
            <v>Prime</v>
          </cell>
          <cell r="L97" t="str">
            <v>Cost Plus Award Fee</v>
          </cell>
          <cell r="M97" t="str">
            <v>Cost Reimbursable</v>
          </cell>
          <cell r="N97" t="str">
            <v>Identified - New</v>
          </cell>
          <cell r="O97" t="str">
            <v>04 Submitted</v>
          </cell>
          <cell r="P97" t="str">
            <v>Priority 1</v>
          </cell>
          <cell r="Q97">
            <v>0.2</v>
          </cell>
          <cell r="R97">
            <v>400000000</v>
          </cell>
          <cell r="S97">
            <v>0.08</v>
          </cell>
          <cell r="T97">
            <v>8.4000000000000005E-2</v>
          </cell>
          <cell r="U97">
            <v>8.5999999999999993E-2</v>
          </cell>
          <cell r="V97">
            <v>8.7999999999999995E-2</v>
          </cell>
          <cell r="W97">
            <v>8.8999999999999996E-2</v>
          </cell>
          <cell r="X97">
            <v>2.5000000000000001E-2</v>
          </cell>
          <cell r="Y97">
            <v>2.8000000000000001E-2</v>
          </cell>
          <cell r="Z97">
            <v>0.03</v>
          </cell>
          <cell r="AA97">
            <v>3.2000000000000001E-2</v>
          </cell>
          <cell r="AB97">
            <v>3.4000000000000002E-2</v>
          </cell>
          <cell r="AC97">
            <v>40000000</v>
          </cell>
          <cell r="AD97">
            <v>0</v>
          </cell>
          <cell r="AE97">
            <v>3977777.777777778</v>
          </cell>
          <cell r="AF97">
            <v>8000000</v>
          </cell>
          <cell r="AG97">
            <v>8000000</v>
          </cell>
          <cell r="AH97">
            <v>8000000</v>
          </cell>
          <cell r="AI97">
            <v>0</v>
          </cell>
          <cell r="AJ97">
            <v>334133.33333333337</v>
          </cell>
          <cell r="AK97">
            <v>688000</v>
          </cell>
          <cell r="AL97">
            <v>704000</v>
          </cell>
          <cell r="AM97">
            <v>712000</v>
          </cell>
          <cell r="AN97">
            <v>0</v>
          </cell>
          <cell r="AO97">
            <v>111377.77777777778</v>
          </cell>
          <cell r="AP97">
            <v>240000</v>
          </cell>
          <cell r="AQ97">
            <v>256000</v>
          </cell>
          <cell r="AR97">
            <v>272000</v>
          </cell>
          <cell r="AT97" t="str">
            <v>OPP-415553 - Identified - New - MR</v>
          </cell>
          <cell r="AU97">
            <v>879377.77777777775</v>
          </cell>
          <cell r="AV97">
            <v>879377.77777777775</v>
          </cell>
          <cell r="AW97">
            <v>0</v>
          </cell>
          <cell r="AX97">
            <v>0</v>
          </cell>
          <cell r="AZ97">
            <v>22</v>
          </cell>
          <cell r="BA97">
            <v>363</v>
          </cell>
          <cell r="BB97">
            <v>148</v>
          </cell>
        </row>
        <row r="98">
          <cell r="B98" t="str">
            <v>OPP-743056</v>
          </cell>
          <cell r="C98" t="str">
            <v>F-5 AIRCRAFT MAINTENANCE</v>
          </cell>
          <cell r="D98" t="str">
            <v>MR</v>
          </cell>
          <cell r="E98" t="str">
            <v>MR Maintenance &amp; Sustainment</v>
          </cell>
          <cell r="F98" t="str">
            <v>Navy</v>
          </cell>
          <cell r="G98" t="str">
            <v>DOD</v>
          </cell>
          <cell r="H98">
            <v>44204</v>
          </cell>
          <cell r="I98">
            <v>44228</v>
          </cell>
          <cell r="J98">
            <v>46054</v>
          </cell>
          <cell r="K98" t="str">
            <v>Prime</v>
          </cell>
          <cell r="L98" t="str">
            <v>Cost Plus Fixed Fee</v>
          </cell>
          <cell r="M98" t="str">
            <v>Cost Reimbursable</v>
          </cell>
          <cell r="N98" t="str">
            <v>Identified - New</v>
          </cell>
          <cell r="O98" t="str">
            <v>02 Capture</v>
          </cell>
          <cell r="P98" t="str">
            <v>Priority 1</v>
          </cell>
          <cell r="Q98">
            <v>0.15</v>
          </cell>
          <cell r="R98">
            <v>283000000</v>
          </cell>
          <cell r="S98">
            <v>0.12</v>
          </cell>
          <cell r="T98">
            <v>0.122</v>
          </cell>
          <cell r="U98">
            <v>0.125</v>
          </cell>
          <cell r="V98">
            <v>0.126</v>
          </cell>
          <cell r="W98">
            <v>0.127</v>
          </cell>
          <cell r="X98">
            <v>2.5000000000000001E-2</v>
          </cell>
          <cell r="Y98">
            <v>2.8000000000000001E-2</v>
          </cell>
          <cell r="Z98">
            <v>0.03</v>
          </cell>
          <cell r="AA98">
            <v>3.1E-2</v>
          </cell>
          <cell r="AB98">
            <v>3.3000000000000002E-2</v>
          </cell>
          <cell r="AC98">
            <v>56600000</v>
          </cell>
          <cell r="AD98">
            <v>0</v>
          </cell>
          <cell r="AE98">
            <v>0</v>
          </cell>
          <cell r="AF98">
            <v>5636416.666666667</v>
          </cell>
          <cell r="AG98">
            <v>8490000</v>
          </cell>
          <cell r="AH98">
            <v>8490000</v>
          </cell>
          <cell r="AI98">
            <v>0</v>
          </cell>
          <cell r="AJ98">
            <v>0</v>
          </cell>
          <cell r="AK98">
            <v>704552.08333333337</v>
          </cell>
          <cell r="AL98">
            <v>1069740</v>
          </cell>
          <cell r="AM98">
            <v>1078230</v>
          </cell>
          <cell r="AN98">
            <v>0</v>
          </cell>
          <cell r="AO98">
            <v>0</v>
          </cell>
          <cell r="AP98">
            <v>169092.5</v>
          </cell>
          <cell r="AQ98">
            <v>263190</v>
          </cell>
          <cell r="AR98">
            <v>280170</v>
          </cell>
          <cell r="AT98" t="str">
            <v>OPP-743056 - Identified - New - MR</v>
          </cell>
          <cell r="AU98">
            <v>712452.5</v>
          </cell>
          <cell r="AV98">
            <v>712452.5</v>
          </cell>
          <cell r="AW98">
            <v>0</v>
          </cell>
          <cell r="AX98">
            <v>0</v>
          </cell>
          <cell r="AZ98">
            <v>27</v>
          </cell>
          <cell r="BA98">
            <v>364</v>
          </cell>
          <cell r="BB98">
            <v>149</v>
          </cell>
        </row>
        <row r="99">
          <cell r="B99" t="str">
            <v>OPP-919575</v>
          </cell>
          <cell r="C99" t="str">
            <v>Tobyhanna augmentation support</v>
          </cell>
          <cell r="D99" t="str">
            <v>MR</v>
          </cell>
          <cell r="E99" t="str">
            <v>MR Maintenance &amp; Sustainment</v>
          </cell>
          <cell r="F99" t="str">
            <v>Army</v>
          </cell>
          <cell r="G99" t="str">
            <v>DOD</v>
          </cell>
          <cell r="H99">
            <v>43889</v>
          </cell>
          <cell r="I99">
            <v>44042</v>
          </cell>
          <cell r="J99">
            <v>45868</v>
          </cell>
          <cell r="K99" t="str">
            <v>Prime</v>
          </cell>
          <cell r="L99" t="str">
            <v>Cost Plus Fixed Fee</v>
          </cell>
          <cell r="M99" t="str">
            <v>Cost Reimbursable</v>
          </cell>
          <cell r="N99" t="str">
            <v>Identified - New</v>
          </cell>
          <cell r="O99" t="str">
            <v>01 Prospect</v>
          </cell>
          <cell r="P99" t="str">
            <v>Priority 2</v>
          </cell>
          <cell r="Q99">
            <v>0.5</v>
          </cell>
          <cell r="R99">
            <v>145000000</v>
          </cell>
          <cell r="S99">
            <v>0.12</v>
          </cell>
          <cell r="T99">
            <v>0.122</v>
          </cell>
          <cell r="U99">
            <v>0.125</v>
          </cell>
          <cell r="V99">
            <v>0.126</v>
          </cell>
          <cell r="W99">
            <v>0.127</v>
          </cell>
          <cell r="X99">
            <v>2.7E-2</v>
          </cell>
          <cell r="Y99">
            <v>2.8000000000000001E-2</v>
          </cell>
          <cell r="Z99">
            <v>0.03</v>
          </cell>
          <cell r="AA99">
            <v>3.1E-2</v>
          </cell>
          <cell r="AB99">
            <v>3.3000000000000002E-2</v>
          </cell>
          <cell r="AC99">
            <v>29000000</v>
          </cell>
          <cell r="AD99">
            <v>0</v>
          </cell>
          <cell r="AE99">
            <v>2416666.6666666665</v>
          </cell>
          <cell r="AF99">
            <v>14500000</v>
          </cell>
          <cell r="AG99">
            <v>14500000</v>
          </cell>
          <cell r="AH99">
            <v>14500000</v>
          </cell>
          <cell r="AI99">
            <v>0</v>
          </cell>
          <cell r="AJ99">
            <v>294833.33333333331</v>
          </cell>
          <cell r="AK99">
            <v>1812500</v>
          </cell>
          <cell r="AL99">
            <v>1827000</v>
          </cell>
          <cell r="AM99">
            <v>1841500</v>
          </cell>
          <cell r="AN99">
            <v>0</v>
          </cell>
          <cell r="AO99">
            <v>67666.666666666657</v>
          </cell>
          <cell r="AP99">
            <v>435000</v>
          </cell>
          <cell r="AQ99">
            <v>449500</v>
          </cell>
          <cell r="AR99">
            <v>478500</v>
          </cell>
          <cell r="AT99" t="str">
            <v>OPP-919575 - Identified - New - MR</v>
          </cell>
          <cell r="AU99">
            <v>1430666.6666666665</v>
          </cell>
          <cell r="AV99">
            <v>1430666.6666666665</v>
          </cell>
          <cell r="AW99">
            <v>0</v>
          </cell>
          <cell r="AX99">
            <v>0</v>
          </cell>
          <cell r="AZ99">
            <v>12</v>
          </cell>
          <cell r="BA99">
            <v>365</v>
          </cell>
          <cell r="BB99">
            <v>150</v>
          </cell>
        </row>
        <row r="100">
          <cell r="B100" t="str">
            <v>OPP-896177</v>
          </cell>
          <cell r="C100" t="str">
            <v>EAGLE TO - Ft Hood LRC</v>
          </cell>
          <cell r="D100" t="str">
            <v>MR</v>
          </cell>
          <cell r="E100" t="str">
            <v>MR Maintenance &amp; Sustainment</v>
          </cell>
          <cell r="F100" t="str">
            <v>Army</v>
          </cell>
          <cell r="G100" t="str">
            <v>DOD</v>
          </cell>
          <cell r="H100">
            <v>43756</v>
          </cell>
          <cell r="I100">
            <v>43759</v>
          </cell>
          <cell r="J100">
            <v>45586</v>
          </cell>
          <cell r="K100" t="str">
            <v>Prime</v>
          </cell>
          <cell r="L100" t="str">
            <v>Hybrid/Mixed Cost-Plus/Fixed</v>
          </cell>
          <cell r="M100" t="str">
            <v>Other</v>
          </cell>
          <cell r="N100" t="str">
            <v>Identified - New</v>
          </cell>
          <cell r="O100" t="str">
            <v>03 Proposal</v>
          </cell>
          <cell r="P100" t="str">
            <v>Priority 2</v>
          </cell>
          <cell r="Q100">
            <v>0.35</v>
          </cell>
          <cell r="R100">
            <v>140000000</v>
          </cell>
          <cell r="S100">
            <v>0.12</v>
          </cell>
          <cell r="T100">
            <v>0.12</v>
          </cell>
          <cell r="U100">
            <v>0.125</v>
          </cell>
          <cell r="V100">
            <v>0.126</v>
          </cell>
          <cell r="W100">
            <v>0.127</v>
          </cell>
          <cell r="X100">
            <v>2.7E-2</v>
          </cell>
          <cell r="Y100">
            <v>2.8000000000000001E-2</v>
          </cell>
          <cell r="Z100">
            <v>0.03</v>
          </cell>
          <cell r="AA100">
            <v>3.1E-2</v>
          </cell>
          <cell r="AB100">
            <v>3.3000000000000002E-2</v>
          </cell>
          <cell r="AC100">
            <v>28000000</v>
          </cell>
          <cell r="AD100">
            <v>0</v>
          </cell>
          <cell r="AE100">
            <v>9228333.333333334</v>
          </cell>
          <cell r="AF100">
            <v>9800000</v>
          </cell>
          <cell r="AG100">
            <v>9800000</v>
          </cell>
          <cell r="AH100">
            <v>9800000</v>
          </cell>
          <cell r="AI100">
            <v>0</v>
          </cell>
          <cell r="AJ100">
            <v>1107400</v>
          </cell>
          <cell r="AK100">
            <v>1225000</v>
          </cell>
          <cell r="AL100">
            <v>1234800</v>
          </cell>
          <cell r="AM100">
            <v>1244600</v>
          </cell>
          <cell r="AN100">
            <v>0</v>
          </cell>
          <cell r="AO100">
            <v>258393.33333333334</v>
          </cell>
          <cell r="AP100">
            <v>294000</v>
          </cell>
          <cell r="AQ100">
            <v>303800</v>
          </cell>
          <cell r="AR100">
            <v>323400</v>
          </cell>
          <cell r="AT100" t="str">
            <v>OPP-896177 - Identified - New - MR</v>
          </cell>
          <cell r="AU100">
            <v>1179593.3333333335</v>
          </cell>
          <cell r="AV100">
            <v>1179593.3333333335</v>
          </cell>
          <cell r="AW100">
            <v>0</v>
          </cell>
          <cell r="AX100">
            <v>0</v>
          </cell>
          <cell r="AZ100">
            <v>18</v>
          </cell>
          <cell r="BA100">
            <v>366</v>
          </cell>
          <cell r="BB100">
            <v>151</v>
          </cell>
        </row>
        <row r="101">
          <cell r="B101" t="str">
            <v>OPP-718465</v>
          </cell>
          <cell r="C101" t="str">
            <v>EAGLE TO - APS 3 Charleston, SC</v>
          </cell>
          <cell r="D101" t="str">
            <v>MR</v>
          </cell>
          <cell r="E101" t="str">
            <v>MR Maintenance &amp; Sustainment</v>
          </cell>
          <cell r="F101" t="str">
            <v>Army</v>
          </cell>
          <cell r="G101" t="str">
            <v>DOD</v>
          </cell>
          <cell r="H101">
            <v>44053</v>
          </cell>
          <cell r="I101">
            <v>44153</v>
          </cell>
          <cell r="J101">
            <v>45979</v>
          </cell>
          <cell r="K101" t="str">
            <v>Prime</v>
          </cell>
          <cell r="L101" t="str">
            <v>Cost Plus Fixed Fee</v>
          </cell>
          <cell r="M101" t="str">
            <v>Cost Reimbursable</v>
          </cell>
          <cell r="N101" t="str">
            <v>Identified - New</v>
          </cell>
          <cell r="O101" t="str">
            <v>02 Capture</v>
          </cell>
          <cell r="P101" t="str">
            <v>Priority 2</v>
          </cell>
          <cell r="Q101">
            <v>0.25</v>
          </cell>
          <cell r="R101">
            <v>125000000</v>
          </cell>
          <cell r="S101">
            <v>0.12</v>
          </cell>
          <cell r="T101">
            <v>0.122</v>
          </cell>
          <cell r="U101">
            <v>0.125</v>
          </cell>
          <cell r="V101">
            <v>0.126</v>
          </cell>
          <cell r="W101">
            <v>0.127</v>
          </cell>
          <cell r="X101">
            <v>2.7E-2</v>
          </cell>
          <cell r="Y101">
            <v>2.8000000000000001E-2</v>
          </cell>
          <cell r="Z101">
            <v>0.03</v>
          </cell>
          <cell r="AA101">
            <v>3.1E-2</v>
          </cell>
          <cell r="AB101">
            <v>3.3000000000000002E-2</v>
          </cell>
          <cell r="AC101">
            <v>25000000</v>
          </cell>
          <cell r="AD101">
            <v>0</v>
          </cell>
          <cell r="AE101">
            <v>0</v>
          </cell>
          <cell r="AF101">
            <v>5416666.666666667</v>
          </cell>
          <cell r="AG101">
            <v>6250000</v>
          </cell>
          <cell r="AH101">
            <v>6250000</v>
          </cell>
          <cell r="AI101">
            <v>0</v>
          </cell>
          <cell r="AJ101">
            <v>0</v>
          </cell>
          <cell r="AK101">
            <v>677083.33333333337</v>
          </cell>
          <cell r="AL101">
            <v>787500</v>
          </cell>
          <cell r="AM101">
            <v>793750</v>
          </cell>
          <cell r="AN101">
            <v>0</v>
          </cell>
          <cell r="AO101">
            <v>0</v>
          </cell>
          <cell r="AP101">
            <v>162500</v>
          </cell>
          <cell r="AQ101">
            <v>193750</v>
          </cell>
          <cell r="AR101">
            <v>206250</v>
          </cell>
          <cell r="AT101" t="str">
            <v>OPP-718465 - Identified - New - MR</v>
          </cell>
          <cell r="AU101">
            <v>562500</v>
          </cell>
          <cell r="AV101">
            <v>562500</v>
          </cell>
          <cell r="AW101">
            <v>0</v>
          </cell>
          <cell r="AX101">
            <v>0</v>
          </cell>
          <cell r="AZ101">
            <v>31</v>
          </cell>
          <cell r="BA101">
            <v>367</v>
          </cell>
          <cell r="BB101">
            <v>152</v>
          </cell>
        </row>
        <row r="102">
          <cell r="B102" t="str">
            <v>OPP-934041</v>
          </cell>
          <cell r="C102" t="str">
            <v>EAGLE - Ft Bliss LRC</v>
          </cell>
          <cell r="D102" t="str">
            <v>MR</v>
          </cell>
          <cell r="E102" t="str">
            <v>MR Maintenance &amp; Sustainment</v>
          </cell>
          <cell r="F102" t="str">
            <v>Army</v>
          </cell>
          <cell r="G102" t="str">
            <v>DOD</v>
          </cell>
          <cell r="H102">
            <v>43862</v>
          </cell>
          <cell r="I102">
            <v>43894</v>
          </cell>
          <cell r="J102">
            <v>45720</v>
          </cell>
          <cell r="K102" t="str">
            <v>Prime</v>
          </cell>
          <cell r="L102" t="str">
            <v>Cost Plus Fixed Fee; Fixed Price</v>
          </cell>
          <cell r="M102" t="str">
            <v>Cost Reimbursable</v>
          </cell>
          <cell r="N102" t="str">
            <v>Identified - New</v>
          </cell>
          <cell r="O102" t="str">
            <v>03 Proposal</v>
          </cell>
          <cell r="P102" t="str">
            <v>Priority 2</v>
          </cell>
          <cell r="Q102">
            <v>0.35</v>
          </cell>
          <cell r="R102">
            <v>100000000</v>
          </cell>
          <cell r="S102">
            <v>0.12</v>
          </cell>
          <cell r="T102">
            <v>0.122</v>
          </cell>
          <cell r="U102">
            <v>0.125</v>
          </cell>
          <cell r="V102">
            <v>0.126</v>
          </cell>
          <cell r="W102">
            <v>0.127</v>
          </cell>
          <cell r="X102">
            <v>2.7E-2</v>
          </cell>
          <cell r="Y102">
            <v>2.8000000000000001E-2</v>
          </cell>
          <cell r="Z102">
            <v>0.03</v>
          </cell>
          <cell r="AA102">
            <v>3.1E-2</v>
          </cell>
          <cell r="AB102">
            <v>3.3000000000000002E-2</v>
          </cell>
          <cell r="AC102">
            <v>20000000</v>
          </cell>
          <cell r="AD102">
            <v>0</v>
          </cell>
          <cell r="AE102">
            <v>4005555.555555555</v>
          </cell>
          <cell r="AF102">
            <v>7000000</v>
          </cell>
          <cell r="AG102">
            <v>7000000</v>
          </cell>
          <cell r="AH102">
            <v>7000000</v>
          </cell>
          <cell r="AI102">
            <v>0</v>
          </cell>
          <cell r="AJ102">
            <v>488677.77777777769</v>
          </cell>
          <cell r="AK102">
            <v>875000</v>
          </cell>
          <cell r="AL102">
            <v>882000</v>
          </cell>
          <cell r="AM102">
            <v>889000</v>
          </cell>
          <cell r="AN102">
            <v>0</v>
          </cell>
          <cell r="AO102">
            <v>112155.55555555555</v>
          </cell>
          <cell r="AP102">
            <v>210000</v>
          </cell>
          <cell r="AQ102">
            <v>217000</v>
          </cell>
          <cell r="AR102">
            <v>231000</v>
          </cell>
          <cell r="AT102" t="str">
            <v>OPP-934041 - Identified - New - MR</v>
          </cell>
          <cell r="AU102">
            <v>770155.5555555555</v>
          </cell>
          <cell r="AV102">
            <v>770155.5555555555</v>
          </cell>
          <cell r="AW102">
            <v>0</v>
          </cell>
          <cell r="AX102">
            <v>0</v>
          </cell>
          <cell r="AZ102">
            <v>26</v>
          </cell>
          <cell r="BA102">
            <v>368</v>
          </cell>
          <cell r="BB102">
            <v>153</v>
          </cell>
        </row>
        <row r="103">
          <cell r="B103" t="str">
            <v>OPP-718198</v>
          </cell>
          <cell r="C103" t="str">
            <v>EAGLE TO - APS 4 Korea</v>
          </cell>
          <cell r="D103" t="str">
            <v>MR</v>
          </cell>
          <cell r="E103" t="str">
            <v>MR Maintenance &amp; Sustainment</v>
          </cell>
          <cell r="F103" t="str">
            <v>Army</v>
          </cell>
          <cell r="G103" t="str">
            <v>DOD</v>
          </cell>
          <cell r="H103">
            <v>43900</v>
          </cell>
          <cell r="I103">
            <v>44000</v>
          </cell>
          <cell r="J103">
            <v>45826</v>
          </cell>
          <cell r="K103" t="str">
            <v>Prime</v>
          </cell>
          <cell r="L103" t="str">
            <v>Cost Plus Fixed Fee</v>
          </cell>
          <cell r="M103" t="str">
            <v>Cost Reimbursable</v>
          </cell>
          <cell r="N103" t="str">
            <v>Identified - New</v>
          </cell>
          <cell r="O103" t="str">
            <v>03 Proposal</v>
          </cell>
          <cell r="P103" t="str">
            <v>Priority 2</v>
          </cell>
          <cell r="Q103">
            <v>0.25</v>
          </cell>
          <cell r="R103">
            <v>65000000</v>
          </cell>
          <cell r="S103">
            <v>0.12</v>
          </cell>
          <cell r="T103">
            <v>0.122</v>
          </cell>
          <cell r="U103">
            <v>0.125</v>
          </cell>
          <cell r="V103">
            <v>0.126</v>
          </cell>
          <cell r="W103">
            <v>0.127</v>
          </cell>
          <cell r="X103">
            <v>2.7E-2</v>
          </cell>
          <cell r="Y103">
            <v>2.8000000000000001E-2</v>
          </cell>
          <cell r="Z103">
            <v>0.03</v>
          </cell>
          <cell r="AA103">
            <v>3.1E-2</v>
          </cell>
          <cell r="AB103">
            <v>3.3000000000000002E-2</v>
          </cell>
          <cell r="AC103">
            <v>13000000</v>
          </cell>
          <cell r="AD103">
            <v>0</v>
          </cell>
          <cell r="AE103">
            <v>920833.33333333326</v>
          </cell>
          <cell r="AF103">
            <v>3250000</v>
          </cell>
          <cell r="AG103">
            <v>3250000</v>
          </cell>
          <cell r="AH103">
            <v>3250000</v>
          </cell>
          <cell r="AI103">
            <v>0</v>
          </cell>
          <cell r="AJ103">
            <v>112341.66666666666</v>
          </cell>
          <cell r="AK103">
            <v>406250</v>
          </cell>
          <cell r="AL103">
            <v>409500</v>
          </cell>
          <cell r="AM103">
            <v>412750</v>
          </cell>
          <cell r="AN103">
            <v>0</v>
          </cell>
          <cell r="AO103">
            <v>25783.333333333332</v>
          </cell>
          <cell r="AP103">
            <v>97500</v>
          </cell>
          <cell r="AQ103">
            <v>100750</v>
          </cell>
          <cell r="AR103">
            <v>107250</v>
          </cell>
          <cell r="AT103" t="str">
            <v>OPP-718198 - Identified - New - MR</v>
          </cell>
          <cell r="AU103">
            <v>331283.33333333331</v>
          </cell>
          <cell r="AV103">
            <v>331283.33333333331</v>
          </cell>
          <cell r="AW103">
            <v>0</v>
          </cell>
          <cell r="AX103">
            <v>0</v>
          </cell>
          <cell r="AZ103">
            <v>48</v>
          </cell>
          <cell r="BA103">
            <v>369</v>
          </cell>
          <cell r="BB103">
            <v>154</v>
          </cell>
        </row>
        <row r="104">
          <cell r="B104" t="str">
            <v>OPP-873100</v>
          </cell>
          <cell r="C104" t="str">
            <v>RTC Aviation Mx Support Svs</v>
          </cell>
          <cell r="D104" t="str">
            <v>MR</v>
          </cell>
          <cell r="E104" t="str">
            <v>MR Maintenance &amp; Sustainment</v>
          </cell>
          <cell r="F104" t="str">
            <v>Army</v>
          </cell>
          <cell r="G104" t="str">
            <v>DOD</v>
          </cell>
          <cell r="H104">
            <v>43671</v>
          </cell>
          <cell r="I104">
            <v>43734</v>
          </cell>
          <cell r="J104">
            <v>46291</v>
          </cell>
          <cell r="K104" t="str">
            <v>Sub</v>
          </cell>
          <cell r="L104" t="str">
            <v>Cost Plus Incentive Fee</v>
          </cell>
          <cell r="M104" t="str">
            <v>Cost Reimbursable</v>
          </cell>
          <cell r="N104" t="str">
            <v>Identified - New</v>
          </cell>
          <cell r="O104" t="str">
            <v>04 Submitted</v>
          </cell>
          <cell r="P104" t="str">
            <v>Priority 3</v>
          </cell>
          <cell r="Q104">
            <v>0.25</v>
          </cell>
          <cell r="R104">
            <v>40000000</v>
          </cell>
          <cell r="S104">
            <v>0.12</v>
          </cell>
          <cell r="T104">
            <v>0.122</v>
          </cell>
          <cell r="U104">
            <v>0.125</v>
          </cell>
          <cell r="V104">
            <v>0.126</v>
          </cell>
          <cell r="W104">
            <v>0.127</v>
          </cell>
          <cell r="X104">
            <v>2.7E-2</v>
          </cell>
          <cell r="Y104">
            <v>2.8000000000000001E-2</v>
          </cell>
          <cell r="Z104">
            <v>0.03</v>
          </cell>
          <cell r="AA104">
            <v>3.1E-2</v>
          </cell>
          <cell r="AB104">
            <v>3.3000000000000002E-2</v>
          </cell>
          <cell r="AC104">
            <v>5714285.7142857146</v>
          </cell>
          <cell r="AD104">
            <v>0</v>
          </cell>
          <cell r="AE104">
            <v>1428571.4285714286</v>
          </cell>
          <cell r="AF104">
            <v>1428571.4285714286</v>
          </cell>
          <cell r="AG104">
            <v>1428571.4285714286</v>
          </cell>
          <cell r="AH104">
            <v>1428571.4285714286</v>
          </cell>
          <cell r="AI104">
            <v>0</v>
          </cell>
          <cell r="AJ104">
            <v>174285.71428571429</v>
          </cell>
          <cell r="AK104">
            <v>178571.42857142858</v>
          </cell>
          <cell r="AL104">
            <v>180000</v>
          </cell>
          <cell r="AM104">
            <v>181428.57142857145</v>
          </cell>
          <cell r="AN104">
            <v>0</v>
          </cell>
          <cell r="AO104">
            <v>40000</v>
          </cell>
          <cell r="AP104">
            <v>42857.142857142855</v>
          </cell>
          <cell r="AQ104">
            <v>44285.71428571429</v>
          </cell>
          <cell r="AR104">
            <v>47142.857142857145</v>
          </cell>
          <cell r="AT104" t="str">
            <v>OPP-873100 - Identified - New - MR</v>
          </cell>
          <cell r="AU104">
            <v>174285.71428571429</v>
          </cell>
          <cell r="AV104">
            <v>174285.71428571429</v>
          </cell>
          <cell r="AW104">
            <v>0</v>
          </cell>
          <cell r="AX104">
            <v>0</v>
          </cell>
          <cell r="AZ104">
            <v>60</v>
          </cell>
          <cell r="BA104">
            <v>370</v>
          </cell>
          <cell r="BB104">
            <v>155</v>
          </cell>
        </row>
        <row r="105">
          <cell r="B105" t="str">
            <v>OPP-779834</v>
          </cell>
          <cell r="C105" t="str">
            <v>AFICA Air Force Helicopter Organizational and Intermediate Maintenance</v>
          </cell>
          <cell r="D105" t="str">
            <v>MR</v>
          </cell>
          <cell r="E105" t="str">
            <v>MR Maintenance &amp; Sustainment</v>
          </cell>
          <cell r="F105" t="str">
            <v>Air Force</v>
          </cell>
          <cell r="G105" t="str">
            <v>DOD</v>
          </cell>
          <cell r="H105">
            <v>43698</v>
          </cell>
          <cell r="I105">
            <v>43754</v>
          </cell>
          <cell r="J105">
            <v>46311</v>
          </cell>
          <cell r="K105" t="str">
            <v>Sub</v>
          </cell>
          <cell r="L105" t="str">
            <v>Cost Reimbursable; Fixed Price</v>
          </cell>
          <cell r="M105" t="str">
            <v>Cost Reimbursable</v>
          </cell>
          <cell r="N105" t="str">
            <v>Identified - New</v>
          </cell>
          <cell r="O105" t="str">
            <v>04 Submitted</v>
          </cell>
          <cell r="P105" t="str">
            <v>Priority 2</v>
          </cell>
          <cell r="Q105">
            <v>0.15</v>
          </cell>
          <cell r="R105">
            <v>40000000</v>
          </cell>
          <cell r="S105">
            <v>0.12</v>
          </cell>
          <cell r="T105">
            <v>0.122</v>
          </cell>
          <cell r="U105">
            <v>0.125</v>
          </cell>
          <cell r="V105">
            <v>0.126</v>
          </cell>
          <cell r="W105">
            <v>0.127</v>
          </cell>
          <cell r="X105">
            <v>2.7E-2</v>
          </cell>
          <cell r="Y105">
            <v>2.8000000000000001E-2</v>
          </cell>
          <cell r="Z105">
            <v>0.03</v>
          </cell>
          <cell r="AA105">
            <v>3.1E-2</v>
          </cell>
          <cell r="AB105">
            <v>3.3000000000000002E-2</v>
          </cell>
          <cell r="AC105">
            <v>5714285.7142857146</v>
          </cell>
          <cell r="AD105">
            <v>0</v>
          </cell>
          <cell r="AE105">
            <v>819047.61904761905</v>
          </cell>
          <cell r="AF105">
            <v>857142.85714285716</v>
          </cell>
          <cell r="AG105">
            <v>857142.85714285716</v>
          </cell>
          <cell r="AH105">
            <v>857142.85714285716</v>
          </cell>
          <cell r="AI105">
            <v>0</v>
          </cell>
          <cell r="AJ105">
            <v>99923.809523809527</v>
          </cell>
          <cell r="AK105">
            <v>107142.85714285714</v>
          </cell>
          <cell r="AL105">
            <v>108000</v>
          </cell>
          <cell r="AM105">
            <v>108857.14285714286</v>
          </cell>
          <cell r="AN105">
            <v>0</v>
          </cell>
          <cell r="AO105">
            <v>22933.333333333336</v>
          </cell>
          <cell r="AP105">
            <v>25714.285714285714</v>
          </cell>
          <cell r="AQ105">
            <v>26571.428571428572</v>
          </cell>
          <cell r="AR105">
            <v>28285.714285714286</v>
          </cell>
          <cell r="AT105" t="str">
            <v>OPP-779834 - Identified - New - MR</v>
          </cell>
          <cell r="AU105">
            <v>103504.76190476192</v>
          </cell>
          <cell r="AV105">
            <v>103504.76190476192</v>
          </cell>
          <cell r="AW105">
            <v>0</v>
          </cell>
          <cell r="AX105">
            <v>0</v>
          </cell>
          <cell r="AZ105">
            <v>72</v>
          </cell>
          <cell r="BA105">
            <v>371</v>
          </cell>
          <cell r="BB105">
            <v>156</v>
          </cell>
        </row>
        <row r="106">
          <cell r="B106" t="str">
            <v>OPP-926732</v>
          </cell>
          <cell r="C106" t="str">
            <v>EAGLE TO - Ft Knox LSS</v>
          </cell>
          <cell r="D106" t="str">
            <v>MR</v>
          </cell>
          <cell r="E106" t="str">
            <v>MR Maintenance &amp; Sustainment</v>
          </cell>
          <cell r="F106" t="str">
            <v>Army</v>
          </cell>
          <cell r="G106" t="str">
            <v>DOD</v>
          </cell>
          <cell r="H106">
            <v>43779</v>
          </cell>
          <cell r="I106">
            <v>43780</v>
          </cell>
          <cell r="J106">
            <v>45607</v>
          </cell>
          <cell r="K106" t="str">
            <v>Sub</v>
          </cell>
          <cell r="L106" t="str">
            <v>Cost Plus Fixed Fee</v>
          </cell>
          <cell r="M106" t="str">
            <v>Cost Reimbursable</v>
          </cell>
          <cell r="N106" t="str">
            <v>Identified - New</v>
          </cell>
          <cell r="O106" t="str">
            <v>03 Proposal</v>
          </cell>
          <cell r="P106" t="str">
            <v>Priority 3</v>
          </cell>
          <cell r="Q106">
            <v>0.25</v>
          </cell>
          <cell r="R106">
            <v>16000000</v>
          </cell>
          <cell r="S106">
            <v>0.12</v>
          </cell>
          <cell r="T106">
            <v>0.122</v>
          </cell>
          <cell r="U106">
            <v>0.125</v>
          </cell>
          <cell r="V106">
            <v>0.126</v>
          </cell>
          <cell r="W106">
            <v>0.127</v>
          </cell>
          <cell r="X106">
            <v>2.7E-2</v>
          </cell>
          <cell r="Y106">
            <v>2.8000000000000001E-2</v>
          </cell>
          <cell r="Z106">
            <v>0.03</v>
          </cell>
          <cell r="AA106">
            <v>3.1E-2</v>
          </cell>
          <cell r="AB106">
            <v>3.3000000000000002E-2</v>
          </cell>
          <cell r="AC106">
            <v>3200000</v>
          </cell>
          <cell r="AD106">
            <v>0</v>
          </cell>
          <cell r="AE106">
            <v>708888.88888888888</v>
          </cell>
          <cell r="AF106">
            <v>800000</v>
          </cell>
          <cell r="AG106">
            <v>800000</v>
          </cell>
          <cell r="AH106">
            <v>800000</v>
          </cell>
          <cell r="AI106">
            <v>0</v>
          </cell>
          <cell r="AJ106">
            <v>86484.444444444438</v>
          </cell>
          <cell r="AK106">
            <v>100000</v>
          </cell>
          <cell r="AL106">
            <v>100800</v>
          </cell>
          <cell r="AM106">
            <v>101600</v>
          </cell>
          <cell r="AN106">
            <v>0</v>
          </cell>
          <cell r="AO106">
            <v>19848.888888888891</v>
          </cell>
          <cell r="AP106">
            <v>24000</v>
          </cell>
          <cell r="AQ106">
            <v>24800</v>
          </cell>
          <cell r="AR106">
            <v>26400</v>
          </cell>
          <cell r="AT106" t="str">
            <v>OPP-926732 - Identified - New - MR</v>
          </cell>
          <cell r="AU106">
            <v>95048.888888888891</v>
          </cell>
          <cell r="AV106">
            <v>95048.888888888891</v>
          </cell>
          <cell r="AW106">
            <v>0</v>
          </cell>
          <cell r="AX106">
            <v>0</v>
          </cell>
          <cell r="AZ106">
            <v>75</v>
          </cell>
          <cell r="BA106">
            <v>372</v>
          </cell>
          <cell r="BB106">
            <v>157</v>
          </cell>
        </row>
        <row r="107">
          <cell r="B107" t="str">
            <v>OPP-934699</v>
          </cell>
          <cell r="C107" t="str">
            <v>Lakehurst EMALS</v>
          </cell>
          <cell r="D107" t="str">
            <v>MR</v>
          </cell>
          <cell r="E107" t="str">
            <v>MR Maintenance &amp; Sustainment</v>
          </cell>
          <cell r="F107" t="str">
            <v>Navy</v>
          </cell>
          <cell r="G107" t="str">
            <v>DOD</v>
          </cell>
          <cell r="H107">
            <v>43672</v>
          </cell>
          <cell r="I107">
            <v>43763</v>
          </cell>
          <cell r="J107">
            <v>45590</v>
          </cell>
          <cell r="K107" t="str">
            <v>Sub</v>
          </cell>
          <cell r="L107" t="str">
            <v>Cost Plus Fixed Fee</v>
          </cell>
          <cell r="M107" t="str">
            <v>Cost Reimbursable</v>
          </cell>
          <cell r="N107" t="str">
            <v>Identified - New</v>
          </cell>
          <cell r="O107" t="str">
            <v>04 Submitted</v>
          </cell>
          <cell r="P107" t="str">
            <v>Priority 3</v>
          </cell>
          <cell r="Q107">
            <v>0.5</v>
          </cell>
          <cell r="R107">
            <v>10000000</v>
          </cell>
          <cell r="S107">
            <v>0.12</v>
          </cell>
          <cell r="T107">
            <v>0.122</v>
          </cell>
          <cell r="U107">
            <v>0.125</v>
          </cell>
          <cell r="V107">
            <v>0.126</v>
          </cell>
          <cell r="W107">
            <v>0.127</v>
          </cell>
          <cell r="X107">
            <v>2.7E-2</v>
          </cell>
          <cell r="Y107">
            <v>2.8000000000000001E-2</v>
          </cell>
          <cell r="Z107">
            <v>0.03</v>
          </cell>
          <cell r="AA107">
            <v>3.1E-2</v>
          </cell>
          <cell r="AB107">
            <v>3.3000000000000002E-2</v>
          </cell>
          <cell r="AC107">
            <v>2000000</v>
          </cell>
          <cell r="AD107">
            <v>0</v>
          </cell>
          <cell r="AE107">
            <v>930555.55555555562</v>
          </cell>
          <cell r="AF107">
            <v>1000000</v>
          </cell>
          <cell r="AG107">
            <v>1000000</v>
          </cell>
          <cell r="AH107">
            <v>1000000</v>
          </cell>
          <cell r="AI107">
            <v>0</v>
          </cell>
          <cell r="AJ107">
            <v>113527.77777777778</v>
          </cell>
          <cell r="AK107">
            <v>125000</v>
          </cell>
          <cell r="AL107">
            <v>126000</v>
          </cell>
          <cell r="AM107">
            <v>127000</v>
          </cell>
          <cell r="AN107">
            <v>0</v>
          </cell>
          <cell r="AO107">
            <v>26055.555555555558</v>
          </cell>
          <cell r="AP107">
            <v>30000</v>
          </cell>
          <cell r="AQ107">
            <v>31000</v>
          </cell>
          <cell r="AR107">
            <v>33000</v>
          </cell>
          <cell r="AT107" t="str">
            <v>OPP-934699 - Identified - New - MR</v>
          </cell>
          <cell r="AU107">
            <v>120055.55555555556</v>
          </cell>
          <cell r="AV107">
            <v>120055.55555555556</v>
          </cell>
          <cell r="AW107">
            <v>0</v>
          </cell>
          <cell r="AX107">
            <v>0</v>
          </cell>
          <cell r="AZ107">
            <v>69</v>
          </cell>
          <cell r="BA107">
            <v>373</v>
          </cell>
          <cell r="BB107">
            <v>158</v>
          </cell>
        </row>
        <row r="108">
          <cell r="B108" t="str">
            <v>OPP-932224</v>
          </cell>
          <cell r="C108" t="str">
            <v>Modification Kits, Aircraft Recovery, Augmentation, Components, and Engines (KRACEn)</v>
          </cell>
          <cell r="D108" t="str">
            <v>MR</v>
          </cell>
          <cell r="E108" t="str">
            <v>MR Maintenance &amp; Sustainment</v>
          </cell>
          <cell r="F108" t="str">
            <v>Navy</v>
          </cell>
          <cell r="G108" t="str">
            <v>DOD</v>
          </cell>
          <cell r="H108">
            <v>43994</v>
          </cell>
          <cell r="I108">
            <v>44013</v>
          </cell>
          <cell r="J108">
            <v>47665</v>
          </cell>
          <cell r="K108" t="str">
            <v>Prime</v>
          </cell>
          <cell r="L108" t="str">
            <v>Labor Hour</v>
          </cell>
          <cell r="M108" t="str">
            <v>Other</v>
          </cell>
          <cell r="N108" t="str">
            <v>Identified - New</v>
          </cell>
          <cell r="O108" t="str">
            <v>02 Capture</v>
          </cell>
          <cell r="P108" t="str">
            <v>Priority 2</v>
          </cell>
          <cell r="Q108">
            <v>0.15</v>
          </cell>
          <cell r="R108">
            <v>10000</v>
          </cell>
          <cell r="S108">
            <v>0.12</v>
          </cell>
          <cell r="T108">
            <v>0.12</v>
          </cell>
          <cell r="U108">
            <v>0.125</v>
          </cell>
          <cell r="V108">
            <v>0.126</v>
          </cell>
          <cell r="W108">
            <v>0.127</v>
          </cell>
          <cell r="X108">
            <v>2.7E-2</v>
          </cell>
          <cell r="Y108">
            <v>2.8000000000000001E-2</v>
          </cell>
          <cell r="Z108">
            <v>0.03</v>
          </cell>
          <cell r="AA108">
            <v>3.1E-2</v>
          </cell>
          <cell r="AB108">
            <v>3.3000000000000002E-2</v>
          </cell>
          <cell r="AC108">
            <v>1000</v>
          </cell>
          <cell r="AD108">
            <v>0</v>
          </cell>
          <cell r="AE108">
            <v>37.083333333333336</v>
          </cell>
          <cell r="AF108">
            <v>150</v>
          </cell>
          <cell r="AG108">
            <v>150</v>
          </cell>
          <cell r="AH108">
            <v>150</v>
          </cell>
          <cell r="AI108">
            <v>0</v>
          </cell>
          <cell r="AJ108">
            <v>4.45</v>
          </cell>
          <cell r="AK108">
            <v>18.75</v>
          </cell>
          <cell r="AL108">
            <v>18.899999999999999</v>
          </cell>
          <cell r="AM108">
            <v>19.05</v>
          </cell>
          <cell r="AN108">
            <v>0</v>
          </cell>
          <cell r="AO108">
            <v>1.0383333333333333</v>
          </cell>
          <cell r="AP108">
            <v>4.5</v>
          </cell>
          <cell r="AQ108">
            <v>4.6500000000000004</v>
          </cell>
          <cell r="AR108">
            <v>4.95</v>
          </cell>
          <cell r="AT108" t="str">
            <v>OPP-932224 - Identified - New - MR</v>
          </cell>
          <cell r="AU108">
            <v>15.138333333333332</v>
          </cell>
          <cell r="AV108">
            <v>15.138333333333332</v>
          </cell>
          <cell r="AW108">
            <v>0</v>
          </cell>
          <cell r="AX108">
            <v>0</v>
          </cell>
          <cell r="AZ108">
            <v>96</v>
          </cell>
          <cell r="BA108">
            <v>374</v>
          </cell>
          <cell r="BB108">
            <v>159</v>
          </cell>
        </row>
        <row r="109">
          <cell r="B109" t="str">
            <v>OPP-885397</v>
          </cell>
          <cell r="C109" t="str">
            <v>Cyber TRIDENT</v>
          </cell>
          <cell r="D109" t="str">
            <v>IS4</v>
          </cell>
          <cell r="E109" t="str">
            <v>IS4 Spectrum &amp; Infrastructure Assurance</v>
          </cell>
          <cell r="F109" t="str">
            <v>Army</v>
          </cell>
          <cell r="G109" t="str">
            <v>DOD</v>
          </cell>
          <cell r="H109">
            <v>44155</v>
          </cell>
          <cell r="I109">
            <v>44207</v>
          </cell>
          <cell r="J109">
            <v>47129</v>
          </cell>
          <cell r="K109" t="str">
            <v>Prime</v>
          </cell>
          <cell r="L109" t="str">
            <v>Hybrid/Mixed Cost-Plus/Fixed</v>
          </cell>
          <cell r="M109" t="str">
            <v>Other</v>
          </cell>
          <cell r="N109" t="str">
            <v>Identified - New</v>
          </cell>
          <cell r="O109" t="str">
            <v>02 Capture</v>
          </cell>
          <cell r="P109" t="str">
            <v>Priority 1</v>
          </cell>
          <cell r="Q109">
            <v>0.25</v>
          </cell>
          <cell r="R109">
            <v>1000000000</v>
          </cell>
          <cell r="S109">
            <v>0.182</v>
          </cell>
          <cell r="T109">
            <v>0.182</v>
          </cell>
          <cell r="U109">
            <v>0.183</v>
          </cell>
          <cell r="V109">
            <v>0.185</v>
          </cell>
          <cell r="W109">
            <v>0.19</v>
          </cell>
          <cell r="X109">
            <v>0.09</v>
          </cell>
          <cell r="Y109">
            <v>0.09</v>
          </cell>
          <cell r="Z109">
            <v>9.0999999999999998E-2</v>
          </cell>
          <cell r="AA109">
            <v>9.2999999999999999E-2</v>
          </cell>
          <cell r="AB109">
            <v>9.8000000000000004E-2</v>
          </cell>
          <cell r="AC109">
            <v>125000000</v>
          </cell>
          <cell r="AD109">
            <v>0</v>
          </cell>
          <cell r="AE109">
            <v>0</v>
          </cell>
          <cell r="AF109">
            <v>22482638.888888888</v>
          </cell>
          <cell r="AG109">
            <v>31250000</v>
          </cell>
          <cell r="AH109">
            <v>31250000</v>
          </cell>
          <cell r="AI109">
            <v>0</v>
          </cell>
          <cell r="AJ109">
            <v>0</v>
          </cell>
          <cell r="AK109">
            <v>4114322.9166666665</v>
          </cell>
          <cell r="AL109">
            <v>5781250</v>
          </cell>
          <cell r="AM109">
            <v>5937500</v>
          </cell>
          <cell r="AN109">
            <v>0</v>
          </cell>
          <cell r="AO109">
            <v>0</v>
          </cell>
          <cell r="AP109">
            <v>2045920.1388888888</v>
          </cell>
          <cell r="AQ109">
            <v>2906250</v>
          </cell>
          <cell r="AR109">
            <v>3062500</v>
          </cell>
          <cell r="AT109" t="str">
            <v>OPP-885397 - Identified - New - IS4</v>
          </cell>
          <cell r="AU109">
            <v>8014670.138888889</v>
          </cell>
          <cell r="AV109">
            <v>0</v>
          </cell>
          <cell r="AW109">
            <v>8014670.138888889</v>
          </cell>
          <cell r="AX109">
            <v>0</v>
          </cell>
          <cell r="AZ109">
            <v>98</v>
          </cell>
          <cell r="BA109">
            <v>2</v>
          </cell>
          <cell r="BB109">
            <v>160</v>
          </cell>
        </row>
        <row r="110">
          <cell r="B110" t="str">
            <v>OPP-921105</v>
          </cell>
          <cell r="C110" t="str">
            <v>Mission Package Development for LCS</v>
          </cell>
          <cell r="D110" t="str">
            <v>IS4</v>
          </cell>
          <cell r="E110" t="str">
            <v>IS4 Sustainment Engineering and Acquisition</v>
          </cell>
          <cell r="F110" t="str">
            <v>Navy</v>
          </cell>
          <cell r="G110" t="str">
            <v>DOD</v>
          </cell>
          <cell r="H110">
            <v>44879</v>
          </cell>
          <cell r="I110">
            <v>44970</v>
          </cell>
          <cell r="J110">
            <v>46796</v>
          </cell>
          <cell r="K110" t="str">
            <v>Prime</v>
          </cell>
          <cell r="L110" t="str">
            <v>Cost Plus Fixed Fee</v>
          </cell>
          <cell r="M110" t="str">
            <v>Cost Reimbursable</v>
          </cell>
          <cell r="N110" t="str">
            <v>Identified - New</v>
          </cell>
          <cell r="O110" t="str">
            <v>01 Prospect</v>
          </cell>
          <cell r="P110" t="str">
            <v>Priority 1</v>
          </cell>
          <cell r="Q110">
            <v>0.25</v>
          </cell>
          <cell r="R110">
            <v>800000000</v>
          </cell>
          <cell r="S110">
            <v>0.16</v>
          </cell>
          <cell r="T110">
            <v>0.16</v>
          </cell>
          <cell r="U110">
            <v>0.16</v>
          </cell>
          <cell r="V110">
            <v>0.16</v>
          </cell>
          <cell r="W110">
            <v>0.16</v>
          </cell>
          <cell r="X110">
            <v>6.8000000000000005E-2</v>
          </cell>
          <cell r="Y110">
            <v>6.8000000000000005E-2</v>
          </cell>
          <cell r="Z110">
            <v>6.8000000000000005E-2</v>
          </cell>
          <cell r="AA110">
            <v>6.8000000000000005E-2</v>
          </cell>
          <cell r="AB110">
            <v>6.8000000000000005E-2</v>
          </cell>
          <cell r="AC110">
            <v>160000000</v>
          </cell>
          <cell r="AD110">
            <v>0</v>
          </cell>
          <cell r="AE110">
            <v>0</v>
          </cell>
          <cell r="AF110">
            <v>0</v>
          </cell>
          <cell r="AG110">
            <v>0</v>
          </cell>
          <cell r="AH110">
            <v>25222222.22222222</v>
          </cell>
          <cell r="AI110">
            <v>0</v>
          </cell>
          <cell r="AJ110">
            <v>0</v>
          </cell>
          <cell r="AK110">
            <v>0</v>
          </cell>
          <cell r="AL110">
            <v>0</v>
          </cell>
          <cell r="AM110">
            <v>4035555.5555555555</v>
          </cell>
          <cell r="AN110">
            <v>0</v>
          </cell>
          <cell r="AO110">
            <v>0</v>
          </cell>
          <cell r="AP110">
            <v>0</v>
          </cell>
          <cell r="AQ110">
            <v>0</v>
          </cell>
          <cell r="AR110">
            <v>1715111.111111111</v>
          </cell>
          <cell r="AT110" t="str">
            <v>OPP-921105 - Identified - New - IS4</v>
          </cell>
          <cell r="AU110">
            <v>1715111.111111111</v>
          </cell>
          <cell r="AV110">
            <v>0</v>
          </cell>
          <cell r="AW110">
            <v>1715111.111111111</v>
          </cell>
          <cell r="AX110">
            <v>0</v>
          </cell>
          <cell r="AZ110">
            <v>99</v>
          </cell>
          <cell r="BA110">
            <v>20</v>
          </cell>
          <cell r="BB110">
            <v>161</v>
          </cell>
        </row>
        <row r="111">
          <cell r="B111" t="str">
            <v>OPP-599550</v>
          </cell>
          <cell r="C111" t="str">
            <v>Real Property (RP) Services - Defence Pilot (MS Portion)</v>
          </cell>
          <cell r="D111" t="str">
            <v>IS4</v>
          </cell>
          <cell r="E111" t="str">
            <v>IS4 Infrastructure and Engineering</v>
          </cell>
          <cell r="F111" t="str">
            <v>Foreign Government</v>
          </cell>
          <cell r="G111" t="str">
            <v>Non-US Gov't</v>
          </cell>
          <cell r="H111">
            <v>44727</v>
          </cell>
          <cell r="I111">
            <v>44743</v>
          </cell>
          <cell r="J111">
            <v>48396</v>
          </cell>
          <cell r="K111" t="str">
            <v>Prime</v>
          </cell>
          <cell r="L111" t="str">
            <v>Cost Plus Award Fee</v>
          </cell>
          <cell r="M111" t="str">
            <v>Cost Reimbursable</v>
          </cell>
          <cell r="N111" t="str">
            <v>Identified - New</v>
          </cell>
          <cell r="O111" t="str">
            <v>01 Prospect</v>
          </cell>
          <cell r="P111" t="str">
            <v>Priority 1</v>
          </cell>
          <cell r="Q111">
            <v>0.2</v>
          </cell>
          <cell r="R111">
            <v>760000273.60000002</v>
          </cell>
          <cell r="S111">
            <v>0.13700000000000001</v>
          </cell>
          <cell r="T111">
            <v>0.14200000000000002</v>
          </cell>
          <cell r="U111">
            <v>0.14699999999999999</v>
          </cell>
          <cell r="V111">
            <v>0.14699999999999999</v>
          </cell>
          <cell r="W111">
            <v>0.14699999999999999</v>
          </cell>
          <cell r="X111">
            <v>4.4999999999999998E-2</v>
          </cell>
          <cell r="Y111">
            <v>0.05</v>
          </cell>
          <cell r="Z111">
            <v>5.5E-2</v>
          </cell>
          <cell r="AA111">
            <v>5.5E-2</v>
          </cell>
          <cell r="AB111">
            <v>5.5E-2</v>
          </cell>
          <cell r="AC111">
            <v>76000027.359999999</v>
          </cell>
          <cell r="AD111">
            <v>0</v>
          </cell>
          <cell r="AE111">
            <v>0</v>
          </cell>
          <cell r="AF111">
            <v>0</v>
          </cell>
          <cell r="AG111">
            <v>3757779.1305777784</v>
          </cell>
          <cell r="AH111">
            <v>15200005.472000001</v>
          </cell>
          <cell r="AI111">
            <v>0</v>
          </cell>
          <cell r="AJ111">
            <v>0</v>
          </cell>
          <cell r="AK111">
            <v>0</v>
          </cell>
          <cell r="AL111">
            <v>552393.53219493339</v>
          </cell>
          <cell r="AM111">
            <v>2234400.8043840001</v>
          </cell>
          <cell r="AN111">
            <v>0</v>
          </cell>
          <cell r="AO111">
            <v>0</v>
          </cell>
          <cell r="AP111">
            <v>0</v>
          </cell>
          <cell r="AQ111">
            <v>206677.85218177782</v>
          </cell>
          <cell r="AR111">
            <v>836000.30096000002</v>
          </cell>
          <cell r="AT111" t="str">
            <v>OPP-599550 - Identified - New - IS4</v>
          </cell>
          <cell r="AU111">
            <v>1042678.1531417778</v>
          </cell>
          <cell r="AV111">
            <v>0</v>
          </cell>
          <cell r="AW111">
            <v>1042678.1531417778</v>
          </cell>
          <cell r="AX111">
            <v>0</v>
          </cell>
          <cell r="AZ111">
            <v>100</v>
          </cell>
          <cell r="BA111">
            <v>44</v>
          </cell>
          <cell r="BB111">
            <v>162</v>
          </cell>
        </row>
        <row r="112">
          <cell r="B112" t="str">
            <v>OPP-636772</v>
          </cell>
          <cell r="C112" t="str">
            <v>5 Wing Goose Bay Site Support Services</v>
          </cell>
          <cell r="D112" t="str">
            <v>IS4</v>
          </cell>
          <cell r="E112" t="str">
            <v>IS4 Infrastructure and Engineering</v>
          </cell>
          <cell r="F112" t="str">
            <v>Foreign Government</v>
          </cell>
          <cell r="G112" t="str">
            <v>Non-US Gov't</v>
          </cell>
          <cell r="H112">
            <v>44116</v>
          </cell>
          <cell r="I112">
            <v>44256</v>
          </cell>
          <cell r="J112">
            <v>51561</v>
          </cell>
          <cell r="K112" t="str">
            <v>Prime</v>
          </cell>
          <cell r="L112" t="str">
            <v>Cost Plus Award Fee</v>
          </cell>
          <cell r="M112" t="str">
            <v>Cost Reimbursable</v>
          </cell>
          <cell r="N112" t="str">
            <v>Identified - New</v>
          </cell>
          <cell r="O112" t="str">
            <v>02 Capture</v>
          </cell>
          <cell r="P112" t="str">
            <v>Priority 1</v>
          </cell>
          <cell r="Q112">
            <v>0.2</v>
          </cell>
          <cell r="R112">
            <v>729600262.65999997</v>
          </cell>
          <cell r="S112">
            <v>0.13700000000000001</v>
          </cell>
          <cell r="T112">
            <v>0.14200000000000002</v>
          </cell>
          <cell r="U112">
            <v>0.14699999999999999</v>
          </cell>
          <cell r="V112">
            <v>0.14699999999999999</v>
          </cell>
          <cell r="W112">
            <v>0.14699999999999999</v>
          </cell>
          <cell r="X112">
            <v>4.4999999999999998E-2</v>
          </cell>
          <cell r="Y112">
            <v>0.05</v>
          </cell>
          <cell r="Z112">
            <v>5.5E-2</v>
          </cell>
          <cell r="AA112">
            <v>5.5E-2</v>
          </cell>
          <cell r="AB112">
            <v>5.5E-2</v>
          </cell>
          <cell r="AC112">
            <v>36480013.133000001</v>
          </cell>
          <cell r="AD112">
            <v>0</v>
          </cell>
          <cell r="AE112">
            <v>0</v>
          </cell>
          <cell r="AF112">
            <v>4235734.8582205568</v>
          </cell>
          <cell r="AG112">
            <v>7296002.626600001</v>
          </cell>
          <cell r="AH112">
            <v>7296002.626600001</v>
          </cell>
          <cell r="AI112">
            <v>0</v>
          </cell>
          <cell r="AJ112">
            <v>0</v>
          </cell>
          <cell r="AK112">
            <v>622653.02415842179</v>
          </cell>
          <cell r="AL112">
            <v>1072512.3861102001</v>
          </cell>
          <cell r="AM112">
            <v>1072512.3861102001</v>
          </cell>
          <cell r="AN112">
            <v>0</v>
          </cell>
          <cell r="AO112">
            <v>0</v>
          </cell>
          <cell r="AP112">
            <v>232965.41720213063</v>
          </cell>
          <cell r="AQ112">
            <v>401280.14446300006</v>
          </cell>
          <cell r="AR112">
            <v>401280.14446300006</v>
          </cell>
          <cell r="AT112" t="str">
            <v>OPP-636772 - Identified - New - IS4</v>
          </cell>
          <cell r="AU112">
            <v>1035525.7061281307</v>
          </cell>
          <cell r="AV112">
            <v>0</v>
          </cell>
          <cell r="AW112">
            <v>1035525.7061281307</v>
          </cell>
          <cell r="AX112">
            <v>0</v>
          </cell>
          <cell r="AZ112">
            <v>101</v>
          </cell>
          <cell r="BA112">
            <v>45</v>
          </cell>
          <cell r="BB112">
            <v>163</v>
          </cell>
        </row>
        <row r="113">
          <cell r="B113" t="str">
            <v>OPP-955226</v>
          </cell>
          <cell r="C113" t="str">
            <v>Real Property (RP) Services - Vancouver Island (MS Portion)</v>
          </cell>
          <cell r="D113" t="str">
            <v>IS4</v>
          </cell>
          <cell r="E113" t="str">
            <v>IS4 Infrastructure and Engineering</v>
          </cell>
          <cell r="F113" t="str">
            <v>Foreign Government</v>
          </cell>
          <cell r="G113" t="str">
            <v>Non-US Gov't</v>
          </cell>
          <cell r="H113">
            <v>44727</v>
          </cell>
          <cell r="I113">
            <v>44743</v>
          </cell>
          <cell r="J113">
            <v>48396</v>
          </cell>
          <cell r="K113" t="str">
            <v>Prime</v>
          </cell>
          <cell r="L113" t="str">
            <v>Cost Plus Fixed Fee</v>
          </cell>
          <cell r="M113" t="str">
            <v>Cost Reimbursable</v>
          </cell>
          <cell r="N113" t="str">
            <v>Identified - New</v>
          </cell>
          <cell r="O113" t="str">
            <v>01 Prospect</v>
          </cell>
          <cell r="P113" t="str">
            <v>Priority 1</v>
          </cell>
          <cell r="Q113">
            <v>0.2</v>
          </cell>
          <cell r="R113">
            <v>722000259.91999996</v>
          </cell>
          <cell r="S113">
            <v>0.14200000000000002</v>
          </cell>
          <cell r="T113">
            <v>0.14200000000000002</v>
          </cell>
          <cell r="U113">
            <v>0.14200000000000002</v>
          </cell>
          <cell r="V113">
            <v>0.14200000000000002</v>
          </cell>
          <cell r="W113">
            <v>0.14200000000000002</v>
          </cell>
          <cell r="X113">
            <v>0.05</v>
          </cell>
          <cell r="Y113">
            <v>0.05</v>
          </cell>
          <cell r="Z113">
            <v>0.05</v>
          </cell>
          <cell r="AA113">
            <v>0.05</v>
          </cell>
          <cell r="AB113">
            <v>0.05</v>
          </cell>
          <cell r="AC113">
            <v>72200025.991999999</v>
          </cell>
          <cell r="AD113">
            <v>0</v>
          </cell>
          <cell r="AE113">
            <v>0</v>
          </cell>
          <cell r="AF113">
            <v>0</v>
          </cell>
          <cell r="AG113">
            <v>3569890.174048889</v>
          </cell>
          <cell r="AH113">
            <v>14440005.1984</v>
          </cell>
          <cell r="AI113">
            <v>0</v>
          </cell>
          <cell r="AJ113">
            <v>0</v>
          </cell>
          <cell r="AK113">
            <v>0</v>
          </cell>
          <cell r="AL113">
            <v>506924.40471494227</v>
          </cell>
          <cell r="AM113">
            <v>2050480.7381728003</v>
          </cell>
          <cell r="AN113">
            <v>0</v>
          </cell>
          <cell r="AO113">
            <v>0</v>
          </cell>
          <cell r="AP113">
            <v>0</v>
          </cell>
          <cell r="AQ113">
            <v>178494.50870244447</v>
          </cell>
          <cell r="AR113">
            <v>722000.2599200001</v>
          </cell>
          <cell r="AT113" t="str">
            <v>OPP-955226 - Identified - New - IS4</v>
          </cell>
          <cell r="AU113">
            <v>900494.76862244459</v>
          </cell>
          <cell r="AV113">
            <v>0</v>
          </cell>
          <cell r="AW113">
            <v>900494.76862244459</v>
          </cell>
          <cell r="AX113">
            <v>0</v>
          </cell>
          <cell r="AZ113">
            <v>102</v>
          </cell>
          <cell r="BA113">
            <v>54</v>
          </cell>
          <cell r="BB113">
            <v>164</v>
          </cell>
        </row>
        <row r="114">
          <cell r="B114" t="str">
            <v>OPP-458798</v>
          </cell>
          <cell r="C114" t="str">
            <v>NAVSEA PMS 326 FMS Supportability Program Follow-On Technical Support (FOTS)</v>
          </cell>
          <cell r="D114" t="str">
            <v>IS4</v>
          </cell>
          <cell r="E114" t="str">
            <v>IS4 Sustainment Engineering and Acquisition</v>
          </cell>
          <cell r="F114" t="str">
            <v>Navy</v>
          </cell>
          <cell r="G114" t="str">
            <v>DOD</v>
          </cell>
          <cell r="H114">
            <v>44006</v>
          </cell>
          <cell r="I114">
            <v>44105</v>
          </cell>
          <cell r="J114">
            <v>45931</v>
          </cell>
          <cell r="K114" t="str">
            <v>Prime</v>
          </cell>
          <cell r="L114" t="str">
            <v>Cost Plus Fixed Fee</v>
          </cell>
          <cell r="M114" t="str">
            <v>Cost Reimbursable</v>
          </cell>
          <cell r="N114" t="str">
            <v>Identified - New</v>
          </cell>
          <cell r="O114" t="str">
            <v>03 Proposal</v>
          </cell>
          <cell r="P114" t="str">
            <v>Priority 1</v>
          </cell>
          <cell r="Q114">
            <v>0.5</v>
          </cell>
          <cell r="R114">
            <v>600000000</v>
          </cell>
          <cell r="S114">
            <v>0.16</v>
          </cell>
          <cell r="T114">
            <v>0.16</v>
          </cell>
          <cell r="U114">
            <v>0.16</v>
          </cell>
          <cell r="V114">
            <v>0.16</v>
          </cell>
          <cell r="W114">
            <v>0.16</v>
          </cell>
          <cell r="X114">
            <v>6.8000000000000005E-2</v>
          </cell>
          <cell r="Y114">
            <v>6.8000000000000005E-2</v>
          </cell>
          <cell r="Z114">
            <v>6.8000000000000005E-2</v>
          </cell>
          <cell r="AA114">
            <v>6.8000000000000005E-2</v>
          </cell>
          <cell r="AB114">
            <v>6.8000000000000005E-2</v>
          </cell>
          <cell r="AC114">
            <v>120000000</v>
          </cell>
          <cell r="AD114">
            <v>0</v>
          </cell>
          <cell r="AE114">
            <v>0</v>
          </cell>
          <cell r="AF114">
            <v>59833333.333333336</v>
          </cell>
          <cell r="AG114">
            <v>60000000</v>
          </cell>
          <cell r="AH114">
            <v>60000000</v>
          </cell>
          <cell r="AI114">
            <v>0</v>
          </cell>
          <cell r="AJ114">
            <v>0</v>
          </cell>
          <cell r="AK114">
            <v>9573333.333333334</v>
          </cell>
          <cell r="AL114">
            <v>9600000</v>
          </cell>
          <cell r="AM114">
            <v>9600000</v>
          </cell>
          <cell r="AN114">
            <v>0</v>
          </cell>
          <cell r="AO114">
            <v>0</v>
          </cell>
          <cell r="AP114">
            <v>4068666.666666667</v>
          </cell>
          <cell r="AQ114">
            <v>4080000.0000000005</v>
          </cell>
          <cell r="AR114">
            <v>4080000.0000000005</v>
          </cell>
          <cell r="AT114" t="str">
            <v>OPP-458798 - Identified - New - IS4</v>
          </cell>
          <cell r="AU114">
            <v>12228666.666666668</v>
          </cell>
          <cell r="AV114">
            <v>0</v>
          </cell>
          <cell r="AW114">
            <v>12228666.666666668</v>
          </cell>
          <cell r="AX114">
            <v>0</v>
          </cell>
          <cell r="AZ114">
            <v>103</v>
          </cell>
          <cell r="BA114">
            <v>1</v>
          </cell>
          <cell r="BB114">
            <v>165</v>
          </cell>
        </row>
        <row r="115">
          <cell r="B115" t="str">
            <v>OPP-865429</v>
          </cell>
          <cell r="C115" t="str">
            <v>Falklands and Ascension TFM</v>
          </cell>
          <cell r="D115" t="str">
            <v>IS4</v>
          </cell>
          <cell r="E115" t="str">
            <v>IS4 Infrastructure and Engineering</v>
          </cell>
          <cell r="F115" t="str">
            <v>Foreign Government</v>
          </cell>
          <cell r="G115" t="str">
            <v>Non-US Gov't</v>
          </cell>
          <cell r="H115">
            <v>44421</v>
          </cell>
          <cell r="I115">
            <v>44606</v>
          </cell>
          <cell r="J115">
            <v>46432</v>
          </cell>
          <cell r="K115" t="str">
            <v>Prime</v>
          </cell>
          <cell r="L115" t="str">
            <v>Fixed Price</v>
          </cell>
          <cell r="M115" t="str">
            <v>Fixed Price</v>
          </cell>
          <cell r="N115" t="str">
            <v>Identified - New</v>
          </cell>
          <cell r="O115" t="str">
            <v>01 Prospect</v>
          </cell>
          <cell r="P115" t="str">
            <v>Priority 1</v>
          </cell>
          <cell r="Q115">
            <v>0.2</v>
          </cell>
          <cell r="R115">
            <v>386999899.38</v>
          </cell>
          <cell r="S115">
            <v>0.17199999999999999</v>
          </cell>
          <cell r="T115">
            <v>0.17199999999999999</v>
          </cell>
          <cell r="U115">
            <v>0.17299999999999999</v>
          </cell>
          <cell r="V115">
            <v>0.17499999999999999</v>
          </cell>
          <cell r="W115">
            <v>0.18</v>
          </cell>
          <cell r="X115">
            <v>0.08</v>
          </cell>
          <cell r="Y115">
            <v>0.08</v>
          </cell>
          <cell r="Z115">
            <v>8.1000000000000003E-2</v>
          </cell>
          <cell r="AA115">
            <v>8.3000000000000004E-2</v>
          </cell>
          <cell r="AB115">
            <v>8.8000000000000009E-2</v>
          </cell>
          <cell r="AC115">
            <v>77399979.876000002</v>
          </cell>
          <cell r="AD115">
            <v>0</v>
          </cell>
          <cell r="AE115">
            <v>0</v>
          </cell>
          <cell r="AF115">
            <v>0</v>
          </cell>
          <cell r="AG115">
            <v>9717997.4733199999</v>
          </cell>
          <cell r="AH115">
            <v>15479995.975200001</v>
          </cell>
          <cell r="AI115">
            <v>0</v>
          </cell>
          <cell r="AJ115">
            <v>0</v>
          </cell>
          <cell r="AK115">
            <v>0</v>
          </cell>
          <cell r="AL115">
            <v>1700649.5578309998</v>
          </cell>
          <cell r="AM115">
            <v>2786399.2755360003</v>
          </cell>
          <cell r="AN115">
            <v>0</v>
          </cell>
          <cell r="AO115">
            <v>0</v>
          </cell>
          <cell r="AP115">
            <v>0</v>
          </cell>
          <cell r="AQ115">
            <v>806593.79028556007</v>
          </cell>
          <cell r="AR115">
            <v>1362239.6458176002</v>
          </cell>
          <cell r="AT115" t="str">
            <v>OPP-865429 - Identified - New - IS4</v>
          </cell>
          <cell r="AU115">
            <v>2168833.4361031605</v>
          </cell>
          <cell r="AV115">
            <v>0</v>
          </cell>
          <cell r="AW115">
            <v>2168833.4361031605</v>
          </cell>
          <cell r="AX115">
            <v>0</v>
          </cell>
          <cell r="AZ115">
            <v>104</v>
          </cell>
          <cell r="BA115">
            <v>10</v>
          </cell>
          <cell r="BB115">
            <v>166</v>
          </cell>
        </row>
        <row r="116">
          <cell r="B116" t="str">
            <v>OPP-934949</v>
          </cell>
          <cell r="C116" t="str">
            <v>WALLBANGER</v>
          </cell>
          <cell r="D116" t="str">
            <v>IS4</v>
          </cell>
          <cell r="E116" t="str">
            <v>IS4 Infrastructure and Engineering</v>
          </cell>
          <cell r="F116" t="str">
            <v>Classified Agency</v>
          </cell>
          <cell r="G116" t="str">
            <v>Classified</v>
          </cell>
          <cell r="H116">
            <v>44742</v>
          </cell>
          <cell r="I116">
            <v>44805</v>
          </cell>
          <cell r="J116">
            <v>48458</v>
          </cell>
          <cell r="K116" t="str">
            <v>Prime</v>
          </cell>
          <cell r="L116" t="str">
            <v>Cost Plus Award Fee</v>
          </cell>
          <cell r="M116" t="str">
            <v>Cost Reimbursable</v>
          </cell>
          <cell r="N116" t="str">
            <v>Identified - New</v>
          </cell>
          <cell r="O116" t="str">
            <v>01 Prospect</v>
          </cell>
          <cell r="P116" t="str">
            <v>Priority 1</v>
          </cell>
          <cell r="Q116">
            <v>0.2</v>
          </cell>
          <cell r="R116">
            <v>300000000</v>
          </cell>
          <cell r="S116">
            <v>0.13700000000000001</v>
          </cell>
          <cell r="T116">
            <v>0.14200000000000002</v>
          </cell>
          <cell r="U116">
            <v>0.14699999999999999</v>
          </cell>
          <cell r="V116">
            <v>0.14699999999999999</v>
          </cell>
          <cell r="W116">
            <v>0.14699999999999999</v>
          </cell>
          <cell r="X116">
            <v>4.4999999999999998E-2</v>
          </cell>
          <cell r="Y116">
            <v>0.05</v>
          </cell>
          <cell r="Z116">
            <v>5.5E-2</v>
          </cell>
          <cell r="AA116">
            <v>5.5E-2</v>
          </cell>
          <cell r="AB116">
            <v>5.5E-2</v>
          </cell>
          <cell r="AC116">
            <v>30000000</v>
          </cell>
          <cell r="AD116">
            <v>0</v>
          </cell>
          <cell r="AE116">
            <v>0</v>
          </cell>
          <cell r="AF116">
            <v>0</v>
          </cell>
          <cell r="AG116">
            <v>483333.33333333343</v>
          </cell>
          <cell r="AH116">
            <v>6000000</v>
          </cell>
          <cell r="AI116">
            <v>0</v>
          </cell>
          <cell r="AJ116">
            <v>0</v>
          </cell>
          <cell r="AK116">
            <v>0</v>
          </cell>
          <cell r="AL116">
            <v>71050.000000000015</v>
          </cell>
          <cell r="AM116">
            <v>882000</v>
          </cell>
          <cell r="AN116">
            <v>0</v>
          </cell>
          <cell r="AO116">
            <v>0</v>
          </cell>
          <cell r="AP116">
            <v>0</v>
          </cell>
          <cell r="AQ116">
            <v>26583.333333333339</v>
          </cell>
          <cell r="AR116">
            <v>330000</v>
          </cell>
          <cell r="AT116" t="str">
            <v>OPP-934949 - Identified - New - IS4</v>
          </cell>
          <cell r="AU116">
            <v>356583.33333333331</v>
          </cell>
          <cell r="AV116">
            <v>0</v>
          </cell>
          <cell r="AW116">
            <v>356583.33333333331</v>
          </cell>
          <cell r="AX116">
            <v>0</v>
          </cell>
          <cell r="AZ116">
            <v>105</v>
          </cell>
          <cell r="BA116">
            <v>107</v>
          </cell>
          <cell r="BB116">
            <v>167</v>
          </cell>
        </row>
        <row r="117">
          <cell r="B117" t="str">
            <v>OPP-885229</v>
          </cell>
          <cell r="C117" t="str">
            <v>RS3-18-0023 PD ARL</v>
          </cell>
          <cell r="D117" t="str">
            <v>IS4</v>
          </cell>
          <cell r="E117" t="str">
            <v>IS4 Spectrum &amp; Infrastructure Assurance</v>
          </cell>
          <cell r="F117" t="str">
            <v>Army</v>
          </cell>
          <cell r="G117" t="str">
            <v>DOD</v>
          </cell>
          <cell r="H117">
            <v>45058</v>
          </cell>
          <cell r="I117">
            <v>45058</v>
          </cell>
          <cell r="J117">
            <v>46885</v>
          </cell>
          <cell r="K117" t="str">
            <v>Prime</v>
          </cell>
          <cell r="L117" t="str">
            <v>Cost Plus Fixed Fee</v>
          </cell>
          <cell r="M117" t="str">
            <v>Cost Reimbursable</v>
          </cell>
          <cell r="N117" t="str">
            <v>Identified - New</v>
          </cell>
          <cell r="O117" t="str">
            <v>01 Prospect</v>
          </cell>
          <cell r="P117" t="str">
            <v>Priority 1</v>
          </cell>
          <cell r="Q117">
            <v>0.15</v>
          </cell>
          <cell r="R117">
            <v>300000000</v>
          </cell>
          <cell r="S117">
            <v>0.16</v>
          </cell>
          <cell r="T117">
            <v>0.16</v>
          </cell>
          <cell r="U117">
            <v>0.16</v>
          </cell>
          <cell r="V117">
            <v>0.16</v>
          </cell>
          <cell r="W117">
            <v>0.16</v>
          </cell>
          <cell r="X117">
            <v>6.8000000000000005E-2</v>
          </cell>
          <cell r="Y117">
            <v>6.8000000000000005E-2</v>
          </cell>
          <cell r="Z117">
            <v>6.8000000000000005E-2</v>
          </cell>
          <cell r="AA117">
            <v>6.8000000000000005E-2</v>
          </cell>
          <cell r="AB117">
            <v>6.8000000000000005E-2</v>
          </cell>
          <cell r="AC117">
            <v>60000000</v>
          </cell>
          <cell r="AD117">
            <v>0</v>
          </cell>
          <cell r="AE117">
            <v>0</v>
          </cell>
          <cell r="AF117">
            <v>0</v>
          </cell>
          <cell r="AG117">
            <v>0</v>
          </cell>
          <cell r="AH117">
            <v>3450000</v>
          </cell>
          <cell r="AI117">
            <v>0</v>
          </cell>
          <cell r="AJ117">
            <v>0</v>
          </cell>
          <cell r="AK117">
            <v>0</v>
          </cell>
          <cell r="AL117">
            <v>0</v>
          </cell>
          <cell r="AM117">
            <v>552000</v>
          </cell>
          <cell r="AN117">
            <v>0</v>
          </cell>
          <cell r="AO117">
            <v>0</v>
          </cell>
          <cell r="AP117">
            <v>0</v>
          </cell>
          <cell r="AQ117">
            <v>0</v>
          </cell>
          <cell r="AR117">
            <v>234600.00000000003</v>
          </cell>
          <cell r="AT117" t="str">
            <v>OPP-885229 - Identified - New - IS4</v>
          </cell>
          <cell r="AU117">
            <v>234600.00000000003</v>
          </cell>
          <cell r="AV117">
            <v>0</v>
          </cell>
          <cell r="AW117">
            <v>234600.00000000003</v>
          </cell>
          <cell r="AX117">
            <v>0</v>
          </cell>
          <cell r="AZ117">
            <v>106</v>
          </cell>
          <cell r="BA117">
            <v>124</v>
          </cell>
          <cell r="BB117">
            <v>168</v>
          </cell>
        </row>
        <row r="118">
          <cell r="B118" t="str">
            <v>OPP-756461</v>
          </cell>
          <cell r="C118" t="str">
            <v>North Warning System IFM</v>
          </cell>
          <cell r="D118" t="str">
            <v>IS4</v>
          </cell>
          <cell r="E118" t="str">
            <v>IS4 Infrastructure and Engineering</v>
          </cell>
          <cell r="F118" t="str">
            <v>Foreign Government</v>
          </cell>
          <cell r="G118" t="str">
            <v>Non-US Gov't</v>
          </cell>
          <cell r="H118">
            <v>44500</v>
          </cell>
          <cell r="I118">
            <v>44531</v>
          </cell>
          <cell r="J118">
            <v>46357</v>
          </cell>
          <cell r="K118" t="str">
            <v>Prime</v>
          </cell>
          <cell r="L118" t="str">
            <v>Cost Plus Fixed Fee</v>
          </cell>
          <cell r="M118" t="str">
            <v>Cost Reimbursable</v>
          </cell>
          <cell r="N118" t="str">
            <v>Identified - New</v>
          </cell>
          <cell r="O118" t="str">
            <v>01 Prospect</v>
          </cell>
          <cell r="P118" t="str">
            <v>Priority 1</v>
          </cell>
          <cell r="Q118">
            <v>0.2</v>
          </cell>
          <cell r="R118">
            <v>266000095.75999999</v>
          </cell>
          <cell r="S118">
            <v>0.14200000000000002</v>
          </cell>
          <cell r="T118">
            <v>0.14200000000000002</v>
          </cell>
          <cell r="U118">
            <v>0.14200000000000002</v>
          </cell>
          <cell r="V118">
            <v>0.14200000000000002</v>
          </cell>
          <cell r="W118">
            <v>0.14200000000000002</v>
          </cell>
          <cell r="X118">
            <v>0.05</v>
          </cell>
          <cell r="Y118">
            <v>0.05</v>
          </cell>
          <cell r="Z118">
            <v>0.05</v>
          </cell>
          <cell r="AA118">
            <v>0.05</v>
          </cell>
          <cell r="AB118">
            <v>0.05</v>
          </cell>
          <cell r="AC118">
            <v>53200019.151999995</v>
          </cell>
          <cell r="AD118">
            <v>0</v>
          </cell>
          <cell r="AE118">
            <v>0</v>
          </cell>
          <cell r="AF118">
            <v>0</v>
          </cell>
          <cell r="AG118">
            <v>8837114.2924711108</v>
          </cell>
          <cell r="AH118">
            <v>10640003.830399999</v>
          </cell>
          <cell r="AI118">
            <v>0</v>
          </cell>
          <cell r="AJ118">
            <v>0</v>
          </cell>
          <cell r="AK118">
            <v>0</v>
          </cell>
          <cell r="AL118">
            <v>1254870.2295308979</v>
          </cell>
          <cell r="AM118">
            <v>1510880.5439168001</v>
          </cell>
          <cell r="AN118">
            <v>0</v>
          </cell>
          <cell r="AO118">
            <v>0</v>
          </cell>
          <cell r="AP118">
            <v>0</v>
          </cell>
          <cell r="AQ118">
            <v>441855.71462355554</v>
          </cell>
          <cell r="AR118">
            <v>532000.19151999999</v>
          </cell>
          <cell r="AT118" t="str">
            <v>OPP-756461 - Identified - New - IS4</v>
          </cell>
          <cell r="AU118">
            <v>973855.90614355553</v>
          </cell>
          <cell r="AV118">
            <v>0</v>
          </cell>
          <cell r="AW118">
            <v>973855.90614355553</v>
          </cell>
          <cell r="AX118">
            <v>0</v>
          </cell>
          <cell r="AZ118">
            <v>107</v>
          </cell>
          <cell r="BA118">
            <v>49</v>
          </cell>
          <cell r="BB118">
            <v>169</v>
          </cell>
        </row>
        <row r="119">
          <cell r="B119" t="str">
            <v>OPP-865445</v>
          </cell>
          <cell r="C119" t="str">
            <v>Cyprus Hard FM Services</v>
          </cell>
          <cell r="D119" t="str">
            <v>IS4</v>
          </cell>
          <cell r="E119" t="str">
            <v>IS4 Infrastructure and Engineering</v>
          </cell>
          <cell r="F119" t="str">
            <v>Foreign Government</v>
          </cell>
          <cell r="G119" t="str">
            <v>Non-US Gov't</v>
          </cell>
          <cell r="H119">
            <v>44515</v>
          </cell>
          <cell r="I119">
            <v>44697</v>
          </cell>
          <cell r="J119">
            <v>46523</v>
          </cell>
          <cell r="K119" t="str">
            <v>Prime</v>
          </cell>
          <cell r="L119" t="str">
            <v>Fixed Price</v>
          </cell>
          <cell r="M119" t="str">
            <v>Fixed Price</v>
          </cell>
          <cell r="N119" t="str">
            <v>Identified - New</v>
          </cell>
          <cell r="O119" t="str">
            <v>01 Prospect</v>
          </cell>
          <cell r="P119" t="str">
            <v>Priority 1</v>
          </cell>
          <cell r="Q119">
            <v>0.2</v>
          </cell>
          <cell r="R119">
            <v>257999932.91999999</v>
          </cell>
          <cell r="S119">
            <v>0.17199999999999999</v>
          </cell>
          <cell r="T119">
            <v>0.17199999999999999</v>
          </cell>
          <cell r="U119">
            <v>0.17299999999999999</v>
          </cell>
          <cell r="V119">
            <v>0.17499999999999999</v>
          </cell>
          <cell r="W119">
            <v>0.18</v>
          </cell>
          <cell r="X119">
            <v>0.08</v>
          </cell>
          <cell r="Y119">
            <v>0.08</v>
          </cell>
          <cell r="Z119">
            <v>8.1000000000000003E-2</v>
          </cell>
          <cell r="AA119">
            <v>8.3000000000000004E-2</v>
          </cell>
          <cell r="AB119">
            <v>8.8000000000000009E-2</v>
          </cell>
          <cell r="AC119">
            <v>51599986.583999999</v>
          </cell>
          <cell r="AD119">
            <v>0</v>
          </cell>
          <cell r="AE119">
            <v>0</v>
          </cell>
          <cell r="AF119">
            <v>0</v>
          </cell>
          <cell r="AG119">
            <v>3841332.3345866669</v>
          </cell>
          <cell r="AH119">
            <v>10319997.3168</v>
          </cell>
          <cell r="AI119">
            <v>0</v>
          </cell>
          <cell r="AJ119">
            <v>0</v>
          </cell>
          <cell r="AK119">
            <v>0</v>
          </cell>
          <cell r="AL119">
            <v>672233.15855266666</v>
          </cell>
          <cell r="AM119">
            <v>1857599.5170239999</v>
          </cell>
          <cell r="AN119">
            <v>0</v>
          </cell>
          <cell r="AO119">
            <v>0</v>
          </cell>
          <cell r="AP119">
            <v>0</v>
          </cell>
          <cell r="AQ119">
            <v>318830.5837706934</v>
          </cell>
          <cell r="AR119">
            <v>908159.76387840009</v>
          </cell>
          <cell r="AT119" t="str">
            <v>OPP-865445 - Identified - New - IS4</v>
          </cell>
          <cell r="AU119">
            <v>1226990.3476490935</v>
          </cell>
          <cell r="AV119">
            <v>0</v>
          </cell>
          <cell r="AW119">
            <v>1226990.3476490935</v>
          </cell>
          <cell r="AX119">
            <v>0</v>
          </cell>
          <cell r="AZ119">
            <v>108</v>
          </cell>
          <cell r="BA119">
            <v>32</v>
          </cell>
          <cell r="BB119">
            <v>170</v>
          </cell>
        </row>
        <row r="120">
          <cell r="B120" t="str">
            <v>OPP-865453</v>
          </cell>
          <cell r="C120" t="str">
            <v>Germany TFM</v>
          </cell>
          <cell r="D120" t="str">
            <v>IS4</v>
          </cell>
          <cell r="E120" t="str">
            <v>IS4 Infrastructure and Engineering</v>
          </cell>
          <cell r="F120" t="str">
            <v>Foreign Government</v>
          </cell>
          <cell r="G120" t="str">
            <v>Non-US Gov't</v>
          </cell>
          <cell r="H120">
            <v>44610</v>
          </cell>
          <cell r="I120">
            <v>44792</v>
          </cell>
          <cell r="J120">
            <v>46618</v>
          </cell>
          <cell r="K120" t="str">
            <v>Prime</v>
          </cell>
          <cell r="L120" t="str">
            <v>Fixed Price</v>
          </cell>
          <cell r="M120" t="str">
            <v>Fixed Price</v>
          </cell>
          <cell r="N120" t="str">
            <v>Identified - New</v>
          </cell>
          <cell r="O120" t="str">
            <v>01 Prospect</v>
          </cell>
          <cell r="P120" t="str">
            <v>Priority 1</v>
          </cell>
          <cell r="Q120">
            <v>0.2</v>
          </cell>
          <cell r="R120">
            <v>257999932.91999999</v>
          </cell>
          <cell r="S120">
            <v>0.17199999999999999</v>
          </cell>
          <cell r="T120">
            <v>0.17199999999999999</v>
          </cell>
          <cell r="U120">
            <v>0.17299999999999999</v>
          </cell>
          <cell r="V120">
            <v>0.17499999999999999</v>
          </cell>
          <cell r="W120">
            <v>0.18</v>
          </cell>
          <cell r="X120">
            <v>0.08</v>
          </cell>
          <cell r="Y120">
            <v>0.08</v>
          </cell>
          <cell r="Z120">
            <v>8.1000000000000003E-2</v>
          </cell>
          <cell r="AA120">
            <v>8.3000000000000004E-2</v>
          </cell>
          <cell r="AB120">
            <v>8.8000000000000009E-2</v>
          </cell>
          <cell r="AC120">
            <v>51599986.583999999</v>
          </cell>
          <cell r="AD120">
            <v>0</v>
          </cell>
          <cell r="AE120">
            <v>0</v>
          </cell>
          <cell r="AF120">
            <v>0</v>
          </cell>
          <cell r="AG120">
            <v>1175333.0277466667</v>
          </cell>
          <cell r="AH120">
            <v>10319997.3168</v>
          </cell>
          <cell r="AI120">
            <v>0</v>
          </cell>
          <cell r="AJ120">
            <v>0</v>
          </cell>
          <cell r="AK120">
            <v>0</v>
          </cell>
          <cell r="AL120">
            <v>205683.27985566665</v>
          </cell>
          <cell r="AM120">
            <v>1857599.5170239999</v>
          </cell>
          <cell r="AN120">
            <v>0</v>
          </cell>
          <cell r="AO120">
            <v>0</v>
          </cell>
          <cell r="AP120">
            <v>0</v>
          </cell>
          <cell r="AQ120">
            <v>97552.641302973338</v>
          </cell>
          <cell r="AR120">
            <v>908159.76387840009</v>
          </cell>
          <cell r="AT120" t="str">
            <v>OPP-865453 - Identified - New - IS4</v>
          </cell>
          <cell r="AU120">
            <v>1005712.4051813735</v>
          </cell>
          <cell r="AV120">
            <v>0</v>
          </cell>
          <cell r="AW120">
            <v>1005712.4051813735</v>
          </cell>
          <cell r="AX120">
            <v>0</v>
          </cell>
          <cell r="AZ120">
            <v>109</v>
          </cell>
          <cell r="BA120">
            <v>47</v>
          </cell>
          <cell r="BB120">
            <v>171</v>
          </cell>
        </row>
        <row r="121">
          <cell r="B121" t="str">
            <v>OPP-955206</v>
          </cell>
          <cell r="C121" t="str">
            <v>North Warning System IFM (MS Portion)</v>
          </cell>
          <cell r="D121" t="str">
            <v>IS4</v>
          </cell>
          <cell r="E121" t="str">
            <v>IS4 Infrastructure and Engineering</v>
          </cell>
          <cell r="F121" t="str">
            <v>Foreign Government</v>
          </cell>
          <cell r="G121" t="str">
            <v>Non-US Gov't</v>
          </cell>
          <cell r="H121">
            <v>44500</v>
          </cell>
          <cell r="I121">
            <v>44531</v>
          </cell>
          <cell r="J121">
            <v>46357</v>
          </cell>
          <cell r="K121" t="str">
            <v>Prime</v>
          </cell>
          <cell r="L121" t="str">
            <v>Cost Plus Fixed Fee</v>
          </cell>
          <cell r="M121" t="str">
            <v>Cost Reimbursable</v>
          </cell>
          <cell r="N121" t="str">
            <v>Identified - New</v>
          </cell>
          <cell r="O121" t="str">
            <v>01 Prospect</v>
          </cell>
          <cell r="P121" t="str">
            <v>Priority 1</v>
          </cell>
          <cell r="Q121">
            <v>0.2</v>
          </cell>
          <cell r="R121">
            <v>252700090.97</v>
          </cell>
          <cell r="S121">
            <v>0.14200000000000002</v>
          </cell>
          <cell r="T121">
            <v>0.14200000000000002</v>
          </cell>
          <cell r="U121">
            <v>0.14200000000000002</v>
          </cell>
          <cell r="V121">
            <v>0.14200000000000002</v>
          </cell>
          <cell r="W121">
            <v>0.14200000000000002</v>
          </cell>
          <cell r="X121">
            <v>0.05</v>
          </cell>
          <cell r="Y121">
            <v>0.05</v>
          </cell>
          <cell r="Z121">
            <v>0.05</v>
          </cell>
          <cell r="AA121">
            <v>0.05</v>
          </cell>
          <cell r="AB121">
            <v>0.05</v>
          </cell>
          <cell r="AC121">
            <v>50540018.193999998</v>
          </cell>
          <cell r="AD121">
            <v>0</v>
          </cell>
          <cell r="AE121">
            <v>0</v>
          </cell>
          <cell r="AF121">
            <v>0</v>
          </cell>
          <cell r="AG121">
            <v>8395258.577781111</v>
          </cell>
          <cell r="AH121">
            <v>10108003.638800001</v>
          </cell>
          <cell r="AI121">
            <v>0</v>
          </cell>
          <cell r="AJ121">
            <v>0</v>
          </cell>
          <cell r="AK121">
            <v>0</v>
          </cell>
          <cell r="AL121">
            <v>1192126.7180449178</v>
          </cell>
          <cell r="AM121">
            <v>1435336.5167096003</v>
          </cell>
          <cell r="AN121">
            <v>0</v>
          </cell>
          <cell r="AO121">
            <v>0</v>
          </cell>
          <cell r="AP121">
            <v>0</v>
          </cell>
          <cell r="AQ121">
            <v>419762.92888905556</v>
          </cell>
          <cell r="AR121">
            <v>505400.18194000004</v>
          </cell>
          <cell r="AT121" t="str">
            <v>OPP-955206 - Identified - New - IS4</v>
          </cell>
          <cell r="AU121">
            <v>925163.11082905554</v>
          </cell>
          <cell r="AV121">
            <v>0</v>
          </cell>
          <cell r="AW121">
            <v>925163.11082905554</v>
          </cell>
          <cell r="AX121">
            <v>0</v>
          </cell>
          <cell r="AZ121">
            <v>110</v>
          </cell>
          <cell r="BA121">
            <v>52</v>
          </cell>
          <cell r="BB121">
            <v>172</v>
          </cell>
        </row>
        <row r="122">
          <cell r="B122" t="str">
            <v>OPP-459378</v>
          </cell>
          <cell r="C122" t="str">
            <v>ARNG ENTERPRISE OPERATIONS AND SECURITY SERVICES III (EOSS III)</v>
          </cell>
          <cell r="D122" t="str">
            <v>IS4</v>
          </cell>
          <cell r="E122" t="str">
            <v>IS4 Engineering and Technology Services</v>
          </cell>
          <cell r="F122" t="str">
            <v>Army</v>
          </cell>
          <cell r="G122" t="str">
            <v>DOD</v>
          </cell>
          <cell r="H122">
            <v>44197</v>
          </cell>
          <cell r="I122">
            <v>44227</v>
          </cell>
          <cell r="J122">
            <v>46053</v>
          </cell>
          <cell r="K122" t="str">
            <v xml:space="preserve">  </v>
          </cell>
          <cell r="L122" t="str">
            <v>Cost Plus Award Fee; Cost Reimbursable; Fixed Price</v>
          </cell>
          <cell r="M122" t="str">
            <v>Cost Reimbursable</v>
          </cell>
          <cell r="N122" t="str">
            <v>Identified - New</v>
          </cell>
          <cell r="O122" t="str">
            <v>01 Prospect</v>
          </cell>
          <cell r="P122" t="str">
            <v>Priority 2</v>
          </cell>
          <cell r="Q122">
            <v>0.15</v>
          </cell>
          <cell r="R122">
            <v>247355000</v>
          </cell>
          <cell r="S122">
            <v>0.152</v>
          </cell>
          <cell r="T122">
            <v>0.152</v>
          </cell>
          <cell r="U122">
            <v>0.17199999999999999</v>
          </cell>
          <cell r="V122">
            <v>0.17199999999999999</v>
          </cell>
          <cell r="W122">
            <v>0.17199999999999999</v>
          </cell>
          <cell r="X122">
            <v>0.06</v>
          </cell>
          <cell r="Y122">
            <v>0.06</v>
          </cell>
          <cell r="Z122">
            <v>0.08</v>
          </cell>
          <cell r="AA122">
            <v>0.08</v>
          </cell>
          <cell r="AB122">
            <v>0.08</v>
          </cell>
          <cell r="AC122">
            <v>49471000</v>
          </cell>
          <cell r="AD122">
            <v>0</v>
          </cell>
          <cell r="AE122">
            <v>0</v>
          </cell>
          <cell r="AF122">
            <v>4947099.9999999991</v>
          </cell>
          <cell r="AG122">
            <v>7420650</v>
          </cell>
          <cell r="AH122">
            <v>7420650</v>
          </cell>
          <cell r="AI122">
            <v>0</v>
          </cell>
          <cell r="AJ122">
            <v>0</v>
          </cell>
          <cell r="AK122">
            <v>850901.19999999972</v>
          </cell>
          <cell r="AL122">
            <v>1276351.7999999998</v>
          </cell>
          <cell r="AM122">
            <v>1276351.7999999998</v>
          </cell>
          <cell r="AN122">
            <v>0</v>
          </cell>
          <cell r="AO122">
            <v>0</v>
          </cell>
          <cell r="AP122">
            <v>395767.99999999994</v>
          </cell>
          <cell r="AQ122">
            <v>593652</v>
          </cell>
          <cell r="AR122">
            <v>593652</v>
          </cell>
          <cell r="AT122" t="str">
            <v>OPP-459378 - Identified - New - IS4</v>
          </cell>
          <cell r="AU122">
            <v>1583072</v>
          </cell>
          <cell r="AV122">
            <v>0</v>
          </cell>
          <cell r="AW122">
            <v>1583072</v>
          </cell>
          <cell r="AX122">
            <v>0</v>
          </cell>
          <cell r="AZ122">
            <v>111</v>
          </cell>
          <cell r="BA122">
            <v>22</v>
          </cell>
          <cell r="BB122">
            <v>173</v>
          </cell>
        </row>
        <row r="123">
          <cell r="B123" t="str">
            <v>OPP-854796</v>
          </cell>
          <cell r="C123" t="str">
            <v>TRAINING SERVICES SUPPORT TO THE CENTER FOR SURFACE COMBAT SYSTEMS DAHLGREN VIRGINIA (ZONE 2)</v>
          </cell>
          <cell r="D123" t="str">
            <v>IS4</v>
          </cell>
          <cell r="E123" t="str">
            <v>IS4 Spectrum &amp; Infrastructure Assurance</v>
          </cell>
          <cell r="F123" t="str">
            <v>Navy</v>
          </cell>
          <cell r="G123" t="str">
            <v>DOD</v>
          </cell>
          <cell r="H123">
            <v>44655</v>
          </cell>
          <cell r="I123">
            <v>44683</v>
          </cell>
          <cell r="J123">
            <v>46509</v>
          </cell>
          <cell r="K123" t="str">
            <v>Prime</v>
          </cell>
          <cell r="L123" t="str">
            <v>Cost Plus Fixed Fee</v>
          </cell>
          <cell r="M123" t="str">
            <v>Cost Reimbursable</v>
          </cell>
          <cell r="N123" t="str">
            <v>Identified - New</v>
          </cell>
          <cell r="O123" t="str">
            <v>01 Prospect</v>
          </cell>
          <cell r="P123" t="str">
            <v>Priority 2</v>
          </cell>
          <cell r="Q123">
            <v>0.1</v>
          </cell>
          <cell r="R123">
            <v>245000000</v>
          </cell>
          <cell r="S123">
            <v>0.16</v>
          </cell>
          <cell r="T123">
            <v>0.16</v>
          </cell>
          <cell r="U123">
            <v>0.16</v>
          </cell>
          <cell r="V123">
            <v>0.16</v>
          </cell>
          <cell r="W123">
            <v>0.16</v>
          </cell>
          <cell r="X123">
            <v>6.8000000000000005E-2</v>
          </cell>
          <cell r="Y123">
            <v>6.8000000000000005E-2</v>
          </cell>
          <cell r="Z123">
            <v>6.8000000000000005E-2</v>
          </cell>
          <cell r="AA123">
            <v>6.8000000000000005E-2</v>
          </cell>
          <cell r="AB123">
            <v>6.8000000000000005E-2</v>
          </cell>
          <cell r="AC123">
            <v>49000000</v>
          </cell>
          <cell r="AD123">
            <v>0</v>
          </cell>
          <cell r="AE123">
            <v>0</v>
          </cell>
          <cell r="AF123">
            <v>0</v>
          </cell>
          <cell r="AG123">
            <v>2014444.4444444445</v>
          </cell>
          <cell r="AH123">
            <v>4900000</v>
          </cell>
          <cell r="AI123">
            <v>0</v>
          </cell>
          <cell r="AJ123">
            <v>0</v>
          </cell>
          <cell r="AK123">
            <v>0</v>
          </cell>
          <cell r="AL123">
            <v>322311.11111111112</v>
          </cell>
          <cell r="AM123">
            <v>784000</v>
          </cell>
          <cell r="AN123">
            <v>0</v>
          </cell>
          <cell r="AO123">
            <v>0</v>
          </cell>
          <cell r="AP123">
            <v>0</v>
          </cell>
          <cell r="AQ123">
            <v>136982.22222222225</v>
          </cell>
          <cell r="AR123">
            <v>333200</v>
          </cell>
          <cell r="AT123" t="str">
            <v>OPP-854796 - Identified - New - IS4</v>
          </cell>
          <cell r="AU123">
            <v>470182.22222222225</v>
          </cell>
          <cell r="AV123">
            <v>0</v>
          </cell>
          <cell r="AW123">
            <v>470182.22222222225</v>
          </cell>
          <cell r="AX123">
            <v>0</v>
          </cell>
          <cell r="AZ123">
            <v>112</v>
          </cell>
          <cell r="BA123">
            <v>87</v>
          </cell>
          <cell r="BB123">
            <v>174</v>
          </cell>
        </row>
        <row r="124">
          <cell r="B124" t="str">
            <v>OPP-636776</v>
          </cell>
          <cell r="C124" t="str">
            <v>4th Canadian Division Training Centre Meaford Site Support Services</v>
          </cell>
          <cell r="D124" t="str">
            <v>IS4</v>
          </cell>
          <cell r="E124" t="str">
            <v>IS4 Infrastructure and Engineering</v>
          </cell>
          <cell r="F124" t="str">
            <v>Foreign Government</v>
          </cell>
          <cell r="G124" t="str">
            <v>Non-US Gov't</v>
          </cell>
          <cell r="H124">
            <v>44141</v>
          </cell>
          <cell r="I124">
            <v>44228</v>
          </cell>
          <cell r="J124">
            <v>49706</v>
          </cell>
          <cell r="K124" t="str">
            <v>Prime</v>
          </cell>
          <cell r="L124" t="str">
            <v>Cost Plus Award Fee</v>
          </cell>
          <cell r="M124" t="str">
            <v>Cost Reimbursable</v>
          </cell>
          <cell r="N124" t="str">
            <v>Identified - New</v>
          </cell>
          <cell r="O124" t="str">
            <v>03 Proposal</v>
          </cell>
          <cell r="P124" t="str">
            <v>Priority 1</v>
          </cell>
          <cell r="Q124">
            <v>0.2</v>
          </cell>
          <cell r="R124">
            <v>228000082.08000001</v>
          </cell>
          <cell r="S124">
            <v>0.13700000000000001</v>
          </cell>
          <cell r="T124">
            <v>0.14200000000000002</v>
          </cell>
          <cell r="U124">
            <v>0.14699999999999999</v>
          </cell>
          <cell r="V124">
            <v>0.14699999999999999</v>
          </cell>
          <cell r="W124">
            <v>0.14699999999999999</v>
          </cell>
          <cell r="X124">
            <v>4.4999999999999998E-2</v>
          </cell>
          <cell r="Y124">
            <v>0.05</v>
          </cell>
          <cell r="Z124">
            <v>5.5E-2</v>
          </cell>
          <cell r="AA124">
            <v>5.5E-2</v>
          </cell>
          <cell r="AB124">
            <v>5.5E-2</v>
          </cell>
          <cell r="AC124">
            <v>15200005.472000001</v>
          </cell>
          <cell r="AD124">
            <v>0</v>
          </cell>
          <cell r="AE124">
            <v>0</v>
          </cell>
          <cell r="AF124">
            <v>2018222.9487822223</v>
          </cell>
          <cell r="AG124">
            <v>3040001.0944000003</v>
          </cell>
          <cell r="AH124">
            <v>3040001.0944000003</v>
          </cell>
          <cell r="AI124">
            <v>0</v>
          </cell>
          <cell r="AJ124">
            <v>0</v>
          </cell>
          <cell r="AK124">
            <v>296678.77347098669</v>
          </cell>
          <cell r="AL124">
            <v>446880.16087680002</v>
          </cell>
          <cell r="AM124">
            <v>446880.16087680002</v>
          </cell>
          <cell r="AN124">
            <v>0</v>
          </cell>
          <cell r="AO124">
            <v>0</v>
          </cell>
          <cell r="AP124">
            <v>111002.26218302223</v>
          </cell>
          <cell r="AQ124">
            <v>167200.060192</v>
          </cell>
          <cell r="AR124">
            <v>167200.060192</v>
          </cell>
          <cell r="AT124" t="str">
            <v>OPP-636776 - Identified - New - IS4</v>
          </cell>
          <cell r="AU124">
            <v>445402.38256702223</v>
          </cell>
          <cell r="AV124">
            <v>0</v>
          </cell>
          <cell r="AW124">
            <v>445402.38256702223</v>
          </cell>
          <cell r="AX124">
            <v>0</v>
          </cell>
          <cell r="AZ124">
            <v>113</v>
          </cell>
          <cell r="BA124">
            <v>89</v>
          </cell>
          <cell r="BB124">
            <v>175</v>
          </cell>
        </row>
        <row r="125">
          <cell r="B125" t="str">
            <v>OPP-874689</v>
          </cell>
          <cell r="C125" t="str">
            <v>JOINT GEOSPATIAL ANALYTIC SUPPORT SERVICES (JGASS)</v>
          </cell>
          <cell r="D125" t="str">
            <v>IS4</v>
          </cell>
          <cell r="E125" t="str">
            <v>IS4 Spectrum &amp; Infrastructure Assurance</v>
          </cell>
          <cell r="F125" t="str">
            <v>Other DOD</v>
          </cell>
          <cell r="G125" t="str">
            <v>DOD</v>
          </cell>
          <cell r="H125">
            <v>44228</v>
          </cell>
          <cell r="I125">
            <v>44256</v>
          </cell>
          <cell r="J125">
            <v>46082</v>
          </cell>
          <cell r="K125" t="str">
            <v>Prime</v>
          </cell>
          <cell r="L125" t="str">
            <v>Labor Hour - Fixed Rate</v>
          </cell>
          <cell r="M125" t="str">
            <v>Other</v>
          </cell>
          <cell r="N125" t="str">
            <v>Identified - New</v>
          </cell>
          <cell r="O125" t="str">
            <v>01 Prospect</v>
          </cell>
          <cell r="P125" t="str">
            <v>Priority 2</v>
          </cell>
          <cell r="Q125">
            <v>0.1</v>
          </cell>
          <cell r="R125">
            <v>225000000</v>
          </cell>
          <cell r="S125">
            <v>0.182</v>
          </cell>
          <cell r="T125">
            <v>0.182</v>
          </cell>
          <cell r="U125">
            <v>0.183</v>
          </cell>
          <cell r="V125">
            <v>0.185</v>
          </cell>
          <cell r="W125">
            <v>0.19</v>
          </cell>
          <cell r="X125">
            <v>0.09</v>
          </cell>
          <cell r="Y125">
            <v>0.09</v>
          </cell>
          <cell r="Z125">
            <v>9.0999999999999998E-2</v>
          </cell>
          <cell r="AA125">
            <v>9.2999999999999999E-2</v>
          </cell>
          <cell r="AB125">
            <v>9.8000000000000004E-2</v>
          </cell>
          <cell r="AC125">
            <v>45000000</v>
          </cell>
          <cell r="AD125">
            <v>0</v>
          </cell>
          <cell r="AE125">
            <v>0</v>
          </cell>
          <cell r="AF125">
            <v>2612500.0000000005</v>
          </cell>
          <cell r="AG125">
            <v>4500000</v>
          </cell>
          <cell r="AH125">
            <v>4500000</v>
          </cell>
          <cell r="AI125">
            <v>0</v>
          </cell>
          <cell r="AJ125">
            <v>0</v>
          </cell>
          <cell r="AK125">
            <v>478087.50000000006</v>
          </cell>
          <cell r="AL125">
            <v>832500</v>
          </cell>
          <cell r="AM125">
            <v>855000</v>
          </cell>
          <cell r="AN125">
            <v>0</v>
          </cell>
          <cell r="AO125">
            <v>0</v>
          </cell>
          <cell r="AP125">
            <v>237737.50000000003</v>
          </cell>
          <cell r="AQ125">
            <v>418500</v>
          </cell>
          <cell r="AR125">
            <v>441000</v>
          </cell>
          <cell r="AT125" t="str">
            <v>OPP-874689 - Identified - New - IS4</v>
          </cell>
          <cell r="AU125">
            <v>1097237.5</v>
          </cell>
          <cell r="AV125">
            <v>0</v>
          </cell>
          <cell r="AW125">
            <v>1097237.5</v>
          </cell>
          <cell r="AX125">
            <v>0</v>
          </cell>
          <cell r="AZ125">
            <v>114</v>
          </cell>
          <cell r="BA125">
            <v>37</v>
          </cell>
          <cell r="BB125">
            <v>176</v>
          </cell>
        </row>
        <row r="126">
          <cell r="B126" t="str">
            <v>OPP-959435</v>
          </cell>
          <cell r="C126" t="str">
            <v>4th Canadian Division Training Centre Meaford Site Support Services (MS Portion)</v>
          </cell>
          <cell r="D126" t="str">
            <v>IS4</v>
          </cell>
          <cell r="E126" t="str">
            <v>IS4 Infrastructure and Engineering</v>
          </cell>
          <cell r="F126" t="str">
            <v>Foreign Government</v>
          </cell>
          <cell r="G126" t="str">
            <v>Non-US Gov't</v>
          </cell>
          <cell r="H126">
            <v>44141</v>
          </cell>
          <cell r="I126">
            <v>44228</v>
          </cell>
          <cell r="J126">
            <v>49706</v>
          </cell>
          <cell r="K126" t="str">
            <v>Prime</v>
          </cell>
          <cell r="L126" t="str">
            <v>Fixed Price</v>
          </cell>
          <cell r="M126" t="str">
            <v>Fixed Price</v>
          </cell>
          <cell r="N126" t="str">
            <v>Identified - New</v>
          </cell>
          <cell r="O126" t="str">
            <v>03 Proposal</v>
          </cell>
          <cell r="P126" t="str">
            <v>Priority 1</v>
          </cell>
          <cell r="Q126">
            <v>0.2</v>
          </cell>
          <cell r="R126">
            <v>216600077.97999999</v>
          </cell>
          <cell r="S126">
            <v>0.17199999999999999</v>
          </cell>
          <cell r="T126">
            <v>0.17199999999999999</v>
          </cell>
          <cell r="U126">
            <v>0.17299999999999999</v>
          </cell>
          <cell r="V126">
            <v>0.17499999999999999</v>
          </cell>
          <cell r="W126">
            <v>0.18</v>
          </cell>
          <cell r="X126">
            <v>0.08</v>
          </cell>
          <cell r="Y126">
            <v>0.08</v>
          </cell>
          <cell r="Z126">
            <v>8.1000000000000003E-2</v>
          </cell>
          <cell r="AA126">
            <v>8.3000000000000004E-2</v>
          </cell>
          <cell r="AB126">
            <v>8.8000000000000009E-2</v>
          </cell>
          <cell r="AC126">
            <v>14440005.198666666</v>
          </cell>
          <cell r="AD126">
            <v>0</v>
          </cell>
          <cell r="AE126">
            <v>0</v>
          </cell>
          <cell r="AF126">
            <v>1917311.8013785183</v>
          </cell>
          <cell r="AG126">
            <v>2888001.0397333335</v>
          </cell>
          <cell r="AH126">
            <v>2888001.0397333335</v>
          </cell>
          <cell r="AI126">
            <v>0</v>
          </cell>
          <cell r="AJ126">
            <v>0</v>
          </cell>
          <cell r="AK126">
            <v>331694.94163848367</v>
          </cell>
          <cell r="AL126">
            <v>505400.18195333332</v>
          </cell>
          <cell r="AM126">
            <v>519840.18715200003</v>
          </cell>
          <cell r="AN126">
            <v>0</v>
          </cell>
          <cell r="AO126">
            <v>0</v>
          </cell>
          <cell r="AP126">
            <v>155302.25591166</v>
          </cell>
          <cell r="AQ126">
            <v>239704.08629786668</v>
          </cell>
          <cell r="AR126">
            <v>254144.09149653336</v>
          </cell>
          <cell r="AT126" t="str">
            <v>OPP-959435 - Identified - New - IS4</v>
          </cell>
          <cell r="AU126">
            <v>649150.43370606005</v>
          </cell>
          <cell r="AV126">
            <v>0</v>
          </cell>
          <cell r="AW126">
            <v>649150.43370606005</v>
          </cell>
          <cell r="AX126">
            <v>0</v>
          </cell>
          <cell r="AZ126">
            <v>115</v>
          </cell>
          <cell r="BA126">
            <v>71</v>
          </cell>
          <cell r="BB126">
            <v>177</v>
          </cell>
        </row>
        <row r="127">
          <cell r="B127" t="str">
            <v>OPP-960582</v>
          </cell>
          <cell r="C127" t="str">
            <v>INTEGRATED AIR FORCE NETWORK OPERATIONS AND SERVICES (IAFNOS 2)</v>
          </cell>
          <cell r="D127" t="str">
            <v>IS4</v>
          </cell>
          <cell r="E127" t="str">
            <v>IS4 Engineering and Technology Services</v>
          </cell>
          <cell r="F127" t="str">
            <v>Air Force</v>
          </cell>
          <cell r="G127" t="str">
            <v>DOD</v>
          </cell>
          <cell r="H127">
            <v>44743</v>
          </cell>
          <cell r="I127">
            <v>44774</v>
          </cell>
          <cell r="J127">
            <v>46600</v>
          </cell>
          <cell r="K127" t="str">
            <v>Prime</v>
          </cell>
          <cell r="L127" t="str">
            <v>Cost Plus Fixed Fee</v>
          </cell>
          <cell r="M127" t="str">
            <v>Cost Reimbursable</v>
          </cell>
          <cell r="N127" t="str">
            <v>Identified - New</v>
          </cell>
          <cell r="O127" t="str">
            <v>01 Prospect</v>
          </cell>
          <cell r="P127" t="str">
            <v>Priority 2</v>
          </cell>
          <cell r="Q127">
            <v>0.25</v>
          </cell>
          <cell r="R127">
            <v>206168000</v>
          </cell>
          <cell r="S127">
            <v>0.16200000000000001</v>
          </cell>
          <cell r="T127">
            <v>0.16200000000000001</v>
          </cell>
          <cell r="U127">
            <v>0.16200000000000001</v>
          </cell>
          <cell r="V127">
            <v>0.16200000000000001</v>
          </cell>
          <cell r="W127">
            <v>0.16200000000000001</v>
          </cell>
          <cell r="X127">
            <v>7.0000000000000007E-2</v>
          </cell>
          <cell r="Y127">
            <v>7.0000000000000007E-2</v>
          </cell>
          <cell r="Z127">
            <v>7.0000000000000007E-2</v>
          </cell>
          <cell r="AA127">
            <v>7.0000000000000007E-2</v>
          </cell>
          <cell r="AB127">
            <v>7.0000000000000007E-2</v>
          </cell>
          <cell r="AC127">
            <v>41233600</v>
          </cell>
          <cell r="AD127">
            <v>0</v>
          </cell>
          <cell r="AE127">
            <v>0</v>
          </cell>
          <cell r="AF127">
            <v>0</v>
          </cell>
          <cell r="AG127">
            <v>1689432.2222222222</v>
          </cell>
          <cell r="AH127">
            <v>10308400</v>
          </cell>
          <cell r="AI127">
            <v>0</v>
          </cell>
          <cell r="AJ127">
            <v>0</v>
          </cell>
          <cell r="AK127">
            <v>0</v>
          </cell>
          <cell r="AL127">
            <v>273688.02</v>
          </cell>
          <cell r="AM127">
            <v>1669960.8</v>
          </cell>
          <cell r="AN127">
            <v>0</v>
          </cell>
          <cell r="AO127">
            <v>0</v>
          </cell>
          <cell r="AP127">
            <v>0</v>
          </cell>
          <cell r="AQ127">
            <v>118260.25555555557</v>
          </cell>
          <cell r="AR127">
            <v>721588.00000000012</v>
          </cell>
          <cell r="AT127" t="str">
            <v>OPP-960582 - Identified - New - IS4</v>
          </cell>
          <cell r="AU127">
            <v>839848.25555555569</v>
          </cell>
          <cell r="AV127">
            <v>0</v>
          </cell>
          <cell r="AW127">
            <v>839848.25555555569</v>
          </cell>
          <cell r="AX127">
            <v>0</v>
          </cell>
          <cell r="AZ127">
            <v>116</v>
          </cell>
          <cell r="BA127">
            <v>59</v>
          </cell>
          <cell r="BB127">
            <v>178</v>
          </cell>
        </row>
        <row r="128">
          <cell r="B128" t="str">
            <v>OPP-771850</v>
          </cell>
          <cell r="C128" t="str">
            <v>SOCPAC Mission Operations</v>
          </cell>
          <cell r="D128" t="str">
            <v>IS4</v>
          </cell>
          <cell r="E128" t="str">
            <v>IS4 Spectrum &amp; Infrastructure Assurance</v>
          </cell>
          <cell r="F128" t="str">
            <v>Other DOD</v>
          </cell>
          <cell r="G128" t="str">
            <v>DOD</v>
          </cell>
          <cell r="H128">
            <v>43952</v>
          </cell>
          <cell r="I128">
            <v>43983</v>
          </cell>
          <cell r="J128">
            <v>45809</v>
          </cell>
          <cell r="K128" t="str">
            <v>Prime</v>
          </cell>
          <cell r="L128" t="str">
            <v>Cost Plus Award Fee</v>
          </cell>
          <cell r="M128" t="str">
            <v>Cost Reimbursable</v>
          </cell>
          <cell r="N128" t="str">
            <v>Identified - New</v>
          </cell>
          <cell r="O128" t="str">
            <v>01 Prospect</v>
          </cell>
          <cell r="P128" t="str">
            <v>Priority 2</v>
          </cell>
          <cell r="Q128">
            <v>0.25</v>
          </cell>
          <cell r="R128">
            <v>200000000</v>
          </cell>
          <cell r="S128">
            <v>0.152</v>
          </cell>
          <cell r="T128">
            <v>0.152</v>
          </cell>
          <cell r="U128">
            <v>0.17199999999999999</v>
          </cell>
          <cell r="V128">
            <v>0.17199999999999999</v>
          </cell>
          <cell r="W128">
            <v>0.17199999999999999</v>
          </cell>
          <cell r="X128">
            <v>0.06</v>
          </cell>
          <cell r="Y128">
            <v>0.06</v>
          </cell>
          <cell r="Z128">
            <v>0.08</v>
          </cell>
          <cell r="AA128">
            <v>0.08</v>
          </cell>
          <cell r="AB128">
            <v>0.08</v>
          </cell>
          <cell r="AC128">
            <v>40000000</v>
          </cell>
          <cell r="AD128">
            <v>0</v>
          </cell>
          <cell r="AE128">
            <v>3305555.5555555555</v>
          </cell>
          <cell r="AF128">
            <v>10000000</v>
          </cell>
          <cell r="AG128">
            <v>10000000</v>
          </cell>
          <cell r="AH128">
            <v>10000000</v>
          </cell>
          <cell r="AI128">
            <v>0</v>
          </cell>
          <cell r="AJ128">
            <v>502444.44444444444</v>
          </cell>
          <cell r="AK128">
            <v>1719999.9999999998</v>
          </cell>
          <cell r="AL128">
            <v>1719999.9999999998</v>
          </cell>
          <cell r="AM128">
            <v>1719999.9999999998</v>
          </cell>
          <cell r="AN128">
            <v>0</v>
          </cell>
          <cell r="AO128">
            <v>198333.33333333331</v>
          </cell>
          <cell r="AP128">
            <v>800000</v>
          </cell>
          <cell r="AQ128">
            <v>800000</v>
          </cell>
          <cell r="AR128">
            <v>800000</v>
          </cell>
          <cell r="AT128" t="str">
            <v>OPP-771850 - Identified - New - IS4</v>
          </cell>
          <cell r="AU128">
            <v>2598333.333333333</v>
          </cell>
          <cell r="AV128">
            <v>0</v>
          </cell>
          <cell r="AW128">
            <v>2598333.333333333</v>
          </cell>
          <cell r="AX128">
            <v>0</v>
          </cell>
          <cell r="AZ128">
            <v>117</v>
          </cell>
          <cell r="BA128">
            <v>8</v>
          </cell>
          <cell r="BB128">
            <v>179</v>
          </cell>
        </row>
        <row r="129">
          <cell r="B129" t="str">
            <v>OPP-854815</v>
          </cell>
          <cell r="C129" t="str">
            <v>TSA Specialized Security Training</v>
          </cell>
          <cell r="D129" t="str">
            <v>IS4</v>
          </cell>
          <cell r="E129" t="str">
            <v>IS4 Spectrum &amp; Infrastructure Assurance</v>
          </cell>
          <cell r="F129" t="str">
            <v>Homeland Security</v>
          </cell>
          <cell r="G129" t="str">
            <v>DOD</v>
          </cell>
          <cell r="H129">
            <v>44044</v>
          </cell>
          <cell r="I129">
            <v>44075</v>
          </cell>
          <cell r="J129">
            <v>45901</v>
          </cell>
          <cell r="K129" t="str">
            <v>Prime</v>
          </cell>
          <cell r="L129" t="str">
            <v>Cost Plus Fixed Fee</v>
          </cell>
          <cell r="M129" t="str">
            <v>Cost Reimbursable</v>
          </cell>
          <cell r="N129" t="str">
            <v>Identified - New</v>
          </cell>
          <cell r="O129" t="str">
            <v>01 Prospect</v>
          </cell>
          <cell r="P129" t="str">
            <v>Priority 2</v>
          </cell>
          <cell r="Q129">
            <v>0.25</v>
          </cell>
          <cell r="R129">
            <v>200000000</v>
          </cell>
          <cell r="S129">
            <v>0.16</v>
          </cell>
          <cell r="T129">
            <v>0.16</v>
          </cell>
          <cell r="U129">
            <v>0.16</v>
          </cell>
          <cell r="V129">
            <v>0.16</v>
          </cell>
          <cell r="W129">
            <v>0.16</v>
          </cell>
          <cell r="X129">
            <v>6.8000000000000005E-2</v>
          </cell>
          <cell r="Y129">
            <v>6.8000000000000005E-2</v>
          </cell>
          <cell r="Z129">
            <v>6.8000000000000005E-2</v>
          </cell>
          <cell r="AA129">
            <v>6.8000000000000005E-2</v>
          </cell>
          <cell r="AB129">
            <v>6.8000000000000005E-2</v>
          </cell>
          <cell r="AC129">
            <v>40000000</v>
          </cell>
          <cell r="AD129">
            <v>0</v>
          </cell>
          <cell r="AE129">
            <v>805555.55555555562</v>
          </cell>
          <cell r="AF129">
            <v>10000000</v>
          </cell>
          <cell r="AG129">
            <v>10000000</v>
          </cell>
          <cell r="AH129">
            <v>10000000</v>
          </cell>
          <cell r="AI129">
            <v>0</v>
          </cell>
          <cell r="AJ129">
            <v>128888.88888888891</v>
          </cell>
          <cell r="AK129">
            <v>1600000</v>
          </cell>
          <cell r="AL129">
            <v>1600000</v>
          </cell>
          <cell r="AM129">
            <v>1600000</v>
          </cell>
          <cell r="AN129">
            <v>0</v>
          </cell>
          <cell r="AO129">
            <v>54777.777777777788</v>
          </cell>
          <cell r="AP129">
            <v>680000</v>
          </cell>
          <cell r="AQ129">
            <v>680000</v>
          </cell>
          <cell r="AR129">
            <v>680000</v>
          </cell>
          <cell r="AT129" t="str">
            <v>OPP-854815 - Identified - New - IS4</v>
          </cell>
          <cell r="AU129">
            <v>2094777.7777777778</v>
          </cell>
          <cell r="AV129">
            <v>0</v>
          </cell>
          <cell r="AW129">
            <v>2094777.7777777778</v>
          </cell>
          <cell r="AX129">
            <v>0</v>
          </cell>
          <cell r="AZ129">
            <v>118</v>
          </cell>
          <cell r="BA129">
            <v>11</v>
          </cell>
          <cell r="BB129">
            <v>180</v>
          </cell>
        </row>
        <row r="130">
          <cell r="B130" t="str">
            <v>OPP-413125</v>
          </cell>
          <cell r="C130" t="str">
            <v>PEO IWS Acquisition &amp; Integrated Logistics Support</v>
          </cell>
          <cell r="D130" t="str">
            <v>IS4</v>
          </cell>
          <cell r="E130" t="str">
            <v>IS4 Sustainment Engineering and Acquisition</v>
          </cell>
          <cell r="F130" t="str">
            <v>Navy</v>
          </cell>
          <cell r="G130" t="str">
            <v>DOD</v>
          </cell>
          <cell r="H130">
            <v>44004</v>
          </cell>
          <cell r="I130">
            <v>44123</v>
          </cell>
          <cell r="J130">
            <v>45949</v>
          </cell>
          <cell r="K130" t="str">
            <v>Prime</v>
          </cell>
          <cell r="L130" t="str">
            <v>Cost Plus Fixed Fee</v>
          </cell>
          <cell r="M130" t="str">
            <v>Cost Reimbursable</v>
          </cell>
          <cell r="N130" t="str">
            <v>Identified - New</v>
          </cell>
          <cell r="O130" t="str">
            <v>04 Submitted</v>
          </cell>
          <cell r="P130" t="str">
            <v>Priority 2</v>
          </cell>
          <cell r="Q130">
            <v>0.25</v>
          </cell>
          <cell r="R130">
            <v>200000000</v>
          </cell>
          <cell r="S130">
            <v>0.16</v>
          </cell>
          <cell r="T130">
            <v>0.16</v>
          </cell>
          <cell r="U130">
            <v>0.16</v>
          </cell>
          <cell r="V130">
            <v>0.16</v>
          </cell>
          <cell r="W130">
            <v>0.16</v>
          </cell>
          <cell r="X130">
            <v>6.8000000000000005E-2</v>
          </cell>
          <cell r="Y130">
            <v>6.8000000000000005E-2</v>
          </cell>
          <cell r="Z130">
            <v>6.8000000000000005E-2</v>
          </cell>
          <cell r="AA130">
            <v>6.8000000000000005E-2</v>
          </cell>
          <cell r="AB130">
            <v>6.8000000000000005E-2</v>
          </cell>
          <cell r="AC130">
            <v>40000000</v>
          </cell>
          <cell r="AD130">
            <v>0</v>
          </cell>
          <cell r="AE130">
            <v>0</v>
          </cell>
          <cell r="AF130">
            <v>9472222.222222222</v>
          </cell>
          <cell r="AG130">
            <v>10000000</v>
          </cell>
          <cell r="AH130">
            <v>10000000</v>
          </cell>
          <cell r="AI130">
            <v>0</v>
          </cell>
          <cell r="AJ130">
            <v>0</v>
          </cell>
          <cell r="AK130">
            <v>1515555.5555555555</v>
          </cell>
          <cell r="AL130">
            <v>1600000</v>
          </cell>
          <cell r="AM130">
            <v>1600000</v>
          </cell>
          <cell r="AN130">
            <v>0</v>
          </cell>
          <cell r="AO130">
            <v>0</v>
          </cell>
          <cell r="AP130">
            <v>644111.11111111112</v>
          </cell>
          <cell r="AQ130">
            <v>680000</v>
          </cell>
          <cell r="AR130">
            <v>680000</v>
          </cell>
          <cell r="AT130" t="str">
            <v>OPP-413125 - Identified - New - IS4</v>
          </cell>
          <cell r="AU130">
            <v>2004111.111111111</v>
          </cell>
          <cell r="AV130">
            <v>0</v>
          </cell>
          <cell r="AW130">
            <v>2004111.111111111</v>
          </cell>
          <cell r="AX130">
            <v>0</v>
          </cell>
          <cell r="AZ130">
            <v>119</v>
          </cell>
          <cell r="BA130">
            <v>13</v>
          </cell>
          <cell r="BB130">
            <v>181</v>
          </cell>
        </row>
        <row r="131">
          <cell r="B131" t="str">
            <v>OPP-410836</v>
          </cell>
          <cell r="C131" t="str">
            <v>ABQ - EMP Threat Level Simulator (TLS) for Ships (AKA EMPRESS III)</v>
          </cell>
          <cell r="D131" t="str">
            <v>IS4</v>
          </cell>
          <cell r="E131" t="str">
            <v>IS4 Sustainment Engineering and Acquisition</v>
          </cell>
          <cell r="F131" t="str">
            <v>Other DOD</v>
          </cell>
          <cell r="G131" t="str">
            <v>DOD</v>
          </cell>
          <cell r="H131">
            <v>44155</v>
          </cell>
          <cell r="I131">
            <v>44246</v>
          </cell>
          <cell r="J131">
            <v>45341</v>
          </cell>
          <cell r="K131" t="str">
            <v>Prime</v>
          </cell>
          <cell r="L131" t="str">
            <v>Cost Plus Award Fee</v>
          </cell>
          <cell r="M131" t="str">
            <v>Cost Reimbursable</v>
          </cell>
          <cell r="N131" t="str">
            <v>Identified - New</v>
          </cell>
          <cell r="O131" t="str">
            <v>01 Prospect</v>
          </cell>
          <cell r="P131" t="str">
            <v>Priority 2</v>
          </cell>
          <cell r="Q131">
            <v>0.25</v>
          </cell>
          <cell r="R131">
            <v>200000000</v>
          </cell>
          <cell r="S131">
            <v>0.152</v>
          </cell>
          <cell r="T131">
            <v>0.152</v>
          </cell>
          <cell r="U131">
            <v>0.17199999999999999</v>
          </cell>
          <cell r="V131">
            <v>0.17199999999999999</v>
          </cell>
          <cell r="W131">
            <v>0.17199999999999999</v>
          </cell>
          <cell r="X131">
            <v>0.06</v>
          </cell>
          <cell r="Y131">
            <v>0.06</v>
          </cell>
          <cell r="Z131">
            <v>0.08</v>
          </cell>
          <cell r="AA131">
            <v>0.08</v>
          </cell>
          <cell r="AB131">
            <v>0.08</v>
          </cell>
          <cell r="AC131">
            <v>66666666.666666664</v>
          </cell>
          <cell r="AD131">
            <v>0</v>
          </cell>
          <cell r="AE131">
            <v>0</v>
          </cell>
          <cell r="AF131">
            <v>10231481.481481481</v>
          </cell>
          <cell r="AG131">
            <v>16666666.666666666</v>
          </cell>
          <cell r="AH131">
            <v>16666666.666666666</v>
          </cell>
          <cell r="AI131">
            <v>0</v>
          </cell>
          <cell r="AJ131">
            <v>0</v>
          </cell>
          <cell r="AK131">
            <v>1759814.8148148146</v>
          </cell>
          <cell r="AL131">
            <v>2866666.6666666665</v>
          </cell>
          <cell r="AM131">
            <v>2866666.6666666665</v>
          </cell>
          <cell r="AN131">
            <v>0</v>
          </cell>
          <cell r="AO131">
            <v>0</v>
          </cell>
          <cell r="AP131">
            <v>818518.51851851854</v>
          </cell>
          <cell r="AQ131">
            <v>1333333.3333333333</v>
          </cell>
          <cell r="AR131">
            <v>1333333.3333333333</v>
          </cell>
          <cell r="AT131" t="str">
            <v>OPP-410836 - Identified - New - IS4</v>
          </cell>
          <cell r="AU131">
            <v>3485185.1851851847</v>
          </cell>
          <cell r="AV131">
            <v>0</v>
          </cell>
          <cell r="AW131">
            <v>3485185.1851851847</v>
          </cell>
          <cell r="AX131">
            <v>0</v>
          </cell>
          <cell r="AZ131">
            <v>120</v>
          </cell>
          <cell r="BA131">
            <v>4</v>
          </cell>
          <cell r="BB131">
            <v>182</v>
          </cell>
        </row>
        <row r="132">
          <cell r="B132" t="str">
            <v>OPP-874667</v>
          </cell>
          <cell r="C132" t="str">
            <v>Advent Laden II</v>
          </cell>
          <cell r="D132" t="str">
            <v>IS4</v>
          </cell>
          <cell r="E132" t="str">
            <v>IS4 Spectrum &amp; Infrastructure Assurance</v>
          </cell>
          <cell r="F132" t="str">
            <v>Other DOD</v>
          </cell>
          <cell r="G132" t="str">
            <v>DOD</v>
          </cell>
          <cell r="H132">
            <v>44484</v>
          </cell>
          <cell r="I132">
            <v>44550</v>
          </cell>
          <cell r="J132">
            <v>46376</v>
          </cell>
          <cell r="K132" t="str">
            <v>Prime</v>
          </cell>
          <cell r="L132" t="str">
            <v>Fixed Price</v>
          </cell>
          <cell r="M132" t="str">
            <v>Fixed Price</v>
          </cell>
          <cell r="N132" t="str">
            <v>Identified - New</v>
          </cell>
          <cell r="O132" t="str">
            <v>01 Prospect</v>
          </cell>
          <cell r="P132" t="str">
            <v>Priority 1</v>
          </cell>
          <cell r="Q132">
            <v>0.25</v>
          </cell>
          <cell r="R132">
            <v>200000000</v>
          </cell>
          <cell r="S132">
            <v>0.17199999999999999</v>
          </cell>
          <cell r="T132">
            <v>0.17199999999999999</v>
          </cell>
          <cell r="U132">
            <v>0.17299999999999999</v>
          </cell>
          <cell r="V132">
            <v>0.17499999999999999</v>
          </cell>
          <cell r="W132">
            <v>0.18</v>
          </cell>
          <cell r="X132">
            <v>0.08</v>
          </cell>
          <cell r="Y132">
            <v>0.08</v>
          </cell>
          <cell r="Z132">
            <v>8.1000000000000003E-2</v>
          </cell>
          <cell r="AA132">
            <v>8.3000000000000004E-2</v>
          </cell>
          <cell r="AB132">
            <v>8.8000000000000009E-2</v>
          </cell>
          <cell r="AC132">
            <v>40000000</v>
          </cell>
          <cell r="AD132">
            <v>0</v>
          </cell>
          <cell r="AE132">
            <v>0</v>
          </cell>
          <cell r="AF132">
            <v>0</v>
          </cell>
          <cell r="AG132">
            <v>7777777.777777778</v>
          </cell>
          <cell r="AH132">
            <v>10000000</v>
          </cell>
          <cell r="AI132">
            <v>0</v>
          </cell>
          <cell r="AJ132">
            <v>0</v>
          </cell>
          <cell r="AK132">
            <v>0</v>
          </cell>
          <cell r="AL132">
            <v>1361111.111111111</v>
          </cell>
          <cell r="AM132">
            <v>1800000</v>
          </cell>
          <cell r="AN132">
            <v>0</v>
          </cell>
          <cell r="AO132">
            <v>0</v>
          </cell>
          <cell r="AP132">
            <v>0</v>
          </cell>
          <cell r="AQ132">
            <v>645555.55555555562</v>
          </cell>
          <cell r="AR132">
            <v>880000.00000000012</v>
          </cell>
          <cell r="AT132" t="str">
            <v>OPP-874667 - Identified - New - IS4</v>
          </cell>
          <cell r="AU132">
            <v>1525555.5555555557</v>
          </cell>
          <cell r="AV132">
            <v>0</v>
          </cell>
          <cell r="AW132">
            <v>1525555.5555555557</v>
          </cell>
          <cell r="AX132">
            <v>0</v>
          </cell>
          <cell r="AZ132">
            <v>121</v>
          </cell>
          <cell r="BA132">
            <v>26</v>
          </cell>
          <cell r="BB132">
            <v>183</v>
          </cell>
        </row>
        <row r="133">
          <cell r="B133" t="str">
            <v>OPP-412171</v>
          </cell>
          <cell r="C133" t="str">
            <v>Rip Curl</v>
          </cell>
          <cell r="D133" t="str">
            <v>IS4</v>
          </cell>
          <cell r="E133" t="str">
            <v>IS4 Infrastructure and Engineering</v>
          </cell>
          <cell r="F133" t="str">
            <v>Classified Agency</v>
          </cell>
          <cell r="G133" t="str">
            <v>Classified</v>
          </cell>
          <cell r="H133">
            <v>44582</v>
          </cell>
          <cell r="I133">
            <v>44694</v>
          </cell>
          <cell r="J133">
            <v>48347</v>
          </cell>
          <cell r="K133" t="str">
            <v>Sub</v>
          </cell>
          <cell r="L133" t="str">
            <v>Cost Plus Award Fee</v>
          </cell>
          <cell r="M133" t="str">
            <v>Cost Reimbursable</v>
          </cell>
          <cell r="N133" t="str">
            <v>Identified - New</v>
          </cell>
          <cell r="O133" t="str">
            <v>02 Capture</v>
          </cell>
          <cell r="P133" t="str">
            <v>Priority 1</v>
          </cell>
          <cell r="Q133">
            <v>0.2</v>
          </cell>
          <cell r="R133">
            <v>200000000</v>
          </cell>
          <cell r="S133">
            <v>0.13700000000000001</v>
          </cell>
          <cell r="T133">
            <v>0.14200000000000002</v>
          </cell>
          <cell r="U133">
            <v>0.14699999999999999</v>
          </cell>
          <cell r="V133">
            <v>0.14699999999999999</v>
          </cell>
          <cell r="W133">
            <v>0.14699999999999999</v>
          </cell>
          <cell r="X133">
            <v>4.4999999999999998E-2</v>
          </cell>
          <cell r="Y133">
            <v>0.05</v>
          </cell>
          <cell r="Z133">
            <v>5.5E-2</v>
          </cell>
          <cell r="AA133">
            <v>5.5E-2</v>
          </cell>
          <cell r="AB133">
            <v>5.5E-2</v>
          </cell>
          <cell r="AC133">
            <v>20000000</v>
          </cell>
          <cell r="AD133">
            <v>0</v>
          </cell>
          <cell r="AE133">
            <v>0</v>
          </cell>
          <cell r="AF133">
            <v>0</v>
          </cell>
          <cell r="AG133">
            <v>1522222.2222222222</v>
          </cell>
          <cell r="AH133">
            <v>4000000</v>
          </cell>
          <cell r="AI133">
            <v>0</v>
          </cell>
          <cell r="AJ133">
            <v>0</v>
          </cell>
          <cell r="AK133">
            <v>0</v>
          </cell>
          <cell r="AL133">
            <v>223766.66666666666</v>
          </cell>
          <cell r="AM133">
            <v>588000</v>
          </cell>
          <cell r="AN133">
            <v>0</v>
          </cell>
          <cell r="AO133">
            <v>0</v>
          </cell>
          <cell r="AP133">
            <v>0</v>
          </cell>
          <cell r="AQ133">
            <v>83722.222222222219</v>
          </cell>
          <cell r="AR133">
            <v>220000</v>
          </cell>
          <cell r="AT133" t="str">
            <v>OPP-412171 - Identified - New - IS4</v>
          </cell>
          <cell r="AU133">
            <v>303722.22222222225</v>
          </cell>
          <cell r="AV133">
            <v>0</v>
          </cell>
          <cell r="AW133">
            <v>303722.22222222225</v>
          </cell>
          <cell r="AX133">
            <v>0</v>
          </cell>
          <cell r="AZ133">
            <v>122</v>
          </cell>
          <cell r="BA133">
            <v>111</v>
          </cell>
          <cell r="BB133">
            <v>184</v>
          </cell>
        </row>
        <row r="134">
          <cell r="B134" t="str">
            <v>OPP-945870</v>
          </cell>
          <cell r="C134" t="str">
            <v>PM ASE Engineering SETA Services</v>
          </cell>
          <cell r="D134" t="str">
            <v>IS4</v>
          </cell>
          <cell r="E134" t="str">
            <v>IS4 Spectrum &amp; Infrastructure Assurance</v>
          </cell>
          <cell r="F134" t="str">
            <v>Army</v>
          </cell>
          <cell r="G134" t="str">
            <v>DOD</v>
          </cell>
          <cell r="H134">
            <v>44718</v>
          </cell>
          <cell r="I134">
            <v>44718</v>
          </cell>
          <cell r="J134">
            <v>46544</v>
          </cell>
          <cell r="K134" t="str">
            <v>Prime</v>
          </cell>
          <cell r="L134" t="str">
            <v>Cost Plus Fixed Fee</v>
          </cell>
          <cell r="M134" t="str">
            <v>Cost Reimbursable</v>
          </cell>
          <cell r="N134" t="str">
            <v>Identified - New</v>
          </cell>
          <cell r="O134" t="str">
            <v>01 Prospect</v>
          </cell>
          <cell r="P134" t="str">
            <v>Priority 2</v>
          </cell>
          <cell r="Q134">
            <v>0.25</v>
          </cell>
          <cell r="R134">
            <v>200000000</v>
          </cell>
          <cell r="S134">
            <v>0.16</v>
          </cell>
          <cell r="T134">
            <v>0.16</v>
          </cell>
          <cell r="U134">
            <v>0.16</v>
          </cell>
          <cell r="V134">
            <v>0.16</v>
          </cell>
          <cell r="W134">
            <v>0.16</v>
          </cell>
          <cell r="X134">
            <v>6.8000000000000005E-2</v>
          </cell>
          <cell r="Y134">
            <v>6.8000000000000005E-2</v>
          </cell>
          <cell r="Z134">
            <v>6.8000000000000005E-2</v>
          </cell>
          <cell r="AA134">
            <v>6.8000000000000005E-2</v>
          </cell>
          <cell r="AB134">
            <v>6.8000000000000005E-2</v>
          </cell>
          <cell r="AC134">
            <v>40000000</v>
          </cell>
          <cell r="AD134">
            <v>0</v>
          </cell>
          <cell r="AE134">
            <v>0</v>
          </cell>
          <cell r="AF134">
            <v>0</v>
          </cell>
          <cell r="AG134">
            <v>3166666.6666666665</v>
          </cell>
          <cell r="AH134">
            <v>10000000</v>
          </cell>
          <cell r="AI134">
            <v>0</v>
          </cell>
          <cell r="AJ134">
            <v>0</v>
          </cell>
          <cell r="AK134">
            <v>0</v>
          </cell>
          <cell r="AL134">
            <v>506666.66666666663</v>
          </cell>
          <cell r="AM134">
            <v>1600000</v>
          </cell>
          <cell r="AN134">
            <v>0</v>
          </cell>
          <cell r="AO134">
            <v>0</v>
          </cell>
          <cell r="AP134">
            <v>0</v>
          </cell>
          <cell r="AQ134">
            <v>215333.33333333334</v>
          </cell>
          <cell r="AR134">
            <v>680000</v>
          </cell>
          <cell r="AT134" t="str">
            <v>OPP-945870 - Identified - New - IS4</v>
          </cell>
          <cell r="AU134">
            <v>895333.33333333337</v>
          </cell>
          <cell r="AV134">
            <v>0</v>
          </cell>
          <cell r="AW134">
            <v>895333.33333333337</v>
          </cell>
          <cell r="AX134">
            <v>0</v>
          </cell>
          <cell r="AZ134">
            <v>123</v>
          </cell>
          <cell r="BA134">
            <v>55</v>
          </cell>
          <cell r="BB134">
            <v>185</v>
          </cell>
        </row>
        <row r="135">
          <cell r="B135" t="str">
            <v>OPP-918536</v>
          </cell>
          <cell r="C135" t="str">
            <v>IAC TAT-1559 AFRL Trusted Microelectronics</v>
          </cell>
          <cell r="D135" t="str">
            <v>IS4</v>
          </cell>
          <cell r="E135" t="str">
            <v>IS4 Spectrum &amp; Infrastructure Assurance</v>
          </cell>
          <cell r="F135" t="str">
            <v>Air Force</v>
          </cell>
          <cell r="G135" t="str">
            <v>DOD</v>
          </cell>
          <cell r="H135">
            <v>44055</v>
          </cell>
          <cell r="I135">
            <v>44090</v>
          </cell>
          <cell r="J135">
            <v>45916</v>
          </cell>
          <cell r="K135" t="str">
            <v>Prime</v>
          </cell>
          <cell r="L135" t="str">
            <v>Cost Plus Fixed Fee</v>
          </cell>
          <cell r="M135" t="str">
            <v>Cost Reimbursable</v>
          </cell>
          <cell r="N135" t="str">
            <v>Identified - New</v>
          </cell>
          <cell r="O135" t="str">
            <v>01 Prospect</v>
          </cell>
          <cell r="P135" t="str">
            <v>Priority 2</v>
          </cell>
          <cell r="Q135">
            <v>0.25</v>
          </cell>
          <cell r="R135">
            <v>192000000</v>
          </cell>
          <cell r="S135">
            <v>0.16</v>
          </cell>
          <cell r="T135">
            <v>0.16</v>
          </cell>
          <cell r="U135">
            <v>0.16</v>
          </cell>
          <cell r="V135">
            <v>0.16</v>
          </cell>
          <cell r="W135">
            <v>0.16</v>
          </cell>
          <cell r="X135">
            <v>6.8000000000000005E-2</v>
          </cell>
          <cell r="Y135">
            <v>6.8000000000000005E-2</v>
          </cell>
          <cell r="Z135">
            <v>6.8000000000000005E-2</v>
          </cell>
          <cell r="AA135">
            <v>6.8000000000000005E-2</v>
          </cell>
          <cell r="AB135">
            <v>6.8000000000000005E-2</v>
          </cell>
          <cell r="AC135">
            <v>38400000</v>
          </cell>
          <cell r="AD135">
            <v>0</v>
          </cell>
          <cell r="AE135">
            <v>373333.33333333331</v>
          </cell>
          <cell r="AF135">
            <v>9600000</v>
          </cell>
          <cell r="AG135">
            <v>9600000</v>
          </cell>
          <cell r="AH135">
            <v>9600000</v>
          </cell>
          <cell r="AI135">
            <v>0</v>
          </cell>
          <cell r="AJ135">
            <v>59733.333333333328</v>
          </cell>
          <cell r="AK135">
            <v>1536000</v>
          </cell>
          <cell r="AL135">
            <v>1536000</v>
          </cell>
          <cell r="AM135">
            <v>1536000</v>
          </cell>
          <cell r="AN135">
            <v>0</v>
          </cell>
          <cell r="AO135">
            <v>25386.666666666668</v>
          </cell>
          <cell r="AP135">
            <v>652800</v>
          </cell>
          <cell r="AQ135">
            <v>652800</v>
          </cell>
          <cell r="AR135">
            <v>652800</v>
          </cell>
          <cell r="AT135" t="str">
            <v>OPP-918536 - Identified - New - IS4</v>
          </cell>
          <cell r="AU135">
            <v>1983786.6666666665</v>
          </cell>
          <cell r="AV135">
            <v>0</v>
          </cell>
          <cell r="AW135">
            <v>1983786.6666666665</v>
          </cell>
          <cell r="AX135">
            <v>0</v>
          </cell>
          <cell r="AZ135">
            <v>124</v>
          </cell>
          <cell r="BA135">
            <v>14</v>
          </cell>
          <cell r="BB135">
            <v>186</v>
          </cell>
        </row>
        <row r="136">
          <cell r="B136" t="str">
            <v>OPP-845610</v>
          </cell>
          <cell r="C136" t="str">
            <v>Future AirCrew Training (FAcT)</v>
          </cell>
          <cell r="D136" t="str">
            <v>IS4</v>
          </cell>
          <cell r="E136" t="str">
            <v>IS4 Infrastructure and Engineering</v>
          </cell>
          <cell r="F136" t="str">
            <v>Foreign Government</v>
          </cell>
          <cell r="G136" t="str">
            <v>Non-US Gov't</v>
          </cell>
          <cell r="H136">
            <v>44540</v>
          </cell>
          <cell r="I136">
            <v>44571</v>
          </cell>
          <cell r="J136">
            <v>53702</v>
          </cell>
          <cell r="K136" t="str">
            <v>Sub</v>
          </cell>
          <cell r="L136" t="str">
            <v>Cost Plus Fixed Fee</v>
          </cell>
          <cell r="M136" t="str">
            <v>Cost Reimbursable</v>
          </cell>
          <cell r="N136" t="str">
            <v>Identified - New</v>
          </cell>
          <cell r="O136" t="str">
            <v>01 Prospect</v>
          </cell>
          <cell r="P136" t="str">
            <v>Priority 2</v>
          </cell>
          <cell r="Q136">
            <v>0.2</v>
          </cell>
          <cell r="R136">
            <v>190000068.40000001</v>
          </cell>
          <cell r="S136">
            <v>0.14200000000000002</v>
          </cell>
          <cell r="T136">
            <v>0.14200000000000002</v>
          </cell>
          <cell r="U136">
            <v>0.14200000000000002</v>
          </cell>
          <cell r="V136">
            <v>0.14200000000000002</v>
          </cell>
          <cell r="W136">
            <v>0.14200000000000002</v>
          </cell>
          <cell r="X136">
            <v>0.05</v>
          </cell>
          <cell r="Y136">
            <v>0.05</v>
          </cell>
          <cell r="Z136">
            <v>0.05</v>
          </cell>
          <cell r="AA136">
            <v>0.05</v>
          </cell>
          <cell r="AB136">
            <v>0.05</v>
          </cell>
          <cell r="AC136">
            <v>7600002.7360000005</v>
          </cell>
          <cell r="AD136">
            <v>0</v>
          </cell>
          <cell r="AE136">
            <v>0</v>
          </cell>
          <cell r="AF136">
            <v>0</v>
          </cell>
          <cell r="AG136">
            <v>1097778.1729777779</v>
          </cell>
          <cell r="AH136">
            <v>1520000.5472000001</v>
          </cell>
          <cell r="AI136">
            <v>0</v>
          </cell>
          <cell r="AJ136">
            <v>0</v>
          </cell>
          <cell r="AK136">
            <v>0</v>
          </cell>
          <cell r="AL136">
            <v>155884.50056284448</v>
          </cell>
          <cell r="AM136">
            <v>215840.07770240004</v>
          </cell>
          <cell r="AN136">
            <v>0</v>
          </cell>
          <cell r="AO136">
            <v>0</v>
          </cell>
          <cell r="AP136">
            <v>0</v>
          </cell>
          <cell r="AQ136">
            <v>54888.908648888901</v>
          </cell>
          <cell r="AR136">
            <v>76000.027360000007</v>
          </cell>
          <cell r="AT136" t="str">
            <v>OPP-845610 - Identified - New - IS4</v>
          </cell>
          <cell r="AU136">
            <v>130888.93600888891</v>
          </cell>
          <cell r="AV136">
            <v>0</v>
          </cell>
          <cell r="AW136">
            <v>130888.93600888891</v>
          </cell>
          <cell r="AX136">
            <v>0</v>
          </cell>
          <cell r="AZ136">
            <v>125</v>
          </cell>
          <cell r="BA136">
            <v>156</v>
          </cell>
          <cell r="BB136">
            <v>187</v>
          </cell>
        </row>
        <row r="137">
          <cell r="B137" t="str">
            <v>OPP-843934</v>
          </cell>
          <cell r="C137" t="str">
            <v>Alliant 2: USAREUR THEATER MISSION COMMAND CONTRACT III (TMCC III)</v>
          </cell>
          <cell r="D137" t="str">
            <v>IS4</v>
          </cell>
          <cell r="E137" t="str">
            <v>IS4 Engineering and Technology Services</v>
          </cell>
          <cell r="F137" t="str">
            <v>Army</v>
          </cell>
          <cell r="G137" t="str">
            <v>DOD</v>
          </cell>
          <cell r="H137">
            <v>44204</v>
          </cell>
          <cell r="I137">
            <v>44228</v>
          </cell>
          <cell r="J137">
            <v>46054</v>
          </cell>
          <cell r="K137" t="str">
            <v>Prime</v>
          </cell>
          <cell r="L137" t="str">
            <v>Cost Plus Fixed Fee</v>
          </cell>
          <cell r="M137" t="str">
            <v>Cost Reimbursable</v>
          </cell>
          <cell r="N137" t="str">
            <v>Identified - New</v>
          </cell>
          <cell r="O137" t="str">
            <v>01 Prospect</v>
          </cell>
          <cell r="P137" t="str">
            <v>Priority 2</v>
          </cell>
          <cell r="Q137">
            <v>0.25</v>
          </cell>
          <cell r="R137">
            <v>184316000</v>
          </cell>
          <cell r="S137">
            <v>0.16200000000000001</v>
          </cell>
          <cell r="T137">
            <v>0.16200000000000001</v>
          </cell>
          <cell r="U137">
            <v>0.16200000000000001</v>
          </cell>
          <cell r="V137">
            <v>0.16200000000000001</v>
          </cell>
          <cell r="W137">
            <v>0.16200000000000001</v>
          </cell>
          <cell r="X137">
            <v>7.0000000000000007E-2</v>
          </cell>
          <cell r="Y137">
            <v>7.0000000000000007E-2</v>
          </cell>
          <cell r="Z137">
            <v>7.0000000000000007E-2</v>
          </cell>
          <cell r="AA137">
            <v>7.0000000000000007E-2</v>
          </cell>
          <cell r="AB137">
            <v>7.0000000000000007E-2</v>
          </cell>
          <cell r="AC137">
            <v>36863200</v>
          </cell>
          <cell r="AD137">
            <v>0</v>
          </cell>
          <cell r="AE137">
            <v>0</v>
          </cell>
          <cell r="AF137">
            <v>6118267.222222222</v>
          </cell>
          <cell r="AG137">
            <v>9215800</v>
          </cell>
          <cell r="AH137">
            <v>9215800</v>
          </cell>
          <cell r="AI137">
            <v>0</v>
          </cell>
          <cell r="AJ137">
            <v>0</v>
          </cell>
          <cell r="AK137">
            <v>991159.29</v>
          </cell>
          <cell r="AL137">
            <v>1492959.6</v>
          </cell>
          <cell r="AM137">
            <v>1492959.6</v>
          </cell>
          <cell r="AN137">
            <v>0</v>
          </cell>
          <cell r="AO137">
            <v>0</v>
          </cell>
          <cell r="AP137">
            <v>428278.70555555559</v>
          </cell>
          <cell r="AQ137">
            <v>645106.00000000012</v>
          </cell>
          <cell r="AR137">
            <v>645106.00000000012</v>
          </cell>
          <cell r="AT137" t="str">
            <v>OPP-843934 - Identified - New - IS4</v>
          </cell>
          <cell r="AU137">
            <v>1718490.7055555559</v>
          </cell>
          <cell r="AV137">
            <v>0</v>
          </cell>
          <cell r="AW137">
            <v>1718490.7055555559</v>
          </cell>
          <cell r="AX137">
            <v>0</v>
          </cell>
          <cell r="AZ137">
            <v>126</v>
          </cell>
          <cell r="BA137">
            <v>19</v>
          </cell>
          <cell r="BB137">
            <v>188</v>
          </cell>
        </row>
        <row r="138">
          <cell r="B138" t="str">
            <v>OPP-412394</v>
          </cell>
          <cell r="C138" t="str">
            <v>SEA 21 Professional Support Services</v>
          </cell>
          <cell r="D138" t="str">
            <v>IS4</v>
          </cell>
          <cell r="E138" t="str">
            <v>IS4 Sustainment Engineering and Acquisition</v>
          </cell>
          <cell r="F138" t="str">
            <v>Navy</v>
          </cell>
          <cell r="G138" t="str">
            <v>DOD</v>
          </cell>
          <cell r="H138">
            <v>44095</v>
          </cell>
          <cell r="I138">
            <v>44221</v>
          </cell>
          <cell r="J138">
            <v>46047</v>
          </cell>
          <cell r="K138" t="str">
            <v>Prime</v>
          </cell>
          <cell r="L138" t="str">
            <v>Cost Plus Fixed Fee</v>
          </cell>
          <cell r="M138" t="str">
            <v>Cost Reimbursable</v>
          </cell>
          <cell r="N138" t="str">
            <v>Identified - New</v>
          </cell>
          <cell r="O138" t="str">
            <v>02 Capture</v>
          </cell>
          <cell r="P138" t="str">
            <v>Priority 2</v>
          </cell>
          <cell r="Q138">
            <v>0.25</v>
          </cell>
          <cell r="R138">
            <v>180000000</v>
          </cell>
          <cell r="S138">
            <v>0.16</v>
          </cell>
          <cell r="T138">
            <v>0.16</v>
          </cell>
          <cell r="U138">
            <v>0.16</v>
          </cell>
          <cell r="V138">
            <v>0.16</v>
          </cell>
          <cell r="W138">
            <v>0.16</v>
          </cell>
          <cell r="X138">
            <v>6.8000000000000005E-2</v>
          </cell>
          <cell r="Y138">
            <v>6.8000000000000005E-2</v>
          </cell>
          <cell r="Z138">
            <v>6.8000000000000005E-2</v>
          </cell>
          <cell r="AA138">
            <v>6.8000000000000005E-2</v>
          </cell>
          <cell r="AB138">
            <v>6.8000000000000005E-2</v>
          </cell>
          <cell r="AC138">
            <v>36000000</v>
          </cell>
          <cell r="AD138">
            <v>0</v>
          </cell>
          <cell r="AE138">
            <v>0</v>
          </cell>
          <cell r="AF138">
            <v>6125000</v>
          </cell>
          <cell r="AG138">
            <v>9000000</v>
          </cell>
          <cell r="AH138">
            <v>9000000</v>
          </cell>
          <cell r="AI138">
            <v>0</v>
          </cell>
          <cell r="AJ138">
            <v>0</v>
          </cell>
          <cell r="AK138">
            <v>980000</v>
          </cell>
          <cell r="AL138">
            <v>1440000</v>
          </cell>
          <cell r="AM138">
            <v>1440000</v>
          </cell>
          <cell r="AN138">
            <v>0</v>
          </cell>
          <cell r="AO138">
            <v>0</v>
          </cell>
          <cell r="AP138">
            <v>416500.00000000006</v>
          </cell>
          <cell r="AQ138">
            <v>612000</v>
          </cell>
          <cell r="AR138">
            <v>612000</v>
          </cell>
          <cell r="AT138" t="str">
            <v>OPP-412394 - Identified - New - IS4</v>
          </cell>
          <cell r="AU138">
            <v>1640500</v>
          </cell>
          <cell r="AV138">
            <v>0</v>
          </cell>
          <cell r="AW138">
            <v>1640500</v>
          </cell>
          <cell r="AX138">
            <v>0</v>
          </cell>
          <cell r="AZ138">
            <v>127</v>
          </cell>
          <cell r="BA138">
            <v>21</v>
          </cell>
          <cell r="BB138">
            <v>189</v>
          </cell>
        </row>
        <row r="139">
          <cell r="B139" t="str">
            <v>OPP-945862</v>
          </cell>
          <cell r="C139" t="str">
            <v>RS3-XX-PM EW&amp;C SETA Support</v>
          </cell>
          <cell r="D139" t="str">
            <v>IS4</v>
          </cell>
          <cell r="E139" t="str">
            <v>IS4 Spectrum &amp; Infrastructure Assurance</v>
          </cell>
          <cell r="F139" t="str">
            <v>Army</v>
          </cell>
          <cell r="G139" t="str">
            <v>DOD</v>
          </cell>
          <cell r="H139">
            <v>44378</v>
          </cell>
          <cell r="I139">
            <v>44378</v>
          </cell>
          <cell r="J139">
            <v>46204</v>
          </cell>
          <cell r="K139" t="str">
            <v>Prime</v>
          </cell>
          <cell r="L139" t="str">
            <v>Cost Plus Fixed Fee</v>
          </cell>
          <cell r="M139" t="str">
            <v>Cost Reimbursable</v>
          </cell>
          <cell r="N139" t="str">
            <v>Identified - New</v>
          </cell>
          <cell r="O139" t="str">
            <v>01 Prospect</v>
          </cell>
          <cell r="P139" t="str">
            <v>Priority 2</v>
          </cell>
          <cell r="Q139">
            <v>0.25</v>
          </cell>
          <cell r="R139">
            <v>175000000</v>
          </cell>
          <cell r="S139">
            <v>0.16</v>
          </cell>
          <cell r="T139">
            <v>0.16</v>
          </cell>
          <cell r="U139">
            <v>0.16</v>
          </cell>
          <cell r="V139">
            <v>0.16</v>
          </cell>
          <cell r="W139">
            <v>0.16</v>
          </cell>
          <cell r="X139">
            <v>6.8000000000000005E-2</v>
          </cell>
          <cell r="Y139">
            <v>6.8000000000000005E-2</v>
          </cell>
          <cell r="Z139">
            <v>6.8000000000000005E-2</v>
          </cell>
          <cell r="AA139">
            <v>6.8000000000000005E-2</v>
          </cell>
          <cell r="AB139">
            <v>6.8000000000000005E-2</v>
          </cell>
          <cell r="AC139">
            <v>35000000</v>
          </cell>
          <cell r="AD139">
            <v>0</v>
          </cell>
          <cell r="AE139">
            <v>0</v>
          </cell>
          <cell r="AF139">
            <v>2163194.4444444445</v>
          </cell>
          <cell r="AG139">
            <v>8750000</v>
          </cell>
          <cell r="AH139">
            <v>8750000</v>
          </cell>
          <cell r="AI139">
            <v>0</v>
          </cell>
          <cell r="AJ139">
            <v>0</v>
          </cell>
          <cell r="AK139">
            <v>346111.11111111112</v>
          </cell>
          <cell r="AL139">
            <v>1400000</v>
          </cell>
          <cell r="AM139">
            <v>1400000</v>
          </cell>
          <cell r="AN139">
            <v>0</v>
          </cell>
          <cell r="AO139">
            <v>0</v>
          </cell>
          <cell r="AP139">
            <v>147097.22222222225</v>
          </cell>
          <cell r="AQ139">
            <v>595000</v>
          </cell>
          <cell r="AR139">
            <v>595000</v>
          </cell>
          <cell r="AT139" t="str">
            <v>OPP-945862 - Identified - New - IS4</v>
          </cell>
          <cell r="AU139">
            <v>1337097.2222222222</v>
          </cell>
          <cell r="AV139">
            <v>0</v>
          </cell>
          <cell r="AW139">
            <v>1337097.2222222222</v>
          </cell>
          <cell r="AX139">
            <v>0</v>
          </cell>
          <cell r="AZ139">
            <v>128</v>
          </cell>
          <cell r="BA139">
            <v>28</v>
          </cell>
          <cell r="BB139">
            <v>190</v>
          </cell>
        </row>
        <row r="140">
          <cell r="B140" t="str">
            <v>OPP-885247</v>
          </cell>
          <cell r="C140" t="str">
            <v>RS3-18-0067 Support for Sensor and System Interoperability with Integrated Sensor Architecture</v>
          </cell>
          <cell r="D140" t="str">
            <v>IS4</v>
          </cell>
          <cell r="E140" t="str">
            <v>IS4 Spectrum &amp; Infrastructure Assurance</v>
          </cell>
          <cell r="F140" t="str">
            <v>Army</v>
          </cell>
          <cell r="G140" t="str">
            <v>DOD</v>
          </cell>
          <cell r="H140">
            <v>44589</v>
          </cell>
          <cell r="I140">
            <v>44589</v>
          </cell>
          <cell r="J140">
            <v>46415</v>
          </cell>
          <cell r="K140" t="str">
            <v>Prime</v>
          </cell>
          <cell r="L140" t="str">
            <v>Cost Plus Fixed Fee</v>
          </cell>
          <cell r="M140" t="str">
            <v>Cost Reimbursable</v>
          </cell>
          <cell r="N140" t="str">
            <v>Identified - New</v>
          </cell>
          <cell r="O140" t="str">
            <v>01 Prospect</v>
          </cell>
          <cell r="P140" t="str">
            <v>Priority 2</v>
          </cell>
          <cell r="Q140">
            <v>0.25</v>
          </cell>
          <cell r="R140">
            <v>175000000</v>
          </cell>
          <cell r="S140">
            <v>0.16</v>
          </cell>
          <cell r="T140">
            <v>0.16</v>
          </cell>
          <cell r="U140">
            <v>0.16</v>
          </cell>
          <cell r="V140">
            <v>0.16</v>
          </cell>
          <cell r="W140">
            <v>0.16</v>
          </cell>
          <cell r="X140">
            <v>6.8000000000000005E-2</v>
          </cell>
          <cell r="Y140">
            <v>6.8000000000000005E-2</v>
          </cell>
          <cell r="Z140">
            <v>6.8000000000000005E-2</v>
          </cell>
          <cell r="AA140">
            <v>6.8000000000000005E-2</v>
          </cell>
          <cell r="AB140">
            <v>6.8000000000000005E-2</v>
          </cell>
          <cell r="AC140">
            <v>35000000</v>
          </cell>
          <cell r="AD140">
            <v>0</v>
          </cell>
          <cell r="AE140">
            <v>0</v>
          </cell>
          <cell r="AF140">
            <v>0</v>
          </cell>
          <cell r="AG140">
            <v>5881944.444444445</v>
          </cell>
          <cell r="AH140">
            <v>8750000</v>
          </cell>
          <cell r="AI140">
            <v>0</v>
          </cell>
          <cell r="AJ140">
            <v>0</v>
          </cell>
          <cell r="AK140">
            <v>0</v>
          </cell>
          <cell r="AL140">
            <v>941111.11111111124</v>
          </cell>
          <cell r="AM140">
            <v>1400000</v>
          </cell>
          <cell r="AN140">
            <v>0</v>
          </cell>
          <cell r="AO140">
            <v>0</v>
          </cell>
          <cell r="AP140">
            <v>0</v>
          </cell>
          <cell r="AQ140">
            <v>399972.22222222231</v>
          </cell>
          <cell r="AR140">
            <v>595000</v>
          </cell>
          <cell r="AT140" t="str">
            <v>OPP-885247 - Identified - New - IS4</v>
          </cell>
          <cell r="AU140">
            <v>994972.22222222225</v>
          </cell>
          <cell r="AV140">
            <v>0</v>
          </cell>
          <cell r="AW140">
            <v>994972.22222222225</v>
          </cell>
          <cell r="AX140">
            <v>0</v>
          </cell>
          <cell r="AZ140">
            <v>129</v>
          </cell>
          <cell r="BA140">
            <v>48</v>
          </cell>
          <cell r="BB140">
            <v>191</v>
          </cell>
        </row>
        <row r="141">
          <cell r="B141" t="str">
            <v>OPP-885230</v>
          </cell>
          <cell r="C141" t="str">
            <v>RS3-18-0038 SIGMOD WIN-T</v>
          </cell>
          <cell r="D141" t="str">
            <v>IS4</v>
          </cell>
          <cell r="E141" t="str">
            <v>IS4 Spectrum &amp; Infrastructure Assurance</v>
          </cell>
          <cell r="F141" t="str">
            <v>Army</v>
          </cell>
          <cell r="G141" t="str">
            <v>DOD</v>
          </cell>
          <cell r="H141">
            <v>44603</v>
          </cell>
          <cell r="I141">
            <v>44624</v>
          </cell>
          <cell r="J141">
            <v>46450</v>
          </cell>
          <cell r="K141" t="str">
            <v>Prime</v>
          </cell>
          <cell r="L141" t="str">
            <v>Cost Plus Fixed Fee</v>
          </cell>
          <cell r="M141" t="str">
            <v>Cost Reimbursable</v>
          </cell>
          <cell r="N141" t="str">
            <v>Identified - New</v>
          </cell>
          <cell r="O141" t="str">
            <v>01 Prospect</v>
          </cell>
          <cell r="P141" t="str">
            <v>Priority 2</v>
          </cell>
          <cell r="Q141">
            <v>0.25</v>
          </cell>
          <cell r="R141">
            <v>175000000</v>
          </cell>
          <cell r="S141">
            <v>0.16</v>
          </cell>
          <cell r="T141">
            <v>0.16</v>
          </cell>
          <cell r="U141">
            <v>0.16</v>
          </cell>
          <cell r="V141">
            <v>0.16</v>
          </cell>
          <cell r="W141">
            <v>0.16</v>
          </cell>
          <cell r="X141">
            <v>6.8000000000000005E-2</v>
          </cell>
          <cell r="Y141">
            <v>6.8000000000000005E-2</v>
          </cell>
          <cell r="Z141">
            <v>6.8000000000000005E-2</v>
          </cell>
          <cell r="AA141">
            <v>6.8000000000000005E-2</v>
          </cell>
          <cell r="AB141">
            <v>6.8000000000000005E-2</v>
          </cell>
          <cell r="AC141">
            <v>35000000</v>
          </cell>
          <cell r="AD141">
            <v>0</v>
          </cell>
          <cell r="AE141">
            <v>0</v>
          </cell>
          <cell r="AF141">
            <v>0</v>
          </cell>
          <cell r="AG141">
            <v>5006944.444444444</v>
          </cell>
          <cell r="AH141">
            <v>8750000</v>
          </cell>
          <cell r="AI141">
            <v>0</v>
          </cell>
          <cell r="AJ141">
            <v>0</v>
          </cell>
          <cell r="AK141">
            <v>0</v>
          </cell>
          <cell r="AL141">
            <v>801111.11111111101</v>
          </cell>
          <cell r="AM141">
            <v>1400000</v>
          </cell>
          <cell r="AN141">
            <v>0</v>
          </cell>
          <cell r="AO141">
            <v>0</v>
          </cell>
          <cell r="AP141">
            <v>0</v>
          </cell>
          <cell r="AQ141">
            <v>340472.22222222219</v>
          </cell>
          <cell r="AR141">
            <v>595000</v>
          </cell>
          <cell r="AT141" t="str">
            <v>OPP-885230 - Identified - New - IS4</v>
          </cell>
          <cell r="AU141">
            <v>935472.22222222225</v>
          </cell>
          <cell r="AV141">
            <v>0</v>
          </cell>
          <cell r="AW141">
            <v>935472.22222222225</v>
          </cell>
          <cell r="AX141">
            <v>0</v>
          </cell>
          <cell r="AZ141">
            <v>130</v>
          </cell>
          <cell r="BA141">
            <v>51</v>
          </cell>
          <cell r="BB141">
            <v>192</v>
          </cell>
        </row>
        <row r="142">
          <cell r="B142" t="str">
            <v>OPP-955222</v>
          </cell>
          <cell r="C142" t="str">
            <v>Future AirCrew Training (FAcT) (MS Portion)</v>
          </cell>
          <cell r="D142" t="str">
            <v>IS4</v>
          </cell>
          <cell r="E142" t="str">
            <v>IS4 Infrastructure and Engineering</v>
          </cell>
          <cell r="F142" t="str">
            <v>Foreign Government</v>
          </cell>
          <cell r="G142" t="str">
            <v>Non-US Gov't</v>
          </cell>
          <cell r="H142">
            <v>44540</v>
          </cell>
          <cell r="I142">
            <v>44571</v>
          </cell>
          <cell r="J142">
            <v>53702</v>
          </cell>
          <cell r="K142" t="str">
            <v>Sub</v>
          </cell>
          <cell r="L142" t="str">
            <v>Cost Plus Fixed Fee</v>
          </cell>
          <cell r="M142" t="str">
            <v>Cost Reimbursable</v>
          </cell>
          <cell r="N142" t="str">
            <v>Identified - New</v>
          </cell>
          <cell r="O142" t="str">
            <v>01 Prospect</v>
          </cell>
          <cell r="P142" t="str">
            <v>Priority 2</v>
          </cell>
          <cell r="Q142">
            <v>0.2</v>
          </cell>
          <cell r="R142">
            <v>171000061.56</v>
          </cell>
          <cell r="S142">
            <v>0.14200000000000002</v>
          </cell>
          <cell r="T142">
            <v>0.14200000000000002</v>
          </cell>
          <cell r="U142">
            <v>0.14200000000000002</v>
          </cell>
          <cell r="V142">
            <v>0.14200000000000002</v>
          </cell>
          <cell r="W142">
            <v>0.14200000000000002</v>
          </cell>
          <cell r="X142">
            <v>0.05</v>
          </cell>
          <cell r="Y142">
            <v>0.05</v>
          </cell>
          <cell r="Z142">
            <v>0.05</v>
          </cell>
          <cell r="AA142">
            <v>0.05</v>
          </cell>
          <cell r="AB142">
            <v>0.05</v>
          </cell>
          <cell r="AC142">
            <v>6840002.4624000005</v>
          </cell>
          <cell r="AD142">
            <v>0</v>
          </cell>
          <cell r="AE142">
            <v>0</v>
          </cell>
          <cell r="AF142">
            <v>0</v>
          </cell>
          <cell r="AG142">
            <v>988000.35568000004</v>
          </cell>
          <cell r="AH142">
            <v>1368000.4924800002</v>
          </cell>
          <cell r="AI142">
            <v>0</v>
          </cell>
          <cell r="AJ142">
            <v>0</v>
          </cell>
          <cell r="AK142">
            <v>0</v>
          </cell>
          <cell r="AL142">
            <v>140296.05050656002</v>
          </cell>
          <cell r="AM142">
            <v>194256.06993216006</v>
          </cell>
          <cell r="AN142">
            <v>0</v>
          </cell>
          <cell r="AO142">
            <v>0</v>
          </cell>
          <cell r="AP142">
            <v>0</v>
          </cell>
          <cell r="AQ142">
            <v>49400.017784000003</v>
          </cell>
          <cell r="AR142">
            <v>68400.024624000012</v>
          </cell>
          <cell r="AT142" t="str">
            <v>OPP-955222 - Identified - New - IS4</v>
          </cell>
          <cell r="AU142">
            <v>117800.04240800001</v>
          </cell>
          <cell r="AV142">
            <v>0</v>
          </cell>
          <cell r="AW142">
            <v>117800.04240800001</v>
          </cell>
          <cell r="AX142">
            <v>0</v>
          </cell>
          <cell r="AZ142">
            <v>131</v>
          </cell>
          <cell r="BA142">
            <v>168</v>
          </cell>
          <cell r="BB142">
            <v>193</v>
          </cell>
        </row>
        <row r="143">
          <cell r="B143" t="str">
            <v>OPP-843740</v>
          </cell>
          <cell r="C143" t="str">
            <v>FOREIGN LANGUAGE TRAINING AND TRAINING SUPPORT SERVICES DEFENSE LANGUAGE INSTITUTE FOREIGN LANGUAGE CENTER (DLIFLC)</v>
          </cell>
          <cell r="D143" t="str">
            <v>IS4</v>
          </cell>
          <cell r="E143" t="str">
            <v>IS4 Global Mission Solutions</v>
          </cell>
          <cell r="F143" t="str">
            <v>Army</v>
          </cell>
          <cell r="G143" t="str">
            <v>DOD</v>
          </cell>
          <cell r="H143">
            <v>44547</v>
          </cell>
          <cell r="I143">
            <v>44568</v>
          </cell>
          <cell r="J143">
            <v>46394</v>
          </cell>
          <cell r="K143" t="str">
            <v>Prime</v>
          </cell>
          <cell r="L143" t="str">
            <v>Fixed Price; T&amp;M</v>
          </cell>
          <cell r="M143" t="str">
            <v>Fixed Price</v>
          </cell>
          <cell r="N143" t="str">
            <v>Identified - New</v>
          </cell>
          <cell r="O143" t="str">
            <v>01 Prospect</v>
          </cell>
          <cell r="P143" t="str">
            <v>Priority 2</v>
          </cell>
          <cell r="Q143">
            <v>0.3</v>
          </cell>
          <cell r="R143">
            <v>138000000</v>
          </cell>
          <cell r="S143">
            <v>0.16200000000000001</v>
          </cell>
          <cell r="T143">
            <v>0.16200000000000001</v>
          </cell>
          <cell r="U143">
            <v>0.16400000000000001</v>
          </cell>
          <cell r="V143">
            <v>0.16900000000000001</v>
          </cell>
          <cell r="W143">
            <v>0.17400000000000002</v>
          </cell>
          <cell r="X143">
            <v>7.0000000000000007E-2</v>
          </cell>
          <cell r="Y143">
            <v>7.0000000000000007E-2</v>
          </cell>
          <cell r="Z143">
            <v>7.2000000000000008E-2</v>
          </cell>
          <cell r="AA143">
            <v>7.7000000000000013E-2</v>
          </cell>
          <cell r="AB143">
            <v>8.2000000000000017E-2</v>
          </cell>
          <cell r="AC143">
            <v>27600000</v>
          </cell>
          <cell r="AD143">
            <v>0</v>
          </cell>
          <cell r="AE143">
            <v>0</v>
          </cell>
          <cell r="AF143">
            <v>0</v>
          </cell>
          <cell r="AG143">
            <v>6048999.9999999991</v>
          </cell>
          <cell r="AH143">
            <v>8280000</v>
          </cell>
          <cell r="AI143">
            <v>0</v>
          </cell>
          <cell r="AJ143">
            <v>0</v>
          </cell>
          <cell r="AK143">
            <v>0</v>
          </cell>
          <cell r="AL143">
            <v>1022280.9999999999</v>
          </cell>
          <cell r="AM143">
            <v>1440720.0000000002</v>
          </cell>
          <cell r="AN143">
            <v>0</v>
          </cell>
          <cell r="AO143">
            <v>0</v>
          </cell>
          <cell r="AP143">
            <v>0</v>
          </cell>
          <cell r="AQ143">
            <v>465773</v>
          </cell>
          <cell r="AR143">
            <v>678960.00000000012</v>
          </cell>
          <cell r="AT143" t="str">
            <v>OPP-843740 - Identified - New - IS4</v>
          </cell>
          <cell r="AU143">
            <v>1144733</v>
          </cell>
          <cell r="AV143">
            <v>0</v>
          </cell>
          <cell r="AW143">
            <v>1144733</v>
          </cell>
          <cell r="AX143">
            <v>0</v>
          </cell>
          <cell r="AZ143">
            <v>132</v>
          </cell>
          <cell r="BA143">
            <v>34</v>
          </cell>
          <cell r="BB143">
            <v>194</v>
          </cell>
        </row>
        <row r="144">
          <cell r="B144" t="str">
            <v>OPP-865449</v>
          </cell>
          <cell r="C144" t="str">
            <v>Gibraltar Total FM Services</v>
          </cell>
          <cell r="D144" t="str">
            <v>IS4</v>
          </cell>
          <cell r="E144" t="str">
            <v>IS4 Infrastructure and Engineering</v>
          </cell>
          <cell r="F144" t="str">
            <v>Foreign Government</v>
          </cell>
          <cell r="G144" t="str">
            <v>Non-US Gov't</v>
          </cell>
          <cell r="H144">
            <v>44344</v>
          </cell>
          <cell r="I144">
            <v>44501</v>
          </cell>
          <cell r="J144">
            <v>46327</v>
          </cell>
          <cell r="K144" t="str">
            <v>Prime</v>
          </cell>
          <cell r="L144" t="str">
            <v>Fixed Price</v>
          </cell>
          <cell r="M144" t="str">
            <v>Fixed Price</v>
          </cell>
          <cell r="N144" t="str">
            <v>Identified - New</v>
          </cell>
          <cell r="O144" t="str">
            <v>02 Capture</v>
          </cell>
          <cell r="P144" t="str">
            <v>Priority 1</v>
          </cell>
          <cell r="Q144">
            <v>0.2</v>
          </cell>
          <cell r="R144">
            <v>128999966.45999999</v>
          </cell>
          <cell r="S144">
            <v>0.17199999999999999</v>
          </cell>
          <cell r="T144">
            <v>0.17199999999999999</v>
          </cell>
          <cell r="U144">
            <v>0.17299999999999999</v>
          </cell>
          <cell r="V144">
            <v>0.17499999999999999</v>
          </cell>
          <cell r="W144">
            <v>0.18</v>
          </cell>
          <cell r="X144">
            <v>0.08</v>
          </cell>
          <cell r="Y144">
            <v>0.08</v>
          </cell>
          <cell r="Z144">
            <v>8.1000000000000003E-2</v>
          </cell>
          <cell r="AA144">
            <v>8.3000000000000004E-2</v>
          </cell>
          <cell r="AB144">
            <v>8.8000000000000009E-2</v>
          </cell>
          <cell r="AC144">
            <v>25799993.291999999</v>
          </cell>
          <cell r="AD144">
            <v>0</v>
          </cell>
          <cell r="AE144">
            <v>0</v>
          </cell>
          <cell r="AF144">
            <v>0</v>
          </cell>
          <cell r="AG144">
            <v>4715665.440593333</v>
          </cell>
          <cell r="AH144">
            <v>5159998.6584000001</v>
          </cell>
          <cell r="AI144">
            <v>0</v>
          </cell>
          <cell r="AJ144">
            <v>0</v>
          </cell>
          <cell r="AK144">
            <v>0</v>
          </cell>
          <cell r="AL144">
            <v>825241.4521038332</v>
          </cell>
          <cell r="AM144">
            <v>928799.75851199997</v>
          </cell>
          <cell r="AN144">
            <v>0</v>
          </cell>
          <cell r="AO144">
            <v>0</v>
          </cell>
          <cell r="AP144">
            <v>0</v>
          </cell>
          <cell r="AQ144">
            <v>391400.23156924668</v>
          </cell>
          <cell r="AR144">
            <v>454079.88193920004</v>
          </cell>
          <cell r="AT144" t="str">
            <v>OPP-865449 - Identified - New - IS4</v>
          </cell>
          <cell r="AU144">
            <v>845480.11350844672</v>
          </cell>
          <cell r="AV144">
            <v>0</v>
          </cell>
          <cell r="AW144">
            <v>845480.11350844672</v>
          </cell>
          <cell r="AX144">
            <v>0</v>
          </cell>
          <cell r="AZ144">
            <v>133</v>
          </cell>
          <cell r="BA144">
            <v>58</v>
          </cell>
          <cell r="BB144">
            <v>195</v>
          </cell>
        </row>
        <row r="145">
          <cell r="B145" t="str">
            <v>OPP-959236</v>
          </cell>
          <cell r="C145" t="str">
            <v>RS3-R&amp;D/SETA for Systems Engineering, Architecture Modeling &amp; Simulation Division</v>
          </cell>
          <cell r="D145" t="str">
            <v>IS4</v>
          </cell>
          <cell r="E145" t="str">
            <v>IS4 Spectrum &amp; Infrastructure Assurance</v>
          </cell>
          <cell r="F145" t="str">
            <v>Air Force</v>
          </cell>
          <cell r="G145" t="str">
            <v>DOD</v>
          </cell>
          <cell r="H145">
            <v>43917</v>
          </cell>
          <cell r="I145">
            <v>43948</v>
          </cell>
          <cell r="J145">
            <v>45774</v>
          </cell>
          <cell r="K145" t="str">
            <v>Prime</v>
          </cell>
          <cell r="L145" t="str">
            <v>Cost Plus Fixed Fee</v>
          </cell>
          <cell r="M145" t="str">
            <v>Cost Reimbursable</v>
          </cell>
          <cell r="N145" t="str">
            <v>Identified - New</v>
          </cell>
          <cell r="O145" t="str">
            <v>01 Prospect</v>
          </cell>
          <cell r="P145" t="str">
            <v>Priority 2</v>
          </cell>
          <cell r="Q145">
            <v>0.25</v>
          </cell>
          <cell r="R145">
            <v>125000000</v>
          </cell>
          <cell r="S145">
            <v>0.16</v>
          </cell>
          <cell r="T145">
            <v>0.16</v>
          </cell>
          <cell r="U145">
            <v>0.16</v>
          </cell>
          <cell r="V145">
            <v>0.16</v>
          </cell>
          <cell r="W145">
            <v>0.16</v>
          </cell>
          <cell r="X145">
            <v>6.8000000000000005E-2</v>
          </cell>
          <cell r="Y145">
            <v>6.8000000000000005E-2</v>
          </cell>
          <cell r="Z145">
            <v>6.8000000000000005E-2</v>
          </cell>
          <cell r="AA145">
            <v>6.8000000000000005E-2</v>
          </cell>
          <cell r="AB145">
            <v>6.8000000000000005E-2</v>
          </cell>
          <cell r="AC145">
            <v>25000000</v>
          </cell>
          <cell r="AD145">
            <v>0</v>
          </cell>
          <cell r="AE145">
            <v>2656250</v>
          </cell>
          <cell r="AF145">
            <v>6250000</v>
          </cell>
          <cell r="AG145">
            <v>6250000</v>
          </cell>
          <cell r="AH145">
            <v>6250000</v>
          </cell>
          <cell r="AI145">
            <v>0</v>
          </cell>
          <cell r="AJ145">
            <v>425000</v>
          </cell>
          <cell r="AK145">
            <v>1000000</v>
          </cell>
          <cell r="AL145">
            <v>1000000</v>
          </cell>
          <cell r="AM145">
            <v>1000000</v>
          </cell>
          <cell r="AN145">
            <v>0</v>
          </cell>
          <cell r="AO145">
            <v>180625</v>
          </cell>
          <cell r="AP145">
            <v>425000.00000000006</v>
          </cell>
          <cell r="AQ145">
            <v>425000.00000000006</v>
          </cell>
          <cell r="AR145">
            <v>425000.00000000006</v>
          </cell>
          <cell r="AT145" t="str">
            <v>OPP-959236 - Identified - New - IS4</v>
          </cell>
          <cell r="AU145">
            <v>1455625</v>
          </cell>
          <cell r="AV145">
            <v>0</v>
          </cell>
          <cell r="AW145">
            <v>1455625</v>
          </cell>
          <cell r="AX145">
            <v>0</v>
          </cell>
          <cell r="AZ145">
            <v>134</v>
          </cell>
          <cell r="BA145">
            <v>27</v>
          </cell>
          <cell r="BB145">
            <v>196</v>
          </cell>
        </row>
        <row r="146">
          <cell r="B146" t="str">
            <v>OPP-912050</v>
          </cell>
          <cell r="C146" t="str">
            <v>USAF ACC: NETWORK OPERATIONS AND SECURITY CENTER IT SUPPORT SERVICES (NOSC IT)</v>
          </cell>
          <cell r="D146" t="str">
            <v>IS4</v>
          </cell>
          <cell r="E146" t="str">
            <v>IS4 Engineering and Technology Services</v>
          </cell>
          <cell r="F146" t="str">
            <v>Air Force</v>
          </cell>
          <cell r="G146" t="str">
            <v>DOD</v>
          </cell>
          <cell r="H146">
            <v>43917</v>
          </cell>
          <cell r="I146">
            <v>43922</v>
          </cell>
          <cell r="J146">
            <v>45748</v>
          </cell>
          <cell r="K146" t="str">
            <v>Prime</v>
          </cell>
          <cell r="L146" t="str">
            <v>Fixed Price; T&amp;M</v>
          </cell>
          <cell r="M146" t="str">
            <v>Fixed Price</v>
          </cell>
          <cell r="N146" t="str">
            <v>Identified - New</v>
          </cell>
          <cell r="O146" t="str">
            <v>01 Prospect</v>
          </cell>
          <cell r="P146" t="str">
            <v>Priority 2</v>
          </cell>
          <cell r="Q146">
            <v>0.25</v>
          </cell>
          <cell r="R146">
            <v>118239000</v>
          </cell>
          <cell r="S146">
            <v>0.17199999999999999</v>
          </cell>
          <cell r="T146">
            <v>0.17199999999999999</v>
          </cell>
          <cell r="U146">
            <v>0.17699999999999999</v>
          </cell>
          <cell r="V146">
            <v>0.182</v>
          </cell>
          <cell r="W146">
            <v>0.187</v>
          </cell>
          <cell r="X146">
            <v>0.08</v>
          </cell>
          <cell r="Y146">
            <v>0.08</v>
          </cell>
          <cell r="Z146">
            <v>8.5000000000000006E-2</v>
          </cell>
          <cell r="AA146">
            <v>9.0000000000000011E-2</v>
          </cell>
          <cell r="AB146">
            <v>9.5000000000000015E-2</v>
          </cell>
          <cell r="AC146">
            <v>23647800</v>
          </cell>
          <cell r="AD146">
            <v>0</v>
          </cell>
          <cell r="AE146">
            <v>2939552.9166666665</v>
          </cell>
          <cell r="AF146">
            <v>5911950</v>
          </cell>
          <cell r="AG146">
            <v>5911950</v>
          </cell>
          <cell r="AH146">
            <v>5911950</v>
          </cell>
          <cell r="AI146">
            <v>0</v>
          </cell>
          <cell r="AJ146">
            <v>505603.10166666663</v>
          </cell>
          <cell r="AK146">
            <v>1046415.1499999999</v>
          </cell>
          <cell r="AL146">
            <v>1075974.8999999999</v>
          </cell>
          <cell r="AM146">
            <v>1105534.6499999999</v>
          </cell>
          <cell r="AN146">
            <v>0</v>
          </cell>
          <cell r="AO146">
            <v>235164.23333333334</v>
          </cell>
          <cell r="AP146">
            <v>502515.75000000006</v>
          </cell>
          <cell r="AQ146">
            <v>532075.50000000012</v>
          </cell>
          <cell r="AR146">
            <v>561635.25000000012</v>
          </cell>
          <cell r="AT146" t="str">
            <v>OPP-912050 - Identified - New - IS4</v>
          </cell>
          <cell r="AU146">
            <v>1831390.7333333334</v>
          </cell>
          <cell r="AV146">
            <v>0</v>
          </cell>
          <cell r="AW146">
            <v>1831390.7333333334</v>
          </cell>
          <cell r="AX146">
            <v>0</v>
          </cell>
          <cell r="AZ146">
            <v>135</v>
          </cell>
          <cell r="BA146">
            <v>17</v>
          </cell>
          <cell r="BB146">
            <v>197</v>
          </cell>
        </row>
        <row r="147">
          <cell r="B147" t="str">
            <v>OPP-899263</v>
          </cell>
          <cell r="C147" t="str">
            <v>NETCOM: OPERATIONS MAINTENANCE AND SUPPLY EUROPE (OPMAS-E)</v>
          </cell>
          <cell r="D147" t="str">
            <v>IS4</v>
          </cell>
          <cell r="E147" t="str">
            <v>IS4 Engineering and Technology Services</v>
          </cell>
          <cell r="F147" t="str">
            <v>Army</v>
          </cell>
          <cell r="G147" t="str">
            <v>DOD</v>
          </cell>
          <cell r="H147">
            <v>44651</v>
          </cell>
          <cell r="I147">
            <v>44651</v>
          </cell>
          <cell r="J147">
            <v>46477</v>
          </cell>
          <cell r="K147" t="str">
            <v>Prime</v>
          </cell>
          <cell r="L147" t="str">
            <v>Hybrid/Mixed Cost-Plus/Fixed</v>
          </cell>
          <cell r="M147" t="str">
            <v>Other</v>
          </cell>
          <cell r="N147" t="str">
            <v>Identified - New</v>
          </cell>
          <cell r="O147" t="str">
            <v>01 Prospect</v>
          </cell>
          <cell r="P147" t="str">
            <v>Priority 2</v>
          </cell>
          <cell r="Q147">
            <v>0.25</v>
          </cell>
          <cell r="R147">
            <v>114513000</v>
          </cell>
          <cell r="S147">
            <v>0.17199999999999999</v>
          </cell>
          <cell r="T147">
            <v>0.17199999999999999</v>
          </cell>
          <cell r="U147">
            <v>0.17699999999999999</v>
          </cell>
          <cell r="V147">
            <v>0.182</v>
          </cell>
          <cell r="W147">
            <v>0.187</v>
          </cell>
          <cell r="X147">
            <v>0.08</v>
          </cell>
          <cell r="Y147">
            <v>0.08</v>
          </cell>
          <cell r="Z147">
            <v>8.5000000000000006E-2</v>
          </cell>
          <cell r="AA147">
            <v>9.0000000000000011E-2</v>
          </cell>
          <cell r="AB147">
            <v>9.5000000000000015E-2</v>
          </cell>
          <cell r="AC147">
            <v>22902600</v>
          </cell>
          <cell r="AD147">
            <v>0</v>
          </cell>
          <cell r="AE147">
            <v>0</v>
          </cell>
          <cell r="AF147">
            <v>0</v>
          </cell>
          <cell r="AG147">
            <v>2862825</v>
          </cell>
          <cell r="AH147">
            <v>5725650</v>
          </cell>
          <cell r="AI147">
            <v>0</v>
          </cell>
          <cell r="AJ147">
            <v>0</v>
          </cell>
          <cell r="AK147">
            <v>0</v>
          </cell>
          <cell r="AL147">
            <v>521034.14999999997</v>
          </cell>
          <cell r="AM147">
            <v>1070696.55</v>
          </cell>
          <cell r="AN147">
            <v>0</v>
          </cell>
          <cell r="AO147">
            <v>0</v>
          </cell>
          <cell r="AP147">
            <v>0</v>
          </cell>
          <cell r="AQ147">
            <v>257654.25000000003</v>
          </cell>
          <cell r="AR147">
            <v>543936.75000000012</v>
          </cell>
          <cell r="AT147" t="str">
            <v>OPP-899263 - Identified - New - IS4</v>
          </cell>
          <cell r="AU147">
            <v>801591.00000000012</v>
          </cell>
          <cell r="AV147">
            <v>0</v>
          </cell>
          <cell r="AW147">
            <v>801591.00000000012</v>
          </cell>
          <cell r="AX147">
            <v>0</v>
          </cell>
          <cell r="AZ147">
            <v>136</v>
          </cell>
          <cell r="BA147">
            <v>60</v>
          </cell>
          <cell r="BB147">
            <v>198</v>
          </cell>
        </row>
        <row r="148">
          <cell r="B148" t="str">
            <v>OPP-947106</v>
          </cell>
          <cell r="C148" t="str">
            <v>DISA IT SERVICES TO SUPPORT JSP</v>
          </cell>
          <cell r="D148" t="str">
            <v>IS4</v>
          </cell>
          <cell r="E148" t="str">
            <v>IS4 Engineering and Technology Services</v>
          </cell>
          <cell r="F148" t="str">
            <v>DISA</v>
          </cell>
          <cell r="G148" t="str">
            <v>DOD</v>
          </cell>
          <cell r="H148">
            <v>44104</v>
          </cell>
          <cell r="I148">
            <v>44104</v>
          </cell>
          <cell r="J148">
            <v>45930</v>
          </cell>
          <cell r="K148" t="str">
            <v>Prime</v>
          </cell>
          <cell r="L148" t="str">
            <v>Fixed Price</v>
          </cell>
          <cell r="M148" t="str">
            <v>Fixed Price</v>
          </cell>
          <cell r="N148" t="str">
            <v>Identified - New</v>
          </cell>
          <cell r="O148" t="str">
            <v>01 Prospect</v>
          </cell>
          <cell r="P148" t="str">
            <v>Priority 1</v>
          </cell>
          <cell r="Q148">
            <v>0.25</v>
          </cell>
          <cell r="R148">
            <v>101798590</v>
          </cell>
          <cell r="S148">
            <v>0.17199999999999999</v>
          </cell>
          <cell r="T148">
            <v>0.17199999999999999</v>
          </cell>
          <cell r="U148">
            <v>0.17299999999999999</v>
          </cell>
          <cell r="V148">
            <v>0.17499999999999999</v>
          </cell>
          <cell r="W148">
            <v>0.18</v>
          </cell>
          <cell r="X148">
            <v>0.08</v>
          </cell>
          <cell r="Y148">
            <v>0.08</v>
          </cell>
          <cell r="Z148">
            <v>8.1000000000000003E-2</v>
          </cell>
          <cell r="AA148">
            <v>8.3000000000000004E-2</v>
          </cell>
          <cell r="AB148">
            <v>8.8000000000000009E-2</v>
          </cell>
          <cell r="AC148">
            <v>20359718</v>
          </cell>
          <cell r="AD148">
            <v>0</v>
          </cell>
          <cell r="AE148">
            <v>0</v>
          </cell>
          <cell r="AF148">
            <v>5089929.5</v>
          </cell>
          <cell r="AG148">
            <v>5089929.5</v>
          </cell>
          <cell r="AH148">
            <v>5089929.5</v>
          </cell>
          <cell r="AI148">
            <v>0</v>
          </cell>
          <cell r="AJ148">
            <v>0</v>
          </cell>
          <cell r="AK148">
            <v>880557.80349999992</v>
          </cell>
          <cell r="AL148">
            <v>890737.66249999998</v>
          </cell>
          <cell r="AM148">
            <v>916187.30999999994</v>
          </cell>
          <cell r="AN148">
            <v>0</v>
          </cell>
          <cell r="AO148">
            <v>0</v>
          </cell>
          <cell r="AP148">
            <v>412284.28950000001</v>
          </cell>
          <cell r="AQ148">
            <v>422464.14850000001</v>
          </cell>
          <cell r="AR148">
            <v>447913.79600000003</v>
          </cell>
          <cell r="AT148" t="str">
            <v>OPP-947106 - Identified - New - IS4</v>
          </cell>
          <cell r="AU148">
            <v>1282662.2340000002</v>
          </cell>
          <cell r="AV148">
            <v>0</v>
          </cell>
          <cell r="AW148">
            <v>1282662.2340000002</v>
          </cell>
          <cell r="AX148">
            <v>0</v>
          </cell>
          <cell r="AZ148">
            <v>137</v>
          </cell>
          <cell r="BA148">
            <v>30</v>
          </cell>
          <cell r="BB148">
            <v>199</v>
          </cell>
        </row>
        <row r="149">
          <cell r="B149" t="str">
            <v>OPP-877883</v>
          </cell>
          <cell r="C149" t="str">
            <v>NETCENTS2: TDM Decommissioning CONUS (15 Sites)</v>
          </cell>
          <cell r="D149" t="str">
            <v>IS4</v>
          </cell>
          <cell r="E149" t="str">
            <v>IS4 Engineering and Technology Services</v>
          </cell>
          <cell r="F149" t="str">
            <v>Army</v>
          </cell>
          <cell r="G149" t="str">
            <v>DOD</v>
          </cell>
          <cell r="H149">
            <v>43770</v>
          </cell>
          <cell r="I149">
            <v>43777</v>
          </cell>
          <cell r="J149">
            <v>45604</v>
          </cell>
          <cell r="K149" t="str">
            <v>Prime</v>
          </cell>
          <cell r="L149" t="str">
            <v>Hybrid/Mixed Cost-Plus/Fixed</v>
          </cell>
          <cell r="M149" t="str">
            <v>Other</v>
          </cell>
          <cell r="N149" t="str">
            <v>Identified - New</v>
          </cell>
          <cell r="O149" t="str">
            <v>04 Submitted</v>
          </cell>
          <cell r="P149" t="str">
            <v>Priority 2</v>
          </cell>
          <cell r="Q149">
            <v>0.3</v>
          </cell>
          <cell r="R149">
            <v>100000000</v>
          </cell>
          <cell r="S149">
            <v>0.152</v>
          </cell>
          <cell r="T149">
            <v>0.152</v>
          </cell>
          <cell r="U149">
            <v>0.157</v>
          </cell>
          <cell r="V149">
            <v>0.16200000000000001</v>
          </cell>
          <cell r="W149">
            <v>0.16700000000000001</v>
          </cell>
          <cell r="X149">
            <v>0.06</v>
          </cell>
          <cell r="Y149">
            <v>0.06</v>
          </cell>
          <cell r="Z149">
            <v>6.5000000000000002E-2</v>
          </cell>
          <cell r="AA149">
            <v>7.0000000000000007E-2</v>
          </cell>
          <cell r="AB149">
            <v>7.5000000000000011E-2</v>
          </cell>
          <cell r="AC149">
            <v>20000000</v>
          </cell>
          <cell r="AD149">
            <v>0</v>
          </cell>
          <cell r="AE149">
            <v>5366666.666666666</v>
          </cell>
          <cell r="AF149">
            <v>6000000</v>
          </cell>
          <cell r="AG149">
            <v>6000000</v>
          </cell>
          <cell r="AH149">
            <v>6000000</v>
          </cell>
          <cell r="AI149">
            <v>0</v>
          </cell>
          <cell r="AJ149">
            <v>815733.33333333326</v>
          </cell>
          <cell r="AK149">
            <v>942000</v>
          </cell>
          <cell r="AL149">
            <v>972000</v>
          </cell>
          <cell r="AM149">
            <v>1002000</v>
          </cell>
          <cell r="AN149">
            <v>0</v>
          </cell>
          <cell r="AO149">
            <v>321999.99999999994</v>
          </cell>
          <cell r="AP149">
            <v>390000</v>
          </cell>
          <cell r="AQ149">
            <v>420000.00000000006</v>
          </cell>
          <cell r="AR149">
            <v>450000.00000000006</v>
          </cell>
          <cell r="AT149" t="str">
            <v>OPP-877883 - Identified - New - IS4</v>
          </cell>
          <cell r="AU149">
            <v>1582000</v>
          </cell>
          <cell r="AV149">
            <v>0</v>
          </cell>
          <cell r="AW149">
            <v>1582000</v>
          </cell>
          <cell r="AX149">
            <v>0</v>
          </cell>
          <cell r="AZ149">
            <v>138</v>
          </cell>
          <cell r="BA149">
            <v>23</v>
          </cell>
          <cell r="BB149">
            <v>200</v>
          </cell>
        </row>
        <row r="150">
          <cell r="B150" t="str">
            <v>OPP-959240</v>
          </cell>
          <cell r="C150" t="str">
            <v>APG - Cyber Security Sustaining BaseNetwork Assurance Branch (SBNAB)</v>
          </cell>
          <cell r="D150" t="str">
            <v>IS4</v>
          </cell>
          <cell r="E150" t="str">
            <v>IS4 Spectrum &amp; Infrastructure Assurance</v>
          </cell>
          <cell r="F150" t="str">
            <v>Air Force</v>
          </cell>
          <cell r="G150" t="str">
            <v>DOD</v>
          </cell>
          <cell r="H150">
            <v>43882</v>
          </cell>
          <cell r="I150">
            <v>43911</v>
          </cell>
          <cell r="J150">
            <v>45737</v>
          </cell>
          <cell r="K150" t="str">
            <v>Prime</v>
          </cell>
          <cell r="L150" t="str">
            <v>Cost Plus Fixed Fee</v>
          </cell>
          <cell r="M150" t="str">
            <v>Cost Reimbursable</v>
          </cell>
          <cell r="N150" t="str">
            <v>Identified - New</v>
          </cell>
          <cell r="O150" t="str">
            <v>01 Prospect</v>
          </cell>
          <cell r="P150" t="str">
            <v>Priority 2</v>
          </cell>
          <cell r="Q150">
            <v>0.25</v>
          </cell>
          <cell r="R150">
            <v>100000000</v>
          </cell>
          <cell r="S150">
            <v>0.16</v>
          </cell>
          <cell r="T150">
            <v>0.16</v>
          </cell>
          <cell r="U150">
            <v>0.16</v>
          </cell>
          <cell r="V150">
            <v>0.16</v>
          </cell>
          <cell r="W150">
            <v>0.16</v>
          </cell>
          <cell r="X150">
            <v>6.8000000000000005E-2</v>
          </cell>
          <cell r="Y150">
            <v>6.8000000000000005E-2</v>
          </cell>
          <cell r="Z150">
            <v>6.8000000000000005E-2</v>
          </cell>
          <cell r="AA150">
            <v>6.8000000000000005E-2</v>
          </cell>
          <cell r="AB150">
            <v>6.8000000000000005E-2</v>
          </cell>
          <cell r="AC150">
            <v>20000000</v>
          </cell>
          <cell r="AD150">
            <v>0</v>
          </cell>
          <cell r="AE150">
            <v>2625000</v>
          </cell>
          <cell r="AF150">
            <v>5000000</v>
          </cell>
          <cell r="AG150">
            <v>5000000</v>
          </cell>
          <cell r="AH150">
            <v>5000000</v>
          </cell>
          <cell r="AI150">
            <v>0</v>
          </cell>
          <cell r="AJ150">
            <v>420000</v>
          </cell>
          <cell r="AK150">
            <v>800000</v>
          </cell>
          <cell r="AL150">
            <v>800000</v>
          </cell>
          <cell r="AM150">
            <v>800000</v>
          </cell>
          <cell r="AN150">
            <v>0</v>
          </cell>
          <cell r="AO150">
            <v>178500</v>
          </cell>
          <cell r="AP150">
            <v>340000</v>
          </cell>
          <cell r="AQ150">
            <v>340000</v>
          </cell>
          <cell r="AR150">
            <v>340000</v>
          </cell>
          <cell r="AT150" t="str">
            <v>OPP-959240 - Identified - New - IS4</v>
          </cell>
          <cell r="AU150">
            <v>1198500</v>
          </cell>
          <cell r="AV150">
            <v>0</v>
          </cell>
          <cell r="AW150">
            <v>1198500</v>
          </cell>
          <cell r="AX150">
            <v>0</v>
          </cell>
          <cell r="AZ150">
            <v>139</v>
          </cell>
          <cell r="BA150">
            <v>33</v>
          </cell>
          <cell r="BB150">
            <v>201</v>
          </cell>
        </row>
        <row r="151">
          <cell r="B151" t="str">
            <v>OPP-928448</v>
          </cell>
          <cell r="C151" t="str">
            <v>RS3-19-0041 SETA for PEO C3T</v>
          </cell>
          <cell r="D151" t="str">
            <v>IS4</v>
          </cell>
          <cell r="E151" t="str">
            <v>IS4 Spectrum &amp; Infrastructure Assurance</v>
          </cell>
          <cell r="F151" t="str">
            <v>Army</v>
          </cell>
          <cell r="G151" t="str">
            <v>DOD</v>
          </cell>
          <cell r="H151">
            <v>44008</v>
          </cell>
          <cell r="I151">
            <v>44027</v>
          </cell>
          <cell r="J151">
            <v>45853</v>
          </cell>
          <cell r="K151" t="str">
            <v>Prime</v>
          </cell>
          <cell r="L151" t="str">
            <v>Cost Plus Fixed Fee</v>
          </cell>
          <cell r="M151" t="str">
            <v>Cost Reimbursable</v>
          </cell>
          <cell r="N151" t="str">
            <v>Identified - New</v>
          </cell>
          <cell r="O151" t="str">
            <v>01 Prospect</v>
          </cell>
          <cell r="P151" t="str">
            <v>Priority 2</v>
          </cell>
          <cell r="Q151">
            <v>0.25</v>
          </cell>
          <cell r="R151">
            <v>100000000</v>
          </cell>
          <cell r="S151">
            <v>0.16</v>
          </cell>
          <cell r="T151">
            <v>0.16</v>
          </cell>
          <cell r="U151">
            <v>0.16</v>
          </cell>
          <cell r="V151">
            <v>0.16</v>
          </cell>
          <cell r="W151">
            <v>0.16</v>
          </cell>
          <cell r="X151">
            <v>6.8000000000000005E-2</v>
          </cell>
          <cell r="Y151">
            <v>6.8000000000000005E-2</v>
          </cell>
          <cell r="Z151">
            <v>6.8000000000000005E-2</v>
          </cell>
          <cell r="AA151">
            <v>6.8000000000000005E-2</v>
          </cell>
          <cell r="AB151">
            <v>6.8000000000000005E-2</v>
          </cell>
          <cell r="AC151">
            <v>20000000</v>
          </cell>
          <cell r="AD151">
            <v>0</v>
          </cell>
          <cell r="AE151">
            <v>1041666.6666666667</v>
          </cell>
          <cell r="AF151">
            <v>5000000</v>
          </cell>
          <cell r="AG151">
            <v>5000000</v>
          </cell>
          <cell r="AH151">
            <v>5000000</v>
          </cell>
          <cell r="AI151">
            <v>0</v>
          </cell>
          <cell r="AJ151">
            <v>166666.66666666669</v>
          </cell>
          <cell r="AK151">
            <v>800000</v>
          </cell>
          <cell r="AL151">
            <v>800000</v>
          </cell>
          <cell r="AM151">
            <v>800000</v>
          </cell>
          <cell r="AN151">
            <v>0</v>
          </cell>
          <cell r="AO151">
            <v>70833.333333333343</v>
          </cell>
          <cell r="AP151">
            <v>340000</v>
          </cell>
          <cell r="AQ151">
            <v>340000</v>
          </cell>
          <cell r="AR151">
            <v>340000</v>
          </cell>
          <cell r="AT151" t="str">
            <v>OPP-928448 - Identified - New - IS4</v>
          </cell>
          <cell r="AU151">
            <v>1090833.3333333335</v>
          </cell>
          <cell r="AV151">
            <v>0</v>
          </cell>
          <cell r="AW151">
            <v>1090833.3333333335</v>
          </cell>
          <cell r="AX151">
            <v>0</v>
          </cell>
          <cell r="AZ151">
            <v>140</v>
          </cell>
          <cell r="BA151">
            <v>38</v>
          </cell>
          <cell r="BB151">
            <v>202</v>
          </cell>
        </row>
        <row r="152">
          <cell r="B152" t="str">
            <v>OPP-945866</v>
          </cell>
          <cell r="C152" t="str">
            <v>PM ASE SETA Support Services</v>
          </cell>
          <cell r="D152" t="str">
            <v>IS4</v>
          </cell>
          <cell r="E152" t="str">
            <v>IS4 Spectrum &amp; Infrastructure Assurance</v>
          </cell>
          <cell r="F152" t="str">
            <v>Army</v>
          </cell>
          <cell r="G152" t="str">
            <v>DOD</v>
          </cell>
          <cell r="H152">
            <v>44593</v>
          </cell>
          <cell r="I152">
            <v>44593</v>
          </cell>
          <cell r="J152">
            <v>46419</v>
          </cell>
          <cell r="K152" t="str">
            <v>Prime</v>
          </cell>
          <cell r="L152" t="str">
            <v>Cost Plus Fixed Fee</v>
          </cell>
          <cell r="M152" t="str">
            <v>Cost Reimbursable</v>
          </cell>
          <cell r="N152" t="str">
            <v>Identified - New</v>
          </cell>
          <cell r="O152" t="str">
            <v>01 Prospect</v>
          </cell>
          <cell r="P152" t="str">
            <v>Priority 2</v>
          </cell>
          <cell r="Q152">
            <v>0.3</v>
          </cell>
          <cell r="R152">
            <v>100000000</v>
          </cell>
          <cell r="S152">
            <v>0.16</v>
          </cell>
          <cell r="T152">
            <v>0.16</v>
          </cell>
          <cell r="U152">
            <v>0.16</v>
          </cell>
          <cell r="V152">
            <v>0.16</v>
          </cell>
          <cell r="W152">
            <v>0.16</v>
          </cell>
          <cell r="X152">
            <v>6.8000000000000005E-2</v>
          </cell>
          <cell r="Y152">
            <v>6.8000000000000005E-2</v>
          </cell>
          <cell r="Z152">
            <v>6.8000000000000005E-2</v>
          </cell>
          <cell r="AA152">
            <v>6.8000000000000005E-2</v>
          </cell>
          <cell r="AB152">
            <v>6.8000000000000005E-2</v>
          </cell>
          <cell r="AC152">
            <v>20000000</v>
          </cell>
          <cell r="AD152">
            <v>0</v>
          </cell>
          <cell r="AE152">
            <v>0</v>
          </cell>
          <cell r="AF152">
            <v>0</v>
          </cell>
          <cell r="AG152">
            <v>3983333.333333333</v>
          </cell>
          <cell r="AH152">
            <v>6000000</v>
          </cell>
          <cell r="AI152">
            <v>0</v>
          </cell>
          <cell r="AJ152">
            <v>0</v>
          </cell>
          <cell r="AK152">
            <v>0</v>
          </cell>
          <cell r="AL152">
            <v>637333.33333333326</v>
          </cell>
          <cell r="AM152">
            <v>960000</v>
          </cell>
          <cell r="AN152">
            <v>0</v>
          </cell>
          <cell r="AO152">
            <v>0</v>
          </cell>
          <cell r="AP152">
            <v>0</v>
          </cell>
          <cell r="AQ152">
            <v>270866.66666666669</v>
          </cell>
          <cell r="AR152">
            <v>408000.00000000006</v>
          </cell>
          <cell r="AT152" t="str">
            <v>OPP-945866 - Identified - New - IS4</v>
          </cell>
          <cell r="AU152">
            <v>678866.66666666674</v>
          </cell>
          <cell r="AV152">
            <v>0</v>
          </cell>
          <cell r="AW152">
            <v>678866.66666666674</v>
          </cell>
          <cell r="AX152">
            <v>0</v>
          </cell>
          <cell r="AZ152">
            <v>141</v>
          </cell>
          <cell r="BA152">
            <v>67</v>
          </cell>
          <cell r="BB152">
            <v>203</v>
          </cell>
        </row>
        <row r="153">
          <cell r="B153" t="str">
            <v>OPP-959216</v>
          </cell>
          <cell r="C153" t="str">
            <v>RS3-Multi-capable Aircraft and Ground Inter-Agency Collaboration (MAGIC)</v>
          </cell>
          <cell r="D153" t="str">
            <v>IS4</v>
          </cell>
          <cell r="E153" t="str">
            <v>IS4 Spectrum &amp; Infrastructure Assurance</v>
          </cell>
          <cell r="F153" t="str">
            <v>Air Force</v>
          </cell>
          <cell r="G153" t="str">
            <v>DOD</v>
          </cell>
          <cell r="H153">
            <v>45116</v>
          </cell>
          <cell r="I153">
            <v>45131</v>
          </cell>
          <cell r="J153">
            <v>46571</v>
          </cell>
          <cell r="K153" t="str">
            <v>Prime</v>
          </cell>
          <cell r="L153" t="str">
            <v>Fixed Price</v>
          </cell>
          <cell r="M153" t="str">
            <v>Fixed Price</v>
          </cell>
          <cell r="N153" t="str">
            <v>Identified - New</v>
          </cell>
          <cell r="O153" t="str">
            <v>01 Prospect</v>
          </cell>
          <cell r="P153" t="str">
            <v>Priority 1</v>
          </cell>
          <cell r="Q153">
            <v>0.25</v>
          </cell>
          <cell r="R153">
            <v>100000000</v>
          </cell>
          <cell r="S153">
            <v>0.17199999999999999</v>
          </cell>
          <cell r="T153">
            <v>0.17199999999999999</v>
          </cell>
          <cell r="U153">
            <v>0.17299999999999999</v>
          </cell>
          <cell r="V153">
            <v>0.17499999999999999</v>
          </cell>
          <cell r="W153">
            <v>0.18</v>
          </cell>
          <cell r="X153">
            <v>0.08</v>
          </cell>
          <cell r="Y153">
            <v>0.08</v>
          </cell>
          <cell r="Z153">
            <v>8.1000000000000003E-2</v>
          </cell>
          <cell r="AA153">
            <v>8.3000000000000004E-2</v>
          </cell>
          <cell r="AB153">
            <v>8.8000000000000009E-2</v>
          </cell>
          <cell r="AC153">
            <v>25369978.858350951</v>
          </cell>
          <cell r="AD153">
            <v>0</v>
          </cell>
          <cell r="AE153">
            <v>0</v>
          </cell>
          <cell r="AF153">
            <v>0</v>
          </cell>
          <cell r="AG153">
            <v>0</v>
          </cell>
          <cell r="AH153">
            <v>1162790.6976744186</v>
          </cell>
          <cell r="AI153">
            <v>0</v>
          </cell>
          <cell r="AJ153">
            <v>0</v>
          </cell>
          <cell r="AK153">
            <v>0</v>
          </cell>
          <cell r="AL153">
            <v>0</v>
          </cell>
          <cell r="AM153">
            <v>209302.32558139533</v>
          </cell>
          <cell r="AN153">
            <v>0</v>
          </cell>
          <cell r="AO153">
            <v>0</v>
          </cell>
          <cell r="AP153">
            <v>0</v>
          </cell>
          <cell r="AQ153">
            <v>0</v>
          </cell>
          <cell r="AR153">
            <v>102325.58139534884</v>
          </cell>
          <cell r="AT153" t="str">
            <v>OPP-959216 - Identified - New - IS4</v>
          </cell>
          <cell r="AU153">
            <v>102325.58139534884</v>
          </cell>
          <cell r="AV153">
            <v>0</v>
          </cell>
          <cell r="AW153">
            <v>102325.58139534884</v>
          </cell>
          <cell r="AX153">
            <v>0</v>
          </cell>
          <cell r="AZ153">
            <v>142</v>
          </cell>
          <cell r="BA153">
            <v>175</v>
          </cell>
          <cell r="BB153">
            <v>204</v>
          </cell>
        </row>
        <row r="154">
          <cell r="B154" t="str">
            <v>OPP-416170</v>
          </cell>
          <cell r="C154" t="str">
            <v>PAX - ISES - 16/10 - Shipboard Radio Comm Systems (AIR 4.5.10)</v>
          </cell>
          <cell r="D154" t="str">
            <v>IS4</v>
          </cell>
          <cell r="E154" t="str">
            <v>IS4 Spectrum &amp; Infrastructure Assurance</v>
          </cell>
          <cell r="F154" t="str">
            <v>Navy</v>
          </cell>
          <cell r="G154" t="str">
            <v>DOD</v>
          </cell>
          <cell r="H154">
            <v>45201</v>
          </cell>
          <cell r="I154">
            <v>45278</v>
          </cell>
          <cell r="J154">
            <v>47105</v>
          </cell>
          <cell r="K154" t="str">
            <v>Prime</v>
          </cell>
          <cell r="L154" t="str">
            <v>Cost Plus Fixed Fee</v>
          </cell>
          <cell r="M154" t="str">
            <v>Cost Reimbursable</v>
          </cell>
          <cell r="N154" t="str">
            <v>Identified - New</v>
          </cell>
          <cell r="O154" t="str">
            <v>01 Prospect</v>
          </cell>
          <cell r="P154" t="str">
            <v>Priority 2</v>
          </cell>
          <cell r="Q154">
            <v>0.1</v>
          </cell>
          <cell r="R154">
            <v>100000000</v>
          </cell>
          <cell r="S154">
            <v>0.16</v>
          </cell>
          <cell r="T154">
            <v>0.16</v>
          </cell>
          <cell r="U154">
            <v>0.16</v>
          </cell>
          <cell r="V154">
            <v>0.16</v>
          </cell>
          <cell r="W154">
            <v>0.16</v>
          </cell>
          <cell r="X154">
            <v>6.8000000000000005E-2</v>
          </cell>
          <cell r="Y154">
            <v>6.8000000000000005E-2</v>
          </cell>
          <cell r="Z154">
            <v>6.8000000000000005E-2</v>
          </cell>
          <cell r="AA154">
            <v>6.8000000000000005E-2</v>
          </cell>
          <cell r="AB154">
            <v>6.8000000000000005E-2</v>
          </cell>
          <cell r="AC154">
            <v>20000000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T154" t="str">
            <v>OPP-416170 - Identified - New - IS4</v>
          </cell>
          <cell r="AU154">
            <v>0</v>
          </cell>
          <cell r="AV154">
            <v>0</v>
          </cell>
          <cell r="AW154">
            <v>0</v>
          </cell>
          <cell r="AX154">
            <v>0</v>
          </cell>
          <cell r="AZ154">
            <v>143</v>
          </cell>
          <cell r="BA154">
            <v>375</v>
          </cell>
          <cell r="BB154">
            <v>205</v>
          </cell>
        </row>
        <row r="155">
          <cell r="B155" t="str">
            <v>OPP-919922</v>
          </cell>
          <cell r="C155" t="str">
            <v>IAC TAT-1857 Future Capabilities for PACAF (PACAF A5/8)</v>
          </cell>
          <cell r="D155" t="str">
            <v>IS4</v>
          </cell>
          <cell r="E155" t="str">
            <v>IS4 Spectrum &amp; Infrastructure Assurance</v>
          </cell>
          <cell r="F155" t="str">
            <v>Other DOD</v>
          </cell>
          <cell r="G155" t="str">
            <v>DOD</v>
          </cell>
          <cell r="H155">
            <v>43696</v>
          </cell>
          <cell r="I155">
            <v>43731</v>
          </cell>
          <cell r="J155">
            <v>45558</v>
          </cell>
          <cell r="K155" t="str">
            <v>Prime</v>
          </cell>
          <cell r="L155" t="str">
            <v>Cost Plus Fixed Fee</v>
          </cell>
          <cell r="M155" t="str">
            <v>Cost Reimbursable</v>
          </cell>
          <cell r="N155" t="str">
            <v>Identified - New</v>
          </cell>
          <cell r="O155" t="str">
            <v>03 Proposal</v>
          </cell>
          <cell r="P155" t="str">
            <v>Priority 2</v>
          </cell>
          <cell r="Q155">
            <v>0.5</v>
          </cell>
          <cell r="R155">
            <v>99900000</v>
          </cell>
          <cell r="S155">
            <v>0.16</v>
          </cell>
          <cell r="T155">
            <v>0.16</v>
          </cell>
          <cell r="U155">
            <v>0.16</v>
          </cell>
          <cell r="V155">
            <v>0.16</v>
          </cell>
          <cell r="W155">
            <v>0.16</v>
          </cell>
          <cell r="X155">
            <v>6.8000000000000005E-2</v>
          </cell>
          <cell r="Y155">
            <v>6.8000000000000005E-2</v>
          </cell>
          <cell r="Z155">
            <v>6.8000000000000005E-2</v>
          </cell>
          <cell r="AA155">
            <v>6.8000000000000005E-2</v>
          </cell>
          <cell r="AB155">
            <v>6.8000000000000005E-2</v>
          </cell>
          <cell r="AC155">
            <v>19980000</v>
          </cell>
          <cell r="AD155">
            <v>0</v>
          </cell>
          <cell r="AE155">
            <v>9990000</v>
          </cell>
          <cell r="AF155">
            <v>9990000</v>
          </cell>
          <cell r="AG155">
            <v>9990000</v>
          </cell>
          <cell r="AH155">
            <v>9990000</v>
          </cell>
          <cell r="AI155">
            <v>0</v>
          </cell>
          <cell r="AJ155">
            <v>1598400</v>
          </cell>
          <cell r="AK155">
            <v>1598400</v>
          </cell>
          <cell r="AL155">
            <v>1598400</v>
          </cell>
          <cell r="AM155">
            <v>1598400</v>
          </cell>
          <cell r="AN155">
            <v>0</v>
          </cell>
          <cell r="AO155">
            <v>679320</v>
          </cell>
          <cell r="AP155">
            <v>679320</v>
          </cell>
          <cell r="AQ155">
            <v>679320</v>
          </cell>
          <cell r="AR155">
            <v>679320</v>
          </cell>
          <cell r="AT155" t="str">
            <v>OPP-919922 - Identified - New - IS4</v>
          </cell>
          <cell r="AU155">
            <v>2717280</v>
          </cell>
          <cell r="AV155">
            <v>0</v>
          </cell>
          <cell r="AW155">
            <v>2717280</v>
          </cell>
          <cell r="AX155">
            <v>0</v>
          </cell>
          <cell r="AZ155">
            <v>144</v>
          </cell>
          <cell r="BA155">
            <v>7</v>
          </cell>
          <cell r="BB155">
            <v>206</v>
          </cell>
        </row>
        <row r="156">
          <cell r="B156" t="str">
            <v>OPP-927064</v>
          </cell>
          <cell r="C156" t="str">
            <v>NSWC Crane GXP TAT</v>
          </cell>
          <cell r="D156" t="str">
            <v>IS4</v>
          </cell>
          <cell r="E156" t="str">
            <v>IS4 Spectrum &amp; Infrastructure Assurance</v>
          </cell>
          <cell r="F156" t="str">
            <v>Navy</v>
          </cell>
          <cell r="G156" t="str">
            <v>DOD</v>
          </cell>
          <cell r="H156">
            <v>43768</v>
          </cell>
          <cell r="I156">
            <v>43798</v>
          </cell>
          <cell r="J156">
            <v>44894</v>
          </cell>
          <cell r="K156" t="str">
            <v>Prime</v>
          </cell>
          <cell r="L156" t="str">
            <v>Cost Plus Fixed Fee</v>
          </cell>
          <cell r="M156" t="str">
            <v>Cost Reimbursable</v>
          </cell>
          <cell r="N156" t="str">
            <v>Identified - New</v>
          </cell>
          <cell r="O156" t="str">
            <v>02 Capture</v>
          </cell>
          <cell r="P156" t="str">
            <v>Priority 2</v>
          </cell>
          <cell r="Q156">
            <v>0.3</v>
          </cell>
          <cell r="R156">
            <v>99000000</v>
          </cell>
          <cell r="S156">
            <v>0.16</v>
          </cell>
          <cell r="T156">
            <v>0.16</v>
          </cell>
          <cell r="U156">
            <v>0.16</v>
          </cell>
          <cell r="V156">
            <v>0.16</v>
          </cell>
          <cell r="W156">
            <v>0.16</v>
          </cell>
          <cell r="X156">
            <v>6.8000000000000005E-2</v>
          </cell>
          <cell r="Y156">
            <v>6.8000000000000005E-2</v>
          </cell>
          <cell r="Z156">
            <v>6.8000000000000005E-2</v>
          </cell>
          <cell r="AA156">
            <v>6.8000000000000005E-2</v>
          </cell>
          <cell r="AB156">
            <v>6.8000000000000005E-2</v>
          </cell>
          <cell r="AC156">
            <v>33000000</v>
          </cell>
          <cell r="AD156">
            <v>0</v>
          </cell>
          <cell r="AE156">
            <v>8277500</v>
          </cell>
          <cell r="AF156">
            <v>9900000</v>
          </cell>
          <cell r="AG156">
            <v>9900000</v>
          </cell>
          <cell r="AH156">
            <v>1622500</v>
          </cell>
          <cell r="AI156">
            <v>0</v>
          </cell>
          <cell r="AJ156">
            <v>1324400</v>
          </cell>
          <cell r="AK156">
            <v>1584000</v>
          </cell>
          <cell r="AL156">
            <v>1584000</v>
          </cell>
          <cell r="AM156">
            <v>259600</v>
          </cell>
          <cell r="AN156">
            <v>0</v>
          </cell>
          <cell r="AO156">
            <v>562870</v>
          </cell>
          <cell r="AP156">
            <v>673200</v>
          </cell>
          <cell r="AQ156">
            <v>673200</v>
          </cell>
          <cell r="AR156">
            <v>110330.00000000001</v>
          </cell>
          <cell r="AT156" t="str">
            <v>OPP-927064 - Identified - New - IS4</v>
          </cell>
          <cell r="AU156">
            <v>2019600</v>
          </cell>
          <cell r="AV156">
            <v>0</v>
          </cell>
          <cell r="AW156">
            <v>2019600</v>
          </cell>
          <cell r="AX156">
            <v>0</v>
          </cell>
          <cell r="AZ156">
            <v>145</v>
          </cell>
          <cell r="BA156">
            <v>12</v>
          </cell>
          <cell r="BB156">
            <v>207</v>
          </cell>
        </row>
        <row r="157">
          <cell r="B157" t="str">
            <v>OPP-926963</v>
          </cell>
          <cell r="C157" t="str">
            <v>SEA 21 Technical Analysis-DTIC MAC</v>
          </cell>
          <cell r="D157" t="str">
            <v>IS4</v>
          </cell>
          <cell r="E157" t="str">
            <v>IS4 Sustainment Engineering and Acquisition</v>
          </cell>
          <cell r="F157" t="str">
            <v>Navy</v>
          </cell>
          <cell r="G157" t="str">
            <v>DOD</v>
          </cell>
          <cell r="H157">
            <v>43810</v>
          </cell>
          <cell r="I157">
            <v>43811</v>
          </cell>
          <cell r="J157">
            <v>45638</v>
          </cell>
          <cell r="K157" t="str">
            <v>Prime</v>
          </cell>
          <cell r="L157" t="str">
            <v>Cost Plus Fixed Fee</v>
          </cell>
          <cell r="M157" t="str">
            <v>Cost Reimbursable</v>
          </cell>
          <cell r="N157" t="str">
            <v>Identified - New</v>
          </cell>
          <cell r="O157" t="str">
            <v>02 Capture</v>
          </cell>
          <cell r="P157" t="str">
            <v>Priority 2</v>
          </cell>
          <cell r="Q157">
            <v>0.25</v>
          </cell>
          <cell r="R157">
            <v>98000000</v>
          </cell>
          <cell r="S157">
            <v>0.16</v>
          </cell>
          <cell r="T157">
            <v>0.16</v>
          </cell>
          <cell r="U157">
            <v>0.16</v>
          </cell>
          <cell r="V157">
            <v>0.16</v>
          </cell>
          <cell r="W157">
            <v>0.16</v>
          </cell>
          <cell r="X157">
            <v>6.8000000000000005E-2</v>
          </cell>
          <cell r="Y157">
            <v>6.8000000000000005E-2</v>
          </cell>
          <cell r="Z157">
            <v>6.8000000000000005E-2</v>
          </cell>
          <cell r="AA157">
            <v>6.8000000000000005E-2</v>
          </cell>
          <cell r="AB157">
            <v>6.8000000000000005E-2</v>
          </cell>
          <cell r="AC157">
            <v>19600000</v>
          </cell>
          <cell r="AD157">
            <v>0</v>
          </cell>
          <cell r="AE157">
            <v>3920000</v>
          </cell>
          <cell r="AF157">
            <v>4900000</v>
          </cell>
          <cell r="AG157">
            <v>4900000</v>
          </cell>
          <cell r="AH157">
            <v>4900000</v>
          </cell>
          <cell r="AI157">
            <v>0</v>
          </cell>
          <cell r="AJ157">
            <v>627200</v>
          </cell>
          <cell r="AK157">
            <v>784000</v>
          </cell>
          <cell r="AL157">
            <v>784000</v>
          </cell>
          <cell r="AM157">
            <v>784000</v>
          </cell>
          <cell r="AN157">
            <v>0</v>
          </cell>
          <cell r="AO157">
            <v>266560</v>
          </cell>
          <cell r="AP157">
            <v>333200</v>
          </cell>
          <cell r="AQ157">
            <v>333200</v>
          </cell>
          <cell r="AR157">
            <v>333200</v>
          </cell>
          <cell r="AT157" t="str">
            <v>OPP-926963 - Identified - New - IS4</v>
          </cell>
          <cell r="AU157">
            <v>1266160</v>
          </cell>
          <cell r="AV157">
            <v>0</v>
          </cell>
          <cell r="AW157">
            <v>1266160</v>
          </cell>
          <cell r="AX157">
            <v>0</v>
          </cell>
          <cell r="AZ157">
            <v>146</v>
          </cell>
          <cell r="BA157">
            <v>31</v>
          </cell>
          <cell r="BB157">
            <v>208</v>
          </cell>
        </row>
        <row r="158">
          <cell r="B158" t="str">
            <v>OPP-959233</v>
          </cell>
          <cell r="C158" t="str">
            <v>RS3-19-0042 CCDC PRD Sustaining Engineering Support</v>
          </cell>
          <cell r="D158" t="str">
            <v>IS4</v>
          </cell>
          <cell r="E158" t="str">
            <v>IS4 Spectrum &amp; Infrastructure Assurance</v>
          </cell>
          <cell r="F158" t="str">
            <v>Air Force</v>
          </cell>
          <cell r="G158" t="str">
            <v>DOD</v>
          </cell>
          <cell r="H158">
            <v>43895</v>
          </cell>
          <cell r="I158">
            <v>43926</v>
          </cell>
          <cell r="J158">
            <v>45752</v>
          </cell>
          <cell r="K158" t="str">
            <v>Prime</v>
          </cell>
          <cell r="L158" t="str">
            <v>Cost Plus Fixed Fee</v>
          </cell>
          <cell r="M158" t="str">
            <v>Cost Reimbursable</v>
          </cell>
          <cell r="N158" t="str">
            <v>Identified - New</v>
          </cell>
          <cell r="O158" t="str">
            <v>01 Prospect</v>
          </cell>
          <cell r="P158" t="str">
            <v>Priority 2</v>
          </cell>
          <cell r="Q158">
            <v>0.25</v>
          </cell>
          <cell r="R158">
            <v>96000000</v>
          </cell>
          <cell r="S158">
            <v>0.16</v>
          </cell>
          <cell r="T158">
            <v>0.16</v>
          </cell>
          <cell r="U158">
            <v>0.16</v>
          </cell>
          <cell r="V158">
            <v>0.16</v>
          </cell>
          <cell r="W158">
            <v>0.16</v>
          </cell>
          <cell r="X158">
            <v>6.8000000000000005E-2</v>
          </cell>
          <cell r="Y158">
            <v>6.8000000000000005E-2</v>
          </cell>
          <cell r="Z158">
            <v>6.8000000000000005E-2</v>
          </cell>
          <cell r="AA158">
            <v>6.8000000000000005E-2</v>
          </cell>
          <cell r="AB158">
            <v>6.8000000000000005E-2</v>
          </cell>
          <cell r="AC158">
            <v>19200000</v>
          </cell>
          <cell r="AD158">
            <v>0</v>
          </cell>
          <cell r="AE158">
            <v>2333333.3333333335</v>
          </cell>
          <cell r="AF158">
            <v>4800000</v>
          </cell>
          <cell r="AG158">
            <v>4800000</v>
          </cell>
          <cell r="AH158">
            <v>4800000</v>
          </cell>
          <cell r="AI158">
            <v>0</v>
          </cell>
          <cell r="AJ158">
            <v>373333.33333333337</v>
          </cell>
          <cell r="AK158">
            <v>768000</v>
          </cell>
          <cell r="AL158">
            <v>768000</v>
          </cell>
          <cell r="AM158">
            <v>768000</v>
          </cell>
          <cell r="AN158">
            <v>0</v>
          </cell>
          <cell r="AO158">
            <v>158666.66666666669</v>
          </cell>
          <cell r="AP158">
            <v>326400</v>
          </cell>
          <cell r="AQ158">
            <v>326400</v>
          </cell>
          <cell r="AR158">
            <v>326400</v>
          </cell>
          <cell r="AT158" t="str">
            <v>OPP-959233 - Identified - New - IS4</v>
          </cell>
          <cell r="AU158">
            <v>1137866.6666666667</v>
          </cell>
          <cell r="AV158">
            <v>0</v>
          </cell>
          <cell r="AW158">
            <v>1137866.6666666667</v>
          </cell>
          <cell r="AX158">
            <v>0</v>
          </cell>
          <cell r="AZ158">
            <v>147</v>
          </cell>
          <cell r="BA158">
            <v>36</v>
          </cell>
          <cell r="BB158">
            <v>209</v>
          </cell>
        </row>
        <row r="159">
          <cell r="B159" t="str">
            <v>OPP-938050</v>
          </cell>
          <cell r="C159" t="str">
            <v>NSWC Crane IAC-MAC 1953 M EOTD</v>
          </cell>
          <cell r="D159" t="str">
            <v>IS4</v>
          </cell>
          <cell r="E159" t="str">
            <v>IS4 Spectrum &amp; Infrastructure Assurance</v>
          </cell>
          <cell r="F159" t="str">
            <v>Navy</v>
          </cell>
          <cell r="G159" t="str">
            <v>DOD</v>
          </cell>
          <cell r="H159">
            <v>43840</v>
          </cell>
          <cell r="I159">
            <v>43854</v>
          </cell>
          <cell r="J159">
            <v>45681</v>
          </cell>
          <cell r="K159" t="str">
            <v>Prime</v>
          </cell>
          <cell r="L159" t="str">
            <v>Cost Plus Fixed Fee</v>
          </cell>
          <cell r="M159" t="str">
            <v>Cost Reimbursable</v>
          </cell>
          <cell r="N159" t="str">
            <v>Identified - New</v>
          </cell>
          <cell r="O159" t="str">
            <v>01 Prospect</v>
          </cell>
          <cell r="P159" t="str">
            <v>Priority 2</v>
          </cell>
          <cell r="Q159">
            <v>0.5</v>
          </cell>
          <cell r="R159">
            <v>94000000</v>
          </cell>
          <cell r="S159">
            <v>0.16</v>
          </cell>
          <cell r="T159">
            <v>0.16</v>
          </cell>
          <cell r="U159">
            <v>0.16</v>
          </cell>
          <cell r="V159">
            <v>0.16</v>
          </cell>
          <cell r="W159">
            <v>0.16</v>
          </cell>
          <cell r="X159">
            <v>6.8000000000000005E-2</v>
          </cell>
          <cell r="Y159">
            <v>6.8000000000000005E-2</v>
          </cell>
          <cell r="Z159">
            <v>6.8000000000000005E-2</v>
          </cell>
          <cell r="AA159">
            <v>6.8000000000000005E-2</v>
          </cell>
          <cell r="AB159">
            <v>6.8000000000000005E-2</v>
          </cell>
          <cell r="AC159">
            <v>18800000</v>
          </cell>
          <cell r="AD159">
            <v>0</v>
          </cell>
          <cell r="AE159">
            <v>6423333.333333333</v>
          </cell>
          <cell r="AF159">
            <v>9400000</v>
          </cell>
          <cell r="AG159">
            <v>9400000</v>
          </cell>
          <cell r="AH159">
            <v>9400000</v>
          </cell>
          <cell r="AI159">
            <v>0</v>
          </cell>
          <cell r="AJ159">
            <v>1027733.3333333333</v>
          </cell>
          <cell r="AK159">
            <v>1504000</v>
          </cell>
          <cell r="AL159">
            <v>1504000</v>
          </cell>
          <cell r="AM159">
            <v>1504000</v>
          </cell>
          <cell r="AN159">
            <v>0</v>
          </cell>
          <cell r="AO159">
            <v>436786.66666666669</v>
          </cell>
          <cell r="AP159">
            <v>639200</v>
          </cell>
          <cell r="AQ159">
            <v>639200</v>
          </cell>
          <cell r="AR159">
            <v>639200</v>
          </cell>
          <cell r="AT159" t="str">
            <v>OPP-938050 - Identified - New - IS4</v>
          </cell>
          <cell r="AU159">
            <v>2354386.666666667</v>
          </cell>
          <cell r="AV159">
            <v>0</v>
          </cell>
          <cell r="AW159">
            <v>2354386.666666667</v>
          </cell>
          <cell r="AX159">
            <v>0</v>
          </cell>
          <cell r="AZ159">
            <v>148</v>
          </cell>
          <cell r="BA159">
            <v>9</v>
          </cell>
          <cell r="BB159">
            <v>210</v>
          </cell>
        </row>
        <row r="160">
          <cell r="B160" t="str">
            <v>OPP-928452</v>
          </cell>
          <cell r="C160" t="str">
            <v>RS-19-0044 SPECTRE-Sensor Programs and Engineering Containing Technologies and Research Efforts</v>
          </cell>
          <cell r="D160" t="str">
            <v>IS4</v>
          </cell>
          <cell r="E160" t="str">
            <v>IS4 Spectrum &amp; Infrastructure Assurance</v>
          </cell>
          <cell r="F160" t="str">
            <v>Army</v>
          </cell>
          <cell r="G160" t="str">
            <v>DOD</v>
          </cell>
          <cell r="H160">
            <v>44105</v>
          </cell>
          <cell r="I160">
            <v>44105</v>
          </cell>
          <cell r="J160">
            <v>45931</v>
          </cell>
          <cell r="K160" t="str">
            <v>Prime</v>
          </cell>
          <cell r="L160" t="str">
            <v>Cost Plus Fixed Fee</v>
          </cell>
          <cell r="M160" t="str">
            <v>Cost Reimbursable</v>
          </cell>
          <cell r="N160" t="str">
            <v>Identified - New</v>
          </cell>
          <cell r="O160" t="str">
            <v>01 Prospect</v>
          </cell>
          <cell r="P160" t="str">
            <v>Priority 2</v>
          </cell>
          <cell r="Q160">
            <v>0.25</v>
          </cell>
          <cell r="R160">
            <v>94000000</v>
          </cell>
          <cell r="S160">
            <v>0.16</v>
          </cell>
          <cell r="T160">
            <v>0.16</v>
          </cell>
          <cell r="U160">
            <v>0.16</v>
          </cell>
          <cell r="V160">
            <v>0.16</v>
          </cell>
          <cell r="W160">
            <v>0.16</v>
          </cell>
          <cell r="X160">
            <v>6.8000000000000005E-2</v>
          </cell>
          <cell r="Y160">
            <v>6.8000000000000005E-2</v>
          </cell>
          <cell r="Z160">
            <v>6.8000000000000005E-2</v>
          </cell>
          <cell r="AA160">
            <v>6.8000000000000005E-2</v>
          </cell>
          <cell r="AB160">
            <v>6.8000000000000005E-2</v>
          </cell>
          <cell r="AC160">
            <v>18800000</v>
          </cell>
          <cell r="AD160">
            <v>0</v>
          </cell>
          <cell r="AE160">
            <v>0</v>
          </cell>
          <cell r="AF160">
            <v>4686944.444444444</v>
          </cell>
          <cell r="AG160">
            <v>4700000</v>
          </cell>
          <cell r="AH160">
            <v>4700000</v>
          </cell>
          <cell r="AI160">
            <v>0</v>
          </cell>
          <cell r="AJ160">
            <v>0</v>
          </cell>
          <cell r="AK160">
            <v>749911.11111111101</v>
          </cell>
          <cell r="AL160">
            <v>752000</v>
          </cell>
          <cell r="AM160">
            <v>752000</v>
          </cell>
          <cell r="AN160">
            <v>0</v>
          </cell>
          <cell r="AO160">
            <v>0</v>
          </cell>
          <cell r="AP160">
            <v>318712.22222222219</v>
          </cell>
          <cell r="AQ160">
            <v>319600</v>
          </cell>
          <cell r="AR160">
            <v>319600</v>
          </cell>
          <cell r="AT160" t="str">
            <v>OPP-928452 - Identified - New - IS4</v>
          </cell>
          <cell r="AU160">
            <v>957912.22222222225</v>
          </cell>
          <cell r="AV160">
            <v>0</v>
          </cell>
          <cell r="AW160">
            <v>957912.22222222225</v>
          </cell>
          <cell r="AX160">
            <v>0</v>
          </cell>
          <cell r="AZ160">
            <v>149</v>
          </cell>
          <cell r="BA160">
            <v>50</v>
          </cell>
          <cell r="BB160">
            <v>211</v>
          </cell>
        </row>
        <row r="161">
          <cell r="B161" t="str">
            <v>OPP-941620</v>
          </cell>
          <cell r="C161" t="str">
            <v>USARPAC G6</v>
          </cell>
          <cell r="D161" t="str">
            <v>IS4</v>
          </cell>
          <cell r="E161" t="str">
            <v>IS4 Spectrum &amp; Infrastructure Assurance</v>
          </cell>
          <cell r="F161" t="str">
            <v>Other Civilian</v>
          </cell>
          <cell r="G161" t="str">
            <v>Other</v>
          </cell>
          <cell r="H161">
            <v>43784</v>
          </cell>
          <cell r="I161">
            <v>43808</v>
          </cell>
          <cell r="J161">
            <v>45635</v>
          </cell>
          <cell r="K161" t="str">
            <v>Sub</v>
          </cell>
          <cell r="L161" t="str">
            <v>Cost Plus Award Fee</v>
          </cell>
          <cell r="M161" t="str">
            <v>Cost Reimbursable</v>
          </cell>
          <cell r="N161" t="str">
            <v>Identified - New</v>
          </cell>
          <cell r="O161" t="str">
            <v>01 Prospect</v>
          </cell>
          <cell r="P161" t="str">
            <v>Priority 2</v>
          </cell>
          <cell r="Q161">
            <v>0.3</v>
          </cell>
          <cell r="R161">
            <v>90000000</v>
          </cell>
          <cell r="S161">
            <v>0.152</v>
          </cell>
          <cell r="T161">
            <v>0.152</v>
          </cell>
          <cell r="U161">
            <v>0.17199999999999999</v>
          </cell>
          <cell r="V161">
            <v>0.17199999999999999</v>
          </cell>
          <cell r="W161">
            <v>0.17199999999999999</v>
          </cell>
          <cell r="X161">
            <v>0.06</v>
          </cell>
          <cell r="Y161">
            <v>0.06</v>
          </cell>
          <cell r="Z161">
            <v>0.08</v>
          </cell>
          <cell r="AA161">
            <v>0.08</v>
          </cell>
          <cell r="AB161">
            <v>0.08</v>
          </cell>
          <cell r="AC161">
            <v>18000000</v>
          </cell>
          <cell r="AD161">
            <v>0</v>
          </cell>
          <cell r="AE161">
            <v>4365000</v>
          </cell>
          <cell r="AF161">
            <v>5400000</v>
          </cell>
          <cell r="AG161">
            <v>5400000</v>
          </cell>
          <cell r="AH161">
            <v>5400000</v>
          </cell>
          <cell r="AI161">
            <v>0</v>
          </cell>
          <cell r="AJ161">
            <v>663480</v>
          </cell>
          <cell r="AK161">
            <v>928799.99999999988</v>
          </cell>
          <cell r="AL161">
            <v>928799.99999999988</v>
          </cell>
          <cell r="AM161">
            <v>928799.99999999988</v>
          </cell>
          <cell r="AN161">
            <v>0</v>
          </cell>
          <cell r="AO161">
            <v>261900</v>
          </cell>
          <cell r="AP161">
            <v>432000</v>
          </cell>
          <cell r="AQ161">
            <v>432000</v>
          </cell>
          <cell r="AR161">
            <v>432000</v>
          </cell>
          <cell r="AT161" t="str">
            <v>OPP-941620 - Identified - New - IS4</v>
          </cell>
          <cell r="AU161">
            <v>1557900</v>
          </cell>
          <cell r="AV161">
            <v>0</v>
          </cell>
          <cell r="AW161">
            <v>1557900</v>
          </cell>
          <cell r="AX161">
            <v>0</v>
          </cell>
          <cell r="AZ161">
            <v>150</v>
          </cell>
          <cell r="BA161">
            <v>24</v>
          </cell>
          <cell r="BB161">
            <v>212</v>
          </cell>
        </row>
        <row r="162">
          <cell r="B162" t="str">
            <v>OPP-951197</v>
          </cell>
          <cell r="C162" t="str">
            <v>NSWCDD A30 Cyber Security Eng</v>
          </cell>
          <cell r="D162" t="str">
            <v>IS4</v>
          </cell>
          <cell r="E162" t="str">
            <v>IS4 Spectrum &amp; Infrastructure Assurance</v>
          </cell>
          <cell r="F162" t="str">
            <v>Navy</v>
          </cell>
          <cell r="G162" t="str">
            <v>DOD</v>
          </cell>
          <cell r="H162">
            <v>44043</v>
          </cell>
          <cell r="I162">
            <v>44071</v>
          </cell>
          <cell r="J162">
            <v>45897</v>
          </cell>
          <cell r="K162" t="str">
            <v>Sub</v>
          </cell>
          <cell r="L162" t="str">
            <v>Cost Plus Fixed Fee</v>
          </cell>
          <cell r="M162" t="str">
            <v>Cost Reimbursable</v>
          </cell>
          <cell r="N162" t="str">
            <v>Identified - New</v>
          </cell>
          <cell r="O162" t="str">
            <v>01 Prospect</v>
          </cell>
          <cell r="P162" t="str">
            <v>Priority 2</v>
          </cell>
          <cell r="Q162">
            <v>0.5</v>
          </cell>
          <cell r="R162">
            <v>90000000</v>
          </cell>
          <cell r="S162">
            <v>0.16</v>
          </cell>
          <cell r="T162">
            <v>0.16</v>
          </cell>
          <cell r="U162">
            <v>0.16</v>
          </cell>
          <cell r="V162">
            <v>0.16</v>
          </cell>
          <cell r="W162">
            <v>0.16</v>
          </cell>
          <cell r="X162">
            <v>6.8000000000000005E-2</v>
          </cell>
          <cell r="Y162">
            <v>6.8000000000000005E-2</v>
          </cell>
          <cell r="Z162">
            <v>6.8000000000000005E-2</v>
          </cell>
          <cell r="AA162">
            <v>6.8000000000000005E-2</v>
          </cell>
          <cell r="AB162">
            <v>6.8000000000000005E-2</v>
          </cell>
          <cell r="AC162">
            <v>18000000</v>
          </cell>
          <cell r="AD162">
            <v>0</v>
          </cell>
          <cell r="AE162">
            <v>800000</v>
          </cell>
          <cell r="AF162">
            <v>9000000</v>
          </cell>
          <cell r="AG162">
            <v>9000000</v>
          </cell>
          <cell r="AH162">
            <v>9000000</v>
          </cell>
          <cell r="AI162">
            <v>0</v>
          </cell>
          <cell r="AJ162">
            <v>128000</v>
          </cell>
          <cell r="AK162">
            <v>1440000</v>
          </cell>
          <cell r="AL162">
            <v>1440000</v>
          </cell>
          <cell r="AM162">
            <v>1440000</v>
          </cell>
          <cell r="AN162">
            <v>0</v>
          </cell>
          <cell r="AO162">
            <v>54400.000000000007</v>
          </cell>
          <cell r="AP162">
            <v>612000</v>
          </cell>
          <cell r="AQ162">
            <v>612000</v>
          </cell>
          <cell r="AR162">
            <v>612000</v>
          </cell>
          <cell r="AT162" t="str">
            <v>OPP-951197 - Identified - New - IS4</v>
          </cell>
          <cell r="AU162">
            <v>1890400</v>
          </cell>
          <cell r="AV162">
            <v>0</v>
          </cell>
          <cell r="AW162">
            <v>1890400</v>
          </cell>
          <cell r="AX162">
            <v>0</v>
          </cell>
          <cell r="AZ162">
            <v>151</v>
          </cell>
          <cell r="BA162">
            <v>16</v>
          </cell>
          <cell r="BB162">
            <v>213</v>
          </cell>
        </row>
        <row r="163">
          <cell r="B163" t="str">
            <v>OPP-630159</v>
          </cell>
          <cell r="C163" t="str">
            <v>NSWCDD Aegis Combat System T&amp;E (Mantech Recompete)</v>
          </cell>
          <cell r="D163" t="str">
            <v>IS4</v>
          </cell>
          <cell r="E163" t="str">
            <v>IS4 Spectrum &amp; Infrastructure Assurance</v>
          </cell>
          <cell r="F163" t="str">
            <v>Navy</v>
          </cell>
          <cell r="G163" t="str">
            <v>DOD</v>
          </cell>
          <cell r="H163">
            <v>44517</v>
          </cell>
          <cell r="I163">
            <v>44664</v>
          </cell>
          <cell r="J163">
            <v>46490</v>
          </cell>
          <cell r="K163" t="str">
            <v>Prime</v>
          </cell>
          <cell r="L163" t="str">
            <v>Cost Plus Award Fee</v>
          </cell>
          <cell r="M163" t="str">
            <v>Cost Reimbursable</v>
          </cell>
          <cell r="N163" t="str">
            <v>Identified - New</v>
          </cell>
          <cell r="O163" t="str">
            <v>01 Prospect</v>
          </cell>
          <cell r="P163" t="str">
            <v>Priority 2</v>
          </cell>
          <cell r="Q163">
            <v>0.1</v>
          </cell>
          <cell r="R163">
            <v>85000000</v>
          </cell>
          <cell r="S163">
            <v>0.152</v>
          </cell>
          <cell r="T163">
            <v>0.152</v>
          </cell>
          <cell r="U163">
            <v>0.17199999999999999</v>
          </cell>
          <cell r="V163">
            <v>0.17199999999999999</v>
          </cell>
          <cell r="W163">
            <v>0.17199999999999999</v>
          </cell>
          <cell r="X163">
            <v>0.06</v>
          </cell>
          <cell r="Y163">
            <v>0.06</v>
          </cell>
          <cell r="Z163">
            <v>0.08</v>
          </cell>
          <cell r="AA163">
            <v>0.08</v>
          </cell>
          <cell r="AB163">
            <v>0.08</v>
          </cell>
          <cell r="AC163">
            <v>17000000</v>
          </cell>
          <cell r="AD163">
            <v>0</v>
          </cell>
          <cell r="AE163">
            <v>0</v>
          </cell>
          <cell r="AF163">
            <v>0</v>
          </cell>
          <cell r="AG163">
            <v>788611.11111111112</v>
          </cell>
          <cell r="AH163">
            <v>1700000</v>
          </cell>
          <cell r="AI163">
            <v>0</v>
          </cell>
          <cell r="AJ163">
            <v>0</v>
          </cell>
          <cell r="AK163">
            <v>0</v>
          </cell>
          <cell r="AL163">
            <v>135641.11111111109</v>
          </cell>
          <cell r="AM163">
            <v>292400</v>
          </cell>
          <cell r="AN163">
            <v>0</v>
          </cell>
          <cell r="AO163">
            <v>0</v>
          </cell>
          <cell r="AP163">
            <v>0</v>
          </cell>
          <cell r="AQ163">
            <v>63088.888888888891</v>
          </cell>
          <cell r="AR163">
            <v>136000</v>
          </cell>
          <cell r="AT163" t="str">
            <v>OPP-630159 - Identified - New - IS4</v>
          </cell>
          <cell r="AU163">
            <v>199088.88888888888</v>
          </cell>
          <cell r="AV163">
            <v>0</v>
          </cell>
          <cell r="AW163">
            <v>199088.88888888888</v>
          </cell>
          <cell r="AX163">
            <v>0</v>
          </cell>
          <cell r="AZ163">
            <v>152</v>
          </cell>
          <cell r="BA163">
            <v>133</v>
          </cell>
          <cell r="BB163">
            <v>214</v>
          </cell>
        </row>
        <row r="164">
          <cell r="B164" t="str">
            <v>OPP-919925</v>
          </cell>
          <cell r="C164" t="str">
            <v>IAC TAT-1641 NAVAIR UAS Integration, Demonstration, and Prototyping</v>
          </cell>
          <cell r="D164" t="str">
            <v>IS4</v>
          </cell>
          <cell r="E164" t="str">
            <v>IS4 Spectrum &amp; Infrastructure Assurance</v>
          </cell>
          <cell r="F164" t="str">
            <v>Navy</v>
          </cell>
          <cell r="G164" t="str">
            <v>DOD</v>
          </cell>
          <cell r="H164">
            <v>43739</v>
          </cell>
          <cell r="I164">
            <v>43769</v>
          </cell>
          <cell r="J164">
            <v>45596</v>
          </cell>
          <cell r="K164" t="str">
            <v>Prime</v>
          </cell>
          <cell r="L164" t="str">
            <v>Cost Plus Fixed Fee</v>
          </cell>
          <cell r="M164" t="str">
            <v>Cost Reimbursable</v>
          </cell>
          <cell r="N164" t="str">
            <v>Identified - New</v>
          </cell>
          <cell r="O164" t="str">
            <v>02 Capture</v>
          </cell>
          <cell r="P164" t="str">
            <v>Priority 2</v>
          </cell>
          <cell r="Q164">
            <v>0.3</v>
          </cell>
          <cell r="R164">
            <v>81000000</v>
          </cell>
          <cell r="S164">
            <v>0.16</v>
          </cell>
          <cell r="T164">
            <v>0.16</v>
          </cell>
          <cell r="U164">
            <v>0.16</v>
          </cell>
          <cell r="V164">
            <v>0.16</v>
          </cell>
          <cell r="W164">
            <v>0.16</v>
          </cell>
          <cell r="X164">
            <v>6.8000000000000005E-2</v>
          </cell>
          <cell r="Y164">
            <v>6.8000000000000005E-2</v>
          </cell>
          <cell r="Z164">
            <v>6.8000000000000005E-2</v>
          </cell>
          <cell r="AA164">
            <v>6.8000000000000005E-2</v>
          </cell>
          <cell r="AB164">
            <v>6.8000000000000005E-2</v>
          </cell>
          <cell r="AC164">
            <v>16200000</v>
          </cell>
          <cell r="AD164">
            <v>0</v>
          </cell>
          <cell r="AE164">
            <v>4455000</v>
          </cell>
          <cell r="AF164">
            <v>4860000</v>
          </cell>
          <cell r="AG164">
            <v>4860000</v>
          </cell>
          <cell r="AH164">
            <v>4860000</v>
          </cell>
          <cell r="AI164">
            <v>0</v>
          </cell>
          <cell r="AJ164">
            <v>712800</v>
          </cell>
          <cell r="AK164">
            <v>777600</v>
          </cell>
          <cell r="AL164">
            <v>777600</v>
          </cell>
          <cell r="AM164">
            <v>777600</v>
          </cell>
          <cell r="AN164">
            <v>0</v>
          </cell>
          <cell r="AO164">
            <v>302940</v>
          </cell>
          <cell r="AP164">
            <v>330480</v>
          </cell>
          <cell r="AQ164">
            <v>330480</v>
          </cell>
          <cell r="AR164">
            <v>330480</v>
          </cell>
          <cell r="AT164" t="str">
            <v>OPP-919925 - Identified - New - IS4</v>
          </cell>
          <cell r="AU164">
            <v>1294380</v>
          </cell>
          <cell r="AV164">
            <v>0</v>
          </cell>
          <cell r="AW164">
            <v>1294380</v>
          </cell>
          <cell r="AX164">
            <v>0</v>
          </cell>
          <cell r="AZ164">
            <v>153</v>
          </cell>
          <cell r="BA164">
            <v>29</v>
          </cell>
          <cell r="BB164">
            <v>215</v>
          </cell>
        </row>
        <row r="165">
          <cell r="B165" t="str">
            <v>OPP-866312</v>
          </cell>
          <cell r="C165" t="str">
            <v>NETCENTS2: USAFCENT COMBINED AIR AND SPACE OPERATIONS CENTER COMMUNICATIONS SUPPORT (CAOC)</v>
          </cell>
          <cell r="D165" t="str">
            <v>IS4</v>
          </cell>
          <cell r="E165" t="str">
            <v>IS4 Engineering and Technology Services</v>
          </cell>
          <cell r="F165" t="str">
            <v>Air Force</v>
          </cell>
          <cell r="G165" t="str">
            <v>DOD</v>
          </cell>
          <cell r="H165">
            <v>43700</v>
          </cell>
          <cell r="I165">
            <v>43763</v>
          </cell>
          <cell r="J165">
            <v>45590</v>
          </cell>
          <cell r="K165" t="str">
            <v>Sub</v>
          </cell>
          <cell r="L165" t="str">
            <v>Hybrid/Mixed Cost-Plus/Fixed</v>
          </cell>
          <cell r="M165" t="str">
            <v>Other</v>
          </cell>
          <cell r="N165" t="str">
            <v>Identified - New</v>
          </cell>
          <cell r="O165" t="str">
            <v>04 Submitted</v>
          </cell>
          <cell r="P165" t="str">
            <v>Priority 2</v>
          </cell>
          <cell r="Q165">
            <v>0.3</v>
          </cell>
          <cell r="R165">
            <v>80000000</v>
          </cell>
          <cell r="S165">
            <v>0.14200000000000002</v>
          </cell>
          <cell r="T165">
            <v>0.14200000000000002</v>
          </cell>
          <cell r="U165">
            <v>0.14699999999999999</v>
          </cell>
          <cell r="V165">
            <v>0.152</v>
          </cell>
          <cell r="W165">
            <v>0.157</v>
          </cell>
          <cell r="X165">
            <v>0.05</v>
          </cell>
          <cell r="Y165">
            <v>0.05</v>
          </cell>
          <cell r="Z165">
            <v>5.5E-2</v>
          </cell>
          <cell r="AA165">
            <v>0.06</v>
          </cell>
          <cell r="AB165">
            <v>6.5000000000000002E-2</v>
          </cell>
          <cell r="AC165">
            <v>16000000</v>
          </cell>
          <cell r="AD165">
            <v>0</v>
          </cell>
          <cell r="AE165">
            <v>4466666.666666667</v>
          </cell>
          <cell r="AF165">
            <v>4800000</v>
          </cell>
          <cell r="AG165">
            <v>4800000</v>
          </cell>
          <cell r="AH165">
            <v>4800000</v>
          </cell>
          <cell r="AI165">
            <v>0</v>
          </cell>
          <cell r="AJ165">
            <v>634266.66666666674</v>
          </cell>
          <cell r="AK165">
            <v>705600</v>
          </cell>
          <cell r="AL165">
            <v>729600</v>
          </cell>
          <cell r="AM165">
            <v>753600</v>
          </cell>
          <cell r="AN165">
            <v>0</v>
          </cell>
          <cell r="AO165">
            <v>223333.33333333337</v>
          </cell>
          <cell r="AP165">
            <v>264000</v>
          </cell>
          <cell r="AQ165">
            <v>288000</v>
          </cell>
          <cell r="AR165">
            <v>312000</v>
          </cell>
          <cell r="AT165" t="str">
            <v>OPP-866312 - Identified - New - IS4</v>
          </cell>
          <cell r="AU165">
            <v>1087333.3333333335</v>
          </cell>
          <cell r="AV165">
            <v>0</v>
          </cell>
          <cell r="AW165">
            <v>1087333.3333333335</v>
          </cell>
          <cell r="AX165">
            <v>0</v>
          </cell>
          <cell r="AZ165">
            <v>154</v>
          </cell>
          <cell r="BA165">
            <v>39</v>
          </cell>
          <cell r="BB165">
            <v>216</v>
          </cell>
        </row>
        <row r="166">
          <cell r="B166" t="str">
            <v>OPP-947409</v>
          </cell>
          <cell r="C166" t="str">
            <v>IT70: TDM Decommissioning CONUS (50 Sites)</v>
          </cell>
          <cell r="D166" t="str">
            <v>IS4</v>
          </cell>
          <cell r="E166" t="str">
            <v>IS4 Engineering and Technology Services</v>
          </cell>
          <cell r="F166" t="str">
            <v>Army</v>
          </cell>
          <cell r="G166" t="str">
            <v>DOD</v>
          </cell>
          <cell r="H166">
            <v>43854</v>
          </cell>
          <cell r="I166">
            <v>43945</v>
          </cell>
          <cell r="J166">
            <v>45771</v>
          </cell>
          <cell r="K166" t="str">
            <v>Prime</v>
          </cell>
          <cell r="L166" t="str">
            <v>Hybrid/Mixed Cost-Plus/Fixed</v>
          </cell>
          <cell r="M166" t="str">
            <v>Other</v>
          </cell>
          <cell r="N166" t="str">
            <v>Identified - New</v>
          </cell>
          <cell r="O166" t="str">
            <v>01 Prospect</v>
          </cell>
          <cell r="P166" t="str">
            <v>Priority 2</v>
          </cell>
          <cell r="Q166">
            <v>0.3</v>
          </cell>
          <cell r="R166">
            <v>75000000</v>
          </cell>
          <cell r="S166">
            <v>0.152</v>
          </cell>
          <cell r="T166">
            <v>0.152</v>
          </cell>
          <cell r="U166">
            <v>0.157</v>
          </cell>
          <cell r="V166">
            <v>0.16200000000000001</v>
          </cell>
          <cell r="W166">
            <v>0.16700000000000001</v>
          </cell>
          <cell r="X166">
            <v>0.06</v>
          </cell>
          <cell r="Y166">
            <v>0.06</v>
          </cell>
          <cell r="Z166">
            <v>6.5000000000000002E-2</v>
          </cell>
          <cell r="AA166">
            <v>7.0000000000000007E-2</v>
          </cell>
          <cell r="AB166">
            <v>7.5000000000000011E-2</v>
          </cell>
          <cell r="AC166">
            <v>15000000</v>
          </cell>
          <cell r="AD166">
            <v>0</v>
          </cell>
          <cell r="AE166">
            <v>1950000</v>
          </cell>
          <cell r="AF166">
            <v>4500000</v>
          </cell>
          <cell r="AG166">
            <v>4500000</v>
          </cell>
          <cell r="AH166">
            <v>4500000</v>
          </cell>
          <cell r="AI166">
            <v>0</v>
          </cell>
          <cell r="AJ166">
            <v>296400</v>
          </cell>
          <cell r="AK166">
            <v>706500</v>
          </cell>
          <cell r="AL166">
            <v>729000</v>
          </cell>
          <cell r="AM166">
            <v>751500</v>
          </cell>
          <cell r="AN166">
            <v>0</v>
          </cell>
          <cell r="AO166">
            <v>117000</v>
          </cell>
          <cell r="AP166">
            <v>292500</v>
          </cell>
          <cell r="AQ166">
            <v>315000.00000000006</v>
          </cell>
          <cell r="AR166">
            <v>337500.00000000006</v>
          </cell>
          <cell r="AT166" t="str">
            <v>OPP-947409 - Identified - New - IS4</v>
          </cell>
          <cell r="AU166">
            <v>1062000</v>
          </cell>
          <cell r="AV166">
            <v>0</v>
          </cell>
          <cell r="AW166">
            <v>1062000</v>
          </cell>
          <cell r="AX166">
            <v>0</v>
          </cell>
          <cell r="AZ166">
            <v>155</v>
          </cell>
          <cell r="BA166">
            <v>42</v>
          </cell>
          <cell r="BB166">
            <v>217</v>
          </cell>
        </row>
        <row r="167">
          <cell r="B167" t="str">
            <v>OPP-945871</v>
          </cell>
          <cell r="C167" t="str">
            <v>RS3-XX-PM PNT SETA</v>
          </cell>
          <cell r="D167" t="str">
            <v>IS4</v>
          </cell>
          <cell r="E167" t="str">
            <v>IS4 Spectrum &amp; Infrastructure Assurance</v>
          </cell>
          <cell r="F167" t="str">
            <v>Army</v>
          </cell>
          <cell r="G167" t="str">
            <v>DOD</v>
          </cell>
          <cell r="H167">
            <v>44414</v>
          </cell>
          <cell r="I167">
            <v>44414</v>
          </cell>
          <cell r="J167">
            <v>46240</v>
          </cell>
          <cell r="K167" t="str">
            <v>Prime</v>
          </cell>
          <cell r="L167" t="str">
            <v>Cost Plus Fixed Fee</v>
          </cell>
          <cell r="M167" t="str">
            <v>Cost Reimbursable</v>
          </cell>
          <cell r="N167" t="str">
            <v>Identified - New</v>
          </cell>
          <cell r="O167" t="str">
            <v>01 Prospect</v>
          </cell>
          <cell r="P167" t="str">
            <v>Priority 2</v>
          </cell>
          <cell r="Q167">
            <v>0.25</v>
          </cell>
          <cell r="R167">
            <v>75000000</v>
          </cell>
          <cell r="S167">
            <v>0.16</v>
          </cell>
          <cell r="T167">
            <v>0.16</v>
          </cell>
          <cell r="U167">
            <v>0.16</v>
          </cell>
          <cell r="V167">
            <v>0.16</v>
          </cell>
          <cell r="W167">
            <v>0.16</v>
          </cell>
          <cell r="X167">
            <v>6.8000000000000005E-2</v>
          </cell>
          <cell r="Y167">
            <v>6.8000000000000005E-2</v>
          </cell>
          <cell r="Z167">
            <v>6.8000000000000005E-2</v>
          </cell>
          <cell r="AA167">
            <v>6.8000000000000005E-2</v>
          </cell>
          <cell r="AB167">
            <v>6.8000000000000005E-2</v>
          </cell>
          <cell r="AC167">
            <v>15000000</v>
          </cell>
          <cell r="AD167">
            <v>0</v>
          </cell>
          <cell r="AE167">
            <v>0</v>
          </cell>
          <cell r="AF167">
            <v>562500</v>
          </cell>
          <cell r="AG167">
            <v>3750000</v>
          </cell>
          <cell r="AH167">
            <v>3750000</v>
          </cell>
          <cell r="AI167">
            <v>0</v>
          </cell>
          <cell r="AJ167">
            <v>0</v>
          </cell>
          <cell r="AK167">
            <v>90000</v>
          </cell>
          <cell r="AL167">
            <v>600000</v>
          </cell>
          <cell r="AM167">
            <v>600000</v>
          </cell>
          <cell r="AN167">
            <v>0</v>
          </cell>
          <cell r="AO167">
            <v>0</v>
          </cell>
          <cell r="AP167">
            <v>38250</v>
          </cell>
          <cell r="AQ167">
            <v>255000.00000000003</v>
          </cell>
          <cell r="AR167">
            <v>255000.00000000003</v>
          </cell>
          <cell r="AT167" t="str">
            <v>OPP-945871 - Identified - New - IS4</v>
          </cell>
          <cell r="AU167">
            <v>548250</v>
          </cell>
          <cell r="AV167">
            <v>0</v>
          </cell>
          <cell r="AW167">
            <v>548250</v>
          </cell>
          <cell r="AX167">
            <v>0</v>
          </cell>
          <cell r="AZ167">
            <v>156</v>
          </cell>
          <cell r="BA167">
            <v>78</v>
          </cell>
          <cell r="BB167">
            <v>218</v>
          </cell>
        </row>
        <row r="168">
          <cell r="B168" t="str">
            <v>OPP-719775</v>
          </cell>
          <cell r="C168" t="str">
            <v>USMC MC2S SW Maintenance, Tech Analysis</v>
          </cell>
          <cell r="D168" t="str">
            <v>IS4</v>
          </cell>
          <cell r="E168" t="str">
            <v>IS4 Spectrum &amp; Infrastructure Assurance</v>
          </cell>
          <cell r="F168" t="str">
            <v>Marine Corps</v>
          </cell>
          <cell r="G168" t="str">
            <v>DOD</v>
          </cell>
          <cell r="H168">
            <v>44575</v>
          </cell>
          <cell r="I168">
            <v>44607</v>
          </cell>
          <cell r="J168">
            <v>46433</v>
          </cell>
          <cell r="K168" t="str">
            <v>Prime</v>
          </cell>
          <cell r="L168" t="str">
            <v>Cost Plus Fixed Fee; Fixed Price</v>
          </cell>
          <cell r="M168" t="str">
            <v>Cost Reimbursable</v>
          </cell>
          <cell r="N168" t="str">
            <v>Identified - New</v>
          </cell>
          <cell r="O168" t="str">
            <v>01 Prospect</v>
          </cell>
          <cell r="P168" t="str">
            <v>Priority 2</v>
          </cell>
          <cell r="Q168">
            <v>0.3</v>
          </cell>
          <cell r="R168">
            <v>75000000</v>
          </cell>
          <cell r="S168">
            <v>0.16</v>
          </cell>
          <cell r="T168">
            <v>0.16</v>
          </cell>
          <cell r="U168">
            <v>0.16</v>
          </cell>
          <cell r="V168">
            <v>0.16</v>
          </cell>
          <cell r="W168">
            <v>0.16</v>
          </cell>
          <cell r="X168">
            <v>6.8000000000000005E-2</v>
          </cell>
          <cell r="Y168">
            <v>6.8000000000000005E-2</v>
          </cell>
          <cell r="Z168">
            <v>6.8000000000000005E-2</v>
          </cell>
          <cell r="AA168">
            <v>6.8000000000000005E-2</v>
          </cell>
          <cell r="AB168">
            <v>6.8000000000000005E-2</v>
          </cell>
          <cell r="AC168">
            <v>15000000</v>
          </cell>
          <cell r="AD168">
            <v>0</v>
          </cell>
          <cell r="AE168">
            <v>0</v>
          </cell>
          <cell r="AF168">
            <v>0</v>
          </cell>
          <cell r="AG168">
            <v>2812500</v>
          </cell>
          <cell r="AH168">
            <v>4500000</v>
          </cell>
          <cell r="AI168">
            <v>0</v>
          </cell>
          <cell r="AJ168">
            <v>0</v>
          </cell>
          <cell r="AK168">
            <v>0</v>
          </cell>
          <cell r="AL168">
            <v>450000</v>
          </cell>
          <cell r="AM168">
            <v>720000</v>
          </cell>
          <cell r="AN168">
            <v>0</v>
          </cell>
          <cell r="AO168">
            <v>0</v>
          </cell>
          <cell r="AP168">
            <v>0</v>
          </cell>
          <cell r="AQ168">
            <v>191250</v>
          </cell>
          <cell r="AR168">
            <v>306000</v>
          </cell>
          <cell r="AT168" t="str">
            <v>OPP-719775 - Identified - New - IS4</v>
          </cell>
          <cell r="AU168">
            <v>497250</v>
          </cell>
          <cell r="AV168">
            <v>0</v>
          </cell>
          <cell r="AW168">
            <v>497250</v>
          </cell>
          <cell r="AX168">
            <v>0</v>
          </cell>
          <cell r="AZ168">
            <v>157</v>
          </cell>
          <cell r="BA168">
            <v>84</v>
          </cell>
          <cell r="BB168">
            <v>219</v>
          </cell>
        </row>
        <row r="169">
          <cell r="B169" t="str">
            <v>OPP-961336</v>
          </cell>
          <cell r="C169" t="str">
            <v>NSWCPHD Corporate Operations</v>
          </cell>
          <cell r="D169" t="str">
            <v>IS4</v>
          </cell>
          <cell r="E169" t="str">
            <v>IS4 Sustainment Engineering and Acquisition</v>
          </cell>
          <cell r="F169" t="str">
            <v>Navy</v>
          </cell>
          <cell r="G169" t="str">
            <v>DOD</v>
          </cell>
          <cell r="H169">
            <v>43826</v>
          </cell>
          <cell r="I169">
            <v>43854</v>
          </cell>
          <cell r="J169">
            <v>45681</v>
          </cell>
          <cell r="K169" t="str">
            <v>Sub</v>
          </cell>
          <cell r="L169" t="str">
            <v>Cost Plus Fixed Fee</v>
          </cell>
          <cell r="M169" t="str">
            <v>Cost Reimbursable</v>
          </cell>
          <cell r="N169" t="str">
            <v>Identified - New</v>
          </cell>
          <cell r="O169" t="str">
            <v>01 Prospect</v>
          </cell>
          <cell r="P169" t="str">
            <v>Priority 2</v>
          </cell>
          <cell r="Q169">
            <v>0.3</v>
          </cell>
          <cell r="R169">
            <v>71000000</v>
          </cell>
          <cell r="S169">
            <v>0.16</v>
          </cell>
          <cell r="T169">
            <v>0.16</v>
          </cell>
          <cell r="U169">
            <v>0.16</v>
          </cell>
          <cell r="V169">
            <v>0.16</v>
          </cell>
          <cell r="W169">
            <v>0.16</v>
          </cell>
          <cell r="X169">
            <v>6.8000000000000005E-2</v>
          </cell>
          <cell r="Y169">
            <v>6.8000000000000005E-2</v>
          </cell>
          <cell r="Z169">
            <v>6.8000000000000005E-2</v>
          </cell>
          <cell r="AA169">
            <v>6.8000000000000005E-2</v>
          </cell>
          <cell r="AB169">
            <v>6.8000000000000005E-2</v>
          </cell>
          <cell r="AC169">
            <v>14200000</v>
          </cell>
          <cell r="AD169">
            <v>0</v>
          </cell>
          <cell r="AE169">
            <v>2911000</v>
          </cell>
          <cell r="AF169">
            <v>4260000</v>
          </cell>
          <cell r="AG169">
            <v>4260000</v>
          </cell>
          <cell r="AH169">
            <v>4260000</v>
          </cell>
          <cell r="AI169">
            <v>0</v>
          </cell>
          <cell r="AJ169">
            <v>465760</v>
          </cell>
          <cell r="AK169">
            <v>681600</v>
          </cell>
          <cell r="AL169">
            <v>681600</v>
          </cell>
          <cell r="AM169">
            <v>681600</v>
          </cell>
          <cell r="AN169">
            <v>0</v>
          </cell>
          <cell r="AO169">
            <v>197948</v>
          </cell>
          <cell r="AP169">
            <v>289680</v>
          </cell>
          <cell r="AQ169">
            <v>289680</v>
          </cell>
          <cell r="AR169">
            <v>289680</v>
          </cell>
          <cell r="AT169" t="str">
            <v>OPP-961336 - Identified - New - IS4</v>
          </cell>
          <cell r="AU169">
            <v>1066988</v>
          </cell>
          <cell r="AV169">
            <v>0</v>
          </cell>
          <cell r="AW169">
            <v>1066988</v>
          </cell>
          <cell r="AX169">
            <v>0</v>
          </cell>
          <cell r="AZ169">
            <v>158</v>
          </cell>
          <cell r="BA169">
            <v>41</v>
          </cell>
          <cell r="BB169">
            <v>220</v>
          </cell>
        </row>
        <row r="170">
          <cell r="B170" t="str">
            <v>OPP-885254</v>
          </cell>
          <cell r="C170" t="str">
            <v>RS3-18-0078 PEO Soldier SETA Support for PM Soldier Warrior (SWAR)</v>
          </cell>
          <cell r="D170" t="str">
            <v>IS4</v>
          </cell>
          <cell r="E170" t="str">
            <v>IS4 Spectrum &amp; Infrastructure Assurance</v>
          </cell>
          <cell r="F170" t="str">
            <v>Army</v>
          </cell>
          <cell r="G170" t="str">
            <v>DOD</v>
          </cell>
          <cell r="H170">
            <v>43678</v>
          </cell>
          <cell r="I170">
            <v>43707</v>
          </cell>
          <cell r="J170">
            <v>45534</v>
          </cell>
          <cell r="K170" t="str">
            <v>Prime</v>
          </cell>
          <cell r="L170" t="str">
            <v>Cost Plus Fixed Fee</v>
          </cell>
          <cell r="M170" t="str">
            <v>Cost Reimbursable</v>
          </cell>
          <cell r="N170" t="str">
            <v>Identified - New</v>
          </cell>
          <cell r="O170" t="str">
            <v>04 Submitted</v>
          </cell>
          <cell r="P170" t="str">
            <v>Priority 2</v>
          </cell>
          <cell r="Q170">
            <v>0.3</v>
          </cell>
          <cell r="R170">
            <v>70000000</v>
          </cell>
          <cell r="S170">
            <v>0.16</v>
          </cell>
          <cell r="T170">
            <v>0.16</v>
          </cell>
          <cell r="U170">
            <v>0.16</v>
          </cell>
          <cell r="V170">
            <v>0.16</v>
          </cell>
          <cell r="W170">
            <v>0.16</v>
          </cell>
          <cell r="X170">
            <v>6.8000000000000005E-2</v>
          </cell>
          <cell r="Y170">
            <v>6.8000000000000005E-2</v>
          </cell>
          <cell r="Z170">
            <v>6.8000000000000005E-2</v>
          </cell>
          <cell r="AA170">
            <v>6.8000000000000005E-2</v>
          </cell>
          <cell r="AB170">
            <v>6.8000000000000005E-2</v>
          </cell>
          <cell r="AC170">
            <v>14000000</v>
          </cell>
          <cell r="AD170">
            <v>0</v>
          </cell>
          <cell r="AE170">
            <v>4200000</v>
          </cell>
          <cell r="AF170">
            <v>4200000</v>
          </cell>
          <cell r="AG170">
            <v>4200000</v>
          </cell>
          <cell r="AH170">
            <v>4200000</v>
          </cell>
          <cell r="AI170">
            <v>0</v>
          </cell>
          <cell r="AJ170">
            <v>672000</v>
          </cell>
          <cell r="AK170">
            <v>672000</v>
          </cell>
          <cell r="AL170">
            <v>672000</v>
          </cell>
          <cell r="AM170">
            <v>672000</v>
          </cell>
          <cell r="AN170">
            <v>0</v>
          </cell>
          <cell r="AO170">
            <v>285600</v>
          </cell>
          <cell r="AP170">
            <v>285600</v>
          </cell>
          <cell r="AQ170">
            <v>285600</v>
          </cell>
          <cell r="AR170">
            <v>285600</v>
          </cell>
          <cell r="AT170" t="str">
            <v>OPP-885254 - Identified - New - IS4</v>
          </cell>
          <cell r="AU170">
            <v>1142400</v>
          </cell>
          <cell r="AV170">
            <v>0</v>
          </cell>
          <cell r="AW170">
            <v>1142400</v>
          </cell>
          <cell r="AX170">
            <v>0</v>
          </cell>
          <cell r="AZ170">
            <v>159</v>
          </cell>
          <cell r="BA170">
            <v>35</v>
          </cell>
          <cell r="BB170">
            <v>221</v>
          </cell>
        </row>
        <row r="171">
          <cell r="B171" t="str">
            <v>OPP-945441</v>
          </cell>
          <cell r="C171" t="str">
            <v>DISA: (CTSS) Communication Technical Support Services in SWA</v>
          </cell>
          <cell r="D171" t="str">
            <v>IS4</v>
          </cell>
          <cell r="E171" t="str">
            <v>IS4 Engineering and Technology Services</v>
          </cell>
          <cell r="F171" t="str">
            <v>DISA</v>
          </cell>
          <cell r="G171" t="str">
            <v>DOD</v>
          </cell>
          <cell r="H171">
            <v>43917</v>
          </cell>
          <cell r="I171">
            <v>44076</v>
          </cell>
          <cell r="J171">
            <v>45902</v>
          </cell>
          <cell r="K171" t="str">
            <v>Sub</v>
          </cell>
          <cell r="L171" t="str">
            <v>Hybrid/Mixed Cost-Plus/Fixed</v>
          </cell>
          <cell r="M171" t="str">
            <v>Other</v>
          </cell>
          <cell r="N171" t="str">
            <v>Identified - New</v>
          </cell>
          <cell r="O171" t="str">
            <v>01 Prospect</v>
          </cell>
          <cell r="P171" t="str">
            <v>Priority 2</v>
          </cell>
          <cell r="Q171">
            <v>0.25</v>
          </cell>
          <cell r="R171">
            <v>70000000</v>
          </cell>
          <cell r="S171">
            <v>0.152</v>
          </cell>
          <cell r="T171">
            <v>0.152</v>
          </cell>
          <cell r="U171">
            <v>0.157</v>
          </cell>
          <cell r="V171">
            <v>0.16200000000000001</v>
          </cell>
          <cell r="W171">
            <v>0.16700000000000001</v>
          </cell>
          <cell r="X171">
            <v>0.06</v>
          </cell>
          <cell r="Y171">
            <v>0.06</v>
          </cell>
          <cell r="Z171">
            <v>6.5000000000000002E-2</v>
          </cell>
          <cell r="AA171">
            <v>7.0000000000000007E-2</v>
          </cell>
          <cell r="AB171">
            <v>7.5000000000000011E-2</v>
          </cell>
          <cell r="AC171">
            <v>14000000</v>
          </cell>
          <cell r="AD171">
            <v>0</v>
          </cell>
          <cell r="AE171">
            <v>272222.22222222225</v>
          </cell>
          <cell r="AF171">
            <v>3500000</v>
          </cell>
          <cell r="AG171">
            <v>3500000</v>
          </cell>
          <cell r="AH171">
            <v>3500000</v>
          </cell>
          <cell r="AI171">
            <v>0</v>
          </cell>
          <cell r="AJ171">
            <v>41377.777777777781</v>
          </cell>
          <cell r="AK171">
            <v>549500</v>
          </cell>
          <cell r="AL171">
            <v>567000</v>
          </cell>
          <cell r="AM171">
            <v>584500</v>
          </cell>
          <cell r="AN171">
            <v>0</v>
          </cell>
          <cell r="AO171">
            <v>16333.333333333334</v>
          </cell>
          <cell r="AP171">
            <v>227500</v>
          </cell>
          <cell r="AQ171">
            <v>245000.00000000003</v>
          </cell>
          <cell r="AR171">
            <v>262500.00000000006</v>
          </cell>
          <cell r="AT171" t="str">
            <v>OPP-945441 - Identified - New - IS4</v>
          </cell>
          <cell r="AU171">
            <v>751333.33333333349</v>
          </cell>
          <cell r="AV171">
            <v>0</v>
          </cell>
          <cell r="AW171">
            <v>751333.33333333349</v>
          </cell>
          <cell r="AX171">
            <v>0</v>
          </cell>
          <cell r="AZ171">
            <v>160</v>
          </cell>
          <cell r="BA171">
            <v>64</v>
          </cell>
          <cell r="BB171">
            <v>222</v>
          </cell>
        </row>
        <row r="172">
          <cell r="B172" t="str">
            <v>OPP-934953</v>
          </cell>
          <cell r="C172" t="str">
            <v>SIGFRIED</v>
          </cell>
          <cell r="D172" t="str">
            <v>IS4</v>
          </cell>
          <cell r="E172" t="str">
            <v>IS4 Spectrum &amp; Infrastructure Assurance</v>
          </cell>
          <cell r="F172" t="str">
            <v>Classified Agency</v>
          </cell>
          <cell r="G172" t="str">
            <v>Classified</v>
          </cell>
          <cell r="H172">
            <v>44742</v>
          </cell>
          <cell r="I172">
            <v>44742</v>
          </cell>
          <cell r="J172">
            <v>46568</v>
          </cell>
          <cell r="K172" t="str">
            <v>Prime</v>
          </cell>
          <cell r="L172" t="str">
            <v>T&amp;M</v>
          </cell>
          <cell r="M172" t="str">
            <v>T&amp;M</v>
          </cell>
          <cell r="N172" t="str">
            <v>Identified - New</v>
          </cell>
          <cell r="O172" t="str">
            <v>01 Prospect</v>
          </cell>
          <cell r="P172" t="str">
            <v>Priority 2</v>
          </cell>
          <cell r="Q172">
            <v>0.3</v>
          </cell>
          <cell r="R172">
            <v>70000000</v>
          </cell>
          <cell r="S172">
            <v>0.182</v>
          </cell>
          <cell r="T172">
            <v>0.182</v>
          </cell>
          <cell r="U172">
            <v>0.183</v>
          </cell>
          <cell r="V172">
            <v>0.185</v>
          </cell>
          <cell r="W172">
            <v>0.19</v>
          </cell>
          <cell r="X172">
            <v>0.09</v>
          </cell>
          <cell r="Y172">
            <v>0.09</v>
          </cell>
          <cell r="Z172">
            <v>9.0999999999999998E-2</v>
          </cell>
          <cell r="AA172">
            <v>9.2999999999999999E-2</v>
          </cell>
          <cell r="AB172">
            <v>9.8000000000000004E-2</v>
          </cell>
          <cell r="AC172">
            <v>14000000</v>
          </cell>
          <cell r="AD172">
            <v>0</v>
          </cell>
          <cell r="AE172">
            <v>0</v>
          </cell>
          <cell r="AF172">
            <v>0</v>
          </cell>
          <cell r="AG172">
            <v>1050000</v>
          </cell>
          <cell r="AH172">
            <v>4200000</v>
          </cell>
          <cell r="AI172">
            <v>0</v>
          </cell>
          <cell r="AJ172">
            <v>0</v>
          </cell>
          <cell r="AK172">
            <v>0</v>
          </cell>
          <cell r="AL172">
            <v>194250</v>
          </cell>
          <cell r="AM172">
            <v>798000</v>
          </cell>
          <cell r="AN172">
            <v>0</v>
          </cell>
          <cell r="AO172">
            <v>0</v>
          </cell>
          <cell r="AP172">
            <v>0</v>
          </cell>
          <cell r="AQ172">
            <v>97650</v>
          </cell>
          <cell r="AR172">
            <v>411600</v>
          </cell>
          <cell r="AT172" t="str">
            <v>OPP-934953 - Identified - New - IS4</v>
          </cell>
          <cell r="AU172">
            <v>509250</v>
          </cell>
          <cell r="AV172">
            <v>0</v>
          </cell>
          <cell r="AW172">
            <v>509250</v>
          </cell>
          <cell r="AX172">
            <v>0</v>
          </cell>
          <cell r="AZ172">
            <v>161</v>
          </cell>
          <cell r="BA172">
            <v>83</v>
          </cell>
          <cell r="BB172">
            <v>223</v>
          </cell>
        </row>
        <row r="173">
          <cell r="B173" t="str">
            <v>OPP-954754</v>
          </cell>
          <cell r="C173" t="str">
            <v>SHADOWPLAY 2</v>
          </cell>
          <cell r="D173" t="str">
            <v>IS4</v>
          </cell>
          <cell r="E173" t="str">
            <v>IS4 Spectrum &amp; Infrastructure Assurance</v>
          </cell>
          <cell r="F173" t="str">
            <v>Classified Agency</v>
          </cell>
          <cell r="G173" t="str">
            <v>Classified</v>
          </cell>
          <cell r="H173">
            <v>45870</v>
          </cell>
          <cell r="I173">
            <v>45884</v>
          </cell>
          <cell r="J173">
            <v>47709</v>
          </cell>
          <cell r="K173" t="str">
            <v>Prime</v>
          </cell>
          <cell r="L173" t="str">
            <v>T&amp;M</v>
          </cell>
          <cell r="M173" t="str">
            <v>T&amp;M</v>
          </cell>
          <cell r="N173" t="str">
            <v>Identified - New</v>
          </cell>
          <cell r="O173" t="str">
            <v>01 Prospect</v>
          </cell>
          <cell r="P173" t="str">
            <v>Priority 2</v>
          </cell>
          <cell r="Q173">
            <v>0.25</v>
          </cell>
          <cell r="R173">
            <v>70000000</v>
          </cell>
          <cell r="S173">
            <v>0.182</v>
          </cell>
          <cell r="T173">
            <v>0.182</v>
          </cell>
          <cell r="U173">
            <v>0.183</v>
          </cell>
          <cell r="V173">
            <v>0.185</v>
          </cell>
          <cell r="W173">
            <v>0.19</v>
          </cell>
          <cell r="X173">
            <v>0.09</v>
          </cell>
          <cell r="Y173">
            <v>0.09</v>
          </cell>
          <cell r="Z173">
            <v>9.0999999999999998E-2</v>
          </cell>
          <cell r="AA173">
            <v>9.2999999999999999E-2</v>
          </cell>
          <cell r="AB173">
            <v>9.8000000000000004E-2</v>
          </cell>
          <cell r="AC173">
            <v>14007782.101167316</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T173" t="str">
            <v>OPP-954754 - Identified - New - IS4</v>
          </cell>
          <cell r="AU173">
            <v>0</v>
          </cell>
          <cell r="AV173">
            <v>0</v>
          </cell>
          <cell r="AW173">
            <v>0</v>
          </cell>
          <cell r="AX173">
            <v>0</v>
          </cell>
          <cell r="AZ173">
            <v>162</v>
          </cell>
          <cell r="BA173">
            <v>376</v>
          </cell>
          <cell r="BB173">
            <v>224</v>
          </cell>
        </row>
        <row r="174">
          <cell r="B174" t="str">
            <v>OPP-949273</v>
          </cell>
          <cell r="C174" t="str">
            <v>ENGINEERING AND TECHNICAL SERVICES FOR PACAF C4I SYSTEMS (ETS)(C4ISRO)</v>
          </cell>
          <cell r="D174" t="str">
            <v>IS4</v>
          </cell>
          <cell r="E174" t="str">
            <v>IS4 Engineering and Technology Services</v>
          </cell>
          <cell r="F174" t="str">
            <v>Air Force</v>
          </cell>
          <cell r="G174" t="str">
            <v>DOD</v>
          </cell>
          <cell r="H174">
            <v>45191</v>
          </cell>
          <cell r="I174">
            <v>45194</v>
          </cell>
          <cell r="J174">
            <v>46471</v>
          </cell>
          <cell r="K174" t="str">
            <v>Prime</v>
          </cell>
          <cell r="L174" t="str">
            <v>Labor Hour</v>
          </cell>
          <cell r="M174" t="str">
            <v>Other</v>
          </cell>
          <cell r="N174" t="str">
            <v>Identified - New</v>
          </cell>
          <cell r="O174" t="str">
            <v>01 Prospect</v>
          </cell>
          <cell r="P174" t="str">
            <v>Priority 2</v>
          </cell>
          <cell r="Q174">
            <v>0.25</v>
          </cell>
          <cell r="R174">
            <v>67720000</v>
          </cell>
          <cell r="S174">
            <v>0.17199999999999999</v>
          </cell>
          <cell r="T174">
            <v>0.17199999999999999</v>
          </cell>
          <cell r="U174">
            <v>0.17699999999999999</v>
          </cell>
          <cell r="V174">
            <v>0.182</v>
          </cell>
          <cell r="W174">
            <v>0.187</v>
          </cell>
          <cell r="X174">
            <v>0.08</v>
          </cell>
          <cell r="Y174">
            <v>0.08</v>
          </cell>
          <cell r="Z174">
            <v>8.5000000000000006E-2</v>
          </cell>
          <cell r="AA174">
            <v>9.0000000000000011E-2</v>
          </cell>
          <cell r="AB174">
            <v>9.5000000000000015E-2</v>
          </cell>
          <cell r="AC174">
            <v>19348571.428571429</v>
          </cell>
          <cell r="AD174">
            <v>0</v>
          </cell>
          <cell r="AE174">
            <v>0</v>
          </cell>
          <cell r="AF174">
            <v>0</v>
          </cell>
          <cell r="AG174">
            <v>0</v>
          </cell>
          <cell r="AH174">
            <v>67182.539682539675</v>
          </cell>
          <cell r="AI174">
            <v>0</v>
          </cell>
          <cell r="AJ174">
            <v>0</v>
          </cell>
          <cell r="AK174">
            <v>0</v>
          </cell>
          <cell r="AL174">
            <v>0</v>
          </cell>
          <cell r="AM174">
            <v>12563.134920634919</v>
          </cell>
          <cell r="AN174">
            <v>0</v>
          </cell>
          <cell r="AO174">
            <v>0</v>
          </cell>
          <cell r="AP174">
            <v>0</v>
          </cell>
          <cell r="AQ174">
            <v>0</v>
          </cell>
          <cell r="AR174">
            <v>6382.3412698412703</v>
          </cell>
          <cell r="AT174" t="str">
            <v>OPP-949273 - Identified - New - IS4</v>
          </cell>
          <cell r="AU174">
            <v>6382.3412698412703</v>
          </cell>
          <cell r="AV174">
            <v>0</v>
          </cell>
          <cell r="AW174">
            <v>6382.3412698412703</v>
          </cell>
          <cell r="AX174">
            <v>0</v>
          </cell>
          <cell r="AZ174">
            <v>163</v>
          </cell>
          <cell r="BA174">
            <v>243</v>
          </cell>
          <cell r="BB174">
            <v>225</v>
          </cell>
        </row>
        <row r="175">
          <cell r="B175" t="str">
            <v>OPP-934586</v>
          </cell>
          <cell r="C175" t="str">
            <v>Kirtland Air Force Base (KAFB) Base Maintenance Services</v>
          </cell>
          <cell r="D175" t="str">
            <v>IS4</v>
          </cell>
          <cell r="E175" t="str">
            <v>IS4 Infrastructure and Engineering</v>
          </cell>
          <cell r="F175" t="str">
            <v>Air Force</v>
          </cell>
          <cell r="G175" t="str">
            <v>DOD</v>
          </cell>
          <cell r="H175">
            <v>44071</v>
          </cell>
          <cell r="I175">
            <v>44137</v>
          </cell>
          <cell r="J175">
            <v>45963</v>
          </cell>
          <cell r="K175" t="str">
            <v>Sub</v>
          </cell>
          <cell r="L175" t="str">
            <v>Cost Plus Fixed Fee</v>
          </cell>
          <cell r="M175" t="str">
            <v>Cost Reimbursable</v>
          </cell>
          <cell r="N175" t="str">
            <v>Identified - New</v>
          </cell>
          <cell r="O175" t="str">
            <v>01 Prospect</v>
          </cell>
          <cell r="P175" t="str">
            <v>Priority 2</v>
          </cell>
          <cell r="Q175">
            <v>0.2</v>
          </cell>
          <cell r="R175">
            <v>67500000</v>
          </cell>
          <cell r="S175">
            <v>0.14200000000000002</v>
          </cell>
          <cell r="T175">
            <v>0.14200000000000002</v>
          </cell>
          <cell r="U175">
            <v>0.14200000000000002</v>
          </cell>
          <cell r="V175">
            <v>0.14200000000000002</v>
          </cell>
          <cell r="W175">
            <v>0.14200000000000002</v>
          </cell>
          <cell r="X175">
            <v>0.05</v>
          </cell>
          <cell r="Y175">
            <v>0.05</v>
          </cell>
          <cell r="Z175">
            <v>0.05</v>
          </cell>
          <cell r="AA175">
            <v>0.05</v>
          </cell>
          <cell r="AB175">
            <v>0.05</v>
          </cell>
          <cell r="AC175">
            <v>13500000</v>
          </cell>
          <cell r="AD175">
            <v>0</v>
          </cell>
          <cell r="AE175">
            <v>0</v>
          </cell>
          <cell r="AF175">
            <v>2460000</v>
          </cell>
          <cell r="AG175">
            <v>2700000</v>
          </cell>
          <cell r="AH175">
            <v>2700000</v>
          </cell>
          <cell r="AI175">
            <v>0</v>
          </cell>
          <cell r="AJ175">
            <v>0</v>
          </cell>
          <cell r="AK175">
            <v>349320.00000000006</v>
          </cell>
          <cell r="AL175">
            <v>383400.00000000006</v>
          </cell>
          <cell r="AM175">
            <v>383400.00000000006</v>
          </cell>
          <cell r="AN175">
            <v>0</v>
          </cell>
          <cell r="AO175">
            <v>0</v>
          </cell>
          <cell r="AP175">
            <v>123000</v>
          </cell>
          <cell r="AQ175">
            <v>135000</v>
          </cell>
          <cell r="AR175">
            <v>135000</v>
          </cell>
          <cell r="AT175" t="str">
            <v>OPP-934586 - Identified - New - IS4</v>
          </cell>
          <cell r="AU175">
            <v>393000</v>
          </cell>
          <cell r="AV175">
            <v>0</v>
          </cell>
          <cell r="AW175">
            <v>393000</v>
          </cell>
          <cell r="AX175">
            <v>0</v>
          </cell>
          <cell r="AZ175">
            <v>164</v>
          </cell>
          <cell r="BA175">
            <v>101</v>
          </cell>
          <cell r="BB175">
            <v>226</v>
          </cell>
        </row>
        <row r="176">
          <cell r="B176" t="str">
            <v>OPP-412562</v>
          </cell>
          <cell r="C176" t="str">
            <v>USACE RSFO SATOC for Baltimore/Washington corridor, CONUS and Hawaii - MS TO</v>
          </cell>
          <cell r="D176" t="str">
            <v>IS4</v>
          </cell>
          <cell r="E176" t="str">
            <v>IS4 Global Mission Solutions</v>
          </cell>
          <cell r="F176" t="str">
            <v>Army</v>
          </cell>
          <cell r="G176" t="str">
            <v>DOD</v>
          </cell>
          <cell r="H176">
            <v>43763</v>
          </cell>
          <cell r="I176">
            <v>43770</v>
          </cell>
          <cell r="J176">
            <v>44866</v>
          </cell>
          <cell r="K176" t="str">
            <v>Prime</v>
          </cell>
          <cell r="L176" t="str">
            <v>IDIQ/Mixed Cost-Plus/Fixed</v>
          </cell>
          <cell r="M176" t="str">
            <v>Other</v>
          </cell>
          <cell r="N176" t="str">
            <v>Identified - New</v>
          </cell>
          <cell r="O176" t="str">
            <v>03 Proposal</v>
          </cell>
          <cell r="P176" t="str">
            <v>Priority 2</v>
          </cell>
          <cell r="Q176">
            <v>0.3</v>
          </cell>
          <cell r="R176">
            <v>67200000</v>
          </cell>
          <cell r="S176">
            <v>0.17199999999999999</v>
          </cell>
          <cell r="T176">
            <v>0.17199999999999999</v>
          </cell>
          <cell r="U176">
            <v>0.17699999999999999</v>
          </cell>
          <cell r="V176">
            <v>0.182</v>
          </cell>
          <cell r="W176">
            <v>0.187</v>
          </cell>
          <cell r="X176">
            <v>0.08</v>
          </cell>
          <cell r="Y176">
            <v>0.08</v>
          </cell>
          <cell r="Z176">
            <v>8.5000000000000006E-2</v>
          </cell>
          <cell r="AA176">
            <v>9.0000000000000011E-2</v>
          </cell>
          <cell r="AB176">
            <v>9.5000000000000015E-2</v>
          </cell>
          <cell r="AC176">
            <v>22400000</v>
          </cell>
          <cell r="AD176">
            <v>0</v>
          </cell>
          <cell r="AE176">
            <v>6141333.333333333</v>
          </cell>
          <cell r="AF176">
            <v>6720000</v>
          </cell>
          <cell r="AG176">
            <v>6720000</v>
          </cell>
          <cell r="AH176">
            <v>578666.66666666791</v>
          </cell>
          <cell r="AI176">
            <v>0</v>
          </cell>
          <cell r="AJ176">
            <v>1056309.3333333333</v>
          </cell>
          <cell r="AK176">
            <v>1189440</v>
          </cell>
          <cell r="AL176">
            <v>1223040</v>
          </cell>
          <cell r="AM176">
            <v>108210.6666666669</v>
          </cell>
          <cell r="AN176">
            <v>0</v>
          </cell>
          <cell r="AO176">
            <v>491306.66666666663</v>
          </cell>
          <cell r="AP176">
            <v>571200</v>
          </cell>
          <cell r="AQ176">
            <v>604800.00000000012</v>
          </cell>
          <cell r="AR176">
            <v>54973.333333333459</v>
          </cell>
          <cell r="AT176" t="str">
            <v>OPP-412562 - Identified - New - IS4</v>
          </cell>
          <cell r="AU176">
            <v>1722280</v>
          </cell>
          <cell r="AV176">
            <v>0</v>
          </cell>
          <cell r="AW176">
            <v>1722280</v>
          </cell>
          <cell r="AX176">
            <v>0</v>
          </cell>
          <cell r="AZ176">
            <v>165</v>
          </cell>
          <cell r="BA176">
            <v>18</v>
          </cell>
          <cell r="BB176">
            <v>227</v>
          </cell>
        </row>
        <row r="177">
          <cell r="B177" t="str">
            <v>OPP-642045</v>
          </cell>
          <cell r="C177" t="str">
            <v>NSWCDD V Dept Combat System Test and Evaluation (ManTech)</v>
          </cell>
          <cell r="D177" t="str">
            <v>IS4</v>
          </cell>
          <cell r="E177" t="str">
            <v>IS4 Spectrum &amp; Infrastructure Assurance</v>
          </cell>
          <cell r="F177" t="str">
            <v>Navy</v>
          </cell>
          <cell r="G177" t="str">
            <v>DOD</v>
          </cell>
          <cell r="H177">
            <v>44910</v>
          </cell>
          <cell r="I177">
            <v>44942</v>
          </cell>
          <cell r="J177">
            <v>46768</v>
          </cell>
          <cell r="K177" t="str">
            <v>Prime</v>
          </cell>
          <cell r="L177" t="str">
            <v>Cost Plus Fixed Fee</v>
          </cell>
          <cell r="M177" t="str">
            <v>Cost Reimbursable</v>
          </cell>
          <cell r="N177" t="str">
            <v>Identified - New</v>
          </cell>
          <cell r="O177" t="str">
            <v>01 Prospect</v>
          </cell>
          <cell r="P177" t="str">
            <v>Priority 2</v>
          </cell>
          <cell r="Q177">
            <v>0.25</v>
          </cell>
          <cell r="R177">
            <v>67000000</v>
          </cell>
          <cell r="S177">
            <v>0.16</v>
          </cell>
          <cell r="T177">
            <v>0.16</v>
          </cell>
          <cell r="U177">
            <v>0.16</v>
          </cell>
          <cell r="V177">
            <v>0.16</v>
          </cell>
          <cell r="W177">
            <v>0.16</v>
          </cell>
          <cell r="X177">
            <v>6.8000000000000005E-2</v>
          </cell>
          <cell r="Y177">
            <v>6.8000000000000005E-2</v>
          </cell>
          <cell r="Z177">
            <v>6.8000000000000005E-2</v>
          </cell>
          <cell r="AA177">
            <v>6.8000000000000005E-2</v>
          </cell>
          <cell r="AB177">
            <v>6.8000000000000005E-2</v>
          </cell>
          <cell r="AC177">
            <v>13400000</v>
          </cell>
          <cell r="AD177">
            <v>0</v>
          </cell>
          <cell r="AE177">
            <v>0</v>
          </cell>
          <cell r="AF177">
            <v>0</v>
          </cell>
          <cell r="AG177">
            <v>0</v>
          </cell>
          <cell r="AH177">
            <v>2363611.1111111115</v>
          </cell>
          <cell r="AI177">
            <v>0</v>
          </cell>
          <cell r="AJ177">
            <v>0</v>
          </cell>
          <cell r="AK177">
            <v>0</v>
          </cell>
          <cell r="AL177">
            <v>0</v>
          </cell>
          <cell r="AM177">
            <v>378177.77777777787</v>
          </cell>
          <cell r="AN177">
            <v>0</v>
          </cell>
          <cell r="AO177">
            <v>0</v>
          </cell>
          <cell r="AP177">
            <v>0</v>
          </cell>
          <cell r="AQ177">
            <v>0</v>
          </cell>
          <cell r="AR177">
            <v>160725.55555555559</v>
          </cell>
          <cell r="AT177" t="str">
            <v>OPP-642045 - Identified - New - IS4</v>
          </cell>
          <cell r="AU177">
            <v>160725.55555555559</v>
          </cell>
          <cell r="AV177">
            <v>0</v>
          </cell>
          <cell r="AW177">
            <v>160725.55555555559</v>
          </cell>
          <cell r="AX177">
            <v>0</v>
          </cell>
          <cell r="AZ177">
            <v>166</v>
          </cell>
          <cell r="BA177">
            <v>142</v>
          </cell>
          <cell r="BB177">
            <v>228</v>
          </cell>
        </row>
        <row r="178">
          <cell r="B178" t="str">
            <v>OPP-918434</v>
          </cell>
          <cell r="C178" t="str">
            <v>IAC TAT-1718 AFSMO</v>
          </cell>
          <cell r="D178" t="str">
            <v>IS4</v>
          </cell>
          <cell r="E178" t="str">
            <v>IS4 Spectrum &amp; Infrastructure Assurance</v>
          </cell>
          <cell r="F178" t="str">
            <v>DISA</v>
          </cell>
          <cell r="G178" t="str">
            <v>DOD</v>
          </cell>
          <cell r="H178">
            <v>43784</v>
          </cell>
          <cell r="I178">
            <v>43871</v>
          </cell>
          <cell r="J178">
            <v>45698</v>
          </cell>
          <cell r="K178" t="str">
            <v>Prime</v>
          </cell>
          <cell r="L178" t="str">
            <v>Cost Plus Fixed Fee; Fixed Price</v>
          </cell>
          <cell r="M178" t="str">
            <v>Cost Reimbursable</v>
          </cell>
          <cell r="N178" t="str">
            <v>Identified - New</v>
          </cell>
          <cell r="O178" t="str">
            <v>02 Capture</v>
          </cell>
          <cell r="P178" t="str">
            <v>Priority 2</v>
          </cell>
          <cell r="Q178">
            <v>0.5</v>
          </cell>
          <cell r="R178">
            <v>62500000</v>
          </cell>
          <cell r="S178">
            <v>0.16</v>
          </cell>
          <cell r="T178">
            <v>0.16</v>
          </cell>
          <cell r="U178">
            <v>0.16</v>
          </cell>
          <cell r="V178">
            <v>0.16</v>
          </cell>
          <cell r="W178">
            <v>0.16</v>
          </cell>
          <cell r="X178">
            <v>6.8000000000000005E-2</v>
          </cell>
          <cell r="Y178">
            <v>6.8000000000000005E-2</v>
          </cell>
          <cell r="Z178">
            <v>6.8000000000000005E-2</v>
          </cell>
          <cell r="AA178">
            <v>6.8000000000000005E-2</v>
          </cell>
          <cell r="AB178">
            <v>6.8000000000000005E-2</v>
          </cell>
          <cell r="AC178">
            <v>12500000</v>
          </cell>
          <cell r="AD178">
            <v>0</v>
          </cell>
          <cell r="AE178">
            <v>3993055.555555555</v>
          </cell>
          <cell r="AF178">
            <v>6250000</v>
          </cell>
          <cell r="AG178">
            <v>6250000</v>
          </cell>
          <cell r="AH178">
            <v>6250000</v>
          </cell>
          <cell r="AI178">
            <v>0</v>
          </cell>
          <cell r="AJ178">
            <v>638888.88888888888</v>
          </cell>
          <cell r="AK178">
            <v>1000000</v>
          </cell>
          <cell r="AL178">
            <v>1000000</v>
          </cell>
          <cell r="AM178">
            <v>1000000</v>
          </cell>
          <cell r="AN178">
            <v>0</v>
          </cell>
          <cell r="AO178">
            <v>271527.77777777775</v>
          </cell>
          <cell r="AP178">
            <v>425000.00000000006</v>
          </cell>
          <cell r="AQ178">
            <v>425000.00000000006</v>
          </cell>
          <cell r="AR178">
            <v>425000.00000000006</v>
          </cell>
          <cell r="AT178" t="str">
            <v>OPP-918434 - Identified - New - IS4</v>
          </cell>
          <cell r="AU178">
            <v>1546527.7777777778</v>
          </cell>
          <cell r="AV178">
            <v>0</v>
          </cell>
          <cell r="AW178">
            <v>1546527.7777777778</v>
          </cell>
          <cell r="AX178">
            <v>0</v>
          </cell>
          <cell r="AZ178">
            <v>167</v>
          </cell>
          <cell r="BA178">
            <v>25</v>
          </cell>
          <cell r="BB178">
            <v>229</v>
          </cell>
        </row>
        <row r="179">
          <cell r="B179" t="str">
            <v>OPP-909419</v>
          </cell>
          <cell r="C179" t="str">
            <v>Seaport-e: DHA: (FHIT) Federal Healthcare Information Technology Infrastructure Service Modernization</v>
          </cell>
          <cell r="D179" t="str">
            <v>IS4</v>
          </cell>
          <cell r="E179" t="str">
            <v>IS4 Engineering and Technology Services</v>
          </cell>
          <cell r="F179" t="str">
            <v>Other DOD</v>
          </cell>
          <cell r="G179" t="str">
            <v>DOD</v>
          </cell>
          <cell r="H179">
            <v>43707</v>
          </cell>
          <cell r="I179">
            <v>43738</v>
          </cell>
          <cell r="J179">
            <v>45199</v>
          </cell>
          <cell r="K179" t="str">
            <v>Prime</v>
          </cell>
          <cell r="L179" t="str">
            <v>Cost Plus Fixed Fee</v>
          </cell>
          <cell r="M179" t="str">
            <v>Cost Reimbursable</v>
          </cell>
          <cell r="N179" t="str">
            <v>Identified - New</v>
          </cell>
          <cell r="O179" t="str">
            <v>04 Submitted</v>
          </cell>
          <cell r="P179" t="str">
            <v>Priority 2</v>
          </cell>
          <cell r="Q179">
            <v>0.25</v>
          </cell>
          <cell r="R179">
            <v>60000000</v>
          </cell>
          <cell r="S179">
            <v>0.16200000000000001</v>
          </cell>
          <cell r="T179">
            <v>0.16200000000000001</v>
          </cell>
          <cell r="U179">
            <v>0.16200000000000001</v>
          </cell>
          <cell r="V179">
            <v>0.16200000000000001</v>
          </cell>
          <cell r="W179">
            <v>0.16200000000000001</v>
          </cell>
          <cell r="X179">
            <v>7.0000000000000007E-2</v>
          </cell>
          <cell r="Y179">
            <v>7.0000000000000007E-2</v>
          </cell>
          <cell r="Z179">
            <v>7.0000000000000007E-2</v>
          </cell>
          <cell r="AA179">
            <v>7.0000000000000007E-2</v>
          </cell>
          <cell r="AB179">
            <v>7.0000000000000007E-2</v>
          </cell>
          <cell r="AC179">
            <v>15000000</v>
          </cell>
          <cell r="AD179">
            <v>0</v>
          </cell>
          <cell r="AE179">
            <v>3750000</v>
          </cell>
          <cell r="AF179">
            <v>3750000</v>
          </cell>
          <cell r="AG179">
            <v>3750000</v>
          </cell>
          <cell r="AH179">
            <v>3750000</v>
          </cell>
          <cell r="AI179">
            <v>0</v>
          </cell>
          <cell r="AJ179">
            <v>607500</v>
          </cell>
          <cell r="AK179">
            <v>607500</v>
          </cell>
          <cell r="AL179">
            <v>607500</v>
          </cell>
          <cell r="AM179">
            <v>607500</v>
          </cell>
          <cell r="AN179">
            <v>0</v>
          </cell>
          <cell r="AO179">
            <v>262500</v>
          </cell>
          <cell r="AP179">
            <v>262500</v>
          </cell>
          <cell r="AQ179">
            <v>262500</v>
          </cell>
          <cell r="AR179">
            <v>262500</v>
          </cell>
          <cell r="AT179" t="str">
            <v>OPP-909419 - Identified - New - IS4</v>
          </cell>
          <cell r="AU179">
            <v>1050000</v>
          </cell>
          <cell r="AV179">
            <v>0</v>
          </cell>
          <cell r="AW179">
            <v>1050000</v>
          </cell>
          <cell r="AX179">
            <v>0</v>
          </cell>
          <cell r="AZ179">
            <v>168</v>
          </cell>
          <cell r="BA179">
            <v>43</v>
          </cell>
          <cell r="BB179">
            <v>230</v>
          </cell>
        </row>
        <row r="180">
          <cell r="B180" t="str">
            <v>OPP-419727</v>
          </cell>
          <cell r="C180" t="str">
            <v>YELLOW JACKET</v>
          </cell>
          <cell r="D180" t="str">
            <v>IS4</v>
          </cell>
          <cell r="E180" t="str">
            <v>IS4 Infrastructure and Engineering</v>
          </cell>
          <cell r="F180" t="str">
            <v>Classified Agency</v>
          </cell>
          <cell r="G180" t="str">
            <v>Classified</v>
          </cell>
          <cell r="H180">
            <v>43845</v>
          </cell>
          <cell r="I180">
            <v>43845</v>
          </cell>
          <cell r="J180">
            <v>45672</v>
          </cell>
          <cell r="K180" t="str">
            <v>Sub</v>
          </cell>
          <cell r="L180" t="str">
            <v>Fixed Price; Level of Effort</v>
          </cell>
          <cell r="M180" t="str">
            <v>Fixed Price</v>
          </cell>
          <cell r="N180" t="str">
            <v>Identified - New</v>
          </cell>
          <cell r="O180" t="str">
            <v>04 Submitted</v>
          </cell>
          <cell r="P180" t="str">
            <v>Priority 2</v>
          </cell>
          <cell r="Q180">
            <v>0.2</v>
          </cell>
          <cell r="R180">
            <v>60000000</v>
          </cell>
          <cell r="S180">
            <v>0.17199999999999999</v>
          </cell>
          <cell r="T180">
            <v>0.17199999999999999</v>
          </cell>
          <cell r="U180">
            <v>0.17699999999999999</v>
          </cell>
          <cell r="V180">
            <v>0.182</v>
          </cell>
          <cell r="W180">
            <v>0.187</v>
          </cell>
          <cell r="X180">
            <v>0.08</v>
          </cell>
          <cell r="Y180">
            <v>0.08</v>
          </cell>
          <cell r="Z180">
            <v>8.5000000000000006E-2</v>
          </cell>
          <cell r="AA180">
            <v>9.0000000000000011E-2</v>
          </cell>
          <cell r="AB180">
            <v>9.5000000000000015E-2</v>
          </cell>
          <cell r="AC180">
            <v>12000000</v>
          </cell>
          <cell r="AD180">
            <v>0</v>
          </cell>
          <cell r="AE180">
            <v>1700000</v>
          </cell>
          <cell r="AF180">
            <v>2400000</v>
          </cell>
          <cell r="AG180">
            <v>2400000</v>
          </cell>
          <cell r="AH180">
            <v>2400000</v>
          </cell>
          <cell r="AI180">
            <v>0</v>
          </cell>
          <cell r="AJ180">
            <v>292400</v>
          </cell>
          <cell r="AK180">
            <v>424800</v>
          </cell>
          <cell r="AL180">
            <v>436800</v>
          </cell>
          <cell r="AM180">
            <v>448800</v>
          </cell>
          <cell r="AN180">
            <v>0</v>
          </cell>
          <cell r="AO180">
            <v>136000</v>
          </cell>
          <cell r="AP180">
            <v>204000.00000000003</v>
          </cell>
          <cell r="AQ180">
            <v>216000.00000000003</v>
          </cell>
          <cell r="AR180">
            <v>228000.00000000003</v>
          </cell>
          <cell r="AT180" t="str">
            <v>OPP-419727 - Identified - New - IS4</v>
          </cell>
          <cell r="AU180">
            <v>784000</v>
          </cell>
          <cell r="AV180">
            <v>0</v>
          </cell>
          <cell r="AW180">
            <v>784000</v>
          </cell>
          <cell r="AX180">
            <v>0</v>
          </cell>
          <cell r="AZ180">
            <v>169</v>
          </cell>
          <cell r="BA180">
            <v>62</v>
          </cell>
          <cell r="BB180">
            <v>231</v>
          </cell>
        </row>
        <row r="181">
          <cell r="B181" t="str">
            <v>OPP-413834</v>
          </cell>
          <cell r="C181" t="str">
            <v>SUNDANCE</v>
          </cell>
          <cell r="D181" t="str">
            <v>IS4</v>
          </cell>
          <cell r="E181" t="str">
            <v>IS4 Global Mission Solutions</v>
          </cell>
          <cell r="F181" t="str">
            <v>Classified Agency</v>
          </cell>
          <cell r="G181" t="str">
            <v>Classified</v>
          </cell>
          <cell r="H181">
            <v>43840</v>
          </cell>
          <cell r="I181">
            <v>43896</v>
          </cell>
          <cell r="J181">
            <v>45722</v>
          </cell>
          <cell r="K181" t="str">
            <v>Prime</v>
          </cell>
          <cell r="L181" t="str">
            <v>Fixed Price</v>
          </cell>
          <cell r="M181" t="str">
            <v>Fixed Price</v>
          </cell>
          <cell r="N181" t="str">
            <v>Identified - New</v>
          </cell>
          <cell r="O181" t="str">
            <v>01 Prospect</v>
          </cell>
          <cell r="P181" t="str">
            <v>Priority 2</v>
          </cell>
          <cell r="Q181">
            <v>0.25</v>
          </cell>
          <cell r="R181">
            <v>60000000</v>
          </cell>
          <cell r="S181">
            <v>0.17199999999999999</v>
          </cell>
          <cell r="T181">
            <v>0.17199999999999999</v>
          </cell>
          <cell r="U181">
            <v>0.17299999999999999</v>
          </cell>
          <cell r="V181">
            <v>0.17499999999999999</v>
          </cell>
          <cell r="W181">
            <v>0.18</v>
          </cell>
          <cell r="X181">
            <v>0.08</v>
          </cell>
          <cell r="Y181">
            <v>0.08</v>
          </cell>
          <cell r="Z181">
            <v>8.1000000000000003E-2</v>
          </cell>
          <cell r="AA181">
            <v>8.3000000000000004E-2</v>
          </cell>
          <cell r="AB181">
            <v>8.8000000000000009E-2</v>
          </cell>
          <cell r="AC181">
            <v>12000000</v>
          </cell>
          <cell r="AD181">
            <v>0</v>
          </cell>
          <cell r="AE181">
            <v>1700000</v>
          </cell>
          <cell r="AF181">
            <v>3000000</v>
          </cell>
          <cell r="AG181">
            <v>3000000</v>
          </cell>
          <cell r="AH181">
            <v>3000000</v>
          </cell>
          <cell r="AI181">
            <v>0</v>
          </cell>
          <cell r="AJ181">
            <v>292400</v>
          </cell>
          <cell r="AK181">
            <v>518999.99999999994</v>
          </cell>
          <cell r="AL181">
            <v>525000</v>
          </cell>
          <cell r="AM181">
            <v>540000</v>
          </cell>
          <cell r="AN181">
            <v>0</v>
          </cell>
          <cell r="AO181">
            <v>136000</v>
          </cell>
          <cell r="AP181">
            <v>243000</v>
          </cell>
          <cell r="AQ181">
            <v>249000</v>
          </cell>
          <cell r="AR181">
            <v>264000</v>
          </cell>
          <cell r="AT181" t="str">
            <v>OPP-413834 - Identified - New - IS4</v>
          </cell>
          <cell r="AU181">
            <v>892000</v>
          </cell>
          <cell r="AV181">
            <v>0</v>
          </cell>
          <cell r="AW181">
            <v>892000</v>
          </cell>
          <cell r="AX181">
            <v>0</v>
          </cell>
          <cell r="AZ181">
            <v>170</v>
          </cell>
          <cell r="BA181">
            <v>56</v>
          </cell>
          <cell r="BB181">
            <v>232</v>
          </cell>
        </row>
        <row r="182">
          <cell r="B182" t="str">
            <v>OPP-790055</v>
          </cell>
          <cell r="C182" t="str">
            <v>NSWCDD BSES (B Department Software Engineering Services)</v>
          </cell>
          <cell r="D182" t="str">
            <v>IS4</v>
          </cell>
          <cell r="E182" t="str">
            <v>IS4 Spectrum &amp; Infrastructure Assurance</v>
          </cell>
          <cell r="F182" t="str">
            <v>Navy</v>
          </cell>
          <cell r="G182" t="str">
            <v>DOD</v>
          </cell>
          <cell r="H182">
            <v>43704</v>
          </cell>
          <cell r="I182">
            <v>43770</v>
          </cell>
          <cell r="J182">
            <v>45570</v>
          </cell>
          <cell r="K182" t="str">
            <v>Prime</v>
          </cell>
          <cell r="L182" t="str">
            <v>Cost Plus Fixed Fee</v>
          </cell>
          <cell r="M182" t="str">
            <v>Cost Reimbursable</v>
          </cell>
          <cell r="N182" t="str">
            <v>Identified - New</v>
          </cell>
          <cell r="O182" t="str">
            <v>05 Awarded/Won</v>
          </cell>
          <cell r="P182" t="str">
            <v>Priority 2</v>
          </cell>
          <cell r="Q182">
            <v>1</v>
          </cell>
          <cell r="R182">
            <v>59144334</v>
          </cell>
          <cell r="S182">
            <v>0.16</v>
          </cell>
          <cell r="T182">
            <v>0.16</v>
          </cell>
          <cell r="U182">
            <v>0.16</v>
          </cell>
          <cell r="V182">
            <v>0.16</v>
          </cell>
          <cell r="W182">
            <v>0.16</v>
          </cell>
          <cell r="X182">
            <v>6.8000000000000005E-2</v>
          </cell>
          <cell r="Y182">
            <v>6.8000000000000005E-2</v>
          </cell>
          <cell r="Z182">
            <v>6.8000000000000005E-2</v>
          </cell>
          <cell r="AA182">
            <v>6.8000000000000005E-2</v>
          </cell>
          <cell r="AB182">
            <v>6.8000000000000005E-2</v>
          </cell>
          <cell r="AC182">
            <v>12002232.378804959</v>
          </cell>
          <cell r="AD182">
            <v>0</v>
          </cell>
          <cell r="AE182">
            <v>10968706.81285231</v>
          </cell>
          <cell r="AF182">
            <v>12002232.378804959</v>
          </cell>
          <cell r="AG182">
            <v>12002232.378804959</v>
          </cell>
          <cell r="AH182">
            <v>12002232.378804959</v>
          </cell>
          <cell r="AI182">
            <v>0</v>
          </cell>
          <cell r="AJ182">
            <v>1754993.0900563695</v>
          </cell>
          <cell r="AK182">
            <v>1920357.1806087936</v>
          </cell>
          <cell r="AL182">
            <v>1920357.1806087936</v>
          </cell>
          <cell r="AM182">
            <v>1920357.1806087936</v>
          </cell>
          <cell r="AN182">
            <v>0</v>
          </cell>
          <cell r="AO182">
            <v>745872.06327395712</v>
          </cell>
          <cell r="AP182">
            <v>816151.8017587373</v>
          </cell>
          <cell r="AQ182">
            <v>816151.8017587373</v>
          </cell>
          <cell r="AR182">
            <v>816151.8017587373</v>
          </cell>
          <cell r="AT182" t="str">
            <v>OPP-790055 - Identified - New - IS4</v>
          </cell>
          <cell r="AU182">
            <v>3194327.4685501689</v>
          </cell>
          <cell r="AV182">
            <v>0</v>
          </cell>
          <cell r="AW182">
            <v>3194327.4685501689</v>
          </cell>
          <cell r="AX182">
            <v>0</v>
          </cell>
          <cell r="AZ182">
            <v>171</v>
          </cell>
          <cell r="BA182">
            <v>6</v>
          </cell>
          <cell r="BB182">
            <v>233</v>
          </cell>
        </row>
        <row r="183">
          <cell r="B183" t="str">
            <v>OPP-812535</v>
          </cell>
          <cell r="C183" t="str">
            <v>USACE (HITS-U) High Performance Computing Next Generation Technical Services</v>
          </cell>
          <cell r="D183" t="str">
            <v>IS4</v>
          </cell>
          <cell r="E183" t="str">
            <v>IS4 Engineering and Technology Services</v>
          </cell>
          <cell r="F183" t="str">
            <v>Army</v>
          </cell>
          <cell r="G183" t="str">
            <v>DOD</v>
          </cell>
          <cell r="H183">
            <v>44582</v>
          </cell>
          <cell r="I183">
            <v>44764</v>
          </cell>
          <cell r="J183">
            <v>46590</v>
          </cell>
          <cell r="K183" t="str">
            <v>Prime</v>
          </cell>
          <cell r="L183" t="str">
            <v>Hybrid/Mixed Cost-Plus/Fixed</v>
          </cell>
          <cell r="M183" t="str">
            <v>Other</v>
          </cell>
          <cell r="N183" t="str">
            <v>Identified - New</v>
          </cell>
          <cell r="O183" t="str">
            <v>01 Prospect</v>
          </cell>
          <cell r="P183" t="str">
            <v>Priority 2</v>
          </cell>
          <cell r="Q183">
            <v>0.3</v>
          </cell>
          <cell r="R183">
            <v>57000000</v>
          </cell>
          <cell r="S183">
            <v>0.17199999999999999</v>
          </cell>
          <cell r="T183">
            <v>0.17199999999999999</v>
          </cell>
          <cell r="U183">
            <v>0.17699999999999999</v>
          </cell>
          <cell r="V183">
            <v>0.182</v>
          </cell>
          <cell r="W183">
            <v>0.187</v>
          </cell>
          <cell r="X183">
            <v>0.08</v>
          </cell>
          <cell r="Y183">
            <v>0.08</v>
          </cell>
          <cell r="Z183">
            <v>8.5000000000000006E-2</v>
          </cell>
          <cell r="AA183">
            <v>9.0000000000000011E-2</v>
          </cell>
          <cell r="AB183">
            <v>9.5000000000000015E-2</v>
          </cell>
          <cell r="AC183">
            <v>11400000</v>
          </cell>
          <cell r="AD183">
            <v>0</v>
          </cell>
          <cell r="AE183">
            <v>0</v>
          </cell>
          <cell r="AF183">
            <v>0</v>
          </cell>
          <cell r="AG183">
            <v>646000</v>
          </cell>
          <cell r="AH183">
            <v>3420000</v>
          </cell>
          <cell r="AI183">
            <v>0</v>
          </cell>
          <cell r="AJ183">
            <v>0</v>
          </cell>
          <cell r="AK183">
            <v>0</v>
          </cell>
          <cell r="AL183">
            <v>117572</v>
          </cell>
          <cell r="AM183">
            <v>639540</v>
          </cell>
          <cell r="AN183">
            <v>0</v>
          </cell>
          <cell r="AO183">
            <v>0</v>
          </cell>
          <cell r="AP183">
            <v>0</v>
          </cell>
          <cell r="AQ183">
            <v>58140.000000000007</v>
          </cell>
          <cell r="AR183">
            <v>324900.00000000006</v>
          </cell>
          <cell r="AT183" t="str">
            <v>OPP-812535 - Identified - New - IS4</v>
          </cell>
          <cell r="AU183">
            <v>383040.00000000006</v>
          </cell>
          <cell r="AV183">
            <v>0</v>
          </cell>
          <cell r="AW183">
            <v>383040.00000000006</v>
          </cell>
          <cell r="AX183">
            <v>0</v>
          </cell>
          <cell r="AZ183">
            <v>172</v>
          </cell>
          <cell r="BA183">
            <v>104</v>
          </cell>
          <cell r="BB183">
            <v>234</v>
          </cell>
        </row>
        <row r="184">
          <cell r="B184" t="str">
            <v>OPP-945575</v>
          </cell>
          <cell r="C184" t="str">
            <v>USACISA-P CMCN O&amp;M Services</v>
          </cell>
          <cell r="D184" t="str">
            <v>IS4</v>
          </cell>
          <cell r="E184" t="str">
            <v>IS4 Engineering and Technology Services</v>
          </cell>
          <cell r="F184" t="str">
            <v>Army</v>
          </cell>
          <cell r="G184" t="str">
            <v>DOD</v>
          </cell>
          <cell r="H184">
            <v>43798</v>
          </cell>
          <cell r="I184">
            <v>43882</v>
          </cell>
          <cell r="J184">
            <v>45709</v>
          </cell>
          <cell r="K184" t="str">
            <v>Prime</v>
          </cell>
          <cell r="L184" t="str">
            <v>Hybrid/Mixed Cost-Plus/Fixed</v>
          </cell>
          <cell r="M184" t="str">
            <v>Other</v>
          </cell>
          <cell r="N184" t="str">
            <v>Identified - New</v>
          </cell>
          <cell r="O184" t="str">
            <v>02 Capture</v>
          </cell>
          <cell r="P184" t="str">
            <v>Priority 2</v>
          </cell>
          <cell r="Q184">
            <v>0.25</v>
          </cell>
          <cell r="R184">
            <v>55000000</v>
          </cell>
          <cell r="S184">
            <v>0.152</v>
          </cell>
          <cell r="T184">
            <v>0.152</v>
          </cell>
          <cell r="U184">
            <v>0.157</v>
          </cell>
          <cell r="V184">
            <v>0.16200000000000001</v>
          </cell>
          <cell r="W184">
            <v>0.16700000000000001</v>
          </cell>
          <cell r="X184">
            <v>0.06</v>
          </cell>
          <cell r="Y184">
            <v>0.06</v>
          </cell>
          <cell r="Z184">
            <v>6.5000000000000002E-2</v>
          </cell>
          <cell r="AA184">
            <v>7.0000000000000007E-2</v>
          </cell>
          <cell r="AB184">
            <v>7.5000000000000011E-2</v>
          </cell>
          <cell r="AC184">
            <v>11000000</v>
          </cell>
          <cell r="AD184">
            <v>0</v>
          </cell>
          <cell r="AE184">
            <v>1672916.6666666665</v>
          </cell>
          <cell r="AF184">
            <v>2750000</v>
          </cell>
          <cell r="AG184">
            <v>2750000</v>
          </cell>
          <cell r="AH184">
            <v>2750000</v>
          </cell>
          <cell r="AI184">
            <v>0</v>
          </cell>
          <cell r="AJ184">
            <v>254283.33333333331</v>
          </cell>
          <cell r="AK184">
            <v>431750</v>
          </cell>
          <cell r="AL184">
            <v>445500</v>
          </cell>
          <cell r="AM184">
            <v>459250</v>
          </cell>
          <cell r="AN184">
            <v>0</v>
          </cell>
          <cell r="AO184">
            <v>100374.99999999999</v>
          </cell>
          <cell r="AP184">
            <v>178750</v>
          </cell>
          <cell r="AQ184">
            <v>192500.00000000003</v>
          </cell>
          <cell r="AR184">
            <v>206250.00000000003</v>
          </cell>
          <cell r="AT184" t="str">
            <v>OPP-945575 - Identified - New - IS4</v>
          </cell>
          <cell r="AU184">
            <v>677875</v>
          </cell>
          <cell r="AV184">
            <v>0</v>
          </cell>
          <cell r="AW184">
            <v>677875</v>
          </cell>
          <cell r="AX184">
            <v>0</v>
          </cell>
          <cell r="AZ184">
            <v>173</v>
          </cell>
          <cell r="BA184">
            <v>68</v>
          </cell>
          <cell r="BB184">
            <v>235</v>
          </cell>
        </row>
        <row r="185">
          <cell r="B185" t="str">
            <v>OPP-759689</v>
          </cell>
          <cell r="C185" t="str">
            <v>NSWC Crane GXP Mechanical Devices</v>
          </cell>
          <cell r="D185" t="str">
            <v>IS4</v>
          </cell>
          <cell r="E185" t="str">
            <v>IS4 Spectrum &amp; Infrastructure Assurance</v>
          </cell>
          <cell r="F185" t="str">
            <v>Navy</v>
          </cell>
          <cell r="G185" t="str">
            <v>DOD</v>
          </cell>
          <cell r="H185">
            <v>44788</v>
          </cell>
          <cell r="I185">
            <v>44819</v>
          </cell>
          <cell r="J185">
            <v>46645</v>
          </cell>
          <cell r="K185" t="str">
            <v>Prime</v>
          </cell>
          <cell r="L185" t="str">
            <v>Cost Plus Fixed Fee</v>
          </cell>
          <cell r="M185" t="str">
            <v>Cost Reimbursable</v>
          </cell>
          <cell r="N185" t="str">
            <v>Identified - New</v>
          </cell>
          <cell r="O185" t="str">
            <v>02 Capture</v>
          </cell>
          <cell r="P185" t="str">
            <v>Priority 2</v>
          </cell>
          <cell r="Q185">
            <v>0.5</v>
          </cell>
          <cell r="R185">
            <v>55000000</v>
          </cell>
          <cell r="S185">
            <v>0.16</v>
          </cell>
          <cell r="T185">
            <v>0.16</v>
          </cell>
          <cell r="U185">
            <v>0.16</v>
          </cell>
          <cell r="V185">
            <v>0.16</v>
          </cell>
          <cell r="W185">
            <v>0.16</v>
          </cell>
          <cell r="X185">
            <v>6.8000000000000005E-2</v>
          </cell>
          <cell r="Y185">
            <v>6.8000000000000005E-2</v>
          </cell>
          <cell r="Z185">
            <v>6.8000000000000005E-2</v>
          </cell>
          <cell r="AA185">
            <v>6.8000000000000005E-2</v>
          </cell>
          <cell r="AB185">
            <v>6.8000000000000005E-2</v>
          </cell>
          <cell r="AC185">
            <v>11000000</v>
          </cell>
          <cell r="AD185">
            <v>0</v>
          </cell>
          <cell r="AE185">
            <v>0</v>
          </cell>
          <cell r="AF185">
            <v>0</v>
          </cell>
          <cell r="AG185">
            <v>229166.66666666666</v>
          </cell>
          <cell r="AH185">
            <v>5500000</v>
          </cell>
          <cell r="AI185">
            <v>0</v>
          </cell>
          <cell r="AJ185">
            <v>0</v>
          </cell>
          <cell r="AK185">
            <v>0</v>
          </cell>
          <cell r="AL185">
            <v>36666.666666666664</v>
          </cell>
          <cell r="AM185">
            <v>880000</v>
          </cell>
          <cell r="AN185">
            <v>0</v>
          </cell>
          <cell r="AO185">
            <v>0</v>
          </cell>
          <cell r="AP185">
            <v>0</v>
          </cell>
          <cell r="AQ185">
            <v>15583.333333333334</v>
          </cell>
          <cell r="AR185">
            <v>374000</v>
          </cell>
          <cell r="AT185" t="str">
            <v>OPP-759689 - Identified - New - IS4</v>
          </cell>
          <cell r="AU185">
            <v>389583.33333333331</v>
          </cell>
          <cell r="AV185">
            <v>0</v>
          </cell>
          <cell r="AW185">
            <v>389583.33333333331</v>
          </cell>
          <cell r="AX185">
            <v>0</v>
          </cell>
          <cell r="AZ185">
            <v>174</v>
          </cell>
          <cell r="BA185">
            <v>102</v>
          </cell>
          <cell r="BB185">
            <v>236</v>
          </cell>
        </row>
        <row r="186">
          <cell r="B186" t="str">
            <v>OPP-928432</v>
          </cell>
          <cell r="C186" t="str">
            <v>RS3-19-0015 Signals Intelligence, Navigation Warfare, and Full Scale EW</v>
          </cell>
          <cell r="D186" t="str">
            <v>IS4</v>
          </cell>
          <cell r="E186" t="str">
            <v>IS4 Spectrum &amp; Infrastructure Assurance</v>
          </cell>
          <cell r="F186" t="str">
            <v>Army</v>
          </cell>
          <cell r="G186" t="str">
            <v>DOD</v>
          </cell>
          <cell r="H186">
            <v>43936</v>
          </cell>
          <cell r="I186">
            <v>43936</v>
          </cell>
          <cell r="J186">
            <v>45762</v>
          </cell>
          <cell r="K186" t="str">
            <v>Prime</v>
          </cell>
          <cell r="L186" t="str">
            <v>Cost Plus Fixed Fee</v>
          </cell>
          <cell r="M186" t="str">
            <v>Cost Reimbursable</v>
          </cell>
          <cell r="N186" t="str">
            <v>Identified - New</v>
          </cell>
          <cell r="O186" t="str">
            <v>01 Prospect</v>
          </cell>
          <cell r="P186" t="str">
            <v>Priority 2</v>
          </cell>
          <cell r="Q186">
            <v>0.25</v>
          </cell>
          <cell r="R186">
            <v>52000000</v>
          </cell>
          <cell r="S186">
            <v>0.16</v>
          </cell>
          <cell r="T186">
            <v>0.16</v>
          </cell>
          <cell r="U186">
            <v>0.16</v>
          </cell>
          <cell r="V186">
            <v>0.16</v>
          </cell>
          <cell r="W186">
            <v>0.16</v>
          </cell>
          <cell r="X186">
            <v>6.8000000000000005E-2</v>
          </cell>
          <cell r="Y186">
            <v>6.8000000000000005E-2</v>
          </cell>
          <cell r="Z186">
            <v>6.8000000000000005E-2</v>
          </cell>
          <cell r="AA186">
            <v>6.8000000000000005E-2</v>
          </cell>
          <cell r="AB186">
            <v>6.8000000000000005E-2</v>
          </cell>
          <cell r="AC186">
            <v>10400000</v>
          </cell>
          <cell r="AD186">
            <v>0</v>
          </cell>
          <cell r="AE186">
            <v>1191666.6666666665</v>
          </cell>
          <cell r="AF186">
            <v>2600000</v>
          </cell>
          <cell r="AG186">
            <v>2600000</v>
          </cell>
          <cell r="AH186">
            <v>2600000</v>
          </cell>
          <cell r="AI186">
            <v>0</v>
          </cell>
          <cell r="AJ186">
            <v>190666.66666666666</v>
          </cell>
          <cell r="AK186">
            <v>416000</v>
          </cell>
          <cell r="AL186">
            <v>416000</v>
          </cell>
          <cell r="AM186">
            <v>416000</v>
          </cell>
          <cell r="AN186">
            <v>0</v>
          </cell>
          <cell r="AO186">
            <v>81033.333333333328</v>
          </cell>
          <cell r="AP186">
            <v>176800</v>
          </cell>
          <cell r="AQ186">
            <v>176800</v>
          </cell>
          <cell r="AR186">
            <v>176800</v>
          </cell>
          <cell r="AT186" t="str">
            <v>OPP-928432 - Identified - New - IS4</v>
          </cell>
          <cell r="AU186">
            <v>611433.33333333326</v>
          </cell>
          <cell r="AV186">
            <v>0</v>
          </cell>
          <cell r="AW186">
            <v>611433.33333333326</v>
          </cell>
          <cell r="AX186">
            <v>0</v>
          </cell>
          <cell r="AZ186">
            <v>175</v>
          </cell>
          <cell r="BA186">
            <v>73</v>
          </cell>
          <cell r="BB186">
            <v>237</v>
          </cell>
        </row>
        <row r="187">
          <cell r="B187" t="str">
            <v>OPP-856325</v>
          </cell>
          <cell r="C187" t="str">
            <v>Dynamo TO CP/CT</v>
          </cell>
          <cell r="D187" t="str">
            <v>IS4</v>
          </cell>
          <cell r="E187" t="str">
            <v>IS4 Global Mission Solutions</v>
          </cell>
          <cell r="F187" t="str">
            <v>Classified Agency</v>
          </cell>
          <cell r="G187" t="str">
            <v>Classified</v>
          </cell>
          <cell r="H187">
            <v>43752</v>
          </cell>
          <cell r="I187">
            <v>43770</v>
          </cell>
          <cell r="J187">
            <v>45597</v>
          </cell>
          <cell r="K187" t="str">
            <v>Prime</v>
          </cell>
          <cell r="L187" t="str">
            <v>Cost Plus Fixed Fee</v>
          </cell>
          <cell r="M187" t="str">
            <v>Cost Reimbursable</v>
          </cell>
          <cell r="N187" t="str">
            <v>Identified - New</v>
          </cell>
          <cell r="O187" t="str">
            <v>03 Proposal</v>
          </cell>
          <cell r="P187" t="str">
            <v>Priority 2</v>
          </cell>
          <cell r="Q187">
            <v>0.25</v>
          </cell>
          <cell r="R187">
            <v>50000000</v>
          </cell>
          <cell r="S187">
            <v>0.13700000000000001</v>
          </cell>
          <cell r="T187">
            <v>0.13700000000000001</v>
          </cell>
          <cell r="U187">
            <v>0.13700000000000001</v>
          </cell>
          <cell r="V187">
            <v>0.13700000000000001</v>
          </cell>
          <cell r="W187">
            <v>0.13700000000000001</v>
          </cell>
          <cell r="X187">
            <v>4.4999999999999998E-2</v>
          </cell>
          <cell r="Y187">
            <v>4.4999999999999998E-2</v>
          </cell>
          <cell r="Z187">
            <v>4.4999999999999998E-2</v>
          </cell>
          <cell r="AA187">
            <v>4.4999999999999998E-2</v>
          </cell>
          <cell r="AB187">
            <v>4.4999999999999998E-2</v>
          </cell>
          <cell r="AC187">
            <v>10000000</v>
          </cell>
          <cell r="AD187">
            <v>0</v>
          </cell>
          <cell r="AE187">
            <v>2284722.222222222</v>
          </cell>
          <cell r="AF187">
            <v>2500000</v>
          </cell>
          <cell r="AG187">
            <v>2500000</v>
          </cell>
          <cell r="AH187">
            <v>2500000</v>
          </cell>
          <cell r="AI187">
            <v>0</v>
          </cell>
          <cell r="AJ187">
            <v>313006.94444444444</v>
          </cell>
          <cell r="AK187">
            <v>342500</v>
          </cell>
          <cell r="AL187">
            <v>342500</v>
          </cell>
          <cell r="AM187">
            <v>342500</v>
          </cell>
          <cell r="AN187">
            <v>0</v>
          </cell>
          <cell r="AO187">
            <v>102812.49999999999</v>
          </cell>
          <cell r="AP187">
            <v>112500</v>
          </cell>
          <cell r="AQ187">
            <v>112500</v>
          </cell>
          <cell r="AR187">
            <v>112500</v>
          </cell>
          <cell r="AT187" t="str">
            <v>OPP-856325 - Identified - New - IS4</v>
          </cell>
          <cell r="AU187">
            <v>440312.5</v>
          </cell>
          <cell r="AV187">
            <v>0</v>
          </cell>
          <cell r="AW187">
            <v>440312.5</v>
          </cell>
          <cell r="AX187">
            <v>0</v>
          </cell>
          <cell r="AZ187">
            <v>176</v>
          </cell>
          <cell r="BA187">
            <v>90</v>
          </cell>
          <cell r="BB187">
            <v>238</v>
          </cell>
        </row>
        <row r="188">
          <cell r="B188" t="str">
            <v>OPP-861525</v>
          </cell>
          <cell r="C188" t="str">
            <v>Dynamo TO Project</v>
          </cell>
          <cell r="D188" t="str">
            <v>IS4</v>
          </cell>
          <cell r="E188" t="str">
            <v>IS4 Global Mission Solutions</v>
          </cell>
          <cell r="F188" t="str">
            <v>Classified Agency</v>
          </cell>
          <cell r="G188" t="str">
            <v>Classified</v>
          </cell>
          <cell r="H188">
            <v>43770</v>
          </cell>
          <cell r="I188">
            <v>43801</v>
          </cell>
          <cell r="J188">
            <v>45628</v>
          </cell>
          <cell r="K188" t="str">
            <v>Prime</v>
          </cell>
          <cell r="L188" t="str">
            <v>Cost Plus Fixed Fee</v>
          </cell>
          <cell r="M188" t="str">
            <v>Cost Reimbursable</v>
          </cell>
          <cell r="N188" t="str">
            <v>Identified - New</v>
          </cell>
          <cell r="O188" t="str">
            <v>03 Proposal</v>
          </cell>
          <cell r="P188" t="str">
            <v>Priority 2</v>
          </cell>
          <cell r="Q188">
            <v>0.25</v>
          </cell>
          <cell r="R188">
            <v>50000000</v>
          </cell>
          <cell r="S188">
            <v>0.13700000000000001</v>
          </cell>
          <cell r="T188">
            <v>0.13700000000000001</v>
          </cell>
          <cell r="U188">
            <v>0.13700000000000001</v>
          </cell>
          <cell r="V188">
            <v>0.13700000000000001</v>
          </cell>
          <cell r="W188">
            <v>0.13700000000000001</v>
          </cell>
          <cell r="X188">
            <v>4.4999999999999998E-2</v>
          </cell>
          <cell r="Y188">
            <v>4.4999999999999998E-2</v>
          </cell>
          <cell r="Z188">
            <v>4.4999999999999998E-2</v>
          </cell>
          <cell r="AA188">
            <v>4.4999999999999998E-2</v>
          </cell>
          <cell r="AB188">
            <v>4.4999999999999998E-2</v>
          </cell>
          <cell r="AC188">
            <v>10000000</v>
          </cell>
          <cell r="AD188">
            <v>0</v>
          </cell>
          <cell r="AE188">
            <v>2069444.4444444443</v>
          </cell>
          <cell r="AF188">
            <v>2500000</v>
          </cell>
          <cell r="AG188">
            <v>2500000</v>
          </cell>
          <cell r="AH188">
            <v>2500000</v>
          </cell>
          <cell r="AI188">
            <v>0</v>
          </cell>
          <cell r="AJ188">
            <v>283513.88888888888</v>
          </cell>
          <cell r="AK188">
            <v>342500</v>
          </cell>
          <cell r="AL188">
            <v>342500</v>
          </cell>
          <cell r="AM188">
            <v>342500</v>
          </cell>
          <cell r="AN188">
            <v>0</v>
          </cell>
          <cell r="AO188">
            <v>93124.999999999985</v>
          </cell>
          <cell r="AP188">
            <v>112500</v>
          </cell>
          <cell r="AQ188">
            <v>112500</v>
          </cell>
          <cell r="AR188">
            <v>112500</v>
          </cell>
          <cell r="AT188" t="str">
            <v>OPP-861525 - Identified - New - IS4</v>
          </cell>
          <cell r="AU188">
            <v>430625</v>
          </cell>
          <cell r="AV188">
            <v>0</v>
          </cell>
          <cell r="AW188">
            <v>430625</v>
          </cell>
          <cell r="AX188">
            <v>0</v>
          </cell>
          <cell r="AZ188">
            <v>177</v>
          </cell>
          <cell r="BA188">
            <v>92</v>
          </cell>
          <cell r="BB188">
            <v>239</v>
          </cell>
        </row>
        <row r="189">
          <cell r="B189" t="str">
            <v>OPP-856302</v>
          </cell>
          <cell r="C189" t="str">
            <v>Dynamo TO Europe</v>
          </cell>
          <cell r="D189" t="str">
            <v>IS4</v>
          </cell>
          <cell r="E189" t="str">
            <v>IS4 Global Mission Solutions</v>
          </cell>
          <cell r="F189" t="str">
            <v>Classified Agency</v>
          </cell>
          <cell r="G189" t="str">
            <v>Classified</v>
          </cell>
          <cell r="H189">
            <v>43770</v>
          </cell>
          <cell r="I189">
            <v>43801</v>
          </cell>
          <cell r="J189">
            <v>45628</v>
          </cell>
          <cell r="K189" t="str">
            <v>Prime</v>
          </cell>
          <cell r="L189" t="str">
            <v>Cost Plus Fixed Fee</v>
          </cell>
          <cell r="M189" t="str">
            <v>Cost Reimbursable</v>
          </cell>
          <cell r="N189" t="str">
            <v>Identified - New</v>
          </cell>
          <cell r="O189" t="str">
            <v>03 Proposal</v>
          </cell>
          <cell r="P189" t="str">
            <v>Priority 2</v>
          </cell>
          <cell r="Q189">
            <v>0.25</v>
          </cell>
          <cell r="R189">
            <v>50000000</v>
          </cell>
          <cell r="S189">
            <v>0.13700000000000001</v>
          </cell>
          <cell r="T189">
            <v>0.13700000000000001</v>
          </cell>
          <cell r="U189">
            <v>0.13700000000000001</v>
          </cell>
          <cell r="V189">
            <v>0.13700000000000001</v>
          </cell>
          <cell r="W189">
            <v>0.13700000000000001</v>
          </cell>
          <cell r="X189">
            <v>4.4999999999999998E-2</v>
          </cell>
          <cell r="Y189">
            <v>4.4999999999999998E-2</v>
          </cell>
          <cell r="Z189">
            <v>4.4999999999999998E-2</v>
          </cell>
          <cell r="AA189">
            <v>4.4999999999999998E-2</v>
          </cell>
          <cell r="AB189">
            <v>4.4999999999999998E-2</v>
          </cell>
          <cell r="AC189">
            <v>10000000</v>
          </cell>
          <cell r="AD189">
            <v>0</v>
          </cell>
          <cell r="AE189">
            <v>2069444.4444444443</v>
          </cell>
          <cell r="AF189">
            <v>2500000</v>
          </cell>
          <cell r="AG189">
            <v>2500000</v>
          </cell>
          <cell r="AH189">
            <v>2500000</v>
          </cell>
          <cell r="AI189">
            <v>0</v>
          </cell>
          <cell r="AJ189">
            <v>283513.88888888888</v>
          </cell>
          <cell r="AK189">
            <v>342500</v>
          </cell>
          <cell r="AL189">
            <v>342500</v>
          </cell>
          <cell r="AM189">
            <v>342500</v>
          </cell>
          <cell r="AN189">
            <v>0</v>
          </cell>
          <cell r="AO189">
            <v>93124.999999999985</v>
          </cell>
          <cell r="AP189">
            <v>112500</v>
          </cell>
          <cell r="AQ189">
            <v>112500</v>
          </cell>
          <cell r="AR189">
            <v>112500</v>
          </cell>
          <cell r="AT189" t="str">
            <v>OPP-856302 - Identified - New - IS4</v>
          </cell>
          <cell r="AU189">
            <v>430625</v>
          </cell>
          <cell r="AV189">
            <v>0</v>
          </cell>
          <cell r="AW189">
            <v>430625</v>
          </cell>
          <cell r="AX189">
            <v>0</v>
          </cell>
          <cell r="AZ189">
            <v>178</v>
          </cell>
          <cell r="BA189">
            <v>93</v>
          </cell>
          <cell r="BB189">
            <v>240</v>
          </cell>
        </row>
        <row r="190">
          <cell r="B190" t="str">
            <v>OPP-861521</v>
          </cell>
          <cell r="C190" t="str">
            <v>Dynamo TO Quality Assurance</v>
          </cell>
          <cell r="D190" t="str">
            <v>IS4</v>
          </cell>
          <cell r="E190" t="str">
            <v>IS4 Global Mission Solutions</v>
          </cell>
          <cell r="F190" t="str">
            <v>Classified Agency</v>
          </cell>
          <cell r="G190" t="str">
            <v>Classified</v>
          </cell>
          <cell r="H190">
            <v>43892</v>
          </cell>
          <cell r="I190">
            <v>43892</v>
          </cell>
          <cell r="J190">
            <v>45718</v>
          </cell>
          <cell r="K190" t="str">
            <v>Prime</v>
          </cell>
          <cell r="L190" t="str">
            <v>Cost Plus Fixed Fee</v>
          </cell>
          <cell r="M190" t="str">
            <v>Cost Reimbursable</v>
          </cell>
          <cell r="N190" t="str">
            <v>Identified - New</v>
          </cell>
          <cell r="O190" t="str">
            <v>03 Proposal</v>
          </cell>
          <cell r="P190" t="str">
            <v>Priority 2</v>
          </cell>
          <cell r="Q190">
            <v>0.25</v>
          </cell>
          <cell r="R190">
            <v>50000000</v>
          </cell>
          <cell r="S190">
            <v>0.13700000000000001</v>
          </cell>
          <cell r="T190">
            <v>0.13700000000000001</v>
          </cell>
          <cell r="U190">
            <v>0.13700000000000001</v>
          </cell>
          <cell r="V190">
            <v>0.13700000000000001</v>
          </cell>
          <cell r="W190">
            <v>0.13700000000000001</v>
          </cell>
          <cell r="X190">
            <v>4.4999999999999998E-2</v>
          </cell>
          <cell r="Y190">
            <v>4.4999999999999998E-2</v>
          </cell>
          <cell r="Z190">
            <v>4.4999999999999998E-2</v>
          </cell>
          <cell r="AA190">
            <v>4.4999999999999998E-2</v>
          </cell>
          <cell r="AB190">
            <v>4.4999999999999998E-2</v>
          </cell>
          <cell r="AC190">
            <v>10000000</v>
          </cell>
          <cell r="AD190">
            <v>0</v>
          </cell>
          <cell r="AE190">
            <v>1444444.4444444443</v>
          </cell>
          <cell r="AF190">
            <v>2500000</v>
          </cell>
          <cell r="AG190">
            <v>2500000</v>
          </cell>
          <cell r="AH190">
            <v>2500000</v>
          </cell>
          <cell r="AI190">
            <v>0</v>
          </cell>
          <cell r="AJ190">
            <v>197888.88888888888</v>
          </cell>
          <cell r="AK190">
            <v>342500</v>
          </cell>
          <cell r="AL190">
            <v>342500</v>
          </cell>
          <cell r="AM190">
            <v>342500</v>
          </cell>
          <cell r="AN190">
            <v>0</v>
          </cell>
          <cell r="AO190">
            <v>64999.999999999993</v>
          </cell>
          <cell r="AP190">
            <v>112500</v>
          </cell>
          <cell r="AQ190">
            <v>112500</v>
          </cell>
          <cell r="AR190">
            <v>112500</v>
          </cell>
          <cell r="AT190" t="str">
            <v>OPP-861521 - Identified - New - IS4</v>
          </cell>
          <cell r="AU190">
            <v>402500</v>
          </cell>
          <cell r="AV190">
            <v>0</v>
          </cell>
          <cell r="AW190">
            <v>402500</v>
          </cell>
          <cell r="AX190">
            <v>0</v>
          </cell>
          <cell r="AZ190">
            <v>179</v>
          </cell>
          <cell r="BA190">
            <v>98</v>
          </cell>
          <cell r="BB190">
            <v>241</v>
          </cell>
        </row>
        <row r="191">
          <cell r="B191" t="str">
            <v>OPP-919129</v>
          </cell>
          <cell r="C191" t="str">
            <v>USASOC CTC Support</v>
          </cell>
          <cell r="D191" t="str">
            <v>IS4</v>
          </cell>
          <cell r="E191" t="str">
            <v>IS4 Spectrum &amp; Infrastructure Assurance</v>
          </cell>
          <cell r="F191" t="str">
            <v>Army</v>
          </cell>
          <cell r="G191" t="str">
            <v>DOD</v>
          </cell>
          <cell r="H191">
            <v>43875</v>
          </cell>
          <cell r="I191">
            <v>43892</v>
          </cell>
          <cell r="J191">
            <v>45718</v>
          </cell>
          <cell r="K191" t="str">
            <v>Prime</v>
          </cell>
          <cell r="L191" t="str">
            <v>Cost Plus Fixed Fee</v>
          </cell>
          <cell r="M191" t="str">
            <v>Cost Reimbursable</v>
          </cell>
          <cell r="N191" t="str">
            <v>Identified - New</v>
          </cell>
          <cell r="O191" t="str">
            <v>01 Prospect</v>
          </cell>
          <cell r="P191" t="str">
            <v>Priority 2</v>
          </cell>
          <cell r="Q191">
            <v>0.3</v>
          </cell>
          <cell r="R191">
            <v>50000000</v>
          </cell>
          <cell r="S191">
            <v>0.16</v>
          </cell>
          <cell r="T191">
            <v>0.16</v>
          </cell>
          <cell r="U191">
            <v>0.16</v>
          </cell>
          <cell r="V191">
            <v>0.16</v>
          </cell>
          <cell r="W191">
            <v>0.16</v>
          </cell>
          <cell r="X191">
            <v>6.8000000000000005E-2</v>
          </cell>
          <cell r="Y191">
            <v>6.8000000000000005E-2</v>
          </cell>
          <cell r="Z191">
            <v>6.8000000000000005E-2</v>
          </cell>
          <cell r="AA191">
            <v>6.8000000000000005E-2</v>
          </cell>
          <cell r="AB191">
            <v>6.8000000000000005E-2</v>
          </cell>
          <cell r="AC191">
            <v>10000000</v>
          </cell>
          <cell r="AD191">
            <v>0</v>
          </cell>
          <cell r="AE191">
            <v>1733333.333333333</v>
          </cell>
          <cell r="AF191">
            <v>3000000</v>
          </cell>
          <cell r="AG191">
            <v>3000000</v>
          </cell>
          <cell r="AH191">
            <v>3000000</v>
          </cell>
          <cell r="AI191">
            <v>0</v>
          </cell>
          <cell r="AJ191">
            <v>277333.33333333331</v>
          </cell>
          <cell r="AK191">
            <v>480000</v>
          </cell>
          <cell r="AL191">
            <v>480000</v>
          </cell>
          <cell r="AM191">
            <v>480000</v>
          </cell>
          <cell r="AN191">
            <v>0</v>
          </cell>
          <cell r="AO191">
            <v>117866.66666666666</v>
          </cell>
          <cell r="AP191">
            <v>204000.00000000003</v>
          </cell>
          <cell r="AQ191">
            <v>204000.00000000003</v>
          </cell>
          <cell r="AR191">
            <v>204000.00000000003</v>
          </cell>
          <cell r="AT191" t="str">
            <v>OPP-919129 - Identified - New - IS4</v>
          </cell>
          <cell r="AU191">
            <v>729866.66666666674</v>
          </cell>
          <cell r="AV191">
            <v>0</v>
          </cell>
          <cell r="AW191">
            <v>729866.66666666674</v>
          </cell>
          <cell r="AX191">
            <v>0</v>
          </cell>
          <cell r="AZ191">
            <v>180</v>
          </cell>
          <cell r="BA191">
            <v>65</v>
          </cell>
          <cell r="BB191">
            <v>242</v>
          </cell>
        </row>
        <row r="192">
          <cell r="B192" t="str">
            <v>OPP-940709</v>
          </cell>
          <cell r="C192" t="str">
            <v>Special Operations Forces Acquisition, Technology, &amp; Logistics (SOF AT&amp;L)</v>
          </cell>
          <cell r="D192" t="str">
            <v>IS4</v>
          </cell>
          <cell r="E192" t="str">
            <v>IS4 Spectrum &amp; Infrastructure Assurance</v>
          </cell>
          <cell r="F192" t="str">
            <v>Other DOD</v>
          </cell>
          <cell r="G192" t="str">
            <v>DOD</v>
          </cell>
          <cell r="H192">
            <v>43903</v>
          </cell>
          <cell r="I192">
            <v>43962</v>
          </cell>
          <cell r="J192">
            <v>45788</v>
          </cell>
          <cell r="K192" t="str">
            <v>Prime</v>
          </cell>
          <cell r="L192" t="str">
            <v>Cost Plus Fixed Fee; Fixed Price</v>
          </cell>
          <cell r="M192" t="str">
            <v>Cost Reimbursable</v>
          </cell>
          <cell r="N192" t="str">
            <v>Identified - New</v>
          </cell>
          <cell r="O192" t="str">
            <v>02 Capture</v>
          </cell>
          <cell r="P192" t="str">
            <v>Priority 2</v>
          </cell>
          <cell r="Q192">
            <v>0.25</v>
          </cell>
          <cell r="R192">
            <v>50000000</v>
          </cell>
          <cell r="S192">
            <v>0.16</v>
          </cell>
          <cell r="T192">
            <v>0.16</v>
          </cell>
          <cell r="U192">
            <v>0.16</v>
          </cell>
          <cell r="V192">
            <v>0.16</v>
          </cell>
          <cell r="W192">
            <v>0.16</v>
          </cell>
          <cell r="X192">
            <v>6.8000000000000005E-2</v>
          </cell>
          <cell r="Y192">
            <v>6.8000000000000005E-2</v>
          </cell>
          <cell r="Z192">
            <v>6.8000000000000005E-2</v>
          </cell>
          <cell r="AA192">
            <v>6.8000000000000005E-2</v>
          </cell>
          <cell r="AB192">
            <v>6.8000000000000005E-2</v>
          </cell>
          <cell r="AC192">
            <v>10000000</v>
          </cell>
          <cell r="AD192">
            <v>0</v>
          </cell>
          <cell r="AE192">
            <v>965277.77777777787</v>
          </cell>
          <cell r="AF192">
            <v>2500000</v>
          </cell>
          <cell r="AG192">
            <v>2500000</v>
          </cell>
          <cell r="AH192">
            <v>2500000</v>
          </cell>
          <cell r="AI192">
            <v>0</v>
          </cell>
          <cell r="AJ192">
            <v>154444.44444444447</v>
          </cell>
          <cell r="AK192">
            <v>400000</v>
          </cell>
          <cell r="AL192">
            <v>400000</v>
          </cell>
          <cell r="AM192">
            <v>400000</v>
          </cell>
          <cell r="AN192">
            <v>0</v>
          </cell>
          <cell r="AO192">
            <v>65638.888888888905</v>
          </cell>
          <cell r="AP192">
            <v>170000</v>
          </cell>
          <cell r="AQ192">
            <v>170000</v>
          </cell>
          <cell r="AR192">
            <v>170000</v>
          </cell>
          <cell r="AT192" t="str">
            <v>OPP-940709 - Identified - New - IS4</v>
          </cell>
          <cell r="AU192">
            <v>575638.88888888888</v>
          </cell>
          <cell r="AV192">
            <v>0</v>
          </cell>
          <cell r="AW192">
            <v>575638.88888888888</v>
          </cell>
          <cell r="AX192">
            <v>0</v>
          </cell>
          <cell r="AZ192">
            <v>181</v>
          </cell>
          <cell r="BA192">
            <v>77</v>
          </cell>
          <cell r="BB192">
            <v>243</v>
          </cell>
        </row>
        <row r="193">
          <cell r="B193" t="str">
            <v>OPP-959199</v>
          </cell>
          <cell r="C193" t="str">
            <v>RS3-19-0040 PL NET-E PPDSS</v>
          </cell>
          <cell r="D193" t="str">
            <v>IS4</v>
          </cell>
          <cell r="E193" t="str">
            <v>IS4 Spectrum &amp; Infrastructure Assurance</v>
          </cell>
          <cell r="F193" t="str">
            <v>Air Force</v>
          </cell>
          <cell r="G193" t="str">
            <v>DOD</v>
          </cell>
          <cell r="H193">
            <v>44008</v>
          </cell>
          <cell r="I193">
            <v>44039</v>
          </cell>
          <cell r="J193">
            <v>45865</v>
          </cell>
          <cell r="K193" t="str">
            <v>Prime</v>
          </cell>
          <cell r="L193" t="str">
            <v>Cost Plus Fixed Fee</v>
          </cell>
          <cell r="M193" t="str">
            <v>Cost Reimbursable</v>
          </cell>
          <cell r="N193" t="str">
            <v>Identified - New</v>
          </cell>
          <cell r="O193" t="str">
            <v>01 Prospect</v>
          </cell>
          <cell r="P193" t="str">
            <v>Priority 2</v>
          </cell>
          <cell r="Q193">
            <v>0.25</v>
          </cell>
          <cell r="R193">
            <v>50000000</v>
          </cell>
          <cell r="S193">
            <v>0.16</v>
          </cell>
          <cell r="T193">
            <v>0.16</v>
          </cell>
          <cell r="U193">
            <v>0.16</v>
          </cell>
          <cell r="V193">
            <v>0.16</v>
          </cell>
          <cell r="W193">
            <v>0.16</v>
          </cell>
          <cell r="X193">
            <v>6.8000000000000005E-2</v>
          </cell>
          <cell r="Y193">
            <v>6.8000000000000005E-2</v>
          </cell>
          <cell r="Z193">
            <v>6.8000000000000005E-2</v>
          </cell>
          <cell r="AA193">
            <v>6.8000000000000005E-2</v>
          </cell>
          <cell r="AB193">
            <v>6.8000000000000005E-2</v>
          </cell>
          <cell r="AC193">
            <v>10000000</v>
          </cell>
          <cell r="AD193">
            <v>0</v>
          </cell>
          <cell r="AE193">
            <v>437500</v>
          </cell>
          <cell r="AF193">
            <v>2500000</v>
          </cell>
          <cell r="AG193">
            <v>2500000</v>
          </cell>
          <cell r="AH193">
            <v>2500000</v>
          </cell>
          <cell r="AI193">
            <v>0</v>
          </cell>
          <cell r="AJ193">
            <v>70000</v>
          </cell>
          <cell r="AK193">
            <v>400000</v>
          </cell>
          <cell r="AL193">
            <v>400000</v>
          </cell>
          <cell r="AM193">
            <v>400000</v>
          </cell>
          <cell r="AN193">
            <v>0</v>
          </cell>
          <cell r="AO193">
            <v>29750.000000000004</v>
          </cell>
          <cell r="AP193">
            <v>170000</v>
          </cell>
          <cell r="AQ193">
            <v>170000</v>
          </cell>
          <cell r="AR193">
            <v>170000</v>
          </cell>
          <cell r="AT193" t="str">
            <v>OPP-959199 - Identified - New - IS4</v>
          </cell>
          <cell r="AU193">
            <v>539750</v>
          </cell>
          <cell r="AV193">
            <v>0</v>
          </cell>
          <cell r="AW193">
            <v>539750</v>
          </cell>
          <cell r="AX193">
            <v>0</v>
          </cell>
          <cell r="AZ193">
            <v>182</v>
          </cell>
          <cell r="BA193">
            <v>79</v>
          </cell>
          <cell r="BB193">
            <v>244</v>
          </cell>
        </row>
        <row r="194">
          <cell r="B194" t="str">
            <v>OPP-723439</v>
          </cell>
          <cell r="C194" t="str">
            <v>SPAWAR SSC RDT&amp;E Support Services</v>
          </cell>
          <cell r="D194" t="str">
            <v>IS4</v>
          </cell>
          <cell r="E194" t="str">
            <v>IS4 Spectrum &amp; Infrastructure Assurance</v>
          </cell>
          <cell r="F194" t="str">
            <v>Navy</v>
          </cell>
          <cell r="G194" t="str">
            <v>DOD</v>
          </cell>
          <cell r="H194">
            <v>44910</v>
          </cell>
          <cell r="I194">
            <v>44925</v>
          </cell>
          <cell r="J194">
            <v>46751</v>
          </cell>
          <cell r="K194" t="str">
            <v>Prime</v>
          </cell>
          <cell r="L194" t="str">
            <v>Cost Plus Fixed Fee</v>
          </cell>
          <cell r="M194" t="str">
            <v>Cost Reimbursable</v>
          </cell>
          <cell r="N194" t="str">
            <v>Identified - New</v>
          </cell>
          <cell r="O194" t="str">
            <v>01 Prospect</v>
          </cell>
          <cell r="P194" t="str">
            <v>Priority 2</v>
          </cell>
          <cell r="Q194">
            <v>0.25</v>
          </cell>
          <cell r="R194">
            <v>50000000</v>
          </cell>
          <cell r="S194">
            <v>0.16</v>
          </cell>
          <cell r="T194">
            <v>0.16</v>
          </cell>
          <cell r="U194">
            <v>0.16</v>
          </cell>
          <cell r="V194">
            <v>0.16</v>
          </cell>
          <cell r="W194">
            <v>0.16</v>
          </cell>
          <cell r="X194">
            <v>6.8000000000000005E-2</v>
          </cell>
          <cell r="Y194">
            <v>6.8000000000000005E-2</v>
          </cell>
          <cell r="Z194">
            <v>6.8000000000000005E-2</v>
          </cell>
          <cell r="AA194">
            <v>6.8000000000000005E-2</v>
          </cell>
          <cell r="AB194">
            <v>6.8000000000000005E-2</v>
          </cell>
          <cell r="AC194">
            <v>10000000</v>
          </cell>
          <cell r="AD194">
            <v>0</v>
          </cell>
          <cell r="AE194">
            <v>0</v>
          </cell>
          <cell r="AF194">
            <v>0</v>
          </cell>
          <cell r="AG194">
            <v>0</v>
          </cell>
          <cell r="AH194">
            <v>1875000</v>
          </cell>
          <cell r="AI194">
            <v>0</v>
          </cell>
          <cell r="AJ194">
            <v>0</v>
          </cell>
          <cell r="AK194">
            <v>0</v>
          </cell>
          <cell r="AL194">
            <v>0</v>
          </cell>
          <cell r="AM194">
            <v>300000</v>
          </cell>
          <cell r="AN194">
            <v>0</v>
          </cell>
          <cell r="AO194">
            <v>0</v>
          </cell>
          <cell r="AP194">
            <v>0</v>
          </cell>
          <cell r="AQ194">
            <v>0</v>
          </cell>
          <cell r="AR194">
            <v>127500.00000000001</v>
          </cell>
          <cell r="AT194" t="str">
            <v>OPP-723439 - Identified - New - IS4</v>
          </cell>
          <cell r="AU194">
            <v>127500.00000000001</v>
          </cell>
          <cell r="AV194">
            <v>0</v>
          </cell>
          <cell r="AW194">
            <v>127500.00000000001</v>
          </cell>
          <cell r="AX194">
            <v>0</v>
          </cell>
          <cell r="AZ194">
            <v>183</v>
          </cell>
          <cell r="BA194">
            <v>159</v>
          </cell>
          <cell r="BB194">
            <v>245</v>
          </cell>
        </row>
        <row r="195">
          <cell r="B195" t="str">
            <v>OPP-685931</v>
          </cell>
          <cell r="C195" t="str">
            <v>NRL-ERDS</v>
          </cell>
          <cell r="D195" t="str">
            <v>IS4</v>
          </cell>
          <cell r="E195" t="str">
            <v>IS4 Spectrum &amp; Infrastructure Assurance</v>
          </cell>
          <cell r="F195" t="str">
            <v>Navy</v>
          </cell>
          <cell r="G195" t="str">
            <v>DOD</v>
          </cell>
          <cell r="H195">
            <v>45023</v>
          </cell>
          <cell r="I195">
            <v>45047</v>
          </cell>
          <cell r="J195">
            <v>46874</v>
          </cell>
          <cell r="K195" t="str">
            <v>Prime</v>
          </cell>
          <cell r="L195" t="str">
            <v>Cost Plus Fixed Fee</v>
          </cell>
          <cell r="M195" t="str">
            <v>Cost Reimbursable</v>
          </cell>
          <cell r="N195" t="str">
            <v>Identified - New</v>
          </cell>
          <cell r="O195" t="str">
            <v>01 Prospect</v>
          </cell>
          <cell r="P195" t="str">
            <v>Priority 2</v>
          </cell>
          <cell r="Q195">
            <v>0.5</v>
          </cell>
          <cell r="R195">
            <v>50000000</v>
          </cell>
          <cell r="S195">
            <v>0.16</v>
          </cell>
          <cell r="T195">
            <v>0.16</v>
          </cell>
          <cell r="U195">
            <v>0.16</v>
          </cell>
          <cell r="V195">
            <v>0.16</v>
          </cell>
          <cell r="W195">
            <v>0.16</v>
          </cell>
          <cell r="X195">
            <v>6.8000000000000005E-2</v>
          </cell>
          <cell r="Y195">
            <v>6.8000000000000005E-2</v>
          </cell>
          <cell r="Z195">
            <v>6.8000000000000005E-2</v>
          </cell>
          <cell r="AA195">
            <v>6.8000000000000005E-2</v>
          </cell>
          <cell r="AB195">
            <v>6.8000000000000005E-2</v>
          </cell>
          <cell r="AC195">
            <v>10000000</v>
          </cell>
          <cell r="AD195">
            <v>0</v>
          </cell>
          <cell r="AE195">
            <v>0</v>
          </cell>
          <cell r="AF195">
            <v>0</v>
          </cell>
          <cell r="AG195">
            <v>0</v>
          </cell>
          <cell r="AH195">
            <v>2069444.4444444443</v>
          </cell>
          <cell r="AI195">
            <v>0</v>
          </cell>
          <cell r="AJ195">
            <v>0</v>
          </cell>
          <cell r="AK195">
            <v>0</v>
          </cell>
          <cell r="AL195">
            <v>0</v>
          </cell>
          <cell r="AM195">
            <v>331111.11111111107</v>
          </cell>
          <cell r="AN195">
            <v>0</v>
          </cell>
          <cell r="AO195">
            <v>0</v>
          </cell>
          <cell r="AP195">
            <v>0</v>
          </cell>
          <cell r="AQ195">
            <v>0</v>
          </cell>
          <cell r="AR195">
            <v>140722.22222222222</v>
          </cell>
          <cell r="AT195" t="str">
            <v>OPP-685931 - Identified - New - IS4</v>
          </cell>
          <cell r="AU195">
            <v>140722.22222222222</v>
          </cell>
          <cell r="AV195">
            <v>0</v>
          </cell>
          <cell r="AW195">
            <v>140722.22222222222</v>
          </cell>
          <cell r="AX195">
            <v>0</v>
          </cell>
          <cell r="AZ195">
            <v>184</v>
          </cell>
          <cell r="BA195">
            <v>152</v>
          </cell>
          <cell r="BB195">
            <v>246</v>
          </cell>
        </row>
        <row r="196">
          <cell r="B196" t="str">
            <v>OPP-941774</v>
          </cell>
          <cell r="C196" t="str">
            <v>DOD DC3 Cyber Training Academy</v>
          </cell>
          <cell r="D196" t="str">
            <v>IS4</v>
          </cell>
          <cell r="E196" t="str">
            <v>IS4 Spectrum &amp; Infrastructure Assurance</v>
          </cell>
          <cell r="F196" t="str">
            <v>Other DOD</v>
          </cell>
          <cell r="G196" t="str">
            <v>DOD</v>
          </cell>
          <cell r="H196">
            <v>45261</v>
          </cell>
          <cell r="I196">
            <v>45261</v>
          </cell>
          <cell r="J196">
            <v>46722</v>
          </cell>
          <cell r="K196" t="str">
            <v>Prime</v>
          </cell>
          <cell r="L196" t="str">
            <v>Cost Plus Award Fee</v>
          </cell>
          <cell r="M196" t="str">
            <v>Cost Reimbursable</v>
          </cell>
          <cell r="N196" t="str">
            <v>Identified - New</v>
          </cell>
          <cell r="O196" t="str">
            <v>01 Prospect</v>
          </cell>
          <cell r="P196" t="str">
            <v>Priority 2</v>
          </cell>
          <cell r="Q196">
            <v>0.15</v>
          </cell>
          <cell r="R196">
            <v>50000000</v>
          </cell>
          <cell r="S196">
            <v>0.152</v>
          </cell>
          <cell r="T196">
            <v>0.152</v>
          </cell>
          <cell r="U196">
            <v>0.17199999999999999</v>
          </cell>
          <cell r="V196">
            <v>0.17199999999999999</v>
          </cell>
          <cell r="W196">
            <v>0.17199999999999999</v>
          </cell>
          <cell r="X196">
            <v>0.06</v>
          </cell>
          <cell r="Y196">
            <v>0.06</v>
          </cell>
          <cell r="Z196">
            <v>0.08</v>
          </cell>
          <cell r="AA196">
            <v>0.08</v>
          </cell>
          <cell r="AB196">
            <v>0.08</v>
          </cell>
          <cell r="AC196">
            <v>12500000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T196" t="str">
            <v>OPP-941774 - Identified - New - IS4</v>
          </cell>
          <cell r="AU196">
            <v>0</v>
          </cell>
          <cell r="AV196">
            <v>0</v>
          </cell>
          <cell r="AW196">
            <v>0</v>
          </cell>
          <cell r="AX196">
            <v>0</v>
          </cell>
          <cell r="AZ196">
            <v>185</v>
          </cell>
          <cell r="BA196">
            <v>377</v>
          </cell>
          <cell r="BB196">
            <v>247</v>
          </cell>
        </row>
        <row r="197">
          <cell r="B197" t="str">
            <v>OPP-918833</v>
          </cell>
          <cell r="C197" t="str">
            <v>PEO LS GATOR Support</v>
          </cell>
          <cell r="D197" t="str">
            <v>IS4</v>
          </cell>
          <cell r="E197" t="str">
            <v>IS4 Spectrum &amp; Infrastructure Assurance</v>
          </cell>
          <cell r="F197" t="str">
            <v>Marine Corps</v>
          </cell>
          <cell r="G197" t="str">
            <v>DOD</v>
          </cell>
          <cell r="H197">
            <v>44106</v>
          </cell>
          <cell r="I197">
            <v>44141</v>
          </cell>
          <cell r="J197">
            <v>45967</v>
          </cell>
          <cell r="K197" t="str">
            <v>Prime</v>
          </cell>
          <cell r="L197" t="str">
            <v>Fixed Price</v>
          </cell>
          <cell r="M197" t="str">
            <v>Fixed Price</v>
          </cell>
          <cell r="N197" t="str">
            <v>Identified - New</v>
          </cell>
          <cell r="O197" t="str">
            <v>01 Prospect</v>
          </cell>
          <cell r="P197" t="str">
            <v>Priority 2</v>
          </cell>
          <cell r="Q197">
            <v>0.15</v>
          </cell>
          <cell r="R197">
            <v>49000000</v>
          </cell>
          <cell r="S197">
            <v>0.17199999999999999</v>
          </cell>
          <cell r="T197">
            <v>0.17199999999999999</v>
          </cell>
          <cell r="U197">
            <v>0.17299999999999999</v>
          </cell>
          <cell r="V197">
            <v>0.17499999999999999</v>
          </cell>
          <cell r="W197">
            <v>0.18</v>
          </cell>
          <cell r="X197">
            <v>0.08</v>
          </cell>
          <cell r="Y197">
            <v>0.08</v>
          </cell>
          <cell r="Z197">
            <v>8.1000000000000003E-2</v>
          </cell>
          <cell r="AA197">
            <v>8.3000000000000004E-2</v>
          </cell>
          <cell r="AB197">
            <v>8.8000000000000009E-2</v>
          </cell>
          <cell r="AC197">
            <v>9800000</v>
          </cell>
          <cell r="AD197">
            <v>0</v>
          </cell>
          <cell r="AE197">
            <v>0</v>
          </cell>
          <cell r="AF197">
            <v>1323000</v>
          </cell>
          <cell r="AG197">
            <v>1470000</v>
          </cell>
          <cell r="AH197">
            <v>1470000</v>
          </cell>
          <cell r="AI197">
            <v>0</v>
          </cell>
          <cell r="AJ197">
            <v>0</v>
          </cell>
          <cell r="AK197">
            <v>228878.99999999997</v>
          </cell>
          <cell r="AL197">
            <v>257249.99999999997</v>
          </cell>
          <cell r="AM197">
            <v>264600</v>
          </cell>
          <cell r="AN197">
            <v>0</v>
          </cell>
          <cell r="AO197">
            <v>0</v>
          </cell>
          <cell r="AP197">
            <v>107163</v>
          </cell>
          <cell r="AQ197">
            <v>122010</v>
          </cell>
          <cell r="AR197">
            <v>129360.00000000001</v>
          </cell>
          <cell r="AT197" t="str">
            <v>OPP-918833 - Identified - New - IS4</v>
          </cell>
          <cell r="AU197">
            <v>358533</v>
          </cell>
          <cell r="AV197">
            <v>0</v>
          </cell>
          <cell r="AW197">
            <v>358533</v>
          </cell>
          <cell r="AX197">
            <v>0</v>
          </cell>
          <cell r="AZ197">
            <v>186</v>
          </cell>
          <cell r="BA197">
            <v>106</v>
          </cell>
          <cell r="BB197">
            <v>248</v>
          </cell>
        </row>
        <row r="198">
          <cell r="B198" t="str">
            <v>OPP-941942</v>
          </cell>
          <cell r="C198" t="str">
            <v>Navy PEO C4I Cyber</v>
          </cell>
          <cell r="D198" t="str">
            <v>IS4</v>
          </cell>
          <cell r="E198" t="str">
            <v>IS4 Spectrum &amp; Infrastructure Assurance</v>
          </cell>
          <cell r="F198" t="str">
            <v>Navy</v>
          </cell>
          <cell r="G198" t="str">
            <v>DOD</v>
          </cell>
          <cell r="H198">
            <v>43952</v>
          </cell>
          <cell r="I198">
            <v>43952</v>
          </cell>
          <cell r="J198">
            <v>45778</v>
          </cell>
          <cell r="K198" t="str">
            <v>Prime</v>
          </cell>
          <cell r="L198" t="str">
            <v>Cost Plus Fixed Fee</v>
          </cell>
          <cell r="M198" t="str">
            <v>Cost Reimbursable</v>
          </cell>
          <cell r="N198" t="str">
            <v>Identified - New</v>
          </cell>
          <cell r="O198" t="str">
            <v>01 Prospect</v>
          </cell>
          <cell r="P198" t="str">
            <v>Priority 2</v>
          </cell>
          <cell r="Q198">
            <v>0.3</v>
          </cell>
          <cell r="R198">
            <v>48409961</v>
          </cell>
          <cell r="S198">
            <v>0.16</v>
          </cell>
          <cell r="T198">
            <v>0.16</v>
          </cell>
          <cell r="U198">
            <v>0.16</v>
          </cell>
          <cell r="V198">
            <v>0.16</v>
          </cell>
          <cell r="W198">
            <v>0.16</v>
          </cell>
          <cell r="X198">
            <v>6.8000000000000005E-2</v>
          </cell>
          <cell r="Y198">
            <v>6.8000000000000005E-2</v>
          </cell>
          <cell r="Z198">
            <v>6.8000000000000005E-2</v>
          </cell>
          <cell r="AA198">
            <v>6.8000000000000005E-2</v>
          </cell>
          <cell r="AB198">
            <v>6.8000000000000005E-2</v>
          </cell>
          <cell r="AC198">
            <v>9681992.1999999993</v>
          </cell>
          <cell r="AD198">
            <v>0</v>
          </cell>
          <cell r="AE198">
            <v>1202180.6981666666</v>
          </cell>
          <cell r="AF198">
            <v>2904597.6599999997</v>
          </cell>
          <cell r="AG198">
            <v>2904597.6599999997</v>
          </cell>
          <cell r="AH198">
            <v>2904597.6599999997</v>
          </cell>
          <cell r="AI198">
            <v>0</v>
          </cell>
          <cell r="AJ198">
            <v>192348.91170666667</v>
          </cell>
          <cell r="AK198">
            <v>464735.62559999997</v>
          </cell>
          <cell r="AL198">
            <v>464735.62559999997</v>
          </cell>
          <cell r="AM198">
            <v>464735.62559999997</v>
          </cell>
          <cell r="AN198">
            <v>0</v>
          </cell>
          <cell r="AO198">
            <v>81748.287475333331</v>
          </cell>
          <cell r="AP198">
            <v>197512.64087999999</v>
          </cell>
          <cell r="AQ198">
            <v>197512.64087999999</v>
          </cell>
          <cell r="AR198">
            <v>197512.64087999999</v>
          </cell>
          <cell r="AT198" t="str">
            <v>OPP-941942 - Identified - New - IS4</v>
          </cell>
          <cell r="AU198">
            <v>674286.21011533332</v>
          </cell>
          <cell r="AV198">
            <v>0</v>
          </cell>
          <cell r="AW198">
            <v>674286.21011533332</v>
          </cell>
          <cell r="AX198">
            <v>0</v>
          </cell>
          <cell r="AZ198">
            <v>187</v>
          </cell>
          <cell r="BA198">
            <v>70</v>
          </cell>
          <cell r="BB198">
            <v>249</v>
          </cell>
        </row>
        <row r="199">
          <cell r="B199" t="str">
            <v>OPP-941562</v>
          </cell>
          <cell r="C199" t="str">
            <v>AFSOC C2MS</v>
          </cell>
          <cell r="D199" t="str">
            <v>IS4</v>
          </cell>
          <cell r="E199" t="str">
            <v>IS4 Spectrum &amp; Infrastructure Assurance</v>
          </cell>
          <cell r="F199" t="str">
            <v>Air Force</v>
          </cell>
          <cell r="G199" t="str">
            <v>DOD</v>
          </cell>
          <cell r="H199">
            <v>44876</v>
          </cell>
          <cell r="I199">
            <v>44876</v>
          </cell>
          <cell r="J199">
            <v>45972</v>
          </cell>
          <cell r="K199" t="str">
            <v>Prime</v>
          </cell>
          <cell r="L199" t="str">
            <v>Cost Plus Fixed Fee</v>
          </cell>
          <cell r="M199" t="str">
            <v>Cost Reimbursable</v>
          </cell>
          <cell r="N199" t="str">
            <v>Identified - New</v>
          </cell>
          <cell r="O199" t="str">
            <v>01 Prospect</v>
          </cell>
          <cell r="P199" t="str">
            <v>Priority 2</v>
          </cell>
          <cell r="Q199">
            <v>0.15</v>
          </cell>
          <cell r="R199">
            <v>48000000</v>
          </cell>
          <cell r="S199">
            <v>0.16</v>
          </cell>
          <cell r="T199">
            <v>0.16</v>
          </cell>
          <cell r="U199">
            <v>0.16</v>
          </cell>
          <cell r="V199">
            <v>0.16</v>
          </cell>
          <cell r="W199">
            <v>0.16</v>
          </cell>
          <cell r="X199">
            <v>6.8000000000000005E-2</v>
          </cell>
          <cell r="Y199">
            <v>6.8000000000000005E-2</v>
          </cell>
          <cell r="Z199">
            <v>6.8000000000000005E-2</v>
          </cell>
          <cell r="AA199">
            <v>6.8000000000000005E-2</v>
          </cell>
          <cell r="AB199">
            <v>6.8000000000000005E-2</v>
          </cell>
          <cell r="AC199">
            <v>16000000</v>
          </cell>
          <cell r="AD199">
            <v>0</v>
          </cell>
          <cell r="AE199">
            <v>0</v>
          </cell>
          <cell r="AF199">
            <v>0</v>
          </cell>
          <cell r="AG199">
            <v>0</v>
          </cell>
          <cell r="AH199">
            <v>2126666.6666666665</v>
          </cell>
          <cell r="AI199">
            <v>0</v>
          </cell>
          <cell r="AJ199">
            <v>0</v>
          </cell>
          <cell r="AK199">
            <v>0</v>
          </cell>
          <cell r="AL199">
            <v>0</v>
          </cell>
          <cell r="AM199">
            <v>340266.66666666663</v>
          </cell>
          <cell r="AN199">
            <v>0</v>
          </cell>
          <cell r="AO199">
            <v>0</v>
          </cell>
          <cell r="AP199">
            <v>0</v>
          </cell>
          <cell r="AQ199">
            <v>0</v>
          </cell>
          <cell r="AR199">
            <v>144613.33333333334</v>
          </cell>
          <cell r="AT199" t="str">
            <v>OPP-941562 - Identified - New - IS4</v>
          </cell>
          <cell r="AU199">
            <v>144613.33333333334</v>
          </cell>
          <cell r="AV199">
            <v>0</v>
          </cell>
          <cell r="AW199">
            <v>144613.33333333334</v>
          </cell>
          <cell r="AX199">
            <v>0</v>
          </cell>
          <cell r="AZ199">
            <v>188</v>
          </cell>
          <cell r="BA199">
            <v>148</v>
          </cell>
          <cell r="BB199">
            <v>250</v>
          </cell>
        </row>
        <row r="200">
          <cell r="B200" t="str">
            <v>OPP-959842</v>
          </cell>
          <cell r="C200" t="str">
            <v>Redevelopment Project</v>
          </cell>
          <cell r="D200" t="str">
            <v>IS4</v>
          </cell>
          <cell r="E200" t="str">
            <v>IS4 Global Mission Solutions</v>
          </cell>
          <cell r="F200" t="str">
            <v>Classified Agency</v>
          </cell>
          <cell r="G200" t="str">
            <v>Classified</v>
          </cell>
          <cell r="H200">
            <v>43738</v>
          </cell>
          <cell r="I200">
            <v>43739</v>
          </cell>
          <cell r="J200">
            <v>44440</v>
          </cell>
          <cell r="K200" t="str">
            <v>Prime</v>
          </cell>
          <cell r="L200" t="str">
            <v>Fixed Price</v>
          </cell>
          <cell r="M200" t="str">
            <v>Fixed Price</v>
          </cell>
          <cell r="N200" t="str">
            <v>Identified - New</v>
          </cell>
          <cell r="O200" t="str">
            <v>03 Proposal</v>
          </cell>
          <cell r="P200" t="str">
            <v>Priority 2</v>
          </cell>
          <cell r="Q200">
            <v>0.3</v>
          </cell>
          <cell r="R200">
            <v>45000000</v>
          </cell>
          <cell r="S200">
            <v>0.17199999999999999</v>
          </cell>
          <cell r="T200">
            <v>0.17199999999999999</v>
          </cell>
          <cell r="U200">
            <v>0.17299999999999999</v>
          </cell>
          <cell r="V200">
            <v>0.17499999999999999</v>
          </cell>
          <cell r="W200">
            <v>0.18</v>
          </cell>
          <cell r="X200">
            <v>0.08</v>
          </cell>
          <cell r="Y200">
            <v>0.08</v>
          </cell>
          <cell r="Z200">
            <v>8.1000000000000003E-2</v>
          </cell>
          <cell r="AA200">
            <v>8.3000000000000004E-2</v>
          </cell>
          <cell r="AB200">
            <v>8.8000000000000009E-2</v>
          </cell>
          <cell r="AC200">
            <v>23478260.869565215</v>
          </cell>
          <cell r="AD200">
            <v>0</v>
          </cell>
          <cell r="AE200">
            <v>7023913.0434782598</v>
          </cell>
          <cell r="AF200">
            <v>6476086.9565217402</v>
          </cell>
          <cell r="AG200">
            <v>0</v>
          </cell>
          <cell r="AH200">
            <v>0</v>
          </cell>
          <cell r="AI200">
            <v>0</v>
          </cell>
          <cell r="AJ200">
            <v>1208113.0434782605</v>
          </cell>
          <cell r="AK200">
            <v>1120363.043478261</v>
          </cell>
          <cell r="AL200">
            <v>0</v>
          </cell>
          <cell r="AM200">
            <v>0</v>
          </cell>
          <cell r="AN200">
            <v>0</v>
          </cell>
          <cell r="AO200">
            <v>561913.04347826075</v>
          </cell>
          <cell r="AP200">
            <v>524563.04347826098</v>
          </cell>
          <cell r="AQ200">
            <v>0</v>
          </cell>
          <cell r="AR200">
            <v>0</v>
          </cell>
          <cell r="AT200" t="str">
            <v>OPP-959842 - Identified - New - IS4</v>
          </cell>
          <cell r="AU200">
            <v>1086476.0869565217</v>
          </cell>
          <cell r="AV200">
            <v>0</v>
          </cell>
          <cell r="AW200">
            <v>1086476.0869565217</v>
          </cell>
          <cell r="AX200">
            <v>0</v>
          </cell>
          <cell r="AZ200">
            <v>189</v>
          </cell>
          <cell r="BA200">
            <v>40</v>
          </cell>
          <cell r="BB200">
            <v>251</v>
          </cell>
        </row>
        <row r="201">
          <cell r="B201" t="str">
            <v>OPP-940700</v>
          </cell>
          <cell r="C201" t="str">
            <v>RS3-18-0004</v>
          </cell>
          <cell r="D201" t="str">
            <v>IS4</v>
          </cell>
          <cell r="E201" t="str">
            <v>IS4 Spectrum &amp; Infrastructure Assurance</v>
          </cell>
          <cell r="F201" t="str">
            <v>Army</v>
          </cell>
          <cell r="G201" t="str">
            <v>DOD</v>
          </cell>
          <cell r="H201">
            <v>45196</v>
          </cell>
          <cell r="I201">
            <v>45196</v>
          </cell>
          <cell r="J201">
            <v>47023</v>
          </cell>
          <cell r="K201" t="str">
            <v>Prime</v>
          </cell>
          <cell r="L201" t="str">
            <v>Cost Plus Fixed Fee</v>
          </cell>
          <cell r="M201" t="str">
            <v>Cost Reimbursable</v>
          </cell>
          <cell r="N201" t="str">
            <v>Identified - New</v>
          </cell>
          <cell r="O201" t="str">
            <v>01 Prospect</v>
          </cell>
          <cell r="P201" t="str">
            <v>Priority 2</v>
          </cell>
          <cell r="Q201">
            <v>0.25</v>
          </cell>
          <cell r="R201">
            <v>41079338</v>
          </cell>
          <cell r="S201">
            <v>0.16</v>
          </cell>
          <cell r="T201">
            <v>0.16</v>
          </cell>
          <cell r="U201">
            <v>0.16</v>
          </cell>
          <cell r="V201">
            <v>0.16</v>
          </cell>
          <cell r="W201">
            <v>0.16</v>
          </cell>
          <cell r="X201">
            <v>6.8000000000000005E-2</v>
          </cell>
          <cell r="Y201">
            <v>6.8000000000000005E-2</v>
          </cell>
          <cell r="Z201">
            <v>6.8000000000000005E-2</v>
          </cell>
          <cell r="AA201">
            <v>6.8000000000000005E-2</v>
          </cell>
          <cell r="AB201">
            <v>6.8000000000000005E-2</v>
          </cell>
          <cell r="AC201">
            <v>8215867.5999999996</v>
          </cell>
          <cell r="AD201">
            <v>0</v>
          </cell>
          <cell r="AE201">
            <v>0</v>
          </cell>
          <cell r="AF201">
            <v>0</v>
          </cell>
          <cell r="AG201">
            <v>0</v>
          </cell>
          <cell r="AH201">
            <v>17116.390833333331</v>
          </cell>
          <cell r="AI201">
            <v>0</v>
          </cell>
          <cell r="AJ201">
            <v>0</v>
          </cell>
          <cell r="AK201">
            <v>0</v>
          </cell>
          <cell r="AL201">
            <v>0</v>
          </cell>
          <cell r="AM201">
            <v>2738.6225333333332</v>
          </cell>
          <cell r="AN201">
            <v>0</v>
          </cell>
          <cell r="AO201">
            <v>0</v>
          </cell>
          <cell r="AP201">
            <v>0</v>
          </cell>
          <cell r="AQ201">
            <v>0</v>
          </cell>
          <cell r="AR201">
            <v>1163.9145766666666</v>
          </cell>
          <cell r="AT201" t="str">
            <v>OPP-940700 - Identified - New - IS4</v>
          </cell>
          <cell r="AU201">
            <v>1163.9145766666666</v>
          </cell>
          <cell r="AV201">
            <v>0</v>
          </cell>
          <cell r="AW201">
            <v>1163.9145766666666</v>
          </cell>
          <cell r="AX201">
            <v>0</v>
          </cell>
          <cell r="AZ201">
            <v>190</v>
          </cell>
          <cell r="BA201">
            <v>246</v>
          </cell>
          <cell r="BB201">
            <v>252</v>
          </cell>
        </row>
        <row r="202">
          <cell r="B202" t="str">
            <v>OPP-843727</v>
          </cell>
          <cell r="C202" t="str">
            <v>Electronic Warfare Mission Area Department (EW MAD)</v>
          </cell>
          <cell r="D202" t="str">
            <v>IS4</v>
          </cell>
          <cell r="E202" t="str">
            <v>IS4 Spectrum &amp; Infrastructure Assurance</v>
          </cell>
          <cell r="F202" t="str">
            <v>Navy</v>
          </cell>
          <cell r="G202" t="str">
            <v>DOD</v>
          </cell>
          <cell r="H202">
            <v>43738</v>
          </cell>
          <cell r="I202">
            <v>43738</v>
          </cell>
          <cell r="J202">
            <v>45565</v>
          </cell>
          <cell r="K202" t="str">
            <v>Prime</v>
          </cell>
          <cell r="L202" t="str">
            <v>Fixed Price</v>
          </cell>
          <cell r="M202" t="str">
            <v>Fixed Price</v>
          </cell>
          <cell r="N202" t="str">
            <v>Identified - New</v>
          </cell>
          <cell r="O202" t="str">
            <v>02 Capture</v>
          </cell>
          <cell r="P202" t="str">
            <v>Priority 2</v>
          </cell>
          <cell r="Q202">
            <v>0.3</v>
          </cell>
          <cell r="R202">
            <v>30000000</v>
          </cell>
          <cell r="S202">
            <v>0.17199999999999999</v>
          </cell>
          <cell r="T202">
            <v>0.17199999999999999</v>
          </cell>
          <cell r="U202">
            <v>0.17299999999999999</v>
          </cell>
          <cell r="V202">
            <v>0.17499999999999999</v>
          </cell>
          <cell r="W202">
            <v>0.18</v>
          </cell>
          <cell r="X202">
            <v>0.08</v>
          </cell>
          <cell r="Y202">
            <v>0.08</v>
          </cell>
          <cell r="Z202">
            <v>8.1000000000000003E-2</v>
          </cell>
          <cell r="AA202">
            <v>8.3000000000000004E-2</v>
          </cell>
          <cell r="AB202">
            <v>8.8000000000000009E-2</v>
          </cell>
          <cell r="AC202">
            <v>6000000</v>
          </cell>
          <cell r="AD202">
            <v>0</v>
          </cell>
          <cell r="AE202">
            <v>1800000</v>
          </cell>
          <cell r="AF202">
            <v>1800000</v>
          </cell>
          <cell r="AG202">
            <v>1800000</v>
          </cell>
          <cell r="AH202">
            <v>1800000</v>
          </cell>
          <cell r="AI202">
            <v>0</v>
          </cell>
          <cell r="AJ202">
            <v>309600</v>
          </cell>
          <cell r="AK202">
            <v>311400</v>
          </cell>
          <cell r="AL202">
            <v>315000</v>
          </cell>
          <cell r="AM202">
            <v>324000</v>
          </cell>
          <cell r="AN202">
            <v>0</v>
          </cell>
          <cell r="AO202">
            <v>144000</v>
          </cell>
          <cell r="AP202">
            <v>145800</v>
          </cell>
          <cell r="AQ202">
            <v>149400</v>
          </cell>
          <cell r="AR202">
            <v>158400.00000000003</v>
          </cell>
          <cell r="AT202" t="str">
            <v>OPP-843727 - Identified - New - IS4</v>
          </cell>
          <cell r="AU202">
            <v>597600</v>
          </cell>
          <cell r="AV202">
            <v>0</v>
          </cell>
          <cell r="AW202">
            <v>597600</v>
          </cell>
          <cell r="AX202">
            <v>0</v>
          </cell>
          <cell r="AZ202">
            <v>191</v>
          </cell>
          <cell r="BA202">
            <v>74</v>
          </cell>
          <cell r="BB202">
            <v>253</v>
          </cell>
        </row>
        <row r="203">
          <cell r="B203" t="str">
            <v>OPP-958236</v>
          </cell>
          <cell r="C203" t="str">
            <v>Ground/Air Transmit/Receive (GATR) Systems for Egyptian Air Force (EAF)</v>
          </cell>
          <cell r="D203" t="str">
            <v>IS4</v>
          </cell>
          <cell r="E203" t="str">
            <v>IS4 Sustainment Engineering and Acquisition</v>
          </cell>
          <cell r="F203" t="str">
            <v>Air Force</v>
          </cell>
          <cell r="G203" t="str">
            <v>DOD</v>
          </cell>
          <cell r="H203">
            <v>44109</v>
          </cell>
          <cell r="I203">
            <v>44200</v>
          </cell>
          <cell r="J203">
            <v>45661</v>
          </cell>
          <cell r="K203" t="str">
            <v>Prime</v>
          </cell>
          <cell r="L203" t="str">
            <v>Fixed Price</v>
          </cell>
          <cell r="M203" t="str">
            <v>Fixed Price</v>
          </cell>
          <cell r="N203" t="str">
            <v>Identified - New</v>
          </cell>
          <cell r="O203" t="str">
            <v>01 Prospect</v>
          </cell>
          <cell r="P203" t="str">
            <v>Priority 2</v>
          </cell>
          <cell r="Q203">
            <v>0.25</v>
          </cell>
          <cell r="R203">
            <v>24000000</v>
          </cell>
          <cell r="S203">
            <v>0.17199999999999999</v>
          </cell>
          <cell r="T203">
            <v>0.17199999999999999</v>
          </cell>
          <cell r="U203">
            <v>0.17299999999999999</v>
          </cell>
          <cell r="V203">
            <v>0.17499999999999999</v>
          </cell>
          <cell r="W203">
            <v>0.18</v>
          </cell>
          <cell r="X203">
            <v>0.08</v>
          </cell>
          <cell r="Y203">
            <v>0.08</v>
          </cell>
          <cell r="Z203">
            <v>8.1000000000000003E-2</v>
          </cell>
          <cell r="AA203">
            <v>8.3000000000000004E-2</v>
          </cell>
          <cell r="AB203">
            <v>8.8000000000000009E-2</v>
          </cell>
          <cell r="AC203">
            <v>6000000</v>
          </cell>
          <cell r="AD203">
            <v>0</v>
          </cell>
          <cell r="AE203">
            <v>0</v>
          </cell>
          <cell r="AF203">
            <v>1108333.3333333335</v>
          </cell>
          <cell r="AG203">
            <v>1500000</v>
          </cell>
          <cell r="AH203">
            <v>1500000</v>
          </cell>
          <cell r="AI203">
            <v>0</v>
          </cell>
          <cell r="AJ203">
            <v>0</v>
          </cell>
          <cell r="AK203">
            <v>191741.66666666669</v>
          </cell>
          <cell r="AL203">
            <v>262500</v>
          </cell>
          <cell r="AM203">
            <v>270000</v>
          </cell>
          <cell r="AN203">
            <v>0</v>
          </cell>
          <cell r="AO203">
            <v>0</v>
          </cell>
          <cell r="AP203">
            <v>89775.000000000015</v>
          </cell>
          <cell r="AQ203">
            <v>124500</v>
          </cell>
          <cell r="AR203">
            <v>132000</v>
          </cell>
          <cell r="AT203" t="str">
            <v>OPP-958236 - Identified - New - IS4</v>
          </cell>
          <cell r="AU203">
            <v>346275</v>
          </cell>
          <cell r="AV203">
            <v>0</v>
          </cell>
          <cell r="AW203">
            <v>346275</v>
          </cell>
          <cell r="AX203">
            <v>0</v>
          </cell>
          <cell r="AZ203">
            <v>192</v>
          </cell>
          <cell r="BA203">
            <v>108</v>
          </cell>
          <cell r="BB203">
            <v>254</v>
          </cell>
        </row>
        <row r="204">
          <cell r="B204" t="str">
            <v>OPP-888948</v>
          </cell>
          <cell r="C204" t="str">
            <v>ARSOF Training Support</v>
          </cell>
          <cell r="D204" t="str">
            <v>IS4</v>
          </cell>
          <cell r="E204" t="str">
            <v>IS4 Spectrum &amp; Infrastructure Assurance</v>
          </cell>
          <cell r="F204" t="str">
            <v>Other DOD</v>
          </cell>
          <cell r="G204" t="str">
            <v>DOD</v>
          </cell>
          <cell r="H204">
            <v>43717</v>
          </cell>
          <cell r="I204">
            <v>43717</v>
          </cell>
          <cell r="J204">
            <v>45544</v>
          </cell>
          <cell r="K204" t="str">
            <v>Sub</v>
          </cell>
          <cell r="L204" t="str">
            <v>Fixed Price</v>
          </cell>
          <cell r="M204" t="str">
            <v>Fixed Price</v>
          </cell>
          <cell r="N204" t="str">
            <v>Identified - New</v>
          </cell>
          <cell r="O204" t="str">
            <v>04 Submitted</v>
          </cell>
          <cell r="P204" t="str">
            <v>Priority 2</v>
          </cell>
          <cell r="Q204">
            <v>0.3</v>
          </cell>
          <cell r="R204">
            <v>16250000</v>
          </cell>
          <cell r="S204">
            <v>0.17199999999999999</v>
          </cell>
          <cell r="T204">
            <v>0.17199999999999999</v>
          </cell>
          <cell r="U204">
            <v>0.17299999999999999</v>
          </cell>
          <cell r="V204">
            <v>0.17499999999999999</v>
          </cell>
          <cell r="W204">
            <v>0.18</v>
          </cell>
          <cell r="X204">
            <v>0.08</v>
          </cell>
          <cell r="Y204">
            <v>0.08</v>
          </cell>
          <cell r="Z204">
            <v>8.1000000000000003E-2</v>
          </cell>
          <cell r="AA204">
            <v>8.3000000000000004E-2</v>
          </cell>
          <cell r="AB204">
            <v>8.8000000000000009E-2</v>
          </cell>
          <cell r="AC204">
            <v>3250000</v>
          </cell>
          <cell r="AD204">
            <v>0</v>
          </cell>
          <cell r="AE204">
            <v>975000</v>
          </cell>
          <cell r="AF204">
            <v>975000</v>
          </cell>
          <cell r="AG204">
            <v>975000</v>
          </cell>
          <cell r="AH204">
            <v>975000</v>
          </cell>
          <cell r="AI204">
            <v>0</v>
          </cell>
          <cell r="AJ204">
            <v>167700</v>
          </cell>
          <cell r="AK204">
            <v>168675</v>
          </cell>
          <cell r="AL204">
            <v>170625</v>
          </cell>
          <cell r="AM204">
            <v>175500</v>
          </cell>
          <cell r="AN204">
            <v>0</v>
          </cell>
          <cell r="AO204">
            <v>78000</v>
          </cell>
          <cell r="AP204">
            <v>78975</v>
          </cell>
          <cell r="AQ204">
            <v>80925</v>
          </cell>
          <cell r="AR204">
            <v>85800.000000000015</v>
          </cell>
          <cell r="AT204" t="str">
            <v>OPP-888948 - Identified - New - IS4</v>
          </cell>
          <cell r="AU204">
            <v>323700</v>
          </cell>
          <cell r="AV204">
            <v>0</v>
          </cell>
          <cell r="AW204">
            <v>323700</v>
          </cell>
          <cell r="AX204">
            <v>0</v>
          </cell>
          <cell r="AZ204">
            <v>193</v>
          </cell>
          <cell r="BA204">
            <v>110</v>
          </cell>
          <cell r="BB204">
            <v>255</v>
          </cell>
        </row>
        <row r="205">
          <cell r="B205" t="str">
            <v>OPP-948422</v>
          </cell>
          <cell r="C205" t="str">
            <v>Command and Control Facility, CP Tango, USARPAC, Korea</v>
          </cell>
          <cell r="D205" t="str">
            <v>IS4</v>
          </cell>
          <cell r="E205" t="str">
            <v>IS4 Global Mission Solutions</v>
          </cell>
          <cell r="F205" t="str">
            <v>Army</v>
          </cell>
          <cell r="G205" t="str">
            <v>DOD</v>
          </cell>
          <cell r="H205">
            <v>43738</v>
          </cell>
          <cell r="I205">
            <v>43769</v>
          </cell>
          <cell r="J205">
            <v>44316</v>
          </cell>
          <cell r="K205" t="str">
            <v>Prime</v>
          </cell>
          <cell r="L205" t="str">
            <v>Fixed Price</v>
          </cell>
          <cell r="M205" t="str">
            <v>Fixed Price</v>
          </cell>
          <cell r="N205" t="str">
            <v>Identified - New</v>
          </cell>
          <cell r="O205" t="str">
            <v>04 Submitted</v>
          </cell>
          <cell r="P205" t="str">
            <v>Priority 2</v>
          </cell>
          <cell r="Q205">
            <v>0.25</v>
          </cell>
          <cell r="R205">
            <v>15000000</v>
          </cell>
          <cell r="S205">
            <v>0.17199999999999999</v>
          </cell>
          <cell r="T205">
            <v>0.17199999999999999</v>
          </cell>
          <cell r="U205">
            <v>0.17299999999999999</v>
          </cell>
          <cell r="V205">
            <v>0.17499999999999999</v>
          </cell>
          <cell r="W205">
            <v>0.18</v>
          </cell>
          <cell r="X205">
            <v>0.08</v>
          </cell>
          <cell r="Y205">
            <v>0.08</v>
          </cell>
          <cell r="Z205">
            <v>8.1000000000000003E-2</v>
          </cell>
          <cell r="AA205">
            <v>8.3000000000000004E-2</v>
          </cell>
          <cell r="AB205">
            <v>8.8000000000000009E-2</v>
          </cell>
          <cell r="AC205">
            <v>10000000</v>
          </cell>
          <cell r="AD205">
            <v>0</v>
          </cell>
          <cell r="AE205">
            <v>2291666.6666666665</v>
          </cell>
          <cell r="AF205">
            <v>1458333.3333333335</v>
          </cell>
          <cell r="AG205">
            <v>0</v>
          </cell>
          <cell r="AH205">
            <v>0</v>
          </cell>
          <cell r="AI205">
            <v>0</v>
          </cell>
          <cell r="AJ205">
            <v>394166.66666666663</v>
          </cell>
          <cell r="AK205">
            <v>252291.66666666669</v>
          </cell>
          <cell r="AL205">
            <v>0</v>
          </cell>
          <cell r="AM205">
            <v>0</v>
          </cell>
          <cell r="AN205">
            <v>0</v>
          </cell>
          <cell r="AO205">
            <v>183333.33333333331</v>
          </cell>
          <cell r="AP205">
            <v>118125.00000000001</v>
          </cell>
          <cell r="AQ205">
            <v>0</v>
          </cell>
          <cell r="AR205">
            <v>0</v>
          </cell>
          <cell r="AT205" t="str">
            <v>OPP-948422 - Identified - New - IS4</v>
          </cell>
          <cell r="AU205">
            <v>301458.33333333331</v>
          </cell>
          <cell r="AV205">
            <v>0</v>
          </cell>
          <cell r="AW205">
            <v>301458.33333333331</v>
          </cell>
          <cell r="AX205">
            <v>0</v>
          </cell>
          <cell r="AZ205">
            <v>194</v>
          </cell>
          <cell r="BA205">
            <v>113</v>
          </cell>
          <cell r="BB205">
            <v>256</v>
          </cell>
        </row>
        <row r="206">
          <cell r="B206" t="str">
            <v>OPP-626849</v>
          </cell>
          <cell r="C206" t="str">
            <v>G-BOSS(E) - System of Systems Integration</v>
          </cell>
          <cell r="D206" t="str">
            <v>IS4</v>
          </cell>
          <cell r="E206" t="str">
            <v>IS4 Sustainment Engineering and Acquisition</v>
          </cell>
          <cell r="F206" t="str">
            <v>Army</v>
          </cell>
          <cell r="G206" t="str">
            <v>DOD</v>
          </cell>
          <cell r="H206">
            <v>43959</v>
          </cell>
          <cell r="I206">
            <v>44050</v>
          </cell>
          <cell r="J206">
            <v>46972</v>
          </cell>
          <cell r="K206" t="str">
            <v>Prime</v>
          </cell>
          <cell r="L206" t="str">
            <v>Fixed Price</v>
          </cell>
          <cell r="M206" t="str">
            <v>Fixed Price</v>
          </cell>
          <cell r="N206" t="str">
            <v>Identified - New</v>
          </cell>
          <cell r="O206" t="str">
            <v>01 Prospect</v>
          </cell>
          <cell r="P206" t="str">
            <v>Priority 2</v>
          </cell>
          <cell r="Q206">
            <v>0.25</v>
          </cell>
          <cell r="R206">
            <v>15000000</v>
          </cell>
          <cell r="S206">
            <v>0.17199999999999999</v>
          </cell>
          <cell r="T206">
            <v>0.17199999999999999</v>
          </cell>
          <cell r="U206">
            <v>0.17299999999999999</v>
          </cell>
          <cell r="V206">
            <v>0.17499999999999999</v>
          </cell>
          <cell r="W206">
            <v>0.18</v>
          </cell>
          <cell r="X206">
            <v>0.08</v>
          </cell>
          <cell r="Y206">
            <v>0.08</v>
          </cell>
          <cell r="Z206">
            <v>8.1000000000000003E-2</v>
          </cell>
          <cell r="AA206">
            <v>8.3000000000000004E-2</v>
          </cell>
          <cell r="AB206">
            <v>8.8000000000000009E-2</v>
          </cell>
          <cell r="AC206">
            <v>1875000</v>
          </cell>
          <cell r="AD206">
            <v>0</v>
          </cell>
          <cell r="AE206">
            <v>69010.416666666672</v>
          </cell>
          <cell r="AF206">
            <v>468750</v>
          </cell>
          <cell r="AG206">
            <v>468750</v>
          </cell>
          <cell r="AH206">
            <v>468750</v>
          </cell>
          <cell r="AI206">
            <v>0</v>
          </cell>
          <cell r="AJ206">
            <v>11869.791666666666</v>
          </cell>
          <cell r="AK206">
            <v>81093.75</v>
          </cell>
          <cell r="AL206">
            <v>82031.25</v>
          </cell>
          <cell r="AM206">
            <v>84375</v>
          </cell>
          <cell r="AN206">
            <v>0</v>
          </cell>
          <cell r="AO206">
            <v>5520.8333333333339</v>
          </cell>
          <cell r="AP206">
            <v>37968.75</v>
          </cell>
          <cell r="AQ206">
            <v>38906.25</v>
          </cell>
          <cell r="AR206">
            <v>41250.000000000007</v>
          </cell>
          <cell r="AT206" t="str">
            <v>OPP-626849 - Identified - New - IS4</v>
          </cell>
          <cell r="AU206">
            <v>123645.83333333334</v>
          </cell>
          <cell r="AV206">
            <v>0</v>
          </cell>
          <cell r="AW206">
            <v>123645.83333333334</v>
          </cell>
          <cell r="AX206">
            <v>0</v>
          </cell>
          <cell r="AZ206">
            <v>195</v>
          </cell>
          <cell r="BA206">
            <v>166</v>
          </cell>
          <cell r="BB206">
            <v>257</v>
          </cell>
        </row>
        <row r="207">
          <cell r="B207" t="str">
            <v>OPP-643446</v>
          </cell>
          <cell r="C207" t="str">
            <v>USFK Black Hat SCIF - MS TO</v>
          </cell>
          <cell r="D207" t="str">
            <v>IS4</v>
          </cell>
          <cell r="E207" t="str">
            <v>IS4 Global Mission Solutions</v>
          </cell>
          <cell r="F207" t="str">
            <v>Army</v>
          </cell>
          <cell r="G207" t="str">
            <v>DOD</v>
          </cell>
          <cell r="H207">
            <v>44104</v>
          </cell>
          <cell r="I207">
            <v>44105</v>
          </cell>
          <cell r="J207">
            <v>45200</v>
          </cell>
          <cell r="K207" t="str">
            <v>Prime</v>
          </cell>
          <cell r="L207" t="str">
            <v>Fixed Price</v>
          </cell>
          <cell r="M207" t="str">
            <v>Fixed Price</v>
          </cell>
          <cell r="N207" t="str">
            <v>Identified - New</v>
          </cell>
          <cell r="O207" t="str">
            <v>01 Prospect</v>
          </cell>
          <cell r="P207" t="str">
            <v>Priority 2</v>
          </cell>
          <cell r="Q207">
            <v>0.25</v>
          </cell>
          <cell r="R207">
            <v>12500000</v>
          </cell>
          <cell r="S207">
            <v>0.17199999999999999</v>
          </cell>
          <cell r="T207">
            <v>0.17199999999999999</v>
          </cell>
          <cell r="U207">
            <v>0.17299999999999999</v>
          </cell>
          <cell r="V207">
            <v>0.17499999999999999</v>
          </cell>
          <cell r="W207">
            <v>0.18</v>
          </cell>
          <cell r="X207">
            <v>0.08</v>
          </cell>
          <cell r="Y207">
            <v>0.08</v>
          </cell>
          <cell r="Z207">
            <v>8.1000000000000003E-2</v>
          </cell>
          <cell r="AA207">
            <v>8.3000000000000004E-2</v>
          </cell>
          <cell r="AB207">
            <v>8.8000000000000009E-2</v>
          </cell>
          <cell r="AC207">
            <v>4166666.6666666665</v>
          </cell>
          <cell r="AD207">
            <v>0</v>
          </cell>
          <cell r="AE207">
            <v>0</v>
          </cell>
          <cell r="AF207">
            <v>1038773.1481481481</v>
          </cell>
          <cell r="AG207">
            <v>1041666.6666666666</v>
          </cell>
          <cell r="AH207">
            <v>1041666.6666666666</v>
          </cell>
          <cell r="AI207">
            <v>0</v>
          </cell>
          <cell r="AJ207">
            <v>0</v>
          </cell>
          <cell r="AK207">
            <v>179707.75462962961</v>
          </cell>
          <cell r="AL207">
            <v>182291.66666666666</v>
          </cell>
          <cell r="AM207">
            <v>187500</v>
          </cell>
          <cell r="AN207">
            <v>0</v>
          </cell>
          <cell r="AO207">
            <v>0</v>
          </cell>
          <cell r="AP207">
            <v>84140.625</v>
          </cell>
          <cell r="AQ207">
            <v>86458.333333333328</v>
          </cell>
          <cell r="AR207">
            <v>91666.666666666672</v>
          </cell>
          <cell r="AT207" t="str">
            <v>OPP-643446 - Identified - New - IS4</v>
          </cell>
          <cell r="AU207">
            <v>262265.625</v>
          </cell>
          <cell r="AV207">
            <v>0</v>
          </cell>
          <cell r="AW207">
            <v>262265.625</v>
          </cell>
          <cell r="AX207">
            <v>0</v>
          </cell>
          <cell r="AZ207">
            <v>196</v>
          </cell>
          <cell r="BA207">
            <v>121</v>
          </cell>
          <cell r="BB207">
            <v>258</v>
          </cell>
        </row>
        <row r="208">
          <cell r="B208" t="str">
            <v>OPP-564921</v>
          </cell>
          <cell r="C208" t="str">
            <v>Tactical Surveillance System (TSS)</v>
          </cell>
          <cell r="D208" t="str">
            <v>IS4</v>
          </cell>
          <cell r="E208" t="str">
            <v>IS4 Sustainment Engineering and Acquisition</v>
          </cell>
          <cell r="F208" t="str">
            <v>Army</v>
          </cell>
          <cell r="G208" t="str">
            <v>DOD</v>
          </cell>
          <cell r="H208">
            <v>44200</v>
          </cell>
          <cell r="I208">
            <v>44291</v>
          </cell>
          <cell r="J208">
            <v>46117</v>
          </cell>
          <cell r="K208" t="str">
            <v>Prime</v>
          </cell>
          <cell r="L208" t="str">
            <v>Fixed Price</v>
          </cell>
          <cell r="M208" t="str">
            <v>Fixed Price</v>
          </cell>
          <cell r="N208" t="str">
            <v>Identified - New</v>
          </cell>
          <cell r="O208" t="str">
            <v>02 Capture</v>
          </cell>
          <cell r="P208" t="str">
            <v>Priority 2</v>
          </cell>
          <cell r="Q208">
            <v>0.25</v>
          </cell>
          <cell r="R208">
            <v>12000000</v>
          </cell>
          <cell r="S208">
            <v>0.17199999999999999</v>
          </cell>
          <cell r="T208">
            <v>0.17199999999999999</v>
          </cell>
          <cell r="U208">
            <v>0.17299999999999999</v>
          </cell>
          <cell r="V208">
            <v>0.17499999999999999</v>
          </cell>
          <cell r="W208">
            <v>0.18</v>
          </cell>
          <cell r="X208">
            <v>0.08</v>
          </cell>
          <cell r="Y208">
            <v>0.08</v>
          </cell>
          <cell r="Z208">
            <v>8.1000000000000003E-2</v>
          </cell>
          <cell r="AA208">
            <v>8.3000000000000004E-2</v>
          </cell>
          <cell r="AB208">
            <v>8.8000000000000009E-2</v>
          </cell>
          <cell r="AC208">
            <v>2400000</v>
          </cell>
          <cell r="AD208">
            <v>0</v>
          </cell>
          <cell r="AE208">
            <v>0</v>
          </cell>
          <cell r="AF208">
            <v>291666.66666666669</v>
          </cell>
          <cell r="AG208">
            <v>600000</v>
          </cell>
          <cell r="AH208">
            <v>600000</v>
          </cell>
          <cell r="AI208">
            <v>0</v>
          </cell>
          <cell r="AJ208">
            <v>0</v>
          </cell>
          <cell r="AK208">
            <v>50458.333333333336</v>
          </cell>
          <cell r="AL208">
            <v>105000</v>
          </cell>
          <cell r="AM208">
            <v>108000</v>
          </cell>
          <cell r="AN208">
            <v>0</v>
          </cell>
          <cell r="AO208">
            <v>0</v>
          </cell>
          <cell r="AP208">
            <v>23625.000000000004</v>
          </cell>
          <cell r="AQ208">
            <v>49800</v>
          </cell>
          <cell r="AR208">
            <v>52800.000000000007</v>
          </cell>
          <cell r="AT208" t="str">
            <v>OPP-564921 - Identified - New - IS4</v>
          </cell>
          <cell r="AU208">
            <v>126225</v>
          </cell>
          <cell r="AV208">
            <v>0</v>
          </cell>
          <cell r="AW208">
            <v>126225</v>
          </cell>
          <cell r="AX208">
            <v>0</v>
          </cell>
          <cell r="AZ208">
            <v>197</v>
          </cell>
          <cell r="BA208">
            <v>161</v>
          </cell>
          <cell r="BB208">
            <v>259</v>
          </cell>
        </row>
        <row r="209">
          <cell r="B209" t="str">
            <v>OPP-794751</v>
          </cell>
          <cell r="C209" t="str">
            <v>USACE Secure Space at Yokota Air Base</v>
          </cell>
          <cell r="D209" t="str">
            <v>IS4</v>
          </cell>
          <cell r="E209" t="str">
            <v>IS4 Global Mission Solutions</v>
          </cell>
          <cell r="F209" t="str">
            <v>Army</v>
          </cell>
          <cell r="G209" t="str">
            <v>DOD</v>
          </cell>
          <cell r="H209">
            <v>43738</v>
          </cell>
          <cell r="I209">
            <v>43768</v>
          </cell>
          <cell r="J209">
            <v>44316</v>
          </cell>
          <cell r="K209" t="str">
            <v>Prime</v>
          </cell>
          <cell r="L209" t="str">
            <v>Fixed Price</v>
          </cell>
          <cell r="M209" t="str">
            <v>Fixed Price</v>
          </cell>
          <cell r="N209" t="str">
            <v>Identified - New</v>
          </cell>
          <cell r="O209" t="str">
            <v>01 Prospect</v>
          </cell>
          <cell r="P209" t="str">
            <v>Priority 2</v>
          </cell>
          <cell r="Q209">
            <v>0.25</v>
          </cell>
          <cell r="R209">
            <v>10000000</v>
          </cell>
          <cell r="S209">
            <v>0.17199999999999999</v>
          </cell>
          <cell r="T209">
            <v>0.17199999999999999</v>
          </cell>
          <cell r="U209">
            <v>0.17299999999999999</v>
          </cell>
          <cell r="V209">
            <v>0.17499999999999999</v>
          </cell>
          <cell r="W209">
            <v>0.18</v>
          </cell>
          <cell r="X209">
            <v>0.08</v>
          </cell>
          <cell r="Y209">
            <v>0.08</v>
          </cell>
          <cell r="Z209">
            <v>8.1000000000000003E-2</v>
          </cell>
          <cell r="AA209">
            <v>8.3000000000000004E-2</v>
          </cell>
          <cell r="AB209">
            <v>8.8000000000000009E-2</v>
          </cell>
          <cell r="AC209">
            <v>6666666.666666667</v>
          </cell>
          <cell r="AD209">
            <v>0</v>
          </cell>
          <cell r="AE209">
            <v>1527777.7777777778</v>
          </cell>
          <cell r="AF209">
            <v>972222.22222222225</v>
          </cell>
          <cell r="AG209">
            <v>0</v>
          </cell>
          <cell r="AH209">
            <v>0</v>
          </cell>
          <cell r="AI209">
            <v>0</v>
          </cell>
          <cell r="AJ209">
            <v>262777.77777777775</v>
          </cell>
          <cell r="AK209">
            <v>168194.44444444444</v>
          </cell>
          <cell r="AL209">
            <v>0</v>
          </cell>
          <cell r="AM209">
            <v>0</v>
          </cell>
          <cell r="AN209">
            <v>0</v>
          </cell>
          <cell r="AO209">
            <v>122222.22222222222</v>
          </cell>
          <cell r="AP209">
            <v>78750</v>
          </cell>
          <cell r="AQ209">
            <v>0</v>
          </cell>
          <cell r="AR209">
            <v>0</v>
          </cell>
          <cell r="AT209" t="str">
            <v>OPP-794751 - Identified - New - IS4</v>
          </cell>
          <cell r="AU209">
            <v>200972.22222222222</v>
          </cell>
          <cell r="AV209">
            <v>0</v>
          </cell>
          <cell r="AW209">
            <v>200972.22222222222</v>
          </cell>
          <cell r="AX209">
            <v>0</v>
          </cell>
          <cell r="AZ209">
            <v>198</v>
          </cell>
          <cell r="BA209">
            <v>132</v>
          </cell>
          <cell r="BB209">
            <v>260</v>
          </cell>
        </row>
        <row r="210">
          <cell r="B210" t="str">
            <v>OPP-859230</v>
          </cell>
          <cell r="C210" t="str">
            <v>Cyber Battle Lab Expermintation Support</v>
          </cell>
          <cell r="D210" t="str">
            <v>IS4</v>
          </cell>
          <cell r="E210" t="str">
            <v>IS4 Spectrum &amp; Infrastructure Assurance</v>
          </cell>
          <cell r="F210" t="str">
            <v>Army</v>
          </cell>
          <cell r="G210" t="str">
            <v>DOD</v>
          </cell>
          <cell r="H210">
            <v>44075</v>
          </cell>
          <cell r="I210">
            <v>44105</v>
          </cell>
          <cell r="J210">
            <v>45931</v>
          </cell>
          <cell r="K210" t="str">
            <v>Sub</v>
          </cell>
          <cell r="L210" t="str">
            <v>Fixed Price</v>
          </cell>
          <cell r="M210" t="str">
            <v>Fixed Price</v>
          </cell>
          <cell r="N210" t="str">
            <v>Identified - New</v>
          </cell>
          <cell r="O210" t="str">
            <v>01 Prospect</v>
          </cell>
          <cell r="P210" t="str">
            <v>Priority 2</v>
          </cell>
          <cell r="Q210">
            <v>0.25</v>
          </cell>
          <cell r="R210">
            <v>10000000</v>
          </cell>
          <cell r="S210">
            <v>0.17199999999999999</v>
          </cell>
          <cell r="T210">
            <v>0.17199999999999999</v>
          </cell>
          <cell r="U210">
            <v>0.17299999999999999</v>
          </cell>
          <cell r="V210">
            <v>0.17499999999999999</v>
          </cell>
          <cell r="W210">
            <v>0.18</v>
          </cell>
          <cell r="X210">
            <v>0.08</v>
          </cell>
          <cell r="Y210">
            <v>0.08</v>
          </cell>
          <cell r="Z210">
            <v>8.1000000000000003E-2</v>
          </cell>
          <cell r="AA210">
            <v>8.3000000000000004E-2</v>
          </cell>
          <cell r="AB210">
            <v>8.8000000000000009E-2</v>
          </cell>
          <cell r="AC210">
            <v>2000000</v>
          </cell>
          <cell r="AD210">
            <v>0</v>
          </cell>
          <cell r="AE210">
            <v>0</v>
          </cell>
          <cell r="AF210">
            <v>498611.11111111112</v>
          </cell>
          <cell r="AG210">
            <v>500000</v>
          </cell>
          <cell r="AH210">
            <v>500000</v>
          </cell>
          <cell r="AI210">
            <v>0</v>
          </cell>
          <cell r="AJ210">
            <v>0</v>
          </cell>
          <cell r="AK210">
            <v>86259.722222222219</v>
          </cell>
          <cell r="AL210">
            <v>87500</v>
          </cell>
          <cell r="AM210">
            <v>90000</v>
          </cell>
          <cell r="AN210">
            <v>0</v>
          </cell>
          <cell r="AO210">
            <v>0</v>
          </cell>
          <cell r="AP210">
            <v>40387.5</v>
          </cell>
          <cell r="AQ210">
            <v>41500</v>
          </cell>
          <cell r="AR210">
            <v>44000.000000000007</v>
          </cell>
          <cell r="AT210" t="str">
            <v>OPP-859230 - Identified - New - IS4</v>
          </cell>
          <cell r="AU210">
            <v>125887.5</v>
          </cell>
          <cell r="AV210">
            <v>0</v>
          </cell>
          <cell r="AW210">
            <v>125887.5</v>
          </cell>
          <cell r="AX210">
            <v>0</v>
          </cell>
          <cell r="AZ210">
            <v>199</v>
          </cell>
          <cell r="BA210">
            <v>162</v>
          </cell>
          <cell r="BB210">
            <v>261</v>
          </cell>
        </row>
        <row r="211">
          <cell r="B211" t="str">
            <v>OPP-415463</v>
          </cell>
          <cell r="C211" t="str">
            <v>COLUMBIA (ORP) Training Systems Implementation Team (TSIT) Training Development</v>
          </cell>
          <cell r="D211" t="str">
            <v>IS4</v>
          </cell>
          <cell r="E211" t="str">
            <v>IS4 Sustainment Engineering and Acquisition</v>
          </cell>
          <cell r="F211" t="str">
            <v>Navy</v>
          </cell>
          <cell r="G211" t="str">
            <v>DOD</v>
          </cell>
          <cell r="H211">
            <v>44095</v>
          </cell>
          <cell r="I211">
            <v>44158</v>
          </cell>
          <cell r="J211">
            <v>45984</v>
          </cell>
          <cell r="K211" t="str">
            <v>Prime</v>
          </cell>
          <cell r="L211" t="str">
            <v>Cost Plus Fixed Fee</v>
          </cell>
          <cell r="M211" t="str">
            <v>Cost Reimbursable</v>
          </cell>
          <cell r="N211" t="str">
            <v>Identified - New</v>
          </cell>
          <cell r="O211" t="str">
            <v>02 Capture</v>
          </cell>
          <cell r="P211" t="str">
            <v>Priority 2</v>
          </cell>
          <cell r="Q211">
            <v>0.5</v>
          </cell>
          <cell r="R211">
            <v>10000000</v>
          </cell>
          <cell r="S211">
            <v>0.16</v>
          </cell>
          <cell r="T211">
            <v>0.16</v>
          </cell>
          <cell r="U211">
            <v>0.16</v>
          </cell>
          <cell r="V211">
            <v>0.16</v>
          </cell>
          <cell r="W211">
            <v>0.16</v>
          </cell>
          <cell r="X211">
            <v>6.8000000000000005E-2</v>
          </cell>
          <cell r="Y211">
            <v>6.8000000000000005E-2</v>
          </cell>
          <cell r="Z211">
            <v>6.8000000000000005E-2</v>
          </cell>
          <cell r="AA211">
            <v>6.8000000000000005E-2</v>
          </cell>
          <cell r="AB211">
            <v>6.8000000000000005E-2</v>
          </cell>
          <cell r="AC211">
            <v>2000000</v>
          </cell>
          <cell r="AD211">
            <v>0</v>
          </cell>
          <cell r="AE211">
            <v>0</v>
          </cell>
          <cell r="AF211">
            <v>852777.77777777775</v>
          </cell>
          <cell r="AG211">
            <v>1000000</v>
          </cell>
          <cell r="AH211">
            <v>1000000</v>
          </cell>
          <cell r="AI211">
            <v>0</v>
          </cell>
          <cell r="AJ211">
            <v>0</v>
          </cell>
          <cell r="AK211">
            <v>136444.44444444444</v>
          </cell>
          <cell r="AL211">
            <v>160000</v>
          </cell>
          <cell r="AM211">
            <v>160000</v>
          </cell>
          <cell r="AN211">
            <v>0</v>
          </cell>
          <cell r="AO211">
            <v>0</v>
          </cell>
          <cell r="AP211">
            <v>57988.888888888891</v>
          </cell>
          <cell r="AQ211">
            <v>68000</v>
          </cell>
          <cell r="AR211">
            <v>68000</v>
          </cell>
          <cell r="AT211" t="str">
            <v>OPP-415463 - Identified - New - IS4</v>
          </cell>
          <cell r="AU211">
            <v>193988.88888888888</v>
          </cell>
          <cell r="AV211">
            <v>0</v>
          </cell>
          <cell r="AW211">
            <v>193988.88888888888</v>
          </cell>
          <cell r="AX211">
            <v>0</v>
          </cell>
          <cell r="AZ211">
            <v>200</v>
          </cell>
          <cell r="BA211">
            <v>134</v>
          </cell>
          <cell r="BB211">
            <v>262</v>
          </cell>
        </row>
        <row r="212">
          <cell r="B212" t="str">
            <v>OPP-725840</v>
          </cell>
          <cell r="C212" t="str">
            <v>USMC - AC ALPS</v>
          </cell>
          <cell r="D212" t="str">
            <v>IS4</v>
          </cell>
          <cell r="E212" t="str">
            <v>IS4 Spectrum &amp; Infrastructure Assurance</v>
          </cell>
          <cell r="F212" t="str">
            <v>Marine Corps</v>
          </cell>
          <cell r="G212" t="str">
            <v>DOD</v>
          </cell>
          <cell r="H212">
            <v>44362</v>
          </cell>
          <cell r="I212">
            <v>44433</v>
          </cell>
          <cell r="J212">
            <v>45529</v>
          </cell>
          <cell r="K212" t="str">
            <v>Sub</v>
          </cell>
          <cell r="L212" t="str">
            <v>Fixed Price</v>
          </cell>
          <cell r="M212" t="str">
            <v>Fixed Price</v>
          </cell>
          <cell r="N212" t="str">
            <v>Identified - New</v>
          </cell>
          <cell r="O212" t="str">
            <v>01 Prospect</v>
          </cell>
          <cell r="P212" t="str">
            <v>Priority 2</v>
          </cell>
          <cell r="Q212">
            <v>0.1</v>
          </cell>
          <cell r="R212">
            <v>10000000</v>
          </cell>
          <cell r="S212">
            <v>0.17199999999999999</v>
          </cell>
          <cell r="T212">
            <v>0.17199999999999999</v>
          </cell>
          <cell r="U212">
            <v>0.17299999999999999</v>
          </cell>
          <cell r="V212">
            <v>0.17499999999999999</v>
          </cell>
          <cell r="W212">
            <v>0.18</v>
          </cell>
          <cell r="X212">
            <v>0.08</v>
          </cell>
          <cell r="Y212">
            <v>0.08</v>
          </cell>
          <cell r="Z212">
            <v>8.1000000000000003E-2</v>
          </cell>
          <cell r="AA212">
            <v>8.3000000000000004E-2</v>
          </cell>
          <cell r="AB212">
            <v>8.8000000000000009E-2</v>
          </cell>
          <cell r="AC212">
            <v>3333333.3333333335</v>
          </cell>
          <cell r="AD212">
            <v>0</v>
          </cell>
          <cell r="AE212">
            <v>0</v>
          </cell>
          <cell r="AF212">
            <v>32407.407407407412</v>
          </cell>
          <cell r="AG212">
            <v>333333.33333333337</v>
          </cell>
          <cell r="AH212">
            <v>333333.33333333337</v>
          </cell>
          <cell r="AI212">
            <v>0</v>
          </cell>
          <cell r="AJ212">
            <v>0</v>
          </cell>
          <cell r="AK212">
            <v>5606.4814814814818</v>
          </cell>
          <cell r="AL212">
            <v>58333.333333333336</v>
          </cell>
          <cell r="AM212">
            <v>60000.000000000007</v>
          </cell>
          <cell r="AN212">
            <v>0</v>
          </cell>
          <cell r="AO212">
            <v>0</v>
          </cell>
          <cell r="AP212">
            <v>2625.0000000000005</v>
          </cell>
          <cell r="AQ212">
            <v>27666.666666666672</v>
          </cell>
          <cell r="AR212">
            <v>29333.333333333339</v>
          </cell>
          <cell r="AT212" t="str">
            <v>OPP-725840 - Identified - New - IS4</v>
          </cell>
          <cell r="AU212">
            <v>59625.000000000015</v>
          </cell>
          <cell r="AV212">
            <v>0</v>
          </cell>
          <cell r="AW212">
            <v>59625.000000000015</v>
          </cell>
          <cell r="AX212">
            <v>0</v>
          </cell>
          <cell r="AZ212">
            <v>201</v>
          </cell>
          <cell r="BA212">
            <v>205</v>
          </cell>
          <cell r="BB212">
            <v>263</v>
          </cell>
        </row>
        <row r="213">
          <cell r="B213" t="str">
            <v>OPP-810414</v>
          </cell>
          <cell r="C213" t="str">
            <v>Cyprus, Soverign Base Areas - Project Androcles</v>
          </cell>
          <cell r="D213" t="str">
            <v>IS4</v>
          </cell>
          <cell r="E213" t="str">
            <v>IS4 Infrastructure and Engineering</v>
          </cell>
          <cell r="F213" t="str">
            <v>Foreign Government</v>
          </cell>
          <cell r="G213" t="str">
            <v>Non-US Gov't</v>
          </cell>
          <cell r="H213">
            <v>44428</v>
          </cell>
          <cell r="I213">
            <v>44487</v>
          </cell>
          <cell r="J213">
            <v>48139</v>
          </cell>
          <cell r="K213" t="str">
            <v>Prime</v>
          </cell>
          <cell r="L213" t="str">
            <v>Cost Reimbursable; Fixed Price; Hybrid/Mixed Cost-Plus/Fixed</v>
          </cell>
          <cell r="M213" t="str">
            <v>Cost Reimbursable</v>
          </cell>
          <cell r="N213" t="str">
            <v>Identified - New</v>
          </cell>
          <cell r="O213" t="str">
            <v>02 Capture</v>
          </cell>
          <cell r="P213" t="str">
            <v>Priority 2</v>
          </cell>
          <cell r="Q213">
            <v>0.2</v>
          </cell>
          <cell r="R213">
            <v>10320</v>
          </cell>
          <cell r="S213">
            <v>0.14200000000000002</v>
          </cell>
          <cell r="T213">
            <v>0.14200000000000002</v>
          </cell>
          <cell r="U213">
            <v>0.14200000000000002</v>
          </cell>
          <cell r="V213">
            <v>0.14200000000000002</v>
          </cell>
          <cell r="W213">
            <v>0.14200000000000002</v>
          </cell>
          <cell r="X213">
            <v>0.05</v>
          </cell>
          <cell r="Y213">
            <v>0.05</v>
          </cell>
          <cell r="Z213">
            <v>0.05</v>
          </cell>
          <cell r="AA213">
            <v>0.05</v>
          </cell>
          <cell r="AB213">
            <v>0.05</v>
          </cell>
          <cell r="AC213">
            <v>1032</v>
          </cell>
          <cell r="AD213">
            <v>0</v>
          </cell>
          <cell r="AE213">
            <v>0</v>
          </cell>
          <cell r="AF213">
            <v>0</v>
          </cell>
          <cell r="AG213">
            <v>196.08</v>
          </cell>
          <cell r="AH213">
            <v>206.4</v>
          </cell>
          <cell r="AI213">
            <v>0</v>
          </cell>
          <cell r="AJ213">
            <v>0</v>
          </cell>
          <cell r="AK213">
            <v>0</v>
          </cell>
          <cell r="AL213">
            <v>27.843360000000004</v>
          </cell>
          <cell r="AM213">
            <v>29.308800000000005</v>
          </cell>
          <cell r="AN213">
            <v>0</v>
          </cell>
          <cell r="AO213">
            <v>0</v>
          </cell>
          <cell r="AP213">
            <v>0</v>
          </cell>
          <cell r="AQ213">
            <v>9.804000000000002</v>
          </cell>
          <cell r="AR213">
            <v>10.32</v>
          </cell>
          <cell r="AT213" t="str">
            <v>OPP-810414 - Identified - New - IS4</v>
          </cell>
          <cell r="AU213">
            <v>20.124000000000002</v>
          </cell>
          <cell r="AV213">
            <v>0</v>
          </cell>
          <cell r="AW213">
            <v>20.124000000000002</v>
          </cell>
          <cell r="AX213">
            <v>0</v>
          </cell>
          <cell r="AZ213">
            <v>202</v>
          </cell>
          <cell r="BA213">
            <v>276</v>
          </cell>
          <cell r="BB213">
            <v>264</v>
          </cell>
        </row>
        <row r="214">
          <cell r="B214" t="str">
            <v>OPP-791095</v>
          </cell>
          <cell r="C214" t="str">
            <v>USACE Facility Clearance Construction EUCOM MATOC</v>
          </cell>
          <cell r="D214" t="str">
            <v>IS4</v>
          </cell>
          <cell r="E214" t="str">
            <v>IS4 Global Mission Solutions</v>
          </cell>
          <cell r="F214" t="str">
            <v>Army</v>
          </cell>
          <cell r="G214" t="str">
            <v>DOD</v>
          </cell>
          <cell r="H214">
            <v>43738</v>
          </cell>
          <cell r="I214">
            <v>43739</v>
          </cell>
          <cell r="J214">
            <v>45566</v>
          </cell>
          <cell r="K214" t="str">
            <v>Prime</v>
          </cell>
          <cell r="L214" t="str">
            <v>Fixed Price</v>
          </cell>
          <cell r="M214" t="str">
            <v>Fixed Price</v>
          </cell>
          <cell r="N214" t="str">
            <v>Identified - New</v>
          </cell>
          <cell r="O214" t="str">
            <v>04 Submitted</v>
          </cell>
          <cell r="P214" t="str">
            <v>Priority 2</v>
          </cell>
          <cell r="Q214">
            <v>0.3</v>
          </cell>
          <cell r="R214">
            <v>10000</v>
          </cell>
          <cell r="S214">
            <v>0.17199999999999999</v>
          </cell>
          <cell r="T214">
            <v>0.17199999999999999</v>
          </cell>
          <cell r="U214">
            <v>0.17299999999999999</v>
          </cell>
          <cell r="V214">
            <v>0.17499999999999999</v>
          </cell>
          <cell r="W214">
            <v>0.18</v>
          </cell>
          <cell r="X214">
            <v>0.08</v>
          </cell>
          <cell r="Y214">
            <v>0.08</v>
          </cell>
          <cell r="Z214">
            <v>8.1000000000000003E-2</v>
          </cell>
          <cell r="AA214">
            <v>8.3000000000000004E-2</v>
          </cell>
          <cell r="AB214">
            <v>8.8000000000000009E-2</v>
          </cell>
          <cell r="AC214">
            <v>2000</v>
          </cell>
          <cell r="AD214">
            <v>0</v>
          </cell>
          <cell r="AE214">
            <v>598.33333333333337</v>
          </cell>
          <cell r="AF214">
            <v>600</v>
          </cell>
          <cell r="AG214">
            <v>600</v>
          </cell>
          <cell r="AH214">
            <v>600</v>
          </cell>
          <cell r="AI214">
            <v>0</v>
          </cell>
          <cell r="AJ214">
            <v>102.91333333333333</v>
          </cell>
          <cell r="AK214">
            <v>103.8</v>
          </cell>
          <cell r="AL214">
            <v>105</v>
          </cell>
          <cell r="AM214">
            <v>108</v>
          </cell>
          <cell r="AN214">
            <v>0</v>
          </cell>
          <cell r="AO214">
            <v>47.866666666666674</v>
          </cell>
          <cell r="AP214">
            <v>48.6</v>
          </cell>
          <cell r="AQ214">
            <v>49.800000000000004</v>
          </cell>
          <cell r="AR214">
            <v>52.800000000000004</v>
          </cell>
          <cell r="AT214" t="str">
            <v>OPP-791095 - Identified - New - IS4</v>
          </cell>
          <cell r="AU214">
            <v>199.06666666666669</v>
          </cell>
          <cell r="AV214">
            <v>0</v>
          </cell>
          <cell r="AW214">
            <v>199.06666666666669</v>
          </cell>
          <cell r="AX214">
            <v>0</v>
          </cell>
          <cell r="AZ214">
            <v>203</v>
          </cell>
          <cell r="BA214">
            <v>255</v>
          </cell>
          <cell r="BB214">
            <v>265</v>
          </cell>
        </row>
        <row r="215">
          <cell r="B215" t="str">
            <v>OPP-932675</v>
          </cell>
          <cell r="C215" t="str">
            <v>GSA: DHA BPA (INFORMATION OPERATIONS (DAD IO)/J-6 DIRECTORATE )</v>
          </cell>
          <cell r="D215" t="str">
            <v>IS4</v>
          </cell>
          <cell r="E215" t="str">
            <v>IS4 Engineering and Technology Services</v>
          </cell>
          <cell r="F215" t="str">
            <v>Other DOD</v>
          </cell>
          <cell r="G215" t="str">
            <v>DOD</v>
          </cell>
          <cell r="H215">
            <v>43798</v>
          </cell>
          <cell r="I215">
            <v>43861</v>
          </cell>
          <cell r="J215">
            <v>45688</v>
          </cell>
          <cell r="K215" t="str">
            <v>Prime</v>
          </cell>
          <cell r="L215" t="str">
            <v>Hybrid/Mixed Cost-Plus/Fixed</v>
          </cell>
          <cell r="M215" t="str">
            <v>Other</v>
          </cell>
          <cell r="N215" t="str">
            <v>Identified - New</v>
          </cell>
          <cell r="O215" t="str">
            <v>02 Capture</v>
          </cell>
          <cell r="P215" t="str">
            <v>Priority 2</v>
          </cell>
          <cell r="Q215">
            <v>0.3</v>
          </cell>
          <cell r="R215">
            <v>10000</v>
          </cell>
          <cell r="S215">
            <v>0.152</v>
          </cell>
          <cell r="T215">
            <v>0.152</v>
          </cell>
          <cell r="U215">
            <v>0.157</v>
          </cell>
          <cell r="V215">
            <v>0.16200000000000001</v>
          </cell>
          <cell r="W215">
            <v>0.16700000000000001</v>
          </cell>
          <cell r="X215">
            <v>0.06</v>
          </cell>
          <cell r="Y215">
            <v>0.06</v>
          </cell>
          <cell r="Z215">
            <v>6.5000000000000002E-2</v>
          </cell>
          <cell r="AA215">
            <v>7.0000000000000007E-2</v>
          </cell>
          <cell r="AB215">
            <v>7.5000000000000011E-2</v>
          </cell>
          <cell r="AC215">
            <v>2000</v>
          </cell>
          <cell r="AD215">
            <v>0</v>
          </cell>
          <cell r="AE215">
            <v>399.99999999999994</v>
          </cell>
          <cell r="AF215">
            <v>600</v>
          </cell>
          <cell r="AG215">
            <v>600</v>
          </cell>
          <cell r="AH215">
            <v>600</v>
          </cell>
          <cell r="AI215">
            <v>0</v>
          </cell>
          <cell r="AJ215">
            <v>60.79999999999999</v>
          </cell>
          <cell r="AK215">
            <v>94.2</v>
          </cell>
          <cell r="AL215">
            <v>97.2</v>
          </cell>
          <cell r="AM215">
            <v>100.2</v>
          </cell>
          <cell r="AN215">
            <v>0</v>
          </cell>
          <cell r="AO215">
            <v>23.999999999999996</v>
          </cell>
          <cell r="AP215">
            <v>39</v>
          </cell>
          <cell r="AQ215">
            <v>42.000000000000007</v>
          </cell>
          <cell r="AR215">
            <v>45.000000000000007</v>
          </cell>
          <cell r="AT215" t="str">
            <v>OPP-932675 - Identified - New - IS4</v>
          </cell>
          <cell r="AU215">
            <v>150</v>
          </cell>
          <cell r="AV215">
            <v>0</v>
          </cell>
          <cell r="AW215">
            <v>150</v>
          </cell>
          <cell r="AX215">
            <v>0</v>
          </cell>
          <cell r="AZ215">
            <v>204</v>
          </cell>
          <cell r="BA215">
            <v>257</v>
          </cell>
          <cell r="BB215">
            <v>266</v>
          </cell>
        </row>
        <row r="216">
          <cell r="B216" t="str">
            <v>OPP-874688</v>
          </cell>
          <cell r="C216" t="str">
            <v>TARGETED REQUIREMENT EXECUTION (T-REX) - IDIQ</v>
          </cell>
          <cell r="D216" t="str">
            <v>IS4</v>
          </cell>
          <cell r="E216" t="str">
            <v>IS4 Spectrum &amp; Infrastructure Assurance</v>
          </cell>
          <cell r="F216" t="str">
            <v>Other DOD</v>
          </cell>
          <cell r="G216" t="str">
            <v>DOD</v>
          </cell>
          <cell r="H216">
            <v>44046</v>
          </cell>
          <cell r="I216">
            <v>44075</v>
          </cell>
          <cell r="J216">
            <v>45901</v>
          </cell>
          <cell r="K216" t="str">
            <v>Prime</v>
          </cell>
          <cell r="L216" t="str">
            <v>Cost Plus Fixed Fee</v>
          </cell>
          <cell r="M216" t="str">
            <v>Cost Reimbursable</v>
          </cell>
          <cell r="N216" t="str">
            <v>Identified - New</v>
          </cell>
          <cell r="O216" t="str">
            <v>01 Prospect</v>
          </cell>
          <cell r="P216" t="str">
            <v>Priority 2</v>
          </cell>
          <cell r="Q216">
            <v>0.1</v>
          </cell>
          <cell r="R216">
            <v>10000</v>
          </cell>
          <cell r="S216">
            <v>0.16</v>
          </cell>
          <cell r="T216">
            <v>0.16</v>
          </cell>
          <cell r="U216">
            <v>0.16</v>
          </cell>
          <cell r="V216">
            <v>0.16</v>
          </cell>
          <cell r="W216">
            <v>0.16</v>
          </cell>
          <cell r="X216">
            <v>6.8000000000000005E-2</v>
          </cell>
          <cell r="Y216">
            <v>6.8000000000000005E-2</v>
          </cell>
          <cell r="Z216">
            <v>6.8000000000000005E-2</v>
          </cell>
          <cell r="AA216">
            <v>6.8000000000000005E-2</v>
          </cell>
          <cell r="AB216">
            <v>6.8000000000000005E-2</v>
          </cell>
          <cell r="AC216">
            <v>2000</v>
          </cell>
          <cell r="AD216">
            <v>0</v>
          </cell>
          <cell r="AE216">
            <v>16.111111111111111</v>
          </cell>
          <cell r="AF216">
            <v>200</v>
          </cell>
          <cell r="AG216">
            <v>200</v>
          </cell>
          <cell r="AH216">
            <v>200</v>
          </cell>
          <cell r="AI216">
            <v>0</v>
          </cell>
          <cell r="AJ216">
            <v>2.5777777777777779</v>
          </cell>
          <cell r="AK216">
            <v>32</v>
          </cell>
          <cell r="AL216">
            <v>32</v>
          </cell>
          <cell r="AM216">
            <v>32</v>
          </cell>
          <cell r="AN216">
            <v>0</v>
          </cell>
          <cell r="AO216">
            <v>1.0955555555555556</v>
          </cell>
          <cell r="AP216">
            <v>13.600000000000001</v>
          </cell>
          <cell r="AQ216">
            <v>13.600000000000001</v>
          </cell>
          <cell r="AR216">
            <v>13.600000000000001</v>
          </cell>
          <cell r="AT216" t="str">
            <v>OPP-874688 - Identified - New - IS4</v>
          </cell>
          <cell r="AU216">
            <v>41.895555555555561</v>
          </cell>
          <cell r="AV216">
            <v>0</v>
          </cell>
          <cell r="AW216">
            <v>41.895555555555561</v>
          </cell>
          <cell r="AX216">
            <v>0</v>
          </cell>
          <cell r="AZ216">
            <v>205</v>
          </cell>
          <cell r="BA216">
            <v>274</v>
          </cell>
          <cell r="BB216">
            <v>267</v>
          </cell>
        </row>
        <row r="217">
          <cell r="B217" t="str">
            <v>OPP-843419</v>
          </cell>
          <cell r="C217" t="str">
            <v>Tiered Infrastructure Maintenance (TIM) Data Center Facilities Management, Operations and Maintenance Support</v>
          </cell>
          <cell r="D217" t="str">
            <v>IS4</v>
          </cell>
          <cell r="E217" t="str">
            <v>IS4 Global Mission Solutions</v>
          </cell>
          <cell r="F217" t="str">
            <v>DISA</v>
          </cell>
          <cell r="G217" t="str">
            <v>DOD</v>
          </cell>
          <cell r="H217">
            <v>44036</v>
          </cell>
          <cell r="I217">
            <v>44099</v>
          </cell>
          <cell r="J217">
            <v>47751</v>
          </cell>
          <cell r="K217" t="str">
            <v>Prime</v>
          </cell>
          <cell r="L217" t="str">
            <v>Fixed Price</v>
          </cell>
          <cell r="M217" t="str">
            <v>Fixed Price</v>
          </cell>
          <cell r="N217" t="str">
            <v>Identified - New</v>
          </cell>
          <cell r="O217" t="str">
            <v>01 Prospect</v>
          </cell>
          <cell r="P217" t="str">
            <v>Priority 2</v>
          </cell>
          <cell r="Q217">
            <v>0.3</v>
          </cell>
          <cell r="R217">
            <v>10000</v>
          </cell>
          <cell r="S217">
            <v>0.17199999999999999</v>
          </cell>
          <cell r="T217">
            <v>0.17199999999999999</v>
          </cell>
          <cell r="U217">
            <v>0.17299999999999999</v>
          </cell>
          <cell r="V217">
            <v>0.17499999999999999</v>
          </cell>
          <cell r="W217">
            <v>0.18</v>
          </cell>
          <cell r="X217">
            <v>0.08</v>
          </cell>
          <cell r="Y217">
            <v>0.08</v>
          </cell>
          <cell r="Z217">
            <v>8.1000000000000003E-2</v>
          </cell>
          <cell r="AA217">
            <v>8.3000000000000004E-2</v>
          </cell>
          <cell r="AB217">
            <v>8.8000000000000009E-2</v>
          </cell>
          <cell r="AC217">
            <v>1000</v>
          </cell>
          <cell r="AD217">
            <v>0</v>
          </cell>
          <cell r="AE217">
            <v>4.1666666666666661</v>
          </cell>
          <cell r="AF217">
            <v>300</v>
          </cell>
          <cell r="AG217">
            <v>300</v>
          </cell>
          <cell r="AH217">
            <v>300</v>
          </cell>
          <cell r="AI217">
            <v>0</v>
          </cell>
          <cell r="AJ217">
            <v>0.71666666666666645</v>
          </cell>
          <cell r="AK217">
            <v>51.9</v>
          </cell>
          <cell r="AL217">
            <v>52.5</v>
          </cell>
          <cell r="AM217">
            <v>54</v>
          </cell>
          <cell r="AN217">
            <v>0</v>
          </cell>
          <cell r="AO217">
            <v>0.33333333333333331</v>
          </cell>
          <cell r="AP217">
            <v>24.3</v>
          </cell>
          <cell r="AQ217">
            <v>24.900000000000002</v>
          </cell>
          <cell r="AR217">
            <v>26.400000000000002</v>
          </cell>
          <cell r="AT217" t="str">
            <v>OPP-843419 - Identified - New - IS4</v>
          </cell>
          <cell r="AU217">
            <v>75.933333333333337</v>
          </cell>
          <cell r="AV217">
            <v>0</v>
          </cell>
          <cell r="AW217">
            <v>75.933333333333337</v>
          </cell>
          <cell r="AX217">
            <v>0</v>
          </cell>
          <cell r="AZ217">
            <v>206</v>
          </cell>
          <cell r="BA217">
            <v>271</v>
          </cell>
          <cell r="BB217">
            <v>268</v>
          </cell>
        </row>
        <row r="218">
          <cell r="B218" t="str">
            <v>OPP-920562</v>
          </cell>
          <cell r="C218" t="str">
            <v>Razor Blade</v>
          </cell>
          <cell r="D218" t="str">
            <v>IS4</v>
          </cell>
          <cell r="E218" t="str">
            <v>IS4 Infrastructure and Engineering</v>
          </cell>
          <cell r="F218" t="str">
            <v>Classified Agency</v>
          </cell>
          <cell r="G218" t="str">
            <v>Classified</v>
          </cell>
          <cell r="H218">
            <v>44099</v>
          </cell>
          <cell r="I218">
            <v>44137</v>
          </cell>
          <cell r="J218">
            <v>45963</v>
          </cell>
          <cell r="K218" t="str">
            <v>Prime</v>
          </cell>
          <cell r="L218" t="str">
            <v>Cost Plus Award Fee; Cost Plus Incentive Fee</v>
          </cell>
          <cell r="M218" t="str">
            <v>Cost Reimbursable</v>
          </cell>
          <cell r="N218" t="str">
            <v>Identified - New</v>
          </cell>
          <cell r="O218" t="str">
            <v>01 Prospect</v>
          </cell>
          <cell r="P218" t="str">
            <v>Priority 2</v>
          </cell>
          <cell r="Q218">
            <v>0.2</v>
          </cell>
          <cell r="R218">
            <v>10000</v>
          </cell>
          <cell r="S218">
            <v>0.13700000000000001</v>
          </cell>
          <cell r="T218">
            <v>0.14200000000000002</v>
          </cell>
          <cell r="U218">
            <v>0.14699999999999999</v>
          </cell>
          <cell r="V218">
            <v>0.14699999999999999</v>
          </cell>
          <cell r="W218">
            <v>0.14699999999999999</v>
          </cell>
          <cell r="X218">
            <v>4.4999999999999998E-2</v>
          </cell>
          <cell r="Y218">
            <v>0.05</v>
          </cell>
          <cell r="Z218">
            <v>5.5E-2</v>
          </cell>
          <cell r="AA218">
            <v>5.5E-2</v>
          </cell>
          <cell r="AB218">
            <v>5.5E-2</v>
          </cell>
          <cell r="AC218">
            <v>2000</v>
          </cell>
          <cell r="AD218">
            <v>0</v>
          </cell>
          <cell r="AE218">
            <v>0</v>
          </cell>
          <cell r="AF218">
            <v>364.44444444444446</v>
          </cell>
          <cell r="AG218">
            <v>400</v>
          </cell>
          <cell r="AH218">
            <v>400</v>
          </cell>
          <cell r="AI218">
            <v>0</v>
          </cell>
          <cell r="AJ218">
            <v>0</v>
          </cell>
          <cell r="AK218">
            <v>53.573333333333331</v>
          </cell>
          <cell r="AL218">
            <v>58.8</v>
          </cell>
          <cell r="AM218">
            <v>58.8</v>
          </cell>
          <cell r="AN218">
            <v>0</v>
          </cell>
          <cell r="AO218">
            <v>0</v>
          </cell>
          <cell r="AP218">
            <v>20.044444444444444</v>
          </cell>
          <cell r="AQ218">
            <v>22</v>
          </cell>
          <cell r="AR218">
            <v>22</v>
          </cell>
          <cell r="AT218" t="str">
            <v>OPP-920562 - Identified - New - IS4</v>
          </cell>
          <cell r="AU218">
            <v>64.044444444444451</v>
          </cell>
          <cell r="AV218">
            <v>0</v>
          </cell>
          <cell r="AW218">
            <v>64.044444444444451</v>
          </cell>
          <cell r="AX218">
            <v>0</v>
          </cell>
          <cell r="AZ218">
            <v>207</v>
          </cell>
          <cell r="BA218">
            <v>273</v>
          </cell>
          <cell r="BB218">
            <v>269</v>
          </cell>
        </row>
        <row r="219">
          <cell r="B219" t="str">
            <v>OPP-861536</v>
          </cell>
          <cell r="C219" t="str">
            <v>Air Force Medical Support Agency Medical Treatment Facility Operations Maintenance</v>
          </cell>
          <cell r="D219" t="str">
            <v>IS4</v>
          </cell>
          <cell r="E219" t="str">
            <v>IS4 Global Mission Solutions</v>
          </cell>
          <cell r="F219" t="str">
            <v>Air Force</v>
          </cell>
          <cell r="G219" t="str">
            <v>DOD</v>
          </cell>
          <cell r="H219">
            <v>44063</v>
          </cell>
          <cell r="I219">
            <v>44155</v>
          </cell>
          <cell r="J219">
            <v>45981</v>
          </cell>
          <cell r="K219" t="str">
            <v>Prime</v>
          </cell>
          <cell r="L219" t="str">
            <v>Fixed Price</v>
          </cell>
          <cell r="M219" t="str">
            <v>Fixed Price</v>
          </cell>
          <cell r="N219" t="str">
            <v>Identified - New</v>
          </cell>
          <cell r="O219" t="str">
            <v>01 Prospect</v>
          </cell>
          <cell r="P219" t="str">
            <v>Priority 2</v>
          </cell>
          <cell r="Q219">
            <v>0.3</v>
          </cell>
          <cell r="R219">
            <v>10000</v>
          </cell>
          <cell r="S219">
            <v>0.17199999999999999</v>
          </cell>
          <cell r="T219">
            <v>0.17199999999999999</v>
          </cell>
          <cell r="U219">
            <v>0.17299999999999999</v>
          </cell>
          <cell r="V219">
            <v>0.17499999999999999</v>
          </cell>
          <cell r="W219">
            <v>0.18</v>
          </cell>
          <cell r="X219">
            <v>0.08</v>
          </cell>
          <cell r="Y219">
            <v>0.08</v>
          </cell>
          <cell r="Z219">
            <v>8.1000000000000003E-2</v>
          </cell>
          <cell r="AA219">
            <v>8.3000000000000004E-2</v>
          </cell>
          <cell r="AB219">
            <v>8.8000000000000009E-2</v>
          </cell>
          <cell r="AC219">
            <v>2000</v>
          </cell>
          <cell r="AD219">
            <v>0</v>
          </cell>
          <cell r="AE219">
            <v>0</v>
          </cell>
          <cell r="AF219">
            <v>516.66666666666674</v>
          </cell>
          <cell r="AG219">
            <v>600</v>
          </cell>
          <cell r="AH219">
            <v>600</v>
          </cell>
          <cell r="AI219">
            <v>0</v>
          </cell>
          <cell r="AJ219">
            <v>0</v>
          </cell>
          <cell r="AK219">
            <v>89.38333333333334</v>
          </cell>
          <cell r="AL219">
            <v>105</v>
          </cell>
          <cell r="AM219">
            <v>108</v>
          </cell>
          <cell r="AN219">
            <v>0</v>
          </cell>
          <cell r="AO219">
            <v>0</v>
          </cell>
          <cell r="AP219">
            <v>41.850000000000009</v>
          </cell>
          <cell r="AQ219">
            <v>49.800000000000004</v>
          </cell>
          <cell r="AR219">
            <v>52.800000000000004</v>
          </cell>
          <cell r="AT219" t="str">
            <v>OPP-861536 - Identified - New - IS4</v>
          </cell>
          <cell r="AU219">
            <v>144.45000000000002</v>
          </cell>
          <cell r="AV219">
            <v>0</v>
          </cell>
          <cell r="AW219">
            <v>144.45000000000002</v>
          </cell>
          <cell r="AX219">
            <v>0</v>
          </cell>
          <cell r="AZ219">
            <v>208</v>
          </cell>
          <cell r="BA219">
            <v>259</v>
          </cell>
          <cell r="BB219">
            <v>270</v>
          </cell>
        </row>
        <row r="220">
          <cell r="B220" t="str">
            <v>OPP-859204</v>
          </cell>
          <cell r="C220" t="str">
            <v>CF Land Electronic Modernization</v>
          </cell>
          <cell r="D220" t="str">
            <v>IS4</v>
          </cell>
          <cell r="E220" t="str">
            <v>IS4 Spectrum &amp; Infrastructure Assurance</v>
          </cell>
          <cell r="F220" t="str">
            <v>Intercompany</v>
          </cell>
          <cell r="G220" t="str">
            <v>Intercompany</v>
          </cell>
          <cell r="H220">
            <v>44151</v>
          </cell>
          <cell r="I220">
            <v>44166</v>
          </cell>
          <cell r="J220">
            <v>45992</v>
          </cell>
          <cell r="K220" t="str">
            <v>Prime</v>
          </cell>
          <cell r="L220" t="str">
            <v>Cost Plus Fixed Fee</v>
          </cell>
          <cell r="M220" t="str">
            <v>Cost Reimbursable</v>
          </cell>
          <cell r="N220" t="str">
            <v>Identified - New</v>
          </cell>
          <cell r="O220" t="str">
            <v>01 Prospect</v>
          </cell>
          <cell r="P220" t="str">
            <v>Priority 2</v>
          </cell>
          <cell r="Q220">
            <v>0.25</v>
          </cell>
          <cell r="R220">
            <v>10000</v>
          </cell>
          <cell r="S220">
            <v>0.16</v>
          </cell>
          <cell r="T220">
            <v>0.16</v>
          </cell>
          <cell r="U220">
            <v>0.16</v>
          </cell>
          <cell r="V220">
            <v>0.16</v>
          </cell>
          <cell r="W220">
            <v>0.16</v>
          </cell>
          <cell r="X220">
            <v>6.8000000000000005E-2</v>
          </cell>
          <cell r="Y220">
            <v>6.8000000000000005E-2</v>
          </cell>
          <cell r="Z220">
            <v>6.8000000000000005E-2</v>
          </cell>
          <cell r="AA220">
            <v>6.8000000000000005E-2</v>
          </cell>
          <cell r="AB220">
            <v>6.8000000000000005E-2</v>
          </cell>
          <cell r="AC220">
            <v>2000</v>
          </cell>
          <cell r="AD220">
            <v>0</v>
          </cell>
          <cell r="AE220">
            <v>0</v>
          </cell>
          <cell r="AF220">
            <v>415.27777777777783</v>
          </cell>
          <cell r="AG220">
            <v>500</v>
          </cell>
          <cell r="AH220">
            <v>500</v>
          </cell>
          <cell r="AI220">
            <v>0</v>
          </cell>
          <cell r="AJ220">
            <v>0</v>
          </cell>
          <cell r="AK220">
            <v>66.444444444444457</v>
          </cell>
          <cell r="AL220">
            <v>80</v>
          </cell>
          <cell r="AM220">
            <v>80</v>
          </cell>
          <cell r="AN220">
            <v>0</v>
          </cell>
          <cell r="AO220">
            <v>0</v>
          </cell>
          <cell r="AP220">
            <v>28.238888888888894</v>
          </cell>
          <cell r="AQ220">
            <v>34</v>
          </cell>
          <cell r="AR220">
            <v>34</v>
          </cell>
          <cell r="AT220" t="str">
            <v>OPP-859204 - Identified - New - IS4</v>
          </cell>
          <cell r="AU220">
            <v>96.238888888888894</v>
          </cell>
          <cell r="AV220">
            <v>0</v>
          </cell>
          <cell r="AW220">
            <v>96.238888888888894</v>
          </cell>
          <cell r="AX220">
            <v>0</v>
          </cell>
          <cell r="AZ220">
            <v>209</v>
          </cell>
          <cell r="BA220">
            <v>264</v>
          </cell>
          <cell r="BB220">
            <v>271</v>
          </cell>
        </row>
        <row r="221">
          <cell r="B221" t="str">
            <v>OPP-859212</v>
          </cell>
          <cell r="C221" t="str">
            <v>Meridian Standard</v>
          </cell>
          <cell r="D221" t="str">
            <v>IS4</v>
          </cell>
          <cell r="E221" t="str">
            <v>IS4 Spectrum &amp; Infrastructure Assurance</v>
          </cell>
          <cell r="F221" t="str">
            <v>Intercompany</v>
          </cell>
          <cell r="G221" t="str">
            <v>Intercompany</v>
          </cell>
          <cell r="H221">
            <v>44141</v>
          </cell>
          <cell r="I221">
            <v>44169</v>
          </cell>
          <cell r="J221">
            <v>45995</v>
          </cell>
          <cell r="K221" t="str">
            <v>Prime</v>
          </cell>
          <cell r="L221" t="str">
            <v>Cost Plus Fixed Fee</v>
          </cell>
          <cell r="M221" t="str">
            <v>Cost Reimbursable</v>
          </cell>
          <cell r="N221" t="str">
            <v>Identified - New</v>
          </cell>
          <cell r="O221" t="str">
            <v>01 Prospect</v>
          </cell>
          <cell r="P221" t="str">
            <v>Priority 2</v>
          </cell>
          <cell r="Q221">
            <v>0.25</v>
          </cell>
          <cell r="R221">
            <v>10000</v>
          </cell>
          <cell r="S221">
            <v>0.16</v>
          </cell>
          <cell r="T221">
            <v>0.16</v>
          </cell>
          <cell r="U221">
            <v>0.16</v>
          </cell>
          <cell r="V221">
            <v>0.16</v>
          </cell>
          <cell r="W221">
            <v>0.16</v>
          </cell>
          <cell r="X221">
            <v>6.8000000000000005E-2</v>
          </cell>
          <cell r="Y221">
            <v>6.8000000000000005E-2</v>
          </cell>
          <cell r="Z221">
            <v>6.8000000000000005E-2</v>
          </cell>
          <cell r="AA221">
            <v>6.8000000000000005E-2</v>
          </cell>
          <cell r="AB221">
            <v>6.8000000000000005E-2</v>
          </cell>
          <cell r="AC221">
            <v>2000</v>
          </cell>
          <cell r="AD221">
            <v>0</v>
          </cell>
          <cell r="AE221">
            <v>0</v>
          </cell>
          <cell r="AF221">
            <v>411.11111111111109</v>
          </cell>
          <cell r="AG221">
            <v>500</v>
          </cell>
          <cell r="AH221">
            <v>500</v>
          </cell>
          <cell r="AI221">
            <v>0</v>
          </cell>
          <cell r="AJ221">
            <v>0</v>
          </cell>
          <cell r="AK221">
            <v>65.777777777777771</v>
          </cell>
          <cell r="AL221">
            <v>80</v>
          </cell>
          <cell r="AM221">
            <v>80</v>
          </cell>
          <cell r="AN221">
            <v>0</v>
          </cell>
          <cell r="AO221">
            <v>0</v>
          </cell>
          <cell r="AP221">
            <v>27.955555555555556</v>
          </cell>
          <cell r="AQ221">
            <v>34</v>
          </cell>
          <cell r="AR221">
            <v>34</v>
          </cell>
          <cell r="AT221" t="str">
            <v>OPP-859212 - Identified - New - IS4</v>
          </cell>
          <cell r="AU221">
            <v>95.955555555555549</v>
          </cell>
          <cell r="AV221">
            <v>0</v>
          </cell>
          <cell r="AW221">
            <v>95.955555555555549</v>
          </cell>
          <cell r="AX221">
            <v>0</v>
          </cell>
          <cell r="AZ221">
            <v>210</v>
          </cell>
          <cell r="BA221">
            <v>265</v>
          </cell>
          <cell r="BB221">
            <v>272</v>
          </cell>
        </row>
        <row r="222">
          <cell r="B222" t="str">
            <v>OPP-474177</v>
          </cell>
          <cell r="C222" t="str">
            <v>N2W - MS Support</v>
          </cell>
          <cell r="D222" t="str">
            <v>IS4</v>
          </cell>
          <cell r="E222" t="str">
            <v>IS4 Infrastructure and Engineering</v>
          </cell>
          <cell r="F222" t="str">
            <v>Army</v>
          </cell>
          <cell r="G222" t="str">
            <v>DOD</v>
          </cell>
          <cell r="H222">
            <v>44043</v>
          </cell>
          <cell r="I222">
            <v>44228</v>
          </cell>
          <cell r="J222">
            <v>45323</v>
          </cell>
          <cell r="K222" t="str">
            <v>Sub</v>
          </cell>
          <cell r="L222" t="str">
            <v>Fixed Price</v>
          </cell>
          <cell r="M222" t="str">
            <v>Fixed Price</v>
          </cell>
          <cell r="N222" t="str">
            <v>Identified - New</v>
          </cell>
          <cell r="O222" t="str">
            <v>02 Capture</v>
          </cell>
          <cell r="P222" t="str">
            <v>Priority 2</v>
          </cell>
          <cell r="Q222">
            <v>0.2</v>
          </cell>
          <cell r="R222">
            <v>10000</v>
          </cell>
          <cell r="S222">
            <v>0.17199999999999999</v>
          </cell>
          <cell r="T222">
            <v>0.17199999999999999</v>
          </cell>
          <cell r="U222">
            <v>0.17299999999999999</v>
          </cell>
          <cell r="V222">
            <v>0.17499999999999999</v>
          </cell>
          <cell r="W222">
            <v>0.18</v>
          </cell>
          <cell r="X222">
            <v>0.08</v>
          </cell>
          <cell r="Y222">
            <v>0.08</v>
          </cell>
          <cell r="Z222">
            <v>8.1000000000000003E-2</v>
          </cell>
          <cell r="AA222">
            <v>8.3000000000000004E-2</v>
          </cell>
          <cell r="AB222">
            <v>8.8000000000000009E-2</v>
          </cell>
          <cell r="AC222">
            <v>3333.3333333333335</v>
          </cell>
          <cell r="AD222">
            <v>0</v>
          </cell>
          <cell r="AE222">
            <v>0</v>
          </cell>
          <cell r="AF222">
            <v>442.59259259259261</v>
          </cell>
          <cell r="AG222">
            <v>666.66666666666674</v>
          </cell>
          <cell r="AH222">
            <v>666.66666666666674</v>
          </cell>
          <cell r="AI222">
            <v>0</v>
          </cell>
          <cell r="AJ222">
            <v>0</v>
          </cell>
          <cell r="AK222">
            <v>76.568518518518516</v>
          </cell>
          <cell r="AL222">
            <v>116.66666666666667</v>
          </cell>
          <cell r="AM222">
            <v>120.00000000000001</v>
          </cell>
          <cell r="AN222">
            <v>0</v>
          </cell>
          <cell r="AO222">
            <v>0</v>
          </cell>
          <cell r="AP222">
            <v>35.85</v>
          </cell>
          <cell r="AQ222">
            <v>55.333333333333343</v>
          </cell>
          <cell r="AR222">
            <v>58.666666666666679</v>
          </cell>
          <cell r="AT222" t="str">
            <v>OPP-474177 - Identified - New - IS4</v>
          </cell>
          <cell r="AU222">
            <v>149.85000000000002</v>
          </cell>
          <cell r="AV222">
            <v>0</v>
          </cell>
          <cell r="AW222">
            <v>149.85000000000002</v>
          </cell>
          <cell r="AX222">
            <v>0</v>
          </cell>
          <cell r="AZ222">
            <v>211</v>
          </cell>
          <cell r="BA222">
            <v>258</v>
          </cell>
          <cell r="BB222">
            <v>273</v>
          </cell>
        </row>
        <row r="223">
          <cell r="B223" t="str">
            <v>OPP-854579</v>
          </cell>
          <cell r="C223" t="str">
            <v>DOS_CONSTRUCTION SECURITY GUARD MONITORING SERVICES (CAGS)</v>
          </cell>
          <cell r="D223" t="str">
            <v>IS4</v>
          </cell>
          <cell r="E223" t="str">
            <v>IS4 Global Mission Solutions</v>
          </cell>
          <cell r="F223" t="str">
            <v>Dept. of State</v>
          </cell>
          <cell r="G223" t="str">
            <v>DOS</v>
          </cell>
          <cell r="H223">
            <v>44183</v>
          </cell>
          <cell r="I223">
            <v>44281</v>
          </cell>
          <cell r="J223">
            <v>46107</v>
          </cell>
          <cell r="K223" t="str">
            <v>Prime</v>
          </cell>
          <cell r="L223" t="str">
            <v>Fixed Price; Hybrid/Mixed Cost-Plus/Fixed; T&amp;M</v>
          </cell>
          <cell r="M223" t="str">
            <v>Fixed Price</v>
          </cell>
          <cell r="N223" t="str">
            <v>Identified - New</v>
          </cell>
          <cell r="O223" t="str">
            <v>01 Prospect</v>
          </cell>
          <cell r="P223" t="str">
            <v>Priority 2</v>
          </cell>
          <cell r="Q223">
            <v>0.3</v>
          </cell>
          <cell r="R223">
            <v>10000</v>
          </cell>
          <cell r="S223">
            <v>0.14200000000000002</v>
          </cell>
          <cell r="T223">
            <v>0.14200000000000002</v>
          </cell>
          <cell r="U223">
            <v>0.14400000000000002</v>
          </cell>
          <cell r="V223">
            <v>0.14899999999999999</v>
          </cell>
          <cell r="W223">
            <v>0.154</v>
          </cell>
          <cell r="X223">
            <v>0.05</v>
          </cell>
          <cell r="Y223">
            <v>0.05</v>
          </cell>
          <cell r="Z223">
            <v>5.2000000000000005E-2</v>
          </cell>
          <cell r="AA223">
            <v>5.7000000000000002E-2</v>
          </cell>
          <cell r="AB223">
            <v>6.2E-2</v>
          </cell>
          <cell r="AC223">
            <v>2000</v>
          </cell>
          <cell r="AD223">
            <v>0</v>
          </cell>
          <cell r="AE223">
            <v>0</v>
          </cell>
          <cell r="AF223">
            <v>306.66666666666663</v>
          </cell>
          <cell r="AG223">
            <v>600</v>
          </cell>
          <cell r="AH223">
            <v>600</v>
          </cell>
          <cell r="AI223">
            <v>0</v>
          </cell>
          <cell r="AJ223">
            <v>0</v>
          </cell>
          <cell r="AK223">
            <v>44.16</v>
          </cell>
          <cell r="AL223">
            <v>89.399999999999991</v>
          </cell>
          <cell r="AM223">
            <v>92.4</v>
          </cell>
          <cell r="AN223">
            <v>0</v>
          </cell>
          <cell r="AO223">
            <v>0</v>
          </cell>
          <cell r="AP223">
            <v>15.946666666666665</v>
          </cell>
          <cell r="AQ223">
            <v>34.200000000000003</v>
          </cell>
          <cell r="AR223">
            <v>37.200000000000003</v>
          </cell>
          <cell r="AT223" t="str">
            <v>OPP-854579 - Identified - New - IS4</v>
          </cell>
          <cell r="AU223">
            <v>87.346666666666664</v>
          </cell>
          <cell r="AV223">
            <v>0</v>
          </cell>
          <cell r="AW223">
            <v>87.346666666666664</v>
          </cell>
          <cell r="AX223">
            <v>0</v>
          </cell>
          <cell r="AZ223">
            <v>212</v>
          </cell>
          <cell r="BA223">
            <v>267</v>
          </cell>
          <cell r="BB223">
            <v>274</v>
          </cell>
        </row>
        <row r="224">
          <cell r="B224" t="str">
            <v>OPP-855332</v>
          </cell>
          <cell r="C224" t="str">
            <v>JSC Engineering Technology and Science Contract (JETS)</v>
          </cell>
          <cell r="D224" t="str">
            <v>IS4</v>
          </cell>
          <cell r="E224" t="str">
            <v>IS4 Spectrum &amp; Infrastructure Assurance</v>
          </cell>
          <cell r="F224" t="str">
            <v>NASA</v>
          </cell>
          <cell r="G224" t="str">
            <v>NASA</v>
          </cell>
          <cell r="H224">
            <v>44623</v>
          </cell>
          <cell r="I224">
            <v>44655</v>
          </cell>
          <cell r="J224">
            <v>47942</v>
          </cell>
          <cell r="K224" t="str">
            <v>Prime</v>
          </cell>
          <cell r="L224" t="str">
            <v>Cost Plus Fixed Fee</v>
          </cell>
          <cell r="M224" t="str">
            <v>Cost Reimbursable</v>
          </cell>
          <cell r="N224" t="str">
            <v>Identified - New</v>
          </cell>
          <cell r="O224" t="str">
            <v>01 Prospect</v>
          </cell>
          <cell r="P224" t="str">
            <v>Priority 2</v>
          </cell>
          <cell r="Q224">
            <v>0.25</v>
          </cell>
          <cell r="R224">
            <v>10000</v>
          </cell>
          <cell r="S224">
            <v>0.16</v>
          </cell>
          <cell r="T224">
            <v>0.16</v>
          </cell>
          <cell r="U224">
            <v>0.16</v>
          </cell>
          <cell r="V224">
            <v>0.16</v>
          </cell>
          <cell r="W224">
            <v>0.16</v>
          </cell>
          <cell r="X224">
            <v>6.8000000000000005E-2</v>
          </cell>
          <cell r="Y224">
            <v>6.8000000000000005E-2</v>
          </cell>
          <cell r="Z224">
            <v>6.8000000000000005E-2</v>
          </cell>
          <cell r="AA224">
            <v>6.8000000000000005E-2</v>
          </cell>
          <cell r="AB224">
            <v>6.8000000000000005E-2</v>
          </cell>
          <cell r="AC224">
            <v>1111.1111111111111</v>
          </cell>
          <cell r="AD224">
            <v>0</v>
          </cell>
          <cell r="AE224">
            <v>0</v>
          </cell>
          <cell r="AF224">
            <v>0</v>
          </cell>
          <cell r="AG224">
            <v>135.80246913580245</v>
          </cell>
          <cell r="AH224">
            <v>277.77777777777777</v>
          </cell>
          <cell r="AI224">
            <v>0</v>
          </cell>
          <cell r="AJ224">
            <v>0</v>
          </cell>
          <cell r="AK224">
            <v>0</v>
          </cell>
          <cell r="AL224">
            <v>21.728395061728392</v>
          </cell>
          <cell r="AM224">
            <v>44.444444444444443</v>
          </cell>
          <cell r="AN224">
            <v>0</v>
          </cell>
          <cell r="AO224">
            <v>0</v>
          </cell>
          <cell r="AP224">
            <v>0</v>
          </cell>
          <cell r="AQ224">
            <v>9.2345679012345681</v>
          </cell>
          <cell r="AR224">
            <v>18.888888888888889</v>
          </cell>
          <cell r="AT224" t="str">
            <v>OPP-855332 - Identified - New - IS4</v>
          </cell>
          <cell r="AU224">
            <v>28.123456790123456</v>
          </cell>
          <cell r="AV224">
            <v>0</v>
          </cell>
          <cell r="AW224">
            <v>28.123456790123456</v>
          </cell>
          <cell r="AX224">
            <v>0</v>
          </cell>
          <cell r="AZ224">
            <v>213</v>
          </cell>
          <cell r="BA224">
            <v>275</v>
          </cell>
          <cell r="BB224">
            <v>275</v>
          </cell>
        </row>
        <row r="225">
          <cell r="B225" t="str">
            <v>OPP-855339</v>
          </cell>
          <cell r="C225" t="str">
            <v>GOES-R GS</v>
          </cell>
          <cell r="D225" t="str">
            <v>IS4</v>
          </cell>
          <cell r="E225" t="str">
            <v>IS4 Spectrum &amp; Infrastructure Assurance</v>
          </cell>
          <cell r="F225" t="str">
            <v>Other Civilian</v>
          </cell>
          <cell r="G225" t="str">
            <v>Other</v>
          </cell>
          <cell r="H225">
            <v>45051</v>
          </cell>
          <cell r="I225">
            <v>45051</v>
          </cell>
          <cell r="J225">
            <v>48704</v>
          </cell>
          <cell r="K225" t="str">
            <v>Prime</v>
          </cell>
          <cell r="L225" t="str">
            <v>Cost Plus Fixed Fee</v>
          </cell>
          <cell r="M225" t="str">
            <v>Cost Reimbursable</v>
          </cell>
          <cell r="N225" t="str">
            <v>Identified - New</v>
          </cell>
          <cell r="O225" t="str">
            <v>01 Prospect</v>
          </cell>
          <cell r="P225" t="str">
            <v>Priority 2</v>
          </cell>
          <cell r="Q225">
            <v>0.25</v>
          </cell>
          <cell r="R225">
            <v>10000</v>
          </cell>
          <cell r="S225">
            <v>0.16</v>
          </cell>
          <cell r="T225">
            <v>0.16</v>
          </cell>
          <cell r="U225">
            <v>0.16</v>
          </cell>
          <cell r="V225">
            <v>0.16</v>
          </cell>
          <cell r="W225">
            <v>0.16</v>
          </cell>
          <cell r="X225">
            <v>6.8000000000000005E-2</v>
          </cell>
          <cell r="Y225">
            <v>6.8000000000000005E-2</v>
          </cell>
          <cell r="Z225">
            <v>6.8000000000000005E-2</v>
          </cell>
          <cell r="AA225">
            <v>6.8000000000000005E-2</v>
          </cell>
          <cell r="AB225">
            <v>6.8000000000000005E-2</v>
          </cell>
          <cell r="AC225">
            <v>1000</v>
          </cell>
          <cell r="AD225">
            <v>0</v>
          </cell>
          <cell r="AE225">
            <v>0</v>
          </cell>
          <cell r="AF225">
            <v>0</v>
          </cell>
          <cell r="AG225">
            <v>0</v>
          </cell>
          <cell r="AH225">
            <v>100.69444444444444</v>
          </cell>
          <cell r="AI225">
            <v>0</v>
          </cell>
          <cell r="AJ225">
            <v>0</v>
          </cell>
          <cell r="AK225">
            <v>0</v>
          </cell>
          <cell r="AL225">
            <v>0</v>
          </cell>
          <cell r="AM225">
            <v>16.111111111111111</v>
          </cell>
          <cell r="AN225">
            <v>0</v>
          </cell>
          <cell r="AO225">
            <v>0</v>
          </cell>
          <cell r="AP225">
            <v>0</v>
          </cell>
          <cell r="AQ225">
            <v>0</v>
          </cell>
          <cell r="AR225">
            <v>6.8472222222222223</v>
          </cell>
          <cell r="AT225" t="str">
            <v>OPP-855339 - Identified - New - IS4</v>
          </cell>
          <cell r="AU225">
            <v>6.8472222222222223</v>
          </cell>
          <cell r="AV225">
            <v>0</v>
          </cell>
          <cell r="AW225">
            <v>6.8472222222222223</v>
          </cell>
          <cell r="AX225">
            <v>0</v>
          </cell>
          <cell r="AZ225">
            <v>214</v>
          </cell>
          <cell r="BA225">
            <v>277</v>
          </cell>
          <cell r="BB225">
            <v>276</v>
          </cell>
        </row>
        <row r="226">
          <cell r="B226" t="str">
            <v>OPP-643468</v>
          </cell>
          <cell r="C226" t="str">
            <v>USACE RSFO SATOC for Baltimore/Washington corridor, CONUS and HAWAII - Master / Cross Group Opp</v>
          </cell>
          <cell r="D226" t="str">
            <v>IS4</v>
          </cell>
          <cell r="E226" t="str">
            <v>IS4 Global Mission Solutions</v>
          </cell>
          <cell r="F226" t="str">
            <v>Army</v>
          </cell>
          <cell r="G226" t="str">
            <v>DOD</v>
          </cell>
          <cell r="H226">
            <v>43763</v>
          </cell>
          <cell r="I226">
            <v>43770</v>
          </cell>
          <cell r="J226">
            <v>44866</v>
          </cell>
          <cell r="K226" t="str">
            <v>Prime</v>
          </cell>
          <cell r="L226" t="str">
            <v>Hybrid/Mixed Cost-Plus/Fixed</v>
          </cell>
          <cell r="M226" t="str">
            <v>Other</v>
          </cell>
          <cell r="N226" t="str">
            <v>Identified - New</v>
          </cell>
          <cell r="O226" t="str">
            <v>03 Proposal</v>
          </cell>
          <cell r="P226" t="str">
            <v>Priority 2</v>
          </cell>
          <cell r="Q226">
            <v>0.3</v>
          </cell>
          <cell r="R226">
            <v>0</v>
          </cell>
          <cell r="S226">
            <v>0.152</v>
          </cell>
          <cell r="T226">
            <v>0.152</v>
          </cell>
          <cell r="U226">
            <v>0.154</v>
          </cell>
          <cell r="V226">
            <v>0.159</v>
          </cell>
          <cell r="W226">
            <v>0.16400000000000001</v>
          </cell>
          <cell r="X226">
            <v>0.06</v>
          </cell>
          <cell r="Y226">
            <v>0.06</v>
          </cell>
          <cell r="Z226">
            <v>6.2E-2</v>
          </cell>
          <cell r="AA226">
            <v>6.7000000000000004E-2</v>
          </cell>
          <cell r="AB226">
            <v>7.2000000000000008E-2</v>
          </cell>
          <cell r="AC226">
            <v>0</v>
          </cell>
          <cell r="AD226">
            <v>0</v>
          </cell>
          <cell r="AE226">
            <v>0</v>
          </cell>
          <cell r="AF226">
            <v>0</v>
          </cell>
          <cell r="AG226">
            <v>0</v>
          </cell>
          <cell r="AH226">
            <v>0</v>
          </cell>
          <cell r="AI226">
            <v>0</v>
          </cell>
          <cell r="AJ226">
            <v>0</v>
          </cell>
          <cell r="AK226">
            <v>0</v>
          </cell>
          <cell r="AL226">
            <v>0</v>
          </cell>
          <cell r="AM226">
            <v>0</v>
          </cell>
          <cell r="AN226">
            <v>0</v>
          </cell>
          <cell r="AO226">
            <v>0</v>
          </cell>
          <cell r="AP226">
            <v>0</v>
          </cell>
          <cell r="AQ226">
            <v>0</v>
          </cell>
          <cell r="AR226">
            <v>0</v>
          </cell>
          <cell r="AT226" t="str">
            <v>OPP-643468 - Identified - New - IS4</v>
          </cell>
          <cell r="AU226">
            <v>0</v>
          </cell>
          <cell r="AV226">
            <v>0</v>
          </cell>
          <cell r="AW226">
            <v>0</v>
          </cell>
          <cell r="AX226">
            <v>0</v>
          </cell>
          <cell r="AZ226">
            <v>215</v>
          </cell>
          <cell r="BA226">
            <v>378</v>
          </cell>
          <cell r="BB226">
            <v>277</v>
          </cell>
        </row>
        <row r="227">
          <cell r="B227" t="str">
            <v>OPP-923415</v>
          </cell>
          <cell r="C227" t="str">
            <v>OASIS: US Army Rapid Equipping Force (REF)</v>
          </cell>
          <cell r="D227" t="str">
            <v>IS4</v>
          </cell>
          <cell r="E227" t="str">
            <v>IS4 Engineering and Technology Services</v>
          </cell>
          <cell r="F227" t="str">
            <v>Army</v>
          </cell>
          <cell r="G227" t="str">
            <v>DOD</v>
          </cell>
          <cell r="H227">
            <v>43854</v>
          </cell>
          <cell r="I227">
            <v>43868</v>
          </cell>
          <cell r="J227">
            <v>45695</v>
          </cell>
          <cell r="K227" t="str">
            <v>Prime</v>
          </cell>
          <cell r="L227" t="str">
            <v>Cost Plus Award Fee</v>
          </cell>
          <cell r="M227" t="str">
            <v>Cost Reimbursable</v>
          </cell>
          <cell r="N227" t="str">
            <v>Identified - New</v>
          </cell>
          <cell r="O227" t="str">
            <v>02 Capture</v>
          </cell>
          <cell r="P227" t="str">
            <v>Priority 2</v>
          </cell>
          <cell r="Q227">
            <v>0.3</v>
          </cell>
          <cell r="R227">
            <v>200000000</v>
          </cell>
          <cell r="S227">
            <v>0.152</v>
          </cell>
          <cell r="T227">
            <v>0.152</v>
          </cell>
          <cell r="U227">
            <v>0.17199999999999999</v>
          </cell>
          <cell r="V227">
            <v>0.17199999999999999</v>
          </cell>
          <cell r="W227">
            <v>0.17199999999999999</v>
          </cell>
          <cell r="X227">
            <v>0.06</v>
          </cell>
          <cell r="Y227">
            <v>0.06</v>
          </cell>
          <cell r="Z227">
            <v>0.08</v>
          </cell>
          <cell r="AA227">
            <v>0.08</v>
          </cell>
          <cell r="AB227">
            <v>0.08</v>
          </cell>
          <cell r="AC227">
            <v>40000000</v>
          </cell>
          <cell r="AD227">
            <v>0</v>
          </cell>
          <cell r="AE227">
            <v>7766666.666666667</v>
          </cell>
          <cell r="AF227">
            <v>12000000</v>
          </cell>
          <cell r="AG227">
            <v>12000000</v>
          </cell>
          <cell r="AH227">
            <v>12000000</v>
          </cell>
          <cell r="AI227">
            <v>0</v>
          </cell>
          <cell r="AJ227">
            <v>1180533.3333333333</v>
          </cell>
          <cell r="AK227">
            <v>2063999.9999999998</v>
          </cell>
          <cell r="AL227">
            <v>2063999.9999999998</v>
          </cell>
          <cell r="AM227">
            <v>2063999.9999999998</v>
          </cell>
          <cell r="AN227">
            <v>0</v>
          </cell>
          <cell r="AO227">
            <v>466000</v>
          </cell>
          <cell r="AP227">
            <v>960000</v>
          </cell>
          <cell r="AQ227">
            <v>960000</v>
          </cell>
          <cell r="AR227">
            <v>960000</v>
          </cell>
          <cell r="AT227" t="str">
            <v>OPP-923415 - Identified - New - IS4</v>
          </cell>
          <cell r="AU227">
            <v>3346000</v>
          </cell>
          <cell r="AV227">
            <v>0</v>
          </cell>
          <cell r="AW227">
            <v>3346000</v>
          </cell>
          <cell r="AX227">
            <v>0</v>
          </cell>
          <cell r="AZ227">
            <v>216</v>
          </cell>
          <cell r="BA227">
            <v>5</v>
          </cell>
          <cell r="BB227">
            <v>278</v>
          </cell>
        </row>
        <row r="228">
          <cell r="B228" t="str">
            <v>OPP-812529</v>
          </cell>
          <cell r="C228" t="str">
            <v>USACE HIGH PERFORMANCE COMPUTING INTEGRATION TECHNICAL SERVICES RESTRICTED (HITS-R)</v>
          </cell>
          <cell r="D228" t="str">
            <v>IS4</v>
          </cell>
          <cell r="E228" t="str">
            <v>IS4 Engineering and Technology Services</v>
          </cell>
          <cell r="F228" t="str">
            <v>Army</v>
          </cell>
          <cell r="G228" t="str">
            <v>DOD</v>
          </cell>
          <cell r="H228">
            <v>43840</v>
          </cell>
          <cell r="I228">
            <v>43906</v>
          </cell>
          <cell r="J228">
            <v>45732</v>
          </cell>
          <cell r="K228" t="str">
            <v>Sub</v>
          </cell>
          <cell r="L228" t="str">
            <v>Cost Plus Fixed Fee; Hybrid/Mixed Cost-Plus/Fixed</v>
          </cell>
          <cell r="M228" t="str">
            <v>Cost Reimbursable</v>
          </cell>
          <cell r="N228" t="str">
            <v>Identified - New</v>
          </cell>
          <cell r="O228" t="str">
            <v>04 Submitted</v>
          </cell>
          <cell r="P228" t="str">
            <v>Priority 3</v>
          </cell>
          <cell r="Q228">
            <v>0.5</v>
          </cell>
          <cell r="R228">
            <v>37000000</v>
          </cell>
          <cell r="S228">
            <v>0.16200000000000001</v>
          </cell>
          <cell r="T228">
            <v>0.16200000000000001</v>
          </cell>
          <cell r="U228">
            <v>0.16200000000000001</v>
          </cell>
          <cell r="V228">
            <v>0.16200000000000001</v>
          </cell>
          <cell r="W228">
            <v>0.16200000000000001</v>
          </cell>
          <cell r="X228">
            <v>7.0000000000000007E-2</v>
          </cell>
          <cell r="Y228">
            <v>7.0000000000000007E-2</v>
          </cell>
          <cell r="Z228">
            <v>7.0000000000000007E-2</v>
          </cell>
          <cell r="AA228">
            <v>7.0000000000000007E-2</v>
          </cell>
          <cell r="AB228">
            <v>7.0000000000000007E-2</v>
          </cell>
          <cell r="AC228">
            <v>7400000</v>
          </cell>
          <cell r="AD228">
            <v>0</v>
          </cell>
          <cell r="AE228">
            <v>1993888.8888888888</v>
          </cell>
          <cell r="AF228">
            <v>3700000</v>
          </cell>
          <cell r="AG228">
            <v>3700000</v>
          </cell>
          <cell r="AH228">
            <v>3700000</v>
          </cell>
          <cell r="AI228">
            <v>0</v>
          </cell>
          <cell r="AJ228">
            <v>323010</v>
          </cell>
          <cell r="AK228">
            <v>599400</v>
          </cell>
          <cell r="AL228">
            <v>599400</v>
          </cell>
          <cell r="AM228">
            <v>599400</v>
          </cell>
          <cell r="AN228">
            <v>0</v>
          </cell>
          <cell r="AO228">
            <v>139572.22222222222</v>
          </cell>
          <cell r="AP228">
            <v>259000.00000000003</v>
          </cell>
          <cell r="AQ228">
            <v>259000.00000000003</v>
          </cell>
          <cell r="AR228">
            <v>259000.00000000003</v>
          </cell>
          <cell r="AT228" t="str">
            <v>OPP-812529 - Identified - New - IS4</v>
          </cell>
          <cell r="AU228">
            <v>916572.22222222225</v>
          </cell>
          <cell r="AV228">
            <v>0</v>
          </cell>
          <cell r="AW228">
            <v>916572.22222222225</v>
          </cell>
          <cell r="AX228">
            <v>0</v>
          </cell>
          <cell r="AZ228">
            <v>217</v>
          </cell>
          <cell r="BA228">
            <v>53</v>
          </cell>
          <cell r="BB228">
            <v>279</v>
          </cell>
        </row>
        <row r="229">
          <cell r="B229" t="str">
            <v>OPP-708975</v>
          </cell>
          <cell r="C229" t="str">
            <v>SWEETGUM</v>
          </cell>
          <cell r="D229" t="str">
            <v>IS4</v>
          </cell>
          <cell r="E229" t="str">
            <v>IS4 Engineering and Technology Services</v>
          </cell>
          <cell r="F229" t="str">
            <v>Classified Agency</v>
          </cell>
          <cell r="G229" t="str">
            <v>Classified</v>
          </cell>
          <cell r="H229">
            <v>43819</v>
          </cell>
          <cell r="I229">
            <v>43864</v>
          </cell>
          <cell r="J229">
            <v>45691</v>
          </cell>
          <cell r="K229" t="str">
            <v>Sub</v>
          </cell>
          <cell r="L229" t="str">
            <v>Cost Plus Award Fee</v>
          </cell>
          <cell r="M229" t="str">
            <v>Cost Reimbursable</v>
          </cell>
          <cell r="N229" t="str">
            <v>Identified - New</v>
          </cell>
          <cell r="O229" t="str">
            <v>01 Prospect</v>
          </cell>
          <cell r="P229" t="str">
            <v>Priority 3</v>
          </cell>
          <cell r="Q229">
            <v>0.25</v>
          </cell>
          <cell r="R229">
            <v>30000000</v>
          </cell>
          <cell r="S229">
            <v>0.152</v>
          </cell>
          <cell r="T229">
            <v>0.152</v>
          </cell>
          <cell r="U229">
            <v>0.17199999999999999</v>
          </cell>
          <cell r="V229">
            <v>0.17199999999999999</v>
          </cell>
          <cell r="W229">
            <v>0.17199999999999999</v>
          </cell>
          <cell r="X229">
            <v>0.06</v>
          </cell>
          <cell r="Y229">
            <v>0.06</v>
          </cell>
          <cell r="Z229">
            <v>0.08</v>
          </cell>
          <cell r="AA229">
            <v>0.08</v>
          </cell>
          <cell r="AB229">
            <v>0.08</v>
          </cell>
          <cell r="AC229">
            <v>6000000</v>
          </cell>
          <cell r="AD229">
            <v>0</v>
          </cell>
          <cell r="AE229">
            <v>987500</v>
          </cell>
          <cell r="AF229">
            <v>1500000</v>
          </cell>
          <cell r="AG229">
            <v>1500000</v>
          </cell>
          <cell r="AH229">
            <v>1500000</v>
          </cell>
          <cell r="AI229">
            <v>0</v>
          </cell>
          <cell r="AJ229">
            <v>150100</v>
          </cell>
          <cell r="AK229">
            <v>257999.99999999997</v>
          </cell>
          <cell r="AL229">
            <v>257999.99999999997</v>
          </cell>
          <cell r="AM229">
            <v>257999.99999999997</v>
          </cell>
          <cell r="AN229">
            <v>0</v>
          </cell>
          <cell r="AO229">
            <v>59250</v>
          </cell>
          <cell r="AP229">
            <v>120000</v>
          </cell>
          <cell r="AQ229">
            <v>120000</v>
          </cell>
          <cell r="AR229">
            <v>120000</v>
          </cell>
          <cell r="AT229" t="str">
            <v>OPP-708975 - Identified - New - IS4</v>
          </cell>
          <cell r="AU229">
            <v>419250</v>
          </cell>
          <cell r="AV229">
            <v>0</v>
          </cell>
          <cell r="AW229">
            <v>419250</v>
          </cell>
          <cell r="AX229">
            <v>0</v>
          </cell>
          <cell r="AZ229">
            <v>218</v>
          </cell>
          <cell r="BA229">
            <v>95</v>
          </cell>
          <cell r="BB229">
            <v>280</v>
          </cell>
        </row>
        <row r="230">
          <cell r="B230" t="str">
            <v>OPP-800177</v>
          </cell>
          <cell r="C230" t="str">
            <v>USACE ACE IT (AIES NG - MITS)</v>
          </cell>
          <cell r="D230" t="str">
            <v>IS4</v>
          </cell>
          <cell r="E230" t="str">
            <v>IS4 Engineering and Technology Services</v>
          </cell>
          <cell r="F230" t="str">
            <v>Army</v>
          </cell>
          <cell r="G230" t="str">
            <v>DOD</v>
          </cell>
          <cell r="H230">
            <v>44078</v>
          </cell>
          <cell r="I230">
            <v>44312</v>
          </cell>
          <cell r="J230">
            <v>46138</v>
          </cell>
          <cell r="K230" t="str">
            <v>Sub</v>
          </cell>
          <cell r="L230" t="str">
            <v>Hybrid/Mixed Cost-Plus/Fixed</v>
          </cell>
          <cell r="M230" t="str">
            <v>Other</v>
          </cell>
          <cell r="N230" t="str">
            <v>Identified - New</v>
          </cell>
          <cell r="O230" t="str">
            <v>02 Capture</v>
          </cell>
          <cell r="P230" t="str">
            <v>Priority 3</v>
          </cell>
          <cell r="Q230">
            <v>0.3</v>
          </cell>
          <cell r="R230">
            <v>30000000</v>
          </cell>
          <cell r="S230">
            <v>0.17199999999999999</v>
          </cell>
          <cell r="T230">
            <v>0.17199999999999999</v>
          </cell>
          <cell r="U230">
            <v>0.17699999999999999</v>
          </cell>
          <cell r="V230">
            <v>0.182</v>
          </cell>
          <cell r="W230">
            <v>0.187</v>
          </cell>
          <cell r="X230">
            <v>0.08</v>
          </cell>
          <cell r="Y230">
            <v>0.08</v>
          </cell>
          <cell r="Z230">
            <v>8.5000000000000006E-2</v>
          </cell>
          <cell r="AA230">
            <v>9.0000000000000011E-2</v>
          </cell>
          <cell r="AB230">
            <v>9.5000000000000015E-2</v>
          </cell>
          <cell r="AC230">
            <v>6000000</v>
          </cell>
          <cell r="AD230">
            <v>0</v>
          </cell>
          <cell r="AE230">
            <v>0</v>
          </cell>
          <cell r="AF230">
            <v>769999.99999999988</v>
          </cell>
          <cell r="AG230">
            <v>1800000</v>
          </cell>
          <cell r="AH230">
            <v>1800000</v>
          </cell>
          <cell r="AI230">
            <v>0</v>
          </cell>
          <cell r="AJ230">
            <v>0</v>
          </cell>
          <cell r="AK230">
            <v>136289.99999999997</v>
          </cell>
          <cell r="AL230">
            <v>327600</v>
          </cell>
          <cell r="AM230">
            <v>336600</v>
          </cell>
          <cell r="AN230">
            <v>0</v>
          </cell>
          <cell r="AO230">
            <v>0</v>
          </cell>
          <cell r="AP230">
            <v>65449.999999999993</v>
          </cell>
          <cell r="AQ230">
            <v>162000.00000000003</v>
          </cell>
          <cell r="AR230">
            <v>171000.00000000003</v>
          </cell>
          <cell r="AT230" t="str">
            <v>OPP-800177 - Identified - New - IS4</v>
          </cell>
          <cell r="AU230">
            <v>398450.00000000006</v>
          </cell>
          <cell r="AV230">
            <v>0</v>
          </cell>
          <cell r="AW230">
            <v>398450.00000000006</v>
          </cell>
          <cell r="AX230">
            <v>0</v>
          </cell>
          <cell r="AZ230">
            <v>219</v>
          </cell>
          <cell r="BA230">
            <v>100</v>
          </cell>
          <cell r="BB230">
            <v>281</v>
          </cell>
        </row>
        <row r="231">
          <cell r="B231" t="str">
            <v>OPP-949226</v>
          </cell>
          <cell r="C231" t="str">
            <v>DEFENSE INFORMATION SYSTEMS AGENCY DEFENSE NETWORK DODNET SERVICES</v>
          </cell>
          <cell r="D231" t="str">
            <v>IS4</v>
          </cell>
          <cell r="E231" t="str">
            <v>IS4 Engineering and Technology Services</v>
          </cell>
          <cell r="F231" t="str">
            <v>DISA</v>
          </cell>
          <cell r="G231" t="str">
            <v>DOD</v>
          </cell>
          <cell r="H231">
            <v>43755</v>
          </cell>
          <cell r="I231">
            <v>43812</v>
          </cell>
          <cell r="J231">
            <v>45456</v>
          </cell>
          <cell r="K231" t="str">
            <v>Sub</v>
          </cell>
          <cell r="L231" t="str">
            <v>Hybrid/Mixed Cost-Plus/Fixed</v>
          </cell>
          <cell r="M231" t="str">
            <v>Other</v>
          </cell>
          <cell r="N231" t="str">
            <v>Identified - New</v>
          </cell>
          <cell r="O231" t="str">
            <v>03 Proposal</v>
          </cell>
          <cell r="P231" t="str">
            <v>Priority 3</v>
          </cell>
          <cell r="Q231">
            <v>0.25</v>
          </cell>
          <cell r="R231">
            <v>26000000</v>
          </cell>
          <cell r="S231">
            <v>0.17199999999999999</v>
          </cell>
          <cell r="T231">
            <v>0.17199999999999999</v>
          </cell>
          <cell r="U231">
            <v>0.17699999999999999</v>
          </cell>
          <cell r="V231">
            <v>0.182</v>
          </cell>
          <cell r="W231">
            <v>0.187</v>
          </cell>
          <cell r="X231">
            <v>0.08</v>
          </cell>
          <cell r="Y231">
            <v>0.08</v>
          </cell>
          <cell r="Z231">
            <v>8.5000000000000006E-2</v>
          </cell>
          <cell r="AA231">
            <v>9.0000000000000011E-2</v>
          </cell>
          <cell r="AB231">
            <v>9.5000000000000015E-2</v>
          </cell>
          <cell r="AC231">
            <v>5777777.777777778</v>
          </cell>
          <cell r="AD231">
            <v>0</v>
          </cell>
          <cell r="AE231">
            <v>1151543.2098765434</v>
          </cell>
          <cell r="AF231">
            <v>1444444.4444444445</v>
          </cell>
          <cell r="AG231">
            <v>1444444.4444444445</v>
          </cell>
          <cell r="AH231">
            <v>1444444.4444444445</v>
          </cell>
          <cell r="AI231">
            <v>0</v>
          </cell>
          <cell r="AJ231">
            <v>198065.43209876545</v>
          </cell>
          <cell r="AK231">
            <v>255666.66666666666</v>
          </cell>
          <cell r="AL231">
            <v>262888.88888888888</v>
          </cell>
          <cell r="AM231">
            <v>270111.11111111112</v>
          </cell>
          <cell r="AN231">
            <v>0</v>
          </cell>
          <cell r="AO231">
            <v>92123.45679012347</v>
          </cell>
          <cell r="AP231">
            <v>122777.7777777778</v>
          </cell>
          <cell r="AQ231">
            <v>130000.00000000001</v>
          </cell>
          <cell r="AR231">
            <v>137222.22222222225</v>
          </cell>
          <cell r="AT231" t="str">
            <v>OPP-949226 - Identified - New - IS4</v>
          </cell>
          <cell r="AU231">
            <v>482123.45679012354</v>
          </cell>
          <cell r="AV231">
            <v>0</v>
          </cell>
          <cell r="AW231">
            <v>482123.45679012354</v>
          </cell>
          <cell r="AX231">
            <v>0</v>
          </cell>
          <cell r="AZ231">
            <v>220</v>
          </cell>
          <cell r="BA231">
            <v>86</v>
          </cell>
          <cell r="BB231">
            <v>282</v>
          </cell>
        </row>
        <row r="232">
          <cell r="B232" t="str">
            <v>OPP-912049</v>
          </cell>
          <cell r="C232" t="str">
            <v>SPAWAR: CENTER FOR EXCELLENCE IN DISASTER MANAGEMENT AND HUMANITARIAN ASSISTANCE TECHNICAL MANAGEMENT AND ANALYTIC SUPP</v>
          </cell>
          <cell r="D232" t="str">
            <v>IS4</v>
          </cell>
          <cell r="E232" t="str">
            <v>IS4 Engineering and Technology Services</v>
          </cell>
          <cell r="F232" t="str">
            <v>Navy</v>
          </cell>
          <cell r="G232" t="str">
            <v>DOD</v>
          </cell>
          <cell r="H232">
            <v>44393</v>
          </cell>
          <cell r="I232">
            <v>44396</v>
          </cell>
          <cell r="J232">
            <v>46222</v>
          </cell>
          <cell r="K232" t="str">
            <v>Prime</v>
          </cell>
          <cell r="L232" t="str">
            <v>Cost Plus Fixed Fee</v>
          </cell>
          <cell r="M232" t="str">
            <v>Cost Reimbursable</v>
          </cell>
          <cell r="N232" t="str">
            <v>Identified - New</v>
          </cell>
          <cell r="O232" t="str">
            <v>01 Prospect</v>
          </cell>
          <cell r="P232" t="str">
            <v>Priority 3</v>
          </cell>
          <cell r="Q232">
            <v>0.25</v>
          </cell>
          <cell r="R232">
            <v>21000000</v>
          </cell>
          <cell r="S232">
            <v>0.16200000000000001</v>
          </cell>
          <cell r="T232">
            <v>0.16200000000000001</v>
          </cell>
          <cell r="U232">
            <v>0.16200000000000001</v>
          </cell>
          <cell r="V232">
            <v>0.16200000000000001</v>
          </cell>
          <cell r="W232">
            <v>0.16200000000000001</v>
          </cell>
          <cell r="X232">
            <v>7.0000000000000007E-2</v>
          </cell>
          <cell r="Y232">
            <v>7.0000000000000007E-2</v>
          </cell>
          <cell r="Z232">
            <v>7.0000000000000007E-2</v>
          </cell>
          <cell r="AA232">
            <v>7.0000000000000007E-2</v>
          </cell>
          <cell r="AB232">
            <v>7.0000000000000007E-2</v>
          </cell>
          <cell r="AC232">
            <v>4200000</v>
          </cell>
          <cell r="AD232">
            <v>0</v>
          </cell>
          <cell r="AE232">
            <v>0</v>
          </cell>
          <cell r="AF232">
            <v>207083.33333333331</v>
          </cell>
          <cell r="AG232">
            <v>1050000</v>
          </cell>
          <cell r="AH232">
            <v>1050000</v>
          </cell>
          <cell r="AI232">
            <v>0</v>
          </cell>
          <cell r="AJ232">
            <v>0</v>
          </cell>
          <cell r="AK232">
            <v>33547.5</v>
          </cell>
          <cell r="AL232">
            <v>170100</v>
          </cell>
          <cell r="AM232">
            <v>170100</v>
          </cell>
          <cell r="AN232">
            <v>0</v>
          </cell>
          <cell r="AO232">
            <v>0</v>
          </cell>
          <cell r="AP232">
            <v>14495.833333333334</v>
          </cell>
          <cell r="AQ232">
            <v>73500</v>
          </cell>
          <cell r="AR232">
            <v>73500</v>
          </cell>
          <cell r="AT232" t="str">
            <v>OPP-912049 - Identified - New - IS4</v>
          </cell>
          <cell r="AU232">
            <v>161495.83333333331</v>
          </cell>
          <cell r="AV232">
            <v>0</v>
          </cell>
          <cell r="AW232">
            <v>161495.83333333331</v>
          </cell>
          <cell r="AX232">
            <v>0</v>
          </cell>
          <cell r="AZ232">
            <v>221</v>
          </cell>
          <cell r="BA232">
            <v>140</v>
          </cell>
          <cell r="BB232">
            <v>283</v>
          </cell>
        </row>
        <row r="233">
          <cell r="B233" t="str">
            <v>OPP-800160</v>
          </cell>
          <cell r="C233" t="str">
            <v>AMCOM G6 INFORMATION TECHNOLOGY SUPPORT SERVICES IV (ITSS IV)</v>
          </cell>
          <cell r="D233" t="str">
            <v>IS4</v>
          </cell>
          <cell r="E233" t="str">
            <v>IS4 Engineering and Technology Services</v>
          </cell>
          <cell r="F233" t="str">
            <v>Army</v>
          </cell>
          <cell r="G233" t="str">
            <v>DOD</v>
          </cell>
          <cell r="H233">
            <v>44036</v>
          </cell>
          <cell r="I233">
            <v>44120</v>
          </cell>
          <cell r="J233">
            <v>45215</v>
          </cell>
          <cell r="K233" t="str">
            <v>Prime</v>
          </cell>
          <cell r="L233" t="str">
            <v>Cost Plus Fixed Fee</v>
          </cell>
          <cell r="M233" t="str">
            <v>Cost Reimbursable</v>
          </cell>
          <cell r="N233" t="str">
            <v>Identified - New</v>
          </cell>
          <cell r="O233" t="str">
            <v>01 Prospect</v>
          </cell>
          <cell r="P233" t="str">
            <v>Priority 3</v>
          </cell>
          <cell r="Q233">
            <v>0.3</v>
          </cell>
          <cell r="R233">
            <v>20000000</v>
          </cell>
          <cell r="S233">
            <v>0.16200000000000001</v>
          </cell>
          <cell r="T233">
            <v>0.16200000000000001</v>
          </cell>
          <cell r="U233">
            <v>0.16200000000000001</v>
          </cell>
          <cell r="V233">
            <v>0.16200000000000001</v>
          </cell>
          <cell r="W233">
            <v>0.16200000000000001</v>
          </cell>
          <cell r="X233">
            <v>7.0000000000000007E-2</v>
          </cell>
          <cell r="Y233">
            <v>7.0000000000000007E-2</v>
          </cell>
          <cell r="Z233">
            <v>7.0000000000000007E-2</v>
          </cell>
          <cell r="AA233">
            <v>7.0000000000000007E-2</v>
          </cell>
          <cell r="AB233">
            <v>7.0000000000000007E-2</v>
          </cell>
          <cell r="AC233">
            <v>6666666.666666667</v>
          </cell>
          <cell r="AD233">
            <v>0</v>
          </cell>
          <cell r="AE233">
            <v>0</v>
          </cell>
          <cell r="AF233">
            <v>1911111.1111111112</v>
          </cell>
          <cell r="AG233">
            <v>2000000</v>
          </cell>
          <cell r="AH233">
            <v>2000000</v>
          </cell>
          <cell r="AI233">
            <v>0</v>
          </cell>
          <cell r="AJ233">
            <v>0</v>
          </cell>
          <cell r="AK233">
            <v>309600.00000000006</v>
          </cell>
          <cell r="AL233">
            <v>324000</v>
          </cell>
          <cell r="AM233">
            <v>324000</v>
          </cell>
          <cell r="AN233">
            <v>0</v>
          </cell>
          <cell r="AO233">
            <v>0</v>
          </cell>
          <cell r="AP233">
            <v>133777.77777777781</v>
          </cell>
          <cell r="AQ233">
            <v>140000</v>
          </cell>
          <cell r="AR233">
            <v>140000</v>
          </cell>
          <cell r="AT233" t="str">
            <v>OPP-800160 - Identified - New - IS4</v>
          </cell>
          <cell r="AU233">
            <v>413777.77777777781</v>
          </cell>
          <cell r="AV233">
            <v>0</v>
          </cell>
          <cell r="AW233">
            <v>413777.77777777781</v>
          </cell>
          <cell r="AX233">
            <v>0</v>
          </cell>
          <cell r="AZ233">
            <v>222</v>
          </cell>
          <cell r="BA233">
            <v>97</v>
          </cell>
          <cell r="BB233">
            <v>284</v>
          </cell>
        </row>
        <row r="234">
          <cell r="B234" t="str">
            <v>OPP-887870</v>
          </cell>
          <cell r="C234" t="str">
            <v>NETCENTS2: P2E OSP-O (Formerly PAC ICAN)</v>
          </cell>
          <cell r="D234" t="str">
            <v>IS4</v>
          </cell>
          <cell r="E234" t="str">
            <v>IS4 Engineering and Technology Services</v>
          </cell>
          <cell r="F234" t="str">
            <v>Army</v>
          </cell>
          <cell r="G234" t="str">
            <v>DOD</v>
          </cell>
          <cell r="H234">
            <v>43819</v>
          </cell>
          <cell r="I234">
            <v>43868</v>
          </cell>
          <cell r="J234">
            <v>45695</v>
          </cell>
          <cell r="K234" t="str">
            <v>Prime</v>
          </cell>
          <cell r="L234" t="str">
            <v>Hybrid/Mixed Cost-Plus/Fixed</v>
          </cell>
          <cell r="M234" t="str">
            <v>Other</v>
          </cell>
          <cell r="N234" t="str">
            <v>Identified - New</v>
          </cell>
          <cell r="O234" t="str">
            <v>02 Capture</v>
          </cell>
          <cell r="P234" t="str">
            <v>Priority 3</v>
          </cell>
          <cell r="Q234">
            <v>0.25</v>
          </cell>
          <cell r="R234">
            <v>10000000</v>
          </cell>
          <cell r="S234">
            <v>0.152</v>
          </cell>
          <cell r="T234">
            <v>0.152</v>
          </cell>
          <cell r="U234">
            <v>0.157</v>
          </cell>
          <cell r="V234">
            <v>0.16200000000000001</v>
          </cell>
          <cell r="W234">
            <v>0.16700000000000001</v>
          </cell>
          <cell r="X234">
            <v>0.06</v>
          </cell>
          <cell r="Y234">
            <v>0.06</v>
          </cell>
          <cell r="Z234">
            <v>6.5000000000000002E-2</v>
          </cell>
          <cell r="AA234">
            <v>7.0000000000000007E-2</v>
          </cell>
          <cell r="AB234">
            <v>7.5000000000000011E-2</v>
          </cell>
          <cell r="AC234">
            <v>2000000</v>
          </cell>
          <cell r="AD234">
            <v>0</v>
          </cell>
          <cell r="AE234">
            <v>323611.11111111112</v>
          </cell>
          <cell r="AF234">
            <v>500000</v>
          </cell>
          <cell r="AG234">
            <v>500000</v>
          </cell>
          <cell r="AH234">
            <v>500000</v>
          </cell>
          <cell r="AI234">
            <v>0</v>
          </cell>
          <cell r="AJ234">
            <v>49188.888888888891</v>
          </cell>
          <cell r="AK234">
            <v>78500</v>
          </cell>
          <cell r="AL234">
            <v>81000</v>
          </cell>
          <cell r="AM234">
            <v>83500</v>
          </cell>
          <cell r="AN234">
            <v>0</v>
          </cell>
          <cell r="AO234">
            <v>19416.666666666668</v>
          </cell>
          <cell r="AP234">
            <v>32500</v>
          </cell>
          <cell r="AQ234">
            <v>35000</v>
          </cell>
          <cell r="AR234">
            <v>37500.000000000007</v>
          </cell>
          <cell r="AT234" t="str">
            <v>OPP-887870 - Identified - New - IS4</v>
          </cell>
          <cell r="AU234">
            <v>124416.66666666669</v>
          </cell>
          <cell r="AV234">
            <v>0</v>
          </cell>
          <cell r="AW234">
            <v>124416.66666666669</v>
          </cell>
          <cell r="AX234">
            <v>0</v>
          </cell>
          <cell r="AZ234">
            <v>223</v>
          </cell>
          <cell r="BA234">
            <v>165</v>
          </cell>
          <cell r="BB234">
            <v>285</v>
          </cell>
        </row>
        <row r="235">
          <cell r="B235" t="str">
            <v>OPP-799250</v>
          </cell>
          <cell r="C235" t="str">
            <v>DCM II</v>
          </cell>
          <cell r="D235" t="str">
            <v>IS4</v>
          </cell>
          <cell r="E235" t="str">
            <v>IS4 Engineering and Technology Services</v>
          </cell>
          <cell r="F235" t="str">
            <v>Classified Agency</v>
          </cell>
          <cell r="G235" t="str">
            <v>Classified</v>
          </cell>
          <cell r="H235">
            <v>44057</v>
          </cell>
          <cell r="I235">
            <v>44060</v>
          </cell>
          <cell r="J235">
            <v>45886</v>
          </cell>
          <cell r="K235" t="str">
            <v>Sub</v>
          </cell>
          <cell r="L235" t="str">
            <v>Fixed Price</v>
          </cell>
          <cell r="M235" t="str">
            <v>Fixed Price</v>
          </cell>
          <cell r="N235" t="str">
            <v>Identified - New</v>
          </cell>
          <cell r="O235" t="str">
            <v>01 Prospect</v>
          </cell>
          <cell r="P235" t="str">
            <v>Priority 3</v>
          </cell>
          <cell r="Q235">
            <v>0.25</v>
          </cell>
          <cell r="R235">
            <v>10000000</v>
          </cell>
          <cell r="S235">
            <v>0.17199999999999999</v>
          </cell>
          <cell r="T235">
            <v>0.17199999999999999</v>
          </cell>
          <cell r="U235">
            <v>0.17299999999999999</v>
          </cell>
          <cell r="V235">
            <v>0.17499999999999999</v>
          </cell>
          <cell r="W235">
            <v>0.18</v>
          </cell>
          <cell r="X235">
            <v>0.08</v>
          </cell>
          <cell r="Y235">
            <v>0.08</v>
          </cell>
          <cell r="Z235">
            <v>8.1000000000000003E-2</v>
          </cell>
          <cell r="AA235">
            <v>8.3000000000000004E-2</v>
          </cell>
          <cell r="AB235">
            <v>8.8000000000000009E-2</v>
          </cell>
          <cell r="AC235">
            <v>2000000</v>
          </cell>
          <cell r="AD235">
            <v>0</v>
          </cell>
          <cell r="AE235">
            <v>59722.222222222226</v>
          </cell>
          <cell r="AF235">
            <v>500000</v>
          </cell>
          <cell r="AG235">
            <v>500000</v>
          </cell>
          <cell r="AH235">
            <v>500000</v>
          </cell>
          <cell r="AI235">
            <v>0</v>
          </cell>
          <cell r="AJ235">
            <v>10272.222222222223</v>
          </cell>
          <cell r="AK235">
            <v>86500</v>
          </cell>
          <cell r="AL235">
            <v>87500</v>
          </cell>
          <cell r="AM235">
            <v>90000</v>
          </cell>
          <cell r="AN235">
            <v>0</v>
          </cell>
          <cell r="AO235">
            <v>4777.7777777777783</v>
          </cell>
          <cell r="AP235">
            <v>40500</v>
          </cell>
          <cell r="AQ235">
            <v>41500</v>
          </cell>
          <cell r="AR235">
            <v>44000.000000000007</v>
          </cell>
          <cell r="AT235" t="str">
            <v>OPP-799250 - Identified - New - IS4</v>
          </cell>
          <cell r="AU235">
            <v>130777.77777777778</v>
          </cell>
          <cell r="AV235">
            <v>0</v>
          </cell>
          <cell r="AW235">
            <v>130777.77777777778</v>
          </cell>
          <cell r="AX235">
            <v>0</v>
          </cell>
          <cell r="AZ235">
            <v>224</v>
          </cell>
          <cell r="BA235">
            <v>157</v>
          </cell>
          <cell r="BB235">
            <v>286</v>
          </cell>
        </row>
        <row r="236">
          <cell r="B236" t="str">
            <v>OPP-616671</v>
          </cell>
          <cell r="C236" t="str">
            <v>Solution Delivery Division (SDD) Program Support Services</v>
          </cell>
          <cell r="D236" t="str">
            <v>IS4</v>
          </cell>
          <cell r="E236" t="str">
            <v>IS4 Engineering and Technology Services</v>
          </cell>
          <cell r="F236" t="str">
            <v>Other DOD</v>
          </cell>
          <cell r="G236" t="str">
            <v>DOD</v>
          </cell>
          <cell r="H236">
            <v>43677</v>
          </cell>
          <cell r="I236">
            <v>43707</v>
          </cell>
          <cell r="J236">
            <v>45505</v>
          </cell>
          <cell r="K236" t="str">
            <v>Sub</v>
          </cell>
          <cell r="L236" t="str">
            <v>Fixed Price</v>
          </cell>
          <cell r="M236" t="str">
            <v>Fixed Price</v>
          </cell>
          <cell r="N236" t="str">
            <v>Identified - New</v>
          </cell>
          <cell r="O236" t="str">
            <v>05 Awarded/Won</v>
          </cell>
          <cell r="P236" t="str">
            <v>Priority 3</v>
          </cell>
          <cell r="Q236">
            <v>1</v>
          </cell>
          <cell r="R236">
            <v>5000000</v>
          </cell>
          <cell r="S236">
            <v>0.17199999999999999</v>
          </cell>
          <cell r="T236">
            <v>0.17199999999999999</v>
          </cell>
          <cell r="U236">
            <v>0.17299999999999999</v>
          </cell>
          <cell r="V236">
            <v>0.17499999999999999</v>
          </cell>
          <cell r="W236">
            <v>0.18</v>
          </cell>
          <cell r="X236">
            <v>0.08</v>
          </cell>
          <cell r="Y236">
            <v>0.08</v>
          </cell>
          <cell r="Z236">
            <v>8.1000000000000003E-2</v>
          </cell>
          <cell r="AA236">
            <v>8.3000000000000004E-2</v>
          </cell>
          <cell r="AB236">
            <v>8.8000000000000009E-2</v>
          </cell>
          <cell r="AC236">
            <v>1016374.9294184077</v>
          </cell>
          <cell r="AD236">
            <v>0</v>
          </cell>
          <cell r="AE236">
            <v>1016374.9294184077</v>
          </cell>
          <cell r="AF236">
            <v>1016374.9294184077</v>
          </cell>
          <cell r="AG236">
            <v>1016374.9294184077</v>
          </cell>
          <cell r="AH236">
            <v>1016374.9294184077</v>
          </cell>
          <cell r="AI236">
            <v>0</v>
          </cell>
          <cell r="AJ236">
            <v>174816.48785996612</v>
          </cell>
          <cell r="AK236">
            <v>175832.86278938453</v>
          </cell>
          <cell r="AL236">
            <v>177865.61264822134</v>
          </cell>
          <cell r="AM236">
            <v>182947.48729531339</v>
          </cell>
          <cell r="AN236">
            <v>0</v>
          </cell>
          <cell r="AO236">
            <v>81309.994353472619</v>
          </cell>
          <cell r="AP236">
            <v>82326.369282891028</v>
          </cell>
          <cell r="AQ236">
            <v>84359.119141727846</v>
          </cell>
          <cell r="AR236">
            <v>89440.993788819891</v>
          </cell>
          <cell r="AT236" t="str">
            <v>OPP-616671 - Identified - New - IS4</v>
          </cell>
          <cell r="AU236">
            <v>337436.47656691138</v>
          </cell>
          <cell r="AV236">
            <v>0</v>
          </cell>
          <cell r="AW236">
            <v>337436.47656691138</v>
          </cell>
          <cell r="AX236">
            <v>0</v>
          </cell>
          <cell r="AZ236">
            <v>225</v>
          </cell>
          <cell r="BA236">
            <v>109</v>
          </cell>
          <cell r="BB236">
            <v>287</v>
          </cell>
        </row>
        <row r="237">
          <cell r="B237" t="str">
            <v>OPP-843444</v>
          </cell>
          <cell r="C237" t="str">
            <v>Dept. of State, DS/CTO DEVELOPMENT MODERNIZATION AND ENHANCEMENT IT SERVICES</v>
          </cell>
          <cell r="D237" t="str">
            <v>IS4</v>
          </cell>
          <cell r="E237" t="str">
            <v>IS4 Engineering and Technology Services</v>
          </cell>
          <cell r="F237" t="str">
            <v>Dept. of State</v>
          </cell>
          <cell r="G237" t="str">
            <v>DOS</v>
          </cell>
          <cell r="H237">
            <v>43731</v>
          </cell>
          <cell r="I237">
            <v>43739</v>
          </cell>
          <cell r="J237">
            <v>45566</v>
          </cell>
          <cell r="K237" t="str">
            <v>Sub</v>
          </cell>
          <cell r="L237" t="str">
            <v>Cost Reimbursable; Fixed Price; T&amp;M</v>
          </cell>
          <cell r="M237" t="str">
            <v>Cost Reimbursable</v>
          </cell>
          <cell r="N237" t="str">
            <v>Identified - New</v>
          </cell>
          <cell r="O237" t="str">
            <v>02 Capture</v>
          </cell>
          <cell r="P237" t="str">
            <v>Priority 3</v>
          </cell>
          <cell r="Q237">
            <v>0.3</v>
          </cell>
          <cell r="R237">
            <v>6000000</v>
          </cell>
          <cell r="S237">
            <v>0.16200000000000001</v>
          </cell>
          <cell r="T237">
            <v>0.16200000000000001</v>
          </cell>
          <cell r="U237">
            <v>0.16200000000000001</v>
          </cell>
          <cell r="V237">
            <v>0.16200000000000001</v>
          </cell>
          <cell r="W237">
            <v>0.16200000000000001</v>
          </cell>
          <cell r="X237">
            <v>7.0000000000000007E-2</v>
          </cell>
          <cell r="Y237">
            <v>7.0000000000000007E-2</v>
          </cell>
          <cell r="Z237">
            <v>7.0000000000000007E-2</v>
          </cell>
          <cell r="AA237">
            <v>7.0000000000000007E-2</v>
          </cell>
          <cell r="AB237">
            <v>7.0000000000000007E-2</v>
          </cell>
          <cell r="AC237">
            <v>1200000</v>
          </cell>
          <cell r="AD237">
            <v>0</v>
          </cell>
          <cell r="AE237">
            <v>359000</v>
          </cell>
          <cell r="AF237">
            <v>360000</v>
          </cell>
          <cell r="AG237">
            <v>360000</v>
          </cell>
          <cell r="AH237">
            <v>360000</v>
          </cell>
          <cell r="AI237">
            <v>0</v>
          </cell>
          <cell r="AJ237">
            <v>58158</v>
          </cell>
          <cell r="AK237">
            <v>58320</v>
          </cell>
          <cell r="AL237">
            <v>58320</v>
          </cell>
          <cell r="AM237">
            <v>58320</v>
          </cell>
          <cell r="AN237">
            <v>0</v>
          </cell>
          <cell r="AO237">
            <v>25130.000000000004</v>
          </cell>
          <cell r="AP237">
            <v>25200.000000000004</v>
          </cell>
          <cell r="AQ237">
            <v>25200.000000000004</v>
          </cell>
          <cell r="AR237">
            <v>25200.000000000004</v>
          </cell>
          <cell r="AT237" t="str">
            <v>OPP-843444 - Identified - New - IS4</v>
          </cell>
          <cell r="AU237">
            <v>100730.00000000001</v>
          </cell>
          <cell r="AV237">
            <v>0</v>
          </cell>
          <cell r="AW237">
            <v>100730.00000000001</v>
          </cell>
          <cell r="AX237">
            <v>0</v>
          </cell>
          <cell r="AZ237">
            <v>226</v>
          </cell>
          <cell r="BA237">
            <v>176</v>
          </cell>
          <cell r="BB237">
            <v>288</v>
          </cell>
        </row>
        <row r="238">
          <cell r="B238" t="str">
            <v>OPP-799199</v>
          </cell>
          <cell r="C238" t="str">
            <v>Analytic Prototyping</v>
          </cell>
          <cell r="D238" t="str">
            <v>IS4</v>
          </cell>
          <cell r="E238" t="str">
            <v>IS4 Engineering and Technology Services</v>
          </cell>
          <cell r="F238" t="str">
            <v>Classified Agency</v>
          </cell>
          <cell r="G238" t="str">
            <v>Classified</v>
          </cell>
          <cell r="H238">
            <v>44043</v>
          </cell>
          <cell r="I238">
            <v>44044</v>
          </cell>
          <cell r="J238">
            <v>45870</v>
          </cell>
          <cell r="K238" t="str">
            <v>Sub</v>
          </cell>
          <cell r="L238" t="str">
            <v>Cost Plus Award Fee</v>
          </cell>
          <cell r="M238" t="str">
            <v>Cost Reimbursable</v>
          </cell>
          <cell r="N238" t="str">
            <v>Identified - New</v>
          </cell>
          <cell r="O238" t="str">
            <v>01 Prospect</v>
          </cell>
          <cell r="P238" t="str">
            <v>Priority 3</v>
          </cell>
          <cell r="Q238">
            <v>0.25</v>
          </cell>
          <cell r="R238">
            <v>5000000</v>
          </cell>
          <cell r="S238">
            <v>0.152</v>
          </cell>
          <cell r="T238">
            <v>0.152</v>
          </cell>
          <cell r="U238">
            <v>0.17199999999999999</v>
          </cell>
          <cell r="V238">
            <v>0.17199999999999999</v>
          </cell>
          <cell r="W238">
            <v>0.17199999999999999</v>
          </cell>
          <cell r="X238">
            <v>0.06</v>
          </cell>
          <cell r="Y238">
            <v>0.06</v>
          </cell>
          <cell r="Z238">
            <v>0.08</v>
          </cell>
          <cell r="AA238">
            <v>0.08</v>
          </cell>
          <cell r="AB238">
            <v>0.08</v>
          </cell>
          <cell r="AC238">
            <v>1000000</v>
          </cell>
          <cell r="AD238">
            <v>0</v>
          </cell>
          <cell r="AE238">
            <v>40972.222222222219</v>
          </cell>
          <cell r="AF238">
            <v>250000</v>
          </cell>
          <cell r="AG238">
            <v>250000</v>
          </cell>
          <cell r="AH238">
            <v>250000</v>
          </cell>
          <cell r="AI238">
            <v>0</v>
          </cell>
          <cell r="AJ238">
            <v>6227.7777777777774</v>
          </cell>
          <cell r="AK238">
            <v>43000</v>
          </cell>
          <cell r="AL238">
            <v>43000</v>
          </cell>
          <cell r="AM238">
            <v>43000</v>
          </cell>
          <cell r="AN238">
            <v>0</v>
          </cell>
          <cell r="AO238">
            <v>2458.333333333333</v>
          </cell>
          <cell r="AP238">
            <v>20000</v>
          </cell>
          <cell r="AQ238">
            <v>20000</v>
          </cell>
          <cell r="AR238">
            <v>20000</v>
          </cell>
          <cell r="AT238" t="str">
            <v>OPP-799199 - Identified - New - IS4</v>
          </cell>
          <cell r="AU238">
            <v>62458.333333333328</v>
          </cell>
          <cell r="AV238">
            <v>0</v>
          </cell>
          <cell r="AW238">
            <v>62458.333333333328</v>
          </cell>
          <cell r="AX238">
            <v>0</v>
          </cell>
          <cell r="AZ238">
            <v>227</v>
          </cell>
          <cell r="BA238">
            <v>202</v>
          </cell>
          <cell r="BB238">
            <v>289</v>
          </cell>
        </row>
        <row r="239">
          <cell r="B239" t="str">
            <v>OPP-799234</v>
          </cell>
          <cell r="C239" t="str">
            <v>ESEA II</v>
          </cell>
          <cell r="D239" t="str">
            <v>IS4</v>
          </cell>
          <cell r="E239" t="str">
            <v>IS4 Engineering and Technology Services</v>
          </cell>
          <cell r="F239" t="str">
            <v>Classified Agency</v>
          </cell>
          <cell r="G239" t="str">
            <v>Classified</v>
          </cell>
          <cell r="H239">
            <v>44078</v>
          </cell>
          <cell r="I239">
            <v>44081</v>
          </cell>
          <cell r="J239">
            <v>45907</v>
          </cell>
          <cell r="K239" t="str">
            <v>Sub</v>
          </cell>
          <cell r="L239" t="str">
            <v>Cost Plus Award Fee</v>
          </cell>
          <cell r="M239" t="str">
            <v>Cost Reimbursable</v>
          </cell>
          <cell r="N239" t="str">
            <v>Identified - New</v>
          </cell>
          <cell r="O239" t="str">
            <v>01 Prospect</v>
          </cell>
          <cell r="P239" t="str">
            <v>Priority 3</v>
          </cell>
          <cell r="Q239">
            <v>0.25</v>
          </cell>
          <cell r="R239">
            <v>5000000</v>
          </cell>
          <cell r="S239">
            <v>0.152</v>
          </cell>
          <cell r="T239">
            <v>0.152</v>
          </cell>
          <cell r="U239">
            <v>0.17199999999999999</v>
          </cell>
          <cell r="V239">
            <v>0.17199999999999999</v>
          </cell>
          <cell r="W239">
            <v>0.17199999999999999</v>
          </cell>
          <cell r="X239">
            <v>0.06</v>
          </cell>
          <cell r="Y239">
            <v>0.06</v>
          </cell>
          <cell r="Z239">
            <v>0.08</v>
          </cell>
          <cell r="AA239">
            <v>0.08</v>
          </cell>
          <cell r="AB239">
            <v>0.08</v>
          </cell>
          <cell r="AC239">
            <v>1000000</v>
          </cell>
          <cell r="AD239">
            <v>0</v>
          </cell>
          <cell r="AE239">
            <v>15972.222222222221</v>
          </cell>
          <cell r="AF239">
            <v>250000</v>
          </cell>
          <cell r="AG239">
            <v>250000</v>
          </cell>
          <cell r="AH239">
            <v>250000</v>
          </cell>
          <cell r="AI239">
            <v>0</v>
          </cell>
          <cell r="AJ239">
            <v>2427.7777777777774</v>
          </cell>
          <cell r="AK239">
            <v>43000</v>
          </cell>
          <cell r="AL239">
            <v>43000</v>
          </cell>
          <cell r="AM239">
            <v>43000</v>
          </cell>
          <cell r="AN239">
            <v>0</v>
          </cell>
          <cell r="AO239">
            <v>958.33333333333326</v>
          </cell>
          <cell r="AP239">
            <v>20000</v>
          </cell>
          <cell r="AQ239">
            <v>20000</v>
          </cell>
          <cell r="AR239">
            <v>20000</v>
          </cell>
          <cell r="AT239" t="str">
            <v>OPP-799234 - Identified - New - IS4</v>
          </cell>
          <cell r="AU239">
            <v>60958.333333333328</v>
          </cell>
          <cell r="AV239">
            <v>0</v>
          </cell>
          <cell r="AW239">
            <v>60958.333333333328</v>
          </cell>
          <cell r="AX239">
            <v>0</v>
          </cell>
          <cell r="AZ239">
            <v>228</v>
          </cell>
          <cell r="BA239">
            <v>203</v>
          </cell>
          <cell r="BB239">
            <v>290</v>
          </cell>
        </row>
        <row r="240">
          <cell r="B240" t="str">
            <v>OPP-899872</v>
          </cell>
          <cell r="C240" t="str">
            <v>Italian Air Force (ITAF) Roadmap Development</v>
          </cell>
          <cell r="D240" t="str">
            <v>IS4</v>
          </cell>
          <cell r="E240" t="str">
            <v>IS4 Engineering and Technology Services</v>
          </cell>
          <cell r="F240" t="str">
            <v>Air Force</v>
          </cell>
          <cell r="G240" t="str">
            <v>DOD</v>
          </cell>
          <cell r="H240">
            <v>43854</v>
          </cell>
          <cell r="I240">
            <v>43854</v>
          </cell>
          <cell r="J240">
            <v>44220</v>
          </cell>
          <cell r="K240" t="str">
            <v>Prime</v>
          </cell>
          <cell r="L240" t="str">
            <v>T&amp;M</v>
          </cell>
          <cell r="M240" t="str">
            <v>T&amp;M</v>
          </cell>
          <cell r="N240" t="str">
            <v>Identified - New</v>
          </cell>
          <cell r="O240" t="str">
            <v>02 Capture</v>
          </cell>
          <cell r="P240" t="str">
            <v>Priority 3</v>
          </cell>
          <cell r="Q240">
            <v>0.5</v>
          </cell>
          <cell r="R240">
            <v>1200000</v>
          </cell>
          <cell r="S240">
            <v>0.17199999999999999</v>
          </cell>
          <cell r="T240">
            <v>0.17199999999999999</v>
          </cell>
          <cell r="U240">
            <v>0.17699999999999999</v>
          </cell>
          <cell r="V240">
            <v>0.182</v>
          </cell>
          <cell r="W240">
            <v>0.187</v>
          </cell>
          <cell r="X240">
            <v>0.08</v>
          </cell>
          <cell r="Y240">
            <v>0.08</v>
          </cell>
          <cell r="Z240">
            <v>8.5000000000000006E-2</v>
          </cell>
          <cell r="AA240">
            <v>9.0000000000000011E-2</v>
          </cell>
          <cell r="AB240">
            <v>9.5000000000000015E-2</v>
          </cell>
          <cell r="AC240">
            <v>1200000</v>
          </cell>
          <cell r="AD240">
            <v>0</v>
          </cell>
          <cell r="AE240">
            <v>410000</v>
          </cell>
          <cell r="AF240">
            <v>190000</v>
          </cell>
          <cell r="AG240">
            <v>0</v>
          </cell>
          <cell r="AH240">
            <v>0</v>
          </cell>
          <cell r="AI240">
            <v>0</v>
          </cell>
          <cell r="AJ240">
            <v>70520</v>
          </cell>
          <cell r="AK240">
            <v>33630</v>
          </cell>
          <cell r="AL240">
            <v>0</v>
          </cell>
          <cell r="AM240">
            <v>0</v>
          </cell>
          <cell r="AN240">
            <v>0</v>
          </cell>
          <cell r="AO240">
            <v>32800</v>
          </cell>
          <cell r="AP240">
            <v>16150.000000000002</v>
          </cell>
          <cell r="AQ240">
            <v>0</v>
          </cell>
          <cell r="AR240">
            <v>0</v>
          </cell>
          <cell r="AT240" t="str">
            <v>OPP-899872 - Identified - New - IS4</v>
          </cell>
          <cell r="AU240">
            <v>48950</v>
          </cell>
          <cell r="AV240">
            <v>0</v>
          </cell>
          <cell r="AW240">
            <v>48950</v>
          </cell>
          <cell r="AX240">
            <v>0</v>
          </cell>
          <cell r="AZ240">
            <v>229</v>
          </cell>
          <cell r="BA240">
            <v>211</v>
          </cell>
          <cell r="BB240">
            <v>291</v>
          </cell>
        </row>
        <row r="241">
          <cell r="B241" t="str">
            <v>OPP-619542</v>
          </cell>
          <cell r="C241" t="str">
            <v>Global Information Grid Services Management Operations (GIG GSM-O)</v>
          </cell>
          <cell r="D241" t="str">
            <v>IS4</v>
          </cell>
          <cell r="E241" t="str">
            <v>IS4 Engineering and Technology Services</v>
          </cell>
          <cell r="F241" t="str">
            <v>DISA</v>
          </cell>
          <cell r="G241" t="str">
            <v>DOD</v>
          </cell>
          <cell r="H241">
            <v>43728</v>
          </cell>
          <cell r="I241">
            <v>47489</v>
          </cell>
          <cell r="J241">
            <v>51141</v>
          </cell>
          <cell r="K241" t="str">
            <v>Sub</v>
          </cell>
          <cell r="L241" t="str">
            <v>Hybrid/Mixed Cost-Plus/Fixed</v>
          </cell>
          <cell r="M241" t="str">
            <v>Other</v>
          </cell>
          <cell r="N241" t="str">
            <v>Identified - New</v>
          </cell>
          <cell r="O241" t="str">
            <v>04 Submitted</v>
          </cell>
          <cell r="P241" t="str">
            <v>Priority 3</v>
          </cell>
          <cell r="Q241">
            <v>0.1</v>
          </cell>
          <cell r="R241">
            <v>10000</v>
          </cell>
          <cell r="S241">
            <v>0.17199999999999999</v>
          </cell>
          <cell r="T241">
            <v>0.17199999999999999</v>
          </cell>
          <cell r="U241">
            <v>0.17699999999999999</v>
          </cell>
          <cell r="V241">
            <v>0.182</v>
          </cell>
          <cell r="W241">
            <v>0.187</v>
          </cell>
          <cell r="X241">
            <v>0.08</v>
          </cell>
          <cell r="Y241">
            <v>0.08</v>
          </cell>
          <cell r="Z241">
            <v>8.5000000000000006E-2</v>
          </cell>
          <cell r="AA241">
            <v>9.0000000000000011E-2</v>
          </cell>
          <cell r="AB241">
            <v>9.5000000000000015E-2</v>
          </cell>
          <cell r="AC241">
            <v>1000</v>
          </cell>
          <cell r="AD241">
            <v>0</v>
          </cell>
          <cell r="AE241">
            <v>0</v>
          </cell>
          <cell r="AF241">
            <v>0</v>
          </cell>
          <cell r="AG241">
            <v>0</v>
          </cell>
          <cell r="AH241">
            <v>0</v>
          </cell>
          <cell r="AI241">
            <v>0</v>
          </cell>
          <cell r="AJ241">
            <v>0</v>
          </cell>
          <cell r="AK241">
            <v>0</v>
          </cell>
          <cell r="AL241">
            <v>0</v>
          </cell>
          <cell r="AM241">
            <v>0</v>
          </cell>
          <cell r="AN241">
            <v>0</v>
          </cell>
          <cell r="AO241">
            <v>0</v>
          </cell>
          <cell r="AP241">
            <v>0</v>
          </cell>
          <cell r="AQ241">
            <v>0</v>
          </cell>
          <cell r="AR241">
            <v>0</v>
          </cell>
          <cell r="AT241" t="str">
            <v>OPP-619542 - Identified - New - IS4</v>
          </cell>
          <cell r="AU241">
            <v>0</v>
          </cell>
          <cell r="AV241">
            <v>0</v>
          </cell>
          <cell r="AW241">
            <v>0</v>
          </cell>
          <cell r="AX241">
            <v>0</v>
          </cell>
          <cell r="AZ241">
            <v>230</v>
          </cell>
          <cell r="BA241">
            <v>379</v>
          </cell>
          <cell r="BB241">
            <v>292</v>
          </cell>
        </row>
        <row r="242">
          <cell r="B242" t="str">
            <v>OPP-853500</v>
          </cell>
          <cell r="C242" t="str">
            <v>DLITE II ARSOUTH III</v>
          </cell>
          <cell r="D242" t="str">
            <v>IS4</v>
          </cell>
          <cell r="E242" t="str">
            <v>IS4 Global Mission Solutions</v>
          </cell>
          <cell r="F242" t="str">
            <v>Army</v>
          </cell>
          <cell r="G242" t="str">
            <v>DOD</v>
          </cell>
          <cell r="H242">
            <v>43830</v>
          </cell>
          <cell r="I242">
            <v>43922</v>
          </cell>
          <cell r="J242">
            <v>45748</v>
          </cell>
          <cell r="K242" t="str">
            <v>Sub</v>
          </cell>
          <cell r="L242" t="str">
            <v>Cost Plus Fixed Fee</v>
          </cell>
          <cell r="M242" t="str">
            <v>Cost Reimbursable</v>
          </cell>
          <cell r="N242" t="str">
            <v>Identified - New</v>
          </cell>
          <cell r="O242" t="str">
            <v>01 Prospect</v>
          </cell>
          <cell r="P242" t="str">
            <v>Priority 3</v>
          </cell>
          <cell r="Q242">
            <v>0.15</v>
          </cell>
          <cell r="R242">
            <v>40000000</v>
          </cell>
          <cell r="S242">
            <v>0.13700000000000001</v>
          </cell>
          <cell r="T242">
            <v>0.13700000000000001</v>
          </cell>
          <cell r="U242">
            <v>0.13700000000000001</v>
          </cell>
          <cell r="V242">
            <v>0.13700000000000001</v>
          </cell>
          <cell r="W242">
            <v>0.13700000000000001</v>
          </cell>
          <cell r="X242">
            <v>4.4999999999999998E-2</v>
          </cell>
          <cell r="Y242">
            <v>4.4999999999999998E-2</v>
          </cell>
          <cell r="Z242">
            <v>4.4999999999999998E-2</v>
          </cell>
          <cell r="AA242">
            <v>4.4999999999999998E-2</v>
          </cell>
          <cell r="AB242">
            <v>4.4999999999999998E-2</v>
          </cell>
          <cell r="AC242">
            <v>8000000</v>
          </cell>
          <cell r="AD242">
            <v>0</v>
          </cell>
          <cell r="AE242">
            <v>596666.66666666663</v>
          </cell>
          <cell r="AF242">
            <v>1200000</v>
          </cell>
          <cell r="AG242">
            <v>1200000</v>
          </cell>
          <cell r="AH242">
            <v>1200000</v>
          </cell>
          <cell r="AI242">
            <v>0</v>
          </cell>
          <cell r="AJ242">
            <v>81743.333333333328</v>
          </cell>
          <cell r="AK242">
            <v>164400</v>
          </cell>
          <cell r="AL242">
            <v>164400</v>
          </cell>
          <cell r="AM242">
            <v>164400</v>
          </cell>
          <cell r="AN242">
            <v>0</v>
          </cell>
          <cell r="AO242">
            <v>26849.999999999996</v>
          </cell>
          <cell r="AP242">
            <v>54000</v>
          </cell>
          <cell r="AQ242">
            <v>54000</v>
          </cell>
          <cell r="AR242">
            <v>54000</v>
          </cell>
          <cell r="AT242" t="str">
            <v>OPP-853500 - Identified - New - IS4</v>
          </cell>
          <cell r="AU242">
            <v>188850</v>
          </cell>
          <cell r="AV242">
            <v>0</v>
          </cell>
          <cell r="AW242">
            <v>188850</v>
          </cell>
          <cell r="AX242">
            <v>0</v>
          </cell>
          <cell r="AZ242">
            <v>231</v>
          </cell>
          <cell r="BA242">
            <v>136</v>
          </cell>
          <cell r="BB242">
            <v>293</v>
          </cell>
        </row>
        <row r="243">
          <cell r="B243" t="str">
            <v>OPP-412593</v>
          </cell>
          <cell r="C243" t="str">
            <v>ESKIMO PIE</v>
          </cell>
          <cell r="D243" t="str">
            <v>IS4</v>
          </cell>
          <cell r="E243" t="str">
            <v>IS4 Global Mission Solutions</v>
          </cell>
          <cell r="F243" t="str">
            <v>Classified Agency</v>
          </cell>
          <cell r="G243" t="str">
            <v>Classified</v>
          </cell>
          <cell r="H243">
            <v>44750</v>
          </cell>
          <cell r="I243">
            <v>44802</v>
          </cell>
          <cell r="J243">
            <v>46628</v>
          </cell>
          <cell r="K243" t="str">
            <v>Sub</v>
          </cell>
          <cell r="L243" t="str">
            <v>Cost Plus Fixed Fee</v>
          </cell>
          <cell r="M243" t="str">
            <v>Cost Reimbursable</v>
          </cell>
          <cell r="N243" t="str">
            <v>Identified - New</v>
          </cell>
          <cell r="O243" t="str">
            <v>01 Prospect</v>
          </cell>
          <cell r="P243" t="str">
            <v>Priority 3</v>
          </cell>
          <cell r="Q243">
            <v>0.3</v>
          </cell>
          <cell r="R243">
            <v>20000000</v>
          </cell>
          <cell r="S243">
            <v>0.13700000000000001</v>
          </cell>
          <cell r="T243">
            <v>0.13700000000000001</v>
          </cell>
          <cell r="U243">
            <v>0.13700000000000001</v>
          </cell>
          <cell r="V243">
            <v>0.13700000000000001</v>
          </cell>
          <cell r="W243">
            <v>0.13700000000000001</v>
          </cell>
          <cell r="X243">
            <v>4.4999999999999998E-2</v>
          </cell>
          <cell r="Y243">
            <v>4.4999999999999998E-2</v>
          </cell>
          <cell r="Z243">
            <v>4.4999999999999998E-2</v>
          </cell>
          <cell r="AA243">
            <v>4.4999999999999998E-2</v>
          </cell>
          <cell r="AB243">
            <v>4.4999999999999998E-2</v>
          </cell>
          <cell r="AC243">
            <v>4000000</v>
          </cell>
          <cell r="AD243">
            <v>0</v>
          </cell>
          <cell r="AE243">
            <v>0</v>
          </cell>
          <cell r="AF243">
            <v>0</v>
          </cell>
          <cell r="AG243">
            <v>103333.33333333333</v>
          </cell>
          <cell r="AH243">
            <v>1200000</v>
          </cell>
          <cell r="AI243">
            <v>0</v>
          </cell>
          <cell r="AJ243">
            <v>0</v>
          </cell>
          <cell r="AK243">
            <v>0</v>
          </cell>
          <cell r="AL243">
            <v>14156.666666666668</v>
          </cell>
          <cell r="AM243">
            <v>164400</v>
          </cell>
          <cell r="AN243">
            <v>0</v>
          </cell>
          <cell r="AO243">
            <v>0</v>
          </cell>
          <cell r="AP243">
            <v>0</v>
          </cell>
          <cell r="AQ243">
            <v>4650</v>
          </cell>
          <cell r="AR243">
            <v>54000</v>
          </cell>
          <cell r="AT243" t="str">
            <v>OPP-412593 - Identified - New - IS4</v>
          </cell>
          <cell r="AU243">
            <v>58650</v>
          </cell>
          <cell r="AV243">
            <v>0</v>
          </cell>
          <cell r="AW243">
            <v>58650</v>
          </cell>
          <cell r="AX243">
            <v>0</v>
          </cell>
          <cell r="AZ243">
            <v>232</v>
          </cell>
          <cell r="BA243">
            <v>206</v>
          </cell>
          <cell r="BB243">
            <v>294</v>
          </cell>
        </row>
        <row r="244">
          <cell r="B244" t="str">
            <v>OPP-931010</v>
          </cell>
          <cell r="C244" t="str">
            <v>Blackjack FY19</v>
          </cell>
          <cell r="D244" t="str">
            <v>IS4</v>
          </cell>
          <cell r="E244" t="str">
            <v>IS4 Global Mission Solutions</v>
          </cell>
          <cell r="F244" t="str">
            <v>Classified Agency</v>
          </cell>
          <cell r="G244" t="str">
            <v>Classified</v>
          </cell>
          <cell r="H244">
            <v>43546</v>
          </cell>
          <cell r="I244">
            <v>43546</v>
          </cell>
          <cell r="J244">
            <v>45350</v>
          </cell>
          <cell r="K244" t="str">
            <v>Prime</v>
          </cell>
          <cell r="L244" t="str">
            <v>Fixed Price; T&amp;M</v>
          </cell>
          <cell r="M244" t="str">
            <v>Fixed Price</v>
          </cell>
          <cell r="N244" t="str">
            <v>Identified - New</v>
          </cell>
          <cell r="O244" t="str">
            <v>03 Proposal</v>
          </cell>
          <cell r="P244" t="str">
            <v>Priority 3</v>
          </cell>
          <cell r="Q244">
            <v>0.75</v>
          </cell>
          <cell r="R244">
            <v>75000000</v>
          </cell>
          <cell r="S244">
            <v>0.17199999999999999</v>
          </cell>
          <cell r="T244">
            <v>0.17199999999999999</v>
          </cell>
          <cell r="U244">
            <v>0.17699999999999999</v>
          </cell>
          <cell r="V244">
            <v>0.182</v>
          </cell>
          <cell r="W244">
            <v>0.187</v>
          </cell>
          <cell r="X244">
            <v>0.08</v>
          </cell>
          <cell r="Y244">
            <v>0.08</v>
          </cell>
          <cell r="Z244">
            <v>8.5000000000000006E-2</v>
          </cell>
          <cell r="AA244">
            <v>9.0000000000000011E-2</v>
          </cell>
          <cell r="AB244">
            <v>9.5000000000000015E-2</v>
          </cell>
          <cell r="AC244">
            <v>15202702.702702701</v>
          </cell>
          <cell r="AD244">
            <v>0</v>
          </cell>
          <cell r="AE244">
            <v>11402027.027027026</v>
          </cell>
          <cell r="AF244">
            <v>11402027.027027026</v>
          </cell>
          <cell r="AG244">
            <v>11402027.027027026</v>
          </cell>
          <cell r="AH244">
            <v>11402027.027027026</v>
          </cell>
          <cell r="AI244">
            <v>0</v>
          </cell>
          <cell r="AJ244">
            <v>1961148.6486486483</v>
          </cell>
          <cell r="AK244">
            <v>2018158.7837837834</v>
          </cell>
          <cell r="AL244">
            <v>2075168.9189189186</v>
          </cell>
          <cell r="AM244">
            <v>2132179.054054054</v>
          </cell>
          <cell r="AN244">
            <v>0</v>
          </cell>
          <cell r="AO244">
            <v>912162.16216216213</v>
          </cell>
          <cell r="AP244">
            <v>969172.29729729728</v>
          </cell>
          <cell r="AQ244">
            <v>1026182.4324324324</v>
          </cell>
          <cell r="AR244">
            <v>1083192.5675675676</v>
          </cell>
          <cell r="AT244" t="str">
            <v>OPP-931010 - Identified - New - IS4</v>
          </cell>
          <cell r="AU244">
            <v>3990709.4594594594</v>
          </cell>
          <cell r="AV244">
            <v>0</v>
          </cell>
          <cell r="AW244">
            <v>3990709.4594594594</v>
          </cell>
          <cell r="AX244">
            <v>0</v>
          </cell>
          <cell r="AZ244">
            <v>233</v>
          </cell>
          <cell r="BA244">
            <v>3</v>
          </cell>
          <cell r="BB244">
            <v>295</v>
          </cell>
        </row>
        <row r="245">
          <cell r="B245" t="str">
            <v>OPP-947382</v>
          </cell>
          <cell r="C245" t="str">
            <v>Red Rover</v>
          </cell>
          <cell r="D245" t="str">
            <v>IS4</v>
          </cell>
          <cell r="E245" t="str">
            <v>IS4 Global Mission Solutions</v>
          </cell>
          <cell r="F245" t="str">
            <v>DOE</v>
          </cell>
          <cell r="G245" t="str">
            <v>DOE</v>
          </cell>
          <cell r="H245">
            <v>43735</v>
          </cell>
          <cell r="I245">
            <v>43768</v>
          </cell>
          <cell r="J245">
            <v>46325</v>
          </cell>
          <cell r="K245" t="str">
            <v>Sub</v>
          </cell>
          <cell r="L245" t="str">
            <v>T&amp;M</v>
          </cell>
          <cell r="M245" t="str">
            <v>T&amp;M</v>
          </cell>
          <cell r="N245" t="str">
            <v>Identified - New</v>
          </cell>
          <cell r="O245" t="str">
            <v>04 Submitted</v>
          </cell>
          <cell r="P245" t="str">
            <v>Priority 3</v>
          </cell>
          <cell r="Q245">
            <v>0.3</v>
          </cell>
          <cell r="R245">
            <v>10000000</v>
          </cell>
          <cell r="S245">
            <v>0.16200000000000001</v>
          </cell>
          <cell r="T245">
            <v>0.16200000000000001</v>
          </cell>
          <cell r="U245">
            <v>0.16400000000000001</v>
          </cell>
          <cell r="V245">
            <v>0.16900000000000001</v>
          </cell>
          <cell r="W245">
            <v>0.17400000000000002</v>
          </cell>
          <cell r="X245">
            <v>7.0000000000000007E-2</v>
          </cell>
          <cell r="Y245">
            <v>7.0000000000000007E-2</v>
          </cell>
          <cell r="Z245">
            <v>7.2000000000000008E-2</v>
          </cell>
          <cell r="AA245">
            <v>7.7000000000000013E-2</v>
          </cell>
          <cell r="AB245">
            <v>8.2000000000000017E-2</v>
          </cell>
          <cell r="AC245">
            <v>1428571.4285714286</v>
          </cell>
          <cell r="AD245">
            <v>0</v>
          </cell>
          <cell r="AE245">
            <v>392857.14285714284</v>
          </cell>
          <cell r="AF245">
            <v>428571.42857142858</v>
          </cell>
          <cell r="AG245">
            <v>428571.42857142858</v>
          </cell>
          <cell r="AH245">
            <v>428571.42857142858</v>
          </cell>
          <cell r="AI245">
            <v>0</v>
          </cell>
          <cell r="AJ245">
            <v>63642.857142857145</v>
          </cell>
          <cell r="AK245">
            <v>70285.71428571429</v>
          </cell>
          <cell r="AL245">
            <v>72428.571428571435</v>
          </cell>
          <cell r="AM245">
            <v>74571.42857142858</v>
          </cell>
          <cell r="AN245">
            <v>0</v>
          </cell>
          <cell r="AO245">
            <v>27500</v>
          </cell>
          <cell r="AP245">
            <v>30857.142857142862</v>
          </cell>
          <cell r="AQ245">
            <v>33000.000000000007</v>
          </cell>
          <cell r="AR245">
            <v>35142.857142857152</v>
          </cell>
          <cell r="AT245" t="str">
            <v>OPP-947382 - Identified - New - IS4</v>
          </cell>
          <cell r="AU245">
            <v>126500.00000000003</v>
          </cell>
          <cell r="AV245">
            <v>0</v>
          </cell>
          <cell r="AW245">
            <v>126500.00000000003</v>
          </cell>
          <cell r="AX245">
            <v>0</v>
          </cell>
          <cell r="AZ245">
            <v>234</v>
          </cell>
          <cell r="BA245">
            <v>160</v>
          </cell>
          <cell r="BB245">
            <v>296</v>
          </cell>
        </row>
        <row r="246">
          <cell r="B246" t="str">
            <v>OPP-708972</v>
          </cell>
          <cell r="C246" t="str">
            <v>PATHFINDER</v>
          </cell>
          <cell r="D246" t="str">
            <v>IS4</v>
          </cell>
          <cell r="E246" t="str">
            <v>IS4 Global Mission Solutions</v>
          </cell>
          <cell r="F246" t="str">
            <v>Classified Agency</v>
          </cell>
          <cell r="G246" t="str">
            <v>Classified</v>
          </cell>
          <cell r="H246">
            <v>43801</v>
          </cell>
          <cell r="I246">
            <v>43801</v>
          </cell>
          <cell r="J246">
            <v>45628</v>
          </cell>
          <cell r="K246" t="str">
            <v>Sub</v>
          </cell>
          <cell r="L246" t="str">
            <v>Fixed Price; Level of Effort</v>
          </cell>
          <cell r="M246" t="str">
            <v>Fixed Price</v>
          </cell>
          <cell r="N246" t="str">
            <v>Identified - New</v>
          </cell>
          <cell r="O246" t="str">
            <v>01 Prospect</v>
          </cell>
          <cell r="P246" t="str">
            <v>Priority 3</v>
          </cell>
          <cell r="Q246">
            <v>0.25</v>
          </cell>
          <cell r="R246">
            <v>10000000</v>
          </cell>
          <cell r="S246">
            <v>0.152</v>
          </cell>
          <cell r="T246">
            <v>0.152</v>
          </cell>
          <cell r="U246">
            <v>0.154</v>
          </cell>
          <cell r="V246">
            <v>0.159</v>
          </cell>
          <cell r="W246">
            <v>0.16400000000000001</v>
          </cell>
          <cell r="X246">
            <v>0.06</v>
          </cell>
          <cell r="Y246">
            <v>0.06</v>
          </cell>
          <cell r="Z246">
            <v>6.2E-2</v>
          </cell>
          <cell r="AA246">
            <v>6.7000000000000004E-2</v>
          </cell>
          <cell r="AB246">
            <v>7.2000000000000008E-2</v>
          </cell>
          <cell r="AC246">
            <v>2000000</v>
          </cell>
          <cell r="AD246">
            <v>0</v>
          </cell>
          <cell r="AE246">
            <v>413888.88888888888</v>
          </cell>
          <cell r="AF246">
            <v>500000</v>
          </cell>
          <cell r="AG246">
            <v>500000</v>
          </cell>
          <cell r="AH246">
            <v>500000</v>
          </cell>
          <cell r="AI246">
            <v>0</v>
          </cell>
          <cell r="AJ246">
            <v>62911.111111111109</v>
          </cell>
          <cell r="AK246">
            <v>77000</v>
          </cell>
          <cell r="AL246">
            <v>79500</v>
          </cell>
          <cell r="AM246">
            <v>82000</v>
          </cell>
          <cell r="AN246">
            <v>0</v>
          </cell>
          <cell r="AO246">
            <v>24833.333333333332</v>
          </cell>
          <cell r="AP246">
            <v>31000</v>
          </cell>
          <cell r="AQ246">
            <v>33500</v>
          </cell>
          <cell r="AR246">
            <v>36000.000000000007</v>
          </cell>
          <cell r="AT246" t="str">
            <v>OPP-708972 - Identified - New - IS4</v>
          </cell>
          <cell r="AU246">
            <v>125333.33333333334</v>
          </cell>
          <cell r="AV246">
            <v>0</v>
          </cell>
          <cell r="AW246">
            <v>125333.33333333334</v>
          </cell>
          <cell r="AX246">
            <v>0</v>
          </cell>
          <cell r="AZ246">
            <v>235</v>
          </cell>
          <cell r="BA246">
            <v>164</v>
          </cell>
          <cell r="BB246">
            <v>297</v>
          </cell>
        </row>
        <row r="247">
          <cell r="B247" t="str">
            <v>OPP-872640</v>
          </cell>
          <cell r="C247" t="str">
            <v>TRSS Tasks - FY19</v>
          </cell>
          <cell r="D247" t="str">
            <v>IS4</v>
          </cell>
          <cell r="E247" t="str">
            <v>IS4 Global Mission Solutions</v>
          </cell>
          <cell r="F247" t="str">
            <v>Classified Agency</v>
          </cell>
          <cell r="G247" t="str">
            <v>Classified</v>
          </cell>
          <cell r="H247">
            <v>43769</v>
          </cell>
          <cell r="I247">
            <v>43770</v>
          </cell>
          <cell r="J247">
            <v>44136</v>
          </cell>
          <cell r="K247" t="str">
            <v>Prime</v>
          </cell>
          <cell r="L247" t="str">
            <v>Fixed Price</v>
          </cell>
          <cell r="M247" t="str">
            <v>Fixed Price</v>
          </cell>
          <cell r="N247" t="str">
            <v>Identified - New</v>
          </cell>
          <cell r="O247" t="str">
            <v>03 Proposal</v>
          </cell>
          <cell r="P247" t="str">
            <v>Priority 3</v>
          </cell>
          <cell r="Q247">
            <v>0.3</v>
          </cell>
          <cell r="R247">
            <v>8000000</v>
          </cell>
          <cell r="S247">
            <v>0.17199999999999999</v>
          </cell>
          <cell r="T247">
            <v>0.17199999999999999</v>
          </cell>
          <cell r="U247">
            <v>0.17299999999999999</v>
          </cell>
          <cell r="V247">
            <v>0.17499999999999999</v>
          </cell>
          <cell r="W247">
            <v>0.18</v>
          </cell>
          <cell r="X247">
            <v>0.08</v>
          </cell>
          <cell r="Y247">
            <v>0.08</v>
          </cell>
          <cell r="Z247">
            <v>8.1000000000000003E-2</v>
          </cell>
          <cell r="AA247">
            <v>8.3000000000000004E-2</v>
          </cell>
          <cell r="AB247">
            <v>8.8000000000000009E-2</v>
          </cell>
          <cell r="AC247">
            <v>8000000</v>
          </cell>
          <cell r="AD247">
            <v>0</v>
          </cell>
          <cell r="AE247">
            <v>2193333.333333333</v>
          </cell>
          <cell r="AF247">
            <v>206666.66666666698</v>
          </cell>
          <cell r="AG247">
            <v>0</v>
          </cell>
          <cell r="AH247">
            <v>0</v>
          </cell>
          <cell r="AI247">
            <v>0</v>
          </cell>
          <cell r="AJ247">
            <v>377253.33333333326</v>
          </cell>
          <cell r="AK247">
            <v>35753.333333333387</v>
          </cell>
          <cell r="AL247">
            <v>0</v>
          </cell>
          <cell r="AM247">
            <v>0</v>
          </cell>
          <cell r="AN247">
            <v>0</v>
          </cell>
          <cell r="AO247">
            <v>175466.66666666666</v>
          </cell>
          <cell r="AP247">
            <v>16740.000000000025</v>
          </cell>
          <cell r="AQ247">
            <v>0</v>
          </cell>
          <cell r="AR247">
            <v>0</v>
          </cell>
          <cell r="AT247" t="str">
            <v>OPP-872640 - Identified - New - IS4</v>
          </cell>
          <cell r="AU247">
            <v>192206.66666666669</v>
          </cell>
          <cell r="AV247">
            <v>0</v>
          </cell>
          <cell r="AW247">
            <v>192206.66666666669</v>
          </cell>
          <cell r="AX247">
            <v>0</v>
          </cell>
          <cell r="AZ247">
            <v>236</v>
          </cell>
          <cell r="BA247">
            <v>135</v>
          </cell>
          <cell r="BB247">
            <v>298</v>
          </cell>
        </row>
        <row r="248">
          <cell r="B248" t="str">
            <v>OPP-871591</v>
          </cell>
          <cell r="C248" t="str">
            <v>Facilities Eng Contract FEC FY19</v>
          </cell>
          <cell r="D248" t="str">
            <v>IS4</v>
          </cell>
          <cell r="E248" t="str">
            <v>IS4 Global Mission Solutions</v>
          </cell>
          <cell r="F248" t="str">
            <v>Classified Agency</v>
          </cell>
          <cell r="G248" t="str">
            <v>Classified</v>
          </cell>
          <cell r="H248">
            <v>43769</v>
          </cell>
          <cell r="I248">
            <v>43770</v>
          </cell>
          <cell r="J248">
            <v>44136</v>
          </cell>
          <cell r="K248" t="str">
            <v>Prime</v>
          </cell>
          <cell r="L248" t="str">
            <v>Fixed Price; T&amp;M</v>
          </cell>
          <cell r="M248" t="str">
            <v>Fixed Price</v>
          </cell>
          <cell r="N248" t="str">
            <v>Identified - New</v>
          </cell>
          <cell r="O248" t="str">
            <v>03 Proposal</v>
          </cell>
          <cell r="P248" t="str">
            <v>Priority 3</v>
          </cell>
          <cell r="Q248">
            <v>0.6</v>
          </cell>
          <cell r="R248">
            <v>8000000</v>
          </cell>
          <cell r="S248">
            <v>0.152</v>
          </cell>
          <cell r="T248">
            <v>0.152</v>
          </cell>
          <cell r="U248">
            <v>0.154</v>
          </cell>
          <cell r="V248">
            <v>0.159</v>
          </cell>
          <cell r="W248">
            <v>0.16400000000000001</v>
          </cell>
          <cell r="X248">
            <v>0.06</v>
          </cell>
          <cell r="Y248">
            <v>0.06</v>
          </cell>
          <cell r="Z248">
            <v>6.2E-2</v>
          </cell>
          <cell r="AA248">
            <v>6.7000000000000004E-2</v>
          </cell>
          <cell r="AB248">
            <v>7.2000000000000008E-2</v>
          </cell>
          <cell r="AC248">
            <v>8000000</v>
          </cell>
          <cell r="AD248">
            <v>0</v>
          </cell>
          <cell r="AE248">
            <v>4386666.666666666</v>
          </cell>
          <cell r="AF248">
            <v>413333.33333333395</v>
          </cell>
          <cell r="AG248">
            <v>0</v>
          </cell>
          <cell r="AH248">
            <v>0</v>
          </cell>
          <cell r="AI248">
            <v>0</v>
          </cell>
          <cell r="AJ248">
            <v>666773.33333333326</v>
          </cell>
          <cell r="AK248">
            <v>63653.33333333343</v>
          </cell>
          <cell r="AL248">
            <v>0</v>
          </cell>
          <cell r="AM248">
            <v>0</v>
          </cell>
          <cell r="AN248">
            <v>0</v>
          </cell>
          <cell r="AO248">
            <v>263199.99999999994</v>
          </cell>
          <cell r="AP248">
            <v>25626.666666666704</v>
          </cell>
          <cell r="AQ248">
            <v>0</v>
          </cell>
          <cell r="AR248">
            <v>0</v>
          </cell>
          <cell r="AT248" t="str">
            <v>OPP-871591 - Identified - New - IS4</v>
          </cell>
          <cell r="AU248">
            <v>288826.66666666663</v>
          </cell>
          <cell r="AV248">
            <v>0</v>
          </cell>
          <cell r="AW248">
            <v>288826.66666666663</v>
          </cell>
          <cell r="AX248">
            <v>0</v>
          </cell>
          <cell r="AZ248">
            <v>237</v>
          </cell>
          <cell r="BA248">
            <v>119</v>
          </cell>
          <cell r="BB248">
            <v>299</v>
          </cell>
        </row>
        <row r="249">
          <cell r="B249" t="str">
            <v>OPP-948411</v>
          </cell>
          <cell r="C249" t="str">
            <v>Cleared American Maintenance Services for Operational Facilities in Korea</v>
          </cell>
          <cell r="D249" t="str">
            <v>IS4</v>
          </cell>
          <cell r="E249" t="str">
            <v>IS4 Global Mission Solutions</v>
          </cell>
          <cell r="F249" t="str">
            <v>Army</v>
          </cell>
          <cell r="G249" t="str">
            <v>DOD</v>
          </cell>
          <cell r="H249">
            <v>43922</v>
          </cell>
          <cell r="I249">
            <v>44013</v>
          </cell>
          <cell r="J249">
            <v>45839</v>
          </cell>
          <cell r="K249" t="str">
            <v>Prime</v>
          </cell>
          <cell r="L249" t="str">
            <v>Hybrid/Mixed Cost-Plus/Fixed</v>
          </cell>
          <cell r="M249" t="str">
            <v>Other</v>
          </cell>
          <cell r="N249" t="str">
            <v>Identified - New</v>
          </cell>
          <cell r="O249" t="str">
            <v>01 Prospect</v>
          </cell>
          <cell r="P249" t="str">
            <v>Priority 3</v>
          </cell>
          <cell r="Q249">
            <v>0.3</v>
          </cell>
          <cell r="R249">
            <v>8000000</v>
          </cell>
          <cell r="S249">
            <v>0.14200000000000002</v>
          </cell>
          <cell r="T249">
            <v>0.14200000000000002</v>
          </cell>
          <cell r="U249">
            <v>0.14400000000000002</v>
          </cell>
          <cell r="V249">
            <v>0.14899999999999999</v>
          </cell>
          <cell r="W249">
            <v>0.154</v>
          </cell>
          <cell r="X249">
            <v>0.05</v>
          </cell>
          <cell r="Y249">
            <v>0.05</v>
          </cell>
          <cell r="Z249">
            <v>5.2000000000000005E-2</v>
          </cell>
          <cell r="AA249">
            <v>5.7000000000000002E-2</v>
          </cell>
          <cell r="AB249">
            <v>6.2E-2</v>
          </cell>
          <cell r="AC249">
            <v>1600000</v>
          </cell>
          <cell r="AD249">
            <v>0</v>
          </cell>
          <cell r="AE249">
            <v>118666.66666666666</v>
          </cell>
          <cell r="AF249">
            <v>480000</v>
          </cell>
          <cell r="AG249">
            <v>480000</v>
          </cell>
          <cell r="AH249">
            <v>480000</v>
          </cell>
          <cell r="AI249">
            <v>0</v>
          </cell>
          <cell r="AJ249">
            <v>16850.666666666668</v>
          </cell>
          <cell r="AK249">
            <v>69120.000000000015</v>
          </cell>
          <cell r="AL249">
            <v>71520</v>
          </cell>
          <cell r="AM249">
            <v>73920</v>
          </cell>
          <cell r="AN249">
            <v>0</v>
          </cell>
          <cell r="AO249">
            <v>5933.333333333333</v>
          </cell>
          <cell r="AP249">
            <v>24960.000000000004</v>
          </cell>
          <cell r="AQ249">
            <v>27360</v>
          </cell>
          <cell r="AR249">
            <v>29760</v>
          </cell>
          <cell r="AT249" t="str">
            <v>OPP-948411 - Identified - New - IS4</v>
          </cell>
          <cell r="AU249">
            <v>88013.333333333343</v>
          </cell>
          <cell r="AV249">
            <v>0</v>
          </cell>
          <cell r="AW249">
            <v>88013.333333333343</v>
          </cell>
          <cell r="AX249">
            <v>0</v>
          </cell>
          <cell r="AZ249">
            <v>238</v>
          </cell>
          <cell r="BA249">
            <v>186</v>
          </cell>
          <cell r="BB249">
            <v>300</v>
          </cell>
        </row>
        <row r="250">
          <cell r="B250" t="str">
            <v>OPP-872444</v>
          </cell>
          <cell r="C250" t="str">
            <v>DOS PSE IDIQ FY19</v>
          </cell>
          <cell r="D250" t="str">
            <v>IS4</v>
          </cell>
          <cell r="E250" t="str">
            <v>IS4 Global Mission Solutions</v>
          </cell>
          <cell r="F250" t="str">
            <v>Classified Agency</v>
          </cell>
          <cell r="G250" t="str">
            <v>Classified</v>
          </cell>
          <cell r="H250">
            <v>43769</v>
          </cell>
          <cell r="I250">
            <v>44136</v>
          </cell>
          <cell r="J250">
            <v>44501</v>
          </cell>
          <cell r="K250" t="str">
            <v>Prime</v>
          </cell>
          <cell r="L250" t="str">
            <v>Fixed Price</v>
          </cell>
          <cell r="M250" t="str">
            <v>Fixed Price</v>
          </cell>
          <cell r="N250" t="str">
            <v>Identified - New</v>
          </cell>
          <cell r="O250" t="str">
            <v>03 Proposal</v>
          </cell>
          <cell r="P250" t="str">
            <v>Priority 3</v>
          </cell>
          <cell r="Q250">
            <v>0.1</v>
          </cell>
          <cell r="R250">
            <v>8000000</v>
          </cell>
          <cell r="S250">
            <v>0.17199999999999999</v>
          </cell>
          <cell r="T250">
            <v>0.17199999999999999</v>
          </cell>
          <cell r="U250">
            <v>0.17299999999999999</v>
          </cell>
          <cell r="V250">
            <v>0.17499999999999999</v>
          </cell>
          <cell r="W250">
            <v>0.18</v>
          </cell>
          <cell r="X250">
            <v>0.08</v>
          </cell>
          <cell r="Y250">
            <v>0.08</v>
          </cell>
          <cell r="Z250">
            <v>8.1000000000000003E-2</v>
          </cell>
          <cell r="AA250">
            <v>8.3000000000000004E-2</v>
          </cell>
          <cell r="AB250">
            <v>8.8000000000000009E-2</v>
          </cell>
          <cell r="AC250">
            <v>8000000</v>
          </cell>
          <cell r="AD250">
            <v>0</v>
          </cell>
          <cell r="AE250">
            <v>0</v>
          </cell>
          <cell r="AF250">
            <v>731111.11111111112</v>
          </cell>
          <cell r="AG250">
            <v>68888.888888888876</v>
          </cell>
          <cell r="AH250">
            <v>0</v>
          </cell>
          <cell r="AI250">
            <v>0</v>
          </cell>
          <cell r="AJ250">
            <v>0</v>
          </cell>
          <cell r="AK250">
            <v>126482.22222222222</v>
          </cell>
          <cell r="AL250">
            <v>12055.555555555553</v>
          </cell>
          <cell r="AM250">
            <v>0</v>
          </cell>
          <cell r="AN250">
            <v>0</v>
          </cell>
          <cell r="AO250">
            <v>0</v>
          </cell>
          <cell r="AP250">
            <v>59220</v>
          </cell>
          <cell r="AQ250">
            <v>5717.7777777777774</v>
          </cell>
          <cell r="AR250">
            <v>0</v>
          </cell>
          <cell r="AT250" t="str">
            <v>OPP-872444 - Identified - New - IS4</v>
          </cell>
          <cell r="AU250">
            <v>64937.777777777781</v>
          </cell>
          <cell r="AV250">
            <v>0</v>
          </cell>
          <cell r="AW250">
            <v>64937.777777777781</v>
          </cell>
          <cell r="AX250">
            <v>0</v>
          </cell>
          <cell r="AZ250">
            <v>239</v>
          </cell>
          <cell r="BA250">
            <v>200</v>
          </cell>
          <cell r="BB250">
            <v>301</v>
          </cell>
        </row>
        <row r="251">
          <cell r="B251" t="str">
            <v>OPP-940103</v>
          </cell>
          <cell r="C251" t="str">
            <v>TRUE STORY</v>
          </cell>
          <cell r="D251" t="str">
            <v>IS4</v>
          </cell>
          <cell r="E251" t="str">
            <v>IS4 Global Mission Solutions</v>
          </cell>
          <cell r="F251" t="str">
            <v>Classified Agency</v>
          </cell>
          <cell r="G251" t="str">
            <v>Classified</v>
          </cell>
          <cell r="H251">
            <v>43801</v>
          </cell>
          <cell r="I251">
            <v>43808</v>
          </cell>
          <cell r="J251">
            <v>45635</v>
          </cell>
          <cell r="K251" t="str">
            <v>Prime</v>
          </cell>
          <cell r="L251" t="str">
            <v>Cost Plus Award Fee</v>
          </cell>
          <cell r="M251" t="str">
            <v>Cost Reimbursable</v>
          </cell>
          <cell r="N251" t="str">
            <v>Identified - New</v>
          </cell>
          <cell r="O251" t="str">
            <v>01 Prospect</v>
          </cell>
          <cell r="P251" t="str">
            <v>Priority 3</v>
          </cell>
          <cell r="Q251">
            <v>0.25</v>
          </cell>
          <cell r="R251">
            <v>7500000</v>
          </cell>
          <cell r="S251">
            <v>0.13700000000000001</v>
          </cell>
          <cell r="T251">
            <v>0.14200000000000002</v>
          </cell>
          <cell r="U251">
            <v>0.14699999999999999</v>
          </cell>
          <cell r="V251">
            <v>0.14699999999999999</v>
          </cell>
          <cell r="W251">
            <v>0.14699999999999999</v>
          </cell>
          <cell r="X251">
            <v>4.4999999999999998E-2</v>
          </cell>
          <cell r="Y251">
            <v>0.05</v>
          </cell>
          <cell r="Z251">
            <v>5.5E-2</v>
          </cell>
          <cell r="AA251">
            <v>5.5E-2</v>
          </cell>
          <cell r="AB251">
            <v>5.5E-2</v>
          </cell>
          <cell r="AC251">
            <v>1500000</v>
          </cell>
          <cell r="AD251">
            <v>0</v>
          </cell>
          <cell r="AE251">
            <v>303125</v>
          </cell>
          <cell r="AF251">
            <v>375000</v>
          </cell>
          <cell r="AG251">
            <v>375000</v>
          </cell>
          <cell r="AH251">
            <v>375000</v>
          </cell>
          <cell r="AI251">
            <v>0</v>
          </cell>
          <cell r="AJ251">
            <v>43043.750000000007</v>
          </cell>
          <cell r="AK251">
            <v>55125</v>
          </cell>
          <cell r="AL251">
            <v>55125</v>
          </cell>
          <cell r="AM251">
            <v>55125</v>
          </cell>
          <cell r="AN251">
            <v>0</v>
          </cell>
          <cell r="AO251">
            <v>15156.25</v>
          </cell>
          <cell r="AP251">
            <v>20625</v>
          </cell>
          <cell r="AQ251">
            <v>20625</v>
          </cell>
          <cell r="AR251">
            <v>20625</v>
          </cell>
          <cell r="AT251" t="str">
            <v>OPP-940103 - Identified - New - IS4</v>
          </cell>
          <cell r="AU251">
            <v>77031.25</v>
          </cell>
          <cell r="AV251">
            <v>0</v>
          </cell>
          <cell r="AW251">
            <v>77031.25</v>
          </cell>
          <cell r="AX251">
            <v>0</v>
          </cell>
          <cell r="AZ251">
            <v>240</v>
          </cell>
          <cell r="BA251">
            <v>193</v>
          </cell>
          <cell r="BB251">
            <v>302</v>
          </cell>
        </row>
        <row r="252">
          <cell r="B252" t="str">
            <v>OPP-531013</v>
          </cell>
          <cell r="C252" t="str">
            <v>NOVEMBER RAIN</v>
          </cell>
          <cell r="D252" t="str">
            <v>IS4</v>
          </cell>
          <cell r="E252" t="str">
            <v>IS4 Global Mission Solutions</v>
          </cell>
          <cell r="F252" t="str">
            <v>Classified Agency</v>
          </cell>
          <cell r="G252" t="str">
            <v>Classified</v>
          </cell>
          <cell r="H252">
            <v>43738</v>
          </cell>
          <cell r="I252">
            <v>43769</v>
          </cell>
          <cell r="J252">
            <v>45569</v>
          </cell>
          <cell r="K252" t="str">
            <v>Sub</v>
          </cell>
          <cell r="L252" t="str">
            <v>Fixed Price; Level of Effort</v>
          </cell>
          <cell r="M252" t="str">
            <v>Fixed Price</v>
          </cell>
          <cell r="N252" t="str">
            <v>Identified - New</v>
          </cell>
          <cell r="O252" t="str">
            <v>04 Submitted</v>
          </cell>
          <cell r="P252" t="str">
            <v>Priority 3</v>
          </cell>
          <cell r="Q252">
            <v>0.25</v>
          </cell>
          <cell r="R252">
            <v>3000000</v>
          </cell>
          <cell r="S252">
            <v>0.152</v>
          </cell>
          <cell r="T252">
            <v>0.152</v>
          </cell>
          <cell r="U252">
            <v>0.154</v>
          </cell>
          <cell r="V252">
            <v>0.159</v>
          </cell>
          <cell r="W252">
            <v>0.16400000000000001</v>
          </cell>
          <cell r="X252">
            <v>0.06</v>
          </cell>
          <cell r="Y252">
            <v>0.06</v>
          </cell>
          <cell r="Z252">
            <v>6.2E-2</v>
          </cell>
          <cell r="AA252">
            <v>6.7000000000000004E-2</v>
          </cell>
          <cell r="AB252">
            <v>7.2000000000000008E-2</v>
          </cell>
          <cell r="AC252">
            <v>608793.68658399093</v>
          </cell>
          <cell r="AD252">
            <v>0</v>
          </cell>
          <cell r="AE252">
            <v>139515.21984216457</v>
          </cell>
          <cell r="AF252">
            <v>152198.42164599773</v>
          </cell>
          <cell r="AG252">
            <v>152198.42164599773</v>
          </cell>
          <cell r="AH252">
            <v>152198.42164599773</v>
          </cell>
          <cell r="AI252">
            <v>0</v>
          </cell>
          <cell r="AJ252">
            <v>21206.313416009016</v>
          </cell>
          <cell r="AK252">
            <v>23438.556933483651</v>
          </cell>
          <cell r="AL252">
            <v>24199.549041713639</v>
          </cell>
          <cell r="AM252">
            <v>24960.54114994363</v>
          </cell>
          <cell r="AN252">
            <v>0</v>
          </cell>
          <cell r="AO252">
            <v>8370.9131905298746</v>
          </cell>
          <cell r="AP252">
            <v>9436.3021420518598</v>
          </cell>
          <cell r="AQ252">
            <v>10197.294250281848</v>
          </cell>
          <cell r="AR252">
            <v>10958.286358511838</v>
          </cell>
          <cell r="AT252" t="str">
            <v>OPP-531013 - Identified - New - IS4</v>
          </cell>
          <cell r="AU252">
            <v>38962.795941375422</v>
          </cell>
          <cell r="AV252">
            <v>0</v>
          </cell>
          <cell r="AW252">
            <v>38962.795941375422</v>
          </cell>
          <cell r="AX252">
            <v>0</v>
          </cell>
          <cell r="AZ252">
            <v>241</v>
          </cell>
          <cell r="BA252">
            <v>219</v>
          </cell>
          <cell r="BB252">
            <v>303</v>
          </cell>
        </row>
        <row r="253">
          <cell r="B253" t="str">
            <v>OPP-828164</v>
          </cell>
          <cell r="C253" t="str">
            <v>DLITE CONUS IC</v>
          </cell>
          <cell r="D253" t="str">
            <v>IS4</v>
          </cell>
          <cell r="E253" t="str">
            <v>IS4 Global Mission Solutions</v>
          </cell>
          <cell r="F253" t="str">
            <v>Classified Agency</v>
          </cell>
          <cell r="G253" t="str">
            <v>Classified</v>
          </cell>
          <cell r="H253">
            <v>43710</v>
          </cell>
          <cell r="I253">
            <v>43739</v>
          </cell>
          <cell r="J253">
            <v>45566</v>
          </cell>
          <cell r="K253" t="str">
            <v>Sub</v>
          </cell>
          <cell r="L253" t="str">
            <v>Labor Hour - Fixed Rate</v>
          </cell>
          <cell r="M253" t="str">
            <v>Other</v>
          </cell>
          <cell r="N253" t="str">
            <v>Identified - New</v>
          </cell>
          <cell r="O253" t="str">
            <v>04 Submitted</v>
          </cell>
          <cell r="P253" t="str">
            <v>Priority 3</v>
          </cell>
          <cell r="Q253">
            <v>0.25</v>
          </cell>
          <cell r="R253">
            <v>2000000</v>
          </cell>
          <cell r="S253">
            <v>0.152</v>
          </cell>
          <cell r="T253">
            <v>0.152</v>
          </cell>
          <cell r="U253">
            <v>0.154</v>
          </cell>
          <cell r="V253">
            <v>0.159</v>
          </cell>
          <cell r="W253">
            <v>0.16400000000000001</v>
          </cell>
          <cell r="X253">
            <v>0.06</v>
          </cell>
          <cell r="Y253">
            <v>0.06</v>
          </cell>
          <cell r="Z253">
            <v>6.2E-2</v>
          </cell>
          <cell r="AA253">
            <v>6.7000000000000004E-2</v>
          </cell>
          <cell r="AB253">
            <v>7.2000000000000008E-2</v>
          </cell>
          <cell r="AC253">
            <v>400000</v>
          </cell>
          <cell r="AD253">
            <v>0</v>
          </cell>
          <cell r="AE253">
            <v>99722.222222222219</v>
          </cell>
          <cell r="AF253">
            <v>100000</v>
          </cell>
          <cell r="AG253">
            <v>100000</v>
          </cell>
          <cell r="AH253">
            <v>100000</v>
          </cell>
          <cell r="AI253">
            <v>0</v>
          </cell>
          <cell r="AJ253">
            <v>15157.777777777777</v>
          </cell>
          <cell r="AK253">
            <v>15400</v>
          </cell>
          <cell r="AL253">
            <v>15900</v>
          </cell>
          <cell r="AM253">
            <v>16400</v>
          </cell>
          <cell r="AN253">
            <v>0</v>
          </cell>
          <cell r="AO253">
            <v>5983.333333333333</v>
          </cell>
          <cell r="AP253">
            <v>6200</v>
          </cell>
          <cell r="AQ253">
            <v>6700</v>
          </cell>
          <cell r="AR253">
            <v>7200.0000000000009</v>
          </cell>
          <cell r="AT253" t="str">
            <v>OPP-828164 - Identified - New - IS4</v>
          </cell>
          <cell r="AU253">
            <v>26083.333333333332</v>
          </cell>
          <cell r="AV253">
            <v>0</v>
          </cell>
          <cell r="AW253">
            <v>26083.333333333332</v>
          </cell>
          <cell r="AX253">
            <v>0</v>
          </cell>
          <cell r="AZ253">
            <v>242</v>
          </cell>
          <cell r="BA253">
            <v>226</v>
          </cell>
          <cell r="BB253">
            <v>304</v>
          </cell>
        </row>
        <row r="254">
          <cell r="B254" t="str">
            <v>OPP-872383</v>
          </cell>
          <cell r="C254" t="str">
            <v>Gateway A&amp;E Services FY19</v>
          </cell>
          <cell r="D254" t="str">
            <v>IS4</v>
          </cell>
          <cell r="E254" t="str">
            <v>IS4 Global Mission Solutions</v>
          </cell>
          <cell r="F254" t="str">
            <v>Other Civilian</v>
          </cell>
          <cell r="G254" t="str">
            <v>Other</v>
          </cell>
          <cell r="H254">
            <v>43769</v>
          </cell>
          <cell r="I254">
            <v>43770</v>
          </cell>
          <cell r="J254">
            <v>44136</v>
          </cell>
          <cell r="K254" t="str">
            <v>Prime</v>
          </cell>
          <cell r="L254" t="str">
            <v>Fixed Price</v>
          </cell>
          <cell r="M254" t="str">
            <v>Fixed Price</v>
          </cell>
          <cell r="N254" t="str">
            <v>Identified - New</v>
          </cell>
          <cell r="O254" t="str">
            <v>03 Proposal</v>
          </cell>
          <cell r="P254" t="str">
            <v>Priority 3</v>
          </cell>
          <cell r="Q254">
            <v>0.9</v>
          </cell>
          <cell r="R254">
            <v>2000000</v>
          </cell>
          <cell r="S254">
            <v>0.17199999999999999</v>
          </cell>
          <cell r="T254">
            <v>0.17199999999999999</v>
          </cell>
          <cell r="U254">
            <v>0.17299999999999999</v>
          </cell>
          <cell r="V254">
            <v>0.17499999999999999</v>
          </cell>
          <cell r="W254">
            <v>0.18</v>
          </cell>
          <cell r="X254">
            <v>0.08</v>
          </cell>
          <cell r="Y254">
            <v>0.08</v>
          </cell>
          <cell r="Z254">
            <v>8.1000000000000003E-2</v>
          </cell>
          <cell r="AA254">
            <v>8.3000000000000004E-2</v>
          </cell>
          <cell r="AB254">
            <v>8.8000000000000009E-2</v>
          </cell>
          <cell r="AC254">
            <v>2000000</v>
          </cell>
          <cell r="AD254">
            <v>0</v>
          </cell>
          <cell r="AE254">
            <v>1645000</v>
          </cell>
          <cell r="AF254">
            <v>155000</v>
          </cell>
          <cell r="AG254">
            <v>0</v>
          </cell>
          <cell r="AH254">
            <v>0</v>
          </cell>
          <cell r="AI254">
            <v>0</v>
          </cell>
          <cell r="AJ254">
            <v>282940</v>
          </cell>
          <cell r="AK254">
            <v>26814.999999999996</v>
          </cell>
          <cell r="AL254">
            <v>0</v>
          </cell>
          <cell r="AM254">
            <v>0</v>
          </cell>
          <cell r="AN254">
            <v>0</v>
          </cell>
          <cell r="AO254">
            <v>131600</v>
          </cell>
          <cell r="AP254">
            <v>12555</v>
          </cell>
          <cell r="AQ254">
            <v>0</v>
          </cell>
          <cell r="AR254">
            <v>0</v>
          </cell>
          <cell r="AT254" t="str">
            <v>OPP-872383 - Identified - New - IS4</v>
          </cell>
          <cell r="AU254">
            <v>144155</v>
          </cell>
          <cell r="AV254">
            <v>0</v>
          </cell>
          <cell r="AW254">
            <v>144155</v>
          </cell>
          <cell r="AX254">
            <v>0</v>
          </cell>
          <cell r="AZ254">
            <v>243</v>
          </cell>
          <cell r="BA254">
            <v>149</v>
          </cell>
          <cell r="BB254">
            <v>305</v>
          </cell>
        </row>
        <row r="255">
          <cell r="B255" t="str">
            <v>OPP-872660</v>
          </cell>
          <cell r="C255" t="str">
            <v>MS&amp;O BOA FY19</v>
          </cell>
          <cell r="D255" t="str">
            <v>IS4</v>
          </cell>
          <cell r="E255" t="str">
            <v>IS4 Global Mission Solutions</v>
          </cell>
          <cell r="F255" t="str">
            <v>Classified Agency</v>
          </cell>
          <cell r="G255" t="str">
            <v>Classified</v>
          </cell>
          <cell r="H255">
            <v>43769</v>
          </cell>
          <cell r="I255">
            <v>43770</v>
          </cell>
          <cell r="J255">
            <v>44136</v>
          </cell>
          <cell r="K255" t="str">
            <v>Prime</v>
          </cell>
          <cell r="L255" t="str">
            <v>Fixed Price</v>
          </cell>
          <cell r="M255" t="str">
            <v>Fixed Price</v>
          </cell>
          <cell r="N255" t="str">
            <v>Identified - New</v>
          </cell>
          <cell r="O255" t="str">
            <v>03 Proposal</v>
          </cell>
          <cell r="P255" t="str">
            <v>Priority 3</v>
          </cell>
          <cell r="Q255">
            <v>0.5</v>
          </cell>
          <cell r="R255">
            <v>500000</v>
          </cell>
          <cell r="S255">
            <v>0.17199999999999999</v>
          </cell>
          <cell r="T255">
            <v>0.17199999999999999</v>
          </cell>
          <cell r="U255">
            <v>0.17299999999999999</v>
          </cell>
          <cell r="V255">
            <v>0.17499999999999999</v>
          </cell>
          <cell r="W255">
            <v>0.18</v>
          </cell>
          <cell r="X255">
            <v>0.08</v>
          </cell>
          <cell r="Y255">
            <v>0.08</v>
          </cell>
          <cell r="Z255">
            <v>8.1000000000000003E-2</v>
          </cell>
          <cell r="AA255">
            <v>8.3000000000000004E-2</v>
          </cell>
          <cell r="AB255">
            <v>8.8000000000000009E-2</v>
          </cell>
          <cell r="AC255">
            <v>500000</v>
          </cell>
          <cell r="AD255">
            <v>0</v>
          </cell>
          <cell r="AE255">
            <v>228472.22222222222</v>
          </cell>
          <cell r="AF255">
            <v>21527.777777777781</v>
          </cell>
          <cell r="AG255">
            <v>0</v>
          </cell>
          <cell r="AH255">
            <v>0</v>
          </cell>
          <cell r="AI255">
            <v>0</v>
          </cell>
          <cell r="AJ255">
            <v>39297.222222222219</v>
          </cell>
          <cell r="AK255">
            <v>3724.3055555555557</v>
          </cell>
          <cell r="AL255">
            <v>0</v>
          </cell>
          <cell r="AM255">
            <v>0</v>
          </cell>
          <cell r="AN255">
            <v>0</v>
          </cell>
          <cell r="AO255">
            <v>18277.777777777777</v>
          </cell>
          <cell r="AP255">
            <v>1743.7500000000002</v>
          </cell>
          <cell r="AQ255">
            <v>0</v>
          </cell>
          <cell r="AR255">
            <v>0</v>
          </cell>
          <cell r="AT255" t="str">
            <v>OPP-872660 - Identified - New - IS4</v>
          </cell>
          <cell r="AU255">
            <v>20021.527777777777</v>
          </cell>
          <cell r="AV255">
            <v>0</v>
          </cell>
          <cell r="AW255">
            <v>20021.527777777777</v>
          </cell>
          <cell r="AX255">
            <v>0</v>
          </cell>
          <cell r="AZ255">
            <v>244</v>
          </cell>
          <cell r="BA255">
            <v>231</v>
          </cell>
          <cell r="BB255">
            <v>306</v>
          </cell>
        </row>
        <row r="256">
          <cell r="B256" t="str">
            <v>OPP-761238</v>
          </cell>
          <cell r="C256" t="str">
            <v>GSA Project NE-02-53</v>
          </cell>
          <cell r="D256" t="str">
            <v>IS4</v>
          </cell>
          <cell r="E256" t="str">
            <v>IS4 Global Mission Solutions</v>
          </cell>
          <cell r="F256" t="str">
            <v>Other Civilian</v>
          </cell>
          <cell r="G256" t="str">
            <v>Other</v>
          </cell>
          <cell r="H256">
            <v>43769</v>
          </cell>
          <cell r="I256">
            <v>43770</v>
          </cell>
          <cell r="J256">
            <v>44105</v>
          </cell>
          <cell r="K256" t="str">
            <v>Prime</v>
          </cell>
          <cell r="L256" t="str">
            <v>Fixed Price</v>
          </cell>
          <cell r="M256" t="str">
            <v>Fixed Price</v>
          </cell>
          <cell r="N256" t="str">
            <v>Identified - New</v>
          </cell>
          <cell r="O256" t="str">
            <v>03 Proposal</v>
          </cell>
          <cell r="P256" t="str">
            <v>Priority 3</v>
          </cell>
          <cell r="Q256">
            <v>0.5</v>
          </cell>
          <cell r="R256">
            <v>10000</v>
          </cell>
          <cell r="S256">
            <v>0.17199999999999999</v>
          </cell>
          <cell r="T256">
            <v>0.17199999999999999</v>
          </cell>
          <cell r="U256">
            <v>0.17299999999999999</v>
          </cell>
          <cell r="V256">
            <v>0.17499999999999999</v>
          </cell>
          <cell r="W256">
            <v>0.18</v>
          </cell>
          <cell r="X256">
            <v>0.08</v>
          </cell>
          <cell r="Y256">
            <v>0.08</v>
          </cell>
          <cell r="Z256">
            <v>8.1000000000000003E-2</v>
          </cell>
          <cell r="AA256">
            <v>8.3000000000000004E-2</v>
          </cell>
          <cell r="AB256">
            <v>8.8000000000000009E-2</v>
          </cell>
          <cell r="AC256">
            <v>10000</v>
          </cell>
          <cell r="AD256">
            <v>0</v>
          </cell>
          <cell r="AE256">
            <v>4569.4444444444443</v>
          </cell>
          <cell r="AF256">
            <v>430.55555555555566</v>
          </cell>
          <cell r="AG256">
            <v>0</v>
          </cell>
          <cell r="AH256">
            <v>0</v>
          </cell>
          <cell r="AI256">
            <v>0</v>
          </cell>
          <cell r="AJ256">
            <v>785.94444444444434</v>
          </cell>
          <cell r="AK256">
            <v>74.486111111111128</v>
          </cell>
          <cell r="AL256">
            <v>0</v>
          </cell>
          <cell r="AM256">
            <v>0</v>
          </cell>
          <cell r="AN256">
            <v>0</v>
          </cell>
          <cell r="AO256">
            <v>365.55555555555554</v>
          </cell>
          <cell r="AP256">
            <v>34.875000000000007</v>
          </cell>
          <cell r="AQ256">
            <v>0</v>
          </cell>
          <cell r="AR256">
            <v>0</v>
          </cell>
          <cell r="AT256" t="str">
            <v>OPP-761238 - Identified - New - IS4</v>
          </cell>
          <cell r="AU256">
            <v>400.43055555555554</v>
          </cell>
          <cell r="AV256">
            <v>0</v>
          </cell>
          <cell r="AW256">
            <v>400.43055555555554</v>
          </cell>
          <cell r="AX256">
            <v>0</v>
          </cell>
          <cell r="AZ256">
            <v>245</v>
          </cell>
          <cell r="BA256">
            <v>251</v>
          </cell>
          <cell r="BB256">
            <v>307</v>
          </cell>
        </row>
        <row r="257">
          <cell r="B257" t="str">
            <v>OPP-852778</v>
          </cell>
          <cell r="C257" t="str">
            <v>IMAP III</v>
          </cell>
          <cell r="D257" t="str">
            <v>IS4</v>
          </cell>
          <cell r="E257" t="str">
            <v>IS4 Global Mission Solutions</v>
          </cell>
          <cell r="F257" t="str">
            <v>Classified Agency</v>
          </cell>
          <cell r="G257" t="str">
            <v>Classified</v>
          </cell>
          <cell r="H257">
            <v>43798</v>
          </cell>
          <cell r="I257">
            <v>43831</v>
          </cell>
          <cell r="J257">
            <v>45658</v>
          </cell>
          <cell r="K257" t="str">
            <v>Sub</v>
          </cell>
          <cell r="L257" t="str">
            <v>Cost Plus Fixed Fee</v>
          </cell>
          <cell r="M257" t="str">
            <v>Cost Reimbursable</v>
          </cell>
          <cell r="N257" t="str">
            <v>Identified - New</v>
          </cell>
          <cell r="O257" t="str">
            <v>01 Prospect</v>
          </cell>
          <cell r="P257" t="str">
            <v>Priority 3</v>
          </cell>
          <cell r="Q257">
            <v>0.25</v>
          </cell>
          <cell r="R257">
            <v>10000</v>
          </cell>
          <cell r="S257">
            <v>0.13700000000000001</v>
          </cell>
          <cell r="T257">
            <v>0.13700000000000001</v>
          </cell>
          <cell r="U257">
            <v>0.13700000000000001</v>
          </cell>
          <cell r="V257">
            <v>0.13700000000000001</v>
          </cell>
          <cell r="W257">
            <v>0.13700000000000001</v>
          </cell>
          <cell r="X257">
            <v>4.4999999999999998E-2</v>
          </cell>
          <cell r="Y257">
            <v>4.4999999999999998E-2</v>
          </cell>
          <cell r="Z257">
            <v>4.4999999999999998E-2</v>
          </cell>
          <cell r="AA257">
            <v>4.4999999999999998E-2</v>
          </cell>
          <cell r="AB257">
            <v>4.4999999999999998E-2</v>
          </cell>
          <cell r="AC257">
            <v>2000</v>
          </cell>
          <cell r="AD257">
            <v>0</v>
          </cell>
          <cell r="AE257">
            <v>373.61111111111114</v>
          </cell>
          <cell r="AF257">
            <v>500</v>
          </cell>
          <cell r="AG257">
            <v>500</v>
          </cell>
          <cell r="AH257">
            <v>500</v>
          </cell>
          <cell r="AI257">
            <v>0</v>
          </cell>
          <cell r="AJ257">
            <v>51.184722222222227</v>
          </cell>
          <cell r="AK257">
            <v>68.5</v>
          </cell>
          <cell r="AL257">
            <v>68.5</v>
          </cell>
          <cell r="AM257">
            <v>68.5</v>
          </cell>
          <cell r="AN257">
            <v>0</v>
          </cell>
          <cell r="AO257">
            <v>16.8125</v>
          </cell>
          <cell r="AP257">
            <v>22.5</v>
          </cell>
          <cell r="AQ257">
            <v>22.5</v>
          </cell>
          <cell r="AR257">
            <v>22.5</v>
          </cell>
          <cell r="AT257" t="str">
            <v>OPP-852778 - Identified - New - IS4</v>
          </cell>
          <cell r="AU257">
            <v>84.3125</v>
          </cell>
          <cell r="AV257">
            <v>0</v>
          </cell>
          <cell r="AW257">
            <v>84.3125</v>
          </cell>
          <cell r="AX257">
            <v>0</v>
          </cell>
          <cell r="AZ257">
            <v>246</v>
          </cell>
          <cell r="BA257">
            <v>268</v>
          </cell>
          <cell r="BB257">
            <v>308</v>
          </cell>
        </row>
        <row r="258">
          <cell r="B258" t="str">
            <v>OPP-581256</v>
          </cell>
          <cell r="C258" t="str">
            <v>CORAL REEF</v>
          </cell>
          <cell r="D258" t="str">
            <v>IS4</v>
          </cell>
          <cell r="E258" t="str">
            <v>IS4 Global Mission Solutions</v>
          </cell>
          <cell r="F258" t="str">
            <v>Classified Agency</v>
          </cell>
          <cell r="G258" t="str">
            <v>Classified</v>
          </cell>
          <cell r="H258">
            <v>43819</v>
          </cell>
          <cell r="I258">
            <v>43864</v>
          </cell>
          <cell r="J258">
            <v>45691</v>
          </cell>
          <cell r="K258" t="str">
            <v>Sub</v>
          </cell>
          <cell r="L258" t="str">
            <v>Hybrid/Mixed Cost-Plus/Fixed</v>
          </cell>
          <cell r="M258" t="str">
            <v>Other</v>
          </cell>
          <cell r="N258" t="str">
            <v>Identified - New</v>
          </cell>
          <cell r="O258" t="str">
            <v>02 Capture</v>
          </cell>
          <cell r="P258" t="str">
            <v>Priority 3</v>
          </cell>
          <cell r="Q258">
            <v>0.3</v>
          </cell>
          <cell r="R258">
            <v>10000</v>
          </cell>
          <cell r="S258">
            <v>0.152</v>
          </cell>
          <cell r="T258">
            <v>0.152</v>
          </cell>
          <cell r="U258">
            <v>0.154</v>
          </cell>
          <cell r="V258">
            <v>0.159</v>
          </cell>
          <cell r="W258">
            <v>0.16400000000000001</v>
          </cell>
          <cell r="X258">
            <v>0.06</v>
          </cell>
          <cell r="Y258">
            <v>0.06</v>
          </cell>
          <cell r="Z258">
            <v>6.2E-2</v>
          </cell>
          <cell r="AA258">
            <v>6.7000000000000004E-2</v>
          </cell>
          <cell r="AB258">
            <v>7.2000000000000008E-2</v>
          </cell>
          <cell r="AC258">
            <v>2000</v>
          </cell>
          <cell r="AD258">
            <v>0</v>
          </cell>
          <cell r="AE258">
            <v>395</v>
          </cell>
          <cell r="AF258">
            <v>600</v>
          </cell>
          <cell r="AG258">
            <v>600</v>
          </cell>
          <cell r="AH258">
            <v>600</v>
          </cell>
          <cell r="AI258">
            <v>0</v>
          </cell>
          <cell r="AJ258">
            <v>60.04</v>
          </cell>
          <cell r="AK258">
            <v>92.4</v>
          </cell>
          <cell r="AL258">
            <v>95.4</v>
          </cell>
          <cell r="AM258">
            <v>98.4</v>
          </cell>
          <cell r="AN258">
            <v>0</v>
          </cell>
          <cell r="AO258">
            <v>23.7</v>
          </cell>
          <cell r="AP258">
            <v>37.200000000000003</v>
          </cell>
          <cell r="AQ258">
            <v>40.200000000000003</v>
          </cell>
          <cell r="AR258">
            <v>43.2</v>
          </cell>
          <cell r="AT258" t="str">
            <v>OPP-581256 - Identified - New - IS4</v>
          </cell>
          <cell r="AU258">
            <v>144.30000000000001</v>
          </cell>
          <cell r="AV258">
            <v>0</v>
          </cell>
          <cell r="AW258">
            <v>144.30000000000001</v>
          </cell>
          <cell r="AX258">
            <v>0</v>
          </cell>
          <cell r="AZ258">
            <v>247</v>
          </cell>
          <cell r="BA258">
            <v>260</v>
          </cell>
          <cell r="BB258">
            <v>309</v>
          </cell>
        </row>
        <row r="259">
          <cell r="B259" t="str">
            <v>OPP-911019</v>
          </cell>
          <cell r="C259" t="str">
            <v>Force Protection Security Systems (FPS4)</v>
          </cell>
          <cell r="D259" t="str">
            <v>IS4</v>
          </cell>
          <cell r="E259" t="str">
            <v>IS4 Global Mission Solutions</v>
          </cell>
          <cell r="F259" t="str">
            <v>Air Force</v>
          </cell>
          <cell r="G259" t="str">
            <v>DOD</v>
          </cell>
          <cell r="H259">
            <v>43840</v>
          </cell>
          <cell r="I259">
            <v>43864</v>
          </cell>
          <cell r="J259">
            <v>45691</v>
          </cell>
          <cell r="K259" t="str">
            <v>Sub</v>
          </cell>
          <cell r="L259" t="str">
            <v>Hybrid/Mixed Cost-Plus/Fixed</v>
          </cell>
          <cell r="M259" t="str">
            <v>Other</v>
          </cell>
          <cell r="N259" t="str">
            <v>Identified - New</v>
          </cell>
          <cell r="O259" t="str">
            <v>03 Proposal</v>
          </cell>
          <cell r="P259" t="str">
            <v>Priority 3</v>
          </cell>
          <cell r="Q259">
            <v>0.25</v>
          </cell>
          <cell r="R259">
            <v>10000</v>
          </cell>
          <cell r="S259">
            <v>0.152</v>
          </cell>
          <cell r="T259">
            <v>0.152</v>
          </cell>
          <cell r="U259">
            <v>0.154</v>
          </cell>
          <cell r="V259">
            <v>0.159</v>
          </cell>
          <cell r="W259">
            <v>0.16400000000000001</v>
          </cell>
          <cell r="X259">
            <v>0.06</v>
          </cell>
          <cell r="Y259">
            <v>0.06</v>
          </cell>
          <cell r="Z259">
            <v>6.2E-2</v>
          </cell>
          <cell r="AA259">
            <v>6.7000000000000004E-2</v>
          </cell>
          <cell r="AB259">
            <v>7.2000000000000008E-2</v>
          </cell>
          <cell r="AC259">
            <v>2000</v>
          </cell>
          <cell r="AD259">
            <v>0</v>
          </cell>
          <cell r="AE259">
            <v>329.16666666666669</v>
          </cell>
          <cell r="AF259">
            <v>500</v>
          </cell>
          <cell r="AG259">
            <v>500</v>
          </cell>
          <cell r="AH259">
            <v>500</v>
          </cell>
          <cell r="AI259">
            <v>0</v>
          </cell>
          <cell r="AJ259">
            <v>50.033333333333331</v>
          </cell>
          <cell r="AK259">
            <v>77</v>
          </cell>
          <cell r="AL259">
            <v>79.5</v>
          </cell>
          <cell r="AM259">
            <v>82</v>
          </cell>
          <cell r="AN259">
            <v>0</v>
          </cell>
          <cell r="AO259">
            <v>19.75</v>
          </cell>
          <cell r="AP259">
            <v>31</v>
          </cell>
          <cell r="AQ259">
            <v>33.5</v>
          </cell>
          <cell r="AR259">
            <v>36.000000000000007</v>
          </cell>
          <cell r="AT259" t="str">
            <v>OPP-911019 - Identified - New - IS4</v>
          </cell>
          <cell r="AU259">
            <v>120.25</v>
          </cell>
          <cell r="AV259">
            <v>0</v>
          </cell>
          <cell r="AW259">
            <v>120.25</v>
          </cell>
          <cell r="AX259">
            <v>0</v>
          </cell>
          <cell r="AZ259">
            <v>248</v>
          </cell>
          <cell r="BA259">
            <v>261</v>
          </cell>
          <cell r="BB259">
            <v>310</v>
          </cell>
        </row>
        <row r="260">
          <cell r="B260" t="str">
            <v>OPP-791083</v>
          </cell>
          <cell r="C260" t="str">
            <v>DOS OBO Worldwide O&amp;M</v>
          </cell>
          <cell r="D260" t="str">
            <v>IS4</v>
          </cell>
          <cell r="E260" t="str">
            <v>IS4 Global Mission Solutions</v>
          </cell>
          <cell r="F260" t="str">
            <v>Dept. of State</v>
          </cell>
          <cell r="G260" t="str">
            <v>DOS</v>
          </cell>
          <cell r="H260">
            <v>43931</v>
          </cell>
          <cell r="I260">
            <v>43955</v>
          </cell>
          <cell r="J260">
            <v>45781</v>
          </cell>
          <cell r="K260" t="str">
            <v>Prime</v>
          </cell>
          <cell r="L260" t="str">
            <v>Hybrid/Mixed Cost-Plus/Fixed</v>
          </cell>
          <cell r="M260" t="str">
            <v>Other</v>
          </cell>
          <cell r="N260" t="str">
            <v>Identified - New</v>
          </cell>
          <cell r="O260" t="str">
            <v>01 Prospect</v>
          </cell>
          <cell r="P260" t="str">
            <v>Priority 3</v>
          </cell>
          <cell r="Q260">
            <v>0.25</v>
          </cell>
          <cell r="R260">
            <v>10000</v>
          </cell>
          <cell r="S260">
            <v>0.152</v>
          </cell>
          <cell r="T260">
            <v>0.152</v>
          </cell>
          <cell r="U260">
            <v>0.154</v>
          </cell>
          <cell r="V260">
            <v>0.159</v>
          </cell>
          <cell r="W260">
            <v>0.16400000000000001</v>
          </cell>
          <cell r="X260">
            <v>0.06</v>
          </cell>
          <cell r="Y260">
            <v>0.06</v>
          </cell>
          <cell r="Z260">
            <v>6.2E-2</v>
          </cell>
          <cell r="AA260">
            <v>6.7000000000000004E-2</v>
          </cell>
          <cell r="AB260">
            <v>7.2000000000000008E-2</v>
          </cell>
          <cell r="AC260">
            <v>2000</v>
          </cell>
          <cell r="AD260">
            <v>0</v>
          </cell>
          <cell r="AE260">
            <v>202.77777777777777</v>
          </cell>
          <cell r="AF260">
            <v>500</v>
          </cell>
          <cell r="AG260">
            <v>500</v>
          </cell>
          <cell r="AH260">
            <v>500</v>
          </cell>
          <cell r="AI260">
            <v>0</v>
          </cell>
          <cell r="AJ260">
            <v>30.822222222222219</v>
          </cell>
          <cell r="AK260">
            <v>77</v>
          </cell>
          <cell r="AL260">
            <v>79.5</v>
          </cell>
          <cell r="AM260">
            <v>82</v>
          </cell>
          <cell r="AN260">
            <v>0</v>
          </cell>
          <cell r="AO260">
            <v>12.166666666666666</v>
          </cell>
          <cell r="AP260">
            <v>31</v>
          </cell>
          <cell r="AQ260">
            <v>33.5</v>
          </cell>
          <cell r="AR260">
            <v>36.000000000000007</v>
          </cell>
          <cell r="AT260" t="str">
            <v>OPP-791083 - Identified - New - IS4</v>
          </cell>
          <cell r="AU260">
            <v>112.66666666666666</v>
          </cell>
          <cell r="AV260">
            <v>0</v>
          </cell>
          <cell r="AW260">
            <v>112.66666666666666</v>
          </cell>
          <cell r="AX260">
            <v>0</v>
          </cell>
          <cell r="AZ260">
            <v>249</v>
          </cell>
          <cell r="BA260">
            <v>262</v>
          </cell>
          <cell r="BB260">
            <v>311</v>
          </cell>
        </row>
        <row r="261">
          <cell r="B261" t="str">
            <v>OPP-855028</v>
          </cell>
          <cell r="C261" t="str">
            <v>Land Vehicle Crew Training System (LVCTS)</v>
          </cell>
          <cell r="D261" t="str">
            <v>IS4</v>
          </cell>
          <cell r="E261" t="str">
            <v>IS4 Infrastructure and Engineering</v>
          </cell>
          <cell r="F261" t="str">
            <v>Foreign Government</v>
          </cell>
          <cell r="G261" t="str">
            <v>Non-US Gov't</v>
          </cell>
          <cell r="H261">
            <v>44270</v>
          </cell>
          <cell r="I261">
            <v>44333</v>
          </cell>
          <cell r="J261">
            <v>47985</v>
          </cell>
          <cell r="K261" t="str">
            <v>Prime</v>
          </cell>
          <cell r="L261" t="str">
            <v>Cost Plus Fixed Fee</v>
          </cell>
          <cell r="M261" t="str">
            <v>Cost Reimbursable</v>
          </cell>
          <cell r="N261" t="str">
            <v>Identified - New</v>
          </cell>
          <cell r="O261" t="str">
            <v>01 Prospect</v>
          </cell>
          <cell r="P261" t="str">
            <v>Priority 3</v>
          </cell>
          <cell r="Q261">
            <v>0.2</v>
          </cell>
          <cell r="R261">
            <v>38000013.68</v>
          </cell>
          <cell r="S261">
            <v>0.14200000000000002</v>
          </cell>
          <cell r="T261">
            <v>0.14200000000000002</v>
          </cell>
          <cell r="U261">
            <v>0.14200000000000002</v>
          </cell>
          <cell r="V261">
            <v>0.14200000000000002</v>
          </cell>
          <cell r="W261">
            <v>0.14200000000000002</v>
          </cell>
          <cell r="X261">
            <v>0.05</v>
          </cell>
          <cell r="Y261">
            <v>0.05</v>
          </cell>
          <cell r="Z261">
            <v>0.05</v>
          </cell>
          <cell r="AA261">
            <v>0.05</v>
          </cell>
          <cell r="AB261">
            <v>0.05</v>
          </cell>
          <cell r="AC261">
            <v>3800001.3679999998</v>
          </cell>
          <cell r="AD261">
            <v>0</v>
          </cell>
          <cell r="AE261">
            <v>0</v>
          </cell>
          <cell r="AF261">
            <v>280777.8788577778</v>
          </cell>
          <cell r="AG261">
            <v>760000.27359999996</v>
          </cell>
          <cell r="AH261">
            <v>760000.27359999996</v>
          </cell>
          <cell r="AI261">
            <v>0</v>
          </cell>
          <cell r="AJ261">
            <v>0</v>
          </cell>
          <cell r="AK261">
            <v>39870.458797804451</v>
          </cell>
          <cell r="AL261">
            <v>107920.03885120001</v>
          </cell>
          <cell r="AM261">
            <v>107920.03885120001</v>
          </cell>
          <cell r="AN261">
            <v>0</v>
          </cell>
          <cell r="AO261">
            <v>0</v>
          </cell>
          <cell r="AP261">
            <v>14038.893942888892</v>
          </cell>
          <cell r="AQ261">
            <v>38000.013679999996</v>
          </cell>
          <cell r="AR261">
            <v>38000.013679999996</v>
          </cell>
          <cell r="AT261" t="str">
            <v>OPP-855028 - Identified - New - IS4</v>
          </cell>
          <cell r="AU261">
            <v>90038.921302888892</v>
          </cell>
          <cell r="AV261">
            <v>0</v>
          </cell>
          <cell r="AW261">
            <v>90038.921302888892</v>
          </cell>
          <cell r="AX261">
            <v>0</v>
          </cell>
          <cell r="AZ261">
            <v>250</v>
          </cell>
          <cell r="BA261">
            <v>183</v>
          </cell>
          <cell r="BB261">
            <v>312</v>
          </cell>
        </row>
        <row r="262">
          <cell r="B262" t="str">
            <v>OPP-955223</v>
          </cell>
          <cell r="C262" t="str">
            <v>Land Vehicle Crew Training System (LVCTS) (MS Portion)</v>
          </cell>
          <cell r="D262" t="str">
            <v>IS4</v>
          </cell>
          <cell r="E262" t="str">
            <v>IS4 Infrastructure and Engineering</v>
          </cell>
          <cell r="F262" t="str">
            <v>Foreign Government</v>
          </cell>
          <cell r="G262" t="str">
            <v>Non-US Gov't</v>
          </cell>
          <cell r="H262">
            <v>44270</v>
          </cell>
          <cell r="I262">
            <v>44333</v>
          </cell>
          <cell r="J262">
            <v>47985</v>
          </cell>
          <cell r="K262" t="str">
            <v>Sub</v>
          </cell>
          <cell r="L262" t="str">
            <v>Cost Plus Fixed Fee</v>
          </cell>
          <cell r="M262" t="str">
            <v>Cost Reimbursable</v>
          </cell>
          <cell r="N262" t="str">
            <v>Identified - New</v>
          </cell>
          <cell r="O262" t="str">
            <v>01 Prospect</v>
          </cell>
          <cell r="P262" t="str">
            <v>Priority 3</v>
          </cell>
          <cell r="Q262">
            <v>0.2</v>
          </cell>
          <cell r="R262">
            <v>34200012.310000002</v>
          </cell>
          <cell r="S262">
            <v>0.14200000000000002</v>
          </cell>
          <cell r="T262">
            <v>0.14200000000000002</v>
          </cell>
          <cell r="U262">
            <v>0.14200000000000002</v>
          </cell>
          <cell r="V262">
            <v>0.14200000000000002</v>
          </cell>
          <cell r="W262">
            <v>0.14200000000000002</v>
          </cell>
          <cell r="X262">
            <v>0.05</v>
          </cell>
          <cell r="Y262">
            <v>0.05</v>
          </cell>
          <cell r="Z262">
            <v>0.05</v>
          </cell>
          <cell r="AA262">
            <v>0.05</v>
          </cell>
          <cell r="AB262">
            <v>0.05</v>
          </cell>
          <cell r="AC262">
            <v>3420001.2310000001</v>
          </cell>
          <cell r="AD262">
            <v>0</v>
          </cell>
          <cell r="AE262">
            <v>0</v>
          </cell>
          <cell r="AF262">
            <v>252700.09095722224</v>
          </cell>
          <cell r="AG262">
            <v>684000.24620000005</v>
          </cell>
          <cell r="AH262">
            <v>684000.24620000005</v>
          </cell>
          <cell r="AI262">
            <v>0</v>
          </cell>
          <cell r="AJ262">
            <v>0</v>
          </cell>
          <cell r="AK262">
            <v>35883.412915925561</v>
          </cell>
          <cell r="AL262">
            <v>97128.034960400022</v>
          </cell>
          <cell r="AM262">
            <v>97128.034960400022</v>
          </cell>
          <cell r="AN262">
            <v>0</v>
          </cell>
          <cell r="AO262">
            <v>0</v>
          </cell>
          <cell r="AP262">
            <v>12635.004547861114</v>
          </cell>
          <cell r="AQ262">
            <v>34200.012310000006</v>
          </cell>
          <cell r="AR262">
            <v>34200.012310000006</v>
          </cell>
          <cell r="AT262" t="str">
            <v>OPP-955223 - Identified - New - IS4</v>
          </cell>
          <cell r="AU262">
            <v>81035.029167861125</v>
          </cell>
          <cell r="AV262">
            <v>0</v>
          </cell>
          <cell r="AW262">
            <v>81035.029167861125</v>
          </cell>
          <cell r="AX262">
            <v>0</v>
          </cell>
          <cell r="AZ262">
            <v>251</v>
          </cell>
          <cell r="BA262">
            <v>190</v>
          </cell>
          <cell r="BB262">
            <v>313</v>
          </cell>
        </row>
        <row r="263">
          <cell r="B263" t="str">
            <v>OPP-841776</v>
          </cell>
          <cell r="C263" t="str">
            <v>Halifax Heating and Municipal Services Upgrade</v>
          </cell>
          <cell r="D263" t="str">
            <v>IS4</v>
          </cell>
          <cell r="E263" t="str">
            <v>IS4 Infrastructure and Engineering</v>
          </cell>
          <cell r="F263" t="str">
            <v>Foreign Government</v>
          </cell>
          <cell r="G263" t="str">
            <v>Non-US Gov't</v>
          </cell>
          <cell r="H263">
            <v>43966</v>
          </cell>
          <cell r="I263">
            <v>44256</v>
          </cell>
          <cell r="J263">
            <v>46082</v>
          </cell>
          <cell r="K263" t="str">
            <v>Prime</v>
          </cell>
          <cell r="L263" t="str">
            <v>Cost Plus Fixed Fee</v>
          </cell>
          <cell r="M263" t="str">
            <v>Cost Reimbursable</v>
          </cell>
          <cell r="N263" t="str">
            <v>Identified - New</v>
          </cell>
          <cell r="O263" t="str">
            <v>01 Prospect</v>
          </cell>
          <cell r="P263" t="str">
            <v>Priority 3</v>
          </cell>
          <cell r="Q263">
            <v>0.2</v>
          </cell>
          <cell r="R263">
            <v>30000000</v>
          </cell>
          <cell r="S263">
            <v>0.14200000000000002</v>
          </cell>
          <cell r="T263">
            <v>0.14200000000000002</v>
          </cell>
          <cell r="U263">
            <v>0.14200000000000002</v>
          </cell>
          <cell r="V263">
            <v>0.14200000000000002</v>
          </cell>
          <cell r="W263">
            <v>0.14200000000000002</v>
          </cell>
          <cell r="X263">
            <v>0.05</v>
          </cell>
          <cell r="Y263">
            <v>0.05</v>
          </cell>
          <cell r="Z263">
            <v>0.05</v>
          </cell>
          <cell r="AA263">
            <v>0.05</v>
          </cell>
          <cell r="AB263">
            <v>0.05</v>
          </cell>
          <cell r="AC263">
            <v>6000000</v>
          </cell>
          <cell r="AD263">
            <v>0</v>
          </cell>
          <cell r="AE263">
            <v>0</v>
          </cell>
          <cell r="AF263">
            <v>696666.66666666674</v>
          </cell>
          <cell r="AG263">
            <v>1200000</v>
          </cell>
          <cell r="AH263">
            <v>1200000</v>
          </cell>
          <cell r="AI263">
            <v>0</v>
          </cell>
          <cell r="AJ263">
            <v>0</v>
          </cell>
          <cell r="AK263">
            <v>98926.666666666686</v>
          </cell>
          <cell r="AL263">
            <v>170400.00000000003</v>
          </cell>
          <cell r="AM263">
            <v>170400.00000000003</v>
          </cell>
          <cell r="AN263">
            <v>0</v>
          </cell>
          <cell r="AO263">
            <v>0</v>
          </cell>
          <cell r="AP263">
            <v>34833.333333333336</v>
          </cell>
          <cell r="AQ263">
            <v>60000</v>
          </cell>
          <cell r="AR263">
            <v>60000</v>
          </cell>
          <cell r="AT263" t="str">
            <v>OPP-841776 - Identified - New - IS4</v>
          </cell>
          <cell r="AU263">
            <v>154833.33333333334</v>
          </cell>
          <cell r="AV263">
            <v>0</v>
          </cell>
          <cell r="AW263">
            <v>154833.33333333334</v>
          </cell>
          <cell r="AX263">
            <v>0</v>
          </cell>
          <cell r="AZ263">
            <v>252</v>
          </cell>
          <cell r="BA263">
            <v>143</v>
          </cell>
          <cell r="BB263">
            <v>314</v>
          </cell>
        </row>
        <row r="264">
          <cell r="B264" t="str">
            <v>OPP-950033</v>
          </cell>
          <cell r="C264" t="str">
            <v>Hygeia II</v>
          </cell>
          <cell r="D264" t="str">
            <v>IS4</v>
          </cell>
          <cell r="E264" t="str">
            <v>IS4 Infrastructure and Engineering</v>
          </cell>
          <cell r="F264" t="str">
            <v>Commercial</v>
          </cell>
          <cell r="G264" t="str">
            <v xml:space="preserve">Commercial </v>
          </cell>
          <cell r="H264">
            <v>43689</v>
          </cell>
          <cell r="I264">
            <v>43710</v>
          </cell>
          <cell r="J264">
            <v>44806</v>
          </cell>
          <cell r="K264" t="str">
            <v>Prime</v>
          </cell>
          <cell r="L264" t="str">
            <v>T&amp;M</v>
          </cell>
          <cell r="M264" t="str">
            <v>T&amp;M</v>
          </cell>
          <cell r="N264" t="str">
            <v>Identified - New</v>
          </cell>
          <cell r="O264" t="str">
            <v>04 Submitted</v>
          </cell>
          <cell r="P264" t="str">
            <v>Priority 3</v>
          </cell>
          <cell r="Q264">
            <v>1</v>
          </cell>
          <cell r="R264">
            <v>4000000</v>
          </cell>
          <cell r="S264">
            <v>0.14200000000000002</v>
          </cell>
          <cell r="T264">
            <v>0.14200000000000002</v>
          </cell>
          <cell r="U264">
            <v>0.14400000000000002</v>
          </cell>
          <cell r="V264">
            <v>0.14899999999999999</v>
          </cell>
          <cell r="W264">
            <v>0.154</v>
          </cell>
          <cell r="X264">
            <v>0.05</v>
          </cell>
          <cell r="Y264">
            <v>0.05</v>
          </cell>
          <cell r="Z264">
            <v>5.2000000000000005E-2</v>
          </cell>
          <cell r="AA264">
            <v>5.7000000000000002E-2</v>
          </cell>
          <cell r="AB264">
            <v>6.2E-2</v>
          </cell>
          <cell r="AC264">
            <v>1333333.3333333333</v>
          </cell>
          <cell r="AD264">
            <v>0</v>
          </cell>
          <cell r="AE264">
            <v>1333333.3333333333</v>
          </cell>
          <cell r="AF264">
            <v>1333333.3333333333</v>
          </cell>
          <cell r="AG264">
            <v>1333333.3333333333</v>
          </cell>
          <cell r="AH264">
            <v>0</v>
          </cell>
          <cell r="AI264">
            <v>0</v>
          </cell>
          <cell r="AJ264">
            <v>189333.33333333334</v>
          </cell>
          <cell r="AK264">
            <v>192000</v>
          </cell>
          <cell r="AL264">
            <v>198666.66666666666</v>
          </cell>
          <cell r="AM264">
            <v>0</v>
          </cell>
          <cell r="AN264">
            <v>0</v>
          </cell>
          <cell r="AO264">
            <v>66666.666666666672</v>
          </cell>
          <cell r="AP264">
            <v>69333.333333333328</v>
          </cell>
          <cell r="AQ264">
            <v>76000</v>
          </cell>
          <cell r="AR264">
            <v>0</v>
          </cell>
          <cell r="AT264" t="str">
            <v>OPP-950033 - Identified - New - IS4</v>
          </cell>
          <cell r="AU264">
            <v>212000</v>
          </cell>
          <cell r="AV264">
            <v>0</v>
          </cell>
          <cell r="AW264">
            <v>212000</v>
          </cell>
          <cell r="AX264">
            <v>0</v>
          </cell>
          <cell r="AZ264">
            <v>253</v>
          </cell>
          <cell r="BA264">
            <v>129</v>
          </cell>
          <cell r="BB264">
            <v>315</v>
          </cell>
        </row>
        <row r="265">
          <cell r="B265" t="str">
            <v>OPP-955200</v>
          </cell>
          <cell r="C265" t="str">
            <v>RCAF Future Fighter Capability Project (FFCP) - Infrastructure DBO (MS Portion)</v>
          </cell>
          <cell r="D265" t="str">
            <v>IS4</v>
          </cell>
          <cell r="E265" t="str">
            <v>IS4 Infrastructure and Engineering</v>
          </cell>
          <cell r="F265" t="str">
            <v>Foreign Government</v>
          </cell>
          <cell r="G265" t="str">
            <v>Non-US Gov't</v>
          </cell>
          <cell r="H265">
            <v>43908</v>
          </cell>
          <cell r="I265">
            <v>44075</v>
          </cell>
          <cell r="J265">
            <v>45901</v>
          </cell>
          <cell r="K265" t="str">
            <v>Prime</v>
          </cell>
          <cell r="L265" t="str">
            <v>Cost Plus Fixed Fee</v>
          </cell>
          <cell r="M265" t="str">
            <v>Cost Reimbursable</v>
          </cell>
          <cell r="N265" t="str">
            <v>Identified - New</v>
          </cell>
          <cell r="O265" t="str">
            <v>01 Prospect</v>
          </cell>
          <cell r="P265" t="str">
            <v>Priority 3</v>
          </cell>
          <cell r="Q265">
            <v>0.2</v>
          </cell>
          <cell r="R265">
            <v>19000006.84</v>
          </cell>
          <cell r="S265">
            <v>0.14200000000000002</v>
          </cell>
          <cell r="T265">
            <v>0.14200000000000002</v>
          </cell>
          <cell r="U265">
            <v>0.14200000000000002</v>
          </cell>
          <cell r="V265">
            <v>0.14200000000000002</v>
          </cell>
          <cell r="W265">
            <v>0.14200000000000002</v>
          </cell>
          <cell r="X265">
            <v>0.05</v>
          </cell>
          <cell r="Y265">
            <v>0.05</v>
          </cell>
          <cell r="Z265">
            <v>0.05</v>
          </cell>
          <cell r="AA265">
            <v>0.05</v>
          </cell>
          <cell r="AB265">
            <v>0.05</v>
          </cell>
          <cell r="AC265">
            <v>3800001.3679999998</v>
          </cell>
          <cell r="AD265">
            <v>0</v>
          </cell>
          <cell r="AE265">
            <v>61222.24426222223</v>
          </cell>
          <cell r="AF265">
            <v>760000.27359999996</v>
          </cell>
          <cell r="AG265">
            <v>760000.27359999996</v>
          </cell>
          <cell r="AH265">
            <v>760000.27359999996</v>
          </cell>
          <cell r="AI265">
            <v>0</v>
          </cell>
          <cell r="AJ265">
            <v>8693.5586852355573</v>
          </cell>
          <cell r="AK265">
            <v>107920.03885120001</v>
          </cell>
          <cell r="AL265">
            <v>107920.03885120001</v>
          </cell>
          <cell r="AM265">
            <v>107920.03885120001</v>
          </cell>
          <cell r="AN265">
            <v>0</v>
          </cell>
          <cell r="AO265">
            <v>3061.1122131111115</v>
          </cell>
          <cell r="AP265">
            <v>38000.013679999996</v>
          </cell>
          <cell r="AQ265">
            <v>38000.013679999996</v>
          </cell>
          <cell r="AR265">
            <v>38000.013679999996</v>
          </cell>
          <cell r="AT265" t="str">
            <v>OPP-955200 - Identified - New - IS4</v>
          </cell>
          <cell r="AU265">
            <v>117061.15325311112</v>
          </cell>
          <cell r="AV265">
            <v>0</v>
          </cell>
          <cell r="AW265">
            <v>117061.15325311112</v>
          </cell>
          <cell r="AX265">
            <v>0</v>
          </cell>
          <cell r="AZ265">
            <v>254</v>
          </cell>
          <cell r="BA265">
            <v>169</v>
          </cell>
          <cell r="BB265">
            <v>316</v>
          </cell>
        </row>
        <row r="266">
          <cell r="B266" t="str">
            <v>OPP-874679</v>
          </cell>
          <cell r="C266" t="str">
            <v>New Chiller &amp; Shops Bldg</v>
          </cell>
          <cell r="D266" t="str">
            <v>IS4</v>
          </cell>
          <cell r="E266" t="str">
            <v>IS4 Infrastructure and Engineering</v>
          </cell>
          <cell r="F266" t="str">
            <v>Classified Agency</v>
          </cell>
          <cell r="G266" t="str">
            <v>Classified</v>
          </cell>
          <cell r="H266">
            <v>43738</v>
          </cell>
          <cell r="I266">
            <v>43739</v>
          </cell>
          <cell r="J266">
            <v>44105</v>
          </cell>
          <cell r="K266" t="str">
            <v>Prime</v>
          </cell>
          <cell r="L266" t="str">
            <v>Cost Plus Fixed Fee</v>
          </cell>
          <cell r="M266" t="str">
            <v>Cost Reimbursable</v>
          </cell>
          <cell r="N266" t="str">
            <v>Identified - New</v>
          </cell>
          <cell r="O266" t="str">
            <v>03 Proposal</v>
          </cell>
          <cell r="P266" t="str">
            <v>Priority 3</v>
          </cell>
          <cell r="Q266">
            <v>0.9</v>
          </cell>
          <cell r="R266">
            <v>15000000</v>
          </cell>
          <cell r="S266">
            <v>0.14200000000000002</v>
          </cell>
          <cell r="T266">
            <v>0.14200000000000002</v>
          </cell>
          <cell r="U266">
            <v>0.14200000000000002</v>
          </cell>
          <cell r="V266">
            <v>0.14200000000000002</v>
          </cell>
          <cell r="W266">
            <v>0.14200000000000002</v>
          </cell>
          <cell r="X266">
            <v>0.05</v>
          </cell>
          <cell r="Y266">
            <v>0.05</v>
          </cell>
          <cell r="Z266">
            <v>0.05</v>
          </cell>
          <cell r="AA266">
            <v>0.05</v>
          </cell>
          <cell r="AB266">
            <v>0.05</v>
          </cell>
          <cell r="AC266">
            <v>15000000</v>
          </cell>
          <cell r="AD266">
            <v>0</v>
          </cell>
          <cell r="AE266">
            <v>13462500</v>
          </cell>
          <cell r="AF266">
            <v>37500</v>
          </cell>
          <cell r="AG266">
            <v>0</v>
          </cell>
          <cell r="AH266">
            <v>0</v>
          </cell>
          <cell r="AI266">
            <v>0</v>
          </cell>
          <cell r="AJ266">
            <v>1911675.0000000002</v>
          </cell>
          <cell r="AK266">
            <v>5325.0000000000009</v>
          </cell>
          <cell r="AL266">
            <v>0</v>
          </cell>
          <cell r="AM266">
            <v>0</v>
          </cell>
          <cell r="AN266">
            <v>0</v>
          </cell>
          <cell r="AO266">
            <v>673125</v>
          </cell>
          <cell r="AP266">
            <v>1875</v>
          </cell>
          <cell r="AQ266">
            <v>0</v>
          </cell>
          <cell r="AR266">
            <v>0</v>
          </cell>
          <cell r="AT266" t="str">
            <v>OPP-874679 - Identified - New - IS4</v>
          </cell>
          <cell r="AU266">
            <v>675000</v>
          </cell>
          <cell r="AV266">
            <v>0</v>
          </cell>
          <cell r="AW266">
            <v>675000</v>
          </cell>
          <cell r="AX266">
            <v>0</v>
          </cell>
          <cell r="AZ266">
            <v>255</v>
          </cell>
          <cell r="BA266">
            <v>69</v>
          </cell>
          <cell r="BB266">
            <v>317</v>
          </cell>
        </row>
        <row r="267">
          <cell r="B267" t="str">
            <v>OPP-949769</v>
          </cell>
          <cell r="C267" t="str">
            <v>AEC BASE OPERATIONS SUPPORT SERVICES FOR DISA FT MEADE MD</v>
          </cell>
          <cell r="D267" t="str">
            <v>IS4</v>
          </cell>
          <cell r="E267" t="str">
            <v>IS4 Infrastructure and Engineering</v>
          </cell>
          <cell r="F267" t="str">
            <v>DISA</v>
          </cell>
          <cell r="G267" t="str">
            <v>DOD</v>
          </cell>
          <cell r="H267">
            <v>44736</v>
          </cell>
          <cell r="I267">
            <v>44788</v>
          </cell>
          <cell r="J267">
            <v>46614</v>
          </cell>
          <cell r="K267" t="str">
            <v>Sub</v>
          </cell>
          <cell r="L267" t="str">
            <v>Cost Plus Award Fee</v>
          </cell>
          <cell r="M267" t="str">
            <v>Cost Reimbursable</v>
          </cell>
          <cell r="N267" t="str">
            <v>Identified - New</v>
          </cell>
          <cell r="O267" t="str">
            <v>01 Prospect</v>
          </cell>
          <cell r="P267" t="str">
            <v>Priority 3</v>
          </cell>
          <cell r="Q267">
            <v>0.2</v>
          </cell>
          <cell r="R267">
            <v>11550000</v>
          </cell>
          <cell r="S267">
            <v>0.13700000000000001</v>
          </cell>
          <cell r="T267">
            <v>0.14200000000000002</v>
          </cell>
          <cell r="U267">
            <v>0.14699999999999999</v>
          </cell>
          <cell r="V267">
            <v>0.14699999999999999</v>
          </cell>
          <cell r="W267">
            <v>0.14699999999999999</v>
          </cell>
          <cell r="X267">
            <v>4.4999999999999998E-2</v>
          </cell>
          <cell r="Y267">
            <v>0.05</v>
          </cell>
          <cell r="Z267">
            <v>5.5E-2</v>
          </cell>
          <cell r="AA267">
            <v>5.5E-2</v>
          </cell>
          <cell r="AB267">
            <v>5.5E-2</v>
          </cell>
          <cell r="AC267">
            <v>2310000</v>
          </cell>
          <cell r="AD267">
            <v>0</v>
          </cell>
          <cell r="AE267">
            <v>0</v>
          </cell>
          <cell r="AF267">
            <v>0</v>
          </cell>
          <cell r="AG267">
            <v>57750</v>
          </cell>
          <cell r="AH267">
            <v>462000</v>
          </cell>
          <cell r="AI267">
            <v>0</v>
          </cell>
          <cell r="AJ267">
            <v>0</v>
          </cell>
          <cell r="AK267">
            <v>0</v>
          </cell>
          <cell r="AL267">
            <v>8489.25</v>
          </cell>
          <cell r="AM267">
            <v>67914</v>
          </cell>
          <cell r="AN267">
            <v>0</v>
          </cell>
          <cell r="AO267">
            <v>0</v>
          </cell>
          <cell r="AP267">
            <v>0</v>
          </cell>
          <cell r="AQ267">
            <v>3176.25</v>
          </cell>
          <cell r="AR267">
            <v>25410</v>
          </cell>
          <cell r="AT267" t="str">
            <v>OPP-949769 - Identified - New - IS4</v>
          </cell>
          <cell r="AU267">
            <v>28586.25</v>
          </cell>
          <cell r="AV267">
            <v>0</v>
          </cell>
          <cell r="AW267">
            <v>28586.25</v>
          </cell>
          <cell r="AX267">
            <v>0</v>
          </cell>
          <cell r="AZ267">
            <v>256</v>
          </cell>
          <cell r="BA267">
            <v>225</v>
          </cell>
          <cell r="BB267">
            <v>318</v>
          </cell>
        </row>
        <row r="268">
          <cell r="B268" t="str">
            <v>OPP-919553</v>
          </cell>
          <cell r="C268" t="str">
            <v>OASIS IDIQ Sole Source TO FY19 (Design &amp; Construction of Hydrology Control System)</v>
          </cell>
          <cell r="D268" t="str">
            <v>IS4</v>
          </cell>
          <cell r="E268" t="str">
            <v>IS4 Infrastructure and Engineering</v>
          </cell>
          <cell r="F268" t="str">
            <v>Classified Agency</v>
          </cell>
          <cell r="G268" t="str">
            <v>Classified</v>
          </cell>
          <cell r="H268">
            <v>43738</v>
          </cell>
          <cell r="I268">
            <v>43739</v>
          </cell>
          <cell r="J268">
            <v>44105</v>
          </cell>
          <cell r="K268" t="str">
            <v>Prime</v>
          </cell>
          <cell r="L268" t="str">
            <v>Cost Plus Fixed Fee</v>
          </cell>
          <cell r="M268" t="str">
            <v>Cost Reimbursable</v>
          </cell>
          <cell r="N268" t="str">
            <v>Identified - New</v>
          </cell>
          <cell r="O268" t="str">
            <v>03 Proposal</v>
          </cell>
          <cell r="P268" t="str">
            <v>Priority 3</v>
          </cell>
          <cell r="Q268">
            <v>0.6</v>
          </cell>
          <cell r="R268">
            <v>5000000</v>
          </cell>
          <cell r="S268">
            <v>0.14200000000000002</v>
          </cell>
          <cell r="T268">
            <v>0.14200000000000002</v>
          </cell>
          <cell r="U268">
            <v>0.14200000000000002</v>
          </cell>
          <cell r="V268">
            <v>0.14200000000000002</v>
          </cell>
          <cell r="W268">
            <v>0.14200000000000002</v>
          </cell>
          <cell r="X268">
            <v>0.05</v>
          </cell>
          <cell r="Y268">
            <v>0.05</v>
          </cell>
          <cell r="Z268">
            <v>0.05</v>
          </cell>
          <cell r="AA268">
            <v>0.05</v>
          </cell>
          <cell r="AB268">
            <v>0.05</v>
          </cell>
          <cell r="AC268">
            <v>5000000</v>
          </cell>
          <cell r="AD268">
            <v>0</v>
          </cell>
          <cell r="AE268">
            <v>2991666.6666666665</v>
          </cell>
          <cell r="AF268">
            <v>8333.3333333334886</v>
          </cell>
          <cell r="AG268">
            <v>0</v>
          </cell>
          <cell r="AH268">
            <v>0</v>
          </cell>
          <cell r="AI268">
            <v>0</v>
          </cell>
          <cell r="AJ268">
            <v>424816.66666666669</v>
          </cell>
          <cell r="AK268">
            <v>1183.3333333333555</v>
          </cell>
          <cell r="AL268">
            <v>0</v>
          </cell>
          <cell r="AM268">
            <v>0</v>
          </cell>
          <cell r="AN268">
            <v>0</v>
          </cell>
          <cell r="AO268">
            <v>149583.33333333334</v>
          </cell>
          <cell r="AP268">
            <v>416.66666666667447</v>
          </cell>
          <cell r="AQ268">
            <v>0</v>
          </cell>
          <cell r="AR268">
            <v>0</v>
          </cell>
          <cell r="AT268" t="str">
            <v>OPP-919553 - Identified - New - IS4</v>
          </cell>
          <cell r="AU268">
            <v>150000.00000000003</v>
          </cell>
          <cell r="AV268">
            <v>0</v>
          </cell>
          <cell r="AW268">
            <v>150000.00000000003</v>
          </cell>
          <cell r="AX268">
            <v>0</v>
          </cell>
          <cell r="AZ268">
            <v>257</v>
          </cell>
          <cell r="BA268">
            <v>145</v>
          </cell>
          <cell r="BB268">
            <v>319</v>
          </cell>
        </row>
        <row r="269">
          <cell r="B269" t="str">
            <v>OPP-874681</v>
          </cell>
          <cell r="C269" t="str">
            <v>East Side / Gillen Housing</v>
          </cell>
          <cell r="D269" t="str">
            <v>IS4</v>
          </cell>
          <cell r="E269" t="str">
            <v>IS4 Infrastructure and Engineering</v>
          </cell>
          <cell r="F269" t="str">
            <v>Classified Agency</v>
          </cell>
          <cell r="G269" t="str">
            <v>Classified</v>
          </cell>
          <cell r="H269">
            <v>44837</v>
          </cell>
          <cell r="I269">
            <v>44837</v>
          </cell>
          <cell r="J269">
            <v>45202</v>
          </cell>
          <cell r="K269" t="str">
            <v>Prime</v>
          </cell>
          <cell r="L269" t="str">
            <v>Cost Plus Fixed Fee</v>
          </cell>
          <cell r="M269" t="str">
            <v>Cost Reimbursable</v>
          </cell>
          <cell r="N269" t="str">
            <v>Identified - New</v>
          </cell>
          <cell r="O269" t="str">
            <v>03 Proposal</v>
          </cell>
          <cell r="P269" t="str">
            <v>Priority 3</v>
          </cell>
          <cell r="Q269">
            <v>0.9</v>
          </cell>
          <cell r="R269">
            <v>2000000</v>
          </cell>
          <cell r="S269">
            <v>0.14200000000000002</v>
          </cell>
          <cell r="T269">
            <v>0.14200000000000002</v>
          </cell>
          <cell r="U269">
            <v>0.14200000000000002</v>
          </cell>
          <cell r="V269">
            <v>0.14200000000000002</v>
          </cell>
          <cell r="W269">
            <v>0.14200000000000002</v>
          </cell>
          <cell r="X269">
            <v>0.05</v>
          </cell>
          <cell r="Y269">
            <v>0.05</v>
          </cell>
          <cell r="Z269">
            <v>0.05</v>
          </cell>
          <cell r="AA269">
            <v>0.05</v>
          </cell>
          <cell r="AB269">
            <v>0.05</v>
          </cell>
          <cell r="AC269">
            <v>2000000</v>
          </cell>
          <cell r="AD269">
            <v>0</v>
          </cell>
          <cell r="AE269">
            <v>0</v>
          </cell>
          <cell r="AF269">
            <v>0</v>
          </cell>
          <cell r="AG269">
            <v>0</v>
          </cell>
          <cell r="AH269">
            <v>1785000.0000000002</v>
          </cell>
          <cell r="AI269">
            <v>0</v>
          </cell>
          <cell r="AJ269">
            <v>0</v>
          </cell>
          <cell r="AK269">
            <v>0</v>
          </cell>
          <cell r="AL269">
            <v>0</v>
          </cell>
          <cell r="AM269">
            <v>253470.00000000006</v>
          </cell>
          <cell r="AN269">
            <v>0</v>
          </cell>
          <cell r="AO269">
            <v>0</v>
          </cell>
          <cell r="AP269">
            <v>0</v>
          </cell>
          <cell r="AQ269">
            <v>0</v>
          </cell>
          <cell r="AR269">
            <v>89250.000000000015</v>
          </cell>
          <cell r="AT269" t="str">
            <v>OPP-874681 - Identified - New - IS4</v>
          </cell>
          <cell r="AU269">
            <v>89250.000000000015</v>
          </cell>
          <cell r="AV269">
            <v>0</v>
          </cell>
          <cell r="AW269">
            <v>89250.000000000015</v>
          </cell>
          <cell r="AX269">
            <v>0</v>
          </cell>
          <cell r="AZ269">
            <v>258</v>
          </cell>
          <cell r="BA269">
            <v>184</v>
          </cell>
          <cell r="BB269">
            <v>320</v>
          </cell>
        </row>
        <row r="270">
          <cell r="B270" t="str">
            <v>OPP-874677</v>
          </cell>
          <cell r="C270" t="str">
            <v>Design &amp; Procurement of Expanded Security Infrastructure &amp; Fence Expansion</v>
          </cell>
          <cell r="D270" t="str">
            <v>IS4</v>
          </cell>
          <cell r="E270" t="str">
            <v>IS4 Infrastructure and Engineering</v>
          </cell>
          <cell r="F270" t="str">
            <v>Classified Agency</v>
          </cell>
          <cell r="G270" t="str">
            <v>Classified</v>
          </cell>
          <cell r="H270">
            <v>43738</v>
          </cell>
          <cell r="I270">
            <v>43739</v>
          </cell>
          <cell r="J270">
            <v>44105</v>
          </cell>
          <cell r="K270" t="str">
            <v>Prime</v>
          </cell>
          <cell r="L270" t="str">
            <v>Fixed Price</v>
          </cell>
          <cell r="M270" t="str">
            <v>Fixed Price</v>
          </cell>
          <cell r="N270" t="str">
            <v>Identified - New</v>
          </cell>
          <cell r="O270" t="str">
            <v>03 Proposal</v>
          </cell>
          <cell r="P270" t="str">
            <v>Priority 3</v>
          </cell>
          <cell r="Q270">
            <v>0.9</v>
          </cell>
          <cell r="R270">
            <v>500000</v>
          </cell>
          <cell r="S270">
            <v>0.17199999999999999</v>
          </cell>
          <cell r="T270">
            <v>0.17199999999999999</v>
          </cell>
          <cell r="U270">
            <v>0.17299999999999999</v>
          </cell>
          <cell r="V270">
            <v>0.17499999999999999</v>
          </cell>
          <cell r="W270">
            <v>0.18</v>
          </cell>
          <cell r="X270">
            <v>0.08</v>
          </cell>
          <cell r="Y270">
            <v>0.08</v>
          </cell>
          <cell r="Z270">
            <v>8.1000000000000003E-2</v>
          </cell>
          <cell r="AA270">
            <v>8.3000000000000004E-2</v>
          </cell>
          <cell r="AB270">
            <v>8.8000000000000009E-2</v>
          </cell>
          <cell r="AC270">
            <v>500000</v>
          </cell>
          <cell r="AD270">
            <v>0</v>
          </cell>
          <cell r="AE270">
            <v>448750</v>
          </cell>
          <cell r="AF270">
            <v>1250</v>
          </cell>
          <cell r="AG270">
            <v>0</v>
          </cell>
          <cell r="AH270">
            <v>0</v>
          </cell>
          <cell r="AI270">
            <v>0</v>
          </cell>
          <cell r="AJ270">
            <v>77185</v>
          </cell>
          <cell r="AK270">
            <v>216.24999999999997</v>
          </cell>
          <cell r="AL270">
            <v>0</v>
          </cell>
          <cell r="AM270">
            <v>0</v>
          </cell>
          <cell r="AN270">
            <v>0</v>
          </cell>
          <cell r="AO270">
            <v>35900</v>
          </cell>
          <cell r="AP270">
            <v>101.25</v>
          </cell>
          <cell r="AQ270">
            <v>0</v>
          </cell>
          <cell r="AR270">
            <v>0</v>
          </cell>
          <cell r="AT270" t="str">
            <v>OPP-874677 - Identified - New - IS4</v>
          </cell>
          <cell r="AU270">
            <v>36001.25</v>
          </cell>
          <cell r="AV270">
            <v>0</v>
          </cell>
          <cell r="AW270">
            <v>36001.25</v>
          </cell>
          <cell r="AX270">
            <v>0</v>
          </cell>
          <cell r="AZ270">
            <v>259</v>
          </cell>
          <cell r="BA270">
            <v>221</v>
          </cell>
          <cell r="BB270">
            <v>321</v>
          </cell>
        </row>
        <row r="271">
          <cell r="B271" t="str">
            <v>OPP-907165</v>
          </cell>
          <cell r="C271" t="str">
            <v>CENTCOM-J2</v>
          </cell>
          <cell r="D271" t="str">
            <v>IS4</v>
          </cell>
          <cell r="E271" t="str">
            <v>IS4 Infrastructure and Engineering</v>
          </cell>
          <cell r="F271" t="str">
            <v>Army</v>
          </cell>
          <cell r="G271" t="str">
            <v>DOD</v>
          </cell>
          <cell r="H271">
            <v>43709</v>
          </cell>
          <cell r="I271">
            <v>43739</v>
          </cell>
          <cell r="J271">
            <v>45474</v>
          </cell>
          <cell r="K271" t="str">
            <v>Sub</v>
          </cell>
          <cell r="L271" t="str">
            <v>Cost Plus Fixed Fee</v>
          </cell>
          <cell r="M271" t="str">
            <v>Cost Reimbursable</v>
          </cell>
          <cell r="N271" t="str">
            <v>Identified - New</v>
          </cell>
          <cell r="O271" t="str">
            <v>02 Capture</v>
          </cell>
          <cell r="P271" t="str">
            <v>Priority 3</v>
          </cell>
          <cell r="Q271">
            <v>0.2</v>
          </cell>
          <cell r="R271">
            <v>10000</v>
          </cell>
          <cell r="S271">
            <v>0.14200000000000002</v>
          </cell>
          <cell r="T271">
            <v>0.14200000000000002</v>
          </cell>
          <cell r="U271">
            <v>0.14200000000000002</v>
          </cell>
          <cell r="V271">
            <v>0.14200000000000002</v>
          </cell>
          <cell r="W271">
            <v>0.14200000000000002</v>
          </cell>
          <cell r="X271">
            <v>0.05</v>
          </cell>
          <cell r="Y271">
            <v>0.05</v>
          </cell>
          <cell r="Z271">
            <v>0.05</v>
          </cell>
          <cell r="AA271">
            <v>0.05</v>
          </cell>
          <cell r="AB271">
            <v>0.05</v>
          </cell>
          <cell r="AC271">
            <v>2105.2631578947367</v>
          </cell>
          <cell r="AD271">
            <v>0</v>
          </cell>
          <cell r="AE271">
            <v>419.88304093567251</v>
          </cell>
          <cell r="AF271">
            <v>421.05263157894734</v>
          </cell>
          <cell r="AG271">
            <v>421.05263157894734</v>
          </cell>
          <cell r="AH271">
            <v>421.05263157894734</v>
          </cell>
          <cell r="AI271">
            <v>0</v>
          </cell>
          <cell r="AJ271">
            <v>59.623391812865506</v>
          </cell>
          <cell r="AK271">
            <v>59.789473684210527</v>
          </cell>
          <cell r="AL271">
            <v>59.789473684210527</v>
          </cell>
          <cell r="AM271">
            <v>59.789473684210527</v>
          </cell>
          <cell r="AN271">
            <v>0</v>
          </cell>
          <cell r="AO271">
            <v>20.994152046783626</v>
          </cell>
          <cell r="AP271">
            <v>21.05263157894737</v>
          </cell>
          <cell r="AQ271">
            <v>21.05263157894737</v>
          </cell>
          <cell r="AR271">
            <v>21.05263157894737</v>
          </cell>
          <cell r="AT271" t="str">
            <v>OPP-907165 - Identified - New - IS4</v>
          </cell>
          <cell r="AU271">
            <v>84.152046783625735</v>
          </cell>
          <cell r="AV271">
            <v>0</v>
          </cell>
          <cell r="AW271">
            <v>84.152046783625735</v>
          </cell>
          <cell r="AX271">
            <v>0</v>
          </cell>
          <cell r="AZ271">
            <v>260</v>
          </cell>
          <cell r="BA271">
            <v>269</v>
          </cell>
          <cell r="BB271">
            <v>322</v>
          </cell>
        </row>
        <row r="272">
          <cell r="B272" t="str">
            <v>OPP-874671</v>
          </cell>
          <cell r="C272" t="str">
            <v>MOJAVE IDIQ TO's FY19</v>
          </cell>
          <cell r="D272" t="str">
            <v>IS4</v>
          </cell>
          <cell r="E272" t="str">
            <v>IS4 Infrastructure and Engineering</v>
          </cell>
          <cell r="F272" t="str">
            <v>Other Civilian</v>
          </cell>
          <cell r="G272" t="str">
            <v>Other</v>
          </cell>
          <cell r="H272">
            <v>43738</v>
          </cell>
          <cell r="I272">
            <v>43739</v>
          </cell>
          <cell r="J272">
            <v>44105</v>
          </cell>
          <cell r="K272" t="str">
            <v>Sub</v>
          </cell>
          <cell r="L272" t="str">
            <v>Cost Plus Award Fee; Fixed Price</v>
          </cell>
          <cell r="M272" t="str">
            <v>Cost Reimbursable</v>
          </cell>
          <cell r="N272" t="str">
            <v>Identified - New</v>
          </cell>
          <cell r="O272" t="str">
            <v>03 Proposal</v>
          </cell>
          <cell r="P272" t="str">
            <v>Priority 3</v>
          </cell>
          <cell r="Q272">
            <v>0.2</v>
          </cell>
          <cell r="R272">
            <v>10000</v>
          </cell>
          <cell r="S272">
            <v>0.13700000000000001</v>
          </cell>
          <cell r="T272">
            <v>0.14200000000000002</v>
          </cell>
          <cell r="U272">
            <v>0.14699999999999999</v>
          </cell>
          <cell r="V272">
            <v>0.14699999999999999</v>
          </cell>
          <cell r="W272">
            <v>0.14699999999999999</v>
          </cell>
          <cell r="X272">
            <v>4.4999999999999998E-2</v>
          </cell>
          <cell r="Y272">
            <v>0.05</v>
          </cell>
          <cell r="Z272">
            <v>5.5E-2</v>
          </cell>
          <cell r="AA272">
            <v>5.5E-2</v>
          </cell>
          <cell r="AB272">
            <v>5.5E-2</v>
          </cell>
          <cell r="AC272">
            <v>10000</v>
          </cell>
          <cell r="AD272">
            <v>0</v>
          </cell>
          <cell r="AE272">
            <v>1994.4444444444446</v>
          </cell>
          <cell r="AF272">
            <v>5.5555555555554292</v>
          </cell>
          <cell r="AG272">
            <v>0</v>
          </cell>
          <cell r="AH272">
            <v>0</v>
          </cell>
          <cell r="AI272">
            <v>0</v>
          </cell>
          <cell r="AJ272">
            <v>283.21111111111117</v>
          </cell>
          <cell r="AK272">
            <v>0.816666666666648</v>
          </cell>
          <cell r="AL272">
            <v>0</v>
          </cell>
          <cell r="AM272">
            <v>0</v>
          </cell>
          <cell r="AN272">
            <v>0</v>
          </cell>
          <cell r="AO272">
            <v>99.722222222222229</v>
          </cell>
          <cell r="AP272">
            <v>0.30555555555554859</v>
          </cell>
          <cell r="AQ272">
            <v>0</v>
          </cell>
          <cell r="AR272">
            <v>0</v>
          </cell>
          <cell r="AT272" t="str">
            <v>OPP-874671 - Identified - New - IS4</v>
          </cell>
          <cell r="AU272">
            <v>100.02777777777777</v>
          </cell>
          <cell r="AV272">
            <v>0</v>
          </cell>
          <cell r="AW272">
            <v>100.02777777777777</v>
          </cell>
          <cell r="AX272">
            <v>0</v>
          </cell>
          <cell r="AZ272">
            <v>261</v>
          </cell>
          <cell r="BA272">
            <v>263</v>
          </cell>
          <cell r="BB272">
            <v>323</v>
          </cell>
        </row>
        <row r="273">
          <cell r="B273" t="str">
            <v>OPP-874672</v>
          </cell>
          <cell r="C273" t="str">
            <v>VESTA IDIQ Sole Source TO's FY19</v>
          </cell>
          <cell r="D273" t="str">
            <v>IS4</v>
          </cell>
          <cell r="E273" t="str">
            <v>IS4 Infrastructure and Engineering</v>
          </cell>
          <cell r="F273" t="str">
            <v>Classified Agency</v>
          </cell>
          <cell r="G273" t="str">
            <v>Classified</v>
          </cell>
          <cell r="H273">
            <v>43738</v>
          </cell>
          <cell r="I273">
            <v>43739</v>
          </cell>
          <cell r="J273">
            <v>44105</v>
          </cell>
          <cell r="K273" t="str">
            <v>Prime</v>
          </cell>
          <cell r="L273" t="str">
            <v>Fixed Price</v>
          </cell>
          <cell r="M273" t="str">
            <v>Fixed Price</v>
          </cell>
          <cell r="N273" t="str">
            <v>Identified - New</v>
          </cell>
          <cell r="O273" t="str">
            <v>03 Proposal</v>
          </cell>
          <cell r="P273" t="str">
            <v>Priority 3</v>
          </cell>
          <cell r="Q273">
            <v>0.9</v>
          </cell>
          <cell r="R273">
            <v>10000</v>
          </cell>
          <cell r="S273">
            <v>0.17199999999999999</v>
          </cell>
          <cell r="T273">
            <v>0.17199999999999999</v>
          </cell>
          <cell r="U273">
            <v>0.17299999999999999</v>
          </cell>
          <cell r="V273">
            <v>0.17499999999999999</v>
          </cell>
          <cell r="W273">
            <v>0.18</v>
          </cell>
          <cell r="X273">
            <v>0.08</v>
          </cell>
          <cell r="Y273">
            <v>0.08</v>
          </cell>
          <cell r="Z273">
            <v>8.1000000000000003E-2</v>
          </cell>
          <cell r="AA273">
            <v>8.3000000000000004E-2</v>
          </cell>
          <cell r="AB273">
            <v>8.8000000000000009E-2</v>
          </cell>
          <cell r="AC273">
            <v>10000</v>
          </cell>
          <cell r="AD273">
            <v>0</v>
          </cell>
          <cell r="AE273">
            <v>8975</v>
          </cell>
          <cell r="AF273">
            <v>25</v>
          </cell>
          <cell r="AG273">
            <v>0</v>
          </cell>
          <cell r="AH273">
            <v>0</v>
          </cell>
          <cell r="AI273">
            <v>0</v>
          </cell>
          <cell r="AJ273">
            <v>1543.6999999999998</v>
          </cell>
          <cell r="AK273">
            <v>4.3249999999999993</v>
          </cell>
          <cell r="AL273">
            <v>0</v>
          </cell>
          <cell r="AM273">
            <v>0</v>
          </cell>
          <cell r="AN273">
            <v>0</v>
          </cell>
          <cell r="AO273">
            <v>718</v>
          </cell>
          <cell r="AP273">
            <v>2.0249999999999999</v>
          </cell>
          <cell r="AQ273">
            <v>0</v>
          </cell>
          <cell r="AR273">
            <v>0</v>
          </cell>
          <cell r="AT273" t="str">
            <v>OPP-874672 - Identified - New - IS4</v>
          </cell>
          <cell r="AU273">
            <v>720.02499999999998</v>
          </cell>
          <cell r="AV273">
            <v>0</v>
          </cell>
          <cell r="AW273">
            <v>720.02499999999998</v>
          </cell>
          <cell r="AX273">
            <v>0</v>
          </cell>
          <cell r="AZ273">
            <v>262</v>
          </cell>
          <cell r="BA273">
            <v>247</v>
          </cell>
          <cell r="BB273">
            <v>324</v>
          </cell>
        </row>
        <row r="274">
          <cell r="B274" t="str">
            <v>OPP-874670</v>
          </cell>
          <cell r="C274" t="str">
            <v>BOS-E IDIQ Sole Source TO's FY19</v>
          </cell>
          <cell r="D274" t="str">
            <v>IS4</v>
          </cell>
          <cell r="E274" t="str">
            <v>IS4 Infrastructure and Engineering</v>
          </cell>
          <cell r="F274" t="str">
            <v>Other Civilian</v>
          </cell>
          <cell r="G274" t="str">
            <v>Other</v>
          </cell>
          <cell r="H274">
            <v>43738</v>
          </cell>
          <cell r="I274">
            <v>43739</v>
          </cell>
          <cell r="J274">
            <v>44105</v>
          </cell>
          <cell r="K274" t="str">
            <v>Prime</v>
          </cell>
          <cell r="L274" t="str">
            <v>Fixed Price</v>
          </cell>
          <cell r="M274" t="str">
            <v>Fixed Price</v>
          </cell>
          <cell r="N274" t="str">
            <v>Identified - New</v>
          </cell>
          <cell r="O274" t="str">
            <v>03 Proposal</v>
          </cell>
          <cell r="P274" t="str">
            <v>Priority 3</v>
          </cell>
          <cell r="Q274">
            <v>0.9</v>
          </cell>
          <cell r="R274">
            <v>10000</v>
          </cell>
          <cell r="S274">
            <v>0.17199999999999999</v>
          </cell>
          <cell r="T274">
            <v>0.17199999999999999</v>
          </cell>
          <cell r="U274">
            <v>0.17299999999999999</v>
          </cell>
          <cell r="V274">
            <v>0.17499999999999999</v>
          </cell>
          <cell r="W274">
            <v>0.18</v>
          </cell>
          <cell r="X274">
            <v>0.08</v>
          </cell>
          <cell r="Y274">
            <v>0.08</v>
          </cell>
          <cell r="Z274">
            <v>8.1000000000000003E-2</v>
          </cell>
          <cell r="AA274">
            <v>8.3000000000000004E-2</v>
          </cell>
          <cell r="AB274">
            <v>8.8000000000000009E-2</v>
          </cell>
          <cell r="AC274">
            <v>10000</v>
          </cell>
          <cell r="AD274">
            <v>0</v>
          </cell>
          <cell r="AE274">
            <v>8975</v>
          </cell>
          <cell r="AF274">
            <v>25</v>
          </cell>
          <cell r="AG274">
            <v>0</v>
          </cell>
          <cell r="AH274">
            <v>0</v>
          </cell>
          <cell r="AI274">
            <v>0</v>
          </cell>
          <cell r="AJ274">
            <v>1543.6999999999998</v>
          </cell>
          <cell r="AK274">
            <v>4.3249999999999993</v>
          </cell>
          <cell r="AL274">
            <v>0</v>
          </cell>
          <cell r="AM274">
            <v>0</v>
          </cell>
          <cell r="AN274">
            <v>0</v>
          </cell>
          <cell r="AO274">
            <v>718</v>
          </cell>
          <cell r="AP274">
            <v>2.0249999999999999</v>
          </cell>
          <cell r="AQ274">
            <v>0</v>
          </cell>
          <cell r="AR274">
            <v>0</v>
          </cell>
          <cell r="AT274" t="str">
            <v>OPP-874670 - Identified - New - IS4</v>
          </cell>
          <cell r="AU274">
            <v>720.02499999999998</v>
          </cell>
          <cell r="AV274">
            <v>0</v>
          </cell>
          <cell r="AW274">
            <v>720.02499999999998</v>
          </cell>
          <cell r="AX274">
            <v>0</v>
          </cell>
          <cell r="AZ274">
            <v>263</v>
          </cell>
          <cell r="BA274">
            <v>248</v>
          </cell>
          <cell r="BB274">
            <v>325</v>
          </cell>
        </row>
        <row r="275">
          <cell r="B275" t="str">
            <v>OPP-874668</v>
          </cell>
          <cell r="C275" t="str">
            <v>OASIS IDIQ Sole Source TO's FY19</v>
          </cell>
          <cell r="D275" t="str">
            <v>IS4</v>
          </cell>
          <cell r="E275" t="str">
            <v>IS4 Infrastructure and Engineering</v>
          </cell>
          <cell r="F275" t="str">
            <v>Classified Agency</v>
          </cell>
          <cell r="G275" t="str">
            <v>Classified</v>
          </cell>
          <cell r="H275">
            <v>43738</v>
          </cell>
          <cell r="I275">
            <v>43739</v>
          </cell>
          <cell r="J275">
            <v>44105</v>
          </cell>
          <cell r="K275" t="str">
            <v>Prime</v>
          </cell>
          <cell r="L275" t="str">
            <v>Fixed Price</v>
          </cell>
          <cell r="M275" t="str">
            <v>Fixed Price</v>
          </cell>
          <cell r="N275" t="str">
            <v>Identified - New</v>
          </cell>
          <cell r="O275" t="str">
            <v>03 Proposal</v>
          </cell>
          <cell r="P275" t="str">
            <v>Priority 3</v>
          </cell>
          <cell r="Q275">
            <v>0.9</v>
          </cell>
          <cell r="R275">
            <v>10000</v>
          </cell>
          <cell r="S275">
            <v>0.17199999999999999</v>
          </cell>
          <cell r="T275">
            <v>0.17199999999999999</v>
          </cell>
          <cell r="U275">
            <v>0.17299999999999999</v>
          </cell>
          <cell r="V275">
            <v>0.17499999999999999</v>
          </cell>
          <cell r="W275">
            <v>0.18</v>
          </cell>
          <cell r="X275">
            <v>0.08</v>
          </cell>
          <cell r="Y275">
            <v>0.08</v>
          </cell>
          <cell r="Z275">
            <v>8.1000000000000003E-2</v>
          </cell>
          <cell r="AA275">
            <v>8.3000000000000004E-2</v>
          </cell>
          <cell r="AB275">
            <v>8.8000000000000009E-2</v>
          </cell>
          <cell r="AC275">
            <v>10000</v>
          </cell>
          <cell r="AD275">
            <v>0</v>
          </cell>
          <cell r="AE275">
            <v>8975</v>
          </cell>
          <cell r="AF275">
            <v>25</v>
          </cell>
          <cell r="AG275">
            <v>0</v>
          </cell>
          <cell r="AH275">
            <v>0</v>
          </cell>
          <cell r="AI275">
            <v>0</v>
          </cell>
          <cell r="AJ275">
            <v>1543.6999999999998</v>
          </cell>
          <cell r="AK275">
            <v>4.3249999999999993</v>
          </cell>
          <cell r="AL275">
            <v>0</v>
          </cell>
          <cell r="AM275">
            <v>0</v>
          </cell>
          <cell r="AN275">
            <v>0</v>
          </cell>
          <cell r="AO275">
            <v>718</v>
          </cell>
          <cell r="AP275">
            <v>2.0249999999999999</v>
          </cell>
          <cell r="AQ275">
            <v>0</v>
          </cell>
          <cell r="AR275">
            <v>0</v>
          </cell>
          <cell r="AT275" t="str">
            <v>OPP-874668 - Identified - New - IS4</v>
          </cell>
          <cell r="AU275">
            <v>720.02499999999998</v>
          </cell>
          <cell r="AV275">
            <v>0</v>
          </cell>
          <cell r="AW275">
            <v>720.02499999999998</v>
          </cell>
          <cell r="AX275">
            <v>0</v>
          </cell>
          <cell r="AZ275">
            <v>264</v>
          </cell>
          <cell r="BA275">
            <v>249</v>
          </cell>
          <cell r="BB275">
            <v>326</v>
          </cell>
        </row>
        <row r="276">
          <cell r="B276" t="str">
            <v>OPP-932368</v>
          </cell>
          <cell r="C276" t="str">
            <v>NUCLEUS</v>
          </cell>
          <cell r="D276" t="str">
            <v>IS4</v>
          </cell>
          <cell r="E276" t="str">
            <v>IS4 Infrastructure and Engineering</v>
          </cell>
          <cell r="F276" t="str">
            <v>Classified Agency</v>
          </cell>
          <cell r="G276" t="str">
            <v>Classified</v>
          </cell>
          <cell r="H276">
            <v>43868</v>
          </cell>
          <cell r="I276">
            <v>43875</v>
          </cell>
          <cell r="J276">
            <v>45702</v>
          </cell>
          <cell r="K276" t="str">
            <v>Prime</v>
          </cell>
          <cell r="L276" t="str">
            <v>Cost Plus Award Fee; Cost Plus Incentive Fee</v>
          </cell>
          <cell r="M276" t="str">
            <v>Cost Reimbursable</v>
          </cell>
          <cell r="N276" t="str">
            <v>Identified - New</v>
          </cell>
          <cell r="O276" t="str">
            <v>04 Submitted</v>
          </cell>
          <cell r="P276" t="str">
            <v>Priority 3</v>
          </cell>
          <cell r="Q276">
            <v>0.2</v>
          </cell>
          <cell r="R276">
            <v>10000</v>
          </cell>
          <cell r="S276">
            <v>0.13700000000000001</v>
          </cell>
          <cell r="T276">
            <v>0.14200000000000002</v>
          </cell>
          <cell r="U276">
            <v>0.14699999999999999</v>
          </cell>
          <cell r="V276">
            <v>0.14699999999999999</v>
          </cell>
          <cell r="W276">
            <v>0.14699999999999999</v>
          </cell>
          <cell r="X276">
            <v>4.4999999999999998E-2</v>
          </cell>
          <cell r="Y276">
            <v>0.05</v>
          </cell>
          <cell r="Z276">
            <v>5.5E-2</v>
          </cell>
          <cell r="AA276">
            <v>5.5E-2</v>
          </cell>
          <cell r="AB276">
            <v>5.5E-2</v>
          </cell>
          <cell r="AC276">
            <v>2000</v>
          </cell>
          <cell r="AD276">
            <v>0</v>
          </cell>
          <cell r="AE276">
            <v>251.11111111111109</v>
          </cell>
          <cell r="AF276">
            <v>400</v>
          </cell>
          <cell r="AG276">
            <v>400</v>
          </cell>
          <cell r="AH276">
            <v>400</v>
          </cell>
          <cell r="AI276">
            <v>0</v>
          </cell>
          <cell r="AJ276">
            <v>35.657777777777781</v>
          </cell>
          <cell r="AK276">
            <v>58.8</v>
          </cell>
          <cell r="AL276">
            <v>58.8</v>
          </cell>
          <cell r="AM276">
            <v>58.8</v>
          </cell>
          <cell r="AN276">
            <v>0</v>
          </cell>
          <cell r="AO276">
            <v>12.555555555555555</v>
          </cell>
          <cell r="AP276">
            <v>22</v>
          </cell>
          <cell r="AQ276">
            <v>22</v>
          </cell>
          <cell r="AR276">
            <v>22</v>
          </cell>
          <cell r="AT276" t="str">
            <v>OPP-932368 - Identified - New - IS4</v>
          </cell>
          <cell r="AU276">
            <v>78.555555555555557</v>
          </cell>
          <cell r="AV276">
            <v>0</v>
          </cell>
          <cell r="AW276">
            <v>78.555555555555557</v>
          </cell>
          <cell r="AX276">
            <v>0</v>
          </cell>
          <cell r="AZ276">
            <v>265</v>
          </cell>
          <cell r="BA276">
            <v>270</v>
          </cell>
          <cell r="BB276">
            <v>327</v>
          </cell>
        </row>
        <row r="277">
          <cell r="B277" t="str">
            <v>OPP-922967</v>
          </cell>
          <cell r="C277" t="str">
            <v>NSWC Crane IACMAC TAT 1719 MEW</v>
          </cell>
          <cell r="D277" t="str">
            <v>IS4</v>
          </cell>
          <cell r="E277" t="str">
            <v>IS4 Spectrum &amp; Infrastructure Assurance</v>
          </cell>
          <cell r="F277" t="str">
            <v>Navy</v>
          </cell>
          <cell r="G277" t="str">
            <v>DOD</v>
          </cell>
          <cell r="H277">
            <v>43845</v>
          </cell>
          <cell r="I277">
            <v>43875</v>
          </cell>
          <cell r="J277">
            <v>45702</v>
          </cell>
          <cell r="K277" t="str">
            <v>Prime</v>
          </cell>
          <cell r="L277" t="str">
            <v>Cost Plus Fixed Fee</v>
          </cell>
          <cell r="M277" t="str">
            <v>Cost Reimbursable</v>
          </cell>
          <cell r="N277" t="str">
            <v>Identified - New</v>
          </cell>
          <cell r="O277" t="str">
            <v>01 Prospect</v>
          </cell>
          <cell r="P277" t="str">
            <v>Priority 3</v>
          </cell>
          <cell r="Q277">
            <v>0.3</v>
          </cell>
          <cell r="R277">
            <v>48000000</v>
          </cell>
          <cell r="S277">
            <v>0.16</v>
          </cell>
          <cell r="T277">
            <v>0.16</v>
          </cell>
          <cell r="U277">
            <v>0.16</v>
          </cell>
          <cell r="V277">
            <v>0.16</v>
          </cell>
          <cell r="W277">
            <v>0.16</v>
          </cell>
          <cell r="X277">
            <v>6.8000000000000005E-2</v>
          </cell>
          <cell r="Y277">
            <v>6.8000000000000005E-2</v>
          </cell>
          <cell r="Z277">
            <v>6.8000000000000005E-2</v>
          </cell>
          <cell r="AA277">
            <v>6.8000000000000005E-2</v>
          </cell>
          <cell r="AB277">
            <v>6.8000000000000005E-2</v>
          </cell>
          <cell r="AC277">
            <v>9600000</v>
          </cell>
          <cell r="AD277">
            <v>0</v>
          </cell>
          <cell r="AE277">
            <v>1808000</v>
          </cell>
          <cell r="AF277">
            <v>2880000</v>
          </cell>
          <cell r="AG277">
            <v>2880000</v>
          </cell>
          <cell r="AH277">
            <v>2880000</v>
          </cell>
          <cell r="AI277">
            <v>0</v>
          </cell>
          <cell r="AJ277">
            <v>289280</v>
          </cell>
          <cell r="AK277">
            <v>460800</v>
          </cell>
          <cell r="AL277">
            <v>460800</v>
          </cell>
          <cell r="AM277">
            <v>460800</v>
          </cell>
          <cell r="AN277">
            <v>0</v>
          </cell>
          <cell r="AO277">
            <v>122944.00000000001</v>
          </cell>
          <cell r="AP277">
            <v>195840</v>
          </cell>
          <cell r="AQ277">
            <v>195840</v>
          </cell>
          <cell r="AR277">
            <v>195840</v>
          </cell>
          <cell r="AT277" t="str">
            <v>OPP-922967 - Identified - New - IS4</v>
          </cell>
          <cell r="AU277">
            <v>710464</v>
          </cell>
          <cell r="AV277">
            <v>0</v>
          </cell>
          <cell r="AW277">
            <v>710464</v>
          </cell>
          <cell r="AX277">
            <v>0</v>
          </cell>
          <cell r="AZ277">
            <v>266</v>
          </cell>
          <cell r="BA277">
            <v>66</v>
          </cell>
          <cell r="BB277">
            <v>328</v>
          </cell>
        </row>
        <row r="278">
          <cell r="B278" t="str">
            <v>OPP-416157</v>
          </cell>
          <cell r="C278" t="str">
            <v>PAX - ATC&amp;LS General Support (AIR 4.5.8)</v>
          </cell>
          <cell r="D278" t="str">
            <v>IS4</v>
          </cell>
          <cell r="E278" t="str">
            <v>IS4 Spectrum &amp; Infrastructure Assurance</v>
          </cell>
          <cell r="F278" t="str">
            <v>Navy</v>
          </cell>
          <cell r="G278" t="str">
            <v>DOD</v>
          </cell>
          <cell r="H278">
            <v>44256</v>
          </cell>
          <cell r="I278">
            <v>44256</v>
          </cell>
          <cell r="J278">
            <v>46082</v>
          </cell>
          <cell r="K278" t="str">
            <v>Prime</v>
          </cell>
          <cell r="L278" t="str">
            <v>Cost Plus Fixed Fee</v>
          </cell>
          <cell r="M278" t="str">
            <v>Cost Reimbursable</v>
          </cell>
          <cell r="N278" t="str">
            <v>Identified - New</v>
          </cell>
          <cell r="O278" t="str">
            <v>01 Prospect</v>
          </cell>
          <cell r="P278" t="str">
            <v>Priority 3</v>
          </cell>
          <cell r="Q278">
            <v>0.5</v>
          </cell>
          <cell r="R278">
            <v>45389000</v>
          </cell>
          <cell r="S278">
            <v>0.16</v>
          </cell>
          <cell r="T278">
            <v>0.16</v>
          </cell>
          <cell r="U278">
            <v>0.16</v>
          </cell>
          <cell r="V278">
            <v>0.16</v>
          </cell>
          <cell r="W278">
            <v>0.16</v>
          </cell>
          <cell r="X278">
            <v>6.8000000000000005E-2</v>
          </cell>
          <cell r="Y278">
            <v>6.8000000000000005E-2</v>
          </cell>
          <cell r="Z278">
            <v>6.8000000000000005E-2</v>
          </cell>
          <cell r="AA278">
            <v>6.8000000000000005E-2</v>
          </cell>
          <cell r="AB278">
            <v>6.8000000000000005E-2</v>
          </cell>
          <cell r="AC278">
            <v>9077800</v>
          </cell>
          <cell r="AD278">
            <v>0</v>
          </cell>
          <cell r="AE278">
            <v>0</v>
          </cell>
          <cell r="AF278">
            <v>2635083.6111111115</v>
          </cell>
          <cell r="AG278">
            <v>4538900</v>
          </cell>
          <cell r="AH278">
            <v>4538900</v>
          </cell>
          <cell r="AI278">
            <v>0</v>
          </cell>
          <cell r="AJ278">
            <v>0</v>
          </cell>
          <cell r="AK278">
            <v>421613.37777777785</v>
          </cell>
          <cell r="AL278">
            <v>726224</v>
          </cell>
          <cell r="AM278">
            <v>726224</v>
          </cell>
          <cell r="AN278">
            <v>0</v>
          </cell>
          <cell r="AO278">
            <v>0</v>
          </cell>
          <cell r="AP278">
            <v>179185.6855555556</v>
          </cell>
          <cell r="AQ278">
            <v>308645.2</v>
          </cell>
          <cell r="AR278">
            <v>308645.2</v>
          </cell>
          <cell r="AT278" t="str">
            <v>OPP-416157 - Identified - New - IS4</v>
          </cell>
          <cell r="AU278">
            <v>796476.08555555553</v>
          </cell>
          <cell r="AV278">
            <v>0</v>
          </cell>
          <cell r="AW278">
            <v>796476.08555555553</v>
          </cell>
          <cell r="AX278">
            <v>0</v>
          </cell>
          <cell r="AZ278">
            <v>267</v>
          </cell>
          <cell r="BA278">
            <v>61</v>
          </cell>
          <cell r="BB278">
            <v>329</v>
          </cell>
        </row>
        <row r="279">
          <cell r="B279" t="str">
            <v>OPP-945537</v>
          </cell>
          <cell r="C279" t="str">
            <v>AFLCMC Mobility/Tanker PEOEPASS FOPR #50</v>
          </cell>
          <cell r="D279" t="str">
            <v>IS4</v>
          </cell>
          <cell r="E279" t="str">
            <v>IS4 Spectrum &amp; Infrastructure Assurance</v>
          </cell>
          <cell r="F279" t="str">
            <v>Air Force</v>
          </cell>
          <cell r="G279" t="str">
            <v>DOD</v>
          </cell>
          <cell r="H279">
            <v>43836</v>
          </cell>
          <cell r="I279">
            <v>43890</v>
          </cell>
          <cell r="J279">
            <v>45716</v>
          </cell>
          <cell r="K279" t="str">
            <v>Sub</v>
          </cell>
          <cell r="L279" t="str">
            <v>T&amp;M</v>
          </cell>
          <cell r="M279" t="str">
            <v>T&amp;M</v>
          </cell>
          <cell r="N279" t="str">
            <v>Identified - New</v>
          </cell>
          <cell r="O279" t="str">
            <v>01 Prospect</v>
          </cell>
          <cell r="P279" t="str">
            <v>Priority 3</v>
          </cell>
          <cell r="Q279">
            <v>0.25</v>
          </cell>
          <cell r="R279">
            <v>45000000</v>
          </cell>
          <cell r="S279">
            <v>0.182</v>
          </cell>
          <cell r="T279">
            <v>0.182</v>
          </cell>
          <cell r="U279">
            <v>0.183</v>
          </cell>
          <cell r="V279">
            <v>0.185</v>
          </cell>
          <cell r="W279">
            <v>0.19</v>
          </cell>
          <cell r="X279">
            <v>0.09</v>
          </cell>
          <cell r="Y279">
            <v>0.09</v>
          </cell>
          <cell r="Z279">
            <v>9.0999999999999998E-2</v>
          </cell>
          <cell r="AA279">
            <v>9.2999999999999999E-2</v>
          </cell>
          <cell r="AB279">
            <v>9.8000000000000004E-2</v>
          </cell>
          <cell r="AC279">
            <v>9000000</v>
          </cell>
          <cell r="AD279">
            <v>0</v>
          </cell>
          <cell r="AE279">
            <v>1312500</v>
          </cell>
          <cell r="AF279">
            <v>2250000</v>
          </cell>
          <cell r="AG279">
            <v>2250000</v>
          </cell>
          <cell r="AH279">
            <v>2250000</v>
          </cell>
          <cell r="AI279">
            <v>0</v>
          </cell>
          <cell r="AJ279">
            <v>238875</v>
          </cell>
          <cell r="AK279">
            <v>411750</v>
          </cell>
          <cell r="AL279">
            <v>416250</v>
          </cell>
          <cell r="AM279">
            <v>427500</v>
          </cell>
          <cell r="AN279">
            <v>0</v>
          </cell>
          <cell r="AO279">
            <v>118125</v>
          </cell>
          <cell r="AP279">
            <v>204750</v>
          </cell>
          <cell r="AQ279">
            <v>209250</v>
          </cell>
          <cell r="AR279">
            <v>220500</v>
          </cell>
          <cell r="AT279" t="str">
            <v>OPP-945537 - Identified - New - IS4</v>
          </cell>
          <cell r="AU279">
            <v>752625</v>
          </cell>
          <cell r="AV279">
            <v>0</v>
          </cell>
          <cell r="AW279">
            <v>752625</v>
          </cell>
          <cell r="AX279">
            <v>0</v>
          </cell>
          <cell r="AZ279">
            <v>268</v>
          </cell>
          <cell r="BA279">
            <v>63</v>
          </cell>
          <cell r="BB279">
            <v>330</v>
          </cell>
        </row>
        <row r="280">
          <cell r="B280" t="str">
            <v>OPP-912919</v>
          </cell>
          <cell r="C280" t="str">
            <v>RS3-19-0003 PM SAI SETA</v>
          </cell>
          <cell r="D280" t="str">
            <v>IS4</v>
          </cell>
          <cell r="E280" t="str">
            <v>IS4 Spectrum &amp; Infrastructure Assurance</v>
          </cell>
          <cell r="F280" t="str">
            <v>Army</v>
          </cell>
          <cell r="G280" t="str">
            <v>DOD</v>
          </cell>
          <cell r="H280">
            <v>43845</v>
          </cell>
          <cell r="I280">
            <v>43920</v>
          </cell>
          <cell r="J280">
            <v>45746</v>
          </cell>
          <cell r="K280" t="str">
            <v>Prime</v>
          </cell>
          <cell r="L280" t="str">
            <v>Cost Plus Fixed Fee</v>
          </cell>
          <cell r="M280" t="str">
            <v>Cost Reimbursable</v>
          </cell>
          <cell r="N280" t="str">
            <v>Identified - New</v>
          </cell>
          <cell r="O280" t="str">
            <v>02 Capture</v>
          </cell>
          <cell r="P280" t="str">
            <v>Priority 3</v>
          </cell>
          <cell r="Q280">
            <v>0.3</v>
          </cell>
          <cell r="R280">
            <v>43500000</v>
          </cell>
          <cell r="S280">
            <v>0.16</v>
          </cell>
          <cell r="T280">
            <v>0.16</v>
          </cell>
          <cell r="U280">
            <v>0.16</v>
          </cell>
          <cell r="V280">
            <v>0.16</v>
          </cell>
          <cell r="W280">
            <v>0.16</v>
          </cell>
          <cell r="X280">
            <v>6.8000000000000005E-2</v>
          </cell>
          <cell r="Y280">
            <v>6.8000000000000005E-2</v>
          </cell>
          <cell r="Z280">
            <v>6.8000000000000005E-2</v>
          </cell>
          <cell r="AA280">
            <v>6.8000000000000005E-2</v>
          </cell>
          <cell r="AB280">
            <v>6.8000000000000005E-2</v>
          </cell>
          <cell r="AC280">
            <v>8700000</v>
          </cell>
          <cell r="AD280">
            <v>0</v>
          </cell>
          <cell r="AE280">
            <v>1305000</v>
          </cell>
          <cell r="AF280">
            <v>2610000</v>
          </cell>
          <cell r="AG280">
            <v>2610000</v>
          </cell>
          <cell r="AH280">
            <v>2610000</v>
          </cell>
          <cell r="AI280">
            <v>0</v>
          </cell>
          <cell r="AJ280">
            <v>208800</v>
          </cell>
          <cell r="AK280">
            <v>417600</v>
          </cell>
          <cell r="AL280">
            <v>417600</v>
          </cell>
          <cell r="AM280">
            <v>417600</v>
          </cell>
          <cell r="AN280">
            <v>0</v>
          </cell>
          <cell r="AO280">
            <v>88740</v>
          </cell>
          <cell r="AP280">
            <v>177480</v>
          </cell>
          <cell r="AQ280">
            <v>177480</v>
          </cell>
          <cell r="AR280">
            <v>177480</v>
          </cell>
          <cell r="AT280" t="str">
            <v>OPP-912919 - Identified - New - IS4</v>
          </cell>
          <cell r="AU280">
            <v>621180</v>
          </cell>
          <cell r="AV280">
            <v>0</v>
          </cell>
          <cell r="AW280">
            <v>621180</v>
          </cell>
          <cell r="AX280">
            <v>0</v>
          </cell>
          <cell r="AZ280">
            <v>269</v>
          </cell>
          <cell r="BA280">
            <v>72</v>
          </cell>
          <cell r="BB280">
            <v>331</v>
          </cell>
        </row>
        <row r="281">
          <cell r="B281" t="str">
            <v>OPP-919244</v>
          </cell>
          <cell r="C281" t="str">
            <v>Joint Electronic Warfare Effects Lab (JEWEL) Support Services</v>
          </cell>
          <cell r="D281" t="str">
            <v>IS4</v>
          </cell>
          <cell r="E281" t="str">
            <v>IS4 Spectrum &amp; Infrastructure Assurance</v>
          </cell>
          <cell r="F281" t="str">
            <v>Navy</v>
          </cell>
          <cell r="G281" t="str">
            <v>DOD</v>
          </cell>
          <cell r="H281">
            <v>44409</v>
          </cell>
          <cell r="I281">
            <v>44411</v>
          </cell>
          <cell r="J281">
            <v>45507</v>
          </cell>
          <cell r="K281" t="str">
            <v>Prime</v>
          </cell>
          <cell r="L281" t="str">
            <v>Cost Plus Fixed Fee</v>
          </cell>
          <cell r="M281" t="str">
            <v>Cost Reimbursable</v>
          </cell>
          <cell r="N281" t="str">
            <v>Identified - New</v>
          </cell>
          <cell r="O281" t="str">
            <v>01 Prospect</v>
          </cell>
          <cell r="P281" t="str">
            <v>Priority 3</v>
          </cell>
          <cell r="Q281">
            <v>0.25</v>
          </cell>
          <cell r="R281">
            <v>40000000</v>
          </cell>
          <cell r="S281">
            <v>0.16</v>
          </cell>
          <cell r="T281">
            <v>0.16</v>
          </cell>
          <cell r="U281">
            <v>0.16</v>
          </cell>
          <cell r="V281">
            <v>0.16</v>
          </cell>
          <cell r="W281">
            <v>0.16</v>
          </cell>
          <cell r="X281">
            <v>6.8000000000000005E-2</v>
          </cell>
          <cell r="Y281">
            <v>6.8000000000000005E-2</v>
          </cell>
          <cell r="Z281">
            <v>6.8000000000000005E-2</v>
          </cell>
          <cell r="AA281">
            <v>6.8000000000000005E-2</v>
          </cell>
          <cell r="AB281">
            <v>6.8000000000000005E-2</v>
          </cell>
          <cell r="AC281">
            <v>13333333.333333334</v>
          </cell>
          <cell r="AD281">
            <v>0</v>
          </cell>
          <cell r="AE281">
            <v>0</v>
          </cell>
          <cell r="AF281">
            <v>527777.77777777775</v>
          </cell>
          <cell r="AG281">
            <v>3333333.3333333335</v>
          </cell>
          <cell r="AH281">
            <v>3333333.3333333335</v>
          </cell>
          <cell r="AI281">
            <v>0</v>
          </cell>
          <cell r="AJ281">
            <v>0</v>
          </cell>
          <cell r="AK281">
            <v>84444.444444444438</v>
          </cell>
          <cell r="AL281">
            <v>533333.33333333337</v>
          </cell>
          <cell r="AM281">
            <v>533333.33333333337</v>
          </cell>
          <cell r="AN281">
            <v>0</v>
          </cell>
          <cell r="AO281">
            <v>0</v>
          </cell>
          <cell r="AP281">
            <v>35888.888888888891</v>
          </cell>
          <cell r="AQ281">
            <v>226666.66666666669</v>
          </cell>
          <cell r="AR281">
            <v>226666.66666666669</v>
          </cell>
          <cell r="AT281" t="str">
            <v>OPP-919244 - Identified - New - IS4</v>
          </cell>
          <cell r="AU281">
            <v>489222.22222222225</v>
          </cell>
          <cell r="AV281">
            <v>0</v>
          </cell>
          <cell r="AW281">
            <v>489222.22222222225</v>
          </cell>
          <cell r="AX281">
            <v>0</v>
          </cell>
          <cell r="AZ281">
            <v>270</v>
          </cell>
          <cell r="BA281">
            <v>85</v>
          </cell>
          <cell r="BB281">
            <v>332</v>
          </cell>
        </row>
        <row r="282">
          <cell r="B282" t="str">
            <v>OPP-563907</v>
          </cell>
          <cell r="C282" t="str">
            <v>NSWC Crane WXP Radar Technology Support (SAIC FC47)</v>
          </cell>
          <cell r="D282" t="str">
            <v>IS4</v>
          </cell>
          <cell r="E282" t="str">
            <v>IS4 Spectrum &amp; Infrastructure Assurance</v>
          </cell>
          <cell r="F282" t="str">
            <v>Navy</v>
          </cell>
          <cell r="G282" t="str">
            <v>DOD</v>
          </cell>
          <cell r="H282">
            <v>43945</v>
          </cell>
          <cell r="I282">
            <v>44039</v>
          </cell>
          <cell r="J282">
            <v>45865</v>
          </cell>
          <cell r="K282" t="str">
            <v>Prime</v>
          </cell>
          <cell r="L282" t="str">
            <v>Cost Plus Fixed Fee</v>
          </cell>
          <cell r="M282" t="str">
            <v>Cost Reimbursable</v>
          </cell>
          <cell r="N282" t="str">
            <v>Identified - New</v>
          </cell>
          <cell r="O282" t="str">
            <v>02 Capture</v>
          </cell>
          <cell r="P282" t="str">
            <v>Priority 3</v>
          </cell>
          <cell r="Q282">
            <v>0.3</v>
          </cell>
          <cell r="R282">
            <v>36000000</v>
          </cell>
          <cell r="S282">
            <v>0.16</v>
          </cell>
          <cell r="T282">
            <v>0.16</v>
          </cell>
          <cell r="U282">
            <v>0.16</v>
          </cell>
          <cell r="V282">
            <v>0.16</v>
          </cell>
          <cell r="W282">
            <v>0.16</v>
          </cell>
          <cell r="X282">
            <v>6.8000000000000005E-2</v>
          </cell>
          <cell r="Y282">
            <v>6.8000000000000005E-2</v>
          </cell>
          <cell r="Z282">
            <v>6.8000000000000005E-2</v>
          </cell>
          <cell r="AA282">
            <v>6.8000000000000005E-2</v>
          </cell>
          <cell r="AB282">
            <v>6.8000000000000005E-2</v>
          </cell>
          <cell r="AC282">
            <v>7200000</v>
          </cell>
          <cell r="AD282">
            <v>0</v>
          </cell>
          <cell r="AE282">
            <v>378000</v>
          </cell>
          <cell r="AF282">
            <v>2160000</v>
          </cell>
          <cell r="AG282">
            <v>2160000</v>
          </cell>
          <cell r="AH282">
            <v>2160000</v>
          </cell>
          <cell r="AI282">
            <v>0</v>
          </cell>
          <cell r="AJ282">
            <v>60480</v>
          </cell>
          <cell r="AK282">
            <v>345600</v>
          </cell>
          <cell r="AL282">
            <v>345600</v>
          </cell>
          <cell r="AM282">
            <v>345600</v>
          </cell>
          <cell r="AN282">
            <v>0</v>
          </cell>
          <cell r="AO282">
            <v>25704.000000000004</v>
          </cell>
          <cell r="AP282">
            <v>146880</v>
          </cell>
          <cell r="AQ282">
            <v>146880</v>
          </cell>
          <cell r="AR282">
            <v>146880</v>
          </cell>
          <cell r="AT282" t="str">
            <v>OPP-563907 - Identified - New - IS4</v>
          </cell>
          <cell r="AU282">
            <v>466344</v>
          </cell>
          <cell r="AV282">
            <v>0</v>
          </cell>
          <cell r="AW282">
            <v>466344</v>
          </cell>
          <cell r="AX282">
            <v>0</v>
          </cell>
          <cell r="AZ282">
            <v>271</v>
          </cell>
          <cell r="BA282">
            <v>88</v>
          </cell>
          <cell r="BB282">
            <v>333</v>
          </cell>
        </row>
        <row r="283">
          <cell r="B283" t="str">
            <v>OPP-413708</v>
          </cell>
          <cell r="C283" t="str">
            <v>NSWCDD - R40 - System Safety Engineering Support</v>
          </cell>
          <cell r="D283" t="str">
            <v>IS4</v>
          </cell>
          <cell r="E283" t="str">
            <v>IS4 Spectrum &amp; Infrastructure Assurance</v>
          </cell>
          <cell r="F283" t="str">
            <v>Navy</v>
          </cell>
          <cell r="G283" t="str">
            <v>DOD</v>
          </cell>
          <cell r="H283">
            <v>43862</v>
          </cell>
          <cell r="I283">
            <v>43891</v>
          </cell>
          <cell r="J283">
            <v>45717</v>
          </cell>
          <cell r="K283" t="str">
            <v>Prime</v>
          </cell>
          <cell r="L283" t="str">
            <v>Cost Plus Fixed Fee</v>
          </cell>
          <cell r="M283" t="str">
            <v>Cost Reimbursable</v>
          </cell>
          <cell r="N283" t="str">
            <v>Identified - New</v>
          </cell>
          <cell r="O283" t="str">
            <v>02 Capture</v>
          </cell>
          <cell r="P283" t="str">
            <v>Priority 3</v>
          </cell>
          <cell r="Q283">
            <v>0.3</v>
          </cell>
          <cell r="R283">
            <v>35000000</v>
          </cell>
          <cell r="S283">
            <v>0.16</v>
          </cell>
          <cell r="T283">
            <v>0.16</v>
          </cell>
          <cell r="U283">
            <v>0.16</v>
          </cell>
          <cell r="V283">
            <v>0.16</v>
          </cell>
          <cell r="W283">
            <v>0.16</v>
          </cell>
          <cell r="X283">
            <v>6.8000000000000005E-2</v>
          </cell>
          <cell r="Y283">
            <v>6.8000000000000005E-2</v>
          </cell>
          <cell r="Z283">
            <v>6.8000000000000005E-2</v>
          </cell>
          <cell r="AA283">
            <v>6.8000000000000005E-2</v>
          </cell>
          <cell r="AB283">
            <v>6.8000000000000005E-2</v>
          </cell>
          <cell r="AC283">
            <v>7000000</v>
          </cell>
          <cell r="AD283">
            <v>0</v>
          </cell>
          <cell r="AE283">
            <v>1219166.6666666667</v>
          </cell>
          <cell r="AF283">
            <v>2100000</v>
          </cell>
          <cell r="AG283">
            <v>2100000</v>
          </cell>
          <cell r="AH283">
            <v>2100000</v>
          </cell>
          <cell r="AI283">
            <v>0</v>
          </cell>
          <cell r="AJ283">
            <v>195066.66666666669</v>
          </cell>
          <cell r="AK283">
            <v>336000</v>
          </cell>
          <cell r="AL283">
            <v>336000</v>
          </cell>
          <cell r="AM283">
            <v>336000</v>
          </cell>
          <cell r="AN283">
            <v>0</v>
          </cell>
          <cell r="AO283">
            <v>82903.333333333343</v>
          </cell>
          <cell r="AP283">
            <v>142800</v>
          </cell>
          <cell r="AQ283">
            <v>142800</v>
          </cell>
          <cell r="AR283">
            <v>142800</v>
          </cell>
          <cell r="AT283" t="str">
            <v>OPP-413708 - Identified - New - IS4</v>
          </cell>
          <cell r="AU283">
            <v>511303.33333333337</v>
          </cell>
          <cell r="AV283">
            <v>0</v>
          </cell>
          <cell r="AW283">
            <v>511303.33333333337</v>
          </cell>
          <cell r="AX283">
            <v>0</v>
          </cell>
          <cell r="AZ283">
            <v>272</v>
          </cell>
          <cell r="BA283">
            <v>81</v>
          </cell>
          <cell r="BB283">
            <v>334</v>
          </cell>
        </row>
        <row r="284">
          <cell r="B284" t="str">
            <v>OPP-959230</v>
          </cell>
          <cell r="C284" t="str">
            <v>RS3-Flight Activity SOUTHCOM Support</v>
          </cell>
          <cell r="D284" t="str">
            <v>IS4</v>
          </cell>
          <cell r="E284" t="str">
            <v>IS4 Spectrum &amp; Infrastructure Assurance</v>
          </cell>
          <cell r="F284" t="str">
            <v>Air Force</v>
          </cell>
          <cell r="G284" t="str">
            <v>DOD</v>
          </cell>
          <cell r="H284">
            <v>43889</v>
          </cell>
          <cell r="I284">
            <v>43892</v>
          </cell>
          <cell r="J284">
            <v>45718</v>
          </cell>
          <cell r="K284" t="str">
            <v>Prime</v>
          </cell>
          <cell r="L284" t="str">
            <v>Cost Plus Fixed Fee</v>
          </cell>
          <cell r="M284" t="str">
            <v>Cost Reimbursable</v>
          </cell>
          <cell r="N284" t="str">
            <v>Identified - New</v>
          </cell>
          <cell r="O284" t="str">
            <v>01 Prospect</v>
          </cell>
          <cell r="P284" t="str">
            <v>Priority 3</v>
          </cell>
          <cell r="Q284">
            <v>0.25</v>
          </cell>
          <cell r="R284">
            <v>35000000</v>
          </cell>
          <cell r="S284">
            <v>0.16</v>
          </cell>
          <cell r="T284">
            <v>0.16</v>
          </cell>
          <cell r="U284">
            <v>0.16</v>
          </cell>
          <cell r="V284">
            <v>0.16</v>
          </cell>
          <cell r="W284">
            <v>0.16</v>
          </cell>
          <cell r="X284">
            <v>6.8000000000000005E-2</v>
          </cell>
          <cell r="Y284">
            <v>6.8000000000000005E-2</v>
          </cell>
          <cell r="Z284">
            <v>6.8000000000000005E-2</v>
          </cell>
          <cell r="AA284">
            <v>6.8000000000000005E-2</v>
          </cell>
          <cell r="AB284">
            <v>6.8000000000000005E-2</v>
          </cell>
          <cell r="AC284">
            <v>7000000</v>
          </cell>
          <cell r="AD284">
            <v>0</v>
          </cell>
          <cell r="AE284">
            <v>1011111.111111111</v>
          </cell>
          <cell r="AF284">
            <v>1750000</v>
          </cell>
          <cell r="AG284">
            <v>1750000</v>
          </cell>
          <cell r="AH284">
            <v>1750000</v>
          </cell>
          <cell r="AI284">
            <v>0</v>
          </cell>
          <cell r="AJ284">
            <v>161777.77777777775</v>
          </cell>
          <cell r="AK284">
            <v>280000</v>
          </cell>
          <cell r="AL284">
            <v>280000</v>
          </cell>
          <cell r="AM284">
            <v>280000</v>
          </cell>
          <cell r="AN284">
            <v>0</v>
          </cell>
          <cell r="AO284">
            <v>68755.555555555547</v>
          </cell>
          <cell r="AP284">
            <v>119000.00000000001</v>
          </cell>
          <cell r="AQ284">
            <v>119000.00000000001</v>
          </cell>
          <cell r="AR284">
            <v>119000.00000000001</v>
          </cell>
          <cell r="AT284" t="str">
            <v>OPP-959230 - Identified - New - IS4</v>
          </cell>
          <cell r="AU284">
            <v>425755.55555555556</v>
          </cell>
          <cell r="AV284">
            <v>0</v>
          </cell>
          <cell r="AW284">
            <v>425755.55555555556</v>
          </cell>
          <cell r="AX284">
            <v>0</v>
          </cell>
          <cell r="AZ284">
            <v>273</v>
          </cell>
          <cell r="BA284">
            <v>94</v>
          </cell>
          <cell r="BB284">
            <v>335</v>
          </cell>
        </row>
        <row r="285">
          <cell r="B285" t="str">
            <v>OPP-885232</v>
          </cell>
          <cell r="C285" t="str">
            <v>RS3-18-0046 Sensor Development for Support for Manned and Unmanned</v>
          </cell>
          <cell r="D285" t="str">
            <v>IS4</v>
          </cell>
          <cell r="E285" t="str">
            <v>IS4 Spectrum &amp; Infrastructure Assurance</v>
          </cell>
          <cell r="F285" t="str">
            <v>Army</v>
          </cell>
          <cell r="G285" t="str">
            <v>DOD</v>
          </cell>
          <cell r="H285">
            <v>44645</v>
          </cell>
          <cell r="I285">
            <v>44680</v>
          </cell>
          <cell r="J285">
            <v>46506</v>
          </cell>
          <cell r="K285" t="str">
            <v>Prime</v>
          </cell>
          <cell r="L285" t="str">
            <v>Cost Plus Fixed Fee</v>
          </cell>
          <cell r="M285" t="str">
            <v>Cost Reimbursable</v>
          </cell>
          <cell r="N285" t="str">
            <v>Identified - New</v>
          </cell>
          <cell r="O285" t="str">
            <v>01 Prospect</v>
          </cell>
          <cell r="P285" t="str">
            <v>Priority 3</v>
          </cell>
          <cell r="Q285">
            <v>0.25</v>
          </cell>
          <cell r="R285">
            <v>35000000</v>
          </cell>
          <cell r="S285">
            <v>0.16</v>
          </cell>
          <cell r="T285">
            <v>0.16</v>
          </cell>
          <cell r="U285">
            <v>0.16</v>
          </cell>
          <cell r="V285">
            <v>0.16</v>
          </cell>
          <cell r="W285">
            <v>0.16</v>
          </cell>
          <cell r="X285">
            <v>6.8000000000000005E-2</v>
          </cell>
          <cell r="Y285">
            <v>6.8000000000000005E-2</v>
          </cell>
          <cell r="Z285">
            <v>6.8000000000000005E-2</v>
          </cell>
          <cell r="AA285">
            <v>6.8000000000000005E-2</v>
          </cell>
          <cell r="AB285">
            <v>6.8000000000000005E-2</v>
          </cell>
          <cell r="AC285">
            <v>7000000</v>
          </cell>
          <cell r="AD285">
            <v>0</v>
          </cell>
          <cell r="AE285">
            <v>0</v>
          </cell>
          <cell r="AF285">
            <v>0</v>
          </cell>
          <cell r="AG285">
            <v>734027.77777777775</v>
          </cell>
          <cell r="AH285">
            <v>1750000</v>
          </cell>
          <cell r="AI285">
            <v>0</v>
          </cell>
          <cell r="AJ285">
            <v>0</v>
          </cell>
          <cell r="AK285">
            <v>0</v>
          </cell>
          <cell r="AL285">
            <v>117444.44444444444</v>
          </cell>
          <cell r="AM285">
            <v>280000</v>
          </cell>
          <cell r="AN285">
            <v>0</v>
          </cell>
          <cell r="AO285">
            <v>0</v>
          </cell>
          <cell r="AP285">
            <v>0</v>
          </cell>
          <cell r="AQ285">
            <v>49913.888888888891</v>
          </cell>
          <cell r="AR285">
            <v>119000.00000000001</v>
          </cell>
          <cell r="AT285" t="str">
            <v>OPP-885232 - Identified - New - IS4</v>
          </cell>
          <cell r="AU285">
            <v>168913.88888888891</v>
          </cell>
          <cell r="AV285">
            <v>0</v>
          </cell>
          <cell r="AW285">
            <v>168913.88888888891</v>
          </cell>
          <cell r="AX285">
            <v>0</v>
          </cell>
          <cell r="AZ285">
            <v>274</v>
          </cell>
          <cell r="BA285">
            <v>138</v>
          </cell>
          <cell r="BB285">
            <v>336</v>
          </cell>
        </row>
        <row r="286">
          <cell r="B286" t="str">
            <v>OPP-575694</v>
          </cell>
          <cell r="C286" t="str">
            <v>NSWCDD B30 Sensor and EW Systems</v>
          </cell>
          <cell r="D286" t="str">
            <v>IS4</v>
          </cell>
          <cell r="E286" t="str">
            <v>IS4 Spectrum &amp; Infrastructure Assurance</v>
          </cell>
          <cell r="F286" t="str">
            <v>Navy</v>
          </cell>
          <cell r="G286" t="str">
            <v>DOD</v>
          </cell>
          <cell r="H286">
            <v>44421</v>
          </cell>
          <cell r="I286">
            <v>44452</v>
          </cell>
          <cell r="J286">
            <v>46278</v>
          </cell>
          <cell r="K286" t="str">
            <v>Prime</v>
          </cell>
          <cell r="L286" t="str">
            <v>Cost Plus Fixed Fee</v>
          </cell>
          <cell r="M286" t="str">
            <v>Cost Reimbursable</v>
          </cell>
          <cell r="N286" t="str">
            <v>Identified - New</v>
          </cell>
          <cell r="O286" t="str">
            <v>01 Prospect</v>
          </cell>
          <cell r="P286" t="str">
            <v>Priority 3</v>
          </cell>
          <cell r="Q286">
            <v>0.3</v>
          </cell>
          <cell r="R286">
            <v>34900000</v>
          </cell>
          <cell r="S286">
            <v>0.16</v>
          </cell>
          <cell r="T286">
            <v>0.16</v>
          </cell>
          <cell r="U286">
            <v>0.16</v>
          </cell>
          <cell r="V286">
            <v>0.16</v>
          </cell>
          <cell r="W286">
            <v>0.16</v>
          </cell>
          <cell r="X286">
            <v>6.8000000000000005E-2</v>
          </cell>
          <cell r="Y286">
            <v>6.8000000000000005E-2</v>
          </cell>
          <cell r="Z286">
            <v>6.8000000000000005E-2</v>
          </cell>
          <cell r="AA286">
            <v>6.8000000000000005E-2</v>
          </cell>
          <cell r="AB286">
            <v>6.8000000000000005E-2</v>
          </cell>
          <cell r="AC286">
            <v>6980000</v>
          </cell>
          <cell r="AD286">
            <v>0</v>
          </cell>
          <cell r="AE286">
            <v>0</v>
          </cell>
          <cell r="AF286">
            <v>98883.333333333328</v>
          </cell>
          <cell r="AG286">
            <v>2094000</v>
          </cell>
          <cell r="AH286">
            <v>2094000</v>
          </cell>
          <cell r="AI286">
            <v>0</v>
          </cell>
          <cell r="AJ286">
            <v>0</v>
          </cell>
          <cell r="AK286">
            <v>15821.333333333332</v>
          </cell>
          <cell r="AL286">
            <v>335040</v>
          </cell>
          <cell r="AM286">
            <v>335040</v>
          </cell>
          <cell r="AN286">
            <v>0</v>
          </cell>
          <cell r="AO286">
            <v>0</v>
          </cell>
          <cell r="AP286">
            <v>6724.0666666666666</v>
          </cell>
          <cell r="AQ286">
            <v>142392</v>
          </cell>
          <cell r="AR286">
            <v>142392</v>
          </cell>
          <cell r="AT286" t="str">
            <v>OPP-575694 - Identified - New - IS4</v>
          </cell>
          <cell r="AU286">
            <v>291508.06666666665</v>
          </cell>
          <cell r="AV286">
            <v>0</v>
          </cell>
          <cell r="AW286">
            <v>291508.06666666665</v>
          </cell>
          <cell r="AX286">
            <v>0</v>
          </cell>
          <cell r="AZ286">
            <v>275</v>
          </cell>
          <cell r="BA286">
            <v>118</v>
          </cell>
          <cell r="BB286">
            <v>337</v>
          </cell>
        </row>
        <row r="287">
          <cell r="B287" t="str">
            <v>OPP-721242</v>
          </cell>
          <cell r="C287" t="str">
            <v>DT-16-1274 USMC PM MHTV</v>
          </cell>
          <cell r="D287" t="str">
            <v>IS4</v>
          </cell>
          <cell r="E287" t="str">
            <v>IS4 Spectrum &amp; Infrastructure Assurance</v>
          </cell>
          <cell r="F287" t="str">
            <v>Marine Corps</v>
          </cell>
          <cell r="G287" t="str">
            <v>DOD</v>
          </cell>
          <cell r="H287">
            <v>44504</v>
          </cell>
          <cell r="I287">
            <v>44536</v>
          </cell>
          <cell r="J287">
            <v>46362</v>
          </cell>
          <cell r="K287" t="str">
            <v>Prime</v>
          </cell>
          <cell r="L287" t="str">
            <v>Cost Plus Fixed Fee</v>
          </cell>
          <cell r="M287" t="str">
            <v>Cost Reimbursable</v>
          </cell>
          <cell r="N287" t="str">
            <v>Identified - New</v>
          </cell>
          <cell r="O287" t="str">
            <v>01 Prospect</v>
          </cell>
          <cell r="P287" t="str">
            <v>Priority 3</v>
          </cell>
          <cell r="Q287">
            <v>0.3</v>
          </cell>
          <cell r="R287">
            <v>31500000</v>
          </cell>
          <cell r="S287">
            <v>0.16</v>
          </cell>
          <cell r="T287">
            <v>0.16</v>
          </cell>
          <cell r="U287">
            <v>0.16</v>
          </cell>
          <cell r="V287">
            <v>0.16</v>
          </cell>
          <cell r="W287">
            <v>0.16</v>
          </cell>
          <cell r="X287">
            <v>6.8000000000000005E-2</v>
          </cell>
          <cell r="Y287">
            <v>6.8000000000000005E-2</v>
          </cell>
          <cell r="Z287">
            <v>6.8000000000000005E-2</v>
          </cell>
          <cell r="AA287">
            <v>6.8000000000000005E-2</v>
          </cell>
          <cell r="AB287">
            <v>6.8000000000000005E-2</v>
          </cell>
          <cell r="AC287">
            <v>6300000</v>
          </cell>
          <cell r="AD287">
            <v>0</v>
          </cell>
          <cell r="AE287">
            <v>0</v>
          </cell>
          <cell r="AF287">
            <v>0</v>
          </cell>
          <cell r="AG287">
            <v>1543500</v>
          </cell>
          <cell r="AH287">
            <v>1890000</v>
          </cell>
          <cell r="AI287">
            <v>0</v>
          </cell>
          <cell r="AJ287">
            <v>0</v>
          </cell>
          <cell r="AK287">
            <v>0</v>
          </cell>
          <cell r="AL287">
            <v>246960</v>
          </cell>
          <cell r="AM287">
            <v>302400</v>
          </cell>
          <cell r="AN287">
            <v>0</v>
          </cell>
          <cell r="AO287">
            <v>0</v>
          </cell>
          <cell r="AP287">
            <v>0</v>
          </cell>
          <cell r="AQ287">
            <v>104958.00000000001</v>
          </cell>
          <cell r="AR287">
            <v>128520.00000000001</v>
          </cell>
          <cell r="AT287" t="str">
            <v>OPP-721242 - Identified - New - IS4</v>
          </cell>
          <cell r="AU287">
            <v>233478.00000000003</v>
          </cell>
          <cell r="AV287">
            <v>0</v>
          </cell>
          <cell r="AW287">
            <v>233478.00000000003</v>
          </cell>
          <cell r="AX287">
            <v>0</v>
          </cell>
          <cell r="AZ287">
            <v>276</v>
          </cell>
          <cell r="BA287">
            <v>126</v>
          </cell>
          <cell r="BB287">
            <v>338</v>
          </cell>
        </row>
        <row r="288">
          <cell r="B288" t="str">
            <v>OPP-481344</v>
          </cell>
          <cell r="C288" t="str">
            <v>PAX- NAVAIR E3 SYSTEMS ENGINEERING AND EVALUATION SUPPORT (Wyle Recompete)</v>
          </cell>
          <cell r="D288" t="str">
            <v>IS4</v>
          </cell>
          <cell r="E288" t="str">
            <v>IS4 Spectrum &amp; Infrastructure Assurance</v>
          </cell>
          <cell r="F288" t="str">
            <v>Navy</v>
          </cell>
          <cell r="G288" t="str">
            <v>DOD</v>
          </cell>
          <cell r="H288">
            <v>44089</v>
          </cell>
          <cell r="I288">
            <v>44116</v>
          </cell>
          <cell r="J288">
            <v>45942</v>
          </cell>
          <cell r="K288" t="str">
            <v>Prime</v>
          </cell>
          <cell r="L288" t="str">
            <v>Cost Plus Fixed Fee</v>
          </cell>
          <cell r="M288" t="str">
            <v>Cost Reimbursable</v>
          </cell>
          <cell r="N288" t="str">
            <v>Identified - New</v>
          </cell>
          <cell r="O288" t="str">
            <v>01 Prospect</v>
          </cell>
          <cell r="P288" t="str">
            <v>Priority 3</v>
          </cell>
          <cell r="Q288">
            <v>0.25</v>
          </cell>
          <cell r="R288">
            <v>30000000</v>
          </cell>
          <cell r="S288">
            <v>0.16</v>
          </cell>
          <cell r="T288">
            <v>0.16</v>
          </cell>
          <cell r="U288">
            <v>0.16</v>
          </cell>
          <cell r="V288">
            <v>0.16</v>
          </cell>
          <cell r="W288">
            <v>0.16</v>
          </cell>
          <cell r="X288">
            <v>6.8000000000000005E-2</v>
          </cell>
          <cell r="Y288">
            <v>6.8000000000000005E-2</v>
          </cell>
          <cell r="Z288">
            <v>6.8000000000000005E-2</v>
          </cell>
          <cell r="AA288">
            <v>6.8000000000000005E-2</v>
          </cell>
          <cell r="AB288">
            <v>6.8000000000000005E-2</v>
          </cell>
          <cell r="AC288">
            <v>6000000</v>
          </cell>
          <cell r="AD288">
            <v>0</v>
          </cell>
          <cell r="AE288">
            <v>0</v>
          </cell>
          <cell r="AF288">
            <v>1450000</v>
          </cell>
          <cell r="AG288">
            <v>1500000</v>
          </cell>
          <cell r="AH288">
            <v>1500000</v>
          </cell>
          <cell r="AI288">
            <v>0</v>
          </cell>
          <cell r="AJ288">
            <v>0</v>
          </cell>
          <cell r="AK288">
            <v>232000</v>
          </cell>
          <cell r="AL288">
            <v>240000</v>
          </cell>
          <cell r="AM288">
            <v>240000</v>
          </cell>
          <cell r="AN288">
            <v>0</v>
          </cell>
          <cell r="AO288">
            <v>0</v>
          </cell>
          <cell r="AP288">
            <v>98600</v>
          </cell>
          <cell r="AQ288">
            <v>102000.00000000001</v>
          </cell>
          <cell r="AR288">
            <v>102000.00000000001</v>
          </cell>
          <cell r="AT288" t="str">
            <v>OPP-481344 - Identified - New - IS4</v>
          </cell>
          <cell r="AU288">
            <v>302600</v>
          </cell>
          <cell r="AV288">
            <v>0</v>
          </cell>
          <cell r="AW288">
            <v>302600</v>
          </cell>
          <cell r="AX288">
            <v>0</v>
          </cell>
          <cell r="AZ288">
            <v>277</v>
          </cell>
          <cell r="BA288">
            <v>112</v>
          </cell>
          <cell r="BB288">
            <v>339</v>
          </cell>
        </row>
        <row r="289">
          <cell r="B289" t="str">
            <v>OPP-575660</v>
          </cell>
          <cell r="C289" t="str">
            <v>DT-17-1531 Arms, Ammunition, and Explosives (AA&amp;E), Science and Technology (S&amp;T) Analysis, Assessment (NOSSA)</v>
          </cell>
          <cell r="D289" t="str">
            <v>IS4</v>
          </cell>
          <cell r="E289" t="str">
            <v>IS4 Spectrum &amp; Infrastructure Assurance</v>
          </cell>
          <cell r="F289" t="str">
            <v>DISA</v>
          </cell>
          <cell r="G289" t="str">
            <v>DOD</v>
          </cell>
          <cell r="H289">
            <v>44330</v>
          </cell>
          <cell r="I289">
            <v>44361</v>
          </cell>
          <cell r="J289">
            <v>46187</v>
          </cell>
          <cell r="K289" t="str">
            <v>Prime</v>
          </cell>
          <cell r="L289" t="str">
            <v>Cost Plus Fixed Fee</v>
          </cell>
          <cell r="M289" t="str">
            <v>Cost Reimbursable</v>
          </cell>
          <cell r="N289" t="str">
            <v>Identified - New</v>
          </cell>
          <cell r="O289" t="str">
            <v>01 Prospect</v>
          </cell>
          <cell r="P289" t="str">
            <v>Priority 3</v>
          </cell>
          <cell r="Q289">
            <v>0.25</v>
          </cell>
          <cell r="R289">
            <v>30000000</v>
          </cell>
          <cell r="S289">
            <v>0.16</v>
          </cell>
          <cell r="T289">
            <v>0.16</v>
          </cell>
          <cell r="U289">
            <v>0.16</v>
          </cell>
          <cell r="V289">
            <v>0.16</v>
          </cell>
          <cell r="W289">
            <v>0.16</v>
          </cell>
          <cell r="X289">
            <v>6.8000000000000005E-2</v>
          </cell>
          <cell r="Y289">
            <v>6.8000000000000005E-2</v>
          </cell>
          <cell r="Z289">
            <v>6.8000000000000005E-2</v>
          </cell>
          <cell r="AA289">
            <v>6.8000000000000005E-2</v>
          </cell>
          <cell r="AB289">
            <v>6.8000000000000005E-2</v>
          </cell>
          <cell r="AC289">
            <v>6000000</v>
          </cell>
          <cell r="AD289">
            <v>0</v>
          </cell>
          <cell r="AE289">
            <v>0</v>
          </cell>
          <cell r="AF289">
            <v>441666.66666666669</v>
          </cell>
          <cell r="AG289">
            <v>1500000</v>
          </cell>
          <cell r="AH289">
            <v>1500000</v>
          </cell>
          <cell r="AI289">
            <v>0</v>
          </cell>
          <cell r="AJ289">
            <v>0</v>
          </cell>
          <cell r="AK289">
            <v>70666.666666666672</v>
          </cell>
          <cell r="AL289">
            <v>240000</v>
          </cell>
          <cell r="AM289">
            <v>240000</v>
          </cell>
          <cell r="AN289">
            <v>0</v>
          </cell>
          <cell r="AO289">
            <v>0</v>
          </cell>
          <cell r="AP289">
            <v>30033.333333333336</v>
          </cell>
          <cell r="AQ289">
            <v>102000.00000000001</v>
          </cell>
          <cell r="AR289">
            <v>102000.00000000001</v>
          </cell>
          <cell r="AT289" t="str">
            <v>OPP-575660 - Identified - New - IS4</v>
          </cell>
          <cell r="AU289">
            <v>234033.33333333337</v>
          </cell>
          <cell r="AV289">
            <v>0</v>
          </cell>
          <cell r="AW289">
            <v>234033.33333333337</v>
          </cell>
          <cell r="AX289">
            <v>0</v>
          </cell>
          <cell r="AZ289">
            <v>278</v>
          </cell>
          <cell r="BA289">
            <v>125</v>
          </cell>
          <cell r="BB289">
            <v>340</v>
          </cell>
        </row>
        <row r="290">
          <cell r="B290" t="str">
            <v>OPP-551450</v>
          </cell>
          <cell r="C290" t="str">
            <v>NSWCDD - V 30 Engineering Support FO</v>
          </cell>
          <cell r="D290" t="str">
            <v>IS4</v>
          </cell>
          <cell r="E290" t="str">
            <v>IS4 Spectrum &amp; Infrastructure Assurance</v>
          </cell>
          <cell r="F290" t="str">
            <v>Navy</v>
          </cell>
          <cell r="G290" t="str">
            <v>DOD</v>
          </cell>
          <cell r="H290">
            <v>44306</v>
          </cell>
          <cell r="I290">
            <v>44333</v>
          </cell>
          <cell r="J290">
            <v>46159</v>
          </cell>
          <cell r="K290" t="str">
            <v>Prime</v>
          </cell>
          <cell r="L290" t="str">
            <v>Cost Plus Fixed Fee</v>
          </cell>
          <cell r="M290" t="str">
            <v>Cost Reimbursable</v>
          </cell>
          <cell r="N290" t="str">
            <v>Identified - New</v>
          </cell>
          <cell r="O290" t="str">
            <v>01 Prospect</v>
          </cell>
          <cell r="P290" t="str">
            <v>Priority 3</v>
          </cell>
          <cell r="Q290">
            <v>0.3</v>
          </cell>
          <cell r="R290">
            <v>29500000</v>
          </cell>
          <cell r="S290">
            <v>0.16</v>
          </cell>
          <cell r="T290">
            <v>0.16</v>
          </cell>
          <cell r="U290">
            <v>0.16</v>
          </cell>
          <cell r="V290">
            <v>0.16</v>
          </cell>
          <cell r="W290">
            <v>0.16</v>
          </cell>
          <cell r="X290">
            <v>6.8000000000000005E-2</v>
          </cell>
          <cell r="Y290">
            <v>6.8000000000000005E-2</v>
          </cell>
          <cell r="Z290">
            <v>6.8000000000000005E-2</v>
          </cell>
          <cell r="AA290">
            <v>6.8000000000000005E-2</v>
          </cell>
          <cell r="AB290">
            <v>6.8000000000000005E-2</v>
          </cell>
          <cell r="AC290">
            <v>5900000</v>
          </cell>
          <cell r="AD290">
            <v>0</v>
          </cell>
          <cell r="AE290">
            <v>0</v>
          </cell>
          <cell r="AF290">
            <v>653916.66666666674</v>
          </cell>
          <cell r="AG290">
            <v>1770000</v>
          </cell>
          <cell r="AH290">
            <v>1770000</v>
          </cell>
          <cell r="AI290">
            <v>0</v>
          </cell>
          <cell r="AJ290">
            <v>0</v>
          </cell>
          <cell r="AK290">
            <v>104626.66666666669</v>
          </cell>
          <cell r="AL290">
            <v>283200</v>
          </cell>
          <cell r="AM290">
            <v>283200</v>
          </cell>
          <cell r="AN290">
            <v>0</v>
          </cell>
          <cell r="AO290">
            <v>0</v>
          </cell>
          <cell r="AP290">
            <v>44466.333333333343</v>
          </cell>
          <cell r="AQ290">
            <v>120360.00000000001</v>
          </cell>
          <cell r="AR290">
            <v>120360.00000000001</v>
          </cell>
          <cell r="AT290" t="str">
            <v>OPP-551450 - Identified - New - IS4</v>
          </cell>
          <cell r="AU290">
            <v>285186.33333333337</v>
          </cell>
          <cell r="AV290">
            <v>0</v>
          </cell>
          <cell r="AW290">
            <v>285186.33333333337</v>
          </cell>
          <cell r="AX290">
            <v>0</v>
          </cell>
          <cell r="AZ290">
            <v>279</v>
          </cell>
          <cell r="BA290">
            <v>120</v>
          </cell>
          <cell r="BB290">
            <v>341</v>
          </cell>
        </row>
        <row r="291">
          <cell r="B291" t="str">
            <v>OPP-631610</v>
          </cell>
          <cell r="C291" t="str">
            <v>SPAWAR ATL E3 2022</v>
          </cell>
          <cell r="D291" t="str">
            <v>IS4</v>
          </cell>
          <cell r="E291" t="str">
            <v>IS4 Spectrum &amp; Infrastructure Assurance</v>
          </cell>
          <cell r="F291" t="str">
            <v>Navy</v>
          </cell>
          <cell r="G291" t="str">
            <v>DOD</v>
          </cell>
          <cell r="H291">
            <v>44727</v>
          </cell>
          <cell r="I291">
            <v>44727</v>
          </cell>
          <cell r="J291">
            <v>46553</v>
          </cell>
          <cell r="K291" t="str">
            <v>Prime</v>
          </cell>
          <cell r="L291" t="str">
            <v>Cost Plus Fixed Fee</v>
          </cell>
          <cell r="M291" t="str">
            <v>Cost Reimbursable</v>
          </cell>
          <cell r="N291" t="str">
            <v>Identified - New</v>
          </cell>
          <cell r="O291" t="str">
            <v>01 Prospect</v>
          </cell>
          <cell r="P291" t="str">
            <v>Priority 3</v>
          </cell>
          <cell r="Q291">
            <v>0.25</v>
          </cell>
          <cell r="R291">
            <v>29500000</v>
          </cell>
          <cell r="S291">
            <v>0.16</v>
          </cell>
          <cell r="T291">
            <v>0.16</v>
          </cell>
          <cell r="U291">
            <v>0.16</v>
          </cell>
          <cell r="V291">
            <v>0.16</v>
          </cell>
          <cell r="W291">
            <v>0.16</v>
          </cell>
          <cell r="X291">
            <v>6.8000000000000005E-2</v>
          </cell>
          <cell r="Y291">
            <v>6.8000000000000005E-2</v>
          </cell>
          <cell r="Z291">
            <v>6.8000000000000005E-2</v>
          </cell>
          <cell r="AA291">
            <v>6.8000000000000005E-2</v>
          </cell>
          <cell r="AB291">
            <v>6.8000000000000005E-2</v>
          </cell>
          <cell r="AC291">
            <v>5900000</v>
          </cell>
          <cell r="AD291">
            <v>0</v>
          </cell>
          <cell r="AE291">
            <v>0</v>
          </cell>
          <cell r="AF291">
            <v>0</v>
          </cell>
          <cell r="AG291">
            <v>430208.33333333337</v>
          </cell>
          <cell r="AH291">
            <v>1475000</v>
          </cell>
          <cell r="AI291">
            <v>0</v>
          </cell>
          <cell r="AJ291">
            <v>0</v>
          </cell>
          <cell r="AK291">
            <v>0</v>
          </cell>
          <cell r="AL291">
            <v>68833.333333333343</v>
          </cell>
          <cell r="AM291">
            <v>236000</v>
          </cell>
          <cell r="AN291">
            <v>0</v>
          </cell>
          <cell r="AO291">
            <v>0</v>
          </cell>
          <cell r="AP291">
            <v>0</v>
          </cell>
          <cell r="AQ291">
            <v>29254.166666666672</v>
          </cell>
          <cell r="AR291">
            <v>100300</v>
          </cell>
          <cell r="AT291" t="str">
            <v>OPP-631610 - Identified - New - IS4</v>
          </cell>
          <cell r="AU291">
            <v>129554.16666666667</v>
          </cell>
          <cell r="AV291">
            <v>0</v>
          </cell>
          <cell r="AW291">
            <v>129554.16666666667</v>
          </cell>
          <cell r="AX291">
            <v>0</v>
          </cell>
          <cell r="AZ291">
            <v>280</v>
          </cell>
          <cell r="BA291">
            <v>158</v>
          </cell>
          <cell r="BB291">
            <v>342</v>
          </cell>
        </row>
        <row r="292">
          <cell r="B292" t="str">
            <v>OPP-413072</v>
          </cell>
          <cell r="C292" t="str">
            <v>NSWC Crane GXT Security Systems Engineering Support (SAIC FC44)</v>
          </cell>
          <cell r="D292" t="str">
            <v>IS4</v>
          </cell>
          <cell r="E292" t="str">
            <v>IS4 Spectrum &amp; Infrastructure Assurance</v>
          </cell>
          <cell r="F292" t="str">
            <v>Navy</v>
          </cell>
          <cell r="G292" t="str">
            <v>DOD</v>
          </cell>
          <cell r="H292">
            <v>43948</v>
          </cell>
          <cell r="I292">
            <v>43981</v>
          </cell>
          <cell r="J292">
            <v>45807</v>
          </cell>
          <cell r="K292" t="str">
            <v>Prime</v>
          </cell>
          <cell r="L292" t="str">
            <v>Cost Plus Fixed Fee</v>
          </cell>
          <cell r="M292" t="str">
            <v>Cost Reimbursable</v>
          </cell>
          <cell r="N292" t="str">
            <v>Identified - New</v>
          </cell>
          <cell r="O292" t="str">
            <v>01 Prospect</v>
          </cell>
          <cell r="P292" t="str">
            <v>Priority 3</v>
          </cell>
          <cell r="Q292">
            <v>0.3</v>
          </cell>
          <cell r="R292">
            <v>27000000</v>
          </cell>
          <cell r="S292">
            <v>0.16</v>
          </cell>
          <cell r="T292">
            <v>0.16</v>
          </cell>
          <cell r="U292">
            <v>0.16</v>
          </cell>
          <cell r="V292">
            <v>0.16</v>
          </cell>
          <cell r="W292">
            <v>0.16</v>
          </cell>
          <cell r="X292">
            <v>6.8000000000000005E-2</v>
          </cell>
          <cell r="Y292">
            <v>6.8000000000000005E-2</v>
          </cell>
          <cell r="Z292">
            <v>6.8000000000000005E-2</v>
          </cell>
          <cell r="AA292">
            <v>6.8000000000000005E-2</v>
          </cell>
          <cell r="AB292">
            <v>6.8000000000000005E-2</v>
          </cell>
          <cell r="AC292">
            <v>5400000</v>
          </cell>
          <cell r="AD292">
            <v>0</v>
          </cell>
          <cell r="AE292">
            <v>540000</v>
          </cell>
          <cell r="AF292">
            <v>1620000</v>
          </cell>
          <cell r="AG292">
            <v>1620000</v>
          </cell>
          <cell r="AH292">
            <v>1620000</v>
          </cell>
          <cell r="AI292">
            <v>0</v>
          </cell>
          <cell r="AJ292">
            <v>86400</v>
          </cell>
          <cell r="AK292">
            <v>259200</v>
          </cell>
          <cell r="AL292">
            <v>259200</v>
          </cell>
          <cell r="AM292">
            <v>259200</v>
          </cell>
          <cell r="AN292">
            <v>0</v>
          </cell>
          <cell r="AO292">
            <v>36720</v>
          </cell>
          <cell r="AP292">
            <v>110160.00000000001</v>
          </cell>
          <cell r="AQ292">
            <v>110160.00000000001</v>
          </cell>
          <cell r="AR292">
            <v>110160.00000000001</v>
          </cell>
          <cell r="AT292" t="str">
            <v>OPP-413072 - Identified - New - IS4</v>
          </cell>
          <cell r="AU292">
            <v>367200</v>
          </cell>
          <cell r="AV292">
            <v>0</v>
          </cell>
          <cell r="AW292">
            <v>367200</v>
          </cell>
          <cell r="AX292">
            <v>0</v>
          </cell>
          <cell r="AZ292">
            <v>281</v>
          </cell>
          <cell r="BA292">
            <v>105</v>
          </cell>
          <cell r="BB292">
            <v>343</v>
          </cell>
        </row>
        <row r="293">
          <cell r="B293" t="str">
            <v>OPP-622676</v>
          </cell>
          <cell r="C293" t="str">
            <v>3G-1026 Engineering Support and Modeling and Simulation of Sensors Applications for Sensor Systems and Force Protection</v>
          </cell>
          <cell r="D293" t="str">
            <v>IS4</v>
          </cell>
          <cell r="E293" t="str">
            <v>IS4 Spectrum &amp; Infrastructure Assurance</v>
          </cell>
          <cell r="F293" t="str">
            <v>Army</v>
          </cell>
          <cell r="G293" t="str">
            <v>DOD</v>
          </cell>
          <cell r="H293">
            <v>44090</v>
          </cell>
          <cell r="I293">
            <v>44119</v>
          </cell>
          <cell r="J293">
            <v>45214</v>
          </cell>
          <cell r="K293" t="str">
            <v>Prime</v>
          </cell>
          <cell r="L293" t="str">
            <v>Cost Plus Fixed Fee</v>
          </cell>
          <cell r="M293" t="str">
            <v>Cost Reimbursable</v>
          </cell>
          <cell r="N293" t="str">
            <v>Identified - New</v>
          </cell>
          <cell r="O293" t="str">
            <v>01 Prospect</v>
          </cell>
          <cell r="P293" t="str">
            <v>Priority 3</v>
          </cell>
          <cell r="Q293">
            <v>0.25</v>
          </cell>
          <cell r="R293">
            <v>25000000</v>
          </cell>
          <cell r="S293">
            <v>0.16</v>
          </cell>
          <cell r="T293">
            <v>0.16</v>
          </cell>
          <cell r="U293">
            <v>0.16</v>
          </cell>
          <cell r="V293">
            <v>0.16</v>
          </cell>
          <cell r="W293">
            <v>0.16</v>
          </cell>
          <cell r="X293">
            <v>6.8000000000000005E-2</v>
          </cell>
          <cell r="Y293">
            <v>6.8000000000000005E-2</v>
          </cell>
          <cell r="Z293">
            <v>6.8000000000000005E-2</v>
          </cell>
          <cell r="AA293">
            <v>6.8000000000000005E-2</v>
          </cell>
          <cell r="AB293">
            <v>6.8000000000000005E-2</v>
          </cell>
          <cell r="AC293">
            <v>8333333.333333333</v>
          </cell>
          <cell r="AD293">
            <v>0</v>
          </cell>
          <cell r="AE293">
            <v>0</v>
          </cell>
          <cell r="AF293">
            <v>1996527.7777777778</v>
          </cell>
          <cell r="AG293">
            <v>2083333.3333333333</v>
          </cell>
          <cell r="AH293">
            <v>2083333.3333333333</v>
          </cell>
          <cell r="AI293">
            <v>0</v>
          </cell>
          <cell r="AJ293">
            <v>0</v>
          </cell>
          <cell r="AK293">
            <v>319444.44444444444</v>
          </cell>
          <cell r="AL293">
            <v>333333.33333333331</v>
          </cell>
          <cell r="AM293">
            <v>333333.33333333331</v>
          </cell>
          <cell r="AN293">
            <v>0</v>
          </cell>
          <cell r="AO293">
            <v>0</v>
          </cell>
          <cell r="AP293">
            <v>135763.88888888891</v>
          </cell>
          <cell r="AQ293">
            <v>141666.66666666669</v>
          </cell>
          <cell r="AR293">
            <v>141666.66666666669</v>
          </cell>
          <cell r="AT293" t="str">
            <v>OPP-622676 - Identified - New - IS4</v>
          </cell>
          <cell r="AU293">
            <v>419097.22222222231</v>
          </cell>
          <cell r="AV293">
            <v>0</v>
          </cell>
          <cell r="AW293">
            <v>419097.22222222231</v>
          </cell>
          <cell r="AX293">
            <v>0</v>
          </cell>
          <cell r="AZ293">
            <v>282</v>
          </cell>
          <cell r="BA293">
            <v>96</v>
          </cell>
          <cell r="BB293">
            <v>344</v>
          </cell>
        </row>
        <row r="294">
          <cell r="B294" t="str">
            <v>OPP-413554</v>
          </cell>
          <cell r="C294" t="str">
            <v>PAX - SW, T&amp;E, and Computer Ops Services (AIR 4.5.8)</v>
          </cell>
          <cell r="D294" t="str">
            <v>IS4</v>
          </cell>
          <cell r="E294" t="str">
            <v>IS4 Spectrum &amp; Infrastructure Assurance</v>
          </cell>
          <cell r="F294" t="str">
            <v>Navy</v>
          </cell>
          <cell r="G294" t="str">
            <v>DOD</v>
          </cell>
          <cell r="H294">
            <v>44301</v>
          </cell>
          <cell r="I294">
            <v>44330</v>
          </cell>
          <cell r="J294">
            <v>46156</v>
          </cell>
          <cell r="K294" t="str">
            <v>Prime</v>
          </cell>
          <cell r="L294" t="str">
            <v>Cost Plus Fixed Fee</v>
          </cell>
          <cell r="M294" t="str">
            <v>Cost Reimbursable</v>
          </cell>
          <cell r="N294" t="str">
            <v>Identified - New</v>
          </cell>
          <cell r="O294" t="str">
            <v>01 Prospect</v>
          </cell>
          <cell r="P294" t="str">
            <v>Priority 3</v>
          </cell>
          <cell r="Q294">
            <v>0.1</v>
          </cell>
          <cell r="R294">
            <v>24836000</v>
          </cell>
          <cell r="S294">
            <v>0.16</v>
          </cell>
          <cell r="T294">
            <v>0.16</v>
          </cell>
          <cell r="U294">
            <v>0.16</v>
          </cell>
          <cell r="V294">
            <v>0.16</v>
          </cell>
          <cell r="W294">
            <v>0.16</v>
          </cell>
          <cell r="X294">
            <v>6.8000000000000005E-2</v>
          </cell>
          <cell r="Y294">
            <v>6.8000000000000005E-2</v>
          </cell>
          <cell r="Z294">
            <v>6.8000000000000005E-2</v>
          </cell>
          <cell r="AA294">
            <v>6.8000000000000005E-2</v>
          </cell>
          <cell r="AB294">
            <v>6.8000000000000005E-2</v>
          </cell>
          <cell r="AC294">
            <v>4967200</v>
          </cell>
          <cell r="AD294">
            <v>0</v>
          </cell>
          <cell r="AE294">
            <v>0</v>
          </cell>
          <cell r="AF294">
            <v>187649.77777777778</v>
          </cell>
          <cell r="AG294">
            <v>496720</v>
          </cell>
          <cell r="AH294">
            <v>496720</v>
          </cell>
          <cell r="AI294">
            <v>0</v>
          </cell>
          <cell r="AJ294">
            <v>0</v>
          </cell>
          <cell r="AK294">
            <v>30023.964444444446</v>
          </cell>
          <cell r="AL294">
            <v>79475.199999999997</v>
          </cell>
          <cell r="AM294">
            <v>79475.199999999997</v>
          </cell>
          <cell r="AN294">
            <v>0</v>
          </cell>
          <cell r="AO294">
            <v>0</v>
          </cell>
          <cell r="AP294">
            <v>12760.184888888891</v>
          </cell>
          <cell r="AQ294">
            <v>33776.959999999999</v>
          </cell>
          <cell r="AR294">
            <v>33776.959999999999</v>
          </cell>
          <cell r="AT294" t="str">
            <v>OPP-413554 - Identified - New - IS4</v>
          </cell>
          <cell r="AU294">
            <v>80314.104888888891</v>
          </cell>
          <cell r="AV294">
            <v>0</v>
          </cell>
          <cell r="AW294">
            <v>80314.104888888891</v>
          </cell>
          <cell r="AX294">
            <v>0</v>
          </cell>
          <cell r="AZ294">
            <v>283</v>
          </cell>
          <cell r="BA294">
            <v>191</v>
          </cell>
          <cell r="BB294">
            <v>345</v>
          </cell>
        </row>
        <row r="295">
          <cell r="B295" t="str">
            <v>OPP-719820</v>
          </cell>
          <cell r="C295" t="str">
            <v>PEO LS AC2SN Support</v>
          </cell>
          <cell r="D295" t="str">
            <v>IS4</v>
          </cell>
          <cell r="E295" t="str">
            <v>IS4 Spectrum &amp; Infrastructure Assurance</v>
          </cell>
          <cell r="F295" t="str">
            <v>Marine Corps</v>
          </cell>
          <cell r="G295" t="str">
            <v>DOD</v>
          </cell>
          <cell r="H295">
            <v>44880</v>
          </cell>
          <cell r="I295">
            <v>44910</v>
          </cell>
          <cell r="J295">
            <v>46736</v>
          </cell>
          <cell r="K295" t="str">
            <v>Sub</v>
          </cell>
          <cell r="L295" t="str">
            <v>Fixed Price; Level of Effort</v>
          </cell>
          <cell r="M295" t="str">
            <v>Fixed Price</v>
          </cell>
          <cell r="N295" t="str">
            <v>Identified - New</v>
          </cell>
          <cell r="O295" t="str">
            <v>01 Prospect</v>
          </cell>
          <cell r="P295" t="str">
            <v>Priority 3</v>
          </cell>
          <cell r="Q295">
            <v>0.25</v>
          </cell>
          <cell r="R295">
            <v>22362000</v>
          </cell>
          <cell r="S295">
            <v>0.17199999999999999</v>
          </cell>
          <cell r="T295">
            <v>0.17199999999999999</v>
          </cell>
          <cell r="U295">
            <v>0.17299999999999999</v>
          </cell>
          <cell r="V295">
            <v>0.17499999999999999</v>
          </cell>
          <cell r="W295">
            <v>0.18</v>
          </cell>
          <cell r="X295">
            <v>0.08</v>
          </cell>
          <cell r="Y295">
            <v>0.08</v>
          </cell>
          <cell r="Z295">
            <v>8.1000000000000003E-2</v>
          </cell>
          <cell r="AA295">
            <v>8.3000000000000004E-2</v>
          </cell>
          <cell r="AB295">
            <v>8.8000000000000009E-2</v>
          </cell>
          <cell r="AC295">
            <v>4472400</v>
          </cell>
          <cell r="AD295">
            <v>0</v>
          </cell>
          <cell r="AE295">
            <v>0</v>
          </cell>
          <cell r="AF295">
            <v>0</v>
          </cell>
          <cell r="AG295">
            <v>0</v>
          </cell>
          <cell r="AH295">
            <v>885162.5</v>
          </cell>
          <cell r="AI295">
            <v>0</v>
          </cell>
          <cell r="AJ295">
            <v>0</v>
          </cell>
          <cell r="AK295">
            <v>0</v>
          </cell>
          <cell r="AL295">
            <v>0</v>
          </cell>
          <cell r="AM295">
            <v>159329.25</v>
          </cell>
          <cell r="AN295">
            <v>0</v>
          </cell>
          <cell r="AO295">
            <v>0</v>
          </cell>
          <cell r="AP295">
            <v>0</v>
          </cell>
          <cell r="AQ295">
            <v>0</v>
          </cell>
          <cell r="AR295">
            <v>77894.3</v>
          </cell>
          <cell r="AT295" t="str">
            <v>OPP-719820 - Identified - New - IS4</v>
          </cell>
          <cell r="AU295">
            <v>77894.3</v>
          </cell>
          <cell r="AV295">
            <v>0</v>
          </cell>
          <cell r="AW295">
            <v>77894.3</v>
          </cell>
          <cell r="AX295">
            <v>0</v>
          </cell>
          <cell r="AZ295">
            <v>284</v>
          </cell>
          <cell r="BA295">
            <v>192</v>
          </cell>
          <cell r="BB295">
            <v>346</v>
          </cell>
        </row>
        <row r="296">
          <cell r="B296" t="str">
            <v>OPP-827775</v>
          </cell>
          <cell r="C296" t="str">
            <v>NSWC Crane Electronic Countermeasures for Fixed Site Shelters</v>
          </cell>
          <cell r="D296" t="str">
            <v>IS4</v>
          </cell>
          <cell r="E296" t="str">
            <v>IS4 Spectrum &amp; Infrastructure Assurance</v>
          </cell>
          <cell r="F296" t="str">
            <v>Navy</v>
          </cell>
          <cell r="G296" t="str">
            <v>DOD</v>
          </cell>
          <cell r="H296">
            <v>43846</v>
          </cell>
          <cell r="I296">
            <v>43875</v>
          </cell>
          <cell r="J296">
            <v>45702</v>
          </cell>
          <cell r="K296" t="str">
            <v>Prime</v>
          </cell>
          <cell r="L296" t="str">
            <v>Cost Plus Fixed Fee; Fixed Price</v>
          </cell>
          <cell r="M296" t="str">
            <v>Cost Reimbursable</v>
          </cell>
          <cell r="N296" t="str">
            <v>Identified - New</v>
          </cell>
          <cell r="O296" t="str">
            <v>02 Capture</v>
          </cell>
          <cell r="P296" t="str">
            <v>Priority 3</v>
          </cell>
          <cell r="Q296">
            <v>0.3</v>
          </cell>
          <cell r="R296">
            <v>20000000</v>
          </cell>
          <cell r="S296">
            <v>0.16</v>
          </cell>
          <cell r="T296">
            <v>0.16</v>
          </cell>
          <cell r="U296">
            <v>0.16</v>
          </cell>
          <cell r="V296">
            <v>0.16</v>
          </cell>
          <cell r="W296">
            <v>0.16</v>
          </cell>
          <cell r="X296">
            <v>6.8000000000000005E-2</v>
          </cell>
          <cell r="Y296">
            <v>6.8000000000000005E-2</v>
          </cell>
          <cell r="Z296">
            <v>6.8000000000000005E-2</v>
          </cell>
          <cell r="AA296">
            <v>6.8000000000000005E-2</v>
          </cell>
          <cell r="AB296">
            <v>6.8000000000000005E-2</v>
          </cell>
          <cell r="AC296">
            <v>4000000</v>
          </cell>
          <cell r="AD296">
            <v>0</v>
          </cell>
          <cell r="AE296">
            <v>753333.33333333326</v>
          </cell>
          <cell r="AF296">
            <v>1200000</v>
          </cell>
          <cell r="AG296">
            <v>1200000</v>
          </cell>
          <cell r="AH296">
            <v>1200000</v>
          </cell>
          <cell r="AI296">
            <v>0</v>
          </cell>
          <cell r="AJ296">
            <v>120533.33333333333</v>
          </cell>
          <cell r="AK296">
            <v>192000</v>
          </cell>
          <cell r="AL296">
            <v>192000</v>
          </cell>
          <cell r="AM296">
            <v>192000</v>
          </cell>
          <cell r="AN296">
            <v>0</v>
          </cell>
          <cell r="AO296">
            <v>51226.666666666664</v>
          </cell>
          <cell r="AP296">
            <v>81600</v>
          </cell>
          <cell r="AQ296">
            <v>81600</v>
          </cell>
          <cell r="AR296">
            <v>81600</v>
          </cell>
          <cell r="AT296" t="str">
            <v>OPP-827775 - Identified - New - IS4</v>
          </cell>
          <cell r="AU296">
            <v>296026.66666666663</v>
          </cell>
          <cell r="AV296">
            <v>0</v>
          </cell>
          <cell r="AW296">
            <v>296026.66666666663</v>
          </cell>
          <cell r="AX296">
            <v>0</v>
          </cell>
          <cell r="AZ296">
            <v>285</v>
          </cell>
          <cell r="BA296">
            <v>116</v>
          </cell>
          <cell r="BB296">
            <v>347</v>
          </cell>
        </row>
        <row r="297">
          <cell r="B297" t="str">
            <v>OPP-610219</v>
          </cell>
          <cell r="C297" t="str">
            <v>NSWCDD - V30 Engineering Support 2021</v>
          </cell>
          <cell r="D297" t="str">
            <v>IS4</v>
          </cell>
          <cell r="E297" t="str">
            <v>IS4 Spectrum &amp; Infrastructure Assurance</v>
          </cell>
          <cell r="F297" t="str">
            <v>Navy</v>
          </cell>
          <cell r="G297" t="str">
            <v>DOD</v>
          </cell>
          <cell r="H297">
            <v>44301</v>
          </cell>
          <cell r="I297">
            <v>44333</v>
          </cell>
          <cell r="J297">
            <v>46159</v>
          </cell>
          <cell r="K297" t="str">
            <v>Prime</v>
          </cell>
          <cell r="L297" t="str">
            <v>Cost Plus Fixed Fee</v>
          </cell>
          <cell r="M297" t="str">
            <v>Cost Reimbursable</v>
          </cell>
          <cell r="N297" t="str">
            <v>Identified - New</v>
          </cell>
          <cell r="O297" t="str">
            <v>01 Prospect</v>
          </cell>
          <cell r="P297" t="str">
            <v>Priority 3</v>
          </cell>
          <cell r="Q297">
            <v>0.25</v>
          </cell>
          <cell r="R297">
            <v>20000000</v>
          </cell>
          <cell r="S297">
            <v>0.16</v>
          </cell>
          <cell r="T297">
            <v>0.16</v>
          </cell>
          <cell r="U297">
            <v>0.16</v>
          </cell>
          <cell r="V297">
            <v>0.16</v>
          </cell>
          <cell r="W297">
            <v>0.16</v>
          </cell>
          <cell r="X297">
            <v>6.8000000000000005E-2</v>
          </cell>
          <cell r="Y297">
            <v>6.8000000000000005E-2</v>
          </cell>
          <cell r="Z297">
            <v>6.8000000000000005E-2</v>
          </cell>
          <cell r="AA297">
            <v>6.8000000000000005E-2</v>
          </cell>
          <cell r="AB297">
            <v>6.8000000000000005E-2</v>
          </cell>
          <cell r="AC297">
            <v>4000000</v>
          </cell>
          <cell r="AD297">
            <v>0</v>
          </cell>
          <cell r="AE297">
            <v>0</v>
          </cell>
          <cell r="AF297">
            <v>369444.44444444444</v>
          </cell>
          <cell r="AG297">
            <v>1000000</v>
          </cell>
          <cell r="AH297">
            <v>1000000</v>
          </cell>
          <cell r="AI297">
            <v>0</v>
          </cell>
          <cell r="AJ297">
            <v>0</v>
          </cell>
          <cell r="AK297">
            <v>59111.111111111109</v>
          </cell>
          <cell r="AL297">
            <v>160000</v>
          </cell>
          <cell r="AM297">
            <v>160000</v>
          </cell>
          <cell r="AN297">
            <v>0</v>
          </cell>
          <cell r="AO297">
            <v>0</v>
          </cell>
          <cell r="AP297">
            <v>25122.222222222223</v>
          </cell>
          <cell r="AQ297">
            <v>68000</v>
          </cell>
          <cell r="AR297">
            <v>68000</v>
          </cell>
          <cell r="AT297" t="str">
            <v>OPP-610219 - Identified - New - IS4</v>
          </cell>
          <cell r="AU297">
            <v>161122.22222222222</v>
          </cell>
          <cell r="AV297">
            <v>0</v>
          </cell>
          <cell r="AW297">
            <v>161122.22222222222</v>
          </cell>
          <cell r="AX297">
            <v>0</v>
          </cell>
          <cell r="AZ297">
            <v>286</v>
          </cell>
          <cell r="BA297">
            <v>141</v>
          </cell>
          <cell r="BB297">
            <v>348</v>
          </cell>
        </row>
        <row r="298">
          <cell r="B298" t="str">
            <v>OPP-760611</v>
          </cell>
          <cell r="C298" t="str">
            <v>NSWCDD H40 Platform Integration Support</v>
          </cell>
          <cell r="D298" t="str">
            <v>IS4</v>
          </cell>
          <cell r="E298" t="str">
            <v>IS4 Spectrum &amp; Infrastructure Assurance</v>
          </cell>
          <cell r="F298" t="str">
            <v>Navy</v>
          </cell>
          <cell r="G298" t="str">
            <v>DOD</v>
          </cell>
          <cell r="H298">
            <v>44578</v>
          </cell>
          <cell r="I298">
            <v>44613</v>
          </cell>
          <cell r="J298">
            <v>46439</v>
          </cell>
          <cell r="K298" t="str">
            <v>Sub</v>
          </cell>
          <cell r="L298" t="str">
            <v>Cost Plus Fixed Fee</v>
          </cell>
          <cell r="M298" t="str">
            <v>Cost Reimbursable</v>
          </cell>
          <cell r="N298" t="str">
            <v>Identified - New</v>
          </cell>
          <cell r="O298" t="str">
            <v>01 Prospect</v>
          </cell>
          <cell r="P298" t="str">
            <v>Priority 3</v>
          </cell>
          <cell r="Q298">
            <v>0.5</v>
          </cell>
          <cell r="R298">
            <v>13000000</v>
          </cell>
          <cell r="S298">
            <v>0.16</v>
          </cell>
          <cell r="T298">
            <v>0.16</v>
          </cell>
          <cell r="U298">
            <v>0.16</v>
          </cell>
          <cell r="V298">
            <v>0.16</v>
          </cell>
          <cell r="W298">
            <v>0.16</v>
          </cell>
          <cell r="X298">
            <v>6.8000000000000005E-2</v>
          </cell>
          <cell r="Y298">
            <v>6.8000000000000005E-2</v>
          </cell>
          <cell r="Z298">
            <v>6.8000000000000005E-2</v>
          </cell>
          <cell r="AA298">
            <v>6.8000000000000005E-2</v>
          </cell>
          <cell r="AB298">
            <v>6.8000000000000005E-2</v>
          </cell>
          <cell r="AC298">
            <v>2600000</v>
          </cell>
          <cell r="AD298">
            <v>0</v>
          </cell>
          <cell r="AE298">
            <v>0</v>
          </cell>
          <cell r="AF298">
            <v>0</v>
          </cell>
          <cell r="AG298">
            <v>790833.33333333326</v>
          </cell>
          <cell r="AH298">
            <v>1300000</v>
          </cell>
          <cell r="AI298">
            <v>0</v>
          </cell>
          <cell r="AJ298">
            <v>0</v>
          </cell>
          <cell r="AK298">
            <v>0</v>
          </cell>
          <cell r="AL298">
            <v>126533.33333333333</v>
          </cell>
          <cell r="AM298">
            <v>208000</v>
          </cell>
          <cell r="AN298">
            <v>0</v>
          </cell>
          <cell r="AO298">
            <v>0</v>
          </cell>
          <cell r="AP298">
            <v>0</v>
          </cell>
          <cell r="AQ298">
            <v>53776.666666666664</v>
          </cell>
          <cell r="AR298">
            <v>88400</v>
          </cell>
          <cell r="AT298" t="str">
            <v>OPP-760611 - Identified - New - IS4</v>
          </cell>
          <cell r="AU298">
            <v>142176.66666666666</v>
          </cell>
          <cell r="AV298">
            <v>0</v>
          </cell>
          <cell r="AW298">
            <v>142176.66666666666</v>
          </cell>
          <cell r="AX298">
            <v>0</v>
          </cell>
          <cell r="AZ298">
            <v>287</v>
          </cell>
          <cell r="BA298">
            <v>151</v>
          </cell>
          <cell r="BB298">
            <v>349</v>
          </cell>
        </row>
        <row r="299">
          <cell r="B299" t="str">
            <v>OPP-926416</v>
          </cell>
          <cell r="C299" t="str">
            <v>SPAWAR Cybersecurity and IT Support Services</v>
          </cell>
          <cell r="D299" t="str">
            <v>IS4</v>
          </cell>
          <cell r="E299" t="str">
            <v>IS4 Spectrum &amp; Infrastructure Assurance</v>
          </cell>
          <cell r="F299" t="str">
            <v>Navy</v>
          </cell>
          <cell r="G299" t="str">
            <v>DOD</v>
          </cell>
          <cell r="H299">
            <v>43892</v>
          </cell>
          <cell r="I299">
            <v>43927</v>
          </cell>
          <cell r="J299">
            <v>45753</v>
          </cell>
          <cell r="K299" t="str">
            <v>Sub</v>
          </cell>
          <cell r="L299" t="str">
            <v>Cost Plus Fixed Fee</v>
          </cell>
          <cell r="M299" t="str">
            <v>Cost Reimbursable</v>
          </cell>
          <cell r="N299" t="str">
            <v>Identified - New</v>
          </cell>
          <cell r="O299" t="str">
            <v>04 Submitted</v>
          </cell>
          <cell r="P299" t="str">
            <v>Priority 3</v>
          </cell>
          <cell r="Q299">
            <v>0.5</v>
          </cell>
          <cell r="R299">
            <v>12500000</v>
          </cell>
          <cell r="S299">
            <v>0.16</v>
          </cell>
          <cell r="T299">
            <v>0.16</v>
          </cell>
          <cell r="U299">
            <v>0.16</v>
          </cell>
          <cell r="V299">
            <v>0.16</v>
          </cell>
          <cell r="W299">
            <v>0.16</v>
          </cell>
          <cell r="X299">
            <v>6.8000000000000005E-2</v>
          </cell>
          <cell r="Y299">
            <v>6.8000000000000005E-2</v>
          </cell>
          <cell r="Z299">
            <v>6.8000000000000005E-2</v>
          </cell>
          <cell r="AA299">
            <v>6.8000000000000005E-2</v>
          </cell>
          <cell r="AB299">
            <v>6.8000000000000005E-2</v>
          </cell>
          <cell r="AC299">
            <v>2500000</v>
          </cell>
          <cell r="AD299">
            <v>0</v>
          </cell>
          <cell r="AE299">
            <v>604166.66666666663</v>
          </cell>
          <cell r="AF299">
            <v>1250000</v>
          </cell>
          <cell r="AG299">
            <v>1250000</v>
          </cell>
          <cell r="AH299">
            <v>1250000</v>
          </cell>
          <cell r="AI299">
            <v>0</v>
          </cell>
          <cell r="AJ299">
            <v>96666.666666666657</v>
          </cell>
          <cell r="AK299">
            <v>200000</v>
          </cell>
          <cell r="AL299">
            <v>200000</v>
          </cell>
          <cell r="AM299">
            <v>200000</v>
          </cell>
          <cell r="AN299">
            <v>0</v>
          </cell>
          <cell r="AO299">
            <v>41083.333333333336</v>
          </cell>
          <cell r="AP299">
            <v>85000</v>
          </cell>
          <cell r="AQ299">
            <v>85000</v>
          </cell>
          <cell r="AR299">
            <v>85000</v>
          </cell>
          <cell r="AT299" t="str">
            <v>OPP-926416 - Identified - New - IS4</v>
          </cell>
          <cell r="AU299">
            <v>296083.33333333337</v>
          </cell>
          <cell r="AV299">
            <v>0</v>
          </cell>
          <cell r="AW299">
            <v>296083.33333333337</v>
          </cell>
          <cell r="AX299">
            <v>0</v>
          </cell>
          <cell r="AZ299">
            <v>288</v>
          </cell>
          <cell r="BA299">
            <v>115</v>
          </cell>
          <cell r="BB299">
            <v>350</v>
          </cell>
        </row>
        <row r="300">
          <cell r="B300" t="str">
            <v>OPP-721233</v>
          </cell>
          <cell r="C300" t="str">
            <v>GCCS TCO JTCW Sustainment Support</v>
          </cell>
          <cell r="D300" t="str">
            <v>IS4</v>
          </cell>
          <cell r="E300" t="str">
            <v>IS4 Spectrum &amp; Infrastructure Assurance</v>
          </cell>
          <cell r="F300" t="str">
            <v>Marine Corps</v>
          </cell>
          <cell r="G300" t="str">
            <v>DOD</v>
          </cell>
          <cell r="H300">
            <v>44785</v>
          </cell>
          <cell r="I300">
            <v>44925</v>
          </cell>
          <cell r="J300">
            <v>46751</v>
          </cell>
          <cell r="K300" t="str">
            <v>Sub</v>
          </cell>
          <cell r="L300" t="str">
            <v>Cost Plus Fixed Fee</v>
          </cell>
          <cell r="M300" t="str">
            <v>Cost Reimbursable</v>
          </cell>
          <cell r="N300" t="str">
            <v>Identified - New</v>
          </cell>
          <cell r="O300" t="str">
            <v>01 Prospect</v>
          </cell>
          <cell r="P300" t="str">
            <v>Priority 3</v>
          </cell>
          <cell r="Q300">
            <v>0.25</v>
          </cell>
          <cell r="R300">
            <v>12000000</v>
          </cell>
          <cell r="S300">
            <v>0.16</v>
          </cell>
          <cell r="T300">
            <v>0.16</v>
          </cell>
          <cell r="U300">
            <v>0.16</v>
          </cell>
          <cell r="V300">
            <v>0.16</v>
          </cell>
          <cell r="W300">
            <v>0.16</v>
          </cell>
          <cell r="X300">
            <v>6.8000000000000005E-2</v>
          </cell>
          <cell r="Y300">
            <v>6.8000000000000005E-2</v>
          </cell>
          <cell r="Z300">
            <v>6.8000000000000005E-2</v>
          </cell>
          <cell r="AA300">
            <v>6.8000000000000005E-2</v>
          </cell>
          <cell r="AB300">
            <v>6.8000000000000005E-2</v>
          </cell>
          <cell r="AC300">
            <v>2400000</v>
          </cell>
          <cell r="AD300">
            <v>0</v>
          </cell>
          <cell r="AE300">
            <v>0</v>
          </cell>
          <cell r="AF300">
            <v>0</v>
          </cell>
          <cell r="AG300">
            <v>0</v>
          </cell>
          <cell r="AH300">
            <v>450000</v>
          </cell>
          <cell r="AI300">
            <v>0</v>
          </cell>
          <cell r="AJ300">
            <v>0</v>
          </cell>
          <cell r="AK300">
            <v>0</v>
          </cell>
          <cell r="AL300">
            <v>0</v>
          </cell>
          <cell r="AM300">
            <v>72000</v>
          </cell>
          <cell r="AN300">
            <v>0</v>
          </cell>
          <cell r="AO300">
            <v>0</v>
          </cell>
          <cell r="AP300">
            <v>0</v>
          </cell>
          <cell r="AQ300">
            <v>0</v>
          </cell>
          <cell r="AR300">
            <v>30600.000000000004</v>
          </cell>
          <cell r="AT300" t="str">
            <v>OPP-721233 - Identified - New - IS4</v>
          </cell>
          <cell r="AU300">
            <v>30600.000000000004</v>
          </cell>
          <cell r="AV300">
            <v>0</v>
          </cell>
          <cell r="AW300">
            <v>30600.000000000004</v>
          </cell>
          <cell r="AX300">
            <v>0</v>
          </cell>
          <cell r="AZ300">
            <v>289</v>
          </cell>
          <cell r="BA300">
            <v>223</v>
          </cell>
          <cell r="BB300">
            <v>351</v>
          </cell>
        </row>
        <row r="301">
          <cell r="B301" t="str">
            <v>OPP-416181</v>
          </cell>
          <cell r="C301" t="str">
            <v>PAX- Modeling &amp; Simulation Support - Littoral Warfare Analysis and Assessment Directorate, Code HA00 (BAE)</v>
          </cell>
          <cell r="D301" t="str">
            <v>IS4</v>
          </cell>
          <cell r="E301" t="str">
            <v>IS4 Spectrum &amp; Infrastructure Assurance</v>
          </cell>
          <cell r="F301" t="str">
            <v>Navy</v>
          </cell>
          <cell r="G301" t="str">
            <v>DOD</v>
          </cell>
          <cell r="H301">
            <v>44287</v>
          </cell>
          <cell r="I301">
            <v>44319</v>
          </cell>
          <cell r="J301">
            <v>46145</v>
          </cell>
          <cell r="K301" t="str">
            <v>Prime</v>
          </cell>
          <cell r="L301" t="str">
            <v>Cost Plus Fixed Fee</v>
          </cell>
          <cell r="M301" t="str">
            <v>Cost Reimbursable</v>
          </cell>
          <cell r="N301" t="str">
            <v>Identified - New</v>
          </cell>
          <cell r="O301" t="str">
            <v>01 Prospect</v>
          </cell>
          <cell r="P301" t="str">
            <v>Priority 3</v>
          </cell>
          <cell r="Q301">
            <v>0.25</v>
          </cell>
          <cell r="R301">
            <v>10178000</v>
          </cell>
          <cell r="S301">
            <v>0.16</v>
          </cell>
          <cell r="T301">
            <v>0.16</v>
          </cell>
          <cell r="U301">
            <v>0.16</v>
          </cell>
          <cell r="V301">
            <v>0.16</v>
          </cell>
          <cell r="W301">
            <v>0.16</v>
          </cell>
          <cell r="X301">
            <v>6.8000000000000005E-2</v>
          </cell>
          <cell r="Y301">
            <v>6.8000000000000005E-2</v>
          </cell>
          <cell r="Z301">
            <v>6.8000000000000005E-2</v>
          </cell>
          <cell r="AA301">
            <v>6.8000000000000005E-2</v>
          </cell>
          <cell r="AB301">
            <v>6.8000000000000005E-2</v>
          </cell>
          <cell r="AC301">
            <v>2035600</v>
          </cell>
          <cell r="AD301">
            <v>0</v>
          </cell>
          <cell r="AE301">
            <v>0</v>
          </cell>
          <cell r="AF301">
            <v>207800.83333333334</v>
          </cell>
          <cell r="AG301">
            <v>508900</v>
          </cell>
          <cell r="AH301">
            <v>508900</v>
          </cell>
          <cell r="AI301">
            <v>0</v>
          </cell>
          <cell r="AJ301">
            <v>0</v>
          </cell>
          <cell r="AK301">
            <v>33248.133333333339</v>
          </cell>
          <cell r="AL301">
            <v>81424</v>
          </cell>
          <cell r="AM301">
            <v>81424</v>
          </cell>
          <cell r="AN301">
            <v>0</v>
          </cell>
          <cell r="AO301">
            <v>0</v>
          </cell>
          <cell r="AP301">
            <v>14130.456666666669</v>
          </cell>
          <cell r="AQ301">
            <v>34605.200000000004</v>
          </cell>
          <cell r="AR301">
            <v>34605.200000000004</v>
          </cell>
          <cell r="AT301" t="str">
            <v>OPP-416181 - Identified - New - IS4</v>
          </cell>
          <cell r="AU301">
            <v>83340.856666666688</v>
          </cell>
          <cell r="AV301">
            <v>0</v>
          </cell>
          <cell r="AW301">
            <v>83340.856666666688</v>
          </cell>
          <cell r="AX301">
            <v>0</v>
          </cell>
          <cell r="AZ301">
            <v>290</v>
          </cell>
          <cell r="BA301">
            <v>189</v>
          </cell>
          <cell r="BB301">
            <v>352</v>
          </cell>
        </row>
        <row r="302">
          <cell r="B302" t="str">
            <v>OPP-924801</v>
          </cell>
          <cell r="C302" t="str">
            <v>AMC EOD Support</v>
          </cell>
          <cell r="D302" t="str">
            <v>IS4</v>
          </cell>
          <cell r="E302" t="str">
            <v>IS4 Spectrum &amp; Infrastructure Assurance</v>
          </cell>
          <cell r="F302" t="str">
            <v>Air Force</v>
          </cell>
          <cell r="G302" t="str">
            <v>DOD</v>
          </cell>
          <cell r="H302">
            <v>43721</v>
          </cell>
          <cell r="I302">
            <v>43739</v>
          </cell>
          <cell r="J302">
            <v>45566</v>
          </cell>
          <cell r="K302" t="str">
            <v>Sub</v>
          </cell>
          <cell r="L302" t="str">
            <v>T&amp;M</v>
          </cell>
          <cell r="M302" t="str">
            <v>T&amp;M</v>
          </cell>
          <cell r="N302" t="str">
            <v>Identified - New</v>
          </cell>
          <cell r="O302" t="str">
            <v>04 Submitted</v>
          </cell>
          <cell r="P302" t="str">
            <v>Priority 3</v>
          </cell>
          <cell r="Q302">
            <v>0.3</v>
          </cell>
          <cell r="R302">
            <v>10000000</v>
          </cell>
          <cell r="S302">
            <v>0.182</v>
          </cell>
          <cell r="T302">
            <v>0.182</v>
          </cell>
          <cell r="U302">
            <v>0.183</v>
          </cell>
          <cell r="V302">
            <v>0.185</v>
          </cell>
          <cell r="W302">
            <v>0.19</v>
          </cell>
          <cell r="X302">
            <v>0.09</v>
          </cell>
          <cell r="Y302">
            <v>0.09</v>
          </cell>
          <cell r="Z302">
            <v>9.0999999999999998E-2</v>
          </cell>
          <cell r="AA302">
            <v>9.2999999999999999E-2</v>
          </cell>
          <cell r="AB302">
            <v>9.8000000000000004E-2</v>
          </cell>
          <cell r="AC302">
            <v>2000000</v>
          </cell>
          <cell r="AD302">
            <v>0</v>
          </cell>
          <cell r="AE302">
            <v>598333.33333333337</v>
          </cell>
          <cell r="AF302">
            <v>600000</v>
          </cell>
          <cell r="AG302">
            <v>600000</v>
          </cell>
          <cell r="AH302">
            <v>600000</v>
          </cell>
          <cell r="AI302">
            <v>0</v>
          </cell>
          <cell r="AJ302">
            <v>108896.66666666667</v>
          </cell>
          <cell r="AK302">
            <v>109800</v>
          </cell>
          <cell r="AL302">
            <v>111000</v>
          </cell>
          <cell r="AM302">
            <v>114000</v>
          </cell>
          <cell r="AN302">
            <v>0</v>
          </cell>
          <cell r="AO302">
            <v>53850</v>
          </cell>
          <cell r="AP302">
            <v>54600</v>
          </cell>
          <cell r="AQ302">
            <v>55800</v>
          </cell>
          <cell r="AR302">
            <v>58800</v>
          </cell>
          <cell r="AT302" t="str">
            <v>OPP-924801 - Identified - New - IS4</v>
          </cell>
          <cell r="AU302">
            <v>223050</v>
          </cell>
          <cell r="AV302">
            <v>0</v>
          </cell>
          <cell r="AW302">
            <v>223050</v>
          </cell>
          <cell r="AX302">
            <v>0</v>
          </cell>
          <cell r="AZ302">
            <v>291</v>
          </cell>
          <cell r="BA302">
            <v>127</v>
          </cell>
          <cell r="BB302">
            <v>353</v>
          </cell>
        </row>
        <row r="303">
          <cell r="B303" t="str">
            <v>OPP-563871</v>
          </cell>
          <cell r="C303" t="str">
            <v>NSWC Crane GXM Sustainment Engineering (Bowhead Prime)</v>
          </cell>
          <cell r="D303" t="str">
            <v>IS4</v>
          </cell>
          <cell r="E303" t="str">
            <v>IS4 Spectrum &amp; Infrastructure Assurance</v>
          </cell>
          <cell r="F303" t="str">
            <v>Navy</v>
          </cell>
          <cell r="G303" t="str">
            <v>DOD</v>
          </cell>
          <cell r="H303">
            <v>43900</v>
          </cell>
          <cell r="I303">
            <v>43963</v>
          </cell>
          <cell r="J303">
            <v>45789</v>
          </cell>
          <cell r="K303" t="str">
            <v>Prime</v>
          </cell>
          <cell r="L303" t="str">
            <v>Cost Plus Fixed Fee</v>
          </cell>
          <cell r="M303" t="str">
            <v>Cost Reimbursable</v>
          </cell>
          <cell r="N303" t="str">
            <v>Identified - New</v>
          </cell>
          <cell r="O303" t="str">
            <v>01 Prospect</v>
          </cell>
          <cell r="P303" t="str">
            <v>Priority 3</v>
          </cell>
          <cell r="Q303">
            <v>0.25</v>
          </cell>
          <cell r="R303">
            <v>10000000</v>
          </cell>
          <cell r="S303">
            <v>0.16</v>
          </cell>
          <cell r="T303">
            <v>0.16</v>
          </cell>
          <cell r="U303">
            <v>0.16</v>
          </cell>
          <cell r="V303">
            <v>0.16</v>
          </cell>
          <cell r="W303">
            <v>0.16</v>
          </cell>
          <cell r="X303">
            <v>6.8000000000000005E-2</v>
          </cell>
          <cell r="Y303">
            <v>6.8000000000000005E-2</v>
          </cell>
          <cell r="Z303">
            <v>6.8000000000000005E-2</v>
          </cell>
          <cell r="AA303">
            <v>6.8000000000000005E-2</v>
          </cell>
          <cell r="AB303">
            <v>6.8000000000000005E-2</v>
          </cell>
          <cell r="AC303">
            <v>2000000</v>
          </cell>
          <cell r="AD303">
            <v>0</v>
          </cell>
          <cell r="AE303">
            <v>191666.66666666669</v>
          </cell>
          <cell r="AF303">
            <v>500000</v>
          </cell>
          <cell r="AG303">
            <v>500000</v>
          </cell>
          <cell r="AH303">
            <v>500000</v>
          </cell>
          <cell r="AI303">
            <v>0</v>
          </cell>
          <cell r="AJ303">
            <v>30666.666666666672</v>
          </cell>
          <cell r="AK303">
            <v>80000</v>
          </cell>
          <cell r="AL303">
            <v>80000</v>
          </cell>
          <cell r="AM303">
            <v>80000</v>
          </cell>
          <cell r="AN303">
            <v>0</v>
          </cell>
          <cell r="AO303">
            <v>13033.333333333336</v>
          </cell>
          <cell r="AP303">
            <v>34000</v>
          </cell>
          <cell r="AQ303">
            <v>34000</v>
          </cell>
          <cell r="AR303">
            <v>34000</v>
          </cell>
          <cell r="AT303" t="str">
            <v>OPP-563871 - Identified - New - IS4</v>
          </cell>
          <cell r="AU303">
            <v>115033.33333333334</v>
          </cell>
          <cell r="AV303">
            <v>0</v>
          </cell>
          <cell r="AW303">
            <v>115033.33333333334</v>
          </cell>
          <cell r="AX303">
            <v>0</v>
          </cell>
          <cell r="AZ303">
            <v>292</v>
          </cell>
          <cell r="BA303">
            <v>170</v>
          </cell>
          <cell r="BB303">
            <v>354</v>
          </cell>
        </row>
        <row r="304">
          <cell r="B304" t="str">
            <v>OPP-563937</v>
          </cell>
          <cell r="C304" t="str">
            <v>NSWC Crane GXT Strategic Weapons Support (SBSA)</v>
          </cell>
          <cell r="D304" t="str">
            <v>IS4</v>
          </cell>
          <cell r="E304" t="str">
            <v>IS4 Spectrum &amp; Infrastructure Assurance</v>
          </cell>
          <cell r="F304" t="str">
            <v>Navy</v>
          </cell>
          <cell r="G304" t="str">
            <v>DOD</v>
          </cell>
          <cell r="H304">
            <v>43937</v>
          </cell>
          <cell r="I304">
            <v>44027</v>
          </cell>
          <cell r="J304">
            <v>45853</v>
          </cell>
          <cell r="K304" t="str">
            <v>Sub</v>
          </cell>
          <cell r="L304" t="str">
            <v>Cost Plus Fixed Fee; T&amp;M</v>
          </cell>
          <cell r="M304" t="str">
            <v>Cost Reimbursable</v>
          </cell>
          <cell r="N304" t="str">
            <v>Identified - New</v>
          </cell>
          <cell r="O304" t="str">
            <v>02 Capture</v>
          </cell>
          <cell r="P304" t="str">
            <v>Priority 3</v>
          </cell>
          <cell r="Q304">
            <v>0.3</v>
          </cell>
          <cell r="R304">
            <v>10000000</v>
          </cell>
          <cell r="S304">
            <v>0.16</v>
          </cell>
          <cell r="T304">
            <v>0.16</v>
          </cell>
          <cell r="U304">
            <v>0.16</v>
          </cell>
          <cell r="V304">
            <v>0.16</v>
          </cell>
          <cell r="W304">
            <v>0.16</v>
          </cell>
          <cell r="X304">
            <v>6.8000000000000005E-2</v>
          </cell>
          <cell r="Y304">
            <v>6.8000000000000005E-2</v>
          </cell>
          <cell r="Z304">
            <v>6.8000000000000005E-2</v>
          </cell>
          <cell r="AA304">
            <v>6.8000000000000005E-2</v>
          </cell>
          <cell r="AB304">
            <v>6.8000000000000005E-2</v>
          </cell>
          <cell r="AC304">
            <v>2000000</v>
          </cell>
          <cell r="AD304">
            <v>0</v>
          </cell>
          <cell r="AE304">
            <v>125000</v>
          </cell>
          <cell r="AF304">
            <v>600000</v>
          </cell>
          <cell r="AG304">
            <v>600000</v>
          </cell>
          <cell r="AH304">
            <v>600000</v>
          </cell>
          <cell r="AI304">
            <v>0</v>
          </cell>
          <cell r="AJ304">
            <v>20000</v>
          </cell>
          <cell r="AK304">
            <v>96000</v>
          </cell>
          <cell r="AL304">
            <v>96000</v>
          </cell>
          <cell r="AM304">
            <v>96000</v>
          </cell>
          <cell r="AN304">
            <v>0</v>
          </cell>
          <cell r="AO304">
            <v>8500</v>
          </cell>
          <cell r="AP304">
            <v>40800</v>
          </cell>
          <cell r="AQ304">
            <v>40800</v>
          </cell>
          <cell r="AR304">
            <v>40800</v>
          </cell>
          <cell r="AT304" t="str">
            <v>OPP-563937 - Identified - New - IS4</v>
          </cell>
          <cell r="AU304">
            <v>130900</v>
          </cell>
          <cell r="AV304">
            <v>0</v>
          </cell>
          <cell r="AW304">
            <v>130900</v>
          </cell>
          <cell r="AX304">
            <v>0</v>
          </cell>
          <cell r="AZ304">
            <v>293</v>
          </cell>
          <cell r="BA304">
            <v>155</v>
          </cell>
          <cell r="BB304">
            <v>355</v>
          </cell>
        </row>
        <row r="305">
          <cell r="B305" t="str">
            <v>OPP-854803</v>
          </cell>
          <cell r="C305" t="str">
            <v>SURVIVAL EVASION RESISTANCE AND ESCAPE SUPPORT SERVICES (SERE) ECAC</v>
          </cell>
          <cell r="D305" t="str">
            <v>IS4</v>
          </cell>
          <cell r="E305" t="str">
            <v>IS4 Spectrum &amp; Infrastructure Assurance</v>
          </cell>
          <cell r="F305" t="str">
            <v>Air Force</v>
          </cell>
          <cell r="G305" t="str">
            <v>DOD</v>
          </cell>
          <cell r="H305">
            <v>44075</v>
          </cell>
          <cell r="I305">
            <v>44105</v>
          </cell>
          <cell r="J305">
            <v>45931</v>
          </cell>
          <cell r="K305" t="str">
            <v>Sub</v>
          </cell>
          <cell r="L305" t="str">
            <v>Fixed Price</v>
          </cell>
          <cell r="M305" t="str">
            <v>Fixed Price</v>
          </cell>
          <cell r="N305" t="str">
            <v>Identified - New</v>
          </cell>
          <cell r="O305" t="str">
            <v>01 Prospect</v>
          </cell>
          <cell r="P305" t="str">
            <v>Priority 3</v>
          </cell>
          <cell r="Q305">
            <v>0.25</v>
          </cell>
          <cell r="R305">
            <v>10000000</v>
          </cell>
          <cell r="S305">
            <v>0.17199999999999999</v>
          </cell>
          <cell r="T305">
            <v>0.17199999999999999</v>
          </cell>
          <cell r="U305">
            <v>0.17299999999999999</v>
          </cell>
          <cell r="V305">
            <v>0.17499999999999999</v>
          </cell>
          <cell r="W305">
            <v>0.18</v>
          </cell>
          <cell r="X305">
            <v>0.08</v>
          </cell>
          <cell r="Y305">
            <v>0.08</v>
          </cell>
          <cell r="Z305">
            <v>8.1000000000000003E-2</v>
          </cell>
          <cell r="AA305">
            <v>8.3000000000000004E-2</v>
          </cell>
          <cell r="AB305">
            <v>8.8000000000000009E-2</v>
          </cell>
          <cell r="AC305">
            <v>2000000</v>
          </cell>
          <cell r="AD305">
            <v>0</v>
          </cell>
          <cell r="AE305">
            <v>0</v>
          </cell>
          <cell r="AF305">
            <v>498611.11111111112</v>
          </cell>
          <cell r="AG305">
            <v>500000</v>
          </cell>
          <cell r="AH305">
            <v>500000</v>
          </cell>
          <cell r="AI305">
            <v>0</v>
          </cell>
          <cell r="AJ305">
            <v>0</v>
          </cell>
          <cell r="AK305">
            <v>86259.722222222219</v>
          </cell>
          <cell r="AL305">
            <v>87500</v>
          </cell>
          <cell r="AM305">
            <v>90000</v>
          </cell>
          <cell r="AN305">
            <v>0</v>
          </cell>
          <cell r="AO305">
            <v>0</v>
          </cell>
          <cell r="AP305">
            <v>40387.5</v>
          </cell>
          <cell r="AQ305">
            <v>41500</v>
          </cell>
          <cell r="AR305">
            <v>44000.000000000007</v>
          </cell>
          <cell r="AT305" t="str">
            <v>OPP-854803 - Identified - New - IS4</v>
          </cell>
          <cell r="AU305">
            <v>125887.5</v>
          </cell>
          <cell r="AV305">
            <v>0</v>
          </cell>
          <cell r="AW305">
            <v>125887.5</v>
          </cell>
          <cell r="AX305">
            <v>0</v>
          </cell>
          <cell r="AZ305">
            <v>294</v>
          </cell>
          <cell r="BA305">
            <v>163</v>
          </cell>
          <cell r="BB305">
            <v>356</v>
          </cell>
        </row>
        <row r="306">
          <cell r="B306" t="str">
            <v>OPP-411935</v>
          </cell>
          <cell r="C306" t="str">
            <v>NSWCDD A Department Strategic and Weapon Control Systems - Documentation and Test (K T&amp;E 3120 Recompete)</v>
          </cell>
          <cell r="D306" t="str">
            <v>IS4</v>
          </cell>
          <cell r="E306" t="str">
            <v>IS4 Spectrum &amp; Infrastructure Assurance</v>
          </cell>
          <cell r="F306" t="str">
            <v>Navy</v>
          </cell>
          <cell r="G306" t="str">
            <v>DOD</v>
          </cell>
          <cell r="H306">
            <v>44176</v>
          </cell>
          <cell r="I306">
            <v>44208</v>
          </cell>
          <cell r="J306">
            <v>46034</v>
          </cell>
          <cell r="K306" t="str">
            <v>Prime</v>
          </cell>
          <cell r="L306" t="str">
            <v>Cost Plus Fixed Fee</v>
          </cell>
          <cell r="M306" t="str">
            <v>Cost Reimbursable</v>
          </cell>
          <cell r="N306" t="str">
            <v>Identified - New</v>
          </cell>
          <cell r="O306" t="str">
            <v>02 Capture</v>
          </cell>
          <cell r="P306" t="str">
            <v>Priority 3</v>
          </cell>
          <cell r="Q306">
            <v>0.5</v>
          </cell>
          <cell r="R306">
            <v>10000000</v>
          </cell>
          <cell r="S306">
            <v>0.16</v>
          </cell>
          <cell r="T306">
            <v>0.16</v>
          </cell>
          <cell r="U306">
            <v>0.16</v>
          </cell>
          <cell r="V306">
            <v>0.16</v>
          </cell>
          <cell r="W306">
            <v>0.16</v>
          </cell>
          <cell r="X306">
            <v>6.8000000000000005E-2</v>
          </cell>
          <cell r="Y306">
            <v>6.8000000000000005E-2</v>
          </cell>
          <cell r="Z306">
            <v>6.8000000000000005E-2</v>
          </cell>
          <cell r="AA306">
            <v>6.8000000000000005E-2</v>
          </cell>
          <cell r="AB306">
            <v>6.8000000000000005E-2</v>
          </cell>
          <cell r="AC306">
            <v>2000000</v>
          </cell>
          <cell r="AD306">
            <v>0</v>
          </cell>
          <cell r="AE306">
            <v>0</v>
          </cell>
          <cell r="AF306">
            <v>716666.66666666663</v>
          </cell>
          <cell r="AG306">
            <v>1000000</v>
          </cell>
          <cell r="AH306">
            <v>1000000</v>
          </cell>
          <cell r="AI306">
            <v>0</v>
          </cell>
          <cell r="AJ306">
            <v>0</v>
          </cell>
          <cell r="AK306">
            <v>114666.66666666666</v>
          </cell>
          <cell r="AL306">
            <v>160000</v>
          </cell>
          <cell r="AM306">
            <v>160000</v>
          </cell>
          <cell r="AN306">
            <v>0</v>
          </cell>
          <cell r="AO306">
            <v>0</v>
          </cell>
          <cell r="AP306">
            <v>48733.333333333336</v>
          </cell>
          <cell r="AQ306">
            <v>68000</v>
          </cell>
          <cell r="AR306">
            <v>68000</v>
          </cell>
          <cell r="AT306" t="str">
            <v>OPP-411935 - Identified - New - IS4</v>
          </cell>
          <cell r="AU306">
            <v>184733.33333333334</v>
          </cell>
          <cell r="AV306">
            <v>0</v>
          </cell>
          <cell r="AW306">
            <v>184733.33333333334</v>
          </cell>
          <cell r="AX306">
            <v>0</v>
          </cell>
          <cell r="AZ306">
            <v>295</v>
          </cell>
          <cell r="BA306">
            <v>137</v>
          </cell>
          <cell r="BB306">
            <v>357</v>
          </cell>
        </row>
        <row r="307">
          <cell r="B307" t="str">
            <v>OPP-562388</v>
          </cell>
          <cell r="C307" t="str">
            <v>NSWC CSCS Network Admin</v>
          </cell>
          <cell r="D307" t="str">
            <v>IS4</v>
          </cell>
          <cell r="E307" t="str">
            <v>IS4 Spectrum &amp; Infrastructure Assurance</v>
          </cell>
          <cell r="F307" t="str">
            <v>Navy</v>
          </cell>
          <cell r="G307" t="str">
            <v>DOD</v>
          </cell>
          <cell r="H307">
            <v>44456</v>
          </cell>
          <cell r="I307">
            <v>44487</v>
          </cell>
          <cell r="J307">
            <v>46313</v>
          </cell>
          <cell r="K307" t="str">
            <v>Prime</v>
          </cell>
          <cell r="L307" t="str">
            <v>Cost Plus Fixed Fee</v>
          </cell>
          <cell r="M307" t="str">
            <v>Cost Reimbursable</v>
          </cell>
          <cell r="N307" t="str">
            <v>Identified - New</v>
          </cell>
          <cell r="O307" t="str">
            <v>01 Prospect</v>
          </cell>
          <cell r="P307" t="str">
            <v>Priority 3</v>
          </cell>
          <cell r="Q307">
            <v>0.15</v>
          </cell>
          <cell r="R307">
            <v>10000000</v>
          </cell>
          <cell r="S307">
            <v>0.16</v>
          </cell>
          <cell r="T307">
            <v>0.16</v>
          </cell>
          <cell r="U307">
            <v>0.16</v>
          </cell>
          <cell r="V307">
            <v>0.16</v>
          </cell>
          <cell r="W307">
            <v>0.16</v>
          </cell>
          <cell r="X307">
            <v>6.8000000000000005E-2</v>
          </cell>
          <cell r="Y307">
            <v>6.8000000000000005E-2</v>
          </cell>
          <cell r="Z307">
            <v>6.8000000000000005E-2</v>
          </cell>
          <cell r="AA307">
            <v>6.8000000000000005E-2</v>
          </cell>
          <cell r="AB307">
            <v>6.8000000000000005E-2</v>
          </cell>
          <cell r="AC307">
            <v>2000000</v>
          </cell>
          <cell r="AD307">
            <v>0</v>
          </cell>
          <cell r="AE307">
            <v>0</v>
          </cell>
          <cell r="AF307">
            <v>0</v>
          </cell>
          <cell r="AG307">
            <v>285000</v>
          </cell>
          <cell r="AH307">
            <v>300000</v>
          </cell>
          <cell r="AI307">
            <v>0</v>
          </cell>
          <cell r="AJ307">
            <v>0</v>
          </cell>
          <cell r="AK307">
            <v>0</v>
          </cell>
          <cell r="AL307">
            <v>45600</v>
          </cell>
          <cell r="AM307">
            <v>48000</v>
          </cell>
          <cell r="AN307">
            <v>0</v>
          </cell>
          <cell r="AO307">
            <v>0</v>
          </cell>
          <cell r="AP307">
            <v>0</v>
          </cell>
          <cell r="AQ307">
            <v>19380</v>
          </cell>
          <cell r="AR307">
            <v>20400</v>
          </cell>
          <cell r="AT307" t="str">
            <v>OPP-562388 - Identified - New - IS4</v>
          </cell>
          <cell r="AU307">
            <v>39780</v>
          </cell>
          <cell r="AV307">
            <v>0</v>
          </cell>
          <cell r="AW307">
            <v>39780</v>
          </cell>
          <cell r="AX307">
            <v>0</v>
          </cell>
          <cell r="AZ307">
            <v>296</v>
          </cell>
          <cell r="BA307">
            <v>217</v>
          </cell>
          <cell r="BB307">
            <v>358</v>
          </cell>
        </row>
        <row r="308">
          <cell r="B308" t="str">
            <v>OPP-562379</v>
          </cell>
          <cell r="C308" t="str">
            <v>NSWCDD Cybersecurity and Risk Management</v>
          </cell>
          <cell r="D308" t="str">
            <v>IS4</v>
          </cell>
          <cell r="E308" t="str">
            <v>IS4 Spectrum &amp; Infrastructure Assurance</v>
          </cell>
          <cell r="F308" t="str">
            <v>Navy</v>
          </cell>
          <cell r="G308" t="str">
            <v>DOD</v>
          </cell>
          <cell r="H308">
            <v>44456</v>
          </cell>
          <cell r="I308">
            <v>44487</v>
          </cell>
          <cell r="J308">
            <v>46313</v>
          </cell>
          <cell r="K308" t="str">
            <v>Sub</v>
          </cell>
          <cell r="L308" t="str">
            <v>Cost Plus Fixed Fee</v>
          </cell>
          <cell r="M308" t="str">
            <v>Cost Reimbursable</v>
          </cell>
          <cell r="N308" t="str">
            <v>Identified - New</v>
          </cell>
          <cell r="O308" t="str">
            <v>01 Prospect</v>
          </cell>
          <cell r="P308" t="str">
            <v>Priority 3</v>
          </cell>
          <cell r="Q308">
            <v>0.15</v>
          </cell>
          <cell r="R308">
            <v>10000000</v>
          </cell>
          <cell r="S308">
            <v>0.16</v>
          </cell>
          <cell r="T308">
            <v>0.16</v>
          </cell>
          <cell r="U308">
            <v>0.16</v>
          </cell>
          <cell r="V308">
            <v>0.16</v>
          </cell>
          <cell r="W308">
            <v>0.16</v>
          </cell>
          <cell r="X308">
            <v>6.8000000000000005E-2</v>
          </cell>
          <cell r="Y308">
            <v>6.8000000000000005E-2</v>
          </cell>
          <cell r="Z308">
            <v>6.8000000000000005E-2</v>
          </cell>
          <cell r="AA308">
            <v>6.8000000000000005E-2</v>
          </cell>
          <cell r="AB308">
            <v>6.8000000000000005E-2</v>
          </cell>
          <cell r="AC308">
            <v>2000000</v>
          </cell>
          <cell r="AD308">
            <v>0</v>
          </cell>
          <cell r="AE308">
            <v>0</v>
          </cell>
          <cell r="AF308">
            <v>0</v>
          </cell>
          <cell r="AG308">
            <v>285000</v>
          </cell>
          <cell r="AH308">
            <v>300000</v>
          </cell>
          <cell r="AI308">
            <v>0</v>
          </cell>
          <cell r="AJ308">
            <v>0</v>
          </cell>
          <cell r="AK308">
            <v>0</v>
          </cell>
          <cell r="AL308">
            <v>45600</v>
          </cell>
          <cell r="AM308">
            <v>48000</v>
          </cell>
          <cell r="AN308">
            <v>0</v>
          </cell>
          <cell r="AO308">
            <v>0</v>
          </cell>
          <cell r="AP308">
            <v>0</v>
          </cell>
          <cell r="AQ308">
            <v>19380</v>
          </cell>
          <cell r="AR308">
            <v>20400</v>
          </cell>
          <cell r="AT308" t="str">
            <v>OPP-562379 - Identified - New - IS4</v>
          </cell>
          <cell r="AU308">
            <v>39780</v>
          </cell>
          <cell r="AV308">
            <v>0</v>
          </cell>
          <cell r="AW308">
            <v>39780</v>
          </cell>
          <cell r="AX308">
            <v>0</v>
          </cell>
          <cell r="AZ308">
            <v>297</v>
          </cell>
          <cell r="BA308">
            <v>218</v>
          </cell>
          <cell r="BB308">
            <v>359</v>
          </cell>
        </row>
        <row r="309">
          <cell r="B309" t="str">
            <v>OPP-760621</v>
          </cell>
          <cell r="C309" t="str">
            <v>NAVSEA PEO IWS 10.0 Engineering (Raytheon)</v>
          </cell>
          <cell r="D309" t="str">
            <v>IS4</v>
          </cell>
          <cell r="E309" t="str">
            <v>IS4 Spectrum &amp; Infrastructure Assurance</v>
          </cell>
          <cell r="F309" t="str">
            <v>Navy</v>
          </cell>
          <cell r="G309" t="str">
            <v>DOD</v>
          </cell>
          <cell r="H309">
            <v>44515</v>
          </cell>
          <cell r="I309">
            <v>44582</v>
          </cell>
          <cell r="J309">
            <v>46408</v>
          </cell>
          <cell r="K309" t="str">
            <v>Sub</v>
          </cell>
          <cell r="L309" t="str">
            <v>Cost Plus Incentive Fee</v>
          </cell>
          <cell r="M309" t="str">
            <v>Cost Reimbursable</v>
          </cell>
          <cell r="N309" t="str">
            <v>Identified - New</v>
          </cell>
          <cell r="O309" t="str">
            <v>01 Prospect</v>
          </cell>
          <cell r="P309" t="str">
            <v>Priority 3</v>
          </cell>
          <cell r="Q309">
            <v>0.3</v>
          </cell>
          <cell r="R309">
            <v>10000000</v>
          </cell>
          <cell r="S309">
            <v>0.16</v>
          </cell>
          <cell r="T309">
            <v>0.16</v>
          </cell>
          <cell r="U309">
            <v>0.16</v>
          </cell>
          <cell r="V309">
            <v>0.16</v>
          </cell>
          <cell r="W309">
            <v>0.16</v>
          </cell>
          <cell r="X309">
            <v>6.8000000000000005E-2</v>
          </cell>
          <cell r="Y309">
            <v>6.8000000000000005E-2</v>
          </cell>
          <cell r="Z309">
            <v>6.8000000000000005E-2</v>
          </cell>
          <cell r="AA309">
            <v>6.8000000000000005E-2</v>
          </cell>
          <cell r="AB309">
            <v>6.8000000000000005E-2</v>
          </cell>
          <cell r="AC309">
            <v>2000000</v>
          </cell>
          <cell r="AD309">
            <v>0</v>
          </cell>
          <cell r="AE309">
            <v>0</v>
          </cell>
          <cell r="AF309">
            <v>0</v>
          </cell>
          <cell r="AG309">
            <v>414999.99999999994</v>
          </cell>
          <cell r="AH309">
            <v>600000</v>
          </cell>
          <cell r="AI309">
            <v>0</v>
          </cell>
          <cell r="AJ309">
            <v>0</v>
          </cell>
          <cell r="AK309">
            <v>0</v>
          </cell>
          <cell r="AL309">
            <v>66399.999999999985</v>
          </cell>
          <cell r="AM309">
            <v>96000</v>
          </cell>
          <cell r="AN309">
            <v>0</v>
          </cell>
          <cell r="AO309">
            <v>0</v>
          </cell>
          <cell r="AP309">
            <v>0</v>
          </cell>
          <cell r="AQ309">
            <v>28219.999999999996</v>
          </cell>
          <cell r="AR309">
            <v>40800</v>
          </cell>
          <cell r="AT309" t="str">
            <v>OPP-760621 - Identified - New - IS4</v>
          </cell>
          <cell r="AU309">
            <v>69020</v>
          </cell>
          <cell r="AV309">
            <v>0</v>
          </cell>
          <cell r="AW309">
            <v>69020</v>
          </cell>
          <cell r="AX309">
            <v>0</v>
          </cell>
          <cell r="AZ309">
            <v>298</v>
          </cell>
          <cell r="BA309">
            <v>198</v>
          </cell>
          <cell r="BB309">
            <v>360</v>
          </cell>
        </row>
        <row r="310">
          <cell r="B310" t="str">
            <v>OPP-721228</v>
          </cell>
          <cell r="C310" t="str">
            <v>SPAWARPAC Net-Centric C4ISR Shore Platform Integration and Systems Engineering</v>
          </cell>
          <cell r="D310" t="str">
            <v>IS4</v>
          </cell>
          <cell r="E310" t="str">
            <v>IS4 Spectrum &amp; Infrastructure Assurance</v>
          </cell>
          <cell r="F310" t="str">
            <v>Navy</v>
          </cell>
          <cell r="G310" t="str">
            <v>DOD</v>
          </cell>
          <cell r="H310">
            <v>44727</v>
          </cell>
          <cell r="I310">
            <v>44767</v>
          </cell>
          <cell r="J310">
            <v>46593</v>
          </cell>
          <cell r="K310" t="str">
            <v>Sub</v>
          </cell>
          <cell r="L310" t="str">
            <v>Cost Plus Award Fee</v>
          </cell>
          <cell r="M310" t="str">
            <v>Cost Reimbursable</v>
          </cell>
          <cell r="N310" t="str">
            <v>Identified - New</v>
          </cell>
          <cell r="O310" t="str">
            <v>01 Prospect</v>
          </cell>
          <cell r="P310" t="str">
            <v>Priority 3</v>
          </cell>
          <cell r="Q310">
            <v>0.25</v>
          </cell>
          <cell r="R310">
            <v>10000000</v>
          </cell>
          <cell r="S310">
            <v>0.152</v>
          </cell>
          <cell r="T310">
            <v>0.152</v>
          </cell>
          <cell r="U310">
            <v>0.17199999999999999</v>
          </cell>
          <cell r="V310">
            <v>0.17199999999999999</v>
          </cell>
          <cell r="W310">
            <v>0.17199999999999999</v>
          </cell>
          <cell r="X310">
            <v>0.06</v>
          </cell>
          <cell r="Y310">
            <v>0.06</v>
          </cell>
          <cell r="Z310">
            <v>0.08</v>
          </cell>
          <cell r="AA310">
            <v>0.08</v>
          </cell>
          <cell r="AB310">
            <v>0.08</v>
          </cell>
          <cell r="AC310">
            <v>2000000</v>
          </cell>
          <cell r="AD310">
            <v>0</v>
          </cell>
          <cell r="AE310">
            <v>0</v>
          </cell>
          <cell r="AF310">
            <v>0</v>
          </cell>
          <cell r="AG310">
            <v>90277.777777777781</v>
          </cell>
          <cell r="AH310">
            <v>500000</v>
          </cell>
          <cell r="AI310">
            <v>0</v>
          </cell>
          <cell r="AJ310">
            <v>0</v>
          </cell>
          <cell r="AK310">
            <v>0</v>
          </cell>
          <cell r="AL310">
            <v>15527.777777777777</v>
          </cell>
          <cell r="AM310">
            <v>86000</v>
          </cell>
          <cell r="AN310">
            <v>0</v>
          </cell>
          <cell r="AO310">
            <v>0</v>
          </cell>
          <cell r="AP310">
            <v>0</v>
          </cell>
          <cell r="AQ310">
            <v>7222.2222222222226</v>
          </cell>
          <cell r="AR310">
            <v>40000</v>
          </cell>
          <cell r="AT310" t="str">
            <v>OPP-721228 - Identified - New - IS4</v>
          </cell>
          <cell r="AU310">
            <v>47222.222222222219</v>
          </cell>
          <cell r="AV310">
            <v>0</v>
          </cell>
          <cell r="AW310">
            <v>47222.222222222219</v>
          </cell>
          <cell r="AX310">
            <v>0</v>
          </cell>
          <cell r="AZ310">
            <v>299</v>
          </cell>
          <cell r="BA310">
            <v>215</v>
          </cell>
          <cell r="BB310">
            <v>361</v>
          </cell>
        </row>
        <row r="311">
          <cell r="B311" t="str">
            <v>OPP-760622</v>
          </cell>
          <cell r="C311" t="str">
            <v>DT-16-1278 Technical Support for Facilitization/Upgrade/Modernization of Antenna &amp; Radar Range Campus</v>
          </cell>
          <cell r="D311" t="str">
            <v>IS4</v>
          </cell>
          <cell r="E311" t="str">
            <v>IS4 Spectrum &amp; Infrastructure Assurance</v>
          </cell>
          <cell r="F311" t="str">
            <v>Navy</v>
          </cell>
          <cell r="G311" t="str">
            <v>DOD</v>
          </cell>
          <cell r="H311">
            <v>44851</v>
          </cell>
          <cell r="I311">
            <v>44917</v>
          </cell>
          <cell r="J311">
            <v>46743</v>
          </cell>
          <cell r="K311" t="str">
            <v>Prime</v>
          </cell>
          <cell r="L311" t="str">
            <v>Cost Plus Fixed Fee</v>
          </cell>
          <cell r="M311" t="str">
            <v>Cost Reimbursable</v>
          </cell>
          <cell r="N311" t="str">
            <v>Identified - New</v>
          </cell>
          <cell r="O311" t="str">
            <v>01 Prospect</v>
          </cell>
          <cell r="P311" t="str">
            <v>Priority 3</v>
          </cell>
          <cell r="Q311">
            <v>0.3</v>
          </cell>
          <cell r="R311">
            <v>10000000</v>
          </cell>
          <cell r="S311">
            <v>0.16</v>
          </cell>
          <cell r="T311">
            <v>0.16</v>
          </cell>
          <cell r="U311">
            <v>0.16</v>
          </cell>
          <cell r="V311">
            <v>0.16</v>
          </cell>
          <cell r="W311">
            <v>0.16</v>
          </cell>
          <cell r="X311">
            <v>6.8000000000000005E-2</v>
          </cell>
          <cell r="Y311">
            <v>6.8000000000000005E-2</v>
          </cell>
          <cell r="Z311">
            <v>6.8000000000000005E-2</v>
          </cell>
          <cell r="AA311">
            <v>6.8000000000000005E-2</v>
          </cell>
          <cell r="AB311">
            <v>6.8000000000000005E-2</v>
          </cell>
          <cell r="AC311">
            <v>2000000</v>
          </cell>
          <cell r="AD311">
            <v>0</v>
          </cell>
          <cell r="AE311">
            <v>0</v>
          </cell>
          <cell r="AF311">
            <v>0</v>
          </cell>
          <cell r="AG311">
            <v>0</v>
          </cell>
          <cell r="AH311">
            <v>463333.33333333331</v>
          </cell>
          <cell r="AI311">
            <v>0</v>
          </cell>
          <cell r="AJ311">
            <v>0</v>
          </cell>
          <cell r="AK311">
            <v>0</v>
          </cell>
          <cell r="AL311">
            <v>0</v>
          </cell>
          <cell r="AM311">
            <v>74133.333333333328</v>
          </cell>
          <cell r="AN311">
            <v>0</v>
          </cell>
          <cell r="AO311">
            <v>0</v>
          </cell>
          <cell r="AP311">
            <v>0</v>
          </cell>
          <cell r="AQ311">
            <v>0</v>
          </cell>
          <cell r="AR311">
            <v>31506.666666666668</v>
          </cell>
          <cell r="AT311" t="str">
            <v>OPP-760622 - Identified - New - IS4</v>
          </cell>
          <cell r="AU311">
            <v>31506.666666666668</v>
          </cell>
          <cell r="AV311">
            <v>0</v>
          </cell>
          <cell r="AW311">
            <v>31506.666666666668</v>
          </cell>
          <cell r="AX311">
            <v>0</v>
          </cell>
          <cell r="AZ311">
            <v>300</v>
          </cell>
          <cell r="BA311">
            <v>222</v>
          </cell>
          <cell r="BB311">
            <v>362</v>
          </cell>
        </row>
        <row r="312">
          <cell r="B312" t="str">
            <v>OPP-855669</v>
          </cell>
          <cell r="C312" t="str">
            <v>NSWCDD V52 Engineering Life-cycle Management &amp; Development Resources</v>
          </cell>
          <cell r="D312" t="str">
            <v>IS4</v>
          </cell>
          <cell r="E312" t="str">
            <v>IS4 Spectrum &amp; Infrastructure Assurance</v>
          </cell>
          <cell r="F312" t="str">
            <v>Navy</v>
          </cell>
          <cell r="G312" t="str">
            <v>DOD</v>
          </cell>
          <cell r="H312">
            <v>43815</v>
          </cell>
          <cell r="I312">
            <v>43843</v>
          </cell>
          <cell r="J312">
            <v>45670</v>
          </cell>
          <cell r="K312" t="str">
            <v>Sub</v>
          </cell>
          <cell r="L312" t="str">
            <v>Cost Plus Fixed Fee; Fixed Price</v>
          </cell>
          <cell r="M312" t="str">
            <v>Cost Reimbursable</v>
          </cell>
          <cell r="N312" t="str">
            <v>Identified - New</v>
          </cell>
          <cell r="O312" t="str">
            <v>04 Submitted</v>
          </cell>
          <cell r="P312" t="str">
            <v>Priority 3</v>
          </cell>
          <cell r="Q312">
            <v>0.3</v>
          </cell>
          <cell r="R312">
            <v>9423262</v>
          </cell>
          <cell r="S312">
            <v>0.16</v>
          </cell>
          <cell r="T312">
            <v>0.16</v>
          </cell>
          <cell r="U312">
            <v>0.16</v>
          </cell>
          <cell r="V312">
            <v>0.16</v>
          </cell>
          <cell r="W312">
            <v>0.16</v>
          </cell>
          <cell r="X312">
            <v>6.8000000000000005E-2</v>
          </cell>
          <cell r="Y312">
            <v>6.8000000000000005E-2</v>
          </cell>
          <cell r="Z312">
            <v>6.8000000000000005E-2</v>
          </cell>
          <cell r="AA312">
            <v>6.8000000000000005E-2</v>
          </cell>
          <cell r="AB312">
            <v>6.8000000000000005E-2</v>
          </cell>
          <cell r="AC312">
            <v>1884652.4</v>
          </cell>
          <cell r="AD312">
            <v>0</v>
          </cell>
          <cell r="AE312">
            <v>403629.72233333328</v>
          </cell>
          <cell r="AF312">
            <v>565395.72</v>
          </cell>
          <cell r="AG312">
            <v>565395.72</v>
          </cell>
          <cell r="AH312">
            <v>565395.72</v>
          </cell>
          <cell r="AI312">
            <v>0</v>
          </cell>
          <cell r="AJ312">
            <v>64580.755573333328</v>
          </cell>
          <cell r="AK312">
            <v>90463.315199999997</v>
          </cell>
          <cell r="AL312">
            <v>90463.315199999997</v>
          </cell>
          <cell r="AM312">
            <v>90463.315199999997</v>
          </cell>
          <cell r="AN312">
            <v>0</v>
          </cell>
          <cell r="AO312">
            <v>27446.821118666667</v>
          </cell>
          <cell r="AP312">
            <v>38446.908960000001</v>
          </cell>
          <cell r="AQ312">
            <v>38446.908960000001</v>
          </cell>
          <cell r="AR312">
            <v>38446.908960000001</v>
          </cell>
          <cell r="AT312" t="str">
            <v>OPP-855669 - Identified - New - IS4</v>
          </cell>
          <cell r="AU312">
            <v>142787.54799866668</v>
          </cell>
          <cell r="AV312">
            <v>0</v>
          </cell>
          <cell r="AW312">
            <v>142787.54799866668</v>
          </cell>
          <cell r="AX312">
            <v>0</v>
          </cell>
          <cell r="AZ312">
            <v>301</v>
          </cell>
          <cell r="BA312">
            <v>150</v>
          </cell>
          <cell r="BB312">
            <v>363</v>
          </cell>
        </row>
        <row r="313">
          <cell r="B313" t="str">
            <v>OPP-622011</v>
          </cell>
          <cell r="C313" t="str">
            <v>Air Force Safety Patrick AFB Florida</v>
          </cell>
          <cell r="D313" t="str">
            <v>IS4</v>
          </cell>
          <cell r="E313" t="str">
            <v>IS4 Spectrum &amp; Infrastructure Assurance</v>
          </cell>
          <cell r="F313" t="str">
            <v>Air Force</v>
          </cell>
          <cell r="G313" t="str">
            <v>DOD</v>
          </cell>
          <cell r="H313">
            <v>44089</v>
          </cell>
          <cell r="I313">
            <v>44116</v>
          </cell>
          <cell r="J313">
            <v>45942</v>
          </cell>
          <cell r="K313" t="str">
            <v>Prime</v>
          </cell>
          <cell r="L313" t="str">
            <v>Cost Plus Fixed Fee</v>
          </cell>
          <cell r="M313" t="str">
            <v>Cost Reimbursable</v>
          </cell>
          <cell r="N313" t="str">
            <v>Identified - New</v>
          </cell>
          <cell r="O313" t="str">
            <v>01 Prospect</v>
          </cell>
          <cell r="P313" t="str">
            <v>Priority 3</v>
          </cell>
          <cell r="Q313">
            <v>0.25</v>
          </cell>
          <cell r="R313">
            <v>9000000</v>
          </cell>
          <cell r="S313">
            <v>0.16</v>
          </cell>
          <cell r="T313">
            <v>0.16</v>
          </cell>
          <cell r="U313">
            <v>0.16</v>
          </cell>
          <cell r="V313">
            <v>0.16</v>
          </cell>
          <cell r="W313">
            <v>0.16</v>
          </cell>
          <cell r="X313">
            <v>6.8000000000000005E-2</v>
          </cell>
          <cell r="Y313">
            <v>6.8000000000000005E-2</v>
          </cell>
          <cell r="Z313">
            <v>6.8000000000000005E-2</v>
          </cell>
          <cell r="AA313">
            <v>6.8000000000000005E-2</v>
          </cell>
          <cell r="AB313">
            <v>6.8000000000000005E-2</v>
          </cell>
          <cell r="AC313">
            <v>1800000</v>
          </cell>
          <cell r="AD313">
            <v>0</v>
          </cell>
          <cell r="AE313">
            <v>0</v>
          </cell>
          <cell r="AF313">
            <v>435000</v>
          </cell>
          <cell r="AG313">
            <v>450000</v>
          </cell>
          <cell r="AH313">
            <v>450000</v>
          </cell>
          <cell r="AI313">
            <v>0</v>
          </cell>
          <cell r="AJ313">
            <v>0</v>
          </cell>
          <cell r="AK313">
            <v>69600</v>
          </cell>
          <cell r="AL313">
            <v>72000</v>
          </cell>
          <cell r="AM313">
            <v>72000</v>
          </cell>
          <cell r="AN313">
            <v>0</v>
          </cell>
          <cell r="AO313">
            <v>0</v>
          </cell>
          <cell r="AP313">
            <v>29580.000000000004</v>
          </cell>
          <cell r="AQ313">
            <v>30600.000000000004</v>
          </cell>
          <cell r="AR313">
            <v>30600.000000000004</v>
          </cell>
          <cell r="AT313" t="str">
            <v>OPP-622011 - Identified - New - IS4</v>
          </cell>
          <cell r="AU313">
            <v>90780.000000000015</v>
          </cell>
          <cell r="AV313">
            <v>0</v>
          </cell>
          <cell r="AW313">
            <v>90780.000000000015</v>
          </cell>
          <cell r="AX313">
            <v>0</v>
          </cell>
          <cell r="AZ313">
            <v>302</v>
          </cell>
          <cell r="BA313">
            <v>181</v>
          </cell>
          <cell r="BB313">
            <v>364</v>
          </cell>
        </row>
        <row r="314">
          <cell r="B314" t="str">
            <v>OPP-563921</v>
          </cell>
          <cell r="C314" t="str">
            <v>NSWC Crane GXT Strategic Missions Support (QA/MBSE) SAIC FC49</v>
          </cell>
          <cell r="D314" t="str">
            <v>IS4</v>
          </cell>
          <cell r="E314" t="str">
            <v>IS4 Spectrum &amp; Infrastructure Assurance</v>
          </cell>
          <cell r="F314" t="str">
            <v>Navy</v>
          </cell>
          <cell r="G314" t="str">
            <v>DOD</v>
          </cell>
          <cell r="H314">
            <v>44204</v>
          </cell>
          <cell r="I314">
            <v>44294</v>
          </cell>
          <cell r="J314">
            <v>46120</v>
          </cell>
          <cell r="K314" t="str">
            <v>Sub</v>
          </cell>
          <cell r="L314" t="str">
            <v>Cost Plus Fixed Fee</v>
          </cell>
          <cell r="M314" t="str">
            <v>Cost Reimbursable</v>
          </cell>
          <cell r="N314" t="str">
            <v>Identified - New</v>
          </cell>
          <cell r="O314" t="str">
            <v>01 Prospect</v>
          </cell>
          <cell r="P314" t="str">
            <v>Priority 3</v>
          </cell>
          <cell r="Q314">
            <v>0.25</v>
          </cell>
          <cell r="R314">
            <v>9000000</v>
          </cell>
          <cell r="S314">
            <v>0.16</v>
          </cell>
          <cell r="T314">
            <v>0.16</v>
          </cell>
          <cell r="U314">
            <v>0.16</v>
          </cell>
          <cell r="V314">
            <v>0.16</v>
          </cell>
          <cell r="W314">
            <v>0.16</v>
          </cell>
          <cell r="X314">
            <v>6.8000000000000005E-2</v>
          </cell>
          <cell r="Y314">
            <v>6.8000000000000005E-2</v>
          </cell>
          <cell r="Z314">
            <v>6.8000000000000005E-2</v>
          </cell>
          <cell r="AA314">
            <v>6.8000000000000005E-2</v>
          </cell>
          <cell r="AB314">
            <v>6.8000000000000005E-2</v>
          </cell>
          <cell r="AC314">
            <v>1800000</v>
          </cell>
          <cell r="AD314">
            <v>0</v>
          </cell>
          <cell r="AE314">
            <v>0</v>
          </cell>
          <cell r="AF314">
            <v>215000</v>
          </cell>
          <cell r="AG314">
            <v>450000</v>
          </cell>
          <cell r="AH314">
            <v>450000</v>
          </cell>
          <cell r="AI314">
            <v>0</v>
          </cell>
          <cell r="AJ314">
            <v>0</v>
          </cell>
          <cell r="AK314">
            <v>34400</v>
          </cell>
          <cell r="AL314">
            <v>72000</v>
          </cell>
          <cell r="AM314">
            <v>72000</v>
          </cell>
          <cell r="AN314">
            <v>0</v>
          </cell>
          <cell r="AO314">
            <v>0</v>
          </cell>
          <cell r="AP314">
            <v>14620.000000000002</v>
          </cell>
          <cell r="AQ314">
            <v>30600.000000000004</v>
          </cell>
          <cell r="AR314">
            <v>30600.000000000004</v>
          </cell>
          <cell r="AT314" t="str">
            <v>OPP-563921 - Identified - New - IS4</v>
          </cell>
          <cell r="AU314">
            <v>75820.000000000015</v>
          </cell>
          <cell r="AV314">
            <v>0</v>
          </cell>
          <cell r="AW314">
            <v>75820.000000000015</v>
          </cell>
          <cell r="AX314">
            <v>0</v>
          </cell>
          <cell r="AZ314">
            <v>303</v>
          </cell>
          <cell r="BA314">
            <v>194</v>
          </cell>
          <cell r="BB314">
            <v>365</v>
          </cell>
        </row>
        <row r="315">
          <cell r="B315" t="str">
            <v>OPP-565235</v>
          </cell>
          <cell r="C315" t="str">
            <v>DSO Applied Engineering 2021 Recompete</v>
          </cell>
          <cell r="D315" t="str">
            <v>IS4</v>
          </cell>
          <cell r="E315" t="str">
            <v>IS4 Spectrum &amp; Infrastructure Assurance</v>
          </cell>
          <cell r="F315" t="str">
            <v>DISA</v>
          </cell>
          <cell r="G315" t="str">
            <v>DOD</v>
          </cell>
          <cell r="H315">
            <v>44362</v>
          </cell>
          <cell r="I315">
            <v>44454</v>
          </cell>
          <cell r="J315">
            <v>46280</v>
          </cell>
          <cell r="K315" t="str">
            <v>Prime</v>
          </cell>
          <cell r="L315" t="str">
            <v>Cost Plus Incentive Fee</v>
          </cell>
          <cell r="M315" t="str">
            <v>Cost Reimbursable</v>
          </cell>
          <cell r="N315" t="str">
            <v>Identified - New</v>
          </cell>
          <cell r="O315" t="str">
            <v>01 Prospect</v>
          </cell>
          <cell r="P315" t="str">
            <v>Priority 3</v>
          </cell>
          <cell r="Q315">
            <v>0.25</v>
          </cell>
          <cell r="R315">
            <v>9000000</v>
          </cell>
          <cell r="S315">
            <v>0.16</v>
          </cell>
          <cell r="T315">
            <v>0.16</v>
          </cell>
          <cell r="U315">
            <v>0.16</v>
          </cell>
          <cell r="V315">
            <v>0.16</v>
          </cell>
          <cell r="W315">
            <v>0.16</v>
          </cell>
          <cell r="X315">
            <v>6.8000000000000005E-2</v>
          </cell>
          <cell r="Y315">
            <v>6.8000000000000005E-2</v>
          </cell>
          <cell r="Z315">
            <v>6.8000000000000005E-2</v>
          </cell>
          <cell r="AA315">
            <v>6.8000000000000005E-2</v>
          </cell>
          <cell r="AB315">
            <v>6.8000000000000005E-2</v>
          </cell>
          <cell r="AC315">
            <v>1800000</v>
          </cell>
          <cell r="AD315">
            <v>0</v>
          </cell>
          <cell r="AE315">
            <v>0</v>
          </cell>
          <cell r="AF315">
            <v>18750</v>
          </cell>
          <cell r="AG315">
            <v>450000</v>
          </cell>
          <cell r="AH315">
            <v>450000</v>
          </cell>
          <cell r="AI315">
            <v>0</v>
          </cell>
          <cell r="AJ315">
            <v>0</v>
          </cell>
          <cell r="AK315">
            <v>3000</v>
          </cell>
          <cell r="AL315">
            <v>72000</v>
          </cell>
          <cell r="AM315">
            <v>72000</v>
          </cell>
          <cell r="AN315">
            <v>0</v>
          </cell>
          <cell r="AO315">
            <v>0</v>
          </cell>
          <cell r="AP315">
            <v>1275</v>
          </cell>
          <cell r="AQ315">
            <v>30600.000000000004</v>
          </cell>
          <cell r="AR315">
            <v>30600.000000000004</v>
          </cell>
          <cell r="AT315" t="str">
            <v>OPP-565235 - Identified - New - IS4</v>
          </cell>
          <cell r="AU315">
            <v>62475.000000000007</v>
          </cell>
          <cell r="AV315">
            <v>0</v>
          </cell>
          <cell r="AW315">
            <v>62475.000000000007</v>
          </cell>
          <cell r="AX315">
            <v>0</v>
          </cell>
          <cell r="AZ315">
            <v>304</v>
          </cell>
          <cell r="BA315">
            <v>201</v>
          </cell>
          <cell r="BB315">
            <v>366</v>
          </cell>
        </row>
        <row r="316">
          <cell r="B316" t="str">
            <v>OPP-760612</v>
          </cell>
          <cell r="C316" t="str">
            <v>NSWCDD H30 Missile System Integration and Weapon Effect</v>
          </cell>
          <cell r="D316" t="str">
            <v>IS4</v>
          </cell>
          <cell r="E316" t="str">
            <v>IS4 Spectrum &amp; Infrastructure Assurance</v>
          </cell>
          <cell r="F316" t="str">
            <v>Navy</v>
          </cell>
          <cell r="G316" t="str">
            <v>DOD</v>
          </cell>
          <cell r="H316">
            <v>44697</v>
          </cell>
          <cell r="I316">
            <v>44757</v>
          </cell>
          <cell r="J316">
            <v>46583</v>
          </cell>
          <cell r="K316" t="str">
            <v>Sub</v>
          </cell>
          <cell r="L316" t="str">
            <v>Cost Plus Fixed Fee</v>
          </cell>
          <cell r="M316" t="str">
            <v>Cost Reimbursable</v>
          </cell>
          <cell r="N316" t="str">
            <v>Identified - New</v>
          </cell>
          <cell r="O316" t="str">
            <v>01 Prospect</v>
          </cell>
          <cell r="P316" t="str">
            <v>Priority 3</v>
          </cell>
          <cell r="Q316">
            <v>0.5</v>
          </cell>
          <cell r="R316">
            <v>9000000</v>
          </cell>
          <cell r="S316">
            <v>0.16</v>
          </cell>
          <cell r="T316">
            <v>0.16</v>
          </cell>
          <cell r="U316">
            <v>0.16</v>
          </cell>
          <cell r="V316">
            <v>0.16</v>
          </cell>
          <cell r="W316">
            <v>0.16</v>
          </cell>
          <cell r="X316">
            <v>6.8000000000000005E-2</v>
          </cell>
          <cell r="Y316">
            <v>6.8000000000000005E-2</v>
          </cell>
          <cell r="Z316">
            <v>6.8000000000000005E-2</v>
          </cell>
          <cell r="AA316">
            <v>6.8000000000000005E-2</v>
          </cell>
          <cell r="AB316">
            <v>6.8000000000000005E-2</v>
          </cell>
          <cell r="AC316">
            <v>1800000</v>
          </cell>
          <cell r="AD316">
            <v>0</v>
          </cell>
          <cell r="AE316">
            <v>0</v>
          </cell>
          <cell r="AF316">
            <v>0</v>
          </cell>
          <cell r="AG316">
            <v>187500</v>
          </cell>
          <cell r="AH316">
            <v>900000</v>
          </cell>
          <cell r="AI316">
            <v>0</v>
          </cell>
          <cell r="AJ316">
            <v>0</v>
          </cell>
          <cell r="AK316">
            <v>0</v>
          </cell>
          <cell r="AL316">
            <v>30000</v>
          </cell>
          <cell r="AM316">
            <v>144000</v>
          </cell>
          <cell r="AN316">
            <v>0</v>
          </cell>
          <cell r="AO316">
            <v>0</v>
          </cell>
          <cell r="AP316">
            <v>0</v>
          </cell>
          <cell r="AQ316">
            <v>12750.000000000002</v>
          </cell>
          <cell r="AR316">
            <v>61200.000000000007</v>
          </cell>
          <cell r="AT316" t="str">
            <v>OPP-760612 - Identified - New - IS4</v>
          </cell>
          <cell r="AU316">
            <v>73950.000000000015</v>
          </cell>
          <cell r="AV316">
            <v>0</v>
          </cell>
          <cell r="AW316">
            <v>73950.000000000015</v>
          </cell>
          <cell r="AX316">
            <v>0</v>
          </cell>
          <cell r="AZ316">
            <v>305</v>
          </cell>
          <cell r="BA316">
            <v>195</v>
          </cell>
          <cell r="BB316">
            <v>367</v>
          </cell>
        </row>
        <row r="317">
          <cell r="B317" t="str">
            <v>OPP-948272</v>
          </cell>
          <cell r="C317" t="str">
            <v>RS3-19-0055 HQDA G-3/5/7</v>
          </cell>
          <cell r="D317" t="str">
            <v>IS4</v>
          </cell>
          <cell r="E317" t="str">
            <v>IS4 Spectrum &amp; Infrastructure Assurance</v>
          </cell>
          <cell r="F317" t="str">
            <v>Army</v>
          </cell>
          <cell r="G317" t="str">
            <v>DOD</v>
          </cell>
          <cell r="H317">
            <v>43760</v>
          </cell>
          <cell r="I317">
            <v>43791</v>
          </cell>
          <cell r="J317">
            <v>44795</v>
          </cell>
          <cell r="K317" t="str">
            <v>Sub</v>
          </cell>
          <cell r="L317" t="str">
            <v>Cost Plus Fixed Fee</v>
          </cell>
          <cell r="M317" t="str">
            <v>Cost Reimbursable</v>
          </cell>
          <cell r="N317" t="str">
            <v>Identified - New</v>
          </cell>
          <cell r="O317" t="str">
            <v>04 Submitted</v>
          </cell>
          <cell r="P317" t="str">
            <v>Priority 3</v>
          </cell>
          <cell r="Q317">
            <v>0.25</v>
          </cell>
          <cell r="R317">
            <v>8000000</v>
          </cell>
          <cell r="S317">
            <v>0.16</v>
          </cell>
          <cell r="T317">
            <v>0.16</v>
          </cell>
          <cell r="U317">
            <v>0.16</v>
          </cell>
          <cell r="V317">
            <v>0.16</v>
          </cell>
          <cell r="W317">
            <v>0.16</v>
          </cell>
          <cell r="X317">
            <v>6.8000000000000005E-2</v>
          </cell>
          <cell r="Y317">
            <v>6.8000000000000005E-2</v>
          </cell>
          <cell r="Z317">
            <v>6.8000000000000005E-2</v>
          </cell>
          <cell r="AA317">
            <v>6.8000000000000005E-2</v>
          </cell>
          <cell r="AB317">
            <v>6.8000000000000005E-2</v>
          </cell>
          <cell r="AC317">
            <v>2909090.9090909092</v>
          </cell>
          <cell r="AD317">
            <v>0</v>
          </cell>
          <cell r="AE317">
            <v>622222.22222222225</v>
          </cell>
          <cell r="AF317">
            <v>727272.72727272729</v>
          </cell>
          <cell r="AG317">
            <v>650505.05050505046</v>
          </cell>
          <cell r="AH317">
            <v>0</v>
          </cell>
          <cell r="AI317">
            <v>0</v>
          </cell>
          <cell r="AJ317">
            <v>99555.555555555562</v>
          </cell>
          <cell r="AK317">
            <v>116363.63636363637</v>
          </cell>
          <cell r="AL317">
            <v>104080.80808080807</v>
          </cell>
          <cell r="AM317">
            <v>0</v>
          </cell>
          <cell r="AN317">
            <v>0</v>
          </cell>
          <cell r="AO317">
            <v>42311.111111111117</v>
          </cell>
          <cell r="AP317">
            <v>49454.545454545463</v>
          </cell>
          <cell r="AQ317">
            <v>44234.343434343435</v>
          </cell>
          <cell r="AR317">
            <v>0</v>
          </cell>
          <cell r="AT317" t="str">
            <v>OPP-948272 - Identified - New - IS4</v>
          </cell>
          <cell r="AU317">
            <v>136000</v>
          </cell>
          <cell r="AV317">
            <v>0</v>
          </cell>
          <cell r="AW317">
            <v>136000</v>
          </cell>
          <cell r="AX317">
            <v>0</v>
          </cell>
          <cell r="AZ317">
            <v>306</v>
          </cell>
          <cell r="BA317">
            <v>153</v>
          </cell>
          <cell r="BB317">
            <v>368</v>
          </cell>
        </row>
        <row r="318">
          <cell r="B318" t="str">
            <v>OPP-470361</v>
          </cell>
          <cell r="C318" t="str">
            <v>USMC PM LTV</v>
          </cell>
          <cell r="D318" t="str">
            <v>IS4</v>
          </cell>
          <cell r="E318" t="str">
            <v>IS4 Spectrum &amp; Infrastructure Assurance</v>
          </cell>
          <cell r="F318" t="str">
            <v>Marine Corps</v>
          </cell>
          <cell r="G318" t="str">
            <v>DOD</v>
          </cell>
          <cell r="H318">
            <v>44127</v>
          </cell>
          <cell r="I318">
            <v>44221</v>
          </cell>
          <cell r="J318">
            <v>46047</v>
          </cell>
          <cell r="K318" t="str">
            <v>Sub</v>
          </cell>
          <cell r="L318" t="str">
            <v>Fixed Price</v>
          </cell>
          <cell r="M318" t="str">
            <v>Fixed Price</v>
          </cell>
          <cell r="N318" t="str">
            <v>Identified - New</v>
          </cell>
          <cell r="O318" t="str">
            <v>01 Prospect</v>
          </cell>
          <cell r="P318" t="str">
            <v>Priority 3</v>
          </cell>
          <cell r="Q318">
            <v>0.3</v>
          </cell>
          <cell r="R318">
            <v>8000000</v>
          </cell>
          <cell r="S318">
            <v>0.17199999999999999</v>
          </cell>
          <cell r="T318">
            <v>0.17199999999999999</v>
          </cell>
          <cell r="U318">
            <v>0.17299999999999999</v>
          </cell>
          <cell r="V318">
            <v>0.17499999999999999</v>
          </cell>
          <cell r="W318">
            <v>0.18</v>
          </cell>
          <cell r="X318">
            <v>0.08</v>
          </cell>
          <cell r="Y318">
            <v>0.08</v>
          </cell>
          <cell r="Z318">
            <v>8.1000000000000003E-2</v>
          </cell>
          <cell r="AA318">
            <v>8.3000000000000004E-2</v>
          </cell>
          <cell r="AB318">
            <v>8.8000000000000009E-2</v>
          </cell>
          <cell r="AC318">
            <v>1600000</v>
          </cell>
          <cell r="AD318">
            <v>0</v>
          </cell>
          <cell r="AE318">
            <v>0</v>
          </cell>
          <cell r="AF318">
            <v>326666.66666666669</v>
          </cell>
          <cell r="AG318">
            <v>480000</v>
          </cell>
          <cell r="AH318">
            <v>480000</v>
          </cell>
          <cell r="AI318">
            <v>0</v>
          </cell>
          <cell r="AJ318">
            <v>0</v>
          </cell>
          <cell r="AK318">
            <v>56513.333333333336</v>
          </cell>
          <cell r="AL318">
            <v>84000</v>
          </cell>
          <cell r="AM318">
            <v>86400</v>
          </cell>
          <cell r="AN318">
            <v>0</v>
          </cell>
          <cell r="AO318">
            <v>0</v>
          </cell>
          <cell r="AP318">
            <v>26460.000000000004</v>
          </cell>
          <cell r="AQ318">
            <v>39840</v>
          </cell>
          <cell r="AR318">
            <v>42240.000000000007</v>
          </cell>
          <cell r="AT318" t="str">
            <v>OPP-470361 - Identified - New - IS4</v>
          </cell>
          <cell r="AU318">
            <v>108540</v>
          </cell>
          <cell r="AV318">
            <v>0</v>
          </cell>
          <cell r="AW318">
            <v>108540</v>
          </cell>
          <cell r="AX318">
            <v>0</v>
          </cell>
          <cell r="AZ318">
            <v>307</v>
          </cell>
          <cell r="BA318">
            <v>171</v>
          </cell>
          <cell r="BB318">
            <v>369</v>
          </cell>
        </row>
        <row r="319">
          <cell r="B319" t="str">
            <v>OPP-563594</v>
          </cell>
          <cell r="C319" t="str">
            <v>NSWCDD - Directed Energy Technology Operations (DETO)</v>
          </cell>
          <cell r="D319" t="str">
            <v>IS4</v>
          </cell>
          <cell r="E319" t="str">
            <v>IS4 Spectrum &amp; Infrastructure Assurance</v>
          </cell>
          <cell r="F319" t="str">
            <v>Navy</v>
          </cell>
          <cell r="G319" t="str">
            <v>DOD</v>
          </cell>
          <cell r="H319">
            <v>44484</v>
          </cell>
          <cell r="I319">
            <v>44515</v>
          </cell>
          <cell r="J319">
            <v>46341</v>
          </cell>
          <cell r="K319" t="str">
            <v>Sub</v>
          </cell>
          <cell r="L319" t="str">
            <v>Cost Plus Fixed Fee</v>
          </cell>
          <cell r="M319" t="str">
            <v>Cost Reimbursable</v>
          </cell>
          <cell r="N319" t="str">
            <v>Identified - New</v>
          </cell>
          <cell r="O319" t="str">
            <v>01 Prospect</v>
          </cell>
          <cell r="P319" t="str">
            <v>Priority 3</v>
          </cell>
          <cell r="Q319">
            <v>0.25</v>
          </cell>
          <cell r="R319">
            <v>8000000</v>
          </cell>
          <cell r="S319">
            <v>0.16</v>
          </cell>
          <cell r="T319">
            <v>0.16</v>
          </cell>
          <cell r="U319">
            <v>0.16</v>
          </cell>
          <cell r="V319">
            <v>0.16</v>
          </cell>
          <cell r="W319">
            <v>0.16</v>
          </cell>
          <cell r="X319">
            <v>6.8000000000000005E-2</v>
          </cell>
          <cell r="Y319">
            <v>6.8000000000000005E-2</v>
          </cell>
          <cell r="Z319">
            <v>6.8000000000000005E-2</v>
          </cell>
          <cell r="AA319">
            <v>6.8000000000000005E-2</v>
          </cell>
          <cell r="AB319">
            <v>6.8000000000000005E-2</v>
          </cell>
          <cell r="AC319">
            <v>1600000</v>
          </cell>
          <cell r="AD319">
            <v>0</v>
          </cell>
          <cell r="AE319">
            <v>0</v>
          </cell>
          <cell r="AF319">
            <v>0</v>
          </cell>
          <cell r="AG319">
            <v>350000</v>
          </cell>
          <cell r="AH319">
            <v>400000</v>
          </cell>
          <cell r="AI319">
            <v>0</v>
          </cell>
          <cell r="AJ319">
            <v>0</v>
          </cell>
          <cell r="AK319">
            <v>0</v>
          </cell>
          <cell r="AL319">
            <v>56000</v>
          </cell>
          <cell r="AM319">
            <v>64000</v>
          </cell>
          <cell r="AN319">
            <v>0</v>
          </cell>
          <cell r="AO319">
            <v>0</v>
          </cell>
          <cell r="AP319">
            <v>0</v>
          </cell>
          <cell r="AQ319">
            <v>23800</v>
          </cell>
          <cell r="AR319">
            <v>27200.000000000004</v>
          </cell>
          <cell r="AT319" t="str">
            <v>OPP-563594 - Identified - New - IS4</v>
          </cell>
          <cell r="AU319">
            <v>51000</v>
          </cell>
          <cell r="AV319">
            <v>0</v>
          </cell>
          <cell r="AW319">
            <v>51000</v>
          </cell>
          <cell r="AX319">
            <v>0</v>
          </cell>
          <cell r="AZ319">
            <v>308</v>
          </cell>
          <cell r="BA319">
            <v>210</v>
          </cell>
          <cell r="BB319">
            <v>370</v>
          </cell>
        </row>
        <row r="320">
          <cell r="B320" t="str">
            <v>OPP-760603</v>
          </cell>
          <cell r="C320" t="str">
            <v>NSWC V20 Combat Systems Engineering</v>
          </cell>
          <cell r="D320" t="str">
            <v>IS4</v>
          </cell>
          <cell r="E320" t="str">
            <v>IS4 Spectrum &amp; Infrastructure Assurance</v>
          </cell>
          <cell r="F320" t="str">
            <v>Navy</v>
          </cell>
          <cell r="G320" t="str">
            <v>DOD</v>
          </cell>
          <cell r="H320">
            <v>44515</v>
          </cell>
          <cell r="I320">
            <v>44571</v>
          </cell>
          <cell r="J320">
            <v>46397</v>
          </cell>
          <cell r="K320" t="str">
            <v>Sub</v>
          </cell>
          <cell r="L320" t="str">
            <v>Cost Plus Fixed Fee</v>
          </cell>
          <cell r="M320" t="str">
            <v>Cost Reimbursable</v>
          </cell>
          <cell r="N320" t="str">
            <v>Identified - New</v>
          </cell>
          <cell r="O320" t="str">
            <v>01 Prospect</v>
          </cell>
          <cell r="P320" t="str">
            <v>Priority 3</v>
          </cell>
          <cell r="Q320">
            <v>0.5</v>
          </cell>
          <cell r="R320">
            <v>8000000</v>
          </cell>
          <cell r="S320">
            <v>0.16</v>
          </cell>
          <cell r="T320">
            <v>0.16</v>
          </cell>
          <cell r="U320">
            <v>0.16</v>
          </cell>
          <cell r="V320">
            <v>0.16</v>
          </cell>
          <cell r="W320">
            <v>0.16</v>
          </cell>
          <cell r="X320">
            <v>6.8000000000000005E-2</v>
          </cell>
          <cell r="Y320">
            <v>6.8000000000000005E-2</v>
          </cell>
          <cell r="Z320">
            <v>6.8000000000000005E-2</v>
          </cell>
          <cell r="AA320">
            <v>6.8000000000000005E-2</v>
          </cell>
          <cell r="AB320">
            <v>6.8000000000000005E-2</v>
          </cell>
          <cell r="AC320">
            <v>1600000</v>
          </cell>
          <cell r="AD320">
            <v>0</v>
          </cell>
          <cell r="AE320">
            <v>0</v>
          </cell>
          <cell r="AF320">
            <v>0</v>
          </cell>
          <cell r="AG320">
            <v>577777.77777777775</v>
          </cell>
          <cell r="AH320">
            <v>800000</v>
          </cell>
          <cell r="AI320">
            <v>0</v>
          </cell>
          <cell r="AJ320">
            <v>0</v>
          </cell>
          <cell r="AK320">
            <v>0</v>
          </cell>
          <cell r="AL320">
            <v>92444.444444444438</v>
          </cell>
          <cell r="AM320">
            <v>128000</v>
          </cell>
          <cell r="AN320">
            <v>0</v>
          </cell>
          <cell r="AO320">
            <v>0</v>
          </cell>
          <cell r="AP320">
            <v>0</v>
          </cell>
          <cell r="AQ320">
            <v>39288.888888888891</v>
          </cell>
          <cell r="AR320">
            <v>54400.000000000007</v>
          </cell>
          <cell r="AT320" t="str">
            <v>OPP-760603 - Identified - New - IS4</v>
          </cell>
          <cell r="AU320">
            <v>93688.888888888905</v>
          </cell>
          <cell r="AV320">
            <v>0</v>
          </cell>
          <cell r="AW320">
            <v>93688.888888888905</v>
          </cell>
          <cell r="AX320">
            <v>0</v>
          </cell>
          <cell r="AZ320">
            <v>309</v>
          </cell>
          <cell r="BA320">
            <v>180</v>
          </cell>
          <cell r="BB320">
            <v>371</v>
          </cell>
        </row>
        <row r="321">
          <cell r="B321" t="str">
            <v>OPP-855662</v>
          </cell>
          <cell r="C321" t="str">
            <v>NSWCDD V14 Systems &amp; Software Engineering Resource Center</v>
          </cell>
          <cell r="D321" t="str">
            <v>IS4</v>
          </cell>
          <cell r="E321" t="str">
            <v>IS4 Spectrum &amp; Infrastructure Assurance</v>
          </cell>
          <cell r="F321" t="str">
            <v>Navy</v>
          </cell>
          <cell r="G321" t="str">
            <v>DOD</v>
          </cell>
          <cell r="H321">
            <v>43812</v>
          </cell>
          <cell r="I321">
            <v>43843</v>
          </cell>
          <cell r="J321">
            <v>45670</v>
          </cell>
          <cell r="K321" t="str">
            <v>Sub</v>
          </cell>
          <cell r="L321" t="str">
            <v>Cost Plus Fixed Fee; Fixed Price</v>
          </cell>
          <cell r="M321" t="str">
            <v>Cost Reimbursable</v>
          </cell>
          <cell r="N321" t="str">
            <v>Identified - New</v>
          </cell>
          <cell r="O321" t="str">
            <v>04 Submitted</v>
          </cell>
          <cell r="P321" t="str">
            <v>Priority 3</v>
          </cell>
          <cell r="Q321">
            <v>0.3</v>
          </cell>
          <cell r="R321">
            <v>7000000</v>
          </cell>
          <cell r="S321">
            <v>0.16</v>
          </cell>
          <cell r="T321">
            <v>0.16</v>
          </cell>
          <cell r="U321">
            <v>0.16</v>
          </cell>
          <cell r="V321">
            <v>0.16</v>
          </cell>
          <cell r="W321">
            <v>0.16</v>
          </cell>
          <cell r="X321">
            <v>6.8000000000000005E-2</v>
          </cell>
          <cell r="Y321">
            <v>6.8000000000000005E-2</v>
          </cell>
          <cell r="Z321">
            <v>6.8000000000000005E-2</v>
          </cell>
          <cell r="AA321">
            <v>6.8000000000000005E-2</v>
          </cell>
          <cell r="AB321">
            <v>6.8000000000000005E-2</v>
          </cell>
          <cell r="AC321">
            <v>1400000</v>
          </cell>
          <cell r="AD321">
            <v>0</v>
          </cell>
          <cell r="AE321">
            <v>299833.33333333331</v>
          </cell>
          <cell r="AF321">
            <v>420000</v>
          </cell>
          <cell r="AG321">
            <v>420000</v>
          </cell>
          <cell r="AH321">
            <v>420000</v>
          </cell>
          <cell r="AI321">
            <v>0</v>
          </cell>
          <cell r="AJ321">
            <v>47973.333333333328</v>
          </cell>
          <cell r="AK321">
            <v>67200</v>
          </cell>
          <cell r="AL321">
            <v>67200</v>
          </cell>
          <cell r="AM321">
            <v>67200</v>
          </cell>
          <cell r="AN321">
            <v>0</v>
          </cell>
          <cell r="AO321">
            <v>20388.666666666668</v>
          </cell>
          <cell r="AP321">
            <v>28560.000000000004</v>
          </cell>
          <cell r="AQ321">
            <v>28560.000000000004</v>
          </cell>
          <cell r="AR321">
            <v>28560.000000000004</v>
          </cell>
          <cell r="AT321" t="str">
            <v>OPP-855662 - Identified - New - IS4</v>
          </cell>
          <cell r="AU321">
            <v>106068.66666666667</v>
          </cell>
          <cell r="AV321">
            <v>0</v>
          </cell>
          <cell r="AW321">
            <v>106068.66666666667</v>
          </cell>
          <cell r="AX321">
            <v>0</v>
          </cell>
          <cell r="AZ321">
            <v>310</v>
          </cell>
          <cell r="BA321">
            <v>173</v>
          </cell>
          <cell r="BB321">
            <v>372</v>
          </cell>
        </row>
        <row r="322">
          <cell r="B322" t="str">
            <v>OPP-937178</v>
          </cell>
          <cell r="C322" t="str">
            <v>Joint Exploitation Training Center</v>
          </cell>
          <cell r="D322" t="str">
            <v>IS4</v>
          </cell>
          <cell r="E322" t="str">
            <v>IS4 Spectrum &amp; Infrastructure Assurance</v>
          </cell>
          <cell r="F322" t="str">
            <v>Other DOD</v>
          </cell>
          <cell r="G322" t="str">
            <v>DOD</v>
          </cell>
          <cell r="H322">
            <v>43962</v>
          </cell>
          <cell r="I322">
            <v>43962</v>
          </cell>
          <cell r="J322">
            <v>45788</v>
          </cell>
          <cell r="K322" t="str">
            <v>Prime</v>
          </cell>
          <cell r="L322" t="str">
            <v>Fixed Price</v>
          </cell>
          <cell r="M322" t="str">
            <v>Fixed Price</v>
          </cell>
          <cell r="N322" t="str">
            <v>Identified - New</v>
          </cell>
          <cell r="O322" t="str">
            <v>01 Prospect</v>
          </cell>
          <cell r="P322" t="str">
            <v>Priority 3</v>
          </cell>
          <cell r="Q322">
            <v>0.25</v>
          </cell>
          <cell r="R322">
            <v>7000000</v>
          </cell>
          <cell r="S322">
            <v>0.17199999999999999</v>
          </cell>
          <cell r="T322">
            <v>0.17199999999999999</v>
          </cell>
          <cell r="U322">
            <v>0.17299999999999999</v>
          </cell>
          <cell r="V322">
            <v>0.17499999999999999</v>
          </cell>
          <cell r="W322">
            <v>0.18</v>
          </cell>
          <cell r="X322">
            <v>0.08</v>
          </cell>
          <cell r="Y322">
            <v>0.08</v>
          </cell>
          <cell r="Z322">
            <v>8.1000000000000003E-2</v>
          </cell>
          <cell r="AA322">
            <v>8.3000000000000004E-2</v>
          </cell>
          <cell r="AB322">
            <v>8.8000000000000009E-2</v>
          </cell>
          <cell r="AC322">
            <v>1400000</v>
          </cell>
          <cell r="AD322">
            <v>0</v>
          </cell>
          <cell r="AE322">
            <v>135138.88888888891</v>
          </cell>
          <cell r="AF322">
            <v>350000</v>
          </cell>
          <cell r="AG322">
            <v>350000</v>
          </cell>
          <cell r="AH322">
            <v>350000</v>
          </cell>
          <cell r="AI322">
            <v>0</v>
          </cell>
          <cell r="AJ322">
            <v>23243.888888888891</v>
          </cell>
          <cell r="AK322">
            <v>60549.999999999993</v>
          </cell>
          <cell r="AL322">
            <v>61249.999999999993</v>
          </cell>
          <cell r="AM322">
            <v>63000</v>
          </cell>
          <cell r="AN322">
            <v>0</v>
          </cell>
          <cell r="AO322">
            <v>10811.111111111113</v>
          </cell>
          <cell r="AP322">
            <v>28350</v>
          </cell>
          <cell r="AQ322">
            <v>29050</v>
          </cell>
          <cell r="AR322">
            <v>30800.000000000004</v>
          </cell>
          <cell r="AT322" t="str">
            <v>OPP-937178 - Identified - New - IS4</v>
          </cell>
          <cell r="AU322">
            <v>99011.111111111109</v>
          </cell>
          <cell r="AV322">
            <v>0</v>
          </cell>
          <cell r="AW322">
            <v>99011.111111111109</v>
          </cell>
          <cell r="AX322">
            <v>0</v>
          </cell>
          <cell r="AZ322">
            <v>311</v>
          </cell>
          <cell r="BA322">
            <v>178</v>
          </cell>
          <cell r="BB322">
            <v>373</v>
          </cell>
        </row>
        <row r="323">
          <cell r="B323" t="str">
            <v>OPP-725839</v>
          </cell>
          <cell r="C323" t="str">
            <v>CREW &amp; GBOSS Acq &amp; Mgmt Support</v>
          </cell>
          <cell r="D323" t="str">
            <v>IS4</v>
          </cell>
          <cell r="E323" t="str">
            <v>IS4 Spectrum &amp; Infrastructure Assurance</v>
          </cell>
          <cell r="F323" t="str">
            <v>Marine Corps</v>
          </cell>
          <cell r="G323" t="str">
            <v>DOD</v>
          </cell>
          <cell r="H323">
            <v>44607</v>
          </cell>
          <cell r="I323">
            <v>44641</v>
          </cell>
          <cell r="J323">
            <v>46467</v>
          </cell>
          <cell r="K323" t="str">
            <v>Sub</v>
          </cell>
          <cell r="L323" t="str">
            <v>Fixed Price</v>
          </cell>
          <cell r="M323" t="str">
            <v>Fixed Price</v>
          </cell>
          <cell r="N323" t="str">
            <v>Identified - New</v>
          </cell>
          <cell r="O323" t="str">
            <v>01 Prospect</v>
          </cell>
          <cell r="P323" t="str">
            <v>Priority 3</v>
          </cell>
          <cell r="Q323">
            <v>0.1</v>
          </cell>
          <cell r="R323">
            <v>7000000</v>
          </cell>
          <cell r="S323">
            <v>0.17199999999999999</v>
          </cell>
          <cell r="T323">
            <v>0.17199999999999999</v>
          </cell>
          <cell r="U323">
            <v>0.17299999999999999</v>
          </cell>
          <cell r="V323">
            <v>0.17499999999999999</v>
          </cell>
          <cell r="W323">
            <v>0.18</v>
          </cell>
          <cell r="X323">
            <v>0.08</v>
          </cell>
          <cell r="Y323">
            <v>0.08</v>
          </cell>
          <cell r="Z323">
            <v>8.1000000000000003E-2</v>
          </cell>
          <cell r="AA323">
            <v>8.3000000000000004E-2</v>
          </cell>
          <cell r="AB323">
            <v>8.8000000000000009E-2</v>
          </cell>
          <cell r="AC323">
            <v>1400000</v>
          </cell>
          <cell r="AD323">
            <v>0</v>
          </cell>
          <cell r="AE323">
            <v>0</v>
          </cell>
          <cell r="AF323">
            <v>0</v>
          </cell>
          <cell r="AG323">
            <v>73500</v>
          </cell>
          <cell r="AH323">
            <v>140000</v>
          </cell>
          <cell r="AI323">
            <v>0</v>
          </cell>
          <cell r="AJ323">
            <v>0</v>
          </cell>
          <cell r="AK323">
            <v>0</v>
          </cell>
          <cell r="AL323">
            <v>12862.5</v>
          </cell>
          <cell r="AM323">
            <v>25200</v>
          </cell>
          <cell r="AN323">
            <v>0</v>
          </cell>
          <cell r="AO323">
            <v>0</v>
          </cell>
          <cell r="AP323">
            <v>0</v>
          </cell>
          <cell r="AQ323">
            <v>6100.5</v>
          </cell>
          <cell r="AR323">
            <v>12320.000000000002</v>
          </cell>
          <cell r="AT323" t="str">
            <v>OPP-725839 - Identified - New - IS4</v>
          </cell>
          <cell r="AU323">
            <v>18420.5</v>
          </cell>
          <cell r="AV323">
            <v>0</v>
          </cell>
          <cell r="AW323">
            <v>18420.5</v>
          </cell>
          <cell r="AX323">
            <v>0</v>
          </cell>
          <cell r="AZ323">
            <v>312</v>
          </cell>
          <cell r="BA323">
            <v>232</v>
          </cell>
          <cell r="BB323">
            <v>374</v>
          </cell>
        </row>
        <row r="324">
          <cell r="B324" t="str">
            <v>OPP-760598</v>
          </cell>
          <cell r="C324" t="str">
            <v>NSWCDD E30 Gun Weapon System Support</v>
          </cell>
          <cell r="D324" t="str">
            <v>IS4</v>
          </cell>
          <cell r="E324" t="str">
            <v>IS4 Spectrum &amp; Infrastructure Assurance</v>
          </cell>
          <cell r="F324" t="str">
            <v>Navy</v>
          </cell>
          <cell r="G324" t="str">
            <v>DOD</v>
          </cell>
          <cell r="H324">
            <v>44665</v>
          </cell>
          <cell r="I324">
            <v>44695</v>
          </cell>
          <cell r="J324">
            <v>46521</v>
          </cell>
          <cell r="K324" t="str">
            <v>Sub</v>
          </cell>
          <cell r="L324" t="str">
            <v>Cost Plus Fixed Fee</v>
          </cell>
          <cell r="M324" t="str">
            <v>Cost Reimbursable</v>
          </cell>
          <cell r="N324" t="str">
            <v>Identified - New</v>
          </cell>
          <cell r="O324" t="str">
            <v>01 Prospect</v>
          </cell>
          <cell r="P324" t="str">
            <v>Priority 3</v>
          </cell>
          <cell r="Q324">
            <v>0.5</v>
          </cell>
          <cell r="R324">
            <v>7000000</v>
          </cell>
          <cell r="S324">
            <v>0.16</v>
          </cell>
          <cell r="T324">
            <v>0.16</v>
          </cell>
          <cell r="U324">
            <v>0.16</v>
          </cell>
          <cell r="V324">
            <v>0.16</v>
          </cell>
          <cell r="W324">
            <v>0.16</v>
          </cell>
          <cell r="X324">
            <v>6.8000000000000005E-2</v>
          </cell>
          <cell r="Y324">
            <v>6.8000000000000005E-2</v>
          </cell>
          <cell r="Z324">
            <v>6.8000000000000005E-2</v>
          </cell>
          <cell r="AA324">
            <v>6.8000000000000005E-2</v>
          </cell>
          <cell r="AB324">
            <v>6.8000000000000005E-2</v>
          </cell>
          <cell r="AC324">
            <v>1400000</v>
          </cell>
          <cell r="AD324">
            <v>0</v>
          </cell>
          <cell r="AE324">
            <v>0</v>
          </cell>
          <cell r="AF324">
            <v>0</v>
          </cell>
          <cell r="AG324">
            <v>264444.44444444444</v>
          </cell>
          <cell r="AH324">
            <v>700000</v>
          </cell>
          <cell r="AI324">
            <v>0</v>
          </cell>
          <cell r="AJ324">
            <v>0</v>
          </cell>
          <cell r="AK324">
            <v>0</v>
          </cell>
          <cell r="AL324">
            <v>42311.111111111109</v>
          </cell>
          <cell r="AM324">
            <v>112000</v>
          </cell>
          <cell r="AN324">
            <v>0</v>
          </cell>
          <cell r="AO324">
            <v>0</v>
          </cell>
          <cell r="AP324">
            <v>0</v>
          </cell>
          <cell r="AQ324">
            <v>17982.222222222223</v>
          </cell>
          <cell r="AR324">
            <v>47600</v>
          </cell>
          <cell r="AT324" t="str">
            <v>OPP-760598 - Identified - New - IS4</v>
          </cell>
          <cell r="AU324">
            <v>65582.222222222219</v>
          </cell>
          <cell r="AV324">
            <v>0</v>
          </cell>
          <cell r="AW324">
            <v>65582.222222222219</v>
          </cell>
          <cell r="AX324">
            <v>0</v>
          </cell>
          <cell r="AZ324">
            <v>313</v>
          </cell>
          <cell r="BA324">
            <v>199</v>
          </cell>
          <cell r="BB324">
            <v>375</v>
          </cell>
        </row>
        <row r="325">
          <cell r="B325" t="str">
            <v>OPP-920446</v>
          </cell>
          <cell r="C325" t="str">
            <v>NSWCDD H20 Engineering and Infrastructure Services</v>
          </cell>
          <cell r="D325" t="str">
            <v>IS4</v>
          </cell>
          <cell r="E325" t="str">
            <v>IS4 Spectrum &amp; Infrastructure Assurance</v>
          </cell>
          <cell r="F325" t="str">
            <v>Navy</v>
          </cell>
          <cell r="G325" t="str">
            <v>DOD</v>
          </cell>
          <cell r="H325">
            <v>43920</v>
          </cell>
          <cell r="I325">
            <v>44013</v>
          </cell>
          <cell r="J325">
            <v>45839</v>
          </cell>
          <cell r="K325" t="str">
            <v>Sub</v>
          </cell>
          <cell r="L325" t="str">
            <v>Cost Plus Fixed Fee</v>
          </cell>
          <cell r="M325" t="str">
            <v>Cost Reimbursable</v>
          </cell>
          <cell r="N325" t="str">
            <v>Identified - New</v>
          </cell>
          <cell r="O325" t="str">
            <v>02 Capture</v>
          </cell>
          <cell r="P325" t="str">
            <v>Priority 3</v>
          </cell>
          <cell r="Q325">
            <v>0.5</v>
          </cell>
          <cell r="R325">
            <v>6750000</v>
          </cell>
          <cell r="S325">
            <v>0.16</v>
          </cell>
          <cell r="T325">
            <v>0.16</v>
          </cell>
          <cell r="U325">
            <v>0.16</v>
          </cell>
          <cell r="V325">
            <v>0.16</v>
          </cell>
          <cell r="W325">
            <v>0.16</v>
          </cell>
          <cell r="X325">
            <v>6.8000000000000005E-2</v>
          </cell>
          <cell r="Y325">
            <v>6.8000000000000005E-2</v>
          </cell>
          <cell r="Z325">
            <v>6.8000000000000005E-2</v>
          </cell>
          <cell r="AA325">
            <v>6.8000000000000005E-2</v>
          </cell>
          <cell r="AB325">
            <v>6.8000000000000005E-2</v>
          </cell>
          <cell r="AC325">
            <v>1350000</v>
          </cell>
          <cell r="AD325">
            <v>0</v>
          </cell>
          <cell r="AE325">
            <v>166875</v>
          </cell>
          <cell r="AF325">
            <v>675000</v>
          </cell>
          <cell r="AG325">
            <v>675000</v>
          </cell>
          <cell r="AH325">
            <v>675000</v>
          </cell>
          <cell r="AI325">
            <v>0</v>
          </cell>
          <cell r="AJ325">
            <v>26700</v>
          </cell>
          <cell r="AK325">
            <v>108000</v>
          </cell>
          <cell r="AL325">
            <v>108000</v>
          </cell>
          <cell r="AM325">
            <v>108000</v>
          </cell>
          <cell r="AN325">
            <v>0</v>
          </cell>
          <cell r="AO325">
            <v>11347.5</v>
          </cell>
          <cell r="AP325">
            <v>45900</v>
          </cell>
          <cell r="AQ325">
            <v>45900</v>
          </cell>
          <cell r="AR325">
            <v>45900</v>
          </cell>
          <cell r="AT325" t="str">
            <v>OPP-920446 - Identified - New - IS4</v>
          </cell>
          <cell r="AU325">
            <v>149047.5</v>
          </cell>
          <cell r="AV325">
            <v>0</v>
          </cell>
          <cell r="AW325">
            <v>149047.5</v>
          </cell>
          <cell r="AX325">
            <v>0</v>
          </cell>
          <cell r="AZ325">
            <v>314</v>
          </cell>
          <cell r="BA325">
            <v>146</v>
          </cell>
          <cell r="BB325">
            <v>376</v>
          </cell>
        </row>
        <row r="326">
          <cell r="B326" t="str">
            <v>OPP-721236</v>
          </cell>
          <cell r="C326" t="str">
            <v>SSCLANT I2SA Support</v>
          </cell>
          <cell r="D326" t="str">
            <v>IS4</v>
          </cell>
          <cell r="E326" t="str">
            <v>IS4 Spectrum &amp; Infrastructure Assurance</v>
          </cell>
          <cell r="F326" t="str">
            <v>Marine Corps</v>
          </cell>
          <cell r="G326" t="str">
            <v>DOD</v>
          </cell>
          <cell r="H326">
            <v>44880</v>
          </cell>
          <cell r="I326">
            <v>44925</v>
          </cell>
          <cell r="J326">
            <v>46751</v>
          </cell>
          <cell r="K326" t="str">
            <v>Sub</v>
          </cell>
          <cell r="L326" t="str">
            <v>Cost Plus Fixed Fee</v>
          </cell>
          <cell r="M326" t="str">
            <v>Cost Reimbursable</v>
          </cell>
          <cell r="N326" t="str">
            <v>Identified - New</v>
          </cell>
          <cell r="O326" t="str">
            <v>01 Prospect</v>
          </cell>
          <cell r="P326" t="str">
            <v>Priority 3</v>
          </cell>
          <cell r="Q326">
            <v>0.25</v>
          </cell>
          <cell r="R326">
            <v>6000000</v>
          </cell>
          <cell r="S326">
            <v>0.16</v>
          </cell>
          <cell r="T326">
            <v>0.16</v>
          </cell>
          <cell r="U326">
            <v>0.16</v>
          </cell>
          <cell r="V326">
            <v>0.16</v>
          </cell>
          <cell r="W326">
            <v>0.16</v>
          </cell>
          <cell r="X326">
            <v>6.8000000000000005E-2</v>
          </cell>
          <cell r="Y326">
            <v>6.8000000000000005E-2</v>
          </cell>
          <cell r="Z326">
            <v>6.8000000000000005E-2</v>
          </cell>
          <cell r="AA326">
            <v>6.8000000000000005E-2</v>
          </cell>
          <cell r="AB326">
            <v>6.8000000000000005E-2</v>
          </cell>
          <cell r="AC326">
            <v>1200000</v>
          </cell>
          <cell r="AD326">
            <v>0</v>
          </cell>
          <cell r="AE326">
            <v>0</v>
          </cell>
          <cell r="AF326">
            <v>0</v>
          </cell>
          <cell r="AG326">
            <v>0</v>
          </cell>
          <cell r="AH326">
            <v>225000</v>
          </cell>
          <cell r="AI326">
            <v>0</v>
          </cell>
          <cell r="AJ326">
            <v>0</v>
          </cell>
          <cell r="AK326">
            <v>0</v>
          </cell>
          <cell r="AL326">
            <v>0</v>
          </cell>
          <cell r="AM326">
            <v>36000</v>
          </cell>
          <cell r="AN326">
            <v>0</v>
          </cell>
          <cell r="AO326">
            <v>0</v>
          </cell>
          <cell r="AP326">
            <v>0</v>
          </cell>
          <cell r="AQ326">
            <v>0</v>
          </cell>
          <cell r="AR326">
            <v>15300.000000000002</v>
          </cell>
          <cell r="AT326" t="str">
            <v>OPP-721236 - Identified - New - IS4</v>
          </cell>
          <cell r="AU326">
            <v>15300.000000000002</v>
          </cell>
          <cell r="AV326">
            <v>0</v>
          </cell>
          <cell r="AW326">
            <v>15300.000000000002</v>
          </cell>
          <cell r="AX326">
            <v>0</v>
          </cell>
          <cell r="AZ326">
            <v>315</v>
          </cell>
          <cell r="BA326">
            <v>237</v>
          </cell>
          <cell r="BB326">
            <v>377</v>
          </cell>
        </row>
        <row r="327">
          <cell r="B327" t="str">
            <v>OPP-562490</v>
          </cell>
          <cell r="C327" t="str">
            <v>NSWCDD DCIP</v>
          </cell>
          <cell r="D327" t="str">
            <v>IS4</v>
          </cell>
          <cell r="E327" t="str">
            <v>IS4 Spectrum &amp; Infrastructure Assurance</v>
          </cell>
          <cell r="F327" t="str">
            <v>Navy</v>
          </cell>
          <cell r="G327" t="str">
            <v>DOD</v>
          </cell>
          <cell r="H327">
            <v>44421</v>
          </cell>
          <cell r="I327">
            <v>44512</v>
          </cell>
          <cell r="J327">
            <v>46338</v>
          </cell>
          <cell r="K327" t="str">
            <v>Sub</v>
          </cell>
          <cell r="L327" t="str">
            <v>Cost Plus Incentive Fee</v>
          </cell>
          <cell r="M327" t="str">
            <v>Cost Reimbursable</v>
          </cell>
          <cell r="N327" t="str">
            <v>Identified - New</v>
          </cell>
          <cell r="O327" t="str">
            <v>01 Prospect</v>
          </cell>
          <cell r="P327" t="str">
            <v>Priority 3</v>
          </cell>
          <cell r="Q327">
            <v>0.6</v>
          </cell>
          <cell r="R327">
            <v>5900000</v>
          </cell>
          <cell r="S327">
            <v>0.16</v>
          </cell>
          <cell r="T327">
            <v>0.16</v>
          </cell>
          <cell r="U327">
            <v>0.16</v>
          </cell>
          <cell r="V327">
            <v>0.16</v>
          </cell>
          <cell r="W327">
            <v>0.16</v>
          </cell>
          <cell r="X327">
            <v>6.8000000000000005E-2</v>
          </cell>
          <cell r="Y327">
            <v>6.8000000000000005E-2</v>
          </cell>
          <cell r="Z327">
            <v>6.8000000000000005E-2</v>
          </cell>
          <cell r="AA327">
            <v>6.8000000000000005E-2</v>
          </cell>
          <cell r="AB327">
            <v>6.8000000000000005E-2</v>
          </cell>
          <cell r="AC327">
            <v>1180000</v>
          </cell>
          <cell r="AD327">
            <v>0</v>
          </cell>
          <cell r="AE327">
            <v>0</v>
          </cell>
          <cell r="AF327">
            <v>0</v>
          </cell>
          <cell r="AG327">
            <v>625399.99999999988</v>
          </cell>
          <cell r="AH327">
            <v>708000</v>
          </cell>
          <cell r="AI327">
            <v>0</v>
          </cell>
          <cell r="AJ327">
            <v>0</v>
          </cell>
          <cell r="AK327">
            <v>0</v>
          </cell>
          <cell r="AL327">
            <v>100063.99999999999</v>
          </cell>
          <cell r="AM327">
            <v>113280</v>
          </cell>
          <cell r="AN327">
            <v>0</v>
          </cell>
          <cell r="AO327">
            <v>0</v>
          </cell>
          <cell r="AP327">
            <v>0</v>
          </cell>
          <cell r="AQ327">
            <v>42527.199999999997</v>
          </cell>
          <cell r="AR327">
            <v>48144</v>
          </cell>
          <cell r="AT327" t="str">
            <v>OPP-562490 - Identified - New - IS4</v>
          </cell>
          <cell r="AU327">
            <v>90671.2</v>
          </cell>
          <cell r="AV327">
            <v>0</v>
          </cell>
          <cell r="AW327">
            <v>90671.2</v>
          </cell>
          <cell r="AX327">
            <v>0</v>
          </cell>
          <cell r="AZ327">
            <v>316</v>
          </cell>
          <cell r="BA327">
            <v>182</v>
          </cell>
          <cell r="BB327">
            <v>378</v>
          </cell>
        </row>
        <row r="328">
          <cell r="B328" t="str">
            <v>OPP-562407</v>
          </cell>
          <cell r="C328" t="str">
            <v>NSWCDD CDSA Cyber Engineering</v>
          </cell>
          <cell r="D328" t="str">
            <v>IS4</v>
          </cell>
          <cell r="E328" t="str">
            <v>IS4 Spectrum &amp; Infrastructure Assurance</v>
          </cell>
          <cell r="F328" t="str">
            <v>Navy</v>
          </cell>
          <cell r="G328" t="str">
            <v>DOD</v>
          </cell>
          <cell r="H328">
            <v>44456</v>
          </cell>
          <cell r="I328">
            <v>44487</v>
          </cell>
          <cell r="J328">
            <v>46313</v>
          </cell>
          <cell r="K328" t="str">
            <v>Sub</v>
          </cell>
          <cell r="L328" t="str">
            <v>Cost Plus Fixed Fee</v>
          </cell>
          <cell r="M328" t="str">
            <v>Cost Reimbursable</v>
          </cell>
          <cell r="N328" t="str">
            <v>Identified - New</v>
          </cell>
          <cell r="O328" t="str">
            <v>01 Prospect</v>
          </cell>
          <cell r="P328" t="str">
            <v>Priority 3</v>
          </cell>
          <cell r="Q328">
            <v>0.15</v>
          </cell>
          <cell r="R328">
            <v>5800000</v>
          </cell>
          <cell r="S328">
            <v>0.16</v>
          </cell>
          <cell r="T328">
            <v>0.16</v>
          </cell>
          <cell r="U328">
            <v>0.16</v>
          </cell>
          <cell r="V328">
            <v>0.16</v>
          </cell>
          <cell r="W328">
            <v>0.16</v>
          </cell>
          <cell r="X328">
            <v>6.8000000000000005E-2</v>
          </cell>
          <cell r="Y328">
            <v>6.8000000000000005E-2</v>
          </cell>
          <cell r="Z328">
            <v>6.8000000000000005E-2</v>
          </cell>
          <cell r="AA328">
            <v>6.8000000000000005E-2</v>
          </cell>
          <cell r="AB328">
            <v>6.8000000000000005E-2</v>
          </cell>
          <cell r="AC328">
            <v>1160000</v>
          </cell>
          <cell r="AD328">
            <v>0</v>
          </cell>
          <cell r="AE328">
            <v>0</v>
          </cell>
          <cell r="AF328">
            <v>0</v>
          </cell>
          <cell r="AG328">
            <v>165300</v>
          </cell>
          <cell r="AH328">
            <v>174000</v>
          </cell>
          <cell r="AI328">
            <v>0</v>
          </cell>
          <cell r="AJ328">
            <v>0</v>
          </cell>
          <cell r="AK328">
            <v>0</v>
          </cell>
          <cell r="AL328">
            <v>26448</v>
          </cell>
          <cell r="AM328">
            <v>27840</v>
          </cell>
          <cell r="AN328">
            <v>0</v>
          </cell>
          <cell r="AO328">
            <v>0</v>
          </cell>
          <cell r="AP328">
            <v>0</v>
          </cell>
          <cell r="AQ328">
            <v>11240.400000000001</v>
          </cell>
          <cell r="AR328">
            <v>11832</v>
          </cell>
          <cell r="AT328" t="str">
            <v>OPP-562407 - Identified - New - IS4</v>
          </cell>
          <cell r="AU328">
            <v>23072.400000000001</v>
          </cell>
          <cell r="AV328">
            <v>0</v>
          </cell>
          <cell r="AW328">
            <v>23072.400000000001</v>
          </cell>
          <cell r="AX328">
            <v>0</v>
          </cell>
          <cell r="AZ328">
            <v>317</v>
          </cell>
          <cell r="BA328">
            <v>227</v>
          </cell>
          <cell r="BB328">
            <v>379</v>
          </cell>
        </row>
        <row r="329">
          <cell r="B329" t="str">
            <v>OPP-749666</v>
          </cell>
          <cell r="C329" t="str">
            <v>SPECIAL OPERATIONS FORCES REQUIREMENTS ANALYSIS PROTOTYPING TRAINING OPERATIONS AND REHEARSAL IV (SOF RAPTOR IV)</v>
          </cell>
          <cell r="D329" t="str">
            <v>IS4</v>
          </cell>
          <cell r="E329" t="str">
            <v>IS4 Spectrum &amp; Infrastructure Assurance</v>
          </cell>
          <cell r="F329" t="str">
            <v>Other DOD</v>
          </cell>
          <cell r="G329" t="str">
            <v>DOD</v>
          </cell>
          <cell r="H329">
            <v>43675</v>
          </cell>
          <cell r="I329">
            <v>43711</v>
          </cell>
          <cell r="J329">
            <v>46268</v>
          </cell>
          <cell r="K329" t="str">
            <v>Sub</v>
          </cell>
          <cell r="L329" t="str">
            <v>Fixed Price</v>
          </cell>
          <cell r="M329" t="str">
            <v>Fixed Price</v>
          </cell>
          <cell r="N329" t="str">
            <v>Identified - New</v>
          </cell>
          <cell r="O329" t="str">
            <v>04 Submitted</v>
          </cell>
          <cell r="P329" t="str">
            <v>Priority 3</v>
          </cell>
          <cell r="Q329">
            <v>0.3</v>
          </cell>
          <cell r="R329">
            <v>5000000</v>
          </cell>
          <cell r="S329">
            <v>0.17199999999999999</v>
          </cell>
          <cell r="T329">
            <v>0.17199999999999999</v>
          </cell>
          <cell r="U329">
            <v>0.17299999999999999</v>
          </cell>
          <cell r="V329">
            <v>0.17499999999999999</v>
          </cell>
          <cell r="W329">
            <v>0.18</v>
          </cell>
          <cell r="X329">
            <v>0.08</v>
          </cell>
          <cell r="Y329">
            <v>0.08</v>
          </cell>
          <cell r="Z329">
            <v>8.1000000000000003E-2</v>
          </cell>
          <cell r="AA329">
            <v>8.3000000000000004E-2</v>
          </cell>
          <cell r="AB329">
            <v>8.8000000000000009E-2</v>
          </cell>
          <cell r="AC329">
            <v>714285.71428571432</v>
          </cell>
          <cell r="AD329">
            <v>0</v>
          </cell>
          <cell r="AE329">
            <v>214285.71428571429</v>
          </cell>
          <cell r="AF329">
            <v>214285.71428571429</v>
          </cell>
          <cell r="AG329">
            <v>214285.71428571429</v>
          </cell>
          <cell r="AH329">
            <v>214285.71428571429</v>
          </cell>
          <cell r="AI329">
            <v>0</v>
          </cell>
          <cell r="AJ329">
            <v>36857.142857142855</v>
          </cell>
          <cell r="AK329">
            <v>37071.428571428572</v>
          </cell>
          <cell r="AL329">
            <v>37500</v>
          </cell>
          <cell r="AM329">
            <v>38571.428571428572</v>
          </cell>
          <cell r="AN329">
            <v>0</v>
          </cell>
          <cell r="AO329">
            <v>17142.857142857145</v>
          </cell>
          <cell r="AP329">
            <v>17357.142857142859</v>
          </cell>
          <cell r="AQ329">
            <v>17785.714285714286</v>
          </cell>
          <cell r="AR329">
            <v>18857.142857142859</v>
          </cell>
          <cell r="AT329" t="str">
            <v>OPP-749666 - Identified - New - IS4</v>
          </cell>
          <cell r="AU329">
            <v>71142.857142857145</v>
          </cell>
          <cell r="AV329">
            <v>0</v>
          </cell>
          <cell r="AW329">
            <v>71142.857142857145</v>
          </cell>
          <cell r="AX329">
            <v>0</v>
          </cell>
          <cell r="AZ329">
            <v>318</v>
          </cell>
          <cell r="BA329">
            <v>197</v>
          </cell>
          <cell r="BB329">
            <v>380</v>
          </cell>
        </row>
        <row r="330">
          <cell r="B330" t="str">
            <v>OPP-899103</v>
          </cell>
          <cell r="C330" t="str">
            <v>INDUSTRIAL CONTROL SYSTEM ICS ASSESSMENT SERVICES (ICS)</v>
          </cell>
          <cell r="D330" t="str">
            <v>IS4</v>
          </cell>
          <cell r="E330" t="str">
            <v>IS4 Spectrum &amp; Infrastructure Assurance</v>
          </cell>
          <cell r="F330" t="str">
            <v>Other Civilian</v>
          </cell>
          <cell r="G330" t="str">
            <v>Other</v>
          </cell>
          <cell r="H330">
            <v>43799</v>
          </cell>
          <cell r="I330">
            <v>43831</v>
          </cell>
          <cell r="J330">
            <v>44197</v>
          </cell>
          <cell r="K330" t="str">
            <v>Prime</v>
          </cell>
          <cell r="L330" t="str">
            <v>Fixed Price</v>
          </cell>
          <cell r="M330" t="str">
            <v>Fixed Price</v>
          </cell>
          <cell r="N330" t="str">
            <v>Identified - New</v>
          </cell>
          <cell r="O330" t="str">
            <v>01 Prospect</v>
          </cell>
          <cell r="P330" t="str">
            <v>Priority 3</v>
          </cell>
          <cell r="Q330">
            <v>0.25</v>
          </cell>
          <cell r="R330">
            <v>5000000</v>
          </cell>
          <cell r="S330">
            <v>0.17199999999999999</v>
          </cell>
          <cell r="T330">
            <v>0.17199999999999999</v>
          </cell>
          <cell r="U330">
            <v>0.17299999999999999</v>
          </cell>
          <cell r="V330">
            <v>0.17499999999999999</v>
          </cell>
          <cell r="W330">
            <v>0.18</v>
          </cell>
          <cell r="X330">
            <v>0.08</v>
          </cell>
          <cell r="Y330">
            <v>0.08</v>
          </cell>
          <cell r="Z330">
            <v>8.1000000000000003E-2</v>
          </cell>
          <cell r="AA330">
            <v>8.3000000000000004E-2</v>
          </cell>
          <cell r="AB330">
            <v>8.8000000000000009E-2</v>
          </cell>
          <cell r="AC330">
            <v>5000000</v>
          </cell>
          <cell r="AD330">
            <v>0</v>
          </cell>
          <cell r="AE330">
            <v>934027.77777777775</v>
          </cell>
          <cell r="AF330">
            <v>315972.22222222225</v>
          </cell>
          <cell r="AG330">
            <v>0</v>
          </cell>
          <cell r="AH330">
            <v>0</v>
          </cell>
          <cell r="AI330">
            <v>0</v>
          </cell>
          <cell r="AJ330">
            <v>160652.77777777775</v>
          </cell>
          <cell r="AK330">
            <v>54663.194444444445</v>
          </cell>
          <cell r="AL330">
            <v>0</v>
          </cell>
          <cell r="AM330">
            <v>0</v>
          </cell>
          <cell r="AN330">
            <v>0</v>
          </cell>
          <cell r="AO330">
            <v>74722.222222222219</v>
          </cell>
          <cell r="AP330">
            <v>25593.750000000004</v>
          </cell>
          <cell r="AQ330">
            <v>0</v>
          </cell>
          <cell r="AR330">
            <v>0</v>
          </cell>
          <cell r="AT330" t="str">
            <v>OPP-899103 - Identified - New - IS4</v>
          </cell>
          <cell r="AU330">
            <v>100315.97222222222</v>
          </cell>
          <cell r="AV330">
            <v>0</v>
          </cell>
          <cell r="AW330">
            <v>100315.97222222222</v>
          </cell>
          <cell r="AX330">
            <v>0</v>
          </cell>
          <cell r="AZ330">
            <v>319</v>
          </cell>
          <cell r="BA330">
            <v>177</v>
          </cell>
          <cell r="BB330">
            <v>381</v>
          </cell>
        </row>
        <row r="331">
          <cell r="B331" t="str">
            <v>OPP-941614</v>
          </cell>
          <cell r="C331" t="str">
            <v>NSWC Crane Corporate Operations Safety Support</v>
          </cell>
          <cell r="D331" t="str">
            <v>IS4</v>
          </cell>
          <cell r="E331" t="str">
            <v>IS4 Spectrum &amp; Infrastructure Assurance</v>
          </cell>
          <cell r="F331" t="str">
            <v>Navy</v>
          </cell>
          <cell r="G331" t="str">
            <v>DOD</v>
          </cell>
          <cell r="H331">
            <v>44057</v>
          </cell>
          <cell r="I331">
            <v>44155</v>
          </cell>
          <cell r="J331">
            <v>45981</v>
          </cell>
          <cell r="K331" t="str">
            <v>Prime</v>
          </cell>
          <cell r="L331" t="str">
            <v>Cost Plus Fixed Fee</v>
          </cell>
          <cell r="M331" t="str">
            <v>Cost Reimbursable</v>
          </cell>
          <cell r="N331" t="str">
            <v>Identified - New</v>
          </cell>
          <cell r="O331" t="str">
            <v>01 Prospect</v>
          </cell>
          <cell r="P331" t="str">
            <v>Priority 3</v>
          </cell>
          <cell r="Q331">
            <v>0.3</v>
          </cell>
          <cell r="R331">
            <v>5000000</v>
          </cell>
          <cell r="S331">
            <v>0.16</v>
          </cell>
          <cell r="T331">
            <v>0.16</v>
          </cell>
          <cell r="U331">
            <v>0.16</v>
          </cell>
          <cell r="V331">
            <v>0.16</v>
          </cell>
          <cell r="W331">
            <v>0.16</v>
          </cell>
          <cell r="X331">
            <v>6.8000000000000005E-2</v>
          </cell>
          <cell r="Y331">
            <v>6.8000000000000005E-2</v>
          </cell>
          <cell r="Z331">
            <v>6.8000000000000005E-2</v>
          </cell>
          <cell r="AA331">
            <v>6.8000000000000005E-2</v>
          </cell>
          <cell r="AB331">
            <v>6.8000000000000005E-2</v>
          </cell>
          <cell r="AC331">
            <v>1000000</v>
          </cell>
          <cell r="AD331">
            <v>0</v>
          </cell>
          <cell r="AE331">
            <v>0</v>
          </cell>
          <cell r="AF331">
            <v>258333.33333333331</v>
          </cell>
          <cell r="AG331">
            <v>300000</v>
          </cell>
          <cell r="AH331">
            <v>300000</v>
          </cell>
          <cell r="AI331">
            <v>0</v>
          </cell>
          <cell r="AJ331">
            <v>0</v>
          </cell>
          <cell r="AK331">
            <v>41333.333333333328</v>
          </cell>
          <cell r="AL331">
            <v>48000</v>
          </cell>
          <cell r="AM331">
            <v>48000</v>
          </cell>
          <cell r="AN331">
            <v>0</v>
          </cell>
          <cell r="AO331">
            <v>0</v>
          </cell>
          <cell r="AP331">
            <v>17566.666666666668</v>
          </cell>
          <cell r="AQ331">
            <v>20400</v>
          </cell>
          <cell r="AR331">
            <v>20400</v>
          </cell>
          <cell r="AT331" t="str">
            <v>OPP-941614 - Identified - New - IS4</v>
          </cell>
          <cell r="AU331">
            <v>58366.666666666672</v>
          </cell>
          <cell r="AV331">
            <v>0</v>
          </cell>
          <cell r="AW331">
            <v>58366.666666666672</v>
          </cell>
          <cell r="AX331">
            <v>0</v>
          </cell>
          <cell r="AZ331">
            <v>320</v>
          </cell>
          <cell r="BA331">
            <v>207</v>
          </cell>
          <cell r="BB331">
            <v>382</v>
          </cell>
        </row>
        <row r="332">
          <cell r="B332" t="str">
            <v>OPP-723436</v>
          </cell>
          <cell r="C332" t="str">
            <v>USMC MCSC PMM-111 MC3 Tactical Communications Systems (TCS)</v>
          </cell>
          <cell r="D332" t="str">
            <v>IS4</v>
          </cell>
          <cell r="E332" t="str">
            <v>IS4 Spectrum &amp; Infrastructure Assurance</v>
          </cell>
          <cell r="F332" t="str">
            <v>Marine Corps</v>
          </cell>
          <cell r="G332" t="str">
            <v>DOD</v>
          </cell>
          <cell r="H332">
            <v>44910</v>
          </cell>
          <cell r="I332">
            <v>44925</v>
          </cell>
          <cell r="J332">
            <v>46751</v>
          </cell>
          <cell r="K332" t="str">
            <v>Sub</v>
          </cell>
          <cell r="L332" t="str">
            <v>Fixed Price</v>
          </cell>
          <cell r="M332" t="str">
            <v>Fixed Price</v>
          </cell>
          <cell r="N332" t="str">
            <v>Identified - New</v>
          </cell>
          <cell r="O332" t="str">
            <v>01 Prospect</v>
          </cell>
          <cell r="P332" t="str">
            <v>Priority 3</v>
          </cell>
          <cell r="Q332">
            <v>0.25</v>
          </cell>
          <cell r="R332">
            <v>5000000</v>
          </cell>
          <cell r="S332">
            <v>0.17199999999999999</v>
          </cell>
          <cell r="T332">
            <v>0.17199999999999999</v>
          </cell>
          <cell r="U332">
            <v>0.17299999999999999</v>
          </cell>
          <cell r="V332">
            <v>0.17499999999999999</v>
          </cell>
          <cell r="W332">
            <v>0.18</v>
          </cell>
          <cell r="X332">
            <v>0.08</v>
          </cell>
          <cell r="Y332">
            <v>0.08</v>
          </cell>
          <cell r="Z332">
            <v>8.1000000000000003E-2</v>
          </cell>
          <cell r="AA332">
            <v>8.3000000000000004E-2</v>
          </cell>
          <cell r="AB332">
            <v>8.8000000000000009E-2</v>
          </cell>
          <cell r="AC332">
            <v>1000000</v>
          </cell>
          <cell r="AD332">
            <v>0</v>
          </cell>
          <cell r="AE332">
            <v>0</v>
          </cell>
          <cell r="AF332">
            <v>0</v>
          </cell>
          <cell r="AG332">
            <v>0</v>
          </cell>
          <cell r="AH332">
            <v>187500</v>
          </cell>
          <cell r="AI332">
            <v>0</v>
          </cell>
          <cell r="AJ332">
            <v>0</v>
          </cell>
          <cell r="AK332">
            <v>0</v>
          </cell>
          <cell r="AL332">
            <v>0</v>
          </cell>
          <cell r="AM332">
            <v>33750</v>
          </cell>
          <cell r="AN332">
            <v>0</v>
          </cell>
          <cell r="AO332">
            <v>0</v>
          </cell>
          <cell r="AP332">
            <v>0</v>
          </cell>
          <cell r="AQ332">
            <v>0</v>
          </cell>
          <cell r="AR332">
            <v>16500</v>
          </cell>
          <cell r="AT332" t="str">
            <v>OPP-723436 - Identified - New - IS4</v>
          </cell>
          <cell r="AU332">
            <v>16500</v>
          </cell>
          <cell r="AV332">
            <v>0</v>
          </cell>
          <cell r="AW332">
            <v>16500</v>
          </cell>
          <cell r="AX332">
            <v>0</v>
          </cell>
          <cell r="AZ332">
            <v>321</v>
          </cell>
          <cell r="BA332">
            <v>236</v>
          </cell>
          <cell r="BB332">
            <v>383</v>
          </cell>
        </row>
        <row r="333">
          <cell r="B333" t="str">
            <v>OPP-855543</v>
          </cell>
          <cell r="C333" t="str">
            <v>DS-TAT: EME Definition and EMI R&amp;D Analysis to the DoD Gulf Area Frequency Coordinator (GAFC)</v>
          </cell>
          <cell r="D333" t="str">
            <v>IS4</v>
          </cell>
          <cell r="E333" t="str">
            <v>IS4 Spectrum &amp; Infrastructure Assurance</v>
          </cell>
          <cell r="F333" t="str">
            <v>DISA</v>
          </cell>
          <cell r="G333" t="str">
            <v>DOD</v>
          </cell>
          <cell r="H333">
            <v>44910</v>
          </cell>
          <cell r="I333">
            <v>44910</v>
          </cell>
          <cell r="J333">
            <v>46249</v>
          </cell>
          <cell r="K333" t="str">
            <v>Prime</v>
          </cell>
          <cell r="L333" t="str">
            <v>Cost Plus Fixed Fee</v>
          </cell>
          <cell r="M333" t="str">
            <v>Cost Reimbursable</v>
          </cell>
          <cell r="N333" t="str">
            <v>Identified - New</v>
          </cell>
          <cell r="O333" t="str">
            <v>01 Prospect</v>
          </cell>
          <cell r="P333" t="str">
            <v>Priority 3</v>
          </cell>
          <cell r="Q333">
            <v>0.25</v>
          </cell>
          <cell r="R333">
            <v>4900000</v>
          </cell>
          <cell r="S333">
            <v>0.16</v>
          </cell>
          <cell r="T333">
            <v>0.16</v>
          </cell>
          <cell r="U333">
            <v>0.16</v>
          </cell>
          <cell r="V333">
            <v>0.16</v>
          </cell>
          <cell r="W333">
            <v>0.16</v>
          </cell>
          <cell r="X333">
            <v>6.8000000000000005E-2</v>
          </cell>
          <cell r="Y333">
            <v>6.8000000000000005E-2</v>
          </cell>
          <cell r="Z333">
            <v>6.8000000000000005E-2</v>
          </cell>
          <cell r="AA333">
            <v>6.8000000000000005E-2</v>
          </cell>
          <cell r="AB333">
            <v>6.8000000000000005E-2</v>
          </cell>
          <cell r="AC333">
            <v>1336363.6363636365</v>
          </cell>
          <cell r="AD333">
            <v>0</v>
          </cell>
          <cell r="AE333">
            <v>0</v>
          </cell>
          <cell r="AF333">
            <v>0</v>
          </cell>
          <cell r="AG333">
            <v>0</v>
          </cell>
          <cell r="AH333">
            <v>264488.63636363635</v>
          </cell>
          <cell r="AI333">
            <v>0</v>
          </cell>
          <cell r="AJ333">
            <v>0</v>
          </cell>
          <cell r="AK333">
            <v>0</v>
          </cell>
          <cell r="AL333">
            <v>0</v>
          </cell>
          <cell r="AM333">
            <v>42318.181818181816</v>
          </cell>
          <cell r="AN333">
            <v>0</v>
          </cell>
          <cell r="AO333">
            <v>0</v>
          </cell>
          <cell r="AP333">
            <v>0</v>
          </cell>
          <cell r="AQ333">
            <v>0</v>
          </cell>
          <cell r="AR333">
            <v>17985.227272727272</v>
          </cell>
          <cell r="AT333" t="str">
            <v>OPP-855543 - Identified - New - IS4</v>
          </cell>
          <cell r="AU333">
            <v>17985.227272727272</v>
          </cell>
          <cell r="AV333">
            <v>0</v>
          </cell>
          <cell r="AW333">
            <v>17985.227272727272</v>
          </cell>
          <cell r="AX333">
            <v>0</v>
          </cell>
          <cell r="AZ333">
            <v>322</v>
          </cell>
          <cell r="BA333">
            <v>233</v>
          </cell>
          <cell r="BB333">
            <v>384</v>
          </cell>
        </row>
        <row r="334">
          <cell r="B334" t="str">
            <v>OPP-721246</v>
          </cell>
          <cell r="C334" t="str">
            <v>USMC PMM114 Fire Support Systems</v>
          </cell>
          <cell r="D334" t="str">
            <v>IS4</v>
          </cell>
          <cell r="E334" t="str">
            <v>IS4 Spectrum &amp; Infrastructure Assurance</v>
          </cell>
          <cell r="F334" t="str">
            <v>Marine Corps</v>
          </cell>
          <cell r="G334" t="str">
            <v>DOD</v>
          </cell>
          <cell r="H334">
            <v>44301</v>
          </cell>
          <cell r="I334">
            <v>44341</v>
          </cell>
          <cell r="J334">
            <v>45437</v>
          </cell>
          <cell r="K334" t="str">
            <v>Sub</v>
          </cell>
          <cell r="L334" t="str">
            <v>Fixed Price</v>
          </cell>
          <cell r="M334" t="str">
            <v>Fixed Price</v>
          </cell>
          <cell r="N334" t="str">
            <v>Identified - New</v>
          </cell>
          <cell r="O334" t="str">
            <v>01 Prospect</v>
          </cell>
          <cell r="P334" t="str">
            <v>Priority 3</v>
          </cell>
          <cell r="Q334">
            <v>0.3</v>
          </cell>
          <cell r="R334">
            <v>4400000</v>
          </cell>
          <cell r="S334">
            <v>0.17199999999999999</v>
          </cell>
          <cell r="T334">
            <v>0.17199999999999999</v>
          </cell>
          <cell r="U334">
            <v>0.17299999999999999</v>
          </cell>
          <cell r="V334">
            <v>0.17499999999999999</v>
          </cell>
          <cell r="W334">
            <v>0.18</v>
          </cell>
          <cell r="X334">
            <v>0.08</v>
          </cell>
          <cell r="Y334">
            <v>0.08</v>
          </cell>
          <cell r="Z334">
            <v>8.1000000000000003E-2</v>
          </cell>
          <cell r="AA334">
            <v>8.3000000000000004E-2</v>
          </cell>
          <cell r="AB334">
            <v>8.8000000000000009E-2</v>
          </cell>
          <cell r="AC334">
            <v>1466666.6666666667</v>
          </cell>
          <cell r="AD334">
            <v>0</v>
          </cell>
          <cell r="AE334">
            <v>0</v>
          </cell>
          <cell r="AF334">
            <v>152777.77777777778</v>
          </cell>
          <cell r="AG334">
            <v>440000</v>
          </cell>
          <cell r="AH334">
            <v>440000</v>
          </cell>
          <cell r="AI334">
            <v>0</v>
          </cell>
          <cell r="AJ334">
            <v>0</v>
          </cell>
          <cell r="AK334">
            <v>26430.555555555555</v>
          </cell>
          <cell r="AL334">
            <v>77000</v>
          </cell>
          <cell r="AM334">
            <v>79200</v>
          </cell>
          <cell r="AN334">
            <v>0</v>
          </cell>
          <cell r="AO334">
            <v>0</v>
          </cell>
          <cell r="AP334">
            <v>12375</v>
          </cell>
          <cell r="AQ334">
            <v>36520</v>
          </cell>
          <cell r="AR334">
            <v>38720.000000000007</v>
          </cell>
          <cell r="AT334" t="str">
            <v>OPP-721246 - Identified - New - IS4</v>
          </cell>
          <cell r="AU334">
            <v>87615</v>
          </cell>
          <cell r="AV334">
            <v>0</v>
          </cell>
          <cell r="AW334">
            <v>87615</v>
          </cell>
          <cell r="AX334">
            <v>0</v>
          </cell>
          <cell r="AZ334">
            <v>323</v>
          </cell>
          <cell r="BA334">
            <v>187</v>
          </cell>
          <cell r="BB334">
            <v>385</v>
          </cell>
        </row>
        <row r="335">
          <cell r="B335" t="str">
            <v>OPP-725837</v>
          </cell>
          <cell r="C335" t="str">
            <v>USMC - PDM Engineer Systems (ES) 2016</v>
          </cell>
          <cell r="D335" t="str">
            <v>IS4</v>
          </cell>
          <cell r="E335" t="str">
            <v>IS4 Spectrum &amp; Infrastructure Assurance</v>
          </cell>
          <cell r="F335" t="str">
            <v>Marine Corps</v>
          </cell>
          <cell r="G335" t="str">
            <v>DOD</v>
          </cell>
          <cell r="H335">
            <v>44879</v>
          </cell>
          <cell r="I335">
            <v>44928</v>
          </cell>
          <cell r="J335">
            <v>46754</v>
          </cell>
          <cell r="K335" t="str">
            <v>Sub</v>
          </cell>
          <cell r="L335" t="str">
            <v>Fixed Price</v>
          </cell>
          <cell r="M335" t="str">
            <v>Fixed Price</v>
          </cell>
          <cell r="N335" t="str">
            <v>Identified - New</v>
          </cell>
          <cell r="O335" t="str">
            <v>01 Prospect</v>
          </cell>
          <cell r="P335" t="str">
            <v>Priority 3</v>
          </cell>
          <cell r="Q335">
            <v>0.25</v>
          </cell>
          <cell r="R335">
            <v>4300000</v>
          </cell>
          <cell r="S335">
            <v>0.17199999999999999</v>
          </cell>
          <cell r="T335">
            <v>0.17199999999999999</v>
          </cell>
          <cell r="U335">
            <v>0.17299999999999999</v>
          </cell>
          <cell r="V335">
            <v>0.17499999999999999</v>
          </cell>
          <cell r="W335">
            <v>0.18</v>
          </cell>
          <cell r="X335">
            <v>0.08</v>
          </cell>
          <cell r="Y335">
            <v>0.08</v>
          </cell>
          <cell r="Z335">
            <v>8.1000000000000003E-2</v>
          </cell>
          <cell r="AA335">
            <v>8.3000000000000004E-2</v>
          </cell>
          <cell r="AB335">
            <v>8.8000000000000009E-2</v>
          </cell>
          <cell r="AC335">
            <v>860000</v>
          </cell>
          <cell r="AD335">
            <v>0</v>
          </cell>
          <cell r="AE335">
            <v>0</v>
          </cell>
          <cell r="AF335">
            <v>0</v>
          </cell>
          <cell r="AG335">
            <v>0</v>
          </cell>
          <cell r="AH335">
            <v>160055.55555555556</v>
          </cell>
          <cell r="AI335">
            <v>0</v>
          </cell>
          <cell r="AJ335">
            <v>0</v>
          </cell>
          <cell r="AK335">
            <v>0</v>
          </cell>
          <cell r="AL335">
            <v>0</v>
          </cell>
          <cell r="AM335">
            <v>28810</v>
          </cell>
          <cell r="AN335">
            <v>0</v>
          </cell>
          <cell r="AO335">
            <v>0</v>
          </cell>
          <cell r="AP335">
            <v>0</v>
          </cell>
          <cell r="AQ335">
            <v>0</v>
          </cell>
          <cell r="AR335">
            <v>14084.888888888891</v>
          </cell>
          <cell r="AT335" t="str">
            <v>OPP-725837 - Identified - New - IS4</v>
          </cell>
          <cell r="AU335">
            <v>14084.888888888891</v>
          </cell>
          <cell r="AV335">
            <v>0</v>
          </cell>
          <cell r="AW335">
            <v>14084.888888888891</v>
          </cell>
          <cell r="AX335">
            <v>0</v>
          </cell>
          <cell r="AZ335">
            <v>324</v>
          </cell>
          <cell r="BA335">
            <v>239</v>
          </cell>
          <cell r="BB335">
            <v>386</v>
          </cell>
        </row>
        <row r="336">
          <cell r="B336" t="str">
            <v>OPP-925307</v>
          </cell>
          <cell r="C336" t="str">
            <v>NAVFAC ICS Training</v>
          </cell>
          <cell r="D336" t="str">
            <v>IS4</v>
          </cell>
          <cell r="E336" t="str">
            <v>IS4 Spectrum &amp; Infrastructure Assurance</v>
          </cell>
          <cell r="F336" t="str">
            <v>Navy</v>
          </cell>
          <cell r="G336" t="str">
            <v>DOD</v>
          </cell>
          <cell r="H336">
            <v>43710</v>
          </cell>
          <cell r="I336">
            <v>43717</v>
          </cell>
          <cell r="J336">
            <v>44083</v>
          </cell>
          <cell r="K336" t="str">
            <v>Prime</v>
          </cell>
          <cell r="L336" t="str">
            <v>Cost Plus Fixed Fee</v>
          </cell>
          <cell r="M336" t="str">
            <v>Cost Reimbursable</v>
          </cell>
          <cell r="N336" t="str">
            <v>Identified - New</v>
          </cell>
          <cell r="O336" t="str">
            <v>02 Capture</v>
          </cell>
          <cell r="P336" t="str">
            <v>Priority 3</v>
          </cell>
          <cell r="Q336">
            <v>0.5</v>
          </cell>
          <cell r="R336">
            <v>4000000</v>
          </cell>
          <cell r="S336">
            <v>0.16</v>
          </cell>
          <cell r="T336">
            <v>0.16</v>
          </cell>
          <cell r="U336">
            <v>0.16</v>
          </cell>
          <cell r="V336">
            <v>0.16</v>
          </cell>
          <cell r="W336">
            <v>0.16</v>
          </cell>
          <cell r="X336">
            <v>6.8000000000000005E-2</v>
          </cell>
          <cell r="Y336">
            <v>6.8000000000000005E-2</v>
          </cell>
          <cell r="Z336">
            <v>6.8000000000000005E-2</v>
          </cell>
          <cell r="AA336">
            <v>6.8000000000000005E-2</v>
          </cell>
          <cell r="AB336">
            <v>6.8000000000000005E-2</v>
          </cell>
          <cell r="AC336">
            <v>4000000</v>
          </cell>
          <cell r="AD336">
            <v>0</v>
          </cell>
          <cell r="AE336">
            <v>2000000</v>
          </cell>
          <cell r="AF336">
            <v>0</v>
          </cell>
          <cell r="AG336">
            <v>0</v>
          </cell>
          <cell r="AH336">
            <v>0</v>
          </cell>
          <cell r="AI336">
            <v>0</v>
          </cell>
          <cell r="AJ336">
            <v>320000</v>
          </cell>
          <cell r="AK336">
            <v>0</v>
          </cell>
          <cell r="AL336">
            <v>0</v>
          </cell>
          <cell r="AM336">
            <v>0</v>
          </cell>
          <cell r="AN336">
            <v>0</v>
          </cell>
          <cell r="AO336">
            <v>136000</v>
          </cell>
          <cell r="AP336">
            <v>0</v>
          </cell>
          <cell r="AQ336">
            <v>0</v>
          </cell>
          <cell r="AR336">
            <v>0</v>
          </cell>
          <cell r="AT336" t="str">
            <v>OPP-925307 - Identified - New - IS4</v>
          </cell>
          <cell r="AU336">
            <v>136000</v>
          </cell>
          <cell r="AV336">
            <v>0</v>
          </cell>
          <cell r="AW336">
            <v>136000</v>
          </cell>
          <cell r="AX336">
            <v>0</v>
          </cell>
          <cell r="AZ336">
            <v>325</v>
          </cell>
          <cell r="BA336">
            <v>154</v>
          </cell>
          <cell r="BB336">
            <v>387</v>
          </cell>
        </row>
        <row r="337">
          <cell r="B337" t="str">
            <v>OPP-715801</v>
          </cell>
          <cell r="C337" t="str">
            <v>NSWCDD B40 Radar Operation Support (SDC) SB</v>
          </cell>
          <cell r="D337" t="str">
            <v>IS4</v>
          </cell>
          <cell r="E337" t="str">
            <v>IS4 Spectrum &amp; Infrastructure Assurance</v>
          </cell>
          <cell r="F337" t="str">
            <v>Navy</v>
          </cell>
          <cell r="G337" t="str">
            <v>DOD</v>
          </cell>
          <cell r="H337">
            <v>44986</v>
          </cell>
          <cell r="I337">
            <v>45019</v>
          </cell>
          <cell r="J337">
            <v>46846</v>
          </cell>
          <cell r="K337" t="str">
            <v>Sub</v>
          </cell>
          <cell r="L337" t="str">
            <v>Cost Plus Incentive Fee</v>
          </cell>
          <cell r="M337" t="str">
            <v>Cost Reimbursable</v>
          </cell>
          <cell r="N337" t="str">
            <v>Identified - New</v>
          </cell>
          <cell r="O337" t="str">
            <v>01 Prospect</v>
          </cell>
          <cell r="P337" t="str">
            <v>Priority 3</v>
          </cell>
          <cell r="Q337">
            <v>0.3</v>
          </cell>
          <cell r="R337">
            <v>4000000</v>
          </cell>
          <cell r="S337">
            <v>0.16</v>
          </cell>
          <cell r="T337">
            <v>0.16</v>
          </cell>
          <cell r="U337">
            <v>0.16</v>
          </cell>
          <cell r="V337">
            <v>0.16</v>
          </cell>
          <cell r="W337">
            <v>0.16</v>
          </cell>
          <cell r="X337">
            <v>6.8000000000000005E-2</v>
          </cell>
          <cell r="Y337">
            <v>6.8000000000000005E-2</v>
          </cell>
          <cell r="Z337">
            <v>6.8000000000000005E-2</v>
          </cell>
          <cell r="AA337">
            <v>6.8000000000000005E-2</v>
          </cell>
          <cell r="AB337">
            <v>6.8000000000000005E-2</v>
          </cell>
          <cell r="AC337">
            <v>800000</v>
          </cell>
          <cell r="AD337">
            <v>0</v>
          </cell>
          <cell r="AE337">
            <v>0</v>
          </cell>
          <cell r="AF337">
            <v>0</v>
          </cell>
          <cell r="AG337">
            <v>0</v>
          </cell>
          <cell r="AH337">
            <v>117999.99999999999</v>
          </cell>
          <cell r="AI337">
            <v>0</v>
          </cell>
          <cell r="AJ337">
            <v>0</v>
          </cell>
          <cell r="AK337">
            <v>0</v>
          </cell>
          <cell r="AL337">
            <v>0</v>
          </cell>
          <cell r="AM337">
            <v>18879.999999999996</v>
          </cell>
          <cell r="AN337">
            <v>0</v>
          </cell>
          <cell r="AO337">
            <v>0</v>
          </cell>
          <cell r="AP337">
            <v>0</v>
          </cell>
          <cell r="AQ337">
            <v>0</v>
          </cell>
          <cell r="AR337">
            <v>8024</v>
          </cell>
          <cell r="AT337" t="str">
            <v>OPP-715801 - Identified - New - IS4</v>
          </cell>
          <cell r="AU337">
            <v>8024</v>
          </cell>
          <cell r="AV337">
            <v>0</v>
          </cell>
          <cell r="AW337">
            <v>8024</v>
          </cell>
          <cell r="AX337">
            <v>0</v>
          </cell>
          <cell r="AZ337">
            <v>326</v>
          </cell>
          <cell r="BA337">
            <v>242</v>
          </cell>
          <cell r="BB337">
            <v>388</v>
          </cell>
        </row>
        <row r="338">
          <cell r="B338" t="str">
            <v>OPP-887857</v>
          </cell>
          <cell r="C338" t="str">
            <v>TAT-1705-Sustainment and Development of EOIR Systems</v>
          </cell>
          <cell r="D338" t="str">
            <v>IS4</v>
          </cell>
          <cell r="E338" t="str">
            <v>IS4 Spectrum &amp; Infrastructure Assurance</v>
          </cell>
          <cell r="F338" t="str">
            <v>Navy</v>
          </cell>
          <cell r="G338" t="str">
            <v>DOD</v>
          </cell>
          <cell r="H338">
            <v>43735</v>
          </cell>
          <cell r="I338">
            <v>43740</v>
          </cell>
          <cell r="J338">
            <v>45567</v>
          </cell>
          <cell r="K338" t="str">
            <v>Sub</v>
          </cell>
          <cell r="L338" t="str">
            <v>Cost Plus Fixed Fee</v>
          </cell>
          <cell r="M338" t="str">
            <v>Cost Reimbursable</v>
          </cell>
          <cell r="N338" t="str">
            <v>Identified - New</v>
          </cell>
          <cell r="O338" t="str">
            <v>04 Submitted</v>
          </cell>
          <cell r="P338" t="str">
            <v>Priority 3</v>
          </cell>
          <cell r="Q338">
            <v>0.5</v>
          </cell>
          <cell r="R338">
            <v>3500000</v>
          </cell>
          <cell r="S338">
            <v>0.16</v>
          </cell>
          <cell r="T338">
            <v>0.16</v>
          </cell>
          <cell r="U338">
            <v>0.16</v>
          </cell>
          <cell r="V338">
            <v>0.16</v>
          </cell>
          <cell r="W338">
            <v>0.16</v>
          </cell>
          <cell r="X338">
            <v>6.8000000000000005E-2</v>
          </cell>
          <cell r="Y338">
            <v>6.8000000000000005E-2</v>
          </cell>
          <cell r="Z338">
            <v>6.8000000000000005E-2</v>
          </cell>
          <cell r="AA338">
            <v>6.8000000000000005E-2</v>
          </cell>
          <cell r="AB338">
            <v>6.8000000000000005E-2</v>
          </cell>
          <cell r="AC338">
            <v>700000</v>
          </cell>
          <cell r="AD338">
            <v>0</v>
          </cell>
          <cell r="AE338">
            <v>348055.55555555556</v>
          </cell>
          <cell r="AF338">
            <v>350000</v>
          </cell>
          <cell r="AG338">
            <v>350000</v>
          </cell>
          <cell r="AH338">
            <v>350000</v>
          </cell>
          <cell r="AI338">
            <v>0</v>
          </cell>
          <cell r="AJ338">
            <v>55688.888888888891</v>
          </cell>
          <cell r="AK338">
            <v>56000</v>
          </cell>
          <cell r="AL338">
            <v>56000</v>
          </cell>
          <cell r="AM338">
            <v>56000</v>
          </cell>
          <cell r="AN338">
            <v>0</v>
          </cell>
          <cell r="AO338">
            <v>23667.777777777781</v>
          </cell>
          <cell r="AP338">
            <v>23800</v>
          </cell>
          <cell r="AQ338">
            <v>23800</v>
          </cell>
          <cell r="AR338">
            <v>23800</v>
          </cell>
          <cell r="AT338" t="str">
            <v>OPP-887857 - Identified - New - IS4</v>
          </cell>
          <cell r="AU338">
            <v>95067.777777777781</v>
          </cell>
          <cell r="AV338">
            <v>0</v>
          </cell>
          <cell r="AW338">
            <v>95067.777777777781</v>
          </cell>
          <cell r="AX338">
            <v>0</v>
          </cell>
          <cell r="AZ338">
            <v>327</v>
          </cell>
          <cell r="BA338">
            <v>179</v>
          </cell>
          <cell r="BB338">
            <v>389</v>
          </cell>
        </row>
        <row r="339">
          <cell r="B339" t="str">
            <v>OPP-760606</v>
          </cell>
          <cell r="C339" t="str">
            <v>USMC MC2S Program Office Support Services</v>
          </cell>
          <cell r="D339" t="str">
            <v>IS4</v>
          </cell>
          <cell r="E339" t="str">
            <v>IS4 Spectrum &amp; Infrastructure Assurance</v>
          </cell>
          <cell r="F339" t="str">
            <v>Navy</v>
          </cell>
          <cell r="G339" t="str">
            <v>DOD</v>
          </cell>
          <cell r="H339">
            <v>44301</v>
          </cell>
          <cell r="I339">
            <v>44323</v>
          </cell>
          <cell r="J339">
            <v>46149</v>
          </cell>
          <cell r="K339" t="str">
            <v>Sub</v>
          </cell>
          <cell r="L339" t="str">
            <v>Cost Plus Fixed Fee</v>
          </cell>
          <cell r="M339" t="str">
            <v>Cost Reimbursable</v>
          </cell>
          <cell r="N339" t="str">
            <v>Identified - New</v>
          </cell>
          <cell r="O339" t="str">
            <v>01 Prospect</v>
          </cell>
          <cell r="P339" t="str">
            <v>Priority 3</v>
          </cell>
          <cell r="Q339">
            <v>0.5</v>
          </cell>
          <cell r="R339">
            <v>3500000</v>
          </cell>
          <cell r="S339">
            <v>0.16</v>
          </cell>
          <cell r="T339">
            <v>0.16</v>
          </cell>
          <cell r="U339">
            <v>0.16</v>
          </cell>
          <cell r="V339">
            <v>0.16</v>
          </cell>
          <cell r="W339">
            <v>0.16</v>
          </cell>
          <cell r="X339">
            <v>6.8000000000000005E-2</v>
          </cell>
          <cell r="Y339">
            <v>6.8000000000000005E-2</v>
          </cell>
          <cell r="Z339">
            <v>6.8000000000000005E-2</v>
          </cell>
          <cell r="AA339">
            <v>6.8000000000000005E-2</v>
          </cell>
          <cell r="AB339">
            <v>6.8000000000000005E-2</v>
          </cell>
          <cell r="AC339">
            <v>700000</v>
          </cell>
          <cell r="AD339">
            <v>0</v>
          </cell>
          <cell r="AE339">
            <v>0</v>
          </cell>
          <cell r="AF339">
            <v>139027.77777777778</v>
          </cell>
          <cell r="AG339">
            <v>350000</v>
          </cell>
          <cell r="AH339">
            <v>350000</v>
          </cell>
          <cell r="AI339">
            <v>0</v>
          </cell>
          <cell r="AJ339">
            <v>0</v>
          </cell>
          <cell r="AK339">
            <v>22244.444444444445</v>
          </cell>
          <cell r="AL339">
            <v>56000</v>
          </cell>
          <cell r="AM339">
            <v>56000</v>
          </cell>
          <cell r="AN339">
            <v>0</v>
          </cell>
          <cell r="AO339">
            <v>0</v>
          </cell>
          <cell r="AP339">
            <v>9453.8888888888905</v>
          </cell>
          <cell r="AQ339">
            <v>23800</v>
          </cell>
          <cell r="AR339">
            <v>23800</v>
          </cell>
          <cell r="AT339" t="str">
            <v>OPP-760606 - Identified - New - IS4</v>
          </cell>
          <cell r="AU339">
            <v>57053.888888888891</v>
          </cell>
          <cell r="AV339">
            <v>0</v>
          </cell>
          <cell r="AW339">
            <v>57053.888888888891</v>
          </cell>
          <cell r="AX339">
            <v>0</v>
          </cell>
          <cell r="AZ339">
            <v>328</v>
          </cell>
          <cell r="BA339">
            <v>209</v>
          </cell>
          <cell r="BB339">
            <v>390</v>
          </cell>
        </row>
        <row r="340">
          <cell r="B340" t="str">
            <v>OPP-894513</v>
          </cell>
          <cell r="C340" t="str">
            <v>NAVIFOR TYCOM N3 Support</v>
          </cell>
          <cell r="D340" t="str">
            <v>IS4</v>
          </cell>
          <cell r="E340" t="str">
            <v>IS4 Spectrum &amp; Infrastructure Assurance</v>
          </cell>
          <cell r="F340" t="str">
            <v>Navy</v>
          </cell>
          <cell r="G340" t="str">
            <v>DOD</v>
          </cell>
          <cell r="H340">
            <v>43678</v>
          </cell>
          <cell r="I340">
            <v>43737</v>
          </cell>
          <cell r="J340">
            <v>45564</v>
          </cell>
          <cell r="K340" t="str">
            <v>Sub</v>
          </cell>
          <cell r="L340" t="str">
            <v>Fixed Price</v>
          </cell>
          <cell r="M340" t="str">
            <v>Fixed Price</v>
          </cell>
          <cell r="N340" t="str">
            <v>Identified - New</v>
          </cell>
          <cell r="O340" t="str">
            <v>02 Capture</v>
          </cell>
          <cell r="P340" t="str">
            <v>Priority 3</v>
          </cell>
          <cell r="Q340">
            <v>0.3</v>
          </cell>
          <cell r="R340">
            <v>3000000</v>
          </cell>
          <cell r="S340">
            <v>0.17199999999999999</v>
          </cell>
          <cell r="T340">
            <v>0.17199999999999999</v>
          </cell>
          <cell r="U340">
            <v>0.17299999999999999</v>
          </cell>
          <cell r="V340">
            <v>0.17499999999999999</v>
          </cell>
          <cell r="W340">
            <v>0.18</v>
          </cell>
          <cell r="X340">
            <v>0.08</v>
          </cell>
          <cell r="Y340">
            <v>0.08</v>
          </cell>
          <cell r="Z340">
            <v>8.1000000000000003E-2</v>
          </cell>
          <cell r="AA340">
            <v>8.3000000000000004E-2</v>
          </cell>
          <cell r="AB340">
            <v>8.8000000000000009E-2</v>
          </cell>
          <cell r="AC340">
            <v>600000</v>
          </cell>
          <cell r="AD340">
            <v>0</v>
          </cell>
          <cell r="AE340">
            <v>180000</v>
          </cell>
          <cell r="AF340">
            <v>180000</v>
          </cell>
          <cell r="AG340">
            <v>180000</v>
          </cell>
          <cell r="AH340">
            <v>180000</v>
          </cell>
          <cell r="AI340">
            <v>0</v>
          </cell>
          <cell r="AJ340">
            <v>30959.999999999996</v>
          </cell>
          <cell r="AK340">
            <v>31139.999999999996</v>
          </cell>
          <cell r="AL340">
            <v>31499.999999999996</v>
          </cell>
          <cell r="AM340">
            <v>32400</v>
          </cell>
          <cell r="AN340">
            <v>0</v>
          </cell>
          <cell r="AO340">
            <v>14400</v>
          </cell>
          <cell r="AP340">
            <v>14580</v>
          </cell>
          <cell r="AQ340">
            <v>14940</v>
          </cell>
          <cell r="AR340">
            <v>15840.000000000002</v>
          </cell>
          <cell r="AT340" t="str">
            <v>OPP-894513 - Identified - New - IS4</v>
          </cell>
          <cell r="AU340">
            <v>59760</v>
          </cell>
          <cell r="AV340">
            <v>0</v>
          </cell>
          <cell r="AW340">
            <v>59760</v>
          </cell>
          <cell r="AX340">
            <v>0</v>
          </cell>
          <cell r="AZ340">
            <v>329</v>
          </cell>
          <cell r="BA340">
            <v>204</v>
          </cell>
          <cell r="BB340">
            <v>391</v>
          </cell>
        </row>
        <row r="341">
          <cell r="B341" t="str">
            <v>OPP-555482</v>
          </cell>
          <cell r="C341" t="str">
            <v>NSWCDD - B50 Spectrum AESOP</v>
          </cell>
          <cell r="D341" t="str">
            <v>IS4</v>
          </cell>
          <cell r="E341" t="str">
            <v>IS4 Spectrum &amp; Infrastructure Assurance</v>
          </cell>
          <cell r="F341" t="str">
            <v>Navy</v>
          </cell>
          <cell r="G341" t="str">
            <v>DOD</v>
          </cell>
          <cell r="H341">
            <v>44410</v>
          </cell>
          <cell r="I341">
            <v>44431</v>
          </cell>
          <cell r="J341">
            <v>46257</v>
          </cell>
          <cell r="K341" t="str">
            <v>Sub</v>
          </cell>
          <cell r="L341" t="str">
            <v>Cost Plus Fixed Fee</v>
          </cell>
          <cell r="M341" t="str">
            <v>Cost Reimbursable</v>
          </cell>
          <cell r="N341" t="str">
            <v>Identified - New</v>
          </cell>
          <cell r="O341" t="str">
            <v>01 Prospect</v>
          </cell>
          <cell r="P341" t="str">
            <v>Priority 3</v>
          </cell>
          <cell r="Q341">
            <v>0.25</v>
          </cell>
          <cell r="R341">
            <v>2500000</v>
          </cell>
          <cell r="S341">
            <v>0.16</v>
          </cell>
          <cell r="T341">
            <v>0.16</v>
          </cell>
          <cell r="U341">
            <v>0.16</v>
          </cell>
          <cell r="V341">
            <v>0.16</v>
          </cell>
          <cell r="W341">
            <v>0.16</v>
          </cell>
          <cell r="X341">
            <v>6.8000000000000005E-2</v>
          </cell>
          <cell r="Y341">
            <v>6.8000000000000005E-2</v>
          </cell>
          <cell r="Z341">
            <v>6.8000000000000005E-2</v>
          </cell>
          <cell r="AA341">
            <v>6.8000000000000005E-2</v>
          </cell>
          <cell r="AB341">
            <v>6.8000000000000005E-2</v>
          </cell>
          <cell r="AC341">
            <v>500000</v>
          </cell>
          <cell r="AD341">
            <v>0</v>
          </cell>
          <cell r="AE341">
            <v>0</v>
          </cell>
          <cell r="AF341">
            <v>12847.222222222221</v>
          </cell>
          <cell r="AG341">
            <v>125000</v>
          </cell>
          <cell r="AH341">
            <v>125000</v>
          </cell>
          <cell r="AI341">
            <v>0</v>
          </cell>
          <cell r="AJ341">
            <v>0</v>
          </cell>
          <cell r="AK341">
            <v>2055.5555555555552</v>
          </cell>
          <cell r="AL341">
            <v>20000</v>
          </cell>
          <cell r="AM341">
            <v>20000</v>
          </cell>
          <cell r="AN341">
            <v>0</v>
          </cell>
          <cell r="AO341">
            <v>0</v>
          </cell>
          <cell r="AP341">
            <v>873.61111111111109</v>
          </cell>
          <cell r="AQ341">
            <v>8500</v>
          </cell>
          <cell r="AR341">
            <v>8500</v>
          </cell>
          <cell r="AT341" t="str">
            <v>OPP-555482 - Identified - New - IS4</v>
          </cell>
          <cell r="AU341">
            <v>17873.611111111109</v>
          </cell>
          <cell r="AV341">
            <v>0</v>
          </cell>
          <cell r="AW341">
            <v>17873.611111111109</v>
          </cell>
          <cell r="AX341">
            <v>0</v>
          </cell>
          <cell r="AZ341">
            <v>330</v>
          </cell>
          <cell r="BA341">
            <v>234</v>
          </cell>
          <cell r="BB341">
            <v>392</v>
          </cell>
        </row>
        <row r="342">
          <cell r="B342" t="str">
            <v>OPP-719774</v>
          </cell>
          <cell r="C342" t="str">
            <v>USMC II MEF IMO/C2 Support Services</v>
          </cell>
          <cell r="D342" t="str">
            <v>IS4</v>
          </cell>
          <cell r="E342" t="str">
            <v>IS4 Spectrum &amp; Infrastructure Assurance</v>
          </cell>
          <cell r="F342" t="str">
            <v>Marine Corps</v>
          </cell>
          <cell r="G342" t="str">
            <v>DOD</v>
          </cell>
          <cell r="H342">
            <v>44232</v>
          </cell>
          <cell r="I342">
            <v>44270</v>
          </cell>
          <cell r="J342">
            <v>45366</v>
          </cell>
          <cell r="K342" t="str">
            <v>Sub</v>
          </cell>
          <cell r="L342" t="str">
            <v>T&amp;M; Target Price/Fixed Price</v>
          </cell>
          <cell r="M342" t="str">
            <v>Other</v>
          </cell>
          <cell r="N342" t="str">
            <v>Identified - New</v>
          </cell>
          <cell r="O342" t="str">
            <v>01 Prospect</v>
          </cell>
          <cell r="P342" t="str">
            <v>Priority 3</v>
          </cell>
          <cell r="Q342">
            <v>0.25</v>
          </cell>
          <cell r="R342">
            <v>2000000</v>
          </cell>
          <cell r="S342">
            <v>0.182</v>
          </cell>
          <cell r="T342">
            <v>0.182</v>
          </cell>
          <cell r="U342">
            <v>0.183</v>
          </cell>
          <cell r="V342">
            <v>0.185</v>
          </cell>
          <cell r="W342">
            <v>0.19</v>
          </cell>
          <cell r="X342">
            <v>0.09</v>
          </cell>
          <cell r="Y342">
            <v>0.09</v>
          </cell>
          <cell r="Z342">
            <v>9.0999999999999998E-2</v>
          </cell>
          <cell r="AA342">
            <v>9.2999999999999999E-2</v>
          </cell>
          <cell r="AB342">
            <v>9.8000000000000004E-2</v>
          </cell>
          <cell r="AC342">
            <v>666666.66666666663</v>
          </cell>
          <cell r="AD342">
            <v>0</v>
          </cell>
          <cell r="AE342">
            <v>0</v>
          </cell>
          <cell r="AF342">
            <v>90277.777777777766</v>
          </cell>
          <cell r="AG342">
            <v>166666.66666666666</v>
          </cell>
          <cell r="AH342">
            <v>166666.66666666666</v>
          </cell>
          <cell r="AI342">
            <v>0</v>
          </cell>
          <cell r="AJ342">
            <v>0</v>
          </cell>
          <cell r="AK342">
            <v>16520.833333333332</v>
          </cell>
          <cell r="AL342">
            <v>30833.333333333332</v>
          </cell>
          <cell r="AM342">
            <v>31666.666666666664</v>
          </cell>
          <cell r="AN342">
            <v>0</v>
          </cell>
          <cell r="AO342">
            <v>0</v>
          </cell>
          <cell r="AP342">
            <v>8215.2777777777774</v>
          </cell>
          <cell r="AQ342">
            <v>15499.999999999998</v>
          </cell>
          <cell r="AR342">
            <v>16333.333333333332</v>
          </cell>
          <cell r="AT342" t="str">
            <v>OPP-719774 - Identified - New - IS4</v>
          </cell>
          <cell r="AU342">
            <v>40048.611111111109</v>
          </cell>
          <cell r="AV342">
            <v>0</v>
          </cell>
          <cell r="AW342">
            <v>40048.611111111109</v>
          </cell>
          <cell r="AX342">
            <v>0</v>
          </cell>
          <cell r="AZ342">
            <v>331</v>
          </cell>
          <cell r="BA342">
            <v>216</v>
          </cell>
          <cell r="BB342">
            <v>393</v>
          </cell>
        </row>
        <row r="343">
          <cell r="B343" t="str">
            <v>OPP-565240</v>
          </cell>
          <cell r="C343" t="str">
            <v>DSO Engineering Support Services (T4004) 2021 Recompete</v>
          </cell>
          <cell r="D343" t="str">
            <v>IS4</v>
          </cell>
          <cell r="E343" t="str">
            <v>IS4 Spectrum &amp; Infrastructure Assurance</v>
          </cell>
          <cell r="F343" t="str">
            <v>DISA</v>
          </cell>
          <cell r="G343" t="str">
            <v>DOD</v>
          </cell>
          <cell r="H343">
            <v>44362</v>
          </cell>
          <cell r="I343">
            <v>44454</v>
          </cell>
          <cell r="J343">
            <v>46280</v>
          </cell>
          <cell r="K343" t="str">
            <v>Prime</v>
          </cell>
          <cell r="L343" t="str">
            <v>Cost Plus Fixed Fee</v>
          </cell>
          <cell r="M343" t="str">
            <v>Cost Reimbursable</v>
          </cell>
          <cell r="N343" t="str">
            <v>Identified - New</v>
          </cell>
          <cell r="O343" t="str">
            <v>01 Prospect</v>
          </cell>
          <cell r="P343" t="str">
            <v>Priority 3</v>
          </cell>
          <cell r="Q343">
            <v>0.25</v>
          </cell>
          <cell r="R343">
            <v>2000000</v>
          </cell>
          <cell r="S343">
            <v>0.16</v>
          </cell>
          <cell r="T343">
            <v>0.16</v>
          </cell>
          <cell r="U343">
            <v>0.16</v>
          </cell>
          <cell r="V343">
            <v>0.16</v>
          </cell>
          <cell r="W343">
            <v>0.16</v>
          </cell>
          <cell r="X343">
            <v>6.8000000000000005E-2</v>
          </cell>
          <cell r="Y343">
            <v>6.8000000000000005E-2</v>
          </cell>
          <cell r="Z343">
            <v>6.8000000000000005E-2</v>
          </cell>
          <cell r="AA343">
            <v>6.8000000000000005E-2</v>
          </cell>
          <cell r="AB343">
            <v>6.8000000000000005E-2</v>
          </cell>
          <cell r="AC343">
            <v>400000</v>
          </cell>
          <cell r="AD343">
            <v>0</v>
          </cell>
          <cell r="AE343">
            <v>0</v>
          </cell>
          <cell r="AF343">
            <v>4166.6666666666661</v>
          </cell>
          <cell r="AG343">
            <v>100000</v>
          </cell>
          <cell r="AH343">
            <v>100000</v>
          </cell>
          <cell r="AI343">
            <v>0</v>
          </cell>
          <cell r="AJ343">
            <v>0</v>
          </cell>
          <cell r="AK343">
            <v>666.66666666666663</v>
          </cell>
          <cell r="AL343">
            <v>16000</v>
          </cell>
          <cell r="AM343">
            <v>16000</v>
          </cell>
          <cell r="AN343">
            <v>0</v>
          </cell>
          <cell r="AO343">
            <v>0</v>
          </cell>
          <cell r="AP343">
            <v>283.33333333333331</v>
          </cell>
          <cell r="AQ343">
            <v>6800.0000000000009</v>
          </cell>
          <cell r="AR343">
            <v>6800.0000000000009</v>
          </cell>
          <cell r="AT343" t="str">
            <v>OPP-565240 - Identified - New - IS4</v>
          </cell>
          <cell r="AU343">
            <v>13883.333333333336</v>
          </cell>
          <cell r="AV343">
            <v>0</v>
          </cell>
          <cell r="AW343">
            <v>13883.333333333336</v>
          </cell>
          <cell r="AX343">
            <v>0</v>
          </cell>
          <cell r="AZ343">
            <v>332</v>
          </cell>
          <cell r="BA343">
            <v>240</v>
          </cell>
          <cell r="BB343">
            <v>394</v>
          </cell>
        </row>
        <row r="344">
          <cell r="B344" t="str">
            <v>OPP-760614</v>
          </cell>
          <cell r="C344" t="str">
            <v>NSWCDD Program Office Classified Support</v>
          </cell>
          <cell r="D344" t="str">
            <v>IS4</v>
          </cell>
          <cell r="E344" t="str">
            <v>IS4 Spectrum &amp; Infrastructure Assurance</v>
          </cell>
          <cell r="F344" t="str">
            <v>Navy</v>
          </cell>
          <cell r="G344" t="str">
            <v>DOD</v>
          </cell>
          <cell r="H344">
            <v>44638</v>
          </cell>
          <cell r="I344">
            <v>44652</v>
          </cell>
          <cell r="J344">
            <v>46478</v>
          </cell>
          <cell r="K344" t="str">
            <v>Sub</v>
          </cell>
          <cell r="L344" t="str">
            <v>Cost Plus Fixed Fee</v>
          </cell>
          <cell r="M344" t="str">
            <v>Cost Reimbursable</v>
          </cell>
          <cell r="N344" t="str">
            <v>Identified - New</v>
          </cell>
          <cell r="O344" t="str">
            <v>01 Prospect</v>
          </cell>
          <cell r="P344" t="str">
            <v>Priority 3</v>
          </cell>
          <cell r="Q344">
            <v>0.5</v>
          </cell>
          <cell r="R344">
            <v>2000000</v>
          </cell>
          <cell r="S344">
            <v>0.16</v>
          </cell>
          <cell r="T344">
            <v>0.16</v>
          </cell>
          <cell r="U344">
            <v>0.16</v>
          </cell>
          <cell r="V344">
            <v>0.16</v>
          </cell>
          <cell r="W344">
            <v>0.16</v>
          </cell>
          <cell r="X344">
            <v>6.8000000000000005E-2</v>
          </cell>
          <cell r="Y344">
            <v>6.8000000000000005E-2</v>
          </cell>
          <cell r="Z344">
            <v>6.8000000000000005E-2</v>
          </cell>
          <cell r="AA344">
            <v>6.8000000000000005E-2</v>
          </cell>
          <cell r="AB344">
            <v>6.8000000000000005E-2</v>
          </cell>
          <cell r="AC344">
            <v>400000</v>
          </cell>
          <cell r="AD344">
            <v>0</v>
          </cell>
          <cell r="AE344">
            <v>0</v>
          </cell>
          <cell r="AF344">
            <v>0</v>
          </cell>
          <cell r="AG344">
            <v>99444.444444444453</v>
          </cell>
          <cell r="AH344">
            <v>200000</v>
          </cell>
          <cell r="AI344">
            <v>0</v>
          </cell>
          <cell r="AJ344">
            <v>0</v>
          </cell>
          <cell r="AK344">
            <v>0</v>
          </cell>
          <cell r="AL344">
            <v>15911.111111111113</v>
          </cell>
          <cell r="AM344">
            <v>32000</v>
          </cell>
          <cell r="AN344">
            <v>0</v>
          </cell>
          <cell r="AO344">
            <v>0</v>
          </cell>
          <cell r="AP344">
            <v>0</v>
          </cell>
          <cell r="AQ344">
            <v>6762.2222222222235</v>
          </cell>
          <cell r="AR344">
            <v>13600.000000000002</v>
          </cell>
          <cell r="AT344" t="str">
            <v>OPP-760614 - Identified - New - IS4</v>
          </cell>
          <cell r="AU344">
            <v>20362.222222222226</v>
          </cell>
          <cell r="AV344">
            <v>0</v>
          </cell>
          <cell r="AW344">
            <v>20362.222222222226</v>
          </cell>
          <cell r="AX344">
            <v>0</v>
          </cell>
          <cell r="AZ344">
            <v>333</v>
          </cell>
          <cell r="BA344">
            <v>230</v>
          </cell>
          <cell r="BB344">
            <v>395</v>
          </cell>
        </row>
        <row r="345">
          <cell r="B345" t="str">
            <v>OPP-562371</v>
          </cell>
          <cell r="C345" t="str">
            <v>NSWCDD Z Situational Awareness Technology Support</v>
          </cell>
          <cell r="D345" t="str">
            <v>IS4</v>
          </cell>
          <cell r="E345" t="str">
            <v>IS4 Spectrum &amp; Infrastructure Assurance</v>
          </cell>
          <cell r="F345" t="str">
            <v>Navy</v>
          </cell>
          <cell r="G345" t="str">
            <v>DOD</v>
          </cell>
          <cell r="H345">
            <v>44454</v>
          </cell>
          <cell r="I345">
            <v>44487</v>
          </cell>
          <cell r="J345">
            <v>46313</v>
          </cell>
          <cell r="K345" t="str">
            <v>Sub</v>
          </cell>
          <cell r="L345" t="str">
            <v>Cost Plus Fixed Fee</v>
          </cell>
          <cell r="M345" t="str">
            <v>Cost Reimbursable</v>
          </cell>
          <cell r="N345" t="str">
            <v>Identified - New</v>
          </cell>
          <cell r="O345" t="str">
            <v>01 Prospect</v>
          </cell>
          <cell r="P345" t="str">
            <v>Priority 3</v>
          </cell>
          <cell r="Q345">
            <v>0.15</v>
          </cell>
          <cell r="R345">
            <v>1500000</v>
          </cell>
          <cell r="S345">
            <v>0.16</v>
          </cell>
          <cell r="T345">
            <v>0.16</v>
          </cell>
          <cell r="U345">
            <v>0.16</v>
          </cell>
          <cell r="V345">
            <v>0.16</v>
          </cell>
          <cell r="W345">
            <v>0.16</v>
          </cell>
          <cell r="X345">
            <v>6.8000000000000005E-2</v>
          </cell>
          <cell r="Y345">
            <v>6.8000000000000005E-2</v>
          </cell>
          <cell r="Z345">
            <v>6.8000000000000005E-2</v>
          </cell>
          <cell r="AA345">
            <v>6.8000000000000005E-2</v>
          </cell>
          <cell r="AB345">
            <v>6.8000000000000005E-2</v>
          </cell>
          <cell r="AC345">
            <v>300000</v>
          </cell>
          <cell r="AD345">
            <v>0</v>
          </cell>
          <cell r="AE345">
            <v>0</v>
          </cell>
          <cell r="AF345">
            <v>0</v>
          </cell>
          <cell r="AG345">
            <v>42750</v>
          </cell>
          <cell r="AH345">
            <v>45000</v>
          </cell>
          <cell r="AI345">
            <v>0</v>
          </cell>
          <cell r="AJ345">
            <v>0</v>
          </cell>
          <cell r="AK345">
            <v>0</v>
          </cell>
          <cell r="AL345">
            <v>6840</v>
          </cell>
          <cell r="AM345">
            <v>7200</v>
          </cell>
          <cell r="AN345">
            <v>0</v>
          </cell>
          <cell r="AO345">
            <v>0</v>
          </cell>
          <cell r="AP345">
            <v>0</v>
          </cell>
          <cell r="AQ345">
            <v>2907</v>
          </cell>
          <cell r="AR345">
            <v>3060</v>
          </cell>
          <cell r="AT345" t="str">
            <v>OPP-562371 - Identified - New - IS4</v>
          </cell>
          <cell r="AU345">
            <v>5967</v>
          </cell>
          <cell r="AV345">
            <v>0</v>
          </cell>
          <cell r="AW345">
            <v>5967</v>
          </cell>
          <cell r="AX345">
            <v>0</v>
          </cell>
          <cell r="AZ345">
            <v>334</v>
          </cell>
          <cell r="BA345">
            <v>244</v>
          </cell>
          <cell r="BB345">
            <v>396</v>
          </cell>
        </row>
        <row r="346">
          <cell r="B346" t="str">
            <v>OPP-562394</v>
          </cell>
          <cell r="C346" t="str">
            <v>NSWCDD Anti-Terrorism/Force Protection</v>
          </cell>
          <cell r="D346" t="str">
            <v>IS4</v>
          </cell>
          <cell r="E346" t="str">
            <v>IS4 Spectrum &amp; Infrastructure Assurance</v>
          </cell>
          <cell r="F346" t="str">
            <v>Navy</v>
          </cell>
          <cell r="G346" t="str">
            <v>DOD</v>
          </cell>
          <cell r="H346">
            <v>44456</v>
          </cell>
          <cell r="I346">
            <v>44487</v>
          </cell>
          <cell r="J346">
            <v>46313</v>
          </cell>
          <cell r="K346" t="str">
            <v>Sub</v>
          </cell>
          <cell r="L346" t="str">
            <v>Cost Plus Fixed Fee</v>
          </cell>
          <cell r="M346" t="str">
            <v>Cost Reimbursable</v>
          </cell>
          <cell r="N346" t="str">
            <v>Identified - New</v>
          </cell>
          <cell r="O346" t="str">
            <v>01 Prospect</v>
          </cell>
          <cell r="P346" t="str">
            <v>Priority 3</v>
          </cell>
          <cell r="Q346">
            <v>0.15</v>
          </cell>
          <cell r="R346">
            <v>1400000</v>
          </cell>
          <cell r="S346">
            <v>0.16</v>
          </cell>
          <cell r="T346">
            <v>0.16</v>
          </cell>
          <cell r="U346">
            <v>0.16</v>
          </cell>
          <cell r="V346">
            <v>0.16</v>
          </cell>
          <cell r="W346">
            <v>0.16</v>
          </cell>
          <cell r="X346">
            <v>6.8000000000000005E-2</v>
          </cell>
          <cell r="Y346">
            <v>6.8000000000000005E-2</v>
          </cell>
          <cell r="Z346">
            <v>6.8000000000000005E-2</v>
          </cell>
          <cell r="AA346">
            <v>6.8000000000000005E-2</v>
          </cell>
          <cell r="AB346">
            <v>6.8000000000000005E-2</v>
          </cell>
          <cell r="AC346">
            <v>280000</v>
          </cell>
          <cell r="AD346">
            <v>0</v>
          </cell>
          <cell r="AE346">
            <v>0</v>
          </cell>
          <cell r="AF346">
            <v>0</v>
          </cell>
          <cell r="AG346">
            <v>39900</v>
          </cell>
          <cell r="AH346">
            <v>42000</v>
          </cell>
          <cell r="AI346">
            <v>0</v>
          </cell>
          <cell r="AJ346">
            <v>0</v>
          </cell>
          <cell r="AK346">
            <v>0</v>
          </cell>
          <cell r="AL346">
            <v>6384</v>
          </cell>
          <cell r="AM346">
            <v>6720</v>
          </cell>
          <cell r="AN346">
            <v>0</v>
          </cell>
          <cell r="AO346">
            <v>0</v>
          </cell>
          <cell r="AP346">
            <v>0</v>
          </cell>
          <cell r="AQ346">
            <v>2713.2000000000003</v>
          </cell>
          <cell r="AR346">
            <v>2856</v>
          </cell>
          <cell r="AT346" t="str">
            <v>OPP-562394 - Identified - New - IS4</v>
          </cell>
          <cell r="AU346">
            <v>5569.2000000000007</v>
          </cell>
          <cell r="AV346">
            <v>0</v>
          </cell>
          <cell r="AW346">
            <v>5569.2000000000007</v>
          </cell>
          <cell r="AX346">
            <v>0</v>
          </cell>
          <cell r="AZ346">
            <v>335</v>
          </cell>
          <cell r="BA346">
            <v>245</v>
          </cell>
          <cell r="BB346">
            <v>397</v>
          </cell>
        </row>
        <row r="347">
          <cell r="B347" t="str">
            <v>OPP-760466</v>
          </cell>
          <cell r="C347" t="str">
            <v>TIES CATS</v>
          </cell>
          <cell r="D347" t="str">
            <v>IS4</v>
          </cell>
          <cell r="E347" t="str">
            <v>IS4 Spectrum &amp; Infrastructure Assurance</v>
          </cell>
          <cell r="F347" t="str">
            <v>Intercompany</v>
          </cell>
          <cell r="G347" t="str">
            <v>Intercompany</v>
          </cell>
          <cell r="H347">
            <v>43770</v>
          </cell>
          <cell r="I347">
            <v>43801</v>
          </cell>
          <cell r="J347">
            <v>44897</v>
          </cell>
          <cell r="K347" t="str">
            <v>Sub</v>
          </cell>
          <cell r="L347" t="str">
            <v>Hybrid/Mixed Cost-Plus/Fixed</v>
          </cell>
          <cell r="M347" t="str">
            <v>Other</v>
          </cell>
          <cell r="N347" t="str">
            <v>Identified - New</v>
          </cell>
          <cell r="O347" t="str">
            <v>04 Submitted</v>
          </cell>
          <cell r="P347" t="str">
            <v>Priority 3</v>
          </cell>
          <cell r="Q347">
            <v>0.25</v>
          </cell>
          <cell r="R347">
            <v>1000000</v>
          </cell>
          <cell r="S347">
            <v>0.182</v>
          </cell>
          <cell r="T347">
            <v>0.182</v>
          </cell>
          <cell r="U347">
            <v>0.183</v>
          </cell>
          <cell r="V347">
            <v>0.185</v>
          </cell>
          <cell r="W347">
            <v>0.19</v>
          </cell>
          <cell r="X347">
            <v>0.09</v>
          </cell>
          <cell r="Y347">
            <v>0.09</v>
          </cell>
          <cell r="Z347">
            <v>9.0999999999999998E-2</v>
          </cell>
          <cell r="AA347">
            <v>9.2999999999999999E-2</v>
          </cell>
          <cell r="AB347">
            <v>9.8000000000000004E-2</v>
          </cell>
          <cell r="AC347">
            <v>333333.33333333331</v>
          </cell>
          <cell r="AD347">
            <v>0</v>
          </cell>
          <cell r="AE347">
            <v>68981.481481481474</v>
          </cell>
          <cell r="AF347">
            <v>83333.333333333328</v>
          </cell>
          <cell r="AG347">
            <v>83333.333333333328</v>
          </cell>
          <cell r="AH347">
            <v>14351.851851851854</v>
          </cell>
          <cell r="AI347">
            <v>0</v>
          </cell>
          <cell r="AJ347">
            <v>12554.629629629628</v>
          </cell>
          <cell r="AK347">
            <v>15249.999999999998</v>
          </cell>
          <cell r="AL347">
            <v>15416.666666666666</v>
          </cell>
          <cell r="AM347">
            <v>2726.8518518518522</v>
          </cell>
          <cell r="AN347">
            <v>0</v>
          </cell>
          <cell r="AO347">
            <v>6208.3333333333321</v>
          </cell>
          <cell r="AP347">
            <v>7583.333333333333</v>
          </cell>
          <cell r="AQ347">
            <v>7749.9999999999991</v>
          </cell>
          <cell r="AR347">
            <v>1406.4814814814818</v>
          </cell>
          <cell r="AT347" t="str">
            <v>OPP-760466 - Identified - New - IS4</v>
          </cell>
          <cell r="AU347">
            <v>22948.148148148146</v>
          </cell>
          <cell r="AV347">
            <v>0</v>
          </cell>
          <cell r="AW347">
            <v>22948.148148148146</v>
          </cell>
          <cell r="AX347">
            <v>0</v>
          </cell>
          <cell r="AZ347">
            <v>336</v>
          </cell>
          <cell r="BA347">
            <v>228</v>
          </cell>
          <cell r="BB347">
            <v>398</v>
          </cell>
        </row>
        <row r="348">
          <cell r="B348" t="str">
            <v>OPP-938967</v>
          </cell>
          <cell r="C348" t="str">
            <v>MS - TPSS Task Orders FY19</v>
          </cell>
          <cell r="D348" t="str">
            <v>IS4</v>
          </cell>
          <cell r="E348" t="str">
            <v>IS4 Spectrum &amp; Infrastructure Assurance</v>
          </cell>
          <cell r="F348" t="str">
            <v>Army</v>
          </cell>
          <cell r="G348" t="str">
            <v>DOD</v>
          </cell>
          <cell r="H348">
            <v>43738</v>
          </cell>
          <cell r="I348">
            <v>43739</v>
          </cell>
          <cell r="J348">
            <v>44105</v>
          </cell>
          <cell r="K348" t="str">
            <v>Prime</v>
          </cell>
          <cell r="L348" t="str">
            <v>Fixed Price</v>
          </cell>
          <cell r="M348" t="str">
            <v>Fixed Price</v>
          </cell>
          <cell r="N348" t="str">
            <v>Identified - New</v>
          </cell>
          <cell r="O348" t="str">
            <v>01 Prospect</v>
          </cell>
          <cell r="P348" t="str">
            <v>Priority 3</v>
          </cell>
          <cell r="Q348">
            <v>0.3</v>
          </cell>
          <cell r="R348">
            <v>10000</v>
          </cell>
          <cell r="S348">
            <v>0.17199999999999999</v>
          </cell>
          <cell r="T348">
            <v>0.17199999999999999</v>
          </cell>
          <cell r="U348">
            <v>0.17299999999999999</v>
          </cell>
          <cell r="V348">
            <v>0.17499999999999999</v>
          </cell>
          <cell r="W348">
            <v>0.18</v>
          </cell>
          <cell r="X348">
            <v>0.08</v>
          </cell>
          <cell r="Y348">
            <v>0.08</v>
          </cell>
          <cell r="Z348">
            <v>8.1000000000000003E-2</v>
          </cell>
          <cell r="AA348">
            <v>8.3000000000000004E-2</v>
          </cell>
          <cell r="AB348">
            <v>8.8000000000000009E-2</v>
          </cell>
          <cell r="AC348">
            <v>10000</v>
          </cell>
          <cell r="AD348">
            <v>0</v>
          </cell>
          <cell r="AE348">
            <v>2991.6666666666665</v>
          </cell>
          <cell r="AF348">
            <v>8.3333333333334849</v>
          </cell>
          <cell r="AG348">
            <v>0</v>
          </cell>
          <cell r="AH348">
            <v>0</v>
          </cell>
          <cell r="AI348">
            <v>0</v>
          </cell>
          <cell r="AJ348">
            <v>514.56666666666661</v>
          </cell>
          <cell r="AK348">
            <v>1.4416666666666929</v>
          </cell>
          <cell r="AL348">
            <v>0</v>
          </cell>
          <cell r="AM348">
            <v>0</v>
          </cell>
          <cell r="AN348">
            <v>0</v>
          </cell>
          <cell r="AO348">
            <v>239.33333333333331</v>
          </cell>
          <cell r="AP348">
            <v>0.67500000000001226</v>
          </cell>
          <cell r="AQ348">
            <v>0</v>
          </cell>
          <cell r="AR348">
            <v>0</v>
          </cell>
          <cell r="AT348" t="str">
            <v>OPP-938967 - Identified - New - IS4</v>
          </cell>
          <cell r="AU348">
            <v>240.00833333333333</v>
          </cell>
          <cell r="AV348">
            <v>0</v>
          </cell>
          <cell r="AW348">
            <v>240.00833333333333</v>
          </cell>
          <cell r="AX348">
            <v>0</v>
          </cell>
          <cell r="AZ348">
            <v>337</v>
          </cell>
          <cell r="BA348">
            <v>254</v>
          </cell>
          <cell r="BB348">
            <v>399</v>
          </cell>
        </row>
        <row r="349">
          <cell r="B349" t="str">
            <v>OPP-938972</v>
          </cell>
          <cell r="C349" t="str">
            <v>AF ISSS</v>
          </cell>
          <cell r="D349" t="str">
            <v>IS4</v>
          </cell>
          <cell r="E349" t="str">
            <v>IS4 Spectrum &amp; Infrastructure Assurance</v>
          </cell>
          <cell r="F349" t="str">
            <v>Air Force</v>
          </cell>
          <cell r="G349" t="str">
            <v>DOD</v>
          </cell>
          <cell r="H349">
            <v>43925</v>
          </cell>
          <cell r="I349">
            <v>43952</v>
          </cell>
          <cell r="J349">
            <v>45778</v>
          </cell>
          <cell r="K349" t="str">
            <v>Sub</v>
          </cell>
          <cell r="L349" t="str">
            <v>Fixed Price</v>
          </cell>
          <cell r="M349" t="str">
            <v>Fixed Price</v>
          </cell>
          <cell r="N349" t="str">
            <v>Identified - New</v>
          </cell>
          <cell r="O349" t="str">
            <v>03 Proposal</v>
          </cell>
          <cell r="P349" t="str">
            <v>Priority 3</v>
          </cell>
          <cell r="Q349">
            <v>0.3</v>
          </cell>
          <cell r="R349">
            <v>10000</v>
          </cell>
          <cell r="S349">
            <v>0.17199999999999999</v>
          </cell>
          <cell r="T349">
            <v>0.17199999999999999</v>
          </cell>
          <cell r="U349">
            <v>0.17299999999999999</v>
          </cell>
          <cell r="V349">
            <v>0.17499999999999999</v>
          </cell>
          <cell r="W349">
            <v>0.18</v>
          </cell>
          <cell r="X349">
            <v>0.08</v>
          </cell>
          <cell r="Y349">
            <v>0.08</v>
          </cell>
          <cell r="Z349">
            <v>8.1000000000000003E-2</v>
          </cell>
          <cell r="AA349">
            <v>8.3000000000000004E-2</v>
          </cell>
          <cell r="AB349">
            <v>8.8000000000000009E-2</v>
          </cell>
          <cell r="AC349">
            <v>2000</v>
          </cell>
          <cell r="AD349">
            <v>0</v>
          </cell>
          <cell r="AE349">
            <v>248.33333333333331</v>
          </cell>
          <cell r="AF349">
            <v>600</v>
          </cell>
          <cell r="AG349">
            <v>600</v>
          </cell>
          <cell r="AH349">
            <v>600</v>
          </cell>
          <cell r="AI349">
            <v>0</v>
          </cell>
          <cell r="AJ349">
            <v>42.713333333333324</v>
          </cell>
          <cell r="AK349">
            <v>103.8</v>
          </cell>
          <cell r="AL349">
            <v>105</v>
          </cell>
          <cell r="AM349">
            <v>108</v>
          </cell>
          <cell r="AN349">
            <v>0</v>
          </cell>
          <cell r="AO349">
            <v>19.866666666666667</v>
          </cell>
          <cell r="AP349">
            <v>48.6</v>
          </cell>
          <cell r="AQ349">
            <v>49.800000000000004</v>
          </cell>
          <cell r="AR349">
            <v>52.800000000000004</v>
          </cell>
          <cell r="AT349" t="str">
            <v>OPP-938972 - Identified - New - IS4</v>
          </cell>
          <cell r="AU349">
            <v>171.06666666666669</v>
          </cell>
          <cell r="AV349">
            <v>0</v>
          </cell>
          <cell r="AW349">
            <v>171.06666666666669</v>
          </cell>
          <cell r="AX349">
            <v>0</v>
          </cell>
          <cell r="AZ349">
            <v>338</v>
          </cell>
          <cell r="BA349">
            <v>256</v>
          </cell>
          <cell r="BB349">
            <v>400</v>
          </cell>
        </row>
        <row r="350">
          <cell r="B350" t="str">
            <v>OPP-923199</v>
          </cell>
          <cell r="C350" t="str">
            <v>SOF Core Services Support</v>
          </cell>
          <cell r="D350" t="str">
            <v>IS4</v>
          </cell>
          <cell r="E350" t="str">
            <v>IS4 Spectrum &amp; Infrastructure Assurance</v>
          </cell>
          <cell r="F350" t="str">
            <v>Other DOD</v>
          </cell>
          <cell r="G350" t="str">
            <v>DOD</v>
          </cell>
          <cell r="H350">
            <v>43900</v>
          </cell>
          <cell r="I350">
            <v>43955</v>
          </cell>
          <cell r="J350">
            <v>47607</v>
          </cell>
          <cell r="K350" t="str">
            <v>Sub</v>
          </cell>
          <cell r="L350" t="str">
            <v>Cost Plus Fixed Fee; Fixed Price; Labor Hour; T&amp;M</v>
          </cell>
          <cell r="M350" t="str">
            <v>Cost Reimbursable</v>
          </cell>
          <cell r="N350" t="str">
            <v>Identified - New</v>
          </cell>
          <cell r="O350" t="str">
            <v>03 Proposal</v>
          </cell>
          <cell r="P350" t="str">
            <v>Priority 3</v>
          </cell>
          <cell r="Q350">
            <v>0.3</v>
          </cell>
          <cell r="R350">
            <v>10000</v>
          </cell>
          <cell r="S350">
            <v>0.16</v>
          </cell>
          <cell r="T350">
            <v>0.16</v>
          </cell>
          <cell r="U350">
            <v>0.16</v>
          </cell>
          <cell r="V350">
            <v>0.16</v>
          </cell>
          <cell r="W350">
            <v>0.16</v>
          </cell>
          <cell r="X350">
            <v>6.8000000000000005E-2</v>
          </cell>
          <cell r="Y350">
            <v>6.8000000000000005E-2</v>
          </cell>
          <cell r="Z350">
            <v>6.8000000000000005E-2</v>
          </cell>
          <cell r="AA350">
            <v>6.8000000000000005E-2</v>
          </cell>
          <cell r="AB350">
            <v>6.8000000000000005E-2</v>
          </cell>
          <cell r="AC350">
            <v>1000</v>
          </cell>
          <cell r="AD350">
            <v>0</v>
          </cell>
          <cell r="AE350">
            <v>121.66666666666666</v>
          </cell>
          <cell r="AF350">
            <v>300</v>
          </cell>
          <cell r="AG350">
            <v>300</v>
          </cell>
          <cell r="AH350">
            <v>300</v>
          </cell>
          <cell r="AI350">
            <v>0</v>
          </cell>
          <cell r="AJ350">
            <v>19.466666666666665</v>
          </cell>
          <cell r="AK350">
            <v>48</v>
          </cell>
          <cell r="AL350">
            <v>48</v>
          </cell>
          <cell r="AM350">
            <v>48</v>
          </cell>
          <cell r="AN350">
            <v>0</v>
          </cell>
          <cell r="AO350">
            <v>8.2733333333333334</v>
          </cell>
          <cell r="AP350">
            <v>20.400000000000002</v>
          </cell>
          <cell r="AQ350">
            <v>20.400000000000002</v>
          </cell>
          <cell r="AR350">
            <v>20.400000000000002</v>
          </cell>
          <cell r="AT350" t="str">
            <v>OPP-923199 - Identified - New - IS4</v>
          </cell>
          <cell r="AU350">
            <v>69.473333333333343</v>
          </cell>
          <cell r="AV350">
            <v>0</v>
          </cell>
          <cell r="AW350">
            <v>69.473333333333343</v>
          </cell>
          <cell r="AX350">
            <v>0</v>
          </cell>
          <cell r="AZ350">
            <v>339</v>
          </cell>
          <cell r="BA350">
            <v>272</v>
          </cell>
          <cell r="BB350">
            <v>401</v>
          </cell>
        </row>
        <row r="351">
          <cell r="B351" t="str">
            <v>OPP-873136</v>
          </cell>
          <cell r="C351" t="str">
            <v>NSWC Crane Omnibus BD</v>
          </cell>
          <cell r="D351" t="str">
            <v>IS4</v>
          </cell>
          <cell r="E351" t="str">
            <v>IS4 Spectrum &amp; Infrastructure Assurance</v>
          </cell>
          <cell r="F351" t="str">
            <v>Navy</v>
          </cell>
          <cell r="G351" t="str">
            <v>DOD</v>
          </cell>
          <cell r="H351">
            <v>44333</v>
          </cell>
          <cell r="I351">
            <v>44361</v>
          </cell>
          <cell r="J351">
            <v>46187</v>
          </cell>
          <cell r="K351" t="str">
            <v>Prime</v>
          </cell>
          <cell r="L351" t="str">
            <v>Cost Plus Fixed Fee</v>
          </cell>
          <cell r="M351" t="str">
            <v>Cost Reimbursable</v>
          </cell>
          <cell r="N351" t="str">
            <v>Identified - New</v>
          </cell>
          <cell r="O351" t="str">
            <v>01 Prospect</v>
          </cell>
          <cell r="P351" t="str">
            <v>Priority 3</v>
          </cell>
          <cell r="Q351">
            <v>0.3</v>
          </cell>
          <cell r="R351">
            <v>10000</v>
          </cell>
          <cell r="S351">
            <v>0.16</v>
          </cell>
          <cell r="T351">
            <v>0.16</v>
          </cell>
          <cell r="U351">
            <v>0.16</v>
          </cell>
          <cell r="V351">
            <v>0.16</v>
          </cell>
          <cell r="W351">
            <v>0.16</v>
          </cell>
          <cell r="X351">
            <v>6.8000000000000005E-2</v>
          </cell>
          <cell r="Y351">
            <v>6.8000000000000005E-2</v>
          </cell>
          <cell r="Z351">
            <v>6.8000000000000005E-2</v>
          </cell>
          <cell r="AA351">
            <v>6.8000000000000005E-2</v>
          </cell>
          <cell r="AB351">
            <v>6.8000000000000005E-2</v>
          </cell>
          <cell r="AC351">
            <v>2000</v>
          </cell>
          <cell r="AD351">
            <v>0</v>
          </cell>
          <cell r="AE351">
            <v>0</v>
          </cell>
          <cell r="AF351">
            <v>176.66666666666666</v>
          </cell>
          <cell r="AG351">
            <v>600</v>
          </cell>
          <cell r="AH351">
            <v>600</v>
          </cell>
          <cell r="AI351">
            <v>0</v>
          </cell>
          <cell r="AJ351">
            <v>0</v>
          </cell>
          <cell r="AK351">
            <v>28.266666666666666</v>
          </cell>
          <cell r="AL351">
            <v>96</v>
          </cell>
          <cell r="AM351">
            <v>96</v>
          </cell>
          <cell r="AN351">
            <v>0</v>
          </cell>
          <cell r="AO351">
            <v>0</v>
          </cell>
          <cell r="AP351">
            <v>12.013333333333334</v>
          </cell>
          <cell r="AQ351">
            <v>40.800000000000004</v>
          </cell>
          <cell r="AR351">
            <v>40.800000000000004</v>
          </cell>
          <cell r="AT351" t="str">
            <v>OPP-873136 - Identified - New - IS4</v>
          </cell>
          <cell r="AU351">
            <v>93.613333333333344</v>
          </cell>
          <cell r="AV351">
            <v>0</v>
          </cell>
          <cell r="AW351">
            <v>93.613333333333344</v>
          </cell>
          <cell r="AX351">
            <v>0</v>
          </cell>
          <cell r="AZ351">
            <v>340</v>
          </cell>
          <cell r="BA351">
            <v>266</v>
          </cell>
          <cell r="BB351">
            <v>402</v>
          </cell>
        </row>
        <row r="352">
          <cell r="B352" t="str">
            <v>OPP-749935</v>
          </cell>
          <cell r="C352" t="str">
            <v>SWRMC Product Line Support</v>
          </cell>
          <cell r="D352" t="str">
            <v>IS4</v>
          </cell>
          <cell r="E352" t="str">
            <v>IS4 Sustainment Engineering and Acquisition</v>
          </cell>
          <cell r="F352" t="str">
            <v>Navy</v>
          </cell>
          <cell r="G352" t="str">
            <v>DOD</v>
          </cell>
          <cell r="H352">
            <v>43798</v>
          </cell>
          <cell r="I352">
            <v>43891</v>
          </cell>
          <cell r="J352">
            <v>45717</v>
          </cell>
          <cell r="K352" t="str">
            <v>Sub</v>
          </cell>
          <cell r="L352" t="str">
            <v>Cost Plus Fixed Fee; T&amp;M</v>
          </cell>
          <cell r="M352" t="str">
            <v>Cost Reimbursable</v>
          </cell>
          <cell r="N352" t="str">
            <v>Identified - New</v>
          </cell>
          <cell r="O352" t="str">
            <v>03 Proposal</v>
          </cell>
          <cell r="P352" t="str">
            <v>Priority 3</v>
          </cell>
          <cell r="Q352">
            <v>0.5</v>
          </cell>
          <cell r="R352">
            <v>80000000</v>
          </cell>
          <cell r="S352">
            <v>0.16</v>
          </cell>
          <cell r="T352">
            <v>0.16</v>
          </cell>
          <cell r="U352">
            <v>0.16</v>
          </cell>
          <cell r="V352">
            <v>0.16</v>
          </cell>
          <cell r="W352">
            <v>0.16</v>
          </cell>
          <cell r="X352">
            <v>6.8000000000000005E-2</v>
          </cell>
          <cell r="Y352">
            <v>6.8000000000000005E-2</v>
          </cell>
          <cell r="Z352">
            <v>6.8000000000000005E-2</v>
          </cell>
          <cell r="AA352">
            <v>6.8000000000000005E-2</v>
          </cell>
          <cell r="AB352">
            <v>6.8000000000000005E-2</v>
          </cell>
          <cell r="AC352">
            <v>16000000</v>
          </cell>
          <cell r="AD352">
            <v>0</v>
          </cell>
          <cell r="AE352">
            <v>4644444.444444445</v>
          </cell>
          <cell r="AF352">
            <v>8000000</v>
          </cell>
          <cell r="AG352">
            <v>8000000</v>
          </cell>
          <cell r="AH352">
            <v>8000000</v>
          </cell>
          <cell r="AI352">
            <v>0</v>
          </cell>
          <cell r="AJ352">
            <v>743111.11111111124</v>
          </cell>
          <cell r="AK352">
            <v>1280000</v>
          </cell>
          <cell r="AL352">
            <v>1280000</v>
          </cell>
          <cell r="AM352">
            <v>1280000</v>
          </cell>
          <cell r="AN352">
            <v>0</v>
          </cell>
          <cell r="AO352">
            <v>315822.22222222231</v>
          </cell>
          <cell r="AP352">
            <v>544000</v>
          </cell>
          <cell r="AQ352">
            <v>544000</v>
          </cell>
          <cell r="AR352">
            <v>544000</v>
          </cell>
          <cell r="AT352" t="str">
            <v>OPP-749935 - Identified - New - IS4</v>
          </cell>
          <cell r="AU352">
            <v>1947822.2222222222</v>
          </cell>
          <cell r="AV352">
            <v>0</v>
          </cell>
          <cell r="AW352">
            <v>1947822.2222222222</v>
          </cell>
          <cell r="AX352">
            <v>0</v>
          </cell>
          <cell r="AZ352">
            <v>341</v>
          </cell>
          <cell r="BA352">
            <v>15</v>
          </cell>
          <cell r="BB352">
            <v>403</v>
          </cell>
        </row>
        <row r="353">
          <cell r="B353" t="str">
            <v>OPP-621644</v>
          </cell>
          <cell r="C353" t="str">
            <v>Engineering and Marine Services for NSWCCDDN (BIM)</v>
          </cell>
          <cell r="D353" t="str">
            <v>IS4</v>
          </cell>
          <cell r="E353" t="str">
            <v>IS4 Sustainment Engineering and Acquisition</v>
          </cell>
          <cell r="F353" t="str">
            <v>Navy</v>
          </cell>
          <cell r="G353" t="str">
            <v>DOD</v>
          </cell>
          <cell r="H353">
            <v>43798</v>
          </cell>
          <cell r="I353">
            <v>43864</v>
          </cell>
          <cell r="J353">
            <v>45691</v>
          </cell>
          <cell r="K353" t="str">
            <v>Prime</v>
          </cell>
          <cell r="L353" t="str">
            <v>Cost Plus Fixed Fee</v>
          </cell>
          <cell r="M353" t="str">
            <v>Cost Reimbursable</v>
          </cell>
          <cell r="N353" t="str">
            <v>Identified - New</v>
          </cell>
          <cell r="O353" t="str">
            <v>02 Capture</v>
          </cell>
          <cell r="P353" t="str">
            <v>Priority 3</v>
          </cell>
          <cell r="Q353">
            <v>0.25</v>
          </cell>
          <cell r="R353">
            <v>48000000</v>
          </cell>
          <cell r="S353">
            <v>0.16</v>
          </cell>
          <cell r="T353">
            <v>0.16</v>
          </cell>
          <cell r="U353">
            <v>0.16</v>
          </cell>
          <cell r="V353">
            <v>0.16</v>
          </cell>
          <cell r="W353">
            <v>0.16</v>
          </cell>
          <cell r="X353">
            <v>6.8000000000000005E-2</v>
          </cell>
          <cell r="Y353">
            <v>6.8000000000000005E-2</v>
          </cell>
          <cell r="Z353">
            <v>6.8000000000000005E-2</v>
          </cell>
          <cell r="AA353">
            <v>6.8000000000000005E-2</v>
          </cell>
          <cell r="AB353">
            <v>6.8000000000000005E-2</v>
          </cell>
          <cell r="AC353">
            <v>9600000</v>
          </cell>
          <cell r="AD353">
            <v>0</v>
          </cell>
          <cell r="AE353">
            <v>1580000</v>
          </cell>
          <cell r="AF353">
            <v>2400000</v>
          </cell>
          <cell r="AG353">
            <v>2400000</v>
          </cell>
          <cell r="AH353">
            <v>2400000</v>
          </cell>
          <cell r="AI353">
            <v>0</v>
          </cell>
          <cell r="AJ353">
            <v>252800</v>
          </cell>
          <cell r="AK353">
            <v>384000</v>
          </cell>
          <cell r="AL353">
            <v>384000</v>
          </cell>
          <cell r="AM353">
            <v>384000</v>
          </cell>
          <cell r="AN353">
            <v>0</v>
          </cell>
          <cell r="AO353">
            <v>107440.00000000001</v>
          </cell>
          <cell r="AP353">
            <v>163200</v>
          </cell>
          <cell r="AQ353">
            <v>163200</v>
          </cell>
          <cell r="AR353">
            <v>163200</v>
          </cell>
          <cell r="AT353" t="str">
            <v>OPP-621644 - Identified - New - IS4</v>
          </cell>
          <cell r="AU353">
            <v>597040</v>
          </cell>
          <cell r="AV353">
            <v>0</v>
          </cell>
          <cell r="AW353">
            <v>597040</v>
          </cell>
          <cell r="AX353">
            <v>0</v>
          </cell>
          <cell r="AZ353">
            <v>342</v>
          </cell>
          <cell r="BA353">
            <v>75</v>
          </cell>
          <cell r="BB353">
            <v>404</v>
          </cell>
        </row>
        <row r="354">
          <cell r="B354" t="str">
            <v>OPP-579562</v>
          </cell>
          <cell r="C354" t="str">
            <v>NAVSEA PMS 500 Professional Support Services</v>
          </cell>
          <cell r="D354" t="str">
            <v>IS4</v>
          </cell>
          <cell r="E354" t="str">
            <v>IS4 Sustainment Engineering and Acquisition</v>
          </cell>
          <cell r="F354" t="str">
            <v>Navy</v>
          </cell>
          <cell r="G354" t="str">
            <v>DOD</v>
          </cell>
          <cell r="H354">
            <v>43759</v>
          </cell>
          <cell r="I354">
            <v>43878</v>
          </cell>
          <cell r="J354">
            <v>45705</v>
          </cell>
          <cell r="K354" t="str">
            <v>Sub</v>
          </cell>
          <cell r="L354" t="str">
            <v>Cost Plus Fixed Fee</v>
          </cell>
          <cell r="M354" t="str">
            <v>Cost Reimbursable</v>
          </cell>
          <cell r="N354" t="str">
            <v>Identified - New</v>
          </cell>
          <cell r="O354" t="str">
            <v>04 Submitted</v>
          </cell>
          <cell r="P354" t="str">
            <v>Priority 3</v>
          </cell>
          <cell r="Q354">
            <v>0.5</v>
          </cell>
          <cell r="R354">
            <v>35000000</v>
          </cell>
          <cell r="S354">
            <v>0.16</v>
          </cell>
          <cell r="T354">
            <v>0.16</v>
          </cell>
          <cell r="U354">
            <v>0.16</v>
          </cell>
          <cell r="V354">
            <v>0.16</v>
          </cell>
          <cell r="W354">
            <v>0.16</v>
          </cell>
          <cell r="X354">
            <v>6.8000000000000005E-2</v>
          </cell>
          <cell r="Y354">
            <v>6.8000000000000005E-2</v>
          </cell>
          <cell r="Z354">
            <v>6.8000000000000005E-2</v>
          </cell>
          <cell r="AA354">
            <v>6.8000000000000005E-2</v>
          </cell>
          <cell r="AB354">
            <v>6.8000000000000005E-2</v>
          </cell>
          <cell r="AC354">
            <v>7000000</v>
          </cell>
          <cell r="AD354">
            <v>0</v>
          </cell>
          <cell r="AE354">
            <v>2168055.5555555555</v>
          </cell>
          <cell r="AF354">
            <v>3500000</v>
          </cell>
          <cell r="AG354">
            <v>3500000</v>
          </cell>
          <cell r="AH354">
            <v>3500000</v>
          </cell>
          <cell r="AI354">
            <v>0</v>
          </cell>
          <cell r="AJ354">
            <v>346888.88888888888</v>
          </cell>
          <cell r="AK354">
            <v>560000</v>
          </cell>
          <cell r="AL354">
            <v>560000</v>
          </cell>
          <cell r="AM354">
            <v>560000</v>
          </cell>
          <cell r="AN354">
            <v>0</v>
          </cell>
          <cell r="AO354">
            <v>147427.77777777778</v>
          </cell>
          <cell r="AP354">
            <v>238000.00000000003</v>
          </cell>
          <cell r="AQ354">
            <v>238000.00000000003</v>
          </cell>
          <cell r="AR354">
            <v>238000.00000000003</v>
          </cell>
          <cell r="AT354" t="str">
            <v>OPP-579562 - Identified - New - IS4</v>
          </cell>
          <cell r="AU354">
            <v>861427.77777777787</v>
          </cell>
          <cell r="AV354">
            <v>0</v>
          </cell>
          <cell r="AW354">
            <v>861427.77777777787</v>
          </cell>
          <cell r="AX354">
            <v>0</v>
          </cell>
          <cell r="AZ354">
            <v>343</v>
          </cell>
          <cell r="BA354">
            <v>57</v>
          </cell>
          <cell r="BB354">
            <v>405</v>
          </cell>
        </row>
        <row r="355">
          <cell r="B355" t="str">
            <v>OPP-800417</v>
          </cell>
          <cell r="C355" t="str">
            <v>NAVY MARITIME MAINTENANCE ENTERPRISE SOLUTION TECHNICAL REFRESH (NMMES-TR)</v>
          </cell>
          <cell r="D355" t="str">
            <v>IS4</v>
          </cell>
          <cell r="E355" t="str">
            <v>IS4 Sustainment Engineering and Acquisition</v>
          </cell>
          <cell r="F355" t="str">
            <v>Navy</v>
          </cell>
          <cell r="G355" t="str">
            <v>DOD</v>
          </cell>
          <cell r="H355">
            <v>43809</v>
          </cell>
          <cell r="I355">
            <v>43850</v>
          </cell>
          <cell r="J355">
            <v>44946</v>
          </cell>
          <cell r="K355" t="str">
            <v>Sub</v>
          </cell>
          <cell r="L355" t="str">
            <v>Cost Plus Fixed Fee</v>
          </cell>
          <cell r="M355" t="str">
            <v>Cost Reimbursable</v>
          </cell>
          <cell r="N355" t="str">
            <v>Identified - New</v>
          </cell>
          <cell r="O355" t="str">
            <v>02 Capture</v>
          </cell>
          <cell r="P355" t="str">
            <v>Priority 3</v>
          </cell>
          <cell r="Q355">
            <v>0.5</v>
          </cell>
          <cell r="R355">
            <v>30000000</v>
          </cell>
          <cell r="S355">
            <v>0.16</v>
          </cell>
          <cell r="T355">
            <v>0.16</v>
          </cell>
          <cell r="U355">
            <v>0.16</v>
          </cell>
          <cell r="V355">
            <v>0.16</v>
          </cell>
          <cell r="W355">
            <v>0.16</v>
          </cell>
          <cell r="X355">
            <v>6.8000000000000005E-2</v>
          </cell>
          <cell r="Y355">
            <v>6.8000000000000005E-2</v>
          </cell>
          <cell r="Z355">
            <v>6.8000000000000005E-2</v>
          </cell>
          <cell r="AA355">
            <v>6.8000000000000005E-2</v>
          </cell>
          <cell r="AB355">
            <v>6.8000000000000005E-2</v>
          </cell>
          <cell r="AC355">
            <v>10000000</v>
          </cell>
          <cell r="AD355">
            <v>0</v>
          </cell>
          <cell r="AE355">
            <v>3472222.222222222</v>
          </cell>
          <cell r="AF355">
            <v>5000000</v>
          </cell>
          <cell r="AG355">
            <v>5000000</v>
          </cell>
          <cell r="AH355">
            <v>1527777.777777778</v>
          </cell>
          <cell r="AI355">
            <v>0</v>
          </cell>
          <cell r="AJ355">
            <v>555555.5555555555</v>
          </cell>
          <cell r="AK355">
            <v>800000</v>
          </cell>
          <cell r="AL355">
            <v>800000</v>
          </cell>
          <cell r="AM355">
            <v>244444.4444444445</v>
          </cell>
          <cell r="AN355">
            <v>0</v>
          </cell>
          <cell r="AO355">
            <v>236111.11111111112</v>
          </cell>
          <cell r="AP355">
            <v>340000</v>
          </cell>
          <cell r="AQ355">
            <v>340000</v>
          </cell>
          <cell r="AR355">
            <v>103888.88888888891</v>
          </cell>
          <cell r="AT355" t="str">
            <v>OPP-800417 - Identified - New - IS4</v>
          </cell>
          <cell r="AU355">
            <v>1020000</v>
          </cell>
          <cell r="AV355">
            <v>0</v>
          </cell>
          <cell r="AW355">
            <v>1020000</v>
          </cell>
          <cell r="AX355">
            <v>0</v>
          </cell>
          <cell r="AZ355">
            <v>344</v>
          </cell>
          <cell r="BA355">
            <v>46</v>
          </cell>
          <cell r="BB355">
            <v>406</v>
          </cell>
        </row>
        <row r="356">
          <cell r="B356" t="str">
            <v>OPP-791922</v>
          </cell>
          <cell r="C356" t="str">
            <v>PEO USC Mission Module Professional Support Services</v>
          </cell>
          <cell r="D356" t="str">
            <v>IS4</v>
          </cell>
          <cell r="E356" t="str">
            <v>IS4 Sustainment Engineering and Acquisition</v>
          </cell>
          <cell r="F356" t="str">
            <v>Navy</v>
          </cell>
          <cell r="G356" t="str">
            <v>DOD</v>
          </cell>
          <cell r="H356">
            <v>44004</v>
          </cell>
          <cell r="I356">
            <v>44130</v>
          </cell>
          <cell r="J356">
            <v>45956</v>
          </cell>
          <cell r="K356" t="str">
            <v>Sub</v>
          </cell>
          <cell r="L356" t="str">
            <v>Cost Plus Fixed Fee</v>
          </cell>
          <cell r="M356" t="str">
            <v>Cost Reimbursable</v>
          </cell>
          <cell r="N356" t="str">
            <v>Identified - New</v>
          </cell>
          <cell r="O356" t="str">
            <v>01 Prospect</v>
          </cell>
          <cell r="P356" t="str">
            <v>Priority 3</v>
          </cell>
          <cell r="Q356">
            <v>0.25</v>
          </cell>
          <cell r="R356">
            <v>30000000</v>
          </cell>
          <cell r="S356">
            <v>0.16</v>
          </cell>
          <cell r="T356">
            <v>0.16</v>
          </cell>
          <cell r="U356">
            <v>0.16</v>
          </cell>
          <cell r="V356">
            <v>0.16</v>
          </cell>
          <cell r="W356">
            <v>0.16</v>
          </cell>
          <cell r="X356">
            <v>6.8000000000000005E-2</v>
          </cell>
          <cell r="Y356">
            <v>6.8000000000000005E-2</v>
          </cell>
          <cell r="Z356">
            <v>6.8000000000000005E-2</v>
          </cell>
          <cell r="AA356">
            <v>6.8000000000000005E-2</v>
          </cell>
          <cell r="AB356">
            <v>6.8000000000000005E-2</v>
          </cell>
          <cell r="AC356">
            <v>6000000</v>
          </cell>
          <cell r="AD356">
            <v>0</v>
          </cell>
          <cell r="AE356">
            <v>0</v>
          </cell>
          <cell r="AF356">
            <v>1391666.6666666667</v>
          </cell>
          <cell r="AG356">
            <v>1500000</v>
          </cell>
          <cell r="AH356">
            <v>1500000</v>
          </cell>
          <cell r="AI356">
            <v>0</v>
          </cell>
          <cell r="AJ356">
            <v>0</v>
          </cell>
          <cell r="AK356">
            <v>222666.66666666669</v>
          </cell>
          <cell r="AL356">
            <v>240000</v>
          </cell>
          <cell r="AM356">
            <v>240000</v>
          </cell>
          <cell r="AN356">
            <v>0</v>
          </cell>
          <cell r="AO356">
            <v>0</v>
          </cell>
          <cell r="AP356">
            <v>94633.333333333343</v>
          </cell>
          <cell r="AQ356">
            <v>102000.00000000001</v>
          </cell>
          <cell r="AR356">
            <v>102000.00000000001</v>
          </cell>
          <cell r="AT356" t="str">
            <v>OPP-791922 - Identified - New - IS4</v>
          </cell>
          <cell r="AU356">
            <v>298633.33333333337</v>
          </cell>
          <cell r="AV356">
            <v>0</v>
          </cell>
          <cell r="AW356">
            <v>298633.33333333337</v>
          </cell>
          <cell r="AX356">
            <v>0</v>
          </cell>
          <cell r="AZ356">
            <v>345</v>
          </cell>
          <cell r="BA356">
            <v>114</v>
          </cell>
          <cell r="BB356">
            <v>407</v>
          </cell>
        </row>
        <row r="357">
          <cell r="B357" t="str">
            <v>OPP-794033</v>
          </cell>
          <cell r="C357" t="str">
            <v>NNSY Waterfront Support</v>
          </cell>
          <cell r="D357" t="str">
            <v>IS4</v>
          </cell>
          <cell r="E357" t="str">
            <v>IS4 Sustainment Engineering and Acquisition</v>
          </cell>
          <cell r="F357" t="str">
            <v>Navy</v>
          </cell>
          <cell r="G357" t="str">
            <v>DOD</v>
          </cell>
          <cell r="H357">
            <v>43882</v>
          </cell>
          <cell r="I357">
            <v>43917</v>
          </cell>
          <cell r="J357">
            <v>45743</v>
          </cell>
          <cell r="K357" t="str">
            <v>Sub</v>
          </cell>
          <cell r="L357" t="str">
            <v>Cost Plus Fixed Fee</v>
          </cell>
          <cell r="M357" t="str">
            <v>Cost Reimbursable</v>
          </cell>
          <cell r="N357" t="str">
            <v>Identified - New</v>
          </cell>
          <cell r="O357" t="str">
            <v>02 Capture</v>
          </cell>
          <cell r="P357" t="str">
            <v>Priority 3</v>
          </cell>
          <cell r="Q357">
            <v>0.3</v>
          </cell>
          <cell r="R357">
            <v>28000000</v>
          </cell>
          <cell r="S357">
            <v>0.16</v>
          </cell>
          <cell r="T357">
            <v>0.16</v>
          </cell>
          <cell r="U357">
            <v>0.16</v>
          </cell>
          <cell r="V357">
            <v>0.16</v>
          </cell>
          <cell r="W357">
            <v>0.16</v>
          </cell>
          <cell r="X357">
            <v>6.8000000000000005E-2</v>
          </cell>
          <cell r="Y357">
            <v>6.8000000000000005E-2</v>
          </cell>
          <cell r="Z357">
            <v>6.8000000000000005E-2</v>
          </cell>
          <cell r="AA357">
            <v>6.8000000000000005E-2</v>
          </cell>
          <cell r="AB357">
            <v>6.8000000000000005E-2</v>
          </cell>
          <cell r="AC357">
            <v>5600000</v>
          </cell>
          <cell r="AD357">
            <v>0</v>
          </cell>
          <cell r="AE357">
            <v>853999.99999999988</v>
          </cell>
          <cell r="AF357">
            <v>1680000</v>
          </cell>
          <cell r="AG357">
            <v>1680000</v>
          </cell>
          <cell r="AH357">
            <v>1680000</v>
          </cell>
          <cell r="AI357">
            <v>0</v>
          </cell>
          <cell r="AJ357">
            <v>136639.99999999997</v>
          </cell>
          <cell r="AK357">
            <v>268800</v>
          </cell>
          <cell r="AL357">
            <v>268800</v>
          </cell>
          <cell r="AM357">
            <v>268800</v>
          </cell>
          <cell r="AN357">
            <v>0</v>
          </cell>
          <cell r="AO357">
            <v>58071.999999999993</v>
          </cell>
          <cell r="AP357">
            <v>114240.00000000001</v>
          </cell>
          <cell r="AQ357">
            <v>114240.00000000001</v>
          </cell>
          <cell r="AR357">
            <v>114240.00000000001</v>
          </cell>
          <cell r="AT357" t="str">
            <v>OPP-794033 - Identified - New - IS4</v>
          </cell>
          <cell r="AU357">
            <v>400792</v>
          </cell>
          <cell r="AV357">
            <v>0</v>
          </cell>
          <cell r="AW357">
            <v>400792</v>
          </cell>
          <cell r="AX357">
            <v>0</v>
          </cell>
          <cell r="AZ357">
            <v>346</v>
          </cell>
          <cell r="BA357">
            <v>99</v>
          </cell>
          <cell r="BB357">
            <v>408</v>
          </cell>
        </row>
        <row r="358">
          <cell r="B358" t="str">
            <v>OPP-888872</v>
          </cell>
          <cell r="C358" t="str">
            <v>NSWCPHD - Information Technology Support Services</v>
          </cell>
          <cell r="D358" t="str">
            <v>IS4</v>
          </cell>
          <cell r="E358" t="str">
            <v>IS4 Sustainment Engineering and Acquisition</v>
          </cell>
          <cell r="F358" t="str">
            <v>Navy</v>
          </cell>
          <cell r="G358" t="str">
            <v>DOD</v>
          </cell>
          <cell r="H358">
            <v>43749</v>
          </cell>
          <cell r="I358">
            <v>43766</v>
          </cell>
          <cell r="J358">
            <v>44740</v>
          </cell>
          <cell r="K358" t="str">
            <v>Sub</v>
          </cell>
          <cell r="L358" t="str">
            <v>Cost Plus Fixed Fee</v>
          </cell>
          <cell r="M358" t="str">
            <v>Cost Reimbursable</v>
          </cell>
          <cell r="N358" t="str">
            <v>Identified - New</v>
          </cell>
          <cell r="O358" t="str">
            <v>02 Capture</v>
          </cell>
          <cell r="P358" t="str">
            <v>Priority 3</v>
          </cell>
          <cell r="Q358">
            <v>0.3</v>
          </cell>
          <cell r="R358">
            <v>25000000</v>
          </cell>
          <cell r="S358">
            <v>0.16</v>
          </cell>
          <cell r="T358">
            <v>0.16</v>
          </cell>
          <cell r="U358">
            <v>0.16</v>
          </cell>
          <cell r="V358">
            <v>0.16</v>
          </cell>
          <cell r="W358">
            <v>0.16</v>
          </cell>
          <cell r="X358">
            <v>6.8000000000000005E-2</v>
          </cell>
          <cell r="Y358">
            <v>6.8000000000000005E-2</v>
          </cell>
          <cell r="Z358">
            <v>6.8000000000000005E-2</v>
          </cell>
          <cell r="AA358">
            <v>6.8000000000000005E-2</v>
          </cell>
          <cell r="AB358">
            <v>6.8000000000000005E-2</v>
          </cell>
          <cell r="AC358">
            <v>9375000</v>
          </cell>
          <cell r="AD358">
            <v>0</v>
          </cell>
          <cell r="AE358">
            <v>2593750</v>
          </cell>
          <cell r="AF358">
            <v>2812500</v>
          </cell>
          <cell r="AG358">
            <v>2093750</v>
          </cell>
          <cell r="AH358">
            <v>0</v>
          </cell>
          <cell r="AI358">
            <v>0</v>
          </cell>
          <cell r="AJ358">
            <v>415000</v>
          </cell>
          <cell r="AK358">
            <v>450000</v>
          </cell>
          <cell r="AL358">
            <v>335000</v>
          </cell>
          <cell r="AM358">
            <v>0</v>
          </cell>
          <cell r="AN358">
            <v>0</v>
          </cell>
          <cell r="AO358">
            <v>176375</v>
          </cell>
          <cell r="AP358">
            <v>191250</v>
          </cell>
          <cell r="AQ358">
            <v>142375</v>
          </cell>
          <cell r="AR358">
            <v>0</v>
          </cell>
          <cell r="AT358" t="str">
            <v>OPP-888872 - Identified - New - IS4</v>
          </cell>
          <cell r="AU358">
            <v>510000</v>
          </cell>
          <cell r="AV358">
            <v>0</v>
          </cell>
          <cell r="AW358">
            <v>510000</v>
          </cell>
          <cell r="AX358">
            <v>0</v>
          </cell>
          <cell r="AZ358">
            <v>347</v>
          </cell>
          <cell r="BA358">
            <v>82</v>
          </cell>
          <cell r="BB358">
            <v>409</v>
          </cell>
        </row>
        <row r="359">
          <cell r="B359" t="str">
            <v>OPP-767954</v>
          </cell>
          <cell r="C359" t="str">
            <v>NSWCPHD Self Defense Test Ship (SDTS) Remote Control Systems</v>
          </cell>
          <cell r="D359" t="str">
            <v>IS4</v>
          </cell>
          <cell r="E359" t="str">
            <v>IS4 Sustainment Engineering and Acquisition</v>
          </cell>
          <cell r="F359" t="str">
            <v>Navy</v>
          </cell>
          <cell r="G359" t="str">
            <v>DOD</v>
          </cell>
          <cell r="H359">
            <v>43962</v>
          </cell>
          <cell r="I359">
            <v>43994</v>
          </cell>
          <cell r="J359">
            <v>45820</v>
          </cell>
          <cell r="K359" t="str">
            <v>Sub</v>
          </cell>
          <cell r="L359" t="str">
            <v>Cost Plus Award Fee; Cost Plus Incentive Fee</v>
          </cell>
          <cell r="M359" t="str">
            <v>Cost Reimbursable</v>
          </cell>
          <cell r="N359" t="str">
            <v>Identified - New</v>
          </cell>
          <cell r="O359" t="str">
            <v>02 Capture</v>
          </cell>
          <cell r="P359" t="str">
            <v>Priority 3</v>
          </cell>
          <cell r="Q359">
            <v>0.3</v>
          </cell>
          <cell r="R359">
            <v>25000000</v>
          </cell>
          <cell r="S359">
            <v>0.152</v>
          </cell>
          <cell r="T359">
            <v>0.152</v>
          </cell>
          <cell r="U359">
            <v>0.17199999999999999</v>
          </cell>
          <cell r="V359">
            <v>0.17199999999999999</v>
          </cell>
          <cell r="W359">
            <v>0.17199999999999999</v>
          </cell>
          <cell r="X359">
            <v>0.06</v>
          </cell>
          <cell r="Y359">
            <v>0.06</v>
          </cell>
          <cell r="Z359">
            <v>0.08</v>
          </cell>
          <cell r="AA359">
            <v>0.08</v>
          </cell>
          <cell r="AB359">
            <v>0.08</v>
          </cell>
          <cell r="AC359">
            <v>5000000</v>
          </cell>
          <cell r="AD359">
            <v>0</v>
          </cell>
          <cell r="AE359">
            <v>450000</v>
          </cell>
          <cell r="AF359">
            <v>1500000</v>
          </cell>
          <cell r="AG359">
            <v>1500000</v>
          </cell>
          <cell r="AH359">
            <v>1500000</v>
          </cell>
          <cell r="AI359">
            <v>0</v>
          </cell>
          <cell r="AJ359">
            <v>68400</v>
          </cell>
          <cell r="AK359">
            <v>257999.99999999997</v>
          </cell>
          <cell r="AL359">
            <v>257999.99999999997</v>
          </cell>
          <cell r="AM359">
            <v>257999.99999999997</v>
          </cell>
          <cell r="AN359">
            <v>0</v>
          </cell>
          <cell r="AO359">
            <v>27000</v>
          </cell>
          <cell r="AP359">
            <v>120000</v>
          </cell>
          <cell r="AQ359">
            <v>120000</v>
          </cell>
          <cell r="AR359">
            <v>120000</v>
          </cell>
          <cell r="AT359" t="str">
            <v>OPP-767954 - Identified - New - IS4</v>
          </cell>
          <cell r="AU359">
            <v>387000</v>
          </cell>
          <cell r="AV359">
            <v>0</v>
          </cell>
          <cell r="AW359">
            <v>387000</v>
          </cell>
          <cell r="AX359">
            <v>0</v>
          </cell>
          <cell r="AZ359">
            <v>348</v>
          </cell>
          <cell r="BA359">
            <v>103</v>
          </cell>
          <cell r="BB359">
            <v>410</v>
          </cell>
        </row>
        <row r="360">
          <cell r="B360" t="str">
            <v>OPP-762392</v>
          </cell>
          <cell r="C360" t="str">
            <v>NSWC Carderock - Model Design and Fabrication (MDF)</v>
          </cell>
          <cell r="D360" t="str">
            <v>IS4</v>
          </cell>
          <cell r="E360" t="str">
            <v>IS4 Sustainment Engineering and Acquisition</v>
          </cell>
          <cell r="F360" t="str">
            <v>Navy</v>
          </cell>
          <cell r="G360" t="str">
            <v>DOD</v>
          </cell>
          <cell r="H360">
            <v>43770</v>
          </cell>
          <cell r="I360">
            <v>43801</v>
          </cell>
          <cell r="J360">
            <v>45628</v>
          </cell>
          <cell r="K360" t="str">
            <v>Prime</v>
          </cell>
          <cell r="L360" t="str">
            <v>Hybrid/Mixed Cost-Plus/Fixed</v>
          </cell>
          <cell r="M360" t="str">
            <v>Other</v>
          </cell>
          <cell r="N360" t="str">
            <v>Identified - New</v>
          </cell>
          <cell r="O360" t="str">
            <v>02 Capture</v>
          </cell>
          <cell r="P360" t="str">
            <v>Priority 3</v>
          </cell>
          <cell r="Q360">
            <v>0.25</v>
          </cell>
          <cell r="R360">
            <v>24000000</v>
          </cell>
          <cell r="S360">
            <v>0.182</v>
          </cell>
          <cell r="T360">
            <v>0.182</v>
          </cell>
          <cell r="U360">
            <v>0.184</v>
          </cell>
          <cell r="V360">
            <v>0.189</v>
          </cell>
          <cell r="W360">
            <v>0.19400000000000001</v>
          </cell>
          <cell r="X360">
            <v>0.09</v>
          </cell>
          <cell r="Y360">
            <v>0.09</v>
          </cell>
          <cell r="Z360">
            <v>9.1999999999999998E-2</v>
          </cell>
          <cell r="AA360">
            <v>9.7000000000000003E-2</v>
          </cell>
          <cell r="AB360">
            <v>0.10200000000000001</v>
          </cell>
          <cell r="AC360">
            <v>4800000</v>
          </cell>
          <cell r="AD360">
            <v>0</v>
          </cell>
          <cell r="AE360">
            <v>993333.33333333326</v>
          </cell>
          <cell r="AF360">
            <v>1200000</v>
          </cell>
          <cell r="AG360">
            <v>1200000</v>
          </cell>
          <cell r="AH360">
            <v>1200000</v>
          </cell>
          <cell r="AI360">
            <v>0</v>
          </cell>
          <cell r="AJ360">
            <v>180786.66666666666</v>
          </cell>
          <cell r="AK360">
            <v>220800</v>
          </cell>
          <cell r="AL360">
            <v>226800</v>
          </cell>
          <cell r="AM360">
            <v>232800</v>
          </cell>
          <cell r="AN360">
            <v>0</v>
          </cell>
          <cell r="AO360">
            <v>89399.999999999985</v>
          </cell>
          <cell r="AP360">
            <v>110400</v>
          </cell>
          <cell r="AQ360">
            <v>116400</v>
          </cell>
          <cell r="AR360">
            <v>122400.00000000001</v>
          </cell>
          <cell r="AT360" t="str">
            <v>OPP-762392 - Identified - New - IS4</v>
          </cell>
          <cell r="AU360">
            <v>438600</v>
          </cell>
          <cell r="AV360">
            <v>0</v>
          </cell>
          <cell r="AW360">
            <v>438600</v>
          </cell>
          <cell r="AX360">
            <v>0</v>
          </cell>
          <cell r="AZ360">
            <v>349</v>
          </cell>
          <cell r="BA360">
            <v>91</v>
          </cell>
          <cell r="BB360">
            <v>411</v>
          </cell>
        </row>
        <row r="361">
          <cell r="B361" t="str">
            <v>OPP-458805</v>
          </cell>
          <cell r="C361" t="str">
            <v>PEO IWS Support Services for BFM</v>
          </cell>
          <cell r="D361" t="str">
            <v>IS4</v>
          </cell>
          <cell r="E361" t="str">
            <v>IS4 Sustainment Engineering and Acquisition</v>
          </cell>
          <cell r="F361" t="str">
            <v>Navy</v>
          </cell>
          <cell r="G361" t="str">
            <v>DOD</v>
          </cell>
          <cell r="H361">
            <v>43763</v>
          </cell>
          <cell r="I361">
            <v>43885</v>
          </cell>
          <cell r="J361">
            <v>45712</v>
          </cell>
          <cell r="K361" t="str">
            <v>Sub</v>
          </cell>
          <cell r="L361" t="str">
            <v>Cost Plus Fixed Fee</v>
          </cell>
          <cell r="M361" t="str">
            <v>Cost Reimbursable</v>
          </cell>
          <cell r="N361" t="str">
            <v>Identified - New</v>
          </cell>
          <cell r="O361" t="str">
            <v>04 Submitted</v>
          </cell>
          <cell r="P361" t="str">
            <v>Priority 3</v>
          </cell>
          <cell r="Q361">
            <v>0.25</v>
          </cell>
          <cell r="R361">
            <v>24000000</v>
          </cell>
          <cell r="S361">
            <v>0.16</v>
          </cell>
          <cell r="T361">
            <v>0.16</v>
          </cell>
          <cell r="U361">
            <v>0.16</v>
          </cell>
          <cell r="V361">
            <v>0.16</v>
          </cell>
          <cell r="W361">
            <v>0.16</v>
          </cell>
          <cell r="X361">
            <v>6.8000000000000005E-2</v>
          </cell>
          <cell r="Y361">
            <v>6.8000000000000005E-2</v>
          </cell>
          <cell r="Z361">
            <v>6.8000000000000005E-2</v>
          </cell>
          <cell r="AA361">
            <v>6.8000000000000005E-2</v>
          </cell>
          <cell r="AB361">
            <v>6.8000000000000005E-2</v>
          </cell>
          <cell r="AC361">
            <v>4800000</v>
          </cell>
          <cell r="AD361">
            <v>0</v>
          </cell>
          <cell r="AE361">
            <v>720000</v>
          </cell>
          <cell r="AF361">
            <v>1200000</v>
          </cell>
          <cell r="AG361">
            <v>1200000</v>
          </cell>
          <cell r="AH361">
            <v>1200000</v>
          </cell>
          <cell r="AI361">
            <v>0</v>
          </cell>
          <cell r="AJ361">
            <v>115200</v>
          </cell>
          <cell r="AK361">
            <v>192000</v>
          </cell>
          <cell r="AL361">
            <v>192000</v>
          </cell>
          <cell r="AM361">
            <v>192000</v>
          </cell>
          <cell r="AN361">
            <v>0</v>
          </cell>
          <cell r="AO361">
            <v>48960</v>
          </cell>
          <cell r="AP361">
            <v>81600</v>
          </cell>
          <cell r="AQ361">
            <v>81600</v>
          </cell>
          <cell r="AR361">
            <v>81600</v>
          </cell>
          <cell r="AT361" t="str">
            <v>OPP-458805 - Identified - New - IS4</v>
          </cell>
          <cell r="AU361">
            <v>293760</v>
          </cell>
          <cell r="AV361">
            <v>0</v>
          </cell>
          <cell r="AW361">
            <v>293760</v>
          </cell>
          <cell r="AX361">
            <v>0</v>
          </cell>
          <cell r="AZ361">
            <v>350</v>
          </cell>
          <cell r="BA361">
            <v>117</v>
          </cell>
          <cell r="BB361">
            <v>412</v>
          </cell>
        </row>
        <row r="362">
          <cell r="B362" t="str">
            <v>OPP-958066</v>
          </cell>
          <cell r="C362" t="str">
            <v>JOINT STAFF J7 SYSTEMS ENGINEERING AND INFRASTRUCTURE SUPPORT</v>
          </cell>
          <cell r="D362" t="str">
            <v>IS4</v>
          </cell>
          <cell r="E362" t="str">
            <v>IS4 Sustainment Engineering and Acquisition</v>
          </cell>
          <cell r="F362" t="str">
            <v>Navy</v>
          </cell>
          <cell r="G362" t="str">
            <v>DOD</v>
          </cell>
          <cell r="H362">
            <v>43798</v>
          </cell>
          <cell r="I362">
            <v>43826</v>
          </cell>
          <cell r="J362">
            <v>45653</v>
          </cell>
          <cell r="K362" t="str">
            <v>Sub</v>
          </cell>
          <cell r="L362" t="str">
            <v>Cost Plus Fixed Fee</v>
          </cell>
          <cell r="M362" t="str">
            <v>Cost Reimbursable</v>
          </cell>
          <cell r="N362" t="str">
            <v>Identified - New</v>
          </cell>
          <cell r="O362" t="str">
            <v>01 Prospect</v>
          </cell>
          <cell r="P362" t="str">
            <v>Priority 3</v>
          </cell>
          <cell r="Q362">
            <v>0.25</v>
          </cell>
          <cell r="R362">
            <v>20000000</v>
          </cell>
          <cell r="S362">
            <v>0.16</v>
          </cell>
          <cell r="T362">
            <v>0.16</v>
          </cell>
          <cell r="U362">
            <v>0.16</v>
          </cell>
          <cell r="V362">
            <v>0.16</v>
          </cell>
          <cell r="W362">
            <v>0.16</v>
          </cell>
          <cell r="X362">
            <v>6.8000000000000005E-2</v>
          </cell>
          <cell r="Y362">
            <v>6.8000000000000005E-2</v>
          </cell>
          <cell r="Z362">
            <v>6.8000000000000005E-2</v>
          </cell>
          <cell r="AA362">
            <v>6.8000000000000005E-2</v>
          </cell>
          <cell r="AB362">
            <v>6.8000000000000005E-2</v>
          </cell>
          <cell r="AC362">
            <v>4000000</v>
          </cell>
          <cell r="AD362">
            <v>0</v>
          </cell>
          <cell r="AE362">
            <v>758333.33333333326</v>
          </cell>
          <cell r="AF362">
            <v>1000000</v>
          </cell>
          <cell r="AG362">
            <v>1000000</v>
          </cell>
          <cell r="AH362">
            <v>1000000</v>
          </cell>
          <cell r="AI362">
            <v>0</v>
          </cell>
          <cell r="AJ362">
            <v>121333.33333333333</v>
          </cell>
          <cell r="AK362">
            <v>160000</v>
          </cell>
          <cell r="AL362">
            <v>160000</v>
          </cell>
          <cell r="AM362">
            <v>160000</v>
          </cell>
          <cell r="AN362">
            <v>0</v>
          </cell>
          <cell r="AO362">
            <v>51566.666666666664</v>
          </cell>
          <cell r="AP362">
            <v>68000</v>
          </cell>
          <cell r="AQ362">
            <v>68000</v>
          </cell>
          <cell r="AR362">
            <v>68000</v>
          </cell>
          <cell r="AT362" t="str">
            <v>OPP-958066 - Identified - New - IS4</v>
          </cell>
          <cell r="AU362">
            <v>255566.66666666666</v>
          </cell>
          <cell r="AV362">
            <v>0</v>
          </cell>
          <cell r="AW362">
            <v>255566.66666666666</v>
          </cell>
          <cell r="AX362">
            <v>0</v>
          </cell>
          <cell r="AZ362">
            <v>351</v>
          </cell>
          <cell r="BA362">
            <v>122</v>
          </cell>
          <cell r="BB362">
            <v>413</v>
          </cell>
        </row>
        <row r="363">
          <cell r="B363" t="str">
            <v>OPP-919174</v>
          </cell>
          <cell r="C363" t="str">
            <v>Stategic Systems Programs (SSP) Stategic Weapons System (SWS) Training</v>
          </cell>
          <cell r="D363" t="str">
            <v>IS4</v>
          </cell>
          <cell r="E363" t="str">
            <v>IS4 Sustainment Engineering and Acquisition</v>
          </cell>
          <cell r="F363" t="str">
            <v>Navy</v>
          </cell>
          <cell r="G363" t="str">
            <v>DOD</v>
          </cell>
          <cell r="H363">
            <v>43875</v>
          </cell>
          <cell r="I363">
            <v>43892</v>
          </cell>
          <cell r="J363">
            <v>45718</v>
          </cell>
          <cell r="K363" t="str">
            <v>Sub</v>
          </cell>
          <cell r="L363" t="str">
            <v>Cost Plus Fixed Fee</v>
          </cell>
          <cell r="M363" t="str">
            <v>Cost Reimbursable</v>
          </cell>
          <cell r="N363" t="str">
            <v>Identified - New</v>
          </cell>
          <cell r="O363" t="str">
            <v>01 Prospect</v>
          </cell>
          <cell r="P363" t="str">
            <v>Priority 3</v>
          </cell>
          <cell r="Q363">
            <v>0.6</v>
          </cell>
          <cell r="R363">
            <v>20000000</v>
          </cell>
          <cell r="S363">
            <v>0.16</v>
          </cell>
          <cell r="T363">
            <v>0.16</v>
          </cell>
          <cell r="U363">
            <v>0.16</v>
          </cell>
          <cell r="V363">
            <v>0.16</v>
          </cell>
          <cell r="W363">
            <v>0.16</v>
          </cell>
          <cell r="X363">
            <v>6.8000000000000005E-2</v>
          </cell>
          <cell r="Y363">
            <v>6.8000000000000005E-2</v>
          </cell>
          <cell r="Z363">
            <v>6.8000000000000005E-2</v>
          </cell>
          <cell r="AA363">
            <v>6.8000000000000005E-2</v>
          </cell>
          <cell r="AB363">
            <v>6.8000000000000005E-2</v>
          </cell>
          <cell r="AC363">
            <v>4000000</v>
          </cell>
          <cell r="AD363">
            <v>0</v>
          </cell>
          <cell r="AE363">
            <v>1386666.6666666665</v>
          </cell>
          <cell r="AF363">
            <v>2400000</v>
          </cell>
          <cell r="AG363">
            <v>2400000</v>
          </cell>
          <cell r="AH363">
            <v>2400000</v>
          </cell>
          <cell r="AI363">
            <v>0</v>
          </cell>
          <cell r="AJ363">
            <v>221866.66666666666</v>
          </cell>
          <cell r="AK363">
            <v>384000</v>
          </cell>
          <cell r="AL363">
            <v>384000</v>
          </cell>
          <cell r="AM363">
            <v>384000</v>
          </cell>
          <cell r="AN363">
            <v>0</v>
          </cell>
          <cell r="AO363">
            <v>94293.333333333328</v>
          </cell>
          <cell r="AP363">
            <v>163200</v>
          </cell>
          <cell r="AQ363">
            <v>163200</v>
          </cell>
          <cell r="AR363">
            <v>163200</v>
          </cell>
          <cell r="AT363" t="str">
            <v>OPP-919174 - Identified - New - IS4</v>
          </cell>
          <cell r="AU363">
            <v>583893.33333333326</v>
          </cell>
          <cell r="AV363">
            <v>0</v>
          </cell>
          <cell r="AW363">
            <v>583893.33333333326</v>
          </cell>
          <cell r="AX363">
            <v>0</v>
          </cell>
          <cell r="AZ363">
            <v>352</v>
          </cell>
          <cell r="BA363">
            <v>76</v>
          </cell>
          <cell r="BB363">
            <v>414</v>
          </cell>
        </row>
        <row r="364">
          <cell r="B364" t="str">
            <v>OPP-926777</v>
          </cell>
          <cell r="C364" t="str">
            <v>PEO USC PMS 501/505 Support Services</v>
          </cell>
          <cell r="D364" t="str">
            <v>IS4</v>
          </cell>
          <cell r="E364" t="str">
            <v>IS4 Sustainment Engineering and Acquisition</v>
          </cell>
          <cell r="F364" t="str">
            <v>Navy</v>
          </cell>
          <cell r="G364" t="str">
            <v>DOD</v>
          </cell>
          <cell r="H364">
            <v>44270</v>
          </cell>
          <cell r="I364">
            <v>44389</v>
          </cell>
          <cell r="J364">
            <v>46215</v>
          </cell>
          <cell r="K364" t="str">
            <v>Sub</v>
          </cell>
          <cell r="L364" t="str">
            <v>Cost Plus Fixed Fee</v>
          </cell>
          <cell r="M364" t="str">
            <v>Cost Reimbursable</v>
          </cell>
          <cell r="N364" t="str">
            <v>Identified - New</v>
          </cell>
          <cell r="O364" t="str">
            <v>01 Prospect</v>
          </cell>
          <cell r="P364" t="str">
            <v>Priority 3</v>
          </cell>
          <cell r="Q364">
            <v>0.25</v>
          </cell>
          <cell r="R364">
            <v>20000000</v>
          </cell>
          <cell r="S364">
            <v>0.16</v>
          </cell>
          <cell r="T364">
            <v>0.16</v>
          </cell>
          <cell r="U364">
            <v>0.16</v>
          </cell>
          <cell r="V364">
            <v>0.16</v>
          </cell>
          <cell r="W364">
            <v>0.16</v>
          </cell>
          <cell r="X364">
            <v>6.8000000000000005E-2</v>
          </cell>
          <cell r="Y364">
            <v>6.8000000000000005E-2</v>
          </cell>
          <cell r="Z364">
            <v>6.8000000000000005E-2</v>
          </cell>
          <cell r="AA364">
            <v>6.8000000000000005E-2</v>
          </cell>
          <cell r="AB364">
            <v>6.8000000000000005E-2</v>
          </cell>
          <cell r="AC364">
            <v>4000000</v>
          </cell>
          <cell r="AD364">
            <v>0</v>
          </cell>
          <cell r="AE364">
            <v>0</v>
          </cell>
          <cell r="AF364">
            <v>216666.66666666669</v>
          </cell>
          <cell r="AG364">
            <v>1000000</v>
          </cell>
          <cell r="AH364">
            <v>1000000</v>
          </cell>
          <cell r="AI364">
            <v>0</v>
          </cell>
          <cell r="AJ364">
            <v>0</v>
          </cell>
          <cell r="AK364">
            <v>34666.666666666672</v>
          </cell>
          <cell r="AL364">
            <v>160000</v>
          </cell>
          <cell r="AM364">
            <v>160000</v>
          </cell>
          <cell r="AN364">
            <v>0</v>
          </cell>
          <cell r="AO364">
            <v>0</v>
          </cell>
          <cell r="AP364">
            <v>14733.333333333336</v>
          </cell>
          <cell r="AQ364">
            <v>68000</v>
          </cell>
          <cell r="AR364">
            <v>68000</v>
          </cell>
          <cell r="AT364" t="str">
            <v>OPP-926777 - Identified - New - IS4</v>
          </cell>
          <cell r="AU364">
            <v>150733.33333333334</v>
          </cell>
          <cell r="AV364">
            <v>0</v>
          </cell>
          <cell r="AW364">
            <v>150733.33333333334</v>
          </cell>
          <cell r="AX364">
            <v>0</v>
          </cell>
          <cell r="AZ364">
            <v>353</v>
          </cell>
          <cell r="BA364">
            <v>144</v>
          </cell>
          <cell r="BB364">
            <v>415</v>
          </cell>
        </row>
        <row r="365">
          <cell r="B365" t="str">
            <v>OPP-707252</v>
          </cell>
          <cell r="C365" t="str">
            <v>TRAINING SUPPORT FOR THE CENTER FOR INFORMATION DOMINANCE (CID, ZONE 3)</v>
          </cell>
          <cell r="D365" t="str">
            <v>IS4</v>
          </cell>
          <cell r="E365" t="str">
            <v>IS4 Sustainment Engineering and Acquisition</v>
          </cell>
          <cell r="F365" t="str">
            <v>Navy</v>
          </cell>
          <cell r="G365" t="str">
            <v>DOD</v>
          </cell>
          <cell r="H365">
            <v>43819</v>
          </cell>
          <cell r="I365">
            <v>43871</v>
          </cell>
          <cell r="J365">
            <v>45698</v>
          </cell>
          <cell r="K365" t="str">
            <v>Prime</v>
          </cell>
          <cell r="L365" t="str">
            <v>Hybrid/Mixed Cost-Plus/Fixed</v>
          </cell>
          <cell r="M365" t="str">
            <v>Other</v>
          </cell>
          <cell r="N365" t="str">
            <v>Identified - New</v>
          </cell>
          <cell r="O365" t="str">
            <v>02 Capture</v>
          </cell>
          <cell r="P365" t="str">
            <v>Priority 3</v>
          </cell>
          <cell r="Q365">
            <v>0.25</v>
          </cell>
          <cell r="R365">
            <v>18000000</v>
          </cell>
          <cell r="S365">
            <v>0.152</v>
          </cell>
          <cell r="T365">
            <v>0.152</v>
          </cell>
          <cell r="U365">
            <v>0.154</v>
          </cell>
          <cell r="V365">
            <v>0.159</v>
          </cell>
          <cell r="W365">
            <v>0.16400000000000001</v>
          </cell>
          <cell r="X365">
            <v>0.06</v>
          </cell>
          <cell r="Y365">
            <v>0.06</v>
          </cell>
          <cell r="Z365">
            <v>6.2E-2</v>
          </cell>
          <cell r="AA365">
            <v>6.7000000000000004E-2</v>
          </cell>
          <cell r="AB365">
            <v>7.2000000000000008E-2</v>
          </cell>
          <cell r="AC365">
            <v>3600000</v>
          </cell>
          <cell r="AD365">
            <v>0</v>
          </cell>
          <cell r="AE365">
            <v>575000</v>
          </cell>
          <cell r="AF365">
            <v>900000</v>
          </cell>
          <cell r="AG365">
            <v>900000</v>
          </cell>
          <cell r="AH365">
            <v>900000</v>
          </cell>
          <cell r="AI365">
            <v>0</v>
          </cell>
          <cell r="AJ365">
            <v>87400</v>
          </cell>
          <cell r="AK365">
            <v>138600</v>
          </cell>
          <cell r="AL365">
            <v>143100</v>
          </cell>
          <cell r="AM365">
            <v>147600</v>
          </cell>
          <cell r="AN365">
            <v>0</v>
          </cell>
          <cell r="AO365">
            <v>34500</v>
          </cell>
          <cell r="AP365">
            <v>55800</v>
          </cell>
          <cell r="AQ365">
            <v>60300</v>
          </cell>
          <cell r="AR365">
            <v>64800.000000000007</v>
          </cell>
          <cell r="AT365" t="str">
            <v>OPP-707252 - Identified - New - IS4</v>
          </cell>
          <cell r="AU365">
            <v>215400</v>
          </cell>
          <cell r="AV365">
            <v>0</v>
          </cell>
          <cell r="AW365">
            <v>215400</v>
          </cell>
          <cell r="AX365">
            <v>0</v>
          </cell>
          <cell r="AZ365">
            <v>354</v>
          </cell>
          <cell r="BA365">
            <v>128</v>
          </cell>
          <cell r="BB365">
            <v>416</v>
          </cell>
        </row>
        <row r="366">
          <cell r="B366" t="str">
            <v>OPP-911306</v>
          </cell>
          <cell r="C366" t="str">
            <v>NUWC Code 85 and 40: TEMPALT/MODALT install, test, and removal</v>
          </cell>
          <cell r="D366" t="str">
            <v>IS4</v>
          </cell>
          <cell r="E366" t="str">
            <v>IS4 Sustainment Engineering and Acquisition</v>
          </cell>
          <cell r="F366" t="str">
            <v>Navy</v>
          </cell>
          <cell r="G366" t="str">
            <v>DOD</v>
          </cell>
          <cell r="H366">
            <v>43707</v>
          </cell>
          <cell r="I366">
            <v>43739</v>
          </cell>
          <cell r="J366">
            <v>45566</v>
          </cell>
          <cell r="K366" t="str">
            <v>Sub</v>
          </cell>
          <cell r="L366" t="str">
            <v>Cost Plus Fixed Fee</v>
          </cell>
          <cell r="M366" t="str">
            <v>Cost Reimbursable</v>
          </cell>
          <cell r="N366" t="str">
            <v>Identified - New</v>
          </cell>
          <cell r="O366" t="str">
            <v>04 Submitted</v>
          </cell>
          <cell r="P366" t="str">
            <v>Priority 3</v>
          </cell>
          <cell r="Q366">
            <v>0.6</v>
          </cell>
          <cell r="R366">
            <v>16000000</v>
          </cell>
          <cell r="S366">
            <v>0.16</v>
          </cell>
          <cell r="T366">
            <v>0.16</v>
          </cell>
          <cell r="U366">
            <v>0.16</v>
          </cell>
          <cell r="V366">
            <v>0.16</v>
          </cell>
          <cell r="W366">
            <v>0.16</v>
          </cell>
          <cell r="X366">
            <v>6.8000000000000005E-2</v>
          </cell>
          <cell r="Y366">
            <v>6.8000000000000005E-2</v>
          </cell>
          <cell r="Z366">
            <v>6.8000000000000005E-2</v>
          </cell>
          <cell r="AA366">
            <v>6.8000000000000005E-2</v>
          </cell>
          <cell r="AB366">
            <v>6.8000000000000005E-2</v>
          </cell>
          <cell r="AC366">
            <v>3200000</v>
          </cell>
          <cell r="AD366">
            <v>0</v>
          </cell>
          <cell r="AE366">
            <v>1914666.6666666665</v>
          </cell>
          <cell r="AF366">
            <v>1920000</v>
          </cell>
          <cell r="AG366">
            <v>1920000</v>
          </cell>
          <cell r="AH366">
            <v>1920000</v>
          </cell>
          <cell r="AI366">
            <v>0</v>
          </cell>
          <cell r="AJ366">
            <v>306346.66666666663</v>
          </cell>
          <cell r="AK366">
            <v>307200</v>
          </cell>
          <cell r="AL366">
            <v>307200</v>
          </cell>
          <cell r="AM366">
            <v>307200</v>
          </cell>
          <cell r="AN366">
            <v>0</v>
          </cell>
          <cell r="AO366">
            <v>130197.33333333333</v>
          </cell>
          <cell r="AP366">
            <v>130560.00000000001</v>
          </cell>
          <cell r="AQ366">
            <v>130560.00000000001</v>
          </cell>
          <cell r="AR366">
            <v>130560.00000000001</v>
          </cell>
          <cell r="AT366" t="str">
            <v>OPP-911306 - Identified - New - IS4</v>
          </cell>
          <cell r="AU366">
            <v>521877.33333333337</v>
          </cell>
          <cell r="AV366">
            <v>0</v>
          </cell>
          <cell r="AW366">
            <v>521877.33333333337</v>
          </cell>
          <cell r="AX366">
            <v>0</v>
          </cell>
          <cell r="AZ366">
            <v>355</v>
          </cell>
          <cell r="BA366">
            <v>80</v>
          </cell>
          <cell r="BB366">
            <v>417</v>
          </cell>
        </row>
        <row r="367">
          <cell r="B367" t="str">
            <v>OPP-953240</v>
          </cell>
          <cell r="C367" t="str">
            <v>NAVSEA 05T1R SBIR Program Management and Project Support Services</v>
          </cell>
          <cell r="D367" t="str">
            <v>IS4</v>
          </cell>
          <cell r="E367" t="str">
            <v>IS4 Sustainment Engineering and Acquisition</v>
          </cell>
          <cell r="F367" t="str">
            <v>Navy</v>
          </cell>
          <cell r="G367" t="str">
            <v>DOD</v>
          </cell>
          <cell r="H367">
            <v>43966</v>
          </cell>
          <cell r="I367">
            <v>44088</v>
          </cell>
          <cell r="J367">
            <v>45914</v>
          </cell>
          <cell r="K367" t="str">
            <v>Prime</v>
          </cell>
          <cell r="L367" t="str">
            <v>Cost Plus Fixed Fee</v>
          </cell>
          <cell r="M367" t="str">
            <v>Cost Reimbursable</v>
          </cell>
          <cell r="N367" t="str">
            <v>Identified - New</v>
          </cell>
          <cell r="O367" t="str">
            <v>01 Prospect</v>
          </cell>
          <cell r="P367" t="str">
            <v>Priority 3</v>
          </cell>
          <cell r="Q367">
            <v>0.25</v>
          </cell>
          <cell r="R367">
            <v>16000000</v>
          </cell>
          <cell r="S367">
            <v>0.16</v>
          </cell>
          <cell r="T367">
            <v>0.16</v>
          </cell>
          <cell r="U367">
            <v>0.16</v>
          </cell>
          <cell r="V367">
            <v>0.16</v>
          </cell>
          <cell r="W367">
            <v>0.16</v>
          </cell>
          <cell r="X367">
            <v>6.8000000000000005E-2</v>
          </cell>
          <cell r="Y367">
            <v>6.8000000000000005E-2</v>
          </cell>
          <cell r="Z367">
            <v>6.8000000000000005E-2</v>
          </cell>
          <cell r="AA367">
            <v>6.8000000000000005E-2</v>
          </cell>
          <cell r="AB367">
            <v>6.8000000000000005E-2</v>
          </cell>
          <cell r="AC367">
            <v>3200000</v>
          </cell>
          <cell r="AD367">
            <v>0</v>
          </cell>
          <cell r="AE367">
            <v>35555.555555555555</v>
          </cell>
          <cell r="AF367">
            <v>800000</v>
          </cell>
          <cell r="AG367">
            <v>800000</v>
          </cell>
          <cell r="AH367">
            <v>800000</v>
          </cell>
          <cell r="AI367">
            <v>0</v>
          </cell>
          <cell r="AJ367">
            <v>5688.8888888888887</v>
          </cell>
          <cell r="AK367">
            <v>128000</v>
          </cell>
          <cell r="AL367">
            <v>128000</v>
          </cell>
          <cell r="AM367">
            <v>128000</v>
          </cell>
          <cell r="AN367">
            <v>0</v>
          </cell>
          <cell r="AO367">
            <v>2417.7777777777778</v>
          </cell>
          <cell r="AP367">
            <v>54400.000000000007</v>
          </cell>
          <cell r="AQ367">
            <v>54400.000000000007</v>
          </cell>
          <cell r="AR367">
            <v>54400.000000000007</v>
          </cell>
          <cell r="AT367" t="str">
            <v>OPP-953240 - Identified - New - IS4</v>
          </cell>
          <cell r="AU367">
            <v>165617.77777777781</v>
          </cell>
          <cell r="AV367">
            <v>0</v>
          </cell>
          <cell r="AW367">
            <v>165617.77777777781</v>
          </cell>
          <cell r="AX367">
            <v>0</v>
          </cell>
          <cell r="AZ367">
            <v>356</v>
          </cell>
          <cell r="BA367">
            <v>139</v>
          </cell>
          <cell r="BB367">
            <v>418</v>
          </cell>
        </row>
        <row r="368">
          <cell r="B368" t="str">
            <v>OPP-794018</v>
          </cell>
          <cell r="C368" t="str">
            <v>NNSY Engineering &amp; Technical Services</v>
          </cell>
          <cell r="D368" t="str">
            <v>IS4</v>
          </cell>
          <cell r="E368" t="str">
            <v>IS4 Sustainment Engineering and Acquisition</v>
          </cell>
          <cell r="F368" t="str">
            <v>Navy</v>
          </cell>
          <cell r="G368" t="str">
            <v>DOD</v>
          </cell>
          <cell r="H368">
            <v>43827</v>
          </cell>
          <cell r="I368">
            <v>43857</v>
          </cell>
          <cell r="J368">
            <v>45684</v>
          </cell>
          <cell r="K368" t="str">
            <v>Sub</v>
          </cell>
          <cell r="L368" t="str">
            <v>Cost Plus Fixed Fee</v>
          </cell>
          <cell r="M368" t="str">
            <v>Cost Reimbursable</v>
          </cell>
          <cell r="N368" t="str">
            <v>Identified - New</v>
          </cell>
          <cell r="O368" t="str">
            <v>03 Proposal</v>
          </cell>
          <cell r="P368" t="str">
            <v>Priority 3</v>
          </cell>
          <cell r="Q368">
            <v>0.3</v>
          </cell>
          <cell r="R368">
            <v>14000000</v>
          </cell>
          <cell r="S368">
            <v>0.16</v>
          </cell>
          <cell r="T368">
            <v>0.16</v>
          </cell>
          <cell r="U368">
            <v>0.16</v>
          </cell>
          <cell r="V368">
            <v>0.16</v>
          </cell>
          <cell r="W368">
            <v>0.16</v>
          </cell>
          <cell r="X368">
            <v>6.8000000000000005E-2</v>
          </cell>
          <cell r="Y368">
            <v>6.8000000000000005E-2</v>
          </cell>
          <cell r="Z368">
            <v>6.8000000000000005E-2</v>
          </cell>
          <cell r="AA368">
            <v>6.8000000000000005E-2</v>
          </cell>
          <cell r="AB368">
            <v>6.8000000000000005E-2</v>
          </cell>
          <cell r="AC368">
            <v>2800000</v>
          </cell>
          <cell r="AD368">
            <v>0</v>
          </cell>
          <cell r="AE368">
            <v>567000</v>
          </cell>
          <cell r="AF368">
            <v>840000</v>
          </cell>
          <cell r="AG368">
            <v>840000</v>
          </cell>
          <cell r="AH368">
            <v>840000</v>
          </cell>
          <cell r="AI368">
            <v>0</v>
          </cell>
          <cell r="AJ368">
            <v>90720</v>
          </cell>
          <cell r="AK368">
            <v>134400</v>
          </cell>
          <cell r="AL368">
            <v>134400</v>
          </cell>
          <cell r="AM368">
            <v>134400</v>
          </cell>
          <cell r="AN368">
            <v>0</v>
          </cell>
          <cell r="AO368">
            <v>38556</v>
          </cell>
          <cell r="AP368">
            <v>57120.000000000007</v>
          </cell>
          <cell r="AQ368">
            <v>57120.000000000007</v>
          </cell>
          <cell r="AR368">
            <v>57120.000000000007</v>
          </cell>
          <cell r="AT368" t="str">
            <v>OPP-794018 - Identified - New - IS4</v>
          </cell>
          <cell r="AU368">
            <v>209916</v>
          </cell>
          <cell r="AV368">
            <v>0</v>
          </cell>
          <cell r="AW368">
            <v>209916</v>
          </cell>
          <cell r="AX368">
            <v>0</v>
          </cell>
          <cell r="AZ368">
            <v>357</v>
          </cell>
          <cell r="BA368">
            <v>130</v>
          </cell>
          <cell r="BB368">
            <v>419</v>
          </cell>
        </row>
        <row r="369">
          <cell r="B369" t="str">
            <v>OPP-913335</v>
          </cell>
          <cell r="C369" t="str">
            <v>CNSL ERAT Support</v>
          </cell>
          <cell r="D369" t="str">
            <v>IS4</v>
          </cell>
          <cell r="E369" t="str">
            <v>IS4 Sustainment Engineering and Acquisition</v>
          </cell>
          <cell r="F369" t="str">
            <v>Navy</v>
          </cell>
          <cell r="G369" t="str">
            <v>DOD</v>
          </cell>
          <cell r="H369">
            <v>43714</v>
          </cell>
          <cell r="I369">
            <v>43763</v>
          </cell>
          <cell r="J369">
            <v>45563</v>
          </cell>
          <cell r="K369" t="str">
            <v>Sub</v>
          </cell>
          <cell r="L369" t="str">
            <v>Cost Plus Fixed Fee</v>
          </cell>
          <cell r="M369" t="str">
            <v>Cost Reimbursable</v>
          </cell>
          <cell r="N369" t="str">
            <v>Identified - New</v>
          </cell>
          <cell r="O369" t="str">
            <v>04 Submitted</v>
          </cell>
          <cell r="P369" t="str">
            <v>Priority 3</v>
          </cell>
          <cell r="Q369">
            <v>0.5</v>
          </cell>
          <cell r="R369">
            <v>7500000</v>
          </cell>
          <cell r="S369">
            <v>0.16</v>
          </cell>
          <cell r="T369">
            <v>0.16</v>
          </cell>
          <cell r="U369">
            <v>0.16</v>
          </cell>
          <cell r="V369">
            <v>0.16</v>
          </cell>
          <cell r="W369">
            <v>0.16</v>
          </cell>
          <cell r="X369">
            <v>6.8000000000000005E-2</v>
          </cell>
          <cell r="Y369">
            <v>6.8000000000000005E-2</v>
          </cell>
          <cell r="Z369">
            <v>6.8000000000000005E-2</v>
          </cell>
          <cell r="AA369">
            <v>6.8000000000000005E-2</v>
          </cell>
          <cell r="AB369">
            <v>6.8000000000000005E-2</v>
          </cell>
          <cell r="AC369">
            <v>1522842.6395939088</v>
          </cell>
          <cell r="AD369">
            <v>0</v>
          </cell>
          <cell r="AE369">
            <v>708544.8392554993</v>
          </cell>
          <cell r="AF369">
            <v>761421.3197969544</v>
          </cell>
          <cell r="AG369">
            <v>761421.3197969544</v>
          </cell>
          <cell r="AH369">
            <v>761421.3197969544</v>
          </cell>
          <cell r="AI369">
            <v>0</v>
          </cell>
          <cell r="AJ369">
            <v>113367.17428087989</v>
          </cell>
          <cell r="AK369">
            <v>121827.41116751271</v>
          </cell>
          <cell r="AL369">
            <v>121827.41116751271</v>
          </cell>
          <cell r="AM369">
            <v>121827.41116751271</v>
          </cell>
          <cell r="AN369">
            <v>0</v>
          </cell>
          <cell r="AO369">
            <v>48181.049069373956</v>
          </cell>
          <cell r="AP369">
            <v>51776.649746192903</v>
          </cell>
          <cell r="AQ369">
            <v>51776.649746192903</v>
          </cell>
          <cell r="AR369">
            <v>51776.649746192903</v>
          </cell>
          <cell r="AT369" t="str">
            <v>OPP-913335 - Identified - New - IS4</v>
          </cell>
          <cell r="AU369">
            <v>203510.99830795269</v>
          </cell>
          <cell r="AV369">
            <v>0</v>
          </cell>
          <cell r="AW369">
            <v>203510.99830795269</v>
          </cell>
          <cell r="AX369">
            <v>0</v>
          </cell>
          <cell r="AZ369">
            <v>358</v>
          </cell>
          <cell r="BA369">
            <v>131</v>
          </cell>
          <cell r="BB369">
            <v>420</v>
          </cell>
        </row>
        <row r="370">
          <cell r="B370" t="str">
            <v>OPP-413678</v>
          </cell>
          <cell r="C370" t="str">
            <v>PEO IWS 3.0 Engineering Support Services</v>
          </cell>
          <cell r="D370" t="str">
            <v>IS4</v>
          </cell>
          <cell r="E370" t="str">
            <v>IS4 Sustainment Engineering and Acquisition</v>
          </cell>
          <cell r="F370" t="str">
            <v>Navy</v>
          </cell>
          <cell r="G370" t="str">
            <v>DOD</v>
          </cell>
          <cell r="H370">
            <v>43720</v>
          </cell>
          <cell r="I370">
            <v>43815</v>
          </cell>
          <cell r="J370">
            <v>45642</v>
          </cell>
          <cell r="K370" t="str">
            <v>Sub</v>
          </cell>
          <cell r="L370" t="str">
            <v>Cost Plus Incentive Fee</v>
          </cell>
          <cell r="M370" t="str">
            <v>Cost Reimbursable</v>
          </cell>
          <cell r="N370" t="str">
            <v>Identified - New</v>
          </cell>
          <cell r="O370" t="str">
            <v>04 Submitted</v>
          </cell>
          <cell r="P370" t="str">
            <v>Priority 3</v>
          </cell>
          <cell r="Q370">
            <v>0.25</v>
          </cell>
          <cell r="R370">
            <v>5600000</v>
          </cell>
          <cell r="S370">
            <v>0.16</v>
          </cell>
          <cell r="T370">
            <v>0.16</v>
          </cell>
          <cell r="U370">
            <v>0.16</v>
          </cell>
          <cell r="V370">
            <v>0.16</v>
          </cell>
          <cell r="W370">
            <v>0.16</v>
          </cell>
          <cell r="X370">
            <v>6.8000000000000005E-2</v>
          </cell>
          <cell r="Y370">
            <v>6.8000000000000005E-2</v>
          </cell>
          <cell r="Z370">
            <v>6.8000000000000005E-2</v>
          </cell>
          <cell r="AA370">
            <v>6.8000000000000005E-2</v>
          </cell>
          <cell r="AB370">
            <v>6.8000000000000005E-2</v>
          </cell>
          <cell r="AC370">
            <v>1120000</v>
          </cell>
          <cell r="AD370">
            <v>0</v>
          </cell>
          <cell r="AE370">
            <v>220888.88888888888</v>
          </cell>
          <cell r="AF370">
            <v>280000</v>
          </cell>
          <cell r="AG370">
            <v>280000</v>
          </cell>
          <cell r="AH370">
            <v>280000</v>
          </cell>
          <cell r="AI370">
            <v>0</v>
          </cell>
          <cell r="AJ370">
            <v>35342.222222222219</v>
          </cell>
          <cell r="AK370">
            <v>44800</v>
          </cell>
          <cell r="AL370">
            <v>44800</v>
          </cell>
          <cell r="AM370">
            <v>44800</v>
          </cell>
          <cell r="AN370">
            <v>0</v>
          </cell>
          <cell r="AO370">
            <v>15020.444444444445</v>
          </cell>
          <cell r="AP370">
            <v>19040</v>
          </cell>
          <cell r="AQ370">
            <v>19040</v>
          </cell>
          <cell r="AR370">
            <v>19040</v>
          </cell>
          <cell r="AT370" t="str">
            <v>OPP-413678 - Identified - New - IS4</v>
          </cell>
          <cell r="AU370">
            <v>72140.444444444438</v>
          </cell>
          <cell r="AV370">
            <v>0</v>
          </cell>
          <cell r="AW370">
            <v>72140.444444444438</v>
          </cell>
          <cell r="AX370">
            <v>0</v>
          </cell>
          <cell r="AZ370">
            <v>359</v>
          </cell>
          <cell r="BA370">
            <v>196</v>
          </cell>
          <cell r="BB370">
            <v>421</v>
          </cell>
        </row>
        <row r="371">
          <cell r="B371" t="str">
            <v>OPP-841950</v>
          </cell>
          <cell r="C371" t="str">
            <v>NUWC Code 25 Configuration Management (CM), Integrated Logistics Support (ILS), &amp; In-Service Engineering (ISE) Support</v>
          </cell>
          <cell r="D371" t="str">
            <v>IS4</v>
          </cell>
          <cell r="E371" t="str">
            <v>IS4 Sustainment Engineering and Acquisition</v>
          </cell>
          <cell r="F371" t="str">
            <v>Navy</v>
          </cell>
          <cell r="G371" t="str">
            <v>DOD</v>
          </cell>
          <cell r="H371">
            <v>43728</v>
          </cell>
          <cell r="I371">
            <v>43739</v>
          </cell>
          <cell r="J371">
            <v>45539</v>
          </cell>
          <cell r="K371" t="str">
            <v>Sub</v>
          </cell>
          <cell r="L371" t="str">
            <v>Cost Plus Fixed Fee</v>
          </cell>
          <cell r="M371" t="str">
            <v>Cost Reimbursable</v>
          </cell>
          <cell r="N371" t="str">
            <v>Identified - New</v>
          </cell>
          <cell r="O371" t="str">
            <v>04 Submitted</v>
          </cell>
          <cell r="P371" t="str">
            <v>Priority 3</v>
          </cell>
          <cell r="Q371">
            <v>0.9</v>
          </cell>
          <cell r="R371">
            <v>5000000</v>
          </cell>
          <cell r="S371">
            <v>0.16</v>
          </cell>
          <cell r="T371">
            <v>0.16</v>
          </cell>
          <cell r="U371">
            <v>0.16</v>
          </cell>
          <cell r="V371">
            <v>0.16</v>
          </cell>
          <cell r="W371">
            <v>0.16</v>
          </cell>
          <cell r="X371">
            <v>6.8000000000000005E-2</v>
          </cell>
          <cell r="Y371">
            <v>6.8000000000000005E-2</v>
          </cell>
          <cell r="Z371">
            <v>6.8000000000000005E-2</v>
          </cell>
          <cell r="AA371">
            <v>6.8000000000000005E-2</v>
          </cell>
          <cell r="AB371">
            <v>6.8000000000000005E-2</v>
          </cell>
          <cell r="AC371">
            <v>1015228.4263959391</v>
          </cell>
          <cell r="AD371">
            <v>0</v>
          </cell>
          <cell r="AE371">
            <v>911167.51269035542</v>
          </cell>
          <cell r="AF371">
            <v>913705.58375634521</v>
          </cell>
          <cell r="AG371">
            <v>913705.58375634521</v>
          </cell>
          <cell r="AH371">
            <v>913705.58375634521</v>
          </cell>
          <cell r="AI371">
            <v>0</v>
          </cell>
          <cell r="AJ371">
            <v>145786.80203045686</v>
          </cell>
          <cell r="AK371">
            <v>146192.89340101523</v>
          </cell>
          <cell r="AL371">
            <v>146192.89340101523</v>
          </cell>
          <cell r="AM371">
            <v>146192.89340101523</v>
          </cell>
          <cell r="AN371">
            <v>0</v>
          </cell>
          <cell r="AO371">
            <v>61959.390862944172</v>
          </cell>
          <cell r="AP371">
            <v>62131.979695431481</v>
          </cell>
          <cell r="AQ371">
            <v>62131.979695431481</v>
          </cell>
          <cell r="AR371">
            <v>62131.979695431481</v>
          </cell>
          <cell r="AT371" t="str">
            <v>OPP-841950 - Identified - New - IS4</v>
          </cell>
          <cell r="AU371">
            <v>248355.32994923863</v>
          </cell>
          <cell r="AV371">
            <v>0</v>
          </cell>
          <cell r="AW371">
            <v>248355.32994923863</v>
          </cell>
          <cell r="AX371">
            <v>0</v>
          </cell>
          <cell r="AZ371">
            <v>360</v>
          </cell>
          <cell r="BA371">
            <v>123</v>
          </cell>
          <cell r="BB371">
            <v>422</v>
          </cell>
        </row>
        <row r="372">
          <cell r="B372" t="str">
            <v>OPP-706325</v>
          </cell>
          <cell r="C372" t="str">
            <v>SAILOR 2025 READY RELEVANT LEARNING CONTENT CONVERSION</v>
          </cell>
          <cell r="D372" t="str">
            <v>IS4</v>
          </cell>
          <cell r="E372" t="str">
            <v>IS4 Sustainment Engineering and Acquisition</v>
          </cell>
          <cell r="F372" t="str">
            <v>Navy</v>
          </cell>
          <cell r="G372" t="str">
            <v>DOD</v>
          </cell>
          <cell r="H372">
            <v>44036</v>
          </cell>
          <cell r="I372">
            <v>44075</v>
          </cell>
          <cell r="J372">
            <v>44805</v>
          </cell>
          <cell r="K372" t="str">
            <v>Sub</v>
          </cell>
          <cell r="L372" t="str">
            <v>Cost Plus Fixed Fee</v>
          </cell>
          <cell r="M372" t="str">
            <v>Cost Reimbursable</v>
          </cell>
          <cell r="N372" t="str">
            <v>Identified - New</v>
          </cell>
          <cell r="O372" t="str">
            <v>01 Prospect</v>
          </cell>
          <cell r="P372" t="str">
            <v>Priority 3</v>
          </cell>
          <cell r="Q372">
            <v>0.25</v>
          </cell>
          <cell r="R372">
            <v>5000000</v>
          </cell>
          <cell r="S372">
            <v>0.16</v>
          </cell>
          <cell r="T372">
            <v>0.16</v>
          </cell>
          <cell r="U372">
            <v>0.16</v>
          </cell>
          <cell r="V372">
            <v>0.16</v>
          </cell>
          <cell r="W372">
            <v>0.16</v>
          </cell>
          <cell r="X372">
            <v>6.8000000000000005E-2</v>
          </cell>
          <cell r="Y372">
            <v>6.8000000000000005E-2</v>
          </cell>
          <cell r="Z372">
            <v>6.8000000000000005E-2</v>
          </cell>
          <cell r="AA372">
            <v>6.8000000000000005E-2</v>
          </cell>
          <cell r="AB372">
            <v>6.8000000000000005E-2</v>
          </cell>
          <cell r="AC372">
            <v>2500000</v>
          </cell>
          <cell r="AD372">
            <v>0</v>
          </cell>
          <cell r="AE372">
            <v>50347.222222222226</v>
          </cell>
          <cell r="AF372">
            <v>625000</v>
          </cell>
          <cell r="AG372">
            <v>574652.77777777775</v>
          </cell>
          <cell r="AH372">
            <v>0</v>
          </cell>
          <cell r="AI372">
            <v>0</v>
          </cell>
          <cell r="AJ372">
            <v>8055.5555555555566</v>
          </cell>
          <cell r="AK372">
            <v>100000</v>
          </cell>
          <cell r="AL372">
            <v>91944.444444444438</v>
          </cell>
          <cell r="AM372">
            <v>0</v>
          </cell>
          <cell r="AN372">
            <v>0</v>
          </cell>
          <cell r="AO372">
            <v>3423.6111111111118</v>
          </cell>
          <cell r="AP372">
            <v>42500</v>
          </cell>
          <cell r="AQ372">
            <v>39076.388888888891</v>
          </cell>
          <cell r="AR372">
            <v>0</v>
          </cell>
          <cell r="AT372" t="str">
            <v>OPP-706325 - Identified - New - IS4</v>
          </cell>
          <cell r="AU372">
            <v>85000</v>
          </cell>
          <cell r="AV372">
            <v>0</v>
          </cell>
          <cell r="AW372">
            <v>85000</v>
          </cell>
          <cell r="AX372">
            <v>0</v>
          </cell>
          <cell r="AZ372">
            <v>361</v>
          </cell>
          <cell r="BA372">
            <v>188</v>
          </cell>
          <cell r="BB372">
            <v>423</v>
          </cell>
        </row>
        <row r="373">
          <cell r="B373" t="str">
            <v>OPP-896513</v>
          </cell>
          <cell r="C373" t="str">
            <v>PEO USC PMS 525 MMSC Program Office Support</v>
          </cell>
          <cell r="D373" t="str">
            <v>IS4</v>
          </cell>
          <cell r="E373" t="str">
            <v>IS4 Sustainment Engineering and Acquisition</v>
          </cell>
          <cell r="F373" t="str">
            <v>Navy</v>
          </cell>
          <cell r="G373" t="str">
            <v>DOD</v>
          </cell>
          <cell r="H373">
            <v>44060</v>
          </cell>
          <cell r="I373">
            <v>44179</v>
          </cell>
          <cell r="J373">
            <v>46005</v>
          </cell>
          <cell r="K373" t="str">
            <v>Sub</v>
          </cell>
          <cell r="L373" t="str">
            <v>Cost Plus Fixed Fee</v>
          </cell>
          <cell r="M373" t="str">
            <v>Cost Reimbursable</v>
          </cell>
          <cell r="N373" t="str">
            <v>Identified - New</v>
          </cell>
          <cell r="O373" t="str">
            <v>02 Capture</v>
          </cell>
          <cell r="P373" t="str">
            <v>Priority 3</v>
          </cell>
          <cell r="Q373">
            <v>0.25</v>
          </cell>
          <cell r="R373">
            <v>5000000</v>
          </cell>
          <cell r="S373">
            <v>0.16</v>
          </cell>
          <cell r="T373">
            <v>0.16</v>
          </cell>
          <cell r="U373">
            <v>0.16</v>
          </cell>
          <cell r="V373">
            <v>0.16</v>
          </cell>
          <cell r="W373">
            <v>0.16</v>
          </cell>
          <cell r="X373">
            <v>6.8000000000000005E-2</v>
          </cell>
          <cell r="Y373">
            <v>6.8000000000000005E-2</v>
          </cell>
          <cell r="Z373">
            <v>6.8000000000000005E-2</v>
          </cell>
          <cell r="AA373">
            <v>6.8000000000000005E-2</v>
          </cell>
          <cell r="AB373">
            <v>6.8000000000000005E-2</v>
          </cell>
          <cell r="AC373">
            <v>1000000</v>
          </cell>
          <cell r="AD373">
            <v>0</v>
          </cell>
          <cell r="AE373">
            <v>0</v>
          </cell>
          <cell r="AF373">
            <v>198611.11111111109</v>
          </cell>
          <cell r="AG373">
            <v>250000</v>
          </cell>
          <cell r="AH373">
            <v>250000</v>
          </cell>
          <cell r="AI373">
            <v>0</v>
          </cell>
          <cell r="AJ373">
            <v>0</v>
          </cell>
          <cell r="AK373">
            <v>31777.777777777777</v>
          </cell>
          <cell r="AL373">
            <v>40000</v>
          </cell>
          <cell r="AM373">
            <v>40000</v>
          </cell>
          <cell r="AN373">
            <v>0</v>
          </cell>
          <cell r="AO373">
            <v>0</v>
          </cell>
          <cell r="AP373">
            <v>13505.555555555555</v>
          </cell>
          <cell r="AQ373">
            <v>17000</v>
          </cell>
          <cell r="AR373">
            <v>17000</v>
          </cell>
          <cell r="AT373" t="str">
            <v>OPP-896513 - Identified - New - IS4</v>
          </cell>
          <cell r="AU373">
            <v>47505.555555555555</v>
          </cell>
          <cell r="AV373">
            <v>0</v>
          </cell>
          <cell r="AW373">
            <v>47505.555555555555</v>
          </cell>
          <cell r="AX373">
            <v>0</v>
          </cell>
          <cell r="AZ373">
            <v>362</v>
          </cell>
          <cell r="BA373">
            <v>213</v>
          </cell>
          <cell r="BB373">
            <v>424</v>
          </cell>
        </row>
        <row r="374">
          <cell r="B374" t="str">
            <v>OPP-564854</v>
          </cell>
          <cell r="C374" t="str">
            <v>NUWC Code 25 Surface Trainers (F&amp;O/LB)</v>
          </cell>
          <cell r="D374" t="str">
            <v>IS4</v>
          </cell>
          <cell r="E374" t="str">
            <v>IS4 Sustainment Engineering and Acquisition</v>
          </cell>
          <cell r="F374" t="str">
            <v>Navy</v>
          </cell>
          <cell r="G374" t="str">
            <v>DOD</v>
          </cell>
          <cell r="H374">
            <v>43868</v>
          </cell>
          <cell r="I374">
            <v>43899</v>
          </cell>
          <cell r="J374">
            <v>45725</v>
          </cell>
          <cell r="K374" t="str">
            <v>Prime</v>
          </cell>
          <cell r="L374" t="str">
            <v>Cost Plus Fixed Fee</v>
          </cell>
          <cell r="M374" t="str">
            <v>Cost Reimbursable</v>
          </cell>
          <cell r="N374" t="str">
            <v>Identified - New</v>
          </cell>
          <cell r="O374" t="str">
            <v>02 Capture</v>
          </cell>
          <cell r="P374" t="str">
            <v>Priority 3</v>
          </cell>
          <cell r="Q374">
            <v>0.3</v>
          </cell>
          <cell r="R374">
            <v>4000000</v>
          </cell>
          <cell r="S374">
            <v>0.16</v>
          </cell>
          <cell r="T374">
            <v>0.16</v>
          </cell>
          <cell r="U374">
            <v>0.16</v>
          </cell>
          <cell r="V374">
            <v>0.16</v>
          </cell>
          <cell r="W374">
            <v>0.16</v>
          </cell>
          <cell r="X374">
            <v>6.8000000000000005E-2</v>
          </cell>
          <cell r="Y374">
            <v>6.8000000000000005E-2</v>
          </cell>
          <cell r="Z374">
            <v>6.8000000000000005E-2</v>
          </cell>
          <cell r="AA374">
            <v>6.8000000000000005E-2</v>
          </cell>
          <cell r="AB374">
            <v>6.8000000000000005E-2</v>
          </cell>
          <cell r="AC374">
            <v>800000</v>
          </cell>
          <cell r="AD374">
            <v>0</v>
          </cell>
          <cell r="AE374">
            <v>134000</v>
          </cell>
          <cell r="AF374">
            <v>240000</v>
          </cell>
          <cell r="AG374">
            <v>240000</v>
          </cell>
          <cell r="AH374">
            <v>240000</v>
          </cell>
          <cell r="AI374">
            <v>0</v>
          </cell>
          <cell r="AJ374">
            <v>21440</v>
          </cell>
          <cell r="AK374">
            <v>38400</v>
          </cell>
          <cell r="AL374">
            <v>38400</v>
          </cell>
          <cell r="AM374">
            <v>38400</v>
          </cell>
          <cell r="AN374">
            <v>0</v>
          </cell>
          <cell r="AO374">
            <v>9112</v>
          </cell>
          <cell r="AP374">
            <v>16320.000000000002</v>
          </cell>
          <cell r="AQ374">
            <v>16320.000000000002</v>
          </cell>
          <cell r="AR374">
            <v>16320.000000000002</v>
          </cell>
          <cell r="AT374" t="str">
            <v>OPP-564854 - Identified - New - IS4</v>
          </cell>
          <cell r="AU374">
            <v>58072</v>
          </cell>
          <cell r="AV374">
            <v>0</v>
          </cell>
          <cell r="AW374">
            <v>58072</v>
          </cell>
          <cell r="AX374">
            <v>0</v>
          </cell>
          <cell r="AZ374">
            <v>363</v>
          </cell>
          <cell r="BA374">
            <v>208</v>
          </cell>
          <cell r="BB374">
            <v>425</v>
          </cell>
        </row>
        <row r="375">
          <cell r="B375" t="str">
            <v>OPP-902461</v>
          </cell>
          <cell r="C375" t="str">
            <v>NUWCDIVNPT Combat Systems Department (Code 25): Future submarine Strike and Payload Systems</v>
          </cell>
          <cell r="D375" t="str">
            <v>IS4</v>
          </cell>
          <cell r="E375" t="str">
            <v>IS4 Sustainment Engineering and Acquisition</v>
          </cell>
          <cell r="F375" t="str">
            <v>Navy</v>
          </cell>
          <cell r="G375" t="str">
            <v>DOD</v>
          </cell>
          <cell r="H375">
            <v>43798</v>
          </cell>
          <cell r="I375">
            <v>43831</v>
          </cell>
          <cell r="J375">
            <v>45658</v>
          </cell>
          <cell r="K375" t="str">
            <v>Sub</v>
          </cell>
          <cell r="L375" t="str">
            <v>Cost Plus Fixed Fee</v>
          </cell>
          <cell r="M375" t="str">
            <v>Cost Reimbursable</v>
          </cell>
          <cell r="N375" t="str">
            <v>Identified - New</v>
          </cell>
          <cell r="O375" t="str">
            <v>03 Proposal</v>
          </cell>
          <cell r="P375" t="str">
            <v>Priority 3</v>
          </cell>
          <cell r="Q375">
            <v>0.6</v>
          </cell>
          <cell r="R375">
            <v>3500000</v>
          </cell>
          <cell r="S375">
            <v>0.16</v>
          </cell>
          <cell r="T375">
            <v>0.16</v>
          </cell>
          <cell r="U375">
            <v>0.16</v>
          </cell>
          <cell r="V375">
            <v>0.16</v>
          </cell>
          <cell r="W375">
            <v>0.16</v>
          </cell>
          <cell r="X375">
            <v>6.8000000000000005E-2</v>
          </cell>
          <cell r="Y375">
            <v>6.8000000000000005E-2</v>
          </cell>
          <cell r="Z375">
            <v>6.8000000000000005E-2</v>
          </cell>
          <cell r="AA375">
            <v>6.8000000000000005E-2</v>
          </cell>
          <cell r="AB375">
            <v>6.8000000000000005E-2</v>
          </cell>
          <cell r="AC375">
            <v>700000</v>
          </cell>
          <cell r="AD375">
            <v>0</v>
          </cell>
          <cell r="AE375">
            <v>313833.33333333331</v>
          </cell>
          <cell r="AF375">
            <v>420000</v>
          </cell>
          <cell r="AG375">
            <v>420000</v>
          </cell>
          <cell r="AH375">
            <v>420000</v>
          </cell>
          <cell r="AI375">
            <v>0</v>
          </cell>
          <cell r="AJ375">
            <v>50213.333333333328</v>
          </cell>
          <cell r="AK375">
            <v>67200</v>
          </cell>
          <cell r="AL375">
            <v>67200</v>
          </cell>
          <cell r="AM375">
            <v>67200</v>
          </cell>
          <cell r="AN375">
            <v>0</v>
          </cell>
          <cell r="AO375">
            <v>21340.666666666668</v>
          </cell>
          <cell r="AP375">
            <v>28560.000000000004</v>
          </cell>
          <cell r="AQ375">
            <v>28560.000000000004</v>
          </cell>
          <cell r="AR375">
            <v>28560.000000000004</v>
          </cell>
          <cell r="AT375" t="str">
            <v>OPP-902461 - Identified - New - IS4</v>
          </cell>
          <cell r="AU375">
            <v>107020.66666666667</v>
          </cell>
          <cell r="AV375">
            <v>0</v>
          </cell>
          <cell r="AW375">
            <v>107020.66666666667</v>
          </cell>
          <cell r="AX375">
            <v>0</v>
          </cell>
          <cell r="AZ375">
            <v>364</v>
          </cell>
          <cell r="BA375">
            <v>172</v>
          </cell>
          <cell r="BB375">
            <v>426</v>
          </cell>
        </row>
        <row r="376">
          <cell r="B376" t="str">
            <v>OPP-888516</v>
          </cell>
          <cell r="C376" t="str">
            <v>NSWCPD - Engineering and Technical Support for Gas Turbines</v>
          </cell>
          <cell r="D376" t="str">
            <v>IS4</v>
          </cell>
          <cell r="E376" t="str">
            <v>IS4 Sustainment Engineering and Acquisition</v>
          </cell>
          <cell r="F376" t="str">
            <v>Navy</v>
          </cell>
          <cell r="G376" t="str">
            <v>DOD</v>
          </cell>
          <cell r="H376">
            <v>43756</v>
          </cell>
          <cell r="I376">
            <v>43787</v>
          </cell>
          <cell r="J376">
            <v>45614</v>
          </cell>
          <cell r="K376" t="str">
            <v>Sub</v>
          </cell>
          <cell r="L376" t="str">
            <v>Cost Plus Fixed Fee</v>
          </cell>
          <cell r="M376" t="str">
            <v>Cost Reimbursable</v>
          </cell>
          <cell r="N376" t="str">
            <v>Identified - New</v>
          </cell>
          <cell r="O376" t="str">
            <v>02 Capture</v>
          </cell>
          <cell r="P376" t="str">
            <v>Priority 3</v>
          </cell>
          <cell r="Q376">
            <v>0.3</v>
          </cell>
          <cell r="R376">
            <v>3000000</v>
          </cell>
          <cell r="S376">
            <v>0.16</v>
          </cell>
          <cell r="T376">
            <v>0.16</v>
          </cell>
          <cell r="U376">
            <v>0.16</v>
          </cell>
          <cell r="V376">
            <v>0.16</v>
          </cell>
          <cell r="W376">
            <v>0.16</v>
          </cell>
          <cell r="X376">
            <v>6.8000000000000005E-2</v>
          </cell>
          <cell r="Y376">
            <v>6.8000000000000005E-2</v>
          </cell>
          <cell r="Z376">
            <v>6.8000000000000005E-2</v>
          </cell>
          <cell r="AA376">
            <v>6.8000000000000005E-2</v>
          </cell>
          <cell r="AB376">
            <v>6.8000000000000005E-2</v>
          </cell>
          <cell r="AC376">
            <v>600000</v>
          </cell>
          <cell r="AD376">
            <v>0</v>
          </cell>
          <cell r="AE376">
            <v>156000</v>
          </cell>
          <cell r="AF376">
            <v>180000</v>
          </cell>
          <cell r="AG376">
            <v>180000</v>
          </cell>
          <cell r="AH376">
            <v>180000</v>
          </cell>
          <cell r="AI376">
            <v>0</v>
          </cell>
          <cell r="AJ376">
            <v>24960</v>
          </cell>
          <cell r="AK376">
            <v>28800</v>
          </cell>
          <cell r="AL376">
            <v>28800</v>
          </cell>
          <cell r="AM376">
            <v>28800</v>
          </cell>
          <cell r="AN376">
            <v>0</v>
          </cell>
          <cell r="AO376">
            <v>10608</v>
          </cell>
          <cell r="AP376">
            <v>12240</v>
          </cell>
          <cell r="AQ376">
            <v>12240</v>
          </cell>
          <cell r="AR376">
            <v>12240</v>
          </cell>
          <cell r="AT376" t="str">
            <v>OPP-888516 - Identified - New - IS4</v>
          </cell>
          <cell r="AU376">
            <v>47328</v>
          </cell>
          <cell r="AV376">
            <v>0</v>
          </cell>
          <cell r="AW376">
            <v>47328</v>
          </cell>
          <cell r="AX376">
            <v>0</v>
          </cell>
          <cell r="AZ376">
            <v>365</v>
          </cell>
          <cell r="BA376">
            <v>214</v>
          </cell>
          <cell r="BB376">
            <v>427</v>
          </cell>
        </row>
        <row r="377">
          <cell r="B377" t="str">
            <v>OPP-771979</v>
          </cell>
          <cell r="C377" t="str">
            <v>Air Force Antennas II (HAFB &amp; RAFB)</v>
          </cell>
          <cell r="D377" t="str">
            <v>IS4</v>
          </cell>
          <cell r="E377" t="str">
            <v>IS4 Sustainment Engineering and Acquisition</v>
          </cell>
          <cell r="F377" t="str">
            <v>Air Force</v>
          </cell>
          <cell r="G377" t="str">
            <v>DOD</v>
          </cell>
          <cell r="H377">
            <v>43920</v>
          </cell>
          <cell r="I377">
            <v>43941</v>
          </cell>
          <cell r="J377">
            <v>44671</v>
          </cell>
          <cell r="K377" t="str">
            <v>Prime</v>
          </cell>
          <cell r="L377" t="str">
            <v>Fixed Price</v>
          </cell>
          <cell r="M377" t="str">
            <v>Fixed Price</v>
          </cell>
          <cell r="N377" t="str">
            <v>Identified - New</v>
          </cell>
          <cell r="O377" t="str">
            <v>02 Capture</v>
          </cell>
          <cell r="P377" t="str">
            <v>Priority 3</v>
          </cell>
          <cell r="Q377">
            <v>0.5</v>
          </cell>
          <cell r="R377">
            <v>3000000</v>
          </cell>
          <cell r="S377">
            <v>0.17199999999999999</v>
          </cell>
          <cell r="T377">
            <v>0.17199999999999999</v>
          </cell>
          <cell r="U377">
            <v>0.17299999999999999</v>
          </cell>
          <cell r="V377">
            <v>0.17499999999999999</v>
          </cell>
          <cell r="W377">
            <v>0.18</v>
          </cell>
          <cell r="X377">
            <v>0.08</v>
          </cell>
          <cell r="Y377">
            <v>0.08</v>
          </cell>
          <cell r="Z377">
            <v>8.1000000000000003E-2</v>
          </cell>
          <cell r="AA377">
            <v>8.3000000000000004E-2</v>
          </cell>
          <cell r="AB377">
            <v>8.8000000000000009E-2</v>
          </cell>
          <cell r="AC377">
            <v>1500000</v>
          </cell>
          <cell r="AD377">
            <v>0</v>
          </cell>
          <cell r="AE377">
            <v>333333.33333333331</v>
          </cell>
          <cell r="AF377">
            <v>750000</v>
          </cell>
          <cell r="AG377">
            <v>416666.66666666674</v>
          </cell>
          <cell r="AH377">
            <v>0</v>
          </cell>
          <cell r="AI377">
            <v>0</v>
          </cell>
          <cell r="AJ377">
            <v>57333.333333333328</v>
          </cell>
          <cell r="AK377">
            <v>129749.99999999999</v>
          </cell>
          <cell r="AL377">
            <v>72916.666666666672</v>
          </cell>
          <cell r="AM377">
            <v>0</v>
          </cell>
          <cell r="AN377">
            <v>0</v>
          </cell>
          <cell r="AO377">
            <v>26666.666666666664</v>
          </cell>
          <cell r="AP377">
            <v>60750</v>
          </cell>
          <cell r="AQ377">
            <v>34583.333333333343</v>
          </cell>
          <cell r="AR377">
            <v>0</v>
          </cell>
          <cell r="AT377" t="str">
            <v>OPP-771979 - Identified - New - IS4</v>
          </cell>
          <cell r="AU377">
            <v>122000</v>
          </cell>
          <cell r="AV377">
            <v>0</v>
          </cell>
          <cell r="AW377">
            <v>122000</v>
          </cell>
          <cell r="AX377">
            <v>0</v>
          </cell>
          <cell r="AZ377">
            <v>366</v>
          </cell>
          <cell r="BA377">
            <v>167</v>
          </cell>
          <cell r="BB377">
            <v>428</v>
          </cell>
        </row>
        <row r="378">
          <cell r="B378" t="str">
            <v>OPP-899530</v>
          </cell>
          <cell r="C378" t="str">
            <v>MARMC Techical and Professional Services</v>
          </cell>
          <cell r="D378" t="str">
            <v>IS4</v>
          </cell>
          <cell r="E378" t="str">
            <v>IS4 Sustainment Engineering and Acquisition</v>
          </cell>
          <cell r="F378" t="str">
            <v>Navy</v>
          </cell>
          <cell r="G378" t="str">
            <v>DOD</v>
          </cell>
          <cell r="H378">
            <v>44680</v>
          </cell>
          <cell r="I378">
            <v>44685</v>
          </cell>
          <cell r="J378">
            <v>46511</v>
          </cell>
          <cell r="K378" t="str">
            <v>Sub</v>
          </cell>
          <cell r="L378" t="str">
            <v>Cost Plus Fixed Fee</v>
          </cell>
          <cell r="M378" t="str">
            <v>Cost Reimbursable</v>
          </cell>
          <cell r="N378" t="str">
            <v>Identified - New</v>
          </cell>
          <cell r="O378" t="str">
            <v>02 Capture</v>
          </cell>
          <cell r="P378" t="str">
            <v>Priority 3</v>
          </cell>
          <cell r="Q378">
            <v>0.3</v>
          </cell>
          <cell r="R378">
            <v>3000000</v>
          </cell>
          <cell r="S378">
            <v>0.16</v>
          </cell>
          <cell r="T378">
            <v>0.16</v>
          </cell>
          <cell r="U378">
            <v>0.16</v>
          </cell>
          <cell r="V378">
            <v>0.16</v>
          </cell>
          <cell r="W378">
            <v>0.16</v>
          </cell>
          <cell r="X378">
            <v>6.8000000000000005E-2</v>
          </cell>
          <cell r="Y378">
            <v>6.8000000000000005E-2</v>
          </cell>
          <cell r="Z378">
            <v>6.8000000000000005E-2</v>
          </cell>
          <cell r="AA378">
            <v>6.8000000000000005E-2</v>
          </cell>
          <cell r="AB378">
            <v>6.8000000000000005E-2</v>
          </cell>
          <cell r="AC378">
            <v>600000</v>
          </cell>
          <cell r="AD378">
            <v>0</v>
          </cell>
          <cell r="AE378">
            <v>0</v>
          </cell>
          <cell r="AF378">
            <v>0</v>
          </cell>
          <cell r="AG378">
            <v>73000</v>
          </cell>
          <cell r="AH378">
            <v>180000</v>
          </cell>
          <cell r="AI378">
            <v>0</v>
          </cell>
          <cell r="AJ378">
            <v>0</v>
          </cell>
          <cell r="AK378">
            <v>0</v>
          </cell>
          <cell r="AL378">
            <v>11680</v>
          </cell>
          <cell r="AM378">
            <v>28800</v>
          </cell>
          <cell r="AN378">
            <v>0</v>
          </cell>
          <cell r="AO378">
            <v>0</v>
          </cell>
          <cell r="AP378">
            <v>0</v>
          </cell>
          <cell r="AQ378">
            <v>4964</v>
          </cell>
          <cell r="AR378">
            <v>12240</v>
          </cell>
          <cell r="AT378" t="str">
            <v>OPP-899530 - Identified - New - IS4</v>
          </cell>
          <cell r="AU378">
            <v>17204</v>
          </cell>
          <cell r="AV378">
            <v>0</v>
          </cell>
          <cell r="AW378">
            <v>17204</v>
          </cell>
          <cell r="AX378">
            <v>0</v>
          </cell>
          <cell r="AZ378">
            <v>367</v>
          </cell>
          <cell r="BA378">
            <v>235</v>
          </cell>
          <cell r="BB378">
            <v>429</v>
          </cell>
        </row>
        <row r="379">
          <cell r="B379" t="str">
            <v>OPP-919531</v>
          </cell>
          <cell r="C379" t="str">
            <v>Submarine Local Area Network (SubLAN) On-site Representative (NOSR) Support</v>
          </cell>
          <cell r="D379" t="str">
            <v>IS4</v>
          </cell>
          <cell r="E379" t="str">
            <v>IS4 Sustainment Engineering and Acquisition</v>
          </cell>
          <cell r="F379" t="str">
            <v>Navy</v>
          </cell>
          <cell r="G379" t="str">
            <v>DOD</v>
          </cell>
          <cell r="H379">
            <v>44008</v>
          </cell>
          <cell r="I379">
            <v>44074</v>
          </cell>
          <cell r="J379">
            <v>45900</v>
          </cell>
          <cell r="K379" t="str">
            <v>Sub</v>
          </cell>
          <cell r="L379" t="str">
            <v>Fixed Price</v>
          </cell>
          <cell r="M379" t="str">
            <v>Fixed Price</v>
          </cell>
          <cell r="N379" t="str">
            <v>Identified - New</v>
          </cell>
          <cell r="O379" t="str">
            <v>02 Capture</v>
          </cell>
          <cell r="P379" t="str">
            <v>Priority 3</v>
          </cell>
          <cell r="Q379">
            <v>0.9</v>
          </cell>
          <cell r="R379">
            <v>2250000</v>
          </cell>
          <cell r="S379">
            <v>0.17199999999999999</v>
          </cell>
          <cell r="T379">
            <v>0.17199999999999999</v>
          </cell>
          <cell r="U379">
            <v>0.17299999999999999</v>
          </cell>
          <cell r="V379">
            <v>0.17499999999999999</v>
          </cell>
          <cell r="W379">
            <v>0.18</v>
          </cell>
          <cell r="X379">
            <v>0.08</v>
          </cell>
          <cell r="Y379">
            <v>0.08</v>
          </cell>
          <cell r="Z379">
            <v>8.1000000000000003E-2</v>
          </cell>
          <cell r="AA379">
            <v>8.3000000000000004E-2</v>
          </cell>
          <cell r="AB379">
            <v>8.8000000000000009E-2</v>
          </cell>
          <cell r="AC379">
            <v>450000</v>
          </cell>
          <cell r="AD379">
            <v>0</v>
          </cell>
          <cell r="AE379">
            <v>33750</v>
          </cell>
          <cell r="AF379">
            <v>405000</v>
          </cell>
          <cell r="AG379">
            <v>405000</v>
          </cell>
          <cell r="AH379">
            <v>405000</v>
          </cell>
          <cell r="AI379">
            <v>0</v>
          </cell>
          <cell r="AJ379">
            <v>5804.9999999999991</v>
          </cell>
          <cell r="AK379">
            <v>70065</v>
          </cell>
          <cell r="AL379">
            <v>70875</v>
          </cell>
          <cell r="AM379">
            <v>72900</v>
          </cell>
          <cell r="AN379">
            <v>0</v>
          </cell>
          <cell r="AO379">
            <v>2700</v>
          </cell>
          <cell r="AP379">
            <v>32805</v>
          </cell>
          <cell r="AQ379">
            <v>33615</v>
          </cell>
          <cell r="AR379">
            <v>35640</v>
          </cell>
          <cell r="AT379" t="str">
            <v>OPP-919531 - Identified - New - IS4</v>
          </cell>
          <cell r="AU379">
            <v>104760</v>
          </cell>
          <cell r="AV379">
            <v>0</v>
          </cell>
          <cell r="AW379">
            <v>104760</v>
          </cell>
          <cell r="AX379">
            <v>0</v>
          </cell>
          <cell r="AZ379">
            <v>368</v>
          </cell>
          <cell r="BA379">
            <v>174</v>
          </cell>
          <cell r="BB379">
            <v>430</v>
          </cell>
        </row>
        <row r="380">
          <cell r="B380" t="str">
            <v>OPP-489208</v>
          </cell>
          <cell r="C380" t="str">
            <v>Air Force Antenna I (TAFB)</v>
          </cell>
          <cell r="D380" t="str">
            <v>IS4</v>
          </cell>
          <cell r="E380" t="str">
            <v>IS4 Sustainment Engineering and Acquisition</v>
          </cell>
          <cell r="F380" t="str">
            <v>Air Force</v>
          </cell>
          <cell r="G380" t="str">
            <v>DOD</v>
          </cell>
          <cell r="H380">
            <v>43819</v>
          </cell>
          <cell r="I380">
            <v>43850</v>
          </cell>
          <cell r="J380">
            <v>44397</v>
          </cell>
          <cell r="K380" t="str">
            <v>Prime</v>
          </cell>
          <cell r="L380" t="str">
            <v>Fixed Price</v>
          </cell>
          <cell r="M380" t="str">
            <v>Fixed Price</v>
          </cell>
          <cell r="N380" t="str">
            <v>Identified - New</v>
          </cell>
          <cell r="O380" t="str">
            <v>02 Capture</v>
          </cell>
          <cell r="P380" t="str">
            <v>Priority 3</v>
          </cell>
          <cell r="Q380">
            <v>0.9</v>
          </cell>
          <cell r="R380">
            <v>2000000</v>
          </cell>
          <cell r="S380">
            <v>0.17199999999999999</v>
          </cell>
          <cell r="T380">
            <v>0.17199999999999999</v>
          </cell>
          <cell r="U380">
            <v>0.17299999999999999</v>
          </cell>
          <cell r="V380">
            <v>0.17499999999999999</v>
          </cell>
          <cell r="W380">
            <v>0.18</v>
          </cell>
          <cell r="X380">
            <v>0.08</v>
          </cell>
          <cell r="Y380">
            <v>0.08</v>
          </cell>
          <cell r="Z380">
            <v>8.1000000000000003E-2</v>
          </cell>
          <cell r="AA380">
            <v>8.3000000000000004E-2</v>
          </cell>
          <cell r="AB380">
            <v>8.8000000000000009E-2</v>
          </cell>
          <cell r="AC380">
            <v>1333333.3333333333</v>
          </cell>
          <cell r="AD380">
            <v>0</v>
          </cell>
          <cell r="AE380">
            <v>833333.33333333326</v>
          </cell>
          <cell r="AF380">
            <v>966666.66666666674</v>
          </cell>
          <cell r="AG380">
            <v>0</v>
          </cell>
          <cell r="AH380">
            <v>0</v>
          </cell>
          <cell r="AI380">
            <v>0</v>
          </cell>
          <cell r="AJ380">
            <v>143333.33333333331</v>
          </cell>
          <cell r="AK380">
            <v>167233.33333333334</v>
          </cell>
          <cell r="AL380">
            <v>0</v>
          </cell>
          <cell r="AM380">
            <v>0</v>
          </cell>
          <cell r="AN380">
            <v>0</v>
          </cell>
          <cell r="AO380">
            <v>66666.666666666657</v>
          </cell>
          <cell r="AP380">
            <v>78300.000000000015</v>
          </cell>
          <cell r="AQ380">
            <v>0</v>
          </cell>
          <cell r="AR380">
            <v>0</v>
          </cell>
          <cell r="AT380" t="str">
            <v>OPP-489208 - Identified - New - IS4</v>
          </cell>
          <cell r="AU380">
            <v>144966.66666666669</v>
          </cell>
          <cell r="AV380">
            <v>0</v>
          </cell>
          <cell r="AW380">
            <v>144966.66666666669</v>
          </cell>
          <cell r="AX380">
            <v>0</v>
          </cell>
          <cell r="AZ380">
            <v>369</v>
          </cell>
          <cell r="BA380">
            <v>147</v>
          </cell>
          <cell r="BB380">
            <v>431</v>
          </cell>
        </row>
        <row r="381">
          <cell r="B381" t="str">
            <v>OPP-489210</v>
          </cell>
          <cell r="C381" t="str">
            <v>WSMR VEMPS Antenna Modifications</v>
          </cell>
          <cell r="D381" t="str">
            <v>IS4</v>
          </cell>
          <cell r="E381" t="str">
            <v>IS4 Sustainment Engineering and Acquisition</v>
          </cell>
          <cell r="F381" t="str">
            <v>Army</v>
          </cell>
          <cell r="G381" t="str">
            <v>DOD</v>
          </cell>
          <cell r="H381">
            <v>43941</v>
          </cell>
          <cell r="I381">
            <v>43969</v>
          </cell>
          <cell r="J381">
            <v>44699</v>
          </cell>
          <cell r="K381" t="str">
            <v>Prime</v>
          </cell>
          <cell r="L381" t="str">
            <v>Fixed Price</v>
          </cell>
          <cell r="M381" t="str">
            <v>Fixed Price</v>
          </cell>
          <cell r="N381" t="str">
            <v>Identified - New</v>
          </cell>
          <cell r="O381" t="str">
            <v>02 Capture</v>
          </cell>
          <cell r="P381" t="str">
            <v>Priority 3</v>
          </cell>
          <cell r="Q381">
            <v>0.3</v>
          </cell>
          <cell r="R381">
            <v>2000000</v>
          </cell>
          <cell r="S381">
            <v>0.17199999999999999</v>
          </cell>
          <cell r="T381">
            <v>0.17199999999999999</v>
          </cell>
          <cell r="U381">
            <v>0.17299999999999999</v>
          </cell>
          <cell r="V381">
            <v>0.17499999999999999</v>
          </cell>
          <cell r="W381">
            <v>0.18</v>
          </cell>
          <cell r="X381">
            <v>0.08</v>
          </cell>
          <cell r="Y381">
            <v>0.08</v>
          </cell>
          <cell r="Z381">
            <v>8.1000000000000003E-2</v>
          </cell>
          <cell r="AA381">
            <v>8.3000000000000004E-2</v>
          </cell>
          <cell r="AB381">
            <v>8.8000000000000009E-2</v>
          </cell>
          <cell r="AC381">
            <v>1000000</v>
          </cell>
          <cell r="AD381">
            <v>0</v>
          </cell>
          <cell r="AE381">
            <v>109999.99999999999</v>
          </cell>
          <cell r="AF381">
            <v>300000</v>
          </cell>
          <cell r="AG381">
            <v>190000</v>
          </cell>
          <cell r="AH381">
            <v>0</v>
          </cell>
          <cell r="AI381">
            <v>0</v>
          </cell>
          <cell r="AJ381">
            <v>18919.999999999996</v>
          </cell>
          <cell r="AK381">
            <v>51899.999999999993</v>
          </cell>
          <cell r="AL381">
            <v>33250</v>
          </cell>
          <cell r="AM381">
            <v>0</v>
          </cell>
          <cell r="AN381">
            <v>0</v>
          </cell>
          <cell r="AO381">
            <v>8799.9999999999982</v>
          </cell>
          <cell r="AP381">
            <v>24300</v>
          </cell>
          <cell r="AQ381">
            <v>15770</v>
          </cell>
          <cell r="AR381">
            <v>0</v>
          </cell>
          <cell r="AT381" t="str">
            <v>OPP-489210 - Identified - New - IS4</v>
          </cell>
          <cell r="AU381">
            <v>48870</v>
          </cell>
          <cell r="AV381">
            <v>0</v>
          </cell>
          <cell r="AW381">
            <v>48870</v>
          </cell>
          <cell r="AX381">
            <v>0</v>
          </cell>
          <cell r="AZ381">
            <v>370</v>
          </cell>
          <cell r="BA381">
            <v>212</v>
          </cell>
          <cell r="BB381">
            <v>432</v>
          </cell>
        </row>
        <row r="382">
          <cell r="B382" t="str">
            <v>OPP-663831</v>
          </cell>
          <cell r="C382" t="str">
            <v>USFFC Fleet Maintenance Support Services Recompete 2</v>
          </cell>
          <cell r="D382" t="str">
            <v>IS4</v>
          </cell>
          <cell r="E382" t="str">
            <v>IS4 Sustainment Engineering and Acquisition</v>
          </cell>
          <cell r="F382" t="str">
            <v>Navy</v>
          </cell>
          <cell r="G382" t="str">
            <v>DOD</v>
          </cell>
          <cell r="H382">
            <v>43868</v>
          </cell>
          <cell r="I382">
            <v>43899</v>
          </cell>
          <cell r="J382">
            <v>45360</v>
          </cell>
          <cell r="K382" t="str">
            <v>Sub</v>
          </cell>
          <cell r="L382" t="str">
            <v>Fixed Price; Level of Effort</v>
          </cell>
          <cell r="M382" t="str">
            <v>Fixed Price</v>
          </cell>
          <cell r="N382" t="str">
            <v>Identified - New</v>
          </cell>
          <cell r="O382" t="str">
            <v>02 Capture</v>
          </cell>
          <cell r="P382" t="str">
            <v>Priority 3</v>
          </cell>
          <cell r="Q382">
            <v>0.9</v>
          </cell>
          <cell r="R382">
            <v>1800000</v>
          </cell>
          <cell r="S382">
            <v>0.16200000000000001</v>
          </cell>
          <cell r="T382">
            <v>0.16200000000000001</v>
          </cell>
          <cell r="U382">
            <v>0.152</v>
          </cell>
          <cell r="V382">
            <v>0.152</v>
          </cell>
          <cell r="W382">
            <v>0.152</v>
          </cell>
          <cell r="X382">
            <v>7.0000000000000007E-2</v>
          </cell>
          <cell r="Y382">
            <v>7.0000000000000007E-2</v>
          </cell>
          <cell r="Z382">
            <v>0.06</v>
          </cell>
          <cell r="AA382">
            <v>0.06</v>
          </cell>
          <cell r="AB382">
            <v>0.06</v>
          </cell>
          <cell r="AC382">
            <v>450000</v>
          </cell>
          <cell r="AD382">
            <v>0</v>
          </cell>
          <cell r="AE382">
            <v>226125</v>
          </cell>
          <cell r="AF382">
            <v>405000</v>
          </cell>
          <cell r="AG382">
            <v>405000</v>
          </cell>
          <cell r="AH382">
            <v>405000</v>
          </cell>
          <cell r="AI382">
            <v>0</v>
          </cell>
          <cell r="AJ382">
            <v>36632.25</v>
          </cell>
          <cell r="AK382">
            <v>61560</v>
          </cell>
          <cell r="AL382">
            <v>61560</v>
          </cell>
          <cell r="AM382">
            <v>61560</v>
          </cell>
          <cell r="AN382">
            <v>0</v>
          </cell>
          <cell r="AO382">
            <v>15828.750000000002</v>
          </cell>
          <cell r="AP382">
            <v>24300</v>
          </cell>
          <cell r="AQ382">
            <v>24300</v>
          </cell>
          <cell r="AR382">
            <v>24300</v>
          </cell>
          <cell r="AT382" t="str">
            <v>OPP-663831 - Identified - New - IS4</v>
          </cell>
          <cell r="AU382">
            <v>88728.75</v>
          </cell>
          <cell r="AV382">
            <v>0</v>
          </cell>
          <cell r="AW382">
            <v>88728.75</v>
          </cell>
          <cell r="AX382">
            <v>0</v>
          </cell>
          <cell r="AZ382">
            <v>371</v>
          </cell>
          <cell r="BA382">
            <v>185</v>
          </cell>
          <cell r="BB382">
            <v>433</v>
          </cell>
        </row>
        <row r="383">
          <cell r="B383" t="str">
            <v>OPP-937358</v>
          </cell>
          <cell r="C383" t="str">
            <v>ONR FNC Program Recompete</v>
          </cell>
          <cell r="D383" t="str">
            <v>IS4</v>
          </cell>
          <cell r="E383" t="str">
            <v>IS4 Sustainment Engineering and Acquisition</v>
          </cell>
          <cell r="F383" t="str">
            <v>Commercial</v>
          </cell>
          <cell r="G383" t="str">
            <v xml:space="preserve">Commercial </v>
          </cell>
          <cell r="H383">
            <v>43987</v>
          </cell>
          <cell r="I383">
            <v>43990</v>
          </cell>
          <cell r="J383">
            <v>45816</v>
          </cell>
          <cell r="K383" t="str">
            <v>Sub</v>
          </cell>
          <cell r="L383" t="str">
            <v>Cost Plus Fixed Fee</v>
          </cell>
          <cell r="M383" t="str">
            <v>Cost Reimbursable</v>
          </cell>
          <cell r="N383" t="str">
            <v>Identified - New</v>
          </cell>
          <cell r="O383" t="str">
            <v>02 Capture</v>
          </cell>
          <cell r="P383" t="str">
            <v>Priority 3</v>
          </cell>
          <cell r="Q383">
            <v>0.5</v>
          </cell>
          <cell r="R383">
            <v>1000000</v>
          </cell>
          <cell r="S383">
            <v>0.16</v>
          </cell>
          <cell r="T383">
            <v>0.16</v>
          </cell>
          <cell r="U383">
            <v>0.16</v>
          </cell>
          <cell r="V383">
            <v>0.16</v>
          </cell>
          <cell r="W383">
            <v>0.16</v>
          </cell>
          <cell r="X383">
            <v>6.8000000000000005E-2</v>
          </cell>
          <cell r="Y383">
            <v>6.8000000000000005E-2</v>
          </cell>
          <cell r="Z383">
            <v>6.8000000000000005E-2</v>
          </cell>
          <cell r="AA383">
            <v>6.8000000000000005E-2</v>
          </cell>
          <cell r="AB383">
            <v>6.8000000000000005E-2</v>
          </cell>
          <cell r="AC383">
            <v>200000</v>
          </cell>
          <cell r="AD383">
            <v>0</v>
          </cell>
          <cell r="AE383">
            <v>31111.111111111113</v>
          </cell>
          <cell r="AF383">
            <v>100000</v>
          </cell>
          <cell r="AG383">
            <v>100000</v>
          </cell>
          <cell r="AH383">
            <v>100000</v>
          </cell>
          <cell r="AI383">
            <v>0</v>
          </cell>
          <cell r="AJ383">
            <v>4977.7777777777783</v>
          </cell>
          <cell r="AK383">
            <v>16000</v>
          </cell>
          <cell r="AL383">
            <v>16000</v>
          </cell>
          <cell r="AM383">
            <v>16000</v>
          </cell>
          <cell r="AN383">
            <v>0</v>
          </cell>
          <cell r="AO383">
            <v>2115.5555555555557</v>
          </cell>
          <cell r="AP383">
            <v>6800.0000000000009</v>
          </cell>
          <cell r="AQ383">
            <v>6800.0000000000009</v>
          </cell>
          <cell r="AR383">
            <v>6800.0000000000009</v>
          </cell>
          <cell r="AT383" t="str">
            <v>OPP-937358 - Identified - New - IS4</v>
          </cell>
          <cell r="AU383">
            <v>22515.555555555558</v>
          </cell>
          <cell r="AV383">
            <v>0</v>
          </cell>
          <cell r="AW383">
            <v>22515.555555555558</v>
          </cell>
          <cell r="AX383">
            <v>0</v>
          </cell>
          <cell r="AZ383">
            <v>372</v>
          </cell>
          <cell r="BA383">
            <v>229</v>
          </cell>
          <cell r="BB383">
            <v>434</v>
          </cell>
        </row>
        <row r="384">
          <cell r="B384" t="str">
            <v>OPP-914370</v>
          </cell>
          <cell r="C384" t="str">
            <v>NUWC Code 25 VA and Columbia Class NPES Support Re-Compete (Sub to SEA Corp)</v>
          </cell>
          <cell r="D384" t="str">
            <v>IS4</v>
          </cell>
          <cell r="E384" t="str">
            <v>IS4 Sustainment Engineering and Acquisition</v>
          </cell>
          <cell r="F384" t="str">
            <v>Navy</v>
          </cell>
          <cell r="G384" t="str">
            <v>DOD</v>
          </cell>
          <cell r="H384">
            <v>43735</v>
          </cell>
          <cell r="I384">
            <v>43766</v>
          </cell>
          <cell r="J384">
            <v>45593</v>
          </cell>
          <cell r="K384" t="str">
            <v>Sub</v>
          </cell>
          <cell r="L384" t="str">
            <v>Cost Plus Fixed Fee</v>
          </cell>
          <cell r="M384" t="str">
            <v>Cost Reimbursable</v>
          </cell>
          <cell r="N384" t="str">
            <v>Identified - New</v>
          </cell>
          <cell r="O384" t="str">
            <v>04 Submitted</v>
          </cell>
          <cell r="P384" t="str">
            <v>Priority 3</v>
          </cell>
          <cell r="Q384">
            <v>0.9</v>
          </cell>
          <cell r="R384">
            <v>800000</v>
          </cell>
          <cell r="S384">
            <v>0.16</v>
          </cell>
          <cell r="T384">
            <v>0.16</v>
          </cell>
          <cell r="U384">
            <v>0.16</v>
          </cell>
          <cell r="V384">
            <v>0.16</v>
          </cell>
          <cell r="W384">
            <v>0.16</v>
          </cell>
          <cell r="X384">
            <v>6.8000000000000005E-2</v>
          </cell>
          <cell r="Y384">
            <v>6.8000000000000005E-2</v>
          </cell>
          <cell r="Z384">
            <v>6.8000000000000005E-2</v>
          </cell>
          <cell r="AA384">
            <v>6.8000000000000005E-2</v>
          </cell>
          <cell r="AB384">
            <v>6.8000000000000005E-2</v>
          </cell>
          <cell r="AC384">
            <v>160000</v>
          </cell>
          <cell r="AD384">
            <v>0</v>
          </cell>
          <cell r="AE384">
            <v>132800</v>
          </cell>
          <cell r="AF384">
            <v>144000</v>
          </cell>
          <cell r="AG384">
            <v>144000</v>
          </cell>
          <cell r="AH384">
            <v>144000</v>
          </cell>
          <cell r="AI384">
            <v>0</v>
          </cell>
          <cell r="AJ384">
            <v>21248</v>
          </cell>
          <cell r="AK384">
            <v>23040</v>
          </cell>
          <cell r="AL384">
            <v>23040</v>
          </cell>
          <cell r="AM384">
            <v>23040</v>
          </cell>
          <cell r="AN384">
            <v>0</v>
          </cell>
          <cell r="AO384">
            <v>9030.4000000000015</v>
          </cell>
          <cell r="AP384">
            <v>9792</v>
          </cell>
          <cell r="AQ384">
            <v>9792</v>
          </cell>
          <cell r="AR384">
            <v>9792</v>
          </cell>
          <cell r="AT384" t="str">
            <v>OPP-914370 - Identified - New - IS4</v>
          </cell>
          <cell r="AU384">
            <v>38406.400000000001</v>
          </cell>
          <cell r="AV384">
            <v>0</v>
          </cell>
          <cell r="AW384">
            <v>38406.400000000001</v>
          </cell>
          <cell r="AX384">
            <v>0</v>
          </cell>
          <cell r="AZ384">
            <v>373</v>
          </cell>
          <cell r="BA384">
            <v>220</v>
          </cell>
          <cell r="BB384">
            <v>435</v>
          </cell>
        </row>
        <row r="385">
          <cell r="B385" t="str">
            <v>OPP-929067</v>
          </cell>
          <cell r="C385" t="str">
            <v>NTPS 19_Z167: NETC FLASH Conversion</v>
          </cell>
          <cell r="D385" t="str">
            <v>IS4</v>
          </cell>
          <cell r="E385" t="str">
            <v>IS4 Sustainment Engineering and Acquisition</v>
          </cell>
          <cell r="F385" t="str">
            <v>Navy</v>
          </cell>
          <cell r="G385" t="str">
            <v>DOD</v>
          </cell>
          <cell r="H385">
            <v>43798</v>
          </cell>
          <cell r="I385">
            <v>43826</v>
          </cell>
          <cell r="J385">
            <v>44192</v>
          </cell>
          <cell r="K385" t="str">
            <v>Prime</v>
          </cell>
          <cell r="L385" t="str">
            <v>Cost Plus Fixed Fee</v>
          </cell>
          <cell r="M385" t="str">
            <v>Cost Reimbursable</v>
          </cell>
          <cell r="N385" t="str">
            <v>Identified - New</v>
          </cell>
          <cell r="O385" t="str">
            <v>04 Submitted</v>
          </cell>
          <cell r="P385" t="str">
            <v>Priority 3</v>
          </cell>
          <cell r="Q385">
            <v>0.6</v>
          </cell>
          <cell r="R385">
            <v>750000</v>
          </cell>
          <cell r="S385">
            <v>0.16</v>
          </cell>
          <cell r="T385">
            <v>0.16</v>
          </cell>
          <cell r="U385">
            <v>0.16</v>
          </cell>
          <cell r="V385">
            <v>0.16</v>
          </cell>
          <cell r="W385">
            <v>0.16</v>
          </cell>
          <cell r="X385">
            <v>6.8000000000000005E-2</v>
          </cell>
          <cell r="Y385">
            <v>6.8000000000000005E-2</v>
          </cell>
          <cell r="Z385">
            <v>6.8000000000000005E-2</v>
          </cell>
          <cell r="AA385">
            <v>6.8000000000000005E-2</v>
          </cell>
          <cell r="AB385">
            <v>6.8000000000000005E-2</v>
          </cell>
          <cell r="AC385">
            <v>750000</v>
          </cell>
          <cell r="AD385">
            <v>0</v>
          </cell>
          <cell r="AE385">
            <v>341250</v>
          </cell>
          <cell r="AF385">
            <v>108750</v>
          </cell>
          <cell r="AG385">
            <v>0</v>
          </cell>
          <cell r="AH385">
            <v>0</v>
          </cell>
          <cell r="AI385">
            <v>0</v>
          </cell>
          <cell r="AJ385">
            <v>54600</v>
          </cell>
          <cell r="AK385">
            <v>17400</v>
          </cell>
          <cell r="AL385">
            <v>0</v>
          </cell>
          <cell r="AM385">
            <v>0</v>
          </cell>
          <cell r="AN385">
            <v>0</v>
          </cell>
          <cell r="AO385">
            <v>23205</v>
          </cell>
          <cell r="AP385">
            <v>7395.0000000000009</v>
          </cell>
          <cell r="AQ385">
            <v>0</v>
          </cell>
          <cell r="AR385">
            <v>0</v>
          </cell>
          <cell r="AT385" t="str">
            <v>OPP-929067 - Identified - New - IS4</v>
          </cell>
          <cell r="AU385">
            <v>30600</v>
          </cell>
          <cell r="AV385">
            <v>0</v>
          </cell>
          <cell r="AW385">
            <v>30600</v>
          </cell>
          <cell r="AX385">
            <v>0</v>
          </cell>
          <cell r="AZ385">
            <v>374</v>
          </cell>
          <cell r="BA385">
            <v>225</v>
          </cell>
          <cell r="BB385">
            <v>436</v>
          </cell>
        </row>
        <row r="386">
          <cell r="B386" t="str">
            <v>OPP-889280</v>
          </cell>
          <cell r="C386" t="str">
            <v>CNSL - Engineering and Tech Support</v>
          </cell>
          <cell r="D386" t="str">
            <v>IS4</v>
          </cell>
          <cell r="E386" t="str">
            <v>IS4 Sustainment Engineering and Acquisition</v>
          </cell>
          <cell r="F386" t="str">
            <v>Navy</v>
          </cell>
          <cell r="G386" t="str">
            <v>DOD</v>
          </cell>
          <cell r="H386">
            <v>43756</v>
          </cell>
          <cell r="I386">
            <v>43787</v>
          </cell>
          <cell r="J386">
            <v>45614</v>
          </cell>
          <cell r="K386" t="str">
            <v>Sub</v>
          </cell>
          <cell r="L386" t="str">
            <v>Cost Plus Fixed Fee</v>
          </cell>
          <cell r="M386" t="str">
            <v>Cost Reimbursable</v>
          </cell>
          <cell r="N386" t="str">
            <v>Identified - New</v>
          </cell>
          <cell r="O386" t="str">
            <v>02 Capture</v>
          </cell>
          <cell r="P386" t="str">
            <v>Priority 3</v>
          </cell>
          <cell r="Q386">
            <v>0.3</v>
          </cell>
          <cell r="R386">
            <v>650000</v>
          </cell>
          <cell r="S386">
            <v>0.16</v>
          </cell>
          <cell r="T386">
            <v>0.16</v>
          </cell>
          <cell r="U386">
            <v>0.16</v>
          </cell>
          <cell r="V386">
            <v>0.16</v>
          </cell>
          <cell r="W386">
            <v>0.16</v>
          </cell>
          <cell r="X386">
            <v>6.8000000000000005E-2</v>
          </cell>
          <cell r="Y386">
            <v>6.8000000000000005E-2</v>
          </cell>
          <cell r="Z386">
            <v>6.8000000000000005E-2</v>
          </cell>
          <cell r="AA386">
            <v>6.8000000000000005E-2</v>
          </cell>
          <cell r="AB386">
            <v>6.8000000000000005E-2</v>
          </cell>
          <cell r="AC386">
            <v>130000</v>
          </cell>
          <cell r="AD386">
            <v>0</v>
          </cell>
          <cell r="AE386">
            <v>33800</v>
          </cell>
          <cell r="AF386">
            <v>39000</v>
          </cell>
          <cell r="AG386">
            <v>39000</v>
          </cell>
          <cell r="AH386">
            <v>39000</v>
          </cell>
          <cell r="AI386">
            <v>0</v>
          </cell>
          <cell r="AJ386">
            <v>5408</v>
          </cell>
          <cell r="AK386">
            <v>6240</v>
          </cell>
          <cell r="AL386">
            <v>6240</v>
          </cell>
          <cell r="AM386">
            <v>6240</v>
          </cell>
          <cell r="AN386">
            <v>0</v>
          </cell>
          <cell r="AO386">
            <v>2298.4</v>
          </cell>
          <cell r="AP386">
            <v>2652</v>
          </cell>
          <cell r="AQ386">
            <v>2652</v>
          </cell>
          <cell r="AR386">
            <v>2652</v>
          </cell>
          <cell r="AT386" t="str">
            <v>OPP-889280 - Identified - New - IS4</v>
          </cell>
          <cell r="AU386">
            <v>10254.4</v>
          </cell>
          <cell r="AV386">
            <v>0</v>
          </cell>
          <cell r="AW386">
            <v>10254.4</v>
          </cell>
          <cell r="AX386">
            <v>0</v>
          </cell>
          <cell r="AZ386">
            <v>375</v>
          </cell>
          <cell r="BA386">
            <v>241</v>
          </cell>
          <cell r="BB386">
            <v>437</v>
          </cell>
        </row>
        <row r="387">
          <cell r="B387" t="str">
            <v>OPP-929062</v>
          </cell>
          <cell r="C387" t="str">
            <v>SOBT/EB: Flash to HTML 5 IMI Conversion #4</v>
          </cell>
          <cell r="D387" t="str">
            <v>IS4</v>
          </cell>
          <cell r="E387" t="str">
            <v>IS4 Sustainment Engineering and Acquisition</v>
          </cell>
          <cell r="F387" t="str">
            <v>Navy</v>
          </cell>
          <cell r="G387" t="str">
            <v>DOD</v>
          </cell>
          <cell r="H387">
            <v>43689</v>
          </cell>
          <cell r="I387">
            <v>43724</v>
          </cell>
          <cell r="J387">
            <v>44084</v>
          </cell>
          <cell r="K387" t="str">
            <v>Prime</v>
          </cell>
          <cell r="L387" t="str">
            <v>Fixed Price</v>
          </cell>
          <cell r="M387" t="str">
            <v>Fixed Price</v>
          </cell>
          <cell r="N387" t="str">
            <v>Identified - New</v>
          </cell>
          <cell r="O387" t="str">
            <v>05 Awarded/Won</v>
          </cell>
          <cell r="P387" t="str">
            <v>Priority 3</v>
          </cell>
          <cell r="Q387">
            <v>1</v>
          </cell>
          <cell r="R387">
            <v>190042</v>
          </cell>
          <cell r="S387">
            <v>0.17199999999999999</v>
          </cell>
          <cell r="T387">
            <v>0.17199999999999999</v>
          </cell>
          <cell r="U387">
            <v>0.17299999999999999</v>
          </cell>
          <cell r="V387">
            <v>0.17499999999999999</v>
          </cell>
          <cell r="W387">
            <v>0.18</v>
          </cell>
          <cell r="X387">
            <v>0.08</v>
          </cell>
          <cell r="Y387">
            <v>0.08</v>
          </cell>
          <cell r="Z387">
            <v>8.1000000000000003E-2</v>
          </cell>
          <cell r="AA387">
            <v>8.3000000000000004E-2</v>
          </cell>
          <cell r="AB387">
            <v>8.8000000000000009E-2</v>
          </cell>
          <cell r="AC387">
            <v>190042</v>
          </cell>
          <cell r="AD387">
            <v>0</v>
          </cell>
          <cell r="AE387">
            <v>190042</v>
          </cell>
          <cell r="AF387">
            <v>0</v>
          </cell>
          <cell r="AG387">
            <v>0</v>
          </cell>
          <cell r="AH387">
            <v>0</v>
          </cell>
          <cell r="AI387">
            <v>0</v>
          </cell>
          <cell r="AJ387">
            <v>32687.223999999998</v>
          </cell>
          <cell r="AK387">
            <v>0</v>
          </cell>
          <cell r="AL387">
            <v>0</v>
          </cell>
          <cell r="AM387">
            <v>0</v>
          </cell>
          <cell r="AN387">
            <v>0</v>
          </cell>
          <cell r="AO387">
            <v>15203.36</v>
          </cell>
          <cell r="AP387">
            <v>0</v>
          </cell>
          <cell r="AQ387">
            <v>0</v>
          </cell>
          <cell r="AR387">
            <v>0</v>
          </cell>
          <cell r="AT387" t="str">
            <v>OPP-929062 - Identified - New - IS4</v>
          </cell>
          <cell r="AU387">
            <v>15203.36</v>
          </cell>
          <cell r="AV387">
            <v>0</v>
          </cell>
          <cell r="AW387">
            <v>15203.36</v>
          </cell>
          <cell r="AX387">
            <v>0</v>
          </cell>
          <cell r="AZ387">
            <v>376</v>
          </cell>
          <cell r="BA387">
            <v>238</v>
          </cell>
          <cell r="BB387">
            <v>438</v>
          </cell>
        </row>
        <row r="388">
          <cell r="B388" t="str">
            <v>OPP-516981</v>
          </cell>
          <cell r="C388" t="str">
            <v>Bigger Blue Shipboard Systems Modernization (Epsilon)</v>
          </cell>
          <cell r="D388" t="str">
            <v>IS4</v>
          </cell>
          <cell r="E388" t="str">
            <v>IS4 Sustainment Engineering and Acquisition</v>
          </cell>
          <cell r="F388" t="str">
            <v>Navy</v>
          </cell>
          <cell r="G388" t="str">
            <v>DOD</v>
          </cell>
          <cell r="H388">
            <v>43735</v>
          </cell>
          <cell r="I388">
            <v>43761</v>
          </cell>
          <cell r="J388">
            <v>45588</v>
          </cell>
          <cell r="K388" t="str">
            <v>Sub</v>
          </cell>
          <cell r="L388" t="str">
            <v>Hybrid/Mixed Cost-Plus/Fixed</v>
          </cell>
          <cell r="M388" t="str">
            <v>Other</v>
          </cell>
          <cell r="N388" t="str">
            <v>Identified - New</v>
          </cell>
          <cell r="O388" t="str">
            <v>04 Submitted</v>
          </cell>
          <cell r="P388" t="str">
            <v>Priority 3</v>
          </cell>
          <cell r="Q388">
            <v>0.9</v>
          </cell>
          <cell r="R388">
            <v>10000</v>
          </cell>
          <cell r="S388">
            <v>0.182</v>
          </cell>
          <cell r="T388">
            <v>0.182</v>
          </cell>
          <cell r="U388">
            <v>0.184</v>
          </cell>
          <cell r="V388">
            <v>0.189</v>
          </cell>
          <cell r="W388">
            <v>0.19400000000000001</v>
          </cell>
          <cell r="X388">
            <v>0.09</v>
          </cell>
          <cell r="Y388">
            <v>0.09</v>
          </cell>
          <cell r="Z388">
            <v>9.1999999999999998E-2</v>
          </cell>
          <cell r="AA388">
            <v>9.7000000000000003E-2</v>
          </cell>
          <cell r="AB388">
            <v>0.10200000000000001</v>
          </cell>
          <cell r="AC388">
            <v>2000</v>
          </cell>
          <cell r="AD388">
            <v>0</v>
          </cell>
          <cell r="AE388">
            <v>1685</v>
          </cell>
          <cell r="AF388">
            <v>1800</v>
          </cell>
          <cell r="AG388">
            <v>1800</v>
          </cell>
          <cell r="AH388">
            <v>1800</v>
          </cell>
          <cell r="AI388">
            <v>0</v>
          </cell>
          <cell r="AJ388">
            <v>306.67</v>
          </cell>
          <cell r="AK388">
            <v>331.2</v>
          </cell>
          <cell r="AL388">
            <v>340.2</v>
          </cell>
          <cell r="AM388">
            <v>349.2</v>
          </cell>
          <cell r="AN388">
            <v>0</v>
          </cell>
          <cell r="AO388">
            <v>151.65</v>
          </cell>
          <cell r="AP388">
            <v>165.6</v>
          </cell>
          <cell r="AQ388">
            <v>174.6</v>
          </cell>
          <cell r="AR388">
            <v>183.60000000000002</v>
          </cell>
          <cell r="AT388" t="str">
            <v>OPP-516981 - Identified - New - IS4</v>
          </cell>
          <cell r="AU388">
            <v>675.45</v>
          </cell>
          <cell r="AV388">
            <v>0</v>
          </cell>
          <cell r="AW388">
            <v>675.45</v>
          </cell>
          <cell r="AX388">
            <v>0</v>
          </cell>
          <cell r="AZ388">
            <v>377</v>
          </cell>
          <cell r="BA388">
            <v>250</v>
          </cell>
          <cell r="BB388">
            <v>439</v>
          </cell>
        </row>
        <row r="389">
          <cell r="B389" t="str">
            <v>OPP-658915</v>
          </cell>
          <cell r="C389" t="str">
            <v>NSWCPD Habitability Services Recompete</v>
          </cell>
          <cell r="D389" t="str">
            <v>IS4</v>
          </cell>
          <cell r="E389" t="str">
            <v>IS4 Sustainment Engineering and Acquisition</v>
          </cell>
          <cell r="F389" t="str">
            <v>Navy</v>
          </cell>
          <cell r="G389" t="str">
            <v>DOD</v>
          </cell>
          <cell r="H389">
            <v>43801</v>
          </cell>
          <cell r="I389">
            <v>43864</v>
          </cell>
          <cell r="J389">
            <v>45691</v>
          </cell>
          <cell r="K389" t="str">
            <v>Sub</v>
          </cell>
          <cell r="L389" t="str">
            <v>Cost Plus Fixed Fee; Fixed Price</v>
          </cell>
          <cell r="M389" t="str">
            <v>Cost Reimbursable</v>
          </cell>
          <cell r="N389" t="str">
            <v>Identified - New</v>
          </cell>
          <cell r="O389" t="str">
            <v>04 Submitted</v>
          </cell>
          <cell r="P389" t="str">
            <v>Priority 3</v>
          </cell>
          <cell r="Q389">
            <v>0.6</v>
          </cell>
          <cell r="R389">
            <v>10000</v>
          </cell>
          <cell r="S389">
            <v>0.16</v>
          </cell>
          <cell r="T389">
            <v>0.16</v>
          </cell>
          <cell r="U389">
            <v>0.16</v>
          </cell>
          <cell r="V389">
            <v>0.16</v>
          </cell>
          <cell r="W389">
            <v>0.16</v>
          </cell>
          <cell r="X389">
            <v>6.8000000000000005E-2</v>
          </cell>
          <cell r="Y389">
            <v>6.8000000000000005E-2</v>
          </cell>
          <cell r="Z389">
            <v>6.8000000000000005E-2</v>
          </cell>
          <cell r="AA389">
            <v>6.8000000000000005E-2</v>
          </cell>
          <cell r="AB389">
            <v>6.8000000000000005E-2</v>
          </cell>
          <cell r="AC389">
            <v>2000</v>
          </cell>
          <cell r="AD389">
            <v>0</v>
          </cell>
          <cell r="AE389">
            <v>790</v>
          </cell>
          <cell r="AF389">
            <v>1200</v>
          </cell>
          <cell r="AG389">
            <v>1200</v>
          </cell>
          <cell r="AH389">
            <v>1200</v>
          </cell>
          <cell r="AI389">
            <v>0</v>
          </cell>
          <cell r="AJ389">
            <v>126.4</v>
          </cell>
          <cell r="AK389">
            <v>192</v>
          </cell>
          <cell r="AL389">
            <v>192</v>
          </cell>
          <cell r="AM389">
            <v>192</v>
          </cell>
          <cell r="AN389">
            <v>0</v>
          </cell>
          <cell r="AO389">
            <v>53.720000000000006</v>
          </cell>
          <cell r="AP389">
            <v>81.600000000000009</v>
          </cell>
          <cell r="AQ389">
            <v>81.600000000000009</v>
          </cell>
          <cell r="AR389">
            <v>81.600000000000009</v>
          </cell>
          <cell r="AT389" t="str">
            <v>OPP-658915 - Identified - New - IS4</v>
          </cell>
          <cell r="AU389">
            <v>298.52000000000004</v>
          </cell>
          <cell r="AV389">
            <v>0</v>
          </cell>
          <cell r="AW389">
            <v>298.52000000000004</v>
          </cell>
          <cell r="AX389">
            <v>0</v>
          </cell>
          <cell r="AZ389">
            <v>378</v>
          </cell>
          <cell r="BA389">
            <v>253</v>
          </cell>
          <cell r="BB389">
            <v>440</v>
          </cell>
        </row>
        <row r="390">
          <cell r="B390" t="str">
            <v>OPP-721106</v>
          </cell>
          <cell r="C390" t="str">
            <v>Carrier Engineering Maintenance Assist Team/Surface Engineering Maintenance Assist Team (CEMAT/SEMAT) Recompete</v>
          </cell>
          <cell r="D390" t="str">
            <v>IS4</v>
          </cell>
          <cell r="E390" t="str">
            <v>IS4 Sustainment Engineering and Acquisition</v>
          </cell>
          <cell r="F390" t="str">
            <v>Navy</v>
          </cell>
          <cell r="G390" t="str">
            <v>DOD</v>
          </cell>
          <cell r="H390">
            <v>44256</v>
          </cell>
          <cell r="I390">
            <v>44291</v>
          </cell>
          <cell r="J390">
            <v>46117</v>
          </cell>
          <cell r="K390" t="str">
            <v>Sub</v>
          </cell>
          <cell r="L390" t="str">
            <v>Cost Plus Fixed Fee</v>
          </cell>
          <cell r="M390" t="str">
            <v>Cost Reimbursable</v>
          </cell>
          <cell r="N390" t="str">
            <v>Identified - New</v>
          </cell>
          <cell r="O390" t="str">
            <v>02 Capture</v>
          </cell>
          <cell r="P390" t="str">
            <v>Priority 3</v>
          </cell>
          <cell r="Q390">
            <v>0.9</v>
          </cell>
          <cell r="R390">
            <v>10000</v>
          </cell>
          <cell r="S390">
            <v>0.16</v>
          </cell>
          <cell r="T390">
            <v>0.16</v>
          </cell>
          <cell r="U390">
            <v>0.16</v>
          </cell>
          <cell r="V390">
            <v>0.16</v>
          </cell>
          <cell r="W390">
            <v>0.16</v>
          </cell>
          <cell r="X390">
            <v>6.8000000000000005E-2</v>
          </cell>
          <cell r="Y390">
            <v>6.8000000000000005E-2</v>
          </cell>
          <cell r="Z390">
            <v>6.8000000000000005E-2</v>
          </cell>
          <cell r="AA390">
            <v>6.8000000000000005E-2</v>
          </cell>
          <cell r="AB390">
            <v>6.8000000000000005E-2</v>
          </cell>
          <cell r="AC390">
            <v>2000</v>
          </cell>
          <cell r="AD390">
            <v>0</v>
          </cell>
          <cell r="AE390">
            <v>0</v>
          </cell>
          <cell r="AF390">
            <v>875</v>
          </cell>
          <cell r="AG390">
            <v>1800</v>
          </cell>
          <cell r="AH390">
            <v>1800</v>
          </cell>
          <cell r="AI390">
            <v>0</v>
          </cell>
          <cell r="AJ390">
            <v>0</v>
          </cell>
          <cell r="AK390">
            <v>140</v>
          </cell>
          <cell r="AL390">
            <v>288</v>
          </cell>
          <cell r="AM390">
            <v>288</v>
          </cell>
          <cell r="AN390">
            <v>0</v>
          </cell>
          <cell r="AO390">
            <v>0</v>
          </cell>
          <cell r="AP390">
            <v>59.500000000000007</v>
          </cell>
          <cell r="AQ390">
            <v>122.4</v>
          </cell>
          <cell r="AR390">
            <v>122.4</v>
          </cell>
          <cell r="AT390" t="str">
            <v>OPP-721106 - Identified - New - IS4</v>
          </cell>
          <cell r="AU390">
            <v>304.3</v>
          </cell>
          <cell r="AV390">
            <v>0</v>
          </cell>
          <cell r="AW390">
            <v>304.3</v>
          </cell>
          <cell r="AX390">
            <v>0</v>
          </cell>
          <cell r="AZ390">
            <v>379</v>
          </cell>
          <cell r="BA390">
            <v>252</v>
          </cell>
          <cell r="BB390">
            <v>441</v>
          </cell>
        </row>
        <row r="391">
          <cell r="B391" t="str">
            <v>OPP-902554</v>
          </cell>
          <cell r="C391" t="str">
            <v>Decommissioning of NS Savannah</v>
          </cell>
          <cell r="D391" t="str">
            <v>NE</v>
          </cell>
          <cell r="E391" t="str">
            <v>NE DD and WM Projects</v>
          </cell>
          <cell r="F391" t="str">
            <v>Federal Civilian</v>
          </cell>
          <cell r="G391" t="str">
            <v>Federal Civilian</v>
          </cell>
          <cell r="H391">
            <v>44169</v>
          </cell>
          <cell r="I391">
            <v>44183</v>
          </cell>
          <cell r="J391">
            <v>45644</v>
          </cell>
          <cell r="K391" t="str">
            <v>Prime</v>
          </cell>
          <cell r="L391" t="str">
            <v>Hybrid/Mixed Cost-Plus/Fixed</v>
          </cell>
          <cell r="M391" t="str">
            <v>Other</v>
          </cell>
          <cell r="N391" t="str">
            <v>Identified - New</v>
          </cell>
          <cell r="O391" t="str">
            <v>01 Prospect</v>
          </cell>
          <cell r="P391" t="str">
            <v>Priority 3</v>
          </cell>
          <cell r="Q391">
            <v>0.25</v>
          </cell>
          <cell r="R391">
            <v>25000000</v>
          </cell>
          <cell r="S391">
            <v>0</v>
          </cell>
          <cell r="T391">
            <v>0.3</v>
          </cell>
          <cell r="U391">
            <v>0.3</v>
          </cell>
          <cell r="V391">
            <v>0.3</v>
          </cell>
          <cell r="W391">
            <v>0.3</v>
          </cell>
          <cell r="X391">
            <v>0</v>
          </cell>
          <cell r="Y391">
            <v>0.04</v>
          </cell>
          <cell r="Z391">
            <v>4.2999999999999997E-2</v>
          </cell>
          <cell r="AA391">
            <v>4.5999999999999999E-2</v>
          </cell>
          <cell r="AB391">
            <v>4.9000000000000002E-2</v>
          </cell>
          <cell r="AC391">
            <v>6250000</v>
          </cell>
          <cell r="AD391">
            <v>0</v>
          </cell>
          <cell r="AE391">
            <v>0</v>
          </cell>
          <cell r="AF391">
            <v>1223958.3333333333</v>
          </cell>
          <cell r="AG391">
            <v>1562500</v>
          </cell>
          <cell r="AH391">
            <v>1562500</v>
          </cell>
          <cell r="AI391">
            <v>0</v>
          </cell>
          <cell r="AJ391">
            <v>0</v>
          </cell>
          <cell r="AK391">
            <v>367187.49999999994</v>
          </cell>
          <cell r="AL391">
            <v>468750</v>
          </cell>
          <cell r="AM391">
            <v>468750</v>
          </cell>
          <cell r="AN391">
            <v>0</v>
          </cell>
          <cell r="AO391">
            <v>0</v>
          </cell>
          <cell r="AP391">
            <v>52630.208333333328</v>
          </cell>
          <cell r="AQ391">
            <v>71875</v>
          </cell>
          <cell r="AR391">
            <v>76562.5</v>
          </cell>
          <cell r="AT391" t="str">
            <v>OPP-902554 - Identified - New - NE</v>
          </cell>
          <cell r="AU391">
            <v>201067.70833333331</v>
          </cell>
          <cell r="AV391">
            <v>0</v>
          </cell>
          <cell r="AW391">
            <v>0</v>
          </cell>
          <cell r="AX391">
            <v>201067.70833333331</v>
          </cell>
          <cell r="AZ391">
            <v>380</v>
          </cell>
          <cell r="BA391">
            <v>380</v>
          </cell>
          <cell r="BB391">
            <v>30</v>
          </cell>
        </row>
        <row r="392">
          <cell r="B392" t="str">
            <v>OPP-956823</v>
          </cell>
          <cell r="C392" t="str">
            <v>DOE Santa Susana Field Laboratory Environmental Remediation</v>
          </cell>
          <cell r="D392" t="str">
            <v>NE</v>
          </cell>
          <cell r="E392" t="str">
            <v>NE HLW &amp; NNSA Operations</v>
          </cell>
          <cell r="F392" t="str">
            <v>DOE</v>
          </cell>
          <cell r="G392" t="str">
            <v>DOE</v>
          </cell>
          <cell r="H392">
            <v>44092</v>
          </cell>
          <cell r="I392">
            <v>44137</v>
          </cell>
          <cell r="J392">
            <v>44867</v>
          </cell>
          <cell r="K392" t="str">
            <v>Prime</v>
          </cell>
          <cell r="L392" t="str">
            <v>Cost Plus Fixed Fee</v>
          </cell>
          <cell r="M392" t="str">
            <v>Cost Reimbursable</v>
          </cell>
          <cell r="N392" t="str">
            <v>Identified - New</v>
          </cell>
          <cell r="O392" t="str">
            <v>01 Prospect</v>
          </cell>
          <cell r="P392" t="str">
            <v>Priority 3</v>
          </cell>
          <cell r="Q392">
            <v>0.35</v>
          </cell>
          <cell r="R392">
            <v>15000000</v>
          </cell>
          <cell r="S392">
            <v>0</v>
          </cell>
          <cell r="T392">
            <v>0.3</v>
          </cell>
          <cell r="U392">
            <v>0.3</v>
          </cell>
          <cell r="V392">
            <v>0.3</v>
          </cell>
          <cell r="W392">
            <v>0.3</v>
          </cell>
          <cell r="X392">
            <v>0</v>
          </cell>
          <cell r="Y392">
            <v>0.05</v>
          </cell>
          <cell r="Z392">
            <v>5.2999999999999999E-2</v>
          </cell>
          <cell r="AA392">
            <v>5.6000000000000001E-2</v>
          </cell>
          <cell r="AB392">
            <v>5.8999999999999997E-2</v>
          </cell>
          <cell r="AC392">
            <v>7500000</v>
          </cell>
          <cell r="AD392">
            <v>0</v>
          </cell>
          <cell r="AE392">
            <v>0</v>
          </cell>
          <cell r="AF392">
            <v>2391666.6666666665</v>
          </cell>
          <cell r="AG392">
            <v>2625000</v>
          </cell>
          <cell r="AH392">
            <v>233333.33333333395</v>
          </cell>
          <cell r="AI392">
            <v>0</v>
          </cell>
          <cell r="AJ392">
            <v>0</v>
          </cell>
          <cell r="AK392">
            <v>717499.99999999988</v>
          </cell>
          <cell r="AL392">
            <v>787500</v>
          </cell>
          <cell r="AM392">
            <v>70000.000000000189</v>
          </cell>
          <cell r="AN392">
            <v>0</v>
          </cell>
          <cell r="AO392">
            <v>0</v>
          </cell>
          <cell r="AP392">
            <v>126758.33333333333</v>
          </cell>
          <cell r="AQ392">
            <v>147000</v>
          </cell>
          <cell r="AR392">
            <v>13766.666666666702</v>
          </cell>
          <cell r="AT392" t="str">
            <v>OPP-956823 - Identified - New - NE</v>
          </cell>
          <cell r="AU392">
            <v>287525</v>
          </cell>
          <cell r="AV392">
            <v>0</v>
          </cell>
          <cell r="AW392">
            <v>0</v>
          </cell>
          <cell r="AX392">
            <v>287525</v>
          </cell>
          <cell r="AZ392">
            <v>381</v>
          </cell>
          <cell r="BA392">
            <v>381</v>
          </cell>
          <cell r="BB392">
            <v>23</v>
          </cell>
        </row>
        <row r="393">
          <cell r="B393" t="str">
            <v>OPP-477130</v>
          </cell>
          <cell r="C393" t="str">
            <v>MSA: Reactor Decomm: Consultancy Services to Support Decommissioning Activities (FY19 Placeholder-MS Portion)</v>
          </cell>
          <cell r="D393" t="str">
            <v>NE</v>
          </cell>
          <cell r="E393" t="str">
            <v>NE International Programs</v>
          </cell>
          <cell r="F393" t="str">
            <v>UK-NDA</v>
          </cell>
          <cell r="G393" t="str">
            <v>Non-US Gov't</v>
          </cell>
          <cell r="H393">
            <v>43723</v>
          </cell>
          <cell r="I393">
            <v>43738</v>
          </cell>
          <cell r="J393">
            <v>44104</v>
          </cell>
          <cell r="K393" t="str">
            <v>Prime</v>
          </cell>
          <cell r="L393" t="str">
            <v>T&amp;M</v>
          </cell>
          <cell r="M393" t="str">
            <v>T&amp;M</v>
          </cell>
          <cell r="N393" t="str">
            <v>Identified - New</v>
          </cell>
          <cell r="O393" t="str">
            <v>02 Capture</v>
          </cell>
          <cell r="P393" t="str">
            <v>Priority 3</v>
          </cell>
          <cell r="Q393">
            <v>0.6</v>
          </cell>
          <cell r="R393">
            <v>80000</v>
          </cell>
          <cell r="S393">
            <v>0</v>
          </cell>
          <cell r="T393">
            <v>0.16</v>
          </cell>
          <cell r="U393">
            <v>0.16</v>
          </cell>
          <cell r="V393">
            <v>0.16</v>
          </cell>
          <cell r="W393">
            <v>0.16</v>
          </cell>
          <cell r="X393">
            <v>0</v>
          </cell>
          <cell r="Y393">
            <v>5.1000000000000004E-2</v>
          </cell>
          <cell r="Z393">
            <v>5.2500000000000005E-2</v>
          </cell>
          <cell r="AA393">
            <v>5.5E-2</v>
          </cell>
          <cell r="AB393">
            <v>5.7500000000000002E-2</v>
          </cell>
          <cell r="AC393">
            <v>80000</v>
          </cell>
          <cell r="AD393">
            <v>0</v>
          </cell>
          <cell r="AE393">
            <v>48000</v>
          </cell>
          <cell r="AF393">
            <v>0</v>
          </cell>
          <cell r="AG393">
            <v>0</v>
          </cell>
          <cell r="AH393">
            <v>0</v>
          </cell>
          <cell r="AI393">
            <v>0</v>
          </cell>
          <cell r="AJ393">
            <v>7680</v>
          </cell>
          <cell r="AK393">
            <v>0</v>
          </cell>
          <cell r="AL393">
            <v>0</v>
          </cell>
          <cell r="AM393">
            <v>0</v>
          </cell>
          <cell r="AN393">
            <v>0</v>
          </cell>
          <cell r="AO393">
            <v>2448</v>
          </cell>
          <cell r="AP393">
            <v>0</v>
          </cell>
          <cell r="AQ393">
            <v>0</v>
          </cell>
          <cell r="AR393">
            <v>0</v>
          </cell>
          <cell r="AT393" t="str">
            <v>OPP-477130 - Identified - New - NE</v>
          </cell>
          <cell r="AU393">
            <v>2448</v>
          </cell>
          <cell r="AV393">
            <v>0</v>
          </cell>
          <cell r="AW393">
            <v>0</v>
          </cell>
          <cell r="AX393">
            <v>2448</v>
          </cell>
          <cell r="AZ393">
            <v>382</v>
          </cell>
          <cell r="BA393">
            <v>382</v>
          </cell>
          <cell r="BB393">
            <v>61</v>
          </cell>
        </row>
        <row r="394">
          <cell r="B394" t="str">
            <v>OPP-942042</v>
          </cell>
          <cell r="C394" t="str">
            <v>Large Metal Objects Processing - Heat Exchangers</v>
          </cell>
          <cell r="D394" t="str">
            <v>NE</v>
          </cell>
          <cell r="E394" t="str">
            <v>NE International Programs</v>
          </cell>
          <cell r="F394" t="str">
            <v>Other Foreign Gov't</v>
          </cell>
          <cell r="G394" t="str">
            <v>Non-US Gov't</v>
          </cell>
          <cell r="H394">
            <v>43739</v>
          </cell>
          <cell r="I394">
            <v>43739</v>
          </cell>
          <cell r="J394">
            <v>44105</v>
          </cell>
          <cell r="K394" t="str">
            <v>Prime</v>
          </cell>
          <cell r="L394" t="str">
            <v>Cost Plus Award Fee</v>
          </cell>
          <cell r="M394" t="str">
            <v>Cost Reimbursable</v>
          </cell>
          <cell r="N394" t="str">
            <v>Identified - New</v>
          </cell>
          <cell r="O394" t="str">
            <v>03 Proposal</v>
          </cell>
          <cell r="P394" t="str">
            <v>Priority 3</v>
          </cell>
          <cell r="Q394">
            <v>0.35</v>
          </cell>
          <cell r="R394">
            <v>15200005.470000001</v>
          </cell>
          <cell r="S394">
            <v>0</v>
          </cell>
          <cell r="T394">
            <v>0.16</v>
          </cell>
          <cell r="U394">
            <v>0.16</v>
          </cell>
          <cell r="V394">
            <v>0.16</v>
          </cell>
          <cell r="W394">
            <v>0.16</v>
          </cell>
          <cell r="X394">
            <v>0</v>
          </cell>
          <cell r="Y394">
            <v>0.05</v>
          </cell>
          <cell r="Z394">
            <v>5.2999999999999999E-2</v>
          </cell>
          <cell r="AA394">
            <v>5.6000000000000001E-2</v>
          </cell>
          <cell r="AB394">
            <v>5.8999999999999997E-2</v>
          </cell>
          <cell r="AC394">
            <v>15200005.470000001</v>
          </cell>
          <cell r="AD394">
            <v>0</v>
          </cell>
          <cell r="AE394">
            <v>5305224.131404167</v>
          </cell>
          <cell r="AF394">
            <v>14777.783095832914</v>
          </cell>
          <cell r="AG394">
            <v>0</v>
          </cell>
          <cell r="AH394">
            <v>0</v>
          </cell>
          <cell r="AI394">
            <v>0</v>
          </cell>
          <cell r="AJ394">
            <v>848835.86102466669</v>
          </cell>
          <cell r="AK394">
            <v>2364.4452953332661</v>
          </cell>
          <cell r="AL394">
            <v>0</v>
          </cell>
          <cell r="AM394">
            <v>0</v>
          </cell>
          <cell r="AN394">
            <v>0</v>
          </cell>
          <cell r="AO394">
            <v>265261.20657020836</v>
          </cell>
          <cell r="AP394">
            <v>783.22250407914441</v>
          </cell>
          <cell r="AQ394">
            <v>0</v>
          </cell>
          <cell r="AR394">
            <v>0</v>
          </cell>
          <cell r="AT394" t="str">
            <v>OPP-942042 - Identified - New - NE</v>
          </cell>
          <cell r="AU394">
            <v>266044.42907428753</v>
          </cell>
          <cell r="AV394">
            <v>0</v>
          </cell>
          <cell r="AW394">
            <v>0</v>
          </cell>
          <cell r="AX394">
            <v>266044.42907428753</v>
          </cell>
          <cell r="AZ394">
            <v>383</v>
          </cell>
          <cell r="BA394">
            <v>383</v>
          </cell>
          <cell r="BB394">
            <v>24</v>
          </cell>
        </row>
        <row r="395">
          <cell r="B395" t="str">
            <v>OPP-938708</v>
          </cell>
          <cell r="C395" t="str">
            <v>Japan - Kansai Reactors D&amp;D</v>
          </cell>
          <cell r="D395" t="str">
            <v>NE</v>
          </cell>
          <cell r="E395" t="str">
            <v>NE International Programs</v>
          </cell>
          <cell r="F395" t="str">
            <v>Commercial</v>
          </cell>
          <cell r="G395" t="str">
            <v xml:space="preserve">Commercial </v>
          </cell>
          <cell r="H395">
            <v>43799</v>
          </cell>
          <cell r="I395">
            <v>43799</v>
          </cell>
          <cell r="J395">
            <v>47452</v>
          </cell>
          <cell r="K395" t="str">
            <v>Prime</v>
          </cell>
          <cell r="L395" t="str">
            <v>Cost Plus Award Fee</v>
          </cell>
          <cell r="M395" t="str">
            <v>Other</v>
          </cell>
          <cell r="N395" t="str">
            <v>Identified - New</v>
          </cell>
          <cell r="O395" t="str">
            <v>01 Prospect</v>
          </cell>
          <cell r="P395" t="str">
            <v>Priority 1</v>
          </cell>
          <cell r="Q395">
            <v>0.15</v>
          </cell>
          <cell r="R395">
            <v>15000000</v>
          </cell>
          <cell r="S395">
            <v>0</v>
          </cell>
          <cell r="T395">
            <v>0.16</v>
          </cell>
          <cell r="U395">
            <v>0.16</v>
          </cell>
          <cell r="V395">
            <v>0.16</v>
          </cell>
          <cell r="W395">
            <v>0.16</v>
          </cell>
          <cell r="X395">
            <v>0</v>
          </cell>
          <cell r="Y395">
            <v>0.05</v>
          </cell>
          <cell r="Z395">
            <v>5.2999999999999999E-2</v>
          </cell>
          <cell r="AA395">
            <v>5.6000000000000001E-2</v>
          </cell>
          <cell r="AB395">
            <v>5.8999999999999997E-2</v>
          </cell>
          <cell r="AC395">
            <v>1500000</v>
          </cell>
          <cell r="AD395">
            <v>0</v>
          </cell>
          <cell r="AE395">
            <v>187500</v>
          </cell>
          <cell r="AF395">
            <v>225000</v>
          </cell>
          <cell r="AG395">
            <v>225000</v>
          </cell>
          <cell r="AH395">
            <v>225000</v>
          </cell>
          <cell r="AI395">
            <v>0</v>
          </cell>
          <cell r="AJ395">
            <v>30000</v>
          </cell>
          <cell r="AK395">
            <v>36000</v>
          </cell>
          <cell r="AL395">
            <v>36000</v>
          </cell>
          <cell r="AM395">
            <v>36000</v>
          </cell>
          <cell r="AN395">
            <v>0</v>
          </cell>
          <cell r="AO395">
            <v>9375</v>
          </cell>
          <cell r="AP395">
            <v>11925</v>
          </cell>
          <cell r="AQ395">
            <v>12600</v>
          </cell>
          <cell r="AR395">
            <v>13275</v>
          </cell>
          <cell r="AT395" t="str">
            <v>OPP-938708 - Identified - New - NE</v>
          </cell>
          <cell r="AU395">
            <v>47175</v>
          </cell>
          <cell r="AV395">
            <v>0</v>
          </cell>
          <cell r="AW395">
            <v>0</v>
          </cell>
          <cell r="AX395">
            <v>47175</v>
          </cell>
          <cell r="AZ395">
            <v>384</v>
          </cell>
          <cell r="BA395">
            <v>384</v>
          </cell>
          <cell r="BB395">
            <v>46</v>
          </cell>
        </row>
        <row r="396">
          <cell r="B396" t="str">
            <v>OPP-749642</v>
          </cell>
          <cell r="C396" t="str">
            <v>Japan-NDF- Fukushima Long Term D&amp;D Planning Phase-2</v>
          </cell>
          <cell r="D396" t="str">
            <v>NE</v>
          </cell>
          <cell r="E396" t="str">
            <v>NE International Programs</v>
          </cell>
          <cell r="F396" t="str">
            <v>Other Foreign Gov't</v>
          </cell>
          <cell r="G396" t="str">
            <v>Non-US Gov't</v>
          </cell>
          <cell r="H396">
            <v>43799</v>
          </cell>
          <cell r="I396">
            <v>43799</v>
          </cell>
          <cell r="J396">
            <v>44104</v>
          </cell>
          <cell r="K396" t="str">
            <v>Prime</v>
          </cell>
          <cell r="L396" t="str">
            <v>Fixed Price</v>
          </cell>
          <cell r="M396" t="str">
            <v>Fixed Price</v>
          </cell>
          <cell r="N396" t="str">
            <v>Identified - New</v>
          </cell>
          <cell r="O396" t="str">
            <v>03 Proposal</v>
          </cell>
          <cell r="P396" t="str">
            <v>Priority 3</v>
          </cell>
          <cell r="Q396">
            <v>0.5</v>
          </cell>
          <cell r="R396">
            <v>300000</v>
          </cell>
          <cell r="S396">
            <v>0</v>
          </cell>
          <cell r="T396">
            <v>0.16</v>
          </cell>
          <cell r="U396">
            <v>0.16</v>
          </cell>
          <cell r="V396">
            <v>0.16</v>
          </cell>
          <cell r="W396">
            <v>0.16</v>
          </cell>
          <cell r="X396">
            <v>0</v>
          </cell>
          <cell r="Y396">
            <v>5.1000000000000004E-2</v>
          </cell>
          <cell r="Z396">
            <v>5.2500000000000005E-2</v>
          </cell>
          <cell r="AA396">
            <v>5.5E-2</v>
          </cell>
          <cell r="AB396">
            <v>5.7500000000000002E-2</v>
          </cell>
          <cell r="AC396">
            <v>300000</v>
          </cell>
          <cell r="AD396">
            <v>0</v>
          </cell>
          <cell r="AE396">
            <v>125000</v>
          </cell>
          <cell r="AF396">
            <v>25000</v>
          </cell>
          <cell r="AG396">
            <v>0</v>
          </cell>
          <cell r="AH396">
            <v>0</v>
          </cell>
          <cell r="AI396">
            <v>0</v>
          </cell>
          <cell r="AJ396">
            <v>20000</v>
          </cell>
          <cell r="AK396">
            <v>4000</v>
          </cell>
          <cell r="AL396">
            <v>0</v>
          </cell>
          <cell r="AM396">
            <v>0</v>
          </cell>
          <cell r="AN396">
            <v>0</v>
          </cell>
          <cell r="AO396">
            <v>6375.0000000000009</v>
          </cell>
          <cell r="AP396">
            <v>1312.5000000000002</v>
          </cell>
          <cell r="AQ396">
            <v>0</v>
          </cell>
          <cell r="AR396">
            <v>0</v>
          </cell>
          <cell r="AT396" t="str">
            <v>OPP-749642 - Identified - New - NE</v>
          </cell>
          <cell r="AU396">
            <v>7687.5000000000009</v>
          </cell>
          <cell r="AV396">
            <v>0</v>
          </cell>
          <cell r="AW396">
            <v>0</v>
          </cell>
          <cell r="AX396">
            <v>7687.5000000000009</v>
          </cell>
          <cell r="AZ396">
            <v>385</v>
          </cell>
          <cell r="BA396">
            <v>385</v>
          </cell>
          <cell r="BB396">
            <v>56</v>
          </cell>
        </row>
        <row r="397">
          <cell r="B397" t="str">
            <v>OPP-648450</v>
          </cell>
          <cell r="C397" t="str">
            <v>DGR-ILLW Design Completion (Cross-Group Opportunity)</v>
          </cell>
          <cell r="D397" t="str">
            <v>NE</v>
          </cell>
          <cell r="E397" t="str">
            <v>NE International Programs</v>
          </cell>
          <cell r="F397" t="str">
            <v>DOE-NNSA</v>
          </cell>
          <cell r="G397" t="str">
            <v>DOE</v>
          </cell>
          <cell r="H397">
            <v>43829</v>
          </cell>
          <cell r="I397">
            <v>43833</v>
          </cell>
          <cell r="J397">
            <v>44929</v>
          </cell>
          <cell r="K397" t="str">
            <v>Prime</v>
          </cell>
          <cell r="L397" t="str">
            <v>Cost Plus Fixed Fee</v>
          </cell>
          <cell r="M397" t="str">
            <v>Cost Reimbursable</v>
          </cell>
          <cell r="N397" t="str">
            <v>Identified - New</v>
          </cell>
          <cell r="O397" t="str">
            <v>01 Prospect</v>
          </cell>
          <cell r="P397" t="str">
            <v>Priority 1</v>
          </cell>
          <cell r="Q397">
            <v>0.35</v>
          </cell>
          <cell r="R397">
            <v>7700000</v>
          </cell>
          <cell r="S397">
            <v>0</v>
          </cell>
          <cell r="T397">
            <v>0.16</v>
          </cell>
          <cell r="U397">
            <v>0.16</v>
          </cell>
          <cell r="V397">
            <v>0.16</v>
          </cell>
          <cell r="W397">
            <v>0.16</v>
          </cell>
          <cell r="X397">
            <v>0</v>
          </cell>
          <cell r="Y397">
            <v>0.05</v>
          </cell>
          <cell r="Z397">
            <v>5.2999999999999999E-2</v>
          </cell>
          <cell r="AA397">
            <v>5.6000000000000001E-2</v>
          </cell>
          <cell r="AB397">
            <v>5.8999999999999997E-2</v>
          </cell>
          <cell r="AC397">
            <v>2566666.6666666665</v>
          </cell>
          <cell r="AD397">
            <v>0</v>
          </cell>
          <cell r="AE397">
            <v>666263.88888888876</v>
          </cell>
          <cell r="AF397">
            <v>898333.33333333326</v>
          </cell>
          <cell r="AG397">
            <v>898333.33333333326</v>
          </cell>
          <cell r="AH397">
            <v>232069.44444444496</v>
          </cell>
          <cell r="AI397">
            <v>0</v>
          </cell>
          <cell r="AJ397">
            <v>106602.2222222222</v>
          </cell>
          <cell r="AK397">
            <v>143733.33333333331</v>
          </cell>
          <cell r="AL397">
            <v>143733.33333333331</v>
          </cell>
          <cell r="AM397">
            <v>37131.111111111197</v>
          </cell>
          <cell r="AN397">
            <v>0</v>
          </cell>
          <cell r="AO397">
            <v>33313.194444444438</v>
          </cell>
          <cell r="AP397">
            <v>47611.666666666664</v>
          </cell>
          <cell r="AQ397">
            <v>50306.666666666664</v>
          </cell>
          <cell r="AR397">
            <v>13692.097222222252</v>
          </cell>
          <cell r="AT397" t="str">
            <v>OPP-648450 - Identified - New - NE</v>
          </cell>
          <cell r="AU397">
            <v>144923.625</v>
          </cell>
          <cell r="AV397">
            <v>0</v>
          </cell>
          <cell r="AW397">
            <v>0</v>
          </cell>
          <cell r="AX397">
            <v>144923.625</v>
          </cell>
          <cell r="AZ397">
            <v>386</v>
          </cell>
          <cell r="BA397">
            <v>386</v>
          </cell>
          <cell r="BB397">
            <v>31</v>
          </cell>
        </row>
        <row r="398">
          <cell r="B398" t="str">
            <v>OPP-648615</v>
          </cell>
          <cell r="C398" t="str">
            <v>DGR-ILLW Design Completion (MS Portion)</v>
          </cell>
          <cell r="D398" t="str">
            <v>NE</v>
          </cell>
          <cell r="E398" t="str">
            <v>NE International Programs</v>
          </cell>
          <cell r="F398" t="str">
            <v>DOE-NNSA</v>
          </cell>
          <cell r="G398" t="str">
            <v>DOE</v>
          </cell>
          <cell r="H398">
            <v>43829</v>
          </cell>
          <cell r="I398">
            <v>43833</v>
          </cell>
          <cell r="J398">
            <v>44929</v>
          </cell>
          <cell r="K398" t="str">
            <v>Prime</v>
          </cell>
          <cell r="L398" t="str">
            <v>Cost Plus Fixed Fee</v>
          </cell>
          <cell r="M398" t="str">
            <v>Cost Reimbursable</v>
          </cell>
          <cell r="N398" t="str">
            <v>Identified - New</v>
          </cell>
          <cell r="O398" t="str">
            <v>01 Prospect</v>
          </cell>
          <cell r="P398" t="str">
            <v>Priority 3</v>
          </cell>
          <cell r="Q398">
            <v>0.35</v>
          </cell>
          <cell r="R398">
            <v>5390000</v>
          </cell>
          <cell r="S398">
            <v>0</v>
          </cell>
          <cell r="T398">
            <v>0.16</v>
          </cell>
          <cell r="U398">
            <v>0.16</v>
          </cell>
          <cell r="V398">
            <v>0.16</v>
          </cell>
          <cell r="W398">
            <v>0.16</v>
          </cell>
          <cell r="X398">
            <v>0</v>
          </cell>
          <cell r="Y398">
            <v>0.05</v>
          </cell>
          <cell r="Z398">
            <v>5.2999999999999999E-2</v>
          </cell>
          <cell r="AA398">
            <v>5.6000000000000001E-2</v>
          </cell>
          <cell r="AB398">
            <v>5.8999999999999997E-2</v>
          </cell>
          <cell r="AC398">
            <v>1796666.6666666667</v>
          </cell>
          <cell r="AD398">
            <v>0</v>
          </cell>
          <cell r="AE398">
            <v>466384.72222222225</v>
          </cell>
          <cell r="AF398">
            <v>628833.33333333337</v>
          </cell>
          <cell r="AG398">
            <v>628833.33333333337</v>
          </cell>
          <cell r="AH398">
            <v>162448.61111111077</v>
          </cell>
          <cell r="AI398">
            <v>0</v>
          </cell>
          <cell r="AJ398">
            <v>74621.555555555562</v>
          </cell>
          <cell r="AK398">
            <v>100613.33333333334</v>
          </cell>
          <cell r="AL398">
            <v>100613.33333333334</v>
          </cell>
          <cell r="AM398">
            <v>25991.777777777723</v>
          </cell>
          <cell r="AN398">
            <v>0</v>
          </cell>
          <cell r="AO398">
            <v>23319.236111111113</v>
          </cell>
          <cell r="AP398">
            <v>33328.166666666664</v>
          </cell>
          <cell r="AQ398">
            <v>35214.666666666672</v>
          </cell>
          <cell r="AR398">
            <v>9584.4680555555351</v>
          </cell>
          <cell r="AT398" t="str">
            <v>OPP-648615 - Identified - New - NE</v>
          </cell>
          <cell r="AU398">
            <v>101446.53749999999</v>
          </cell>
          <cell r="AV398">
            <v>0</v>
          </cell>
          <cell r="AW398">
            <v>0</v>
          </cell>
          <cell r="AX398">
            <v>101446.53749999999</v>
          </cell>
          <cell r="AZ398">
            <v>387</v>
          </cell>
          <cell r="BA398">
            <v>387</v>
          </cell>
          <cell r="BB398">
            <v>35</v>
          </cell>
        </row>
        <row r="399">
          <cell r="B399" t="str">
            <v>OPP-942083</v>
          </cell>
          <cell r="C399" t="str">
            <v>Provision of Advanced WMO - Knowledge and capability transfer to RWM</v>
          </cell>
          <cell r="D399" t="str">
            <v>NE</v>
          </cell>
          <cell r="E399" t="str">
            <v>NE International Programs</v>
          </cell>
          <cell r="F399" t="str">
            <v>Other Foreign Gov't</v>
          </cell>
          <cell r="G399" t="str">
            <v>Non-US Gov't</v>
          </cell>
          <cell r="H399">
            <v>43863</v>
          </cell>
          <cell r="I399">
            <v>43870</v>
          </cell>
          <cell r="J399">
            <v>44601</v>
          </cell>
          <cell r="K399" t="str">
            <v>Prime</v>
          </cell>
          <cell r="L399" t="str">
            <v>Hybrid/Mixed Cost-Plus/Fixed</v>
          </cell>
          <cell r="M399" t="str">
            <v>Other</v>
          </cell>
          <cell r="N399" t="str">
            <v>Identified - New</v>
          </cell>
          <cell r="O399" t="str">
            <v>01 Prospect</v>
          </cell>
          <cell r="P399" t="str">
            <v>Priority 3</v>
          </cell>
          <cell r="Q399">
            <v>0.35</v>
          </cell>
          <cell r="R399">
            <v>1289999.6599999999</v>
          </cell>
          <cell r="S399">
            <v>0</v>
          </cell>
          <cell r="T399">
            <v>0.16</v>
          </cell>
          <cell r="U399">
            <v>0.16</v>
          </cell>
          <cell r="V399">
            <v>0.16</v>
          </cell>
          <cell r="W399">
            <v>0.16</v>
          </cell>
          <cell r="X399">
            <v>0</v>
          </cell>
          <cell r="Y399">
            <v>0.05</v>
          </cell>
          <cell r="Z399">
            <v>5.2999999999999999E-2</v>
          </cell>
          <cell r="AA399">
            <v>5.6000000000000001E-2</v>
          </cell>
          <cell r="AB399">
            <v>5.8999999999999997E-2</v>
          </cell>
          <cell r="AC399">
            <v>644999.82999999996</v>
          </cell>
          <cell r="AD399">
            <v>0</v>
          </cell>
          <cell r="AE399">
            <v>144856.21182083333</v>
          </cell>
          <cell r="AF399">
            <v>225749.94049999997</v>
          </cell>
          <cell r="AG399">
            <v>80893.728679166641</v>
          </cell>
          <cell r="AH399">
            <v>0</v>
          </cell>
          <cell r="AI399">
            <v>0</v>
          </cell>
          <cell r="AJ399">
            <v>23176.993891333332</v>
          </cell>
          <cell r="AK399">
            <v>36119.990479999993</v>
          </cell>
          <cell r="AL399">
            <v>12942.996588666663</v>
          </cell>
          <cell r="AM399">
            <v>0</v>
          </cell>
          <cell r="AN399">
            <v>0</v>
          </cell>
          <cell r="AO399">
            <v>7242.8105910416671</v>
          </cell>
          <cell r="AP399">
            <v>11964.746846499998</v>
          </cell>
          <cell r="AQ399">
            <v>4530.0488060333319</v>
          </cell>
          <cell r="AR399">
            <v>0</v>
          </cell>
          <cell r="AT399" t="str">
            <v>OPP-942083 - Identified - New - NE</v>
          </cell>
          <cell r="AU399">
            <v>23737.606243574999</v>
          </cell>
          <cell r="AV399">
            <v>0</v>
          </cell>
          <cell r="AW399">
            <v>0</v>
          </cell>
          <cell r="AX399">
            <v>23737.606243574999</v>
          </cell>
          <cell r="AZ399">
            <v>388</v>
          </cell>
          <cell r="BA399">
            <v>388</v>
          </cell>
          <cell r="BB399">
            <v>50</v>
          </cell>
        </row>
        <row r="400">
          <cell r="B400" t="str">
            <v>OPP-900892</v>
          </cell>
          <cell r="C400" t="str">
            <v>Asse II waste retrieval</v>
          </cell>
          <cell r="D400" t="str">
            <v>NE</v>
          </cell>
          <cell r="E400" t="str">
            <v>NE International Programs</v>
          </cell>
          <cell r="F400" t="str">
            <v>Other Foreign Gov't</v>
          </cell>
          <cell r="G400" t="str">
            <v>Non-US Gov't</v>
          </cell>
          <cell r="H400">
            <v>43891</v>
          </cell>
          <cell r="I400">
            <v>43905</v>
          </cell>
          <cell r="J400">
            <v>44270</v>
          </cell>
          <cell r="K400" t="str">
            <v>Prime</v>
          </cell>
          <cell r="L400" t="str">
            <v>Hybrid/Mixed Cost-Plus/Fixed</v>
          </cell>
          <cell r="M400" t="str">
            <v>Other</v>
          </cell>
          <cell r="N400" t="str">
            <v>Identified - New</v>
          </cell>
          <cell r="O400" t="str">
            <v>01 Prospect</v>
          </cell>
          <cell r="P400" t="str">
            <v>Priority 3</v>
          </cell>
          <cell r="Q400">
            <v>0.75</v>
          </cell>
          <cell r="R400">
            <v>1289999.6599999999</v>
          </cell>
          <cell r="S400">
            <v>0</v>
          </cell>
          <cell r="T400">
            <v>0.16</v>
          </cell>
          <cell r="U400">
            <v>0.16</v>
          </cell>
          <cell r="V400">
            <v>0.16</v>
          </cell>
          <cell r="W400">
            <v>0.16</v>
          </cell>
          <cell r="X400">
            <v>0</v>
          </cell>
          <cell r="Y400">
            <v>0.05</v>
          </cell>
          <cell r="Z400">
            <v>5.2999999999999999E-2</v>
          </cell>
          <cell r="AA400">
            <v>5.6000000000000001E-2</v>
          </cell>
          <cell r="AB400">
            <v>5.8999999999999997E-2</v>
          </cell>
          <cell r="AC400">
            <v>1289999.6599999999</v>
          </cell>
          <cell r="AD400">
            <v>0</v>
          </cell>
          <cell r="AE400">
            <v>524062.36187499994</v>
          </cell>
          <cell r="AF400">
            <v>443437.38312499993</v>
          </cell>
          <cell r="AG400">
            <v>0</v>
          </cell>
          <cell r="AH400">
            <v>0</v>
          </cell>
          <cell r="AI400">
            <v>0</v>
          </cell>
          <cell r="AJ400">
            <v>83849.977899999998</v>
          </cell>
          <cell r="AK400">
            <v>70949.981299999985</v>
          </cell>
          <cell r="AL400">
            <v>0</v>
          </cell>
          <cell r="AM400">
            <v>0</v>
          </cell>
          <cell r="AN400">
            <v>0</v>
          </cell>
          <cell r="AO400">
            <v>26203.118093749999</v>
          </cell>
          <cell r="AP400">
            <v>23502.181305624996</v>
          </cell>
          <cell r="AQ400">
            <v>0</v>
          </cell>
          <cell r="AR400">
            <v>0</v>
          </cell>
          <cell r="AT400" t="str">
            <v>OPP-900892 - Identified - New - NE</v>
          </cell>
          <cell r="AU400">
            <v>49705.299399374999</v>
          </cell>
          <cell r="AV400">
            <v>0</v>
          </cell>
          <cell r="AW400">
            <v>0</v>
          </cell>
          <cell r="AX400">
            <v>49705.299399374999</v>
          </cell>
          <cell r="AZ400">
            <v>389</v>
          </cell>
          <cell r="BA400">
            <v>389</v>
          </cell>
          <cell r="BB400">
            <v>45</v>
          </cell>
        </row>
        <row r="401">
          <cell r="B401" t="str">
            <v>OPP-938672</v>
          </cell>
          <cell r="C401" t="str">
            <v>Taiwan - Chinshan Planning Phase 1</v>
          </cell>
          <cell r="D401" t="str">
            <v>NE</v>
          </cell>
          <cell r="E401" t="str">
            <v>NE International Programs</v>
          </cell>
          <cell r="F401" t="str">
            <v>Other Foreign Gov't</v>
          </cell>
          <cell r="G401" t="str">
            <v>Non-US Gov't</v>
          </cell>
          <cell r="H401">
            <v>43861</v>
          </cell>
          <cell r="I401">
            <v>43921</v>
          </cell>
          <cell r="J401">
            <v>44651</v>
          </cell>
          <cell r="K401" t="str">
            <v>Prime</v>
          </cell>
          <cell r="L401" t="str">
            <v>Fixed Price</v>
          </cell>
          <cell r="M401" t="str">
            <v>Fixed Price</v>
          </cell>
          <cell r="N401" t="str">
            <v>Identified - New</v>
          </cell>
          <cell r="O401" t="str">
            <v>02 Capture</v>
          </cell>
          <cell r="P401" t="str">
            <v>Priority 2</v>
          </cell>
          <cell r="Q401">
            <v>0.75</v>
          </cell>
          <cell r="R401">
            <v>10000000</v>
          </cell>
          <cell r="S401">
            <v>0</v>
          </cell>
          <cell r="T401">
            <v>0.16</v>
          </cell>
          <cell r="U401">
            <v>0.16</v>
          </cell>
          <cell r="V401">
            <v>0.16</v>
          </cell>
          <cell r="W401">
            <v>0.16</v>
          </cell>
          <cell r="X401">
            <v>0</v>
          </cell>
          <cell r="Y401">
            <v>5.1000000000000004E-2</v>
          </cell>
          <cell r="Z401">
            <v>5.2500000000000005E-2</v>
          </cell>
          <cell r="AA401">
            <v>5.5E-2</v>
          </cell>
          <cell r="AB401">
            <v>5.7500000000000002E-2</v>
          </cell>
          <cell r="AC401">
            <v>5000000</v>
          </cell>
          <cell r="AD401">
            <v>0</v>
          </cell>
          <cell r="AE401">
            <v>1875000</v>
          </cell>
          <cell r="AF401">
            <v>3750000</v>
          </cell>
          <cell r="AG401">
            <v>1875000</v>
          </cell>
          <cell r="AH401">
            <v>0</v>
          </cell>
          <cell r="AI401">
            <v>0</v>
          </cell>
          <cell r="AJ401">
            <v>300000</v>
          </cell>
          <cell r="AK401">
            <v>600000</v>
          </cell>
          <cell r="AL401">
            <v>300000</v>
          </cell>
          <cell r="AM401">
            <v>0</v>
          </cell>
          <cell r="AN401">
            <v>0</v>
          </cell>
          <cell r="AO401">
            <v>95625</v>
          </cell>
          <cell r="AP401">
            <v>196875.00000000003</v>
          </cell>
          <cell r="AQ401">
            <v>103125</v>
          </cell>
          <cell r="AR401">
            <v>0</v>
          </cell>
          <cell r="AT401" t="str">
            <v>OPP-938672 - Identified - New - NE</v>
          </cell>
          <cell r="AU401">
            <v>395625</v>
          </cell>
          <cell r="AV401">
            <v>0</v>
          </cell>
          <cell r="AW401">
            <v>0</v>
          </cell>
          <cell r="AX401">
            <v>395625</v>
          </cell>
          <cell r="AZ401">
            <v>390</v>
          </cell>
          <cell r="BA401">
            <v>390</v>
          </cell>
          <cell r="BB401">
            <v>21</v>
          </cell>
        </row>
        <row r="402">
          <cell r="B402" t="str">
            <v>OPP-953905</v>
          </cell>
          <cell r="C402" t="str">
            <v>Size reduction facility for PFR</v>
          </cell>
          <cell r="D402" t="str">
            <v>NE</v>
          </cell>
          <cell r="E402" t="str">
            <v>NE International Programs</v>
          </cell>
          <cell r="F402" t="str">
            <v>Foreign Government</v>
          </cell>
          <cell r="G402" t="str">
            <v>Non-US Gov't</v>
          </cell>
          <cell r="H402">
            <v>43888</v>
          </cell>
          <cell r="I402">
            <v>43922</v>
          </cell>
          <cell r="J402">
            <v>44652</v>
          </cell>
          <cell r="K402" t="str">
            <v>Prime</v>
          </cell>
          <cell r="L402" t="str">
            <v>Fixed Price</v>
          </cell>
          <cell r="M402" t="str">
            <v>Fixed Price</v>
          </cell>
          <cell r="N402" t="str">
            <v>Identified - New</v>
          </cell>
          <cell r="O402" t="str">
            <v>02 Capture</v>
          </cell>
          <cell r="P402" t="str">
            <v>Priority 2</v>
          </cell>
          <cell r="Q402">
            <v>0.35</v>
          </cell>
          <cell r="R402">
            <v>38699989.939999998</v>
          </cell>
          <cell r="S402">
            <v>0</v>
          </cell>
          <cell r="T402">
            <v>0.16</v>
          </cell>
          <cell r="U402">
            <v>0.16</v>
          </cell>
          <cell r="V402">
            <v>0.16</v>
          </cell>
          <cell r="W402">
            <v>0.16</v>
          </cell>
          <cell r="X402">
            <v>0</v>
          </cell>
          <cell r="Y402">
            <v>5.1000000000000004E-2</v>
          </cell>
          <cell r="Z402">
            <v>5.2500000000000005E-2</v>
          </cell>
          <cell r="AA402">
            <v>5.5E-2</v>
          </cell>
          <cell r="AB402">
            <v>5.7500000000000002E-2</v>
          </cell>
          <cell r="AC402">
            <v>19349994.969999999</v>
          </cell>
          <cell r="AD402">
            <v>0</v>
          </cell>
          <cell r="AE402">
            <v>3367436.6246402776</v>
          </cell>
          <cell r="AF402">
            <v>6772498.2394999992</v>
          </cell>
          <cell r="AG402">
            <v>3405061.6148597226</v>
          </cell>
          <cell r="AH402">
            <v>0</v>
          </cell>
          <cell r="AI402">
            <v>0</v>
          </cell>
          <cell r="AJ402">
            <v>538789.85994244437</v>
          </cell>
          <cell r="AK402">
            <v>1083599.71832</v>
          </cell>
          <cell r="AL402">
            <v>544809.85837755562</v>
          </cell>
          <cell r="AM402">
            <v>0</v>
          </cell>
          <cell r="AN402">
            <v>0</v>
          </cell>
          <cell r="AO402">
            <v>171739.26785665416</v>
          </cell>
          <cell r="AP402">
            <v>355556.15757375001</v>
          </cell>
          <cell r="AQ402">
            <v>187278.38881728475</v>
          </cell>
          <cell r="AR402">
            <v>0</v>
          </cell>
          <cell r="AT402" t="str">
            <v>OPP-953905 - Identified - New - NE</v>
          </cell>
          <cell r="AU402">
            <v>714573.81424768886</v>
          </cell>
          <cell r="AV402">
            <v>0</v>
          </cell>
          <cell r="AW402">
            <v>0</v>
          </cell>
          <cell r="AX402">
            <v>714573.81424768886</v>
          </cell>
          <cell r="AZ402">
            <v>391</v>
          </cell>
          <cell r="BA402">
            <v>391</v>
          </cell>
          <cell r="BB402">
            <v>12</v>
          </cell>
        </row>
        <row r="403">
          <cell r="B403" t="str">
            <v>OPP-567653</v>
          </cell>
          <cell r="C403" t="str">
            <v>NSDF CO-CA Engineer of Record Tasks (MS Portion)</v>
          </cell>
          <cell r="D403" t="str">
            <v>NE</v>
          </cell>
          <cell r="E403" t="str">
            <v>NE International Programs</v>
          </cell>
          <cell r="F403" t="str">
            <v>Other Foreign Gov't</v>
          </cell>
          <cell r="G403" t="str">
            <v>Non-US Gov't</v>
          </cell>
          <cell r="H403">
            <v>43920</v>
          </cell>
          <cell r="I403">
            <v>43951</v>
          </cell>
          <cell r="J403">
            <v>45046</v>
          </cell>
          <cell r="K403" t="str">
            <v>Prime</v>
          </cell>
          <cell r="L403" t="str">
            <v>Hybrid/Mixed Cost-Plus/Fixed</v>
          </cell>
          <cell r="M403" t="str">
            <v>Other</v>
          </cell>
          <cell r="N403" t="str">
            <v>Identified - New</v>
          </cell>
          <cell r="O403" t="str">
            <v>02 Capture</v>
          </cell>
          <cell r="P403" t="str">
            <v>Priority 3</v>
          </cell>
          <cell r="Q403">
            <v>0.5</v>
          </cell>
          <cell r="R403">
            <v>3080000</v>
          </cell>
          <cell r="S403">
            <v>0</v>
          </cell>
          <cell r="T403">
            <v>0.16</v>
          </cell>
          <cell r="U403">
            <v>0.16</v>
          </cell>
          <cell r="V403">
            <v>0.16</v>
          </cell>
          <cell r="W403">
            <v>0.16</v>
          </cell>
          <cell r="X403">
            <v>0</v>
          </cell>
          <cell r="Y403">
            <v>0.05</v>
          </cell>
          <cell r="Z403">
            <v>5.2999999999999999E-2</v>
          </cell>
          <cell r="AA403">
            <v>5.6000000000000001E-2</v>
          </cell>
          <cell r="AB403">
            <v>5.8999999999999997E-2</v>
          </cell>
          <cell r="AC403">
            <v>1026666.6666666666</v>
          </cell>
          <cell r="AD403">
            <v>0</v>
          </cell>
          <cell r="AE403">
            <v>213888.88888888888</v>
          </cell>
          <cell r="AF403">
            <v>513333.33333333331</v>
          </cell>
          <cell r="AG403">
            <v>513333.33333333331</v>
          </cell>
          <cell r="AH403">
            <v>299444.4444444445</v>
          </cell>
          <cell r="AI403">
            <v>0</v>
          </cell>
          <cell r="AJ403">
            <v>34222.222222222219</v>
          </cell>
          <cell r="AK403">
            <v>82133.333333333328</v>
          </cell>
          <cell r="AL403">
            <v>82133.333333333328</v>
          </cell>
          <cell r="AM403">
            <v>47911.111111111117</v>
          </cell>
          <cell r="AN403">
            <v>0</v>
          </cell>
          <cell r="AO403">
            <v>10694.444444444445</v>
          </cell>
          <cell r="AP403">
            <v>27206.666666666664</v>
          </cell>
          <cell r="AQ403">
            <v>28746.666666666668</v>
          </cell>
          <cell r="AR403">
            <v>17667.222222222223</v>
          </cell>
          <cell r="AT403" t="str">
            <v>OPP-567653 - Identified - New - NE</v>
          </cell>
          <cell r="AU403">
            <v>84315</v>
          </cell>
          <cell r="AV403">
            <v>0</v>
          </cell>
          <cell r="AW403">
            <v>0</v>
          </cell>
          <cell r="AX403">
            <v>84315</v>
          </cell>
          <cell r="AZ403">
            <v>392</v>
          </cell>
          <cell r="BA403">
            <v>392</v>
          </cell>
          <cell r="BB403">
            <v>38</v>
          </cell>
        </row>
        <row r="404">
          <cell r="B404" t="str">
            <v>OPP-959596</v>
          </cell>
          <cell r="C404" t="str">
            <v>Devonport PMO - Delivery Partner</v>
          </cell>
          <cell r="D404" t="str">
            <v>NE</v>
          </cell>
          <cell r="E404" t="str">
            <v>NE International Programs</v>
          </cell>
          <cell r="F404" t="str">
            <v>Commercial</v>
          </cell>
          <cell r="G404" t="str">
            <v xml:space="preserve">Commercial </v>
          </cell>
          <cell r="H404">
            <v>43968</v>
          </cell>
          <cell r="I404">
            <v>43968</v>
          </cell>
          <cell r="J404">
            <v>45794</v>
          </cell>
          <cell r="K404" t="str">
            <v>Prime</v>
          </cell>
          <cell r="L404" t="str">
            <v>Other</v>
          </cell>
          <cell r="M404" t="str">
            <v>Other</v>
          </cell>
          <cell r="N404" t="str">
            <v>Identified - New</v>
          </cell>
          <cell r="O404" t="str">
            <v>01 Prospect</v>
          </cell>
          <cell r="P404" t="str">
            <v>Priority 2</v>
          </cell>
          <cell r="Q404">
            <v>0.5</v>
          </cell>
          <cell r="R404">
            <v>128999966.45999999</v>
          </cell>
          <cell r="S404">
            <v>0</v>
          </cell>
          <cell r="T404">
            <v>0.16</v>
          </cell>
          <cell r="U404">
            <v>0.16</v>
          </cell>
          <cell r="V404">
            <v>0.16</v>
          </cell>
          <cell r="W404">
            <v>0.16</v>
          </cell>
          <cell r="X404">
            <v>0</v>
          </cell>
          <cell r="Y404">
            <v>0.05</v>
          </cell>
          <cell r="Z404">
            <v>5.2999999999999999E-2</v>
          </cell>
          <cell r="AA404">
            <v>5.6000000000000001E-2</v>
          </cell>
          <cell r="AB404">
            <v>5.8999999999999997E-2</v>
          </cell>
          <cell r="AC404">
            <v>25799993.291999999</v>
          </cell>
          <cell r="AD404">
            <v>0</v>
          </cell>
          <cell r="AE404">
            <v>4765832.0942166671</v>
          </cell>
          <cell r="AF404">
            <v>12899996.646</v>
          </cell>
          <cell r="AG404">
            <v>12899996.646</v>
          </cell>
          <cell r="AH404">
            <v>12899996.646</v>
          </cell>
          <cell r="AI404">
            <v>0</v>
          </cell>
          <cell r="AJ404">
            <v>762533.1350746667</v>
          </cell>
          <cell r="AK404">
            <v>2063999.4633599999</v>
          </cell>
          <cell r="AL404">
            <v>2063999.4633599999</v>
          </cell>
          <cell r="AM404">
            <v>2063999.4633599999</v>
          </cell>
          <cell r="AN404">
            <v>0</v>
          </cell>
          <cell r="AO404">
            <v>238291.60471083337</v>
          </cell>
          <cell r="AP404">
            <v>683699.82223799999</v>
          </cell>
          <cell r="AQ404">
            <v>722399.81217599998</v>
          </cell>
          <cell r="AR404">
            <v>761099.80211399996</v>
          </cell>
          <cell r="AT404" t="str">
            <v>OPP-959596 - Identified - New - NE</v>
          </cell>
          <cell r="AU404">
            <v>2405491.0412388332</v>
          </cell>
          <cell r="AV404">
            <v>0</v>
          </cell>
          <cell r="AW404">
            <v>0</v>
          </cell>
          <cell r="AX404">
            <v>2405491.0412388332</v>
          </cell>
          <cell r="AZ404">
            <v>393</v>
          </cell>
          <cell r="BA404">
            <v>393</v>
          </cell>
          <cell r="BB404">
            <v>2</v>
          </cell>
        </row>
        <row r="405">
          <cell r="B405" t="str">
            <v>OPP-942045</v>
          </cell>
          <cell r="C405" t="str">
            <v>CNL Legacy Tanks</v>
          </cell>
          <cell r="D405" t="str">
            <v>NE</v>
          </cell>
          <cell r="E405" t="str">
            <v>NE International Programs</v>
          </cell>
          <cell r="F405" t="str">
            <v>Other Foreign Gov't</v>
          </cell>
          <cell r="G405" t="str">
            <v>Non-US Gov't</v>
          </cell>
          <cell r="H405">
            <v>43961</v>
          </cell>
          <cell r="I405">
            <v>43971</v>
          </cell>
          <cell r="J405">
            <v>44336</v>
          </cell>
          <cell r="K405" t="str">
            <v>Prime</v>
          </cell>
          <cell r="L405" t="str">
            <v>Cost Plus Award Fee</v>
          </cell>
          <cell r="M405" t="str">
            <v>Cost Reimbursable</v>
          </cell>
          <cell r="N405" t="str">
            <v>Identified - New</v>
          </cell>
          <cell r="O405" t="str">
            <v>01 Prospect</v>
          </cell>
          <cell r="P405" t="str">
            <v>Priority 2</v>
          </cell>
          <cell r="Q405">
            <v>0.25</v>
          </cell>
          <cell r="R405">
            <v>22800008</v>
          </cell>
          <cell r="S405">
            <v>0</v>
          </cell>
          <cell r="T405">
            <v>0.3</v>
          </cell>
          <cell r="U405">
            <v>0.3</v>
          </cell>
          <cell r="V405">
            <v>0.3</v>
          </cell>
          <cell r="W405">
            <v>0.3</v>
          </cell>
          <cell r="X405">
            <v>0</v>
          </cell>
          <cell r="Y405">
            <v>0.04</v>
          </cell>
          <cell r="Z405">
            <v>4.2999999999999997E-2</v>
          </cell>
          <cell r="AA405">
            <v>4.5999999999999999E-2</v>
          </cell>
          <cell r="AB405">
            <v>4.9000000000000002E-2</v>
          </cell>
          <cell r="AC405">
            <v>22800008</v>
          </cell>
          <cell r="AD405">
            <v>0</v>
          </cell>
          <cell r="AE405">
            <v>2058334.0555555555</v>
          </cell>
          <cell r="AF405">
            <v>3641667.9444444445</v>
          </cell>
          <cell r="AG405">
            <v>0</v>
          </cell>
          <cell r="AH405">
            <v>0</v>
          </cell>
          <cell r="AI405">
            <v>0</v>
          </cell>
          <cell r="AJ405">
            <v>617500.21666666667</v>
          </cell>
          <cell r="AK405">
            <v>1092500.3833333333</v>
          </cell>
          <cell r="AL405">
            <v>0</v>
          </cell>
          <cell r="AM405">
            <v>0</v>
          </cell>
          <cell r="AN405">
            <v>0</v>
          </cell>
          <cell r="AO405">
            <v>82333.362222222218</v>
          </cell>
          <cell r="AP405">
            <v>156591.7216111111</v>
          </cell>
          <cell r="AQ405">
            <v>0</v>
          </cell>
          <cell r="AR405">
            <v>0</v>
          </cell>
          <cell r="AT405" t="str">
            <v>OPP-942045 - Identified - New - NE</v>
          </cell>
          <cell r="AU405">
            <v>238925.08383333334</v>
          </cell>
          <cell r="AV405">
            <v>0</v>
          </cell>
          <cell r="AW405">
            <v>0</v>
          </cell>
          <cell r="AX405">
            <v>238925.08383333334</v>
          </cell>
          <cell r="AZ405">
            <v>394</v>
          </cell>
          <cell r="BA405">
            <v>394</v>
          </cell>
          <cell r="BB405">
            <v>25</v>
          </cell>
        </row>
        <row r="406">
          <cell r="B406" t="str">
            <v>OPP-942043</v>
          </cell>
          <cell r="C406" t="str">
            <v>Large Metal Objects - Steam Generators</v>
          </cell>
          <cell r="D406" t="str">
            <v>NE</v>
          </cell>
          <cell r="E406" t="str">
            <v>NE International Programs</v>
          </cell>
          <cell r="F406" t="str">
            <v>Other Foreign Gov't</v>
          </cell>
          <cell r="G406" t="str">
            <v>Non-US Gov't</v>
          </cell>
          <cell r="H406">
            <v>43973</v>
          </cell>
          <cell r="I406">
            <v>43981</v>
          </cell>
          <cell r="J406">
            <v>44346</v>
          </cell>
          <cell r="K406" t="str">
            <v>Prime</v>
          </cell>
          <cell r="L406" t="str">
            <v>Cost Plus Award Fee</v>
          </cell>
          <cell r="M406" t="str">
            <v>Cost Reimbursable</v>
          </cell>
          <cell r="N406" t="str">
            <v>Identified - New</v>
          </cell>
          <cell r="O406" t="str">
            <v>01 Prospect</v>
          </cell>
          <cell r="P406" t="str">
            <v>Priority 3</v>
          </cell>
          <cell r="Q406">
            <v>0.35</v>
          </cell>
          <cell r="R406">
            <v>22800008.210000001</v>
          </cell>
          <cell r="S406">
            <v>0</v>
          </cell>
          <cell r="T406">
            <v>0.16</v>
          </cell>
          <cell r="U406">
            <v>0.16</v>
          </cell>
          <cell r="V406">
            <v>0.16</v>
          </cell>
          <cell r="W406">
            <v>0.16</v>
          </cell>
          <cell r="X406">
            <v>0</v>
          </cell>
          <cell r="Y406">
            <v>0.05</v>
          </cell>
          <cell r="Z406">
            <v>5.2999999999999999E-2</v>
          </cell>
          <cell r="AA406">
            <v>5.6000000000000001E-2</v>
          </cell>
          <cell r="AB406">
            <v>5.8999999999999997E-2</v>
          </cell>
          <cell r="AC406">
            <v>22800008.210000001</v>
          </cell>
          <cell r="AD406">
            <v>0</v>
          </cell>
          <cell r="AE406">
            <v>2660000.9578333329</v>
          </cell>
          <cell r="AF406">
            <v>5320001.9156666668</v>
          </cell>
          <cell r="AG406">
            <v>0</v>
          </cell>
          <cell r="AH406">
            <v>0</v>
          </cell>
          <cell r="AI406">
            <v>0</v>
          </cell>
          <cell r="AJ406">
            <v>425600.15325333329</v>
          </cell>
          <cell r="AK406">
            <v>851200.3065066667</v>
          </cell>
          <cell r="AL406">
            <v>0</v>
          </cell>
          <cell r="AM406">
            <v>0</v>
          </cell>
          <cell r="AN406">
            <v>0</v>
          </cell>
          <cell r="AO406">
            <v>133000.04789166665</v>
          </cell>
          <cell r="AP406">
            <v>281960.10153033334</v>
          </cell>
          <cell r="AQ406">
            <v>0</v>
          </cell>
          <cell r="AR406">
            <v>0</v>
          </cell>
          <cell r="AT406" t="str">
            <v>OPP-942043 - Identified - New - NE</v>
          </cell>
          <cell r="AU406">
            <v>414960.14942199999</v>
          </cell>
          <cell r="AV406">
            <v>0</v>
          </cell>
          <cell r="AW406">
            <v>0</v>
          </cell>
          <cell r="AX406">
            <v>414960.14942199999</v>
          </cell>
          <cell r="AZ406">
            <v>395</v>
          </cell>
          <cell r="BA406">
            <v>395</v>
          </cell>
          <cell r="BB406">
            <v>19</v>
          </cell>
        </row>
        <row r="407">
          <cell r="B407" t="str">
            <v>OPP-939032</v>
          </cell>
          <cell r="C407" t="str">
            <v>Japan - Kansai Mihama Aux Building D&amp;D Plan</v>
          </cell>
          <cell r="D407" t="str">
            <v>NE</v>
          </cell>
          <cell r="E407" t="str">
            <v>NE International Programs</v>
          </cell>
          <cell r="F407" t="str">
            <v>Commercial</v>
          </cell>
          <cell r="G407" t="str">
            <v xml:space="preserve">Commercial </v>
          </cell>
          <cell r="H407">
            <v>43921</v>
          </cell>
          <cell r="I407">
            <v>43982</v>
          </cell>
          <cell r="J407">
            <v>44165</v>
          </cell>
          <cell r="K407" t="str">
            <v>Prime</v>
          </cell>
          <cell r="L407" t="str">
            <v>Fixed Price</v>
          </cell>
          <cell r="M407" t="str">
            <v>Fixed Price</v>
          </cell>
          <cell r="N407" t="str">
            <v>Identified - New</v>
          </cell>
          <cell r="O407" t="str">
            <v>03 Proposal</v>
          </cell>
          <cell r="P407" t="str">
            <v>Priority 3</v>
          </cell>
          <cell r="Q407">
            <v>0.5</v>
          </cell>
          <cell r="R407">
            <v>200000</v>
          </cell>
          <cell r="S407">
            <v>0</v>
          </cell>
          <cell r="T407">
            <v>0.16</v>
          </cell>
          <cell r="U407">
            <v>0.16</v>
          </cell>
          <cell r="V407">
            <v>0.16</v>
          </cell>
          <cell r="W407">
            <v>0.16</v>
          </cell>
          <cell r="X407">
            <v>0</v>
          </cell>
          <cell r="Y407">
            <v>5.1000000000000004E-2</v>
          </cell>
          <cell r="Z407">
            <v>5.2500000000000005E-2</v>
          </cell>
          <cell r="AA407">
            <v>5.5E-2</v>
          </cell>
          <cell r="AB407">
            <v>5.7500000000000002E-2</v>
          </cell>
          <cell r="AC407">
            <v>200000</v>
          </cell>
          <cell r="AD407">
            <v>0</v>
          </cell>
          <cell r="AE407">
            <v>33333.333333333328</v>
          </cell>
          <cell r="AF407">
            <v>66666.666666666672</v>
          </cell>
          <cell r="AG407">
            <v>0</v>
          </cell>
          <cell r="AH407">
            <v>0</v>
          </cell>
          <cell r="AI407">
            <v>0</v>
          </cell>
          <cell r="AJ407">
            <v>5333.333333333333</v>
          </cell>
          <cell r="AK407">
            <v>10666.666666666668</v>
          </cell>
          <cell r="AL407">
            <v>0</v>
          </cell>
          <cell r="AM407">
            <v>0</v>
          </cell>
          <cell r="AN407">
            <v>0</v>
          </cell>
          <cell r="AO407">
            <v>1699.9999999999998</v>
          </cell>
          <cell r="AP407">
            <v>3500.0000000000005</v>
          </cell>
          <cell r="AQ407">
            <v>0</v>
          </cell>
          <cell r="AR407">
            <v>0</v>
          </cell>
          <cell r="AT407" t="str">
            <v>OPP-939032 - Identified - New - NE</v>
          </cell>
          <cell r="AU407">
            <v>5200</v>
          </cell>
          <cell r="AV407">
            <v>0</v>
          </cell>
          <cell r="AW407">
            <v>0</v>
          </cell>
          <cell r="AX407">
            <v>5200</v>
          </cell>
          <cell r="AZ407">
            <v>396</v>
          </cell>
          <cell r="BA407">
            <v>396</v>
          </cell>
          <cell r="BB407">
            <v>59</v>
          </cell>
        </row>
        <row r="408">
          <cell r="B408" t="str">
            <v>OPP-938637</v>
          </cell>
          <cell r="C408" t="str">
            <v>Japan - Onagawa Task 2 Stakeholder Mgmt</v>
          </cell>
          <cell r="D408" t="str">
            <v>NE</v>
          </cell>
          <cell r="E408" t="str">
            <v>NE International Programs</v>
          </cell>
          <cell r="F408" t="str">
            <v>Commercial</v>
          </cell>
          <cell r="G408" t="str">
            <v xml:space="preserve">Commercial </v>
          </cell>
          <cell r="H408">
            <v>44012</v>
          </cell>
          <cell r="I408">
            <v>44073</v>
          </cell>
          <cell r="J408">
            <v>44255</v>
          </cell>
          <cell r="K408" t="str">
            <v>Prime</v>
          </cell>
          <cell r="L408" t="str">
            <v>Fixed Price</v>
          </cell>
          <cell r="M408" t="str">
            <v>Fixed Price</v>
          </cell>
          <cell r="N408" t="str">
            <v>Identified - New</v>
          </cell>
          <cell r="O408" t="str">
            <v>03 Proposal</v>
          </cell>
          <cell r="P408" t="str">
            <v>Priority 3</v>
          </cell>
          <cell r="Q408">
            <v>0.75</v>
          </cell>
          <cell r="R408">
            <v>75000</v>
          </cell>
          <cell r="S408">
            <v>0</v>
          </cell>
          <cell r="T408">
            <v>0.16</v>
          </cell>
          <cell r="U408">
            <v>0.16</v>
          </cell>
          <cell r="V408">
            <v>0.16</v>
          </cell>
          <cell r="W408">
            <v>0.16</v>
          </cell>
          <cell r="X408">
            <v>0</v>
          </cell>
          <cell r="Y408">
            <v>5.1000000000000004E-2</v>
          </cell>
          <cell r="Z408">
            <v>5.2500000000000005E-2</v>
          </cell>
          <cell r="AA408">
            <v>5.5E-2</v>
          </cell>
          <cell r="AB408">
            <v>5.7500000000000002E-2</v>
          </cell>
          <cell r="AC408">
            <v>75000</v>
          </cell>
          <cell r="AD408">
            <v>0</v>
          </cell>
          <cell r="AE408">
            <v>4687.5</v>
          </cell>
          <cell r="AF408">
            <v>51562.5</v>
          </cell>
          <cell r="AG408">
            <v>0</v>
          </cell>
          <cell r="AH408">
            <v>0</v>
          </cell>
          <cell r="AI408">
            <v>0</v>
          </cell>
          <cell r="AJ408">
            <v>750</v>
          </cell>
          <cell r="AK408">
            <v>8250</v>
          </cell>
          <cell r="AL408">
            <v>0</v>
          </cell>
          <cell r="AM408">
            <v>0</v>
          </cell>
          <cell r="AN408">
            <v>0</v>
          </cell>
          <cell r="AO408">
            <v>239.06250000000003</v>
          </cell>
          <cell r="AP408">
            <v>2707.0312500000005</v>
          </cell>
          <cell r="AQ408">
            <v>0</v>
          </cell>
          <cell r="AR408">
            <v>0</v>
          </cell>
          <cell r="AT408" t="str">
            <v>OPP-938637 - Identified - New - NE</v>
          </cell>
          <cell r="AU408">
            <v>2946.0937500000005</v>
          </cell>
          <cell r="AV408">
            <v>0</v>
          </cell>
          <cell r="AW408">
            <v>0</v>
          </cell>
          <cell r="AX408">
            <v>2946.0937500000005</v>
          </cell>
          <cell r="AZ408">
            <v>397</v>
          </cell>
          <cell r="BA408">
            <v>397</v>
          </cell>
          <cell r="BB408">
            <v>60</v>
          </cell>
        </row>
        <row r="409">
          <cell r="B409" t="str">
            <v>OPP-800893</v>
          </cell>
          <cell r="C409" t="str">
            <v>Decommissiong of WR-1 Reactor (MS Portion)</v>
          </cell>
          <cell r="D409" t="str">
            <v>NE</v>
          </cell>
          <cell r="E409" t="str">
            <v>NE International Programs</v>
          </cell>
          <cell r="F409" t="str">
            <v>UK-NDA</v>
          </cell>
          <cell r="G409" t="str">
            <v>Non-US Gov't</v>
          </cell>
          <cell r="H409">
            <v>43983</v>
          </cell>
          <cell r="I409">
            <v>44075</v>
          </cell>
          <cell r="J409">
            <v>44682</v>
          </cell>
          <cell r="K409" t="str">
            <v>Prime</v>
          </cell>
          <cell r="L409" t="str">
            <v>Cost Plus Award Fee</v>
          </cell>
          <cell r="M409" t="str">
            <v>Cost Reimbursable</v>
          </cell>
          <cell r="N409" t="str">
            <v>Identified - New</v>
          </cell>
          <cell r="O409" t="str">
            <v>01 Prospect</v>
          </cell>
          <cell r="P409" t="str">
            <v>Priority 3</v>
          </cell>
          <cell r="Q409">
            <v>0.25</v>
          </cell>
          <cell r="R409">
            <v>7600002.7400000002</v>
          </cell>
          <cell r="S409">
            <v>0</v>
          </cell>
          <cell r="T409">
            <v>0.16</v>
          </cell>
          <cell r="U409">
            <v>0.16</v>
          </cell>
          <cell r="V409">
            <v>0.16</v>
          </cell>
          <cell r="W409">
            <v>0.16</v>
          </cell>
          <cell r="X409">
            <v>0</v>
          </cell>
          <cell r="Y409">
            <v>0.05</v>
          </cell>
          <cell r="Z409">
            <v>5.2999999999999999E-2</v>
          </cell>
          <cell r="AA409">
            <v>5.6000000000000001E-2</v>
          </cell>
          <cell r="AB409">
            <v>5.8999999999999997E-2</v>
          </cell>
          <cell r="AC409">
            <v>4560001.6440000003</v>
          </cell>
          <cell r="AD409">
            <v>0</v>
          </cell>
          <cell r="AE409">
            <v>91833.366441666672</v>
          </cell>
          <cell r="AF409">
            <v>1140000.4110000001</v>
          </cell>
          <cell r="AG409">
            <v>668166.90755833336</v>
          </cell>
          <cell r="AH409">
            <v>0</v>
          </cell>
          <cell r="AI409">
            <v>0</v>
          </cell>
          <cell r="AJ409">
            <v>14693.338630666667</v>
          </cell>
          <cell r="AK409">
            <v>182400.06576000003</v>
          </cell>
          <cell r="AL409">
            <v>106906.70520933333</v>
          </cell>
          <cell r="AM409">
            <v>0</v>
          </cell>
          <cell r="AN409">
            <v>0</v>
          </cell>
          <cell r="AO409">
            <v>4591.6683220833338</v>
          </cell>
          <cell r="AP409">
            <v>60420.021783000004</v>
          </cell>
          <cell r="AQ409">
            <v>37417.346823266671</v>
          </cell>
          <cell r="AR409">
            <v>0</v>
          </cell>
          <cell r="AT409" t="str">
            <v>OPP-800893 - Identified - New - NE</v>
          </cell>
          <cell r="AU409">
            <v>102429.03692835002</v>
          </cell>
          <cell r="AV409">
            <v>0</v>
          </cell>
          <cell r="AW409">
            <v>0</v>
          </cell>
          <cell r="AX409">
            <v>102429.03692835002</v>
          </cell>
          <cell r="AZ409">
            <v>398</v>
          </cell>
          <cell r="BA409">
            <v>398</v>
          </cell>
          <cell r="BB409">
            <v>34</v>
          </cell>
        </row>
        <row r="410">
          <cell r="B410" t="str">
            <v>OPP-953906</v>
          </cell>
          <cell r="C410" t="str">
            <v>Main Heads Work</v>
          </cell>
          <cell r="D410" t="str">
            <v>NE</v>
          </cell>
          <cell r="E410" t="str">
            <v>NE International Programs</v>
          </cell>
          <cell r="F410" t="str">
            <v>Foreign Government</v>
          </cell>
          <cell r="G410" t="str">
            <v>Non-US Gov't</v>
          </cell>
          <cell r="H410">
            <v>44045</v>
          </cell>
          <cell r="I410">
            <v>44087</v>
          </cell>
          <cell r="J410">
            <v>44817</v>
          </cell>
          <cell r="K410" t="str">
            <v>Prime</v>
          </cell>
          <cell r="L410" t="str">
            <v>Fixed Price</v>
          </cell>
          <cell r="M410" t="str">
            <v>Fixed Price</v>
          </cell>
          <cell r="N410" t="str">
            <v>Identified - New</v>
          </cell>
          <cell r="O410" t="str">
            <v>01 Prospect</v>
          </cell>
          <cell r="P410" t="str">
            <v>Priority 2</v>
          </cell>
          <cell r="Q410">
            <v>0.35</v>
          </cell>
          <cell r="R410">
            <v>58049984.909999996</v>
          </cell>
          <cell r="S410">
            <v>0</v>
          </cell>
          <cell r="T410">
            <v>0.16</v>
          </cell>
          <cell r="U410">
            <v>0.16</v>
          </cell>
          <cell r="V410">
            <v>0.16</v>
          </cell>
          <cell r="W410">
            <v>0.16</v>
          </cell>
          <cell r="X410">
            <v>0</v>
          </cell>
          <cell r="Y410">
            <v>5.1000000000000004E-2</v>
          </cell>
          <cell r="Z410">
            <v>5.2500000000000005E-2</v>
          </cell>
          <cell r="AA410">
            <v>5.5E-2</v>
          </cell>
          <cell r="AB410">
            <v>5.7500000000000002E-2</v>
          </cell>
          <cell r="AC410">
            <v>29024992.454999998</v>
          </cell>
          <cell r="AD410">
            <v>0</v>
          </cell>
          <cell r="AE410">
            <v>479718.62529791659</v>
          </cell>
          <cell r="AF410">
            <v>10158747.359249998</v>
          </cell>
          <cell r="AG410">
            <v>9679028.7339520808</v>
          </cell>
          <cell r="AH410">
            <v>0</v>
          </cell>
          <cell r="AI410">
            <v>0</v>
          </cell>
          <cell r="AJ410">
            <v>76754.980047666657</v>
          </cell>
          <cell r="AK410">
            <v>1625399.5774799997</v>
          </cell>
          <cell r="AL410">
            <v>1548644.597432333</v>
          </cell>
          <cell r="AM410">
            <v>0</v>
          </cell>
          <cell r="AN410">
            <v>0</v>
          </cell>
          <cell r="AO410">
            <v>24465.649890193748</v>
          </cell>
          <cell r="AP410">
            <v>533334.2363606249</v>
          </cell>
          <cell r="AQ410">
            <v>532346.58036736446</v>
          </cell>
          <cell r="AR410">
            <v>0</v>
          </cell>
          <cell r="AT410" t="str">
            <v>OPP-953906 - Identified - New - NE</v>
          </cell>
          <cell r="AU410">
            <v>1090146.4666181831</v>
          </cell>
          <cell r="AV410">
            <v>0</v>
          </cell>
          <cell r="AW410">
            <v>0</v>
          </cell>
          <cell r="AX410">
            <v>1090146.4666181831</v>
          </cell>
          <cell r="AZ410">
            <v>399</v>
          </cell>
          <cell r="BA410">
            <v>399</v>
          </cell>
          <cell r="BB410">
            <v>5</v>
          </cell>
        </row>
        <row r="411">
          <cell r="B411" t="str">
            <v>OPP-942044</v>
          </cell>
          <cell r="C411" t="str">
            <v>CNL Molly Waste Processing</v>
          </cell>
          <cell r="D411" t="str">
            <v>NE</v>
          </cell>
          <cell r="E411" t="str">
            <v>NE International Programs</v>
          </cell>
          <cell r="F411" t="str">
            <v>Other Foreign Gov't</v>
          </cell>
          <cell r="G411" t="str">
            <v>Non-US Gov't</v>
          </cell>
          <cell r="H411">
            <v>44084</v>
          </cell>
          <cell r="I411">
            <v>44089</v>
          </cell>
          <cell r="J411">
            <v>44454</v>
          </cell>
          <cell r="K411" t="str">
            <v>Prime</v>
          </cell>
          <cell r="L411" t="str">
            <v>Cost Plus Award Fee</v>
          </cell>
          <cell r="M411" t="str">
            <v>Cost Reimbursable</v>
          </cell>
          <cell r="N411" t="str">
            <v>Identified - New</v>
          </cell>
          <cell r="O411" t="str">
            <v>01 Prospect</v>
          </cell>
          <cell r="P411" t="str">
            <v>Priority 2</v>
          </cell>
          <cell r="Q411">
            <v>0.25</v>
          </cell>
          <cell r="R411">
            <v>76000027.359999999</v>
          </cell>
          <cell r="S411">
            <v>0</v>
          </cell>
          <cell r="T411">
            <v>0.16</v>
          </cell>
          <cell r="U411">
            <v>0.16</v>
          </cell>
          <cell r="V411">
            <v>0.16</v>
          </cell>
          <cell r="W411">
            <v>0.16</v>
          </cell>
          <cell r="X411">
            <v>0</v>
          </cell>
          <cell r="Y411">
            <v>0.05</v>
          </cell>
          <cell r="Z411">
            <v>5.2999999999999999E-2</v>
          </cell>
          <cell r="AA411">
            <v>5.6000000000000001E-2</v>
          </cell>
          <cell r="AB411">
            <v>5.8999999999999997E-2</v>
          </cell>
          <cell r="AC411">
            <v>76000027.359999999</v>
          </cell>
          <cell r="AD411">
            <v>0</v>
          </cell>
          <cell r="AE411">
            <v>791666.95166666666</v>
          </cell>
          <cell r="AF411">
            <v>18208339.888333332</v>
          </cell>
          <cell r="AG411">
            <v>0</v>
          </cell>
          <cell r="AH411">
            <v>0</v>
          </cell>
          <cell r="AI411">
            <v>0</v>
          </cell>
          <cell r="AJ411">
            <v>126666.71226666667</v>
          </cell>
          <cell r="AK411">
            <v>2913334.382133333</v>
          </cell>
          <cell r="AL411">
            <v>0</v>
          </cell>
          <cell r="AM411">
            <v>0</v>
          </cell>
          <cell r="AN411">
            <v>0</v>
          </cell>
          <cell r="AO411">
            <v>39583.347583333336</v>
          </cell>
          <cell r="AP411">
            <v>965042.0140816666</v>
          </cell>
          <cell r="AQ411">
            <v>0</v>
          </cell>
          <cell r="AR411">
            <v>0</v>
          </cell>
          <cell r="AT411" t="str">
            <v>OPP-942044 - Identified - New - NE</v>
          </cell>
          <cell r="AU411">
            <v>1004625.361665</v>
          </cell>
          <cell r="AV411">
            <v>0</v>
          </cell>
          <cell r="AW411">
            <v>0</v>
          </cell>
          <cell r="AX411">
            <v>1004625.361665</v>
          </cell>
          <cell r="AZ411">
            <v>400</v>
          </cell>
          <cell r="BA411">
            <v>400</v>
          </cell>
          <cell r="BB411">
            <v>7</v>
          </cell>
        </row>
        <row r="412">
          <cell r="B412" t="str">
            <v>OPP-445866</v>
          </cell>
          <cell r="C412" t="str">
            <v>Development of LILWR in Romania</v>
          </cell>
          <cell r="D412" t="str">
            <v>NE</v>
          </cell>
          <cell r="E412" t="str">
            <v>NE International Programs</v>
          </cell>
          <cell r="F412" t="str">
            <v>DOE-NNSA</v>
          </cell>
          <cell r="G412" t="str">
            <v>DOE</v>
          </cell>
          <cell r="H412">
            <v>44197</v>
          </cell>
          <cell r="I412">
            <v>44197</v>
          </cell>
          <cell r="J412">
            <v>46023</v>
          </cell>
          <cell r="K412" t="str">
            <v>Prime</v>
          </cell>
          <cell r="L412" t="str">
            <v>Labor Hour - Cost Reimbursable</v>
          </cell>
          <cell r="M412" t="str">
            <v>Other</v>
          </cell>
          <cell r="N412" t="str">
            <v>Identified - New</v>
          </cell>
          <cell r="O412" t="str">
            <v>01 Prospect</v>
          </cell>
          <cell r="P412" t="str">
            <v>Priority 3</v>
          </cell>
          <cell r="Q412">
            <v>0.25</v>
          </cell>
          <cell r="R412">
            <v>27000000</v>
          </cell>
          <cell r="S412">
            <v>0</v>
          </cell>
          <cell r="T412">
            <v>0.16</v>
          </cell>
          <cell r="U412">
            <v>0.16</v>
          </cell>
          <cell r="V412">
            <v>0.16</v>
          </cell>
          <cell r="W412">
            <v>0.16</v>
          </cell>
          <cell r="X412">
            <v>0</v>
          </cell>
          <cell r="Y412">
            <v>0.05</v>
          </cell>
          <cell r="Z412">
            <v>5.2999999999999999E-2</v>
          </cell>
          <cell r="AA412">
            <v>5.6000000000000001E-2</v>
          </cell>
          <cell r="AB412">
            <v>5.8999999999999997E-2</v>
          </cell>
          <cell r="AC412">
            <v>5400000</v>
          </cell>
          <cell r="AD412">
            <v>0</v>
          </cell>
          <cell r="AE412">
            <v>0</v>
          </cell>
          <cell r="AF412">
            <v>1008750</v>
          </cell>
          <cell r="AG412">
            <v>1350000</v>
          </cell>
          <cell r="AH412">
            <v>1350000</v>
          </cell>
          <cell r="AI412">
            <v>0</v>
          </cell>
          <cell r="AJ412">
            <v>0</v>
          </cell>
          <cell r="AK412">
            <v>161400</v>
          </cell>
          <cell r="AL412">
            <v>216000</v>
          </cell>
          <cell r="AM412">
            <v>216000</v>
          </cell>
          <cell r="AN412">
            <v>0</v>
          </cell>
          <cell r="AO412">
            <v>0</v>
          </cell>
          <cell r="AP412">
            <v>53463.75</v>
          </cell>
          <cell r="AQ412">
            <v>75600</v>
          </cell>
          <cell r="AR412">
            <v>79650</v>
          </cell>
          <cell r="AT412" t="str">
            <v>OPP-445866 - Identified - New - NE</v>
          </cell>
          <cell r="AU412">
            <v>208713.75</v>
          </cell>
          <cell r="AV412">
            <v>0</v>
          </cell>
          <cell r="AW412">
            <v>0</v>
          </cell>
          <cell r="AX412">
            <v>208713.75</v>
          </cell>
          <cell r="AZ412">
            <v>401</v>
          </cell>
          <cell r="BA412">
            <v>401</v>
          </cell>
          <cell r="BB412">
            <v>28</v>
          </cell>
        </row>
        <row r="413">
          <cell r="B413" t="str">
            <v>OPP-938679</v>
          </cell>
          <cell r="C413" t="str">
            <v>Taiwan - Chinshan Planning Phase 2</v>
          </cell>
          <cell r="D413" t="str">
            <v>NE</v>
          </cell>
          <cell r="E413" t="str">
            <v>NE International Programs</v>
          </cell>
          <cell r="F413" t="str">
            <v>Other Foreign Gov't</v>
          </cell>
          <cell r="G413" t="str">
            <v>Non-US Gov't</v>
          </cell>
          <cell r="H413">
            <v>44469</v>
          </cell>
          <cell r="I413">
            <v>44469</v>
          </cell>
          <cell r="J413">
            <v>46295</v>
          </cell>
          <cell r="K413" t="str">
            <v>Prime</v>
          </cell>
          <cell r="L413" t="str">
            <v>Fixed Price</v>
          </cell>
          <cell r="M413" t="str">
            <v>Fixed Price</v>
          </cell>
          <cell r="N413" t="str">
            <v>Identified - New</v>
          </cell>
          <cell r="O413" t="str">
            <v>01 Prospect</v>
          </cell>
          <cell r="P413" t="str">
            <v>Priority 2</v>
          </cell>
          <cell r="Q413">
            <v>0.15</v>
          </cell>
          <cell r="R413">
            <v>25000000</v>
          </cell>
          <cell r="S413">
            <v>0</v>
          </cell>
          <cell r="T413">
            <v>0.16</v>
          </cell>
          <cell r="U413">
            <v>0.16</v>
          </cell>
          <cell r="V413">
            <v>0.16</v>
          </cell>
          <cell r="W413">
            <v>0.16</v>
          </cell>
          <cell r="X413">
            <v>0</v>
          </cell>
          <cell r="Y413">
            <v>5.1000000000000004E-2</v>
          </cell>
          <cell r="Z413">
            <v>5.2500000000000005E-2</v>
          </cell>
          <cell r="AA413">
            <v>5.5E-2</v>
          </cell>
          <cell r="AB413">
            <v>5.7500000000000002E-2</v>
          </cell>
          <cell r="AC413">
            <v>5000000</v>
          </cell>
          <cell r="AD413">
            <v>0</v>
          </cell>
          <cell r="AE413">
            <v>0</v>
          </cell>
          <cell r="AF413">
            <v>0</v>
          </cell>
          <cell r="AG413">
            <v>750000</v>
          </cell>
          <cell r="AH413">
            <v>750000</v>
          </cell>
          <cell r="AI413">
            <v>0</v>
          </cell>
          <cell r="AJ413">
            <v>0</v>
          </cell>
          <cell r="AK413">
            <v>0</v>
          </cell>
          <cell r="AL413">
            <v>120000</v>
          </cell>
          <cell r="AM413">
            <v>120000</v>
          </cell>
          <cell r="AN413">
            <v>0</v>
          </cell>
          <cell r="AO413">
            <v>0</v>
          </cell>
          <cell r="AP413">
            <v>0</v>
          </cell>
          <cell r="AQ413">
            <v>41250</v>
          </cell>
          <cell r="AR413">
            <v>43125</v>
          </cell>
          <cell r="AT413" t="str">
            <v>OPP-938679 - Identified - New - NE</v>
          </cell>
          <cell r="AU413">
            <v>84375</v>
          </cell>
          <cell r="AV413">
            <v>0</v>
          </cell>
          <cell r="AW413">
            <v>0</v>
          </cell>
          <cell r="AX413">
            <v>84375</v>
          </cell>
          <cell r="AZ413">
            <v>402</v>
          </cell>
          <cell r="BA413">
            <v>402</v>
          </cell>
          <cell r="BB413">
            <v>37</v>
          </cell>
        </row>
        <row r="414">
          <cell r="B414" t="str">
            <v>OPP-958908</v>
          </cell>
          <cell r="C414" t="str">
            <v>Taiwan Chinshan Waste Facility Design</v>
          </cell>
          <cell r="D414" t="str">
            <v>NE</v>
          </cell>
          <cell r="E414" t="str">
            <v>NE International Programs</v>
          </cell>
          <cell r="F414" t="str">
            <v>Foreign Government</v>
          </cell>
          <cell r="G414" t="str">
            <v>Non-US Gov't</v>
          </cell>
          <cell r="H414">
            <v>44500</v>
          </cell>
          <cell r="I414" t="str">
            <v>12/31/2021</v>
          </cell>
          <cell r="J414" t="str">
            <v>12/31/2023</v>
          </cell>
          <cell r="K414" t="str">
            <v>Prime</v>
          </cell>
          <cell r="L414" t="str">
            <v>Fixed Price</v>
          </cell>
          <cell r="M414" t="str">
            <v>Other</v>
          </cell>
          <cell r="N414" t="str">
            <v>Identified - New</v>
          </cell>
          <cell r="O414" t="str">
            <v>01 Prospect</v>
          </cell>
          <cell r="P414" t="str">
            <v>Priority 3</v>
          </cell>
          <cell r="Q414">
            <v>0.15</v>
          </cell>
          <cell r="R414">
            <v>10000000</v>
          </cell>
          <cell r="S414">
            <v>0</v>
          </cell>
          <cell r="T414">
            <v>0.16</v>
          </cell>
          <cell r="U414">
            <v>0.16</v>
          </cell>
          <cell r="V414">
            <v>0.16</v>
          </cell>
          <cell r="W414">
            <v>0.16</v>
          </cell>
          <cell r="X414">
            <v>0</v>
          </cell>
          <cell r="Y414">
            <v>0.05</v>
          </cell>
          <cell r="Z414">
            <v>5.2999999999999999E-2</v>
          </cell>
          <cell r="AA414">
            <v>5.6000000000000001E-2</v>
          </cell>
          <cell r="AB414">
            <v>5.8999999999999997E-2</v>
          </cell>
          <cell r="AC414">
            <v>5000000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T414" t="str">
            <v>OPP-958908 - Identified - New - NE</v>
          </cell>
          <cell r="AU414">
            <v>0</v>
          </cell>
          <cell r="AV414">
            <v>0</v>
          </cell>
          <cell r="AW414">
            <v>0</v>
          </cell>
          <cell r="AX414">
            <v>0</v>
          </cell>
          <cell r="AZ414">
            <v>403</v>
          </cell>
          <cell r="BA414">
            <v>403</v>
          </cell>
          <cell r="BB414">
            <v>442</v>
          </cell>
        </row>
        <row r="415">
          <cell r="B415" t="str">
            <v>OPP-941045</v>
          </cell>
          <cell r="C415" t="str">
            <v>Taiwan - Chinshan D&amp;D Execution</v>
          </cell>
          <cell r="D415" t="str">
            <v>NE</v>
          </cell>
          <cell r="E415" t="str">
            <v>NE International Programs</v>
          </cell>
          <cell r="F415" t="str">
            <v>Other Foreign Gov't</v>
          </cell>
          <cell r="G415" t="str">
            <v>Non-US Gov't</v>
          </cell>
          <cell r="H415">
            <v>45443</v>
          </cell>
          <cell r="I415">
            <v>45443</v>
          </cell>
          <cell r="J415">
            <v>51652</v>
          </cell>
          <cell r="K415" t="str">
            <v>Prime</v>
          </cell>
          <cell r="L415" t="str">
            <v>Cost Plus Award Fee</v>
          </cell>
          <cell r="M415" t="str">
            <v>Other</v>
          </cell>
          <cell r="N415" t="str">
            <v>Identified - New</v>
          </cell>
          <cell r="O415" t="str">
            <v>01 Prospect</v>
          </cell>
          <cell r="P415" t="str">
            <v>Priority 1</v>
          </cell>
          <cell r="Q415">
            <v>0.1</v>
          </cell>
          <cell r="R415">
            <v>500000000</v>
          </cell>
          <cell r="S415">
            <v>0</v>
          </cell>
          <cell r="T415">
            <v>0.16</v>
          </cell>
          <cell r="U415">
            <v>0.16</v>
          </cell>
          <cell r="V415">
            <v>0.16</v>
          </cell>
          <cell r="W415">
            <v>0.16</v>
          </cell>
          <cell r="X415">
            <v>0</v>
          </cell>
          <cell r="Y415">
            <v>0.05</v>
          </cell>
          <cell r="Z415">
            <v>5.2999999999999999E-2</v>
          </cell>
          <cell r="AA415">
            <v>5.6000000000000001E-2</v>
          </cell>
          <cell r="AB415">
            <v>5.8999999999999997E-2</v>
          </cell>
          <cell r="AC415">
            <v>29411764.705882352</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T415" t="str">
            <v>OPP-941045 - Identified - New - NE</v>
          </cell>
          <cell r="AU415">
            <v>0</v>
          </cell>
          <cell r="AV415">
            <v>0</v>
          </cell>
          <cell r="AW415">
            <v>0</v>
          </cell>
          <cell r="AX415">
            <v>0</v>
          </cell>
          <cell r="AZ415">
            <v>404</v>
          </cell>
          <cell r="BA415">
            <v>404</v>
          </cell>
          <cell r="BB415">
            <v>443</v>
          </cell>
        </row>
        <row r="416">
          <cell r="B416" t="str">
            <v>OPP-941775</v>
          </cell>
          <cell r="C416" t="str">
            <v>WCS Cask Handing Building Design</v>
          </cell>
          <cell r="D416" t="str">
            <v>NE</v>
          </cell>
          <cell r="E416" t="str">
            <v>NE Technical Services</v>
          </cell>
          <cell r="F416" t="str">
            <v>Commercial</v>
          </cell>
          <cell r="G416" t="str">
            <v xml:space="preserve">Commercial </v>
          </cell>
          <cell r="H416">
            <v>43706</v>
          </cell>
          <cell r="I416">
            <v>43713</v>
          </cell>
          <cell r="J416">
            <v>43803</v>
          </cell>
          <cell r="K416" t="str">
            <v>Prime</v>
          </cell>
          <cell r="L416" t="str">
            <v>Fixed Price; Labor Hour</v>
          </cell>
          <cell r="M416" t="str">
            <v>Fixed Price</v>
          </cell>
          <cell r="N416" t="str">
            <v>Identified - New</v>
          </cell>
          <cell r="O416" t="str">
            <v>04 Submitted</v>
          </cell>
          <cell r="P416" t="str">
            <v>Priority 3</v>
          </cell>
          <cell r="Q416">
            <v>0.35</v>
          </cell>
          <cell r="R416">
            <v>310879</v>
          </cell>
          <cell r="S416">
            <v>0</v>
          </cell>
          <cell r="T416">
            <v>0.3</v>
          </cell>
          <cell r="U416">
            <v>0.3</v>
          </cell>
          <cell r="V416">
            <v>0.3</v>
          </cell>
          <cell r="W416">
            <v>0.3</v>
          </cell>
          <cell r="X416">
            <v>0</v>
          </cell>
          <cell r="Y416">
            <v>6.0999999999999999E-2</v>
          </cell>
          <cell r="Z416">
            <v>6.4000000000000001E-2</v>
          </cell>
          <cell r="AA416">
            <v>6.7000000000000004E-2</v>
          </cell>
          <cell r="AB416">
            <v>7.0000000000000007E-2</v>
          </cell>
          <cell r="AC416">
            <v>310879</v>
          </cell>
          <cell r="AD416">
            <v>0</v>
          </cell>
          <cell r="AE416">
            <v>108807.65</v>
          </cell>
          <cell r="AF416">
            <v>0</v>
          </cell>
          <cell r="AG416">
            <v>0</v>
          </cell>
          <cell r="AH416">
            <v>0</v>
          </cell>
          <cell r="AI416">
            <v>0</v>
          </cell>
          <cell r="AJ416">
            <v>32642.294999999998</v>
          </cell>
          <cell r="AK416">
            <v>0</v>
          </cell>
          <cell r="AL416">
            <v>0</v>
          </cell>
          <cell r="AM416">
            <v>0</v>
          </cell>
          <cell r="AN416">
            <v>0</v>
          </cell>
          <cell r="AO416">
            <v>6637.2666499999996</v>
          </cell>
          <cell r="AP416">
            <v>0</v>
          </cell>
          <cell r="AQ416">
            <v>0</v>
          </cell>
          <cell r="AR416">
            <v>0</v>
          </cell>
          <cell r="AT416" t="str">
            <v>OPP-941775 - Identified - New - NE</v>
          </cell>
          <cell r="AU416">
            <v>6637.2666499999996</v>
          </cell>
          <cell r="AV416">
            <v>0</v>
          </cell>
          <cell r="AW416">
            <v>0</v>
          </cell>
          <cell r="AX416">
            <v>6637.2666499999996</v>
          </cell>
          <cell r="AZ416">
            <v>405</v>
          </cell>
          <cell r="BA416">
            <v>405</v>
          </cell>
          <cell r="BB416">
            <v>58</v>
          </cell>
        </row>
        <row r="417">
          <cell r="B417" t="str">
            <v>OPP-947536</v>
          </cell>
          <cell r="C417" t="str">
            <v>SRNS A-E Services BOA Task Order No. 08 - Non-Rad Laboratory Campus Design (MS Portion)</v>
          </cell>
          <cell r="D417" t="str">
            <v>NE</v>
          </cell>
          <cell r="E417" t="str">
            <v>NE Technical Services</v>
          </cell>
          <cell r="F417" t="str">
            <v>DOE-NNSA</v>
          </cell>
          <cell r="G417" t="str">
            <v>DOE</v>
          </cell>
          <cell r="H417">
            <v>43717</v>
          </cell>
          <cell r="I417">
            <v>43724</v>
          </cell>
          <cell r="J417">
            <v>43874</v>
          </cell>
          <cell r="K417" t="str">
            <v>Prime</v>
          </cell>
          <cell r="L417" t="str">
            <v>Labor Hour; Lump Sum; Unit Price</v>
          </cell>
          <cell r="M417" t="str">
            <v>Other</v>
          </cell>
          <cell r="N417" t="str">
            <v>Identified - New</v>
          </cell>
          <cell r="O417" t="str">
            <v>04 Submitted</v>
          </cell>
          <cell r="P417" t="str">
            <v>Priority 3</v>
          </cell>
          <cell r="Q417">
            <v>0.35</v>
          </cell>
          <cell r="R417">
            <v>85590</v>
          </cell>
          <cell r="S417">
            <v>0</v>
          </cell>
          <cell r="T417">
            <v>0.3</v>
          </cell>
          <cell r="U417">
            <v>0.3</v>
          </cell>
          <cell r="V417">
            <v>0.3</v>
          </cell>
          <cell r="W417">
            <v>0.3</v>
          </cell>
          <cell r="X417">
            <v>0</v>
          </cell>
          <cell r="Y417">
            <v>6.0999999999999999E-2</v>
          </cell>
          <cell r="Z417">
            <v>6.4000000000000001E-2</v>
          </cell>
          <cell r="AA417">
            <v>6.7000000000000004E-2</v>
          </cell>
          <cell r="AB417">
            <v>7.0000000000000007E-2</v>
          </cell>
          <cell r="AC417">
            <v>85590</v>
          </cell>
          <cell r="AD417">
            <v>0</v>
          </cell>
          <cell r="AE417">
            <v>29956.499999999996</v>
          </cell>
          <cell r="AF417">
            <v>0</v>
          </cell>
          <cell r="AG417">
            <v>0</v>
          </cell>
          <cell r="AH417">
            <v>0</v>
          </cell>
          <cell r="AI417">
            <v>0</v>
          </cell>
          <cell r="AJ417">
            <v>8986.9499999999989</v>
          </cell>
          <cell r="AK417">
            <v>0</v>
          </cell>
          <cell r="AL417">
            <v>0</v>
          </cell>
          <cell r="AM417">
            <v>0</v>
          </cell>
          <cell r="AN417">
            <v>0</v>
          </cell>
          <cell r="AO417">
            <v>1827.3464999999997</v>
          </cell>
          <cell r="AP417">
            <v>0</v>
          </cell>
          <cell r="AQ417">
            <v>0</v>
          </cell>
          <cell r="AR417">
            <v>0</v>
          </cell>
          <cell r="AT417" t="str">
            <v>OPP-947536 - Identified - New - NE</v>
          </cell>
          <cell r="AU417">
            <v>1827.3464999999997</v>
          </cell>
          <cell r="AV417">
            <v>0</v>
          </cell>
          <cell r="AW417">
            <v>0</v>
          </cell>
          <cell r="AX417">
            <v>1827.3464999999997</v>
          </cell>
          <cell r="AZ417">
            <v>406</v>
          </cell>
          <cell r="BA417">
            <v>406</v>
          </cell>
          <cell r="BB417">
            <v>62</v>
          </cell>
        </row>
        <row r="418">
          <cell r="B418" t="str">
            <v>OPP-914729</v>
          </cell>
          <cell r="C418" t="str">
            <v>ECSE Program T.O. #24 - NNSS UCEP Subproject 10 Review (Mining Study)</v>
          </cell>
          <cell r="D418" t="str">
            <v>NE</v>
          </cell>
          <cell r="E418" t="str">
            <v>NE Technical Services</v>
          </cell>
          <cell r="F418" t="str">
            <v>DOE-NNSA</v>
          </cell>
          <cell r="G418" t="str">
            <v>DOE</v>
          </cell>
          <cell r="H418">
            <v>43682</v>
          </cell>
          <cell r="I418">
            <v>43697</v>
          </cell>
          <cell r="J418">
            <v>43728</v>
          </cell>
          <cell r="K418" t="str">
            <v>Prime</v>
          </cell>
          <cell r="L418" t="str">
            <v>Labor Hour</v>
          </cell>
          <cell r="M418" t="str">
            <v>Other</v>
          </cell>
          <cell r="N418" t="str">
            <v>Identified - New</v>
          </cell>
          <cell r="O418" t="str">
            <v>05 Awarded/Won</v>
          </cell>
          <cell r="P418" t="str">
            <v>Priority 3</v>
          </cell>
          <cell r="Q418">
            <v>1</v>
          </cell>
          <cell r="R418">
            <v>121046</v>
          </cell>
          <cell r="S418">
            <v>0</v>
          </cell>
          <cell r="T418">
            <v>0.3</v>
          </cell>
          <cell r="U418">
            <v>0.3</v>
          </cell>
          <cell r="V418">
            <v>0.3</v>
          </cell>
          <cell r="W418">
            <v>0.3</v>
          </cell>
          <cell r="X418">
            <v>0</v>
          </cell>
          <cell r="Y418">
            <v>6.0999999999999999E-2</v>
          </cell>
          <cell r="Z418">
            <v>6.4000000000000001E-2</v>
          </cell>
          <cell r="AA418">
            <v>6.7000000000000004E-2</v>
          </cell>
          <cell r="AB418">
            <v>7.0000000000000007E-2</v>
          </cell>
          <cell r="AC418">
            <v>121046</v>
          </cell>
          <cell r="AD418">
            <v>0</v>
          </cell>
          <cell r="AE418">
            <v>121046</v>
          </cell>
          <cell r="AF418">
            <v>0</v>
          </cell>
          <cell r="AG418">
            <v>0</v>
          </cell>
          <cell r="AH418">
            <v>0</v>
          </cell>
          <cell r="AI418">
            <v>0</v>
          </cell>
          <cell r="AJ418">
            <v>36313.799999999996</v>
          </cell>
          <cell r="AK418">
            <v>0</v>
          </cell>
          <cell r="AL418">
            <v>0</v>
          </cell>
          <cell r="AM418">
            <v>0</v>
          </cell>
          <cell r="AN418">
            <v>0</v>
          </cell>
          <cell r="AO418">
            <v>7383.8059999999996</v>
          </cell>
          <cell r="AP418">
            <v>0</v>
          </cell>
          <cell r="AQ418">
            <v>0</v>
          </cell>
          <cell r="AR418">
            <v>0</v>
          </cell>
          <cell r="AT418" t="str">
            <v>OPP-914729 - Identified - New - NE</v>
          </cell>
          <cell r="AU418">
            <v>7383.8059999999996</v>
          </cell>
          <cell r="AV418">
            <v>0</v>
          </cell>
          <cell r="AW418">
            <v>0</v>
          </cell>
          <cell r="AX418">
            <v>7383.8059999999996</v>
          </cell>
          <cell r="AZ418">
            <v>407</v>
          </cell>
          <cell r="BA418">
            <v>407</v>
          </cell>
          <cell r="BB418">
            <v>57</v>
          </cell>
        </row>
        <row r="419">
          <cell r="B419" t="str">
            <v>OPP-905356</v>
          </cell>
          <cell r="C419" t="str">
            <v>NRWMF - Provision of Design Phase Services</v>
          </cell>
          <cell r="D419" t="str">
            <v>NE</v>
          </cell>
          <cell r="E419" t="str">
            <v>NE Technical Services</v>
          </cell>
          <cell r="F419" t="str">
            <v>Other Foreign Gov't</v>
          </cell>
          <cell r="G419" t="str">
            <v>Non-US Gov't</v>
          </cell>
          <cell r="H419">
            <v>43678</v>
          </cell>
          <cell r="I419">
            <v>43709</v>
          </cell>
          <cell r="J419">
            <v>46266</v>
          </cell>
          <cell r="K419" t="str">
            <v>Prime</v>
          </cell>
          <cell r="L419" t="str">
            <v>Cost Plus Fixed Fee</v>
          </cell>
          <cell r="M419" t="str">
            <v>Cost Reimbursable</v>
          </cell>
          <cell r="N419" t="str">
            <v>Identified - New</v>
          </cell>
          <cell r="O419" t="str">
            <v>04 Submitted</v>
          </cell>
          <cell r="P419" t="str">
            <v>Priority 1</v>
          </cell>
          <cell r="Q419">
            <v>0.35</v>
          </cell>
          <cell r="R419">
            <v>10434003</v>
          </cell>
          <cell r="S419">
            <v>0</v>
          </cell>
          <cell r="T419">
            <v>0.3</v>
          </cell>
          <cell r="U419">
            <v>0.3</v>
          </cell>
          <cell r="V419">
            <v>0.3</v>
          </cell>
          <cell r="W419">
            <v>0.3</v>
          </cell>
          <cell r="X419">
            <v>0</v>
          </cell>
          <cell r="Y419">
            <v>6.0999999999999999E-2</v>
          </cell>
          <cell r="Z419">
            <v>6.4000000000000001E-2</v>
          </cell>
          <cell r="AA419">
            <v>6.7000000000000004E-2</v>
          </cell>
          <cell r="AB419">
            <v>7.0000000000000007E-2</v>
          </cell>
          <cell r="AC419">
            <v>1490571.857142857</v>
          </cell>
          <cell r="AD419">
            <v>0</v>
          </cell>
          <cell r="AE419">
            <v>521700.14999999991</v>
          </cell>
          <cell r="AF419">
            <v>521700.14999999991</v>
          </cell>
          <cell r="AG419">
            <v>521700.14999999991</v>
          </cell>
          <cell r="AH419">
            <v>521700.14999999991</v>
          </cell>
          <cell r="AI419">
            <v>0</v>
          </cell>
          <cell r="AJ419">
            <v>156510.04499999995</v>
          </cell>
          <cell r="AK419">
            <v>156510.04499999995</v>
          </cell>
          <cell r="AL419">
            <v>156510.04499999995</v>
          </cell>
          <cell r="AM419">
            <v>156510.04499999995</v>
          </cell>
          <cell r="AN419">
            <v>0</v>
          </cell>
          <cell r="AO419">
            <v>31823.709149999995</v>
          </cell>
          <cell r="AP419">
            <v>33388.809599999993</v>
          </cell>
          <cell r="AQ419">
            <v>34953.910049999999</v>
          </cell>
          <cell r="AR419">
            <v>36519.010499999997</v>
          </cell>
          <cell r="AT419" t="str">
            <v>OPP-905356 - Identified - New - NE</v>
          </cell>
          <cell r="AU419">
            <v>136685.4393</v>
          </cell>
          <cell r="AV419">
            <v>0</v>
          </cell>
          <cell r="AW419">
            <v>0</v>
          </cell>
          <cell r="AX419">
            <v>136685.4393</v>
          </cell>
          <cell r="AZ419">
            <v>408</v>
          </cell>
          <cell r="BA419">
            <v>408</v>
          </cell>
          <cell r="BB419">
            <v>32</v>
          </cell>
        </row>
        <row r="420">
          <cell r="B420" t="str">
            <v>OPP-905360</v>
          </cell>
          <cell r="C420" t="str">
            <v>NRWMF - Provision of Design Phase Services (MS portion)</v>
          </cell>
          <cell r="D420" t="str">
            <v>NE</v>
          </cell>
          <cell r="E420" t="str">
            <v>NE Technical Services</v>
          </cell>
          <cell r="F420" t="str">
            <v>Other Foreign Gov't</v>
          </cell>
          <cell r="G420" t="str">
            <v>Non-US Gov't</v>
          </cell>
          <cell r="H420">
            <v>43678</v>
          </cell>
          <cell r="I420">
            <v>43709</v>
          </cell>
          <cell r="J420">
            <v>46266</v>
          </cell>
          <cell r="K420" t="str">
            <v>Prime</v>
          </cell>
          <cell r="L420" t="str">
            <v>Cost Plus Fixed Fee</v>
          </cell>
          <cell r="M420" t="str">
            <v>Cost Reimbursable</v>
          </cell>
          <cell r="N420" t="str">
            <v>Identified - New</v>
          </cell>
          <cell r="O420" t="str">
            <v>04 Submitted</v>
          </cell>
          <cell r="P420" t="str">
            <v>Priority 3</v>
          </cell>
          <cell r="Q420">
            <v>0.35</v>
          </cell>
          <cell r="R420">
            <v>5000000</v>
          </cell>
          <cell r="S420">
            <v>0</v>
          </cell>
          <cell r="T420">
            <v>0.3</v>
          </cell>
          <cell r="U420">
            <v>0.3</v>
          </cell>
          <cell r="V420">
            <v>0.3</v>
          </cell>
          <cell r="W420">
            <v>0.3</v>
          </cell>
          <cell r="X420">
            <v>0</v>
          </cell>
          <cell r="Y420">
            <v>6.0999999999999999E-2</v>
          </cell>
          <cell r="Z420">
            <v>6.4000000000000001E-2</v>
          </cell>
          <cell r="AA420">
            <v>6.7000000000000004E-2</v>
          </cell>
          <cell r="AB420">
            <v>7.0000000000000007E-2</v>
          </cell>
          <cell r="AC420">
            <v>714285.71428571432</v>
          </cell>
          <cell r="AD420">
            <v>0</v>
          </cell>
          <cell r="AE420">
            <v>250000</v>
          </cell>
          <cell r="AF420">
            <v>250000</v>
          </cell>
          <cell r="AG420">
            <v>250000</v>
          </cell>
          <cell r="AH420">
            <v>250000</v>
          </cell>
          <cell r="AI420">
            <v>0</v>
          </cell>
          <cell r="AJ420">
            <v>75000</v>
          </cell>
          <cell r="AK420">
            <v>75000</v>
          </cell>
          <cell r="AL420">
            <v>75000</v>
          </cell>
          <cell r="AM420">
            <v>75000</v>
          </cell>
          <cell r="AN420">
            <v>0</v>
          </cell>
          <cell r="AO420">
            <v>15250</v>
          </cell>
          <cell r="AP420">
            <v>16000</v>
          </cell>
          <cell r="AQ420">
            <v>16750</v>
          </cell>
          <cell r="AR420">
            <v>17500</v>
          </cell>
          <cell r="AT420" t="str">
            <v>OPP-905360 - Identified - New - NE</v>
          </cell>
          <cell r="AU420">
            <v>65500</v>
          </cell>
          <cell r="AV420">
            <v>0</v>
          </cell>
          <cell r="AW420">
            <v>0</v>
          </cell>
          <cell r="AX420">
            <v>65500</v>
          </cell>
          <cell r="AZ420">
            <v>409</v>
          </cell>
          <cell r="BA420">
            <v>409</v>
          </cell>
          <cell r="BB420">
            <v>42</v>
          </cell>
        </row>
        <row r="421">
          <cell r="B421" t="str">
            <v>OPP-934724</v>
          </cell>
          <cell r="C421" t="str">
            <v>LANL-EM Engineering/Technical Services IDIQ</v>
          </cell>
          <cell r="D421" t="str">
            <v>NE</v>
          </cell>
          <cell r="E421" t="str">
            <v>NE Technical Services</v>
          </cell>
          <cell r="F421" t="str">
            <v>DOE-NNSA</v>
          </cell>
          <cell r="G421" t="str">
            <v>DOE</v>
          </cell>
          <cell r="H421">
            <v>43710</v>
          </cell>
          <cell r="I421">
            <v>43739</v>
          </cell>
          <cell r="J421">
            <v>44835</v>
          </cell>
          <cell r="K421" t="str">
            <v>Prime</v>
          </cell>
          <cell r="L421" t="str">
            <v>Fixed Price; Labor Hour</v>
          </cell>
          <cell r="M421" t="str">
            <v>Fixed Price</v>
          </cell>
          <cell r="N421" t="str">
            <v>Identified - New</v>
          </cell>
          <cell r="O421" t="str">
            <v>02 Capture</v>
          </cell>
          <cell r="P421" t="str">
            <v>Priority 1</v>
          </cell>
          <cell r="Q421">
            <v>0.35</v>
          </cell>
          <cell r="R421">
            <v>650000</v>
          </cell>
          <cell r="S421">
            <v>0</v>
          </cell>
          <cell r="T421">
            <v>0.3</v>
          </cell>
          <cell r="U421">
            <v>0.3</v>
          </cell>
          <cell r="V421">
            <v>0.3</v>
          </cell>
          <cell r="W421">
            <v>0.3</v>
          </cell>
          <cell r="X421">
            <v>0</v>
          </cell>
          <cell r="Y421">
            <v>6.0999999999999999E-2</v>
          </cell>
          <cell r="Z421">
            <v>6.4000000000000001E-2</v>
          </cell>
          <cell r="AA421">
            <v>6.7000000000000004E-2</v>
          </cell>
          <cell r="AB421">
            <v>7.0000000000000007E-2</v>
          </cell>
          <cell r="AC421">
            <v>216666.66666666666</v>
          </cell>
          <cell r="AD421">
            <v>0</v>
          </cell>
          <cell r="AE421">
            <v>75622.685185185182</v>
          </cell>
          <cell r="AF421">
            <v>75833.333333333328</v>
          </cell>
          <cell r="AG421">
            <v>75833.333333333328</v>
          </cell>
          <cell r="AH421">
            <v>210.64814814814599</v>
          </cell>
          <cell r="AI421">
            <v>0</v>
          </cell>
          <cell r="AJ421">
            <v>22686.805555555555</v>
          </cell>
          <cell r="AK421">
            <v>22749.999999999996</v>
          </cell>
          <cell r="AL421">
            <v>22749.999999999996</v>
          </cell>
          <cell r="AM421">
            <v>63.194444444443796</v>
          </cell>
          <cell r="AN421">
            <v>0</v>
          </cell>
          <cell r="AO421">
            <v>4612.9837962962956</v>
          </cell>
          <cell r="AP421">
            <v>4853.333333333333</v>
          </cell>
          <cell r="AQ421">
            <v>5080.833333333333</v>
          </cell>
          <cell r="AR421">
            <v>14.745370370370221</v>
          </cell>
          <cell r="AT421" t="str">
            <v>OPP-934724 - Identified - New - NE</v>
          </cell>
          <cell r="AU421">
            <v>14561.89583333333</v>
          </cell>
          <cell r="AV421">
            <v>0</v>
          </cell>
          <cell r="AW421">
            <v>0</v>
          </cell>
          <cell r="AX421">
            <v>14561.89583333333</v>
          </cell>
          <cell r="AZ421">
            <v>410</v>
          </cell>
          <cell r="BA421">
            <v>410</v>
          </cell>
          <cell r="BB421">
            <v>54</v>
          </cell>
        </row>
        <row r="422">
          <cell r="B422" t="str">
            <v>OPP-931096</v>
          </cell>
          <cell r="C422" t="str">
            <v>LBNL Bayview Parcel 1 Cleanup and Site Prep</v>
          </cell>
          <cell r="D422" t="str">
            <v>NE</v>
          </cell>
          <cell r="E422" t="str">
            <v>NE Technical Services</v>
          </cell>
          <cell r="F422" t="str">
            <v>DOE-Other</v>
          </cell>
          <cell r="G422" t="str">
            <v>DOE</v>
          </cell>
          <cell r="H422">
            <v>43731</v>
          </cell>
          <cell r="I422">
            <v>43752</v>
          </cell>
          <cell r="J422">
            <v>44483</v>
          </cell>
          <cell r="K422" t="str">
            <v>Prime</v>
          </cell>
          <cell r="L422" t="str">
            <v>Cost Plus Fixed Fee</v>
          </cell>
          <cell r="M422" t="str">
            <v>Cost Reimbursable</v>
          </cell>
          <cell r="N422" t="str">
            <v>Identified - New</v>
          </cell>
          <cell r="O422" t="str">
            <v>04 Submitted</v>
          </cell>
          <cell r="P422" t="str">
            <v>Priority 3</v>
          </cell>
          <cell r="Q422">
            <v>0.35</v>
          </cell>
          <cell r="R422">
            <v>1000000</v>
          </cell>
          <cell r="S422">
            <v>0</v>
          </cell>
          <cell r="T422">
            <v>0.3</v>
          </cell>
          <cell r="U422">
            <v>0.3</v>
          </cell>
          <cell r="V422">
            <v>0.3</v>
          </cell>
          <cell r="W422">
            <v>0.3</v>
          </cell>
          <cell r="X422">
            <v>0</v>
          </cell>
          <cell r="Y422">
            <v>6.0999999999999999E-2</v>
          </cell>
          <cell r="Z422">
            <v>6.4000000000000001E-2</v>
          </cell>
          <cell r="AA422">
            <v>6.7000000000000004E-2</v>
          </cell>
          <cell r="AB422">
            <v>7.0000000000000007E-2</v>
          </cell>
          <cell r="AC422">
            <v>500000</v>
          </cell>
          <cell r="AD422">
            <v>0</v>
          </cell>
          <cell r="AE422">
            <v>168194.44444444444</v>
          </cell>
          <cell r="AF422">
            <v>175000</v>
          </cell>
          <cell r="AG422">
            <v>6805.555555555562</v>
          </cell>
          <cell r="AH422">
            <v>0</v>
          </cell>
          <cell r="AI422">
            <v>0</v>
          </cell>
          <cell r="AJ422">
            <v>50458.333333333328</v>
          </cell>
          <cell r="AK422">
            <v>52500</v>
          </cell>
          <cell r="AL422">
            <v>2041.6666666666686</v>
          </cell>
          <cell r="AM422">
            <v>0</v>
          </cell>
          <cell r="AN422">
            <v>0</v>
          </cell>
          <cell r="AO422">
            <v>10259.861111111111</v>
          </cell>
          <cell r="AP422">
            <v>11200</v>
          </cell>
          <cell r="AQ422">
            <v>455.97222222222268</v>
          </cell>
          <cell r="AR422">
            <v>0</v>
          </cell>
          <cell r="AT422" t="str">
            <v>OPP-931096 - Identified - New - NE</v>
          </cell>
          <cell r="AU422">
            <v>21915.833333333332</v>
          </cell>
          <cell r="AV422">
            <v>0</v>
          </cell>
          <cell r="AW422">
            <v>0</v>
          </cell>
          <cell r="AX422">
            <v>21915.833333333332</v>
          </cell>
          <cell r="AZ422">
            <v>411</v>
          </cell>
          <cell r="BA422">
            <v>411</v>
          </cell>
          <cell r="BB422">
            <v>52</v>
          </cell>
        </row>
        <row r="423">
          <cell r="B423" t="str">
            <v>OPP-487941</v>
          </cell>
          <cell r="C423" t="str">
            <v>AZC Smelter Site</v>
          </cell>
          <cell r="D423" t="str">
            <v>NE</v>
          </cell>
          <cell r="E423" t="str">
            <v>NE Technical Services</v>
          </cell>
          <cell r="F423" t="str">
            <v>Commercial</v>
          </cell>
          <cell r="G423" t="str">
            <v xml:space="preserve">Commercial </v>
          </cell>
          <cell r="H423">
            <v>43707</v>
          </cell>
          <cell r="I423">
            <v>43773</v>
          </cell>
          <cell r="J423">
            <v>44139</v>
          </cell>
          <cell r="K423" t="str">
            <v>Prime</v>
          </cell>
          <cell r="L423" t="str">
            <v>Unit Price</v>
          </cell>
          <cell r="M423" t="str">
            <v>Other</v>
          </cell>
          <cell r="N423" t="str">
            <v>Identified - New</v>
          </cell>
          <cell r="O423" t="str">
            <v>02 Capture</v>
          </cell>
          <cell r="P423" t="str">
            <v>Priority 3</v>
          </cell>
          <cell r="Q423">
            <v>0.35</v>
          </cell>
          <cell r="R423">
            <v>20000000</v>
          </cell>
          <cell r="S423">
            <v>0</v>
          </cell>
          <cell r="T423">
            <v>0.3</v>
          </cell>
          <cell r="U423">
            <v>0.3</v>
          </cell>
          <cell r="V423">
            <v>0.3</v>
          </cell>
          <cell r="W423">
            <v>0.3</v>
          </cell>
          <cell r="X423">
            <v>0</v>
          </cell>
          <cell r="Y423">
            <v>6.0999999999999999E-2</v>
          </cell>
          <cell r="Z423">
            <v>6.4000000000000001E-2</v>
          </cell>
          <cell r="AA423">
            <v>6.7000000000000004E-2</v>
          </cell>
          <cell r="AB423">
            <v>7.0000000000000007E-2</v>
          </cell>
          <cell r="AC423">
            <v>20000000</v>
          </cell>
          <cell r="AD423">
            <v>0</v>
          </cell>
          <cell r="AE423">
            <v>6338888.888888889</v>
          </cell>
          <cell r="AF423">
            <v>661111.11111111101</v>
          </cell>
          <cell r="AG423">
            <v>0</v>
          </cell>
          <cell r="AH423">
            <v>0</v>
          </cell>
          <cell r="AI423">
            <v>0</v>
          </cell>
          <cell r="AJ423">
            <v>1901666.6666666665</v>
          </cell>
          <cell r="AK423">
            <v>198333.33333333328</v>
          </cell>
          <cell r="AL423">
            <v>0</v>
          </cell>
          <cell r="AM423">
            <v>0</v>
          </cell>
          <cell r="AN423">
            <v>0</v>
          </cell>
          <cell r="AO423">
            <v>386672.22222222225</v>
          </cell>
          <cell r="AP423">
            <v>42311.111111111102</v>
          </cell>
          <cell r="AQ423">
            <v>0</v>
          </cell>
          <cell r="AR423">
            <v>0</v>
          </cell>
          <cell r="AT423" t="str">
            <v>OPP-487941 - Identified - New - NE</v>
          </cell>
          <cell r="AU423">
            <v>428983.33333333337</v>
          </cell>
          <cell r="AV423">
            <v>0</v>
          </cell>
          <cell r="AW423">
            <v>0</v>
          </cell>
          <cell r="AX423">
            <v>428983.33333333337</v>
          </cell>
          <cell r="AZ423">
            <v>412</v>
          </cell>
          <cell r="BA423">
            <v>412</v>
          </cell>
          <cell r="BB423">
            <v>18</v>
          </cell>
        </row>
        <row r="424">
          <cell r="B424" t="str">
            <v>OPP-932949</v>
          </cell>
          <cell r="C424" t="str">
            <v>SRS Advanced Manufacturing Collaborative Facility</v>
          </cell>
          <cell r="D424" t="str">
            <v>NE</v>
          </cell>
          <cell r="E424" t="str">
            <v>NE Technical Services</v>
          </cell>
          <cell r="F424" t="str">
            <v>DOE-NNSA</v>
          </cell>
          <cell r="G424" t="str">
            <v>DOE</v>
          </cell>
          <cell r="H424">
            <v>43784</v>
          </cell>
          <cell r="I424">
            <v>43800</v>
          </cell>
          <cell r="J424">
            <v>44166</v>
          </cell>
          <cell r="K424" t="str">
            <v>Prime</v>
          </cell>
          <cell r="L424" t="str">
            <v>Fixed Price</v>
          </cell>
          <cell r="M424" t="str">
            <v>Fixed Price</v>
          </cell>
          <cell r="N424" t="str">
            <v>Identified - New</v>
          </cell>
          <cell r="O424" t="str">
            <v>01 Prospect</v>
          </cell>
          <cell r="P424" t="str">
            <v>Priority 3</v>
          </cell>
          <cell r="Q424">
            <v>0.35</v>
          </cell>
          <cell r="R424">
            <v>2795000</v>
          </cell>
          <cell r="S424">
            <v>0</v>
          </cell>
          <cell r="T424">
            <v>0.3</v>
          </cell>
          <cell r="U424">
            <v>0.3</v>
          </cell>
          <cell r="V424">
            <v>0.3</v>
          </cell>
          <cell r="W424">
            <v>0.3</v>
          </cell>
          <cell r="X424">
            <v>0</v>
          </cell>
          <cell r="Y424">
            <v>6.0999999999999999E-2</v>
          </cell>
          <cell r="Z424">
            <v>6.4000000000000001E-2</v>
          </cell>
          <cell r="AA424">
            <v>6.7000000000000004E-2</v>
          </cell>
          <cell r="AB424">
            <v>7.0000000000000007E-2</v>
          </cell>
          <cell r="AC424">
            <v>2795000</v>
          </cell>
          <cell r="AD424">
            <v>0</v>
          </cell>
          <cell r="AE424">
            <v>812490.97222222225</v>
          </cell>
          <cell r="AF424">
            <v>165759.02777777764</v>
          </cell>
          <cell r="AG424">
            <v>0</v>
          </cell>
          <cell r="AH424">
            <v>0</v>
          </cell>
          <cell r="AI424">
            <v>0</v>
          </cell>
          <cell r="AJ424">
            <v>243747.29166666666</v>
          </cell>
          <cell r="AK424">
            <v>49727.708333333292</v>
          </cell>
          <cell r="AL424">
            <v>0</v>
          </cell>
          <cell r="AM424">
            <v>0</v>
          </cell>
          <cell r="AN424">
            <v>0</v>
          </cell>
          <cell r="AO424">
            <v>49561.949305555558</v>
          </cell>
          <cell r="AP424">
            <v>10608.577777777769</v>
          </cell>
          <cell r="AQ424">
            <v>0</v>
          </cell>
          <cell r="AR424">
            <v>0</v>
          </cell>
          <cell r="AT424" t="str">
            <v>OPP-932949 - Identified - New - NE</v>
          </cell>
          <cell r="AU424">
            <v>60170.527083333327</v>
          </cell>
          <cell r="AV424">
            <v>0</v>
          </cell>
          <cell r="AW424">
            <v>0</v>
          </cell>
          <cell r="AX424">
            <v>60170.527083333327</v>
          </cell>
          <cell r="AZ424">
            <v>413</v>
          </cell>
          <cell r="BA424">
            <v>413</v>
          </cell>
          <cell r="BB424">
            <v>44</v>
          </cell>
        </row>
        <row r="425">
          <cell r="B425" t="str">
            <v>OPP-938392</v>
          </cell>
          <cell r="C425" t="str">
            <v>LANL TRU Liquid Waste Facility Redesign</v>
          </cell>
          <cell r="D425" t="str">
            <v>NE</v>
          </cell>
          <cell r="E425" t="str">
            <v>NE Technical Services</v>
          </cell>
          <cell r="F425" t="str">
            <v>DOE-NNSA</v>
          </cell>
          <cell r="G425" t="str">
            <v>DOE</v>
          </cell>
          <cell r="H425">
            <v>43784</v>
          </cell>
          <cell r="I425">
            <v>43800</v>
          </cell>
          <cell r="J425">
            <v>44105</v>
          </cell>
          <cell r="K425" t="str">
            <v>Prime</v>
          </cell>
          <cell r="L425" t="str">
            <v>Fixed Price; Lump Sum</v>
          </cell>
          <cell r="M425" t="str">
            <v>Fixed Price</v>
          </cell>
          <cell r="N425" t="str">
            <v>Identified - New</v>
          </cell>
          <cell r="O425" t="str">
            <v>01 Prospect</v>
          </cell>
          <cell r="P425" t="str">
            <v>Priority 3</v>
          </cell>
          <cell r="Q425">
            <v>0.35</v>
          </cell>
          <cell r="R425">
            <v>450000</v>
          </cell>
          <cell r="S425">
            <v>0</v>
          </cell>
          <cell r="T425">
            <v>0.3</v>
          </cell>
          <cell r="U425">
            <v>0.3</v>
          </cell>
          <cell r="V425">
            <v>0.3</v>
          </cell>
          <cell r="W425">
            <v>0.3</v>
          </cell>
          <cell r="X425">
            <v>0</v>
          </cell>
          <cell r="Y425">
            <v>6.0999999999999999E-2</v>
          </cell>
          <cell r="Z425">
            <v>6.4000000000000001E-2</v>
          </cell>
          <cell r="AA425">
            <v>6.7000000000000004E-2</v>
          </cell>
          <cell r="AB425">
            <v>7.0000000000000007E-2</v>
          </cell>
          <cell r="AC425">
            <v>450000</v>
          </cell>
          <cell r="AD425">
            <v>0</v>
          </cell>
          <cell r="AE425">
            <v>130812.49999999999</v>
          </cell>
          <cell r="AF425">
            <v>26687.500000000015</v>
          </cell>
          <cell r="AG425">
            <v>0</v>
          </cell>
          <cell r="AH425">
            <v>0</v>
          </cell>
          <cell r="AI425">
            <v>0</v>
          </cell>
          <cell r="AJ425">
            <v>39243.749999999993</v>
          </cell>
          <cell r="AK425">
            <v>8006.2500000000036</v>
          </cell>
          <cell r="AL425">
            <v>0</v>
          </cell>
          <cell r="AM425">
            <v>0</v>
          </cell>
          <cell r="AN425">
            <v>0</v>
          </cell>
          <cell r="AO425">
            <v>7979.5624999999991</v>
          </cell>
          <cell r="AP425">
            <v>1708.0000000000009</v>
          </cell>
          <cell r="AQ425">
            <v>0</v>
          </cell>
          <cell r="AR425">
            <v>0</v>
          </cell>
          <cell r="AT425" t="str">
            <v>OPP-938392 - Identified - New - NE</v>
          </cell>
          <cell r="AU425">
            <v>9687.5625</v>
          </cell>
          <cell r="AV425">
            <v>0</v>
          </cell>
          <cell r="AW425">
            <v>0</v>
          </cell>
          <cell r="AX425">
            <v>9687.5625</v>
          </cell>
          <cell r="AZ425">
            <v>414</v>
          </cell>
          <cell r="BA425">
            <v>414</v>
          </cell>
          <cell r="BB425">
            <v>55</v>
          </cell>
        </row>
        <row r="426">
          <cell r="B426" t="str">
            <v>OPP-647511</v>
          </cell>
          <cell r="C426" t="str">
            <v>SRNS General Site Testing Services for NDE and Civil Testing</v>
          </cell>
          <cell r="D426" t="str">
            <v>NE</v>
          </cell>
          <cell r="E426" t="str">
            <v>NE Technical Services</v>
          </cell>
          <cell r="F426" t="str">
            <v>DOE-NNSA</v>
          </cell>
          <cell r="G426" t="str">
            <v>DOE</v>
          </cell>
          <cell r="H426">
            <v>43770</v>
          </cell>
          <cell r="I426">
            <v>43800</v>
          </cell>
          <cell r="J426">
            <v>45627</v>
          </cell>
          <cell r="K426" t="str">
            <v>Prime</v>
          </cell>
          <cell r="L426" t="str">
            <v>T&amp;M</v>
          </cell>
          <cell r="M426" t="str">
            <v>T&amp;M</v>
          </cell>
          <cell r="N426" t="str">
            <v>Identified - New</v>
          </cell>
          <cell r="O426" t="str">
            <v>02 Capture</v>
          </cell>
          <cell r="P426" t="str">
            <v>Priority 1</v>
          </cell>
          <cell r="Q426">
            <v>0.5</v>
          </cell>
          <cell r="R426">
            <v>20000000</v>
          </cell>
          <cell r="S426">
            <v>0</v>
          </cell>
          <cell r="T426">
            <v>0.3</v>
          </cell>
          <cell r="U426">
            <v>0.3</v>
          </cell>
          <cell r="V426">
            <v>0.3</v>
          </cell>
          <cell r="W426">
            <v>0.3</v>
          </cell>
          <cell r="X426">
            <v>0</v>
          </cell>
          <cell r="Y426">
            <v>6.0999999999999999E-2</v>
          </cell>
          <cell r="Z426">
            <v>6.4000000000000001E-2</v>
          </cell>
          <cell r="AA426">
            <v>6.7000000000000004E-2</v>
          </cell>
          <cell r="AB426">
            <v>7.0000000000000007E-2</v>
          </cell>
          <cell r="AC426">
            <v>4000000</v>
          </cell>
          <cell r="AD426">
            <v>0</v>
          </cell>
          <cell r="AE426">
            <v>1661111.1111111112</v>
          </cell>
          <cell r="AF426">
            <v>2000000</v>
          </cell>
          <cell r="AG426">
            <v>2000000</v>
          </cell>
          <cell r="AH426">
            <v>2000000</v>
          </cell>
          <cell r="AI426">
            <v>0</v>
          </cell>
          <cell r="AJ426">
            <v>498333.33333333337</v>
          </cell>
          <cell r="AK426">
            <v>600000</v>
          </cell>
          <cell r="AL426">
            <v>600000</v>
          </cell>
          <cell r="AM426">
            <v>600000</v>
          </cell>
          <cell r="AN426">
            <v>0</v>
          </cell>
          <cell r="AO426">
            <v>101327.77777777778</v>
          </cell>
          <cell r="AP426">
            <v>128000</v>
          </cell>
          <cell r="AQ426">
            <v>134000</v>
          </cell>
          <cell r="AR426">
            <v>140000</v>
          </cell>
          <cell r="AT426" t="str">
            <v>OPP-647511 - Identified - New - NE</v>
          </cell>
          <cell r="AU426">
            <v>503327.77777777775</v>
          </cell>
          <cell r="AV426">
            <v>0</v>
          </cell>
          <cell r="AW426">
            <v>0</v>
          </cell>
          <cell r="AX426">
            <v>503327.77777777775</v>
          </cell>
          <cell r="AZ426">
            <v>415</v>
          </cell>
          <cell r="BA426">
            <v>415</v>
          </cell>
          <cell r="BB426">
            <v>15</v>
          </cell>
        </row>
        <row r="427">
          <cell r="B427" t="str">
            <v>OPP-944958</v>
          </cell>
          <cell r="C427" t="str">
            <v>N3B Staffing Support</v>
          </cell>
          <cell r="D427" t="str">
            <v>NE</v>
          </cell>
          <cell r="E427" t="str">
            <v>NE Technical Services</v>
          </cell>
          <cell r="F427" t="str">
            <v>DOE-Other</v>
          </cell>
          <cell r="G427" t="str">
            <v>DOE</v>
          </cell>
          <cell r="H427">
            <v>43770</v>
          </cell>
          <cell r="I427">
            <v>43800</v>
          </cell>
          <cell r="J427">
            <v>45627</v>
          </cell>
          <cell r="K427" t="str">
            <v>Sub</v>
          </cell>
          <cell r="L427" t="str">
            <v>Fixed Price; Labor Hour; Unit Price</v>
          </cell>
          <cell r="M427" t="str">
            <v>Fixed Price</v>
          </cell>
          <cell r="N427" t="str">
            <v>Identified - New</v>
          </cell>
          <cell r="O427" t="str">
            <v>02 Capture</v>
          </cell>
          <cell r="P427" t="str">
            <v>Priority 2</v>
          </cell>
          <cell r="Q427">
            <v>0.35</v>
          </cell>
          <cell r="R427">
            <v>7500000</v>
          </cell>
          <cell r="S427">
            <v>0</v>
          </cell>
          <cell r="T427">
            <v>0.3</v>
          </cell>
          <cell r="U427">
            <v>0.3</v>
          </cell>
          <cell r="V427">
            <v>0.3</v>
          </cell>
          <cell r="W427">
            <v>0.3</v>
          </cell>
          <cell r="X427">
            <v>0</v>
          </cell>
          <cell r="Y427">
            <v>6.0999999999999999E-2</v>
          </cell>
          <cell r="Z427">
            <v>6.4000000000000001E-2</v>
          </cell>
          <cell r="AA427">
            <v>6.7000000000000004E-2</v>
          </cell>
          <cell r="AB427">
            <v>7.0000000000000007E-2</v>
          </cell>
          <cell r="AC427">
            <v>1500000</v>
          </cell>
          <cell r="AD427">
            <v>0</v>
          </cell>
          <cell r="AE427">
            <v>436041.66666666669</v>
          </cell>
          <cell r="AF427">
            <v>525000</v>
          </cell>
          <cell r="AG427">
            <v>525000</v>
          </cell>
          <cell r="AH427">
            <v>525000</v>
          </cell>
          <cell r="AI427">
            <v>0</v>
          </cell>
          <cell r="AJ427">
            <v>130812.5</v>
          </cell>
          <cell r="AK427">
            <v>157500</v>
          </cell>
          <cell r="AL427">
            <v>157500</v>
          </cell>
          <cell r="AM427">
            <v>157500</v>
          </cell>
          <cell r="AN427">
            <v>0</v>
          </cell>
          <cell r="AO427">
            <v>26598.541666666668</v>
          </cell>
          <cell r="AP427">
            <v>33600</v>
          </cell>
          <cell r="AQ427">
            <v>35175</v>
          </cell>
          <cell r="AR427">
            <v>36750</v>
          </cell>
          <cell r="AT427" t="str">
            <v>OPP-944958 - Identified - New - NE</v>
          </cell>
          <cell r="AU427">
            <v>132123.54166666669</v>
          </cell>
          <cell r="AV427">
            <v>0</v>
          </cell>
          <cell r="AW427">
            <v>0</v>
          </cell>
          <cell r="AX427">
            <v>132123.54166666669</v>
          </cell>
          <cell r="AZ427">
            <v>416</v>
          </cell>
          <cell r="BA427">
            <v>416</v>
          </cell>
          <cell r="BB427">
            <v>33</v>
          </cell>
        </row>
        <row r="428">
          <cell r="B428" t="str">
            <v>OPP-648306</v>
          </cell>
          <cell r="C428" t="str">
            <v>Beatty LLRW Cap Design (MS Portion)</v>
          </cell>
          <cell r="D428" t="str">
            <v>NE</v>
          </cell>
          <cell r="E428" t="str">
            <v>NE Technical Services</v>
          </cell>
          <cell r="F428" t="str">
            <v>Other</v>
          </cell>
          <cell r="G428" t="str">
            <v>Other</v>
          </cell>
          <cell r="H428">
            <v>43770</v>
          </cell>
          <cell r="I428">
            <v>43800</v>
          </cell>
          <cell r="J428">
            <v>44166</v>
          </cell>
          <cell r="K428" t="str">
            <v>Prime</v>
          </cell>
          <cell r="L428" t="str">
            <v>Cost Plus Award Fee</v>
          </cell>
          <cell r="M428" t="str">
            <v>Cost Reimbursable</v>
          </cell>
          <cell r="N428" t="str">
            <v>Identified - New</v>
          </cell>
          <cell r="O428" t="str">
            <v>02 Capture</v>
          </cell>
          <cell r="P428" t="str">
            <v>Priority 3</v>
          </cell>
          <cell r="Q428">
            <v>0.35</v>
          </cell>
          <cell r="R428">
            <v>2000000</v>
          </cell>
          <cell r="S428">
            <v>0</v>
          </cell>
          <cell r="T428">
            <v>0.3</v>
          </cell>
          <cell r="U428">
            <v>0.3</v>
          </cell>
          <cell r="V428">
            <v>0.3</v>
          </cell>
          <cell r="W428">
            <v>0.3</v>
          </cell>
          <cell r="X428">
            <v>0</v>
          </cell>
          <cell r="Y428">
            <v>6.0999999999999999E-2</v>
          </cell>
          <cell r="Z428">
            <v>6.4000000000000001E-2</v>
          </cell>
          <cell r="AA428">
            <v>6.7000000000000004E-2</v>
          </cell>
          <cell r="AB428">
            <v>7.0000000000000007E-2</v>
          </cell>
          <cell r="AC428">
            <v>2000000</v>
          </cell>
          <cell r="AD428">
            <v>0</v>
          </cell>
          <cell r="AE428">
            <v>581388.88888888888</v>
          </cell>
          <cell r="AF428">
            <v>118611.11111111112</v>
          </cell>
          <cell r="AG428">
            <v>0</v>
          </cell>
          <cell r="AH428">
            <v>0</v>
          </cell>
          <cell r="AI428">
            <v>0</v>
          </cell>
          <cell r="AJ428">
            <v>174416.66666666666</v>
          </cell>
          <cell r="AK428">
            <v>35583.333333333336</v>
          </cell>
          <cell r="AL428">
            <v>0</v>
          </cell>
          <cell r="AM428">
            <v>0</v>
          </cell>
          <cell r="AN428">
            <v>0</v>
          </cell>
          <cell r="AO428">
            <v>35464.722222222219</v>
          </cell>
          <cell r="AP428">
            <v>7591.1111111111122</v>
          </cell>
          <cell r="AQ428">
            <v>0</v>
          </cell>
          <cell r="AR428">
            <v>0</v>
          </cell>
          <cell r="AT428" t="str">
            <v>OPP-648306 - Identified - New - NE</v>
          </cell>
          <cell r="AU428">
            <v>43055.833333333328</v>
          </cell>
          <cell r="AV428">
            <v>0</v>
          </cell>
          <cell r="AW428">
            <v>0</v>
          </cell>
          <cell r="AX428">
            <v>43055.833333333328</v>
          </cell>
          <cell r="AZ428">
            <v>417</v>
          </cell>
          <cell r="BA428">
            <v>417</v>
          </cell>
          <cell r="BB428">
            <v>47</v>
          </cell>
        </row>
        <row r="429">
          <cell r="B429" t="str">
            <v>OPP-771292</v>
          </cell>
          <cell r="C429" t="str">
            <v>Sellafield Inspection and QA Services</v>
          </cell>
          <cell r="D429" t="str">
            <v>NE</v>
          </cell>
          <cell r="E429" t="str">
            <v>NE Technical Services</v>
          </cell>
          <cell r="F429" t="str">
            <v>UK-NDA</v>
          </cell>
          <cell r="G429" t="str">
            <v>Non-US Gov't</v>
          </cell>
          <cell r="H429">
            <v>43800</v>
          </cell>
          <cell r="I429">
            <v>43831</v>
          </cell>
          <cell r="J429">
            <v>45292</v>
          </cell>
          <cell r="K429" t="str">
            <v>Sub</v>
          </cell>
          <cell r="L429" t="str">
            <v>Labor Hour - Fixed Rate</v>
          </cell>
          <cell r="M429" t="str">
            <v>Other</v>
          </cell>
          <cell r="N429" t="str">
            <v>Identified - New</v>
          </cell>
          <cell r="O429" t="str">
            <v>02 Capture</v>
          </cell>
          <cell r="P429" t="str">
            <v>Priority 3</v>
          </cell>
          <cell r="Q429">
            <v>0.35</v>
          </cell>
          <cell r="R429">
            <v>22000000</v>
          </cell>
          <cell r="S429">
            <v>0</v>
          </cell>
          <cell r="T429">
            <v>0.3</v>
          </cell>
          <cell r="U429">
            <v>0.3</v>
          </cell>
          <cell r="V429">
            <v>0.3</v>
          </cell>
          <cell r="W429">
            <v>0.3</v>
          </cell>
          <cell r="X429">
            <v>0</v>
          </cell>
          <cell r="Y429">
            <v>6.0999999999999999E-2</v>
          </cell>
          <cell r="Z429">
            <v>6.4000000000000001E-2</v>
          </cell>
          <cell r="AA429">
            <v>6.7000000000000004E-2</v>
          </cell>
          <cell r="AB429">
            <v>7.0000000000000007E-2</v>
          </cell>
          <cell r="AC429">
            <v>5500000</v>
          </cell>
          <cell r="AD429">
            <v>0</v>
          </cell>
          <cell r="AE429">
            <v>1438402.7777777778</v>
          </cell>
          <cell r="AF429">
            <v>1924999.9999999998</v>
          </cell>
          <cell r="AG429">
            <v>1924999.9999999998</v>
          </cell>
          <cell r="AH429">
            <v>1924999.9999999998</v>
          </cell>
          <cell r="AI429">
            <v>0</v>
          </cell>
          <cell r="AJ429">
            <v>431520.83333333331</v>
          </cell>
          <cell r="AK429">
            <v>577499.99999999988</v>
          </cell>
          <cell r="AL429">
            <v>577499.99999999988</v>
          </cell>
          <cell r="AM429">
            <v>577499.99999999988</v>
          </cell>
          <cell r="AN429">
            <v>0</v>
          </cell>
          <cell r="AO429">
            <v>87742.569444444438</v>
          </cell>
          <cell r="AP429">
            <v>123199.99999999999</v>
          </cell>
          <cell r="AQ429">
            <v>128974.99999999999</v>
          </cell>
          <cell r="AR429">
            <v>134750</v>
          </cell>
          <cell r="AT429" t="str">
            <v>OPP-771292 - Identified - New - NE</v>
          </cell>
          <cell r="AU429">
            <v>474667.56944444444</v>
          </cell>
          <cell r="AV429">
            <v>0</v>
          </cell>
          <cell r="AW429">
            <v>0</v>
          </cell>
          <cell r="AX429">
            <v>474667.56944444444</v>
          </cell>
          <cell r="AZ429">
            <v>418</v>
          </cell>
          <cell r="BA429">
            <v>418</v>
          </cell>
          <cell r="BB429">
            <v>17</v>
          </cell>
        </row>
        <row r="430">
          <cell r="B430" t="str">
            <v>OPP-953843</v>
          </cell>
          <cell r="C430" t="str">
            <v>Proton Power Upgrade Construction</v>
          </cell>
          <cell r="D430" t="str">
            <v>NE</v>
          </cell>
          <cell r="E430" t="str">
            <v>NE Technical Services</v>
          </cell>
          <cell r="F430" t="str">
            <v>DOE</v>
          </cell>
          <cell r="G430" t="str">
            <v>DOE</v>
          </cell>
          <cell r="H430">
            <v>43875</v>
          </cell>
          <cell r="I430">
            <v>43875</v>
          </cell>
          <cell r="J430">
            <v>44240</v>
          </cell>
          <cell r="K430" t="str">
            <v>Prime</v>
          </cell>
          <cell r="L430" t="str">
            <v>Fixed Price</v>
          </cell>
          <cell r="M430" t="str">
            <v>Fixed Price</v>
          </cell>
          <cell r="N430" t="str">
            <v>Identified - New</v>
          </cell>
          <cell r="O430" t="str">
            <v>01 Prospect</v>
          </cell>
          <cell r="P430" t="str">
            <v>Priority 2</v>
          </cell>
          <cell r="Q430">
            <v>0.35</v>
          </cell>
          <cell r="R430">
            <v>10000000</v>
          </cell>
          <cell r="S430">
            <v>0</v>
          </cell>
          <cell r="T430">
            <v>0.3</v>
          </cell>
          <cell r="U430">
            <v>0.3</v>
          </cell>
          <cell r="V430">
            <v>0.3</v>
          </cell>
          <cell r="W430">
            <v>0.3</v>
          </cell>
          <cell r="X430">
            <v>0</v>
          </cell>
          <cell r="Y430">
            <v>6.0999999999999999E-2</v>
          </cell>
          <cell r="Z430">
            <v>6.4000000000000001E-2</v>
          </cell>
          <cell r="AA430">
            <v>6.7000000000000004E-2</v>
          </cell>
          <cell r="AB430">
            <v>7.0000000000000007E-2</v>
          </cell>
          <cell r="AC430">
            <v>10000000</v>
          </cell>
          <cell r="AD430">
            <v>0</v>
          </cell>
          <cell r="AE430">
            <v>2197222.222222222</v>
          </cell>
          <cell r="AF430">
            <v>1302777.777777778</v>
          </cell>
          <cell r="AG430">
            <v>0</v>
          </cell>
          <cell r="AH430">
            <v>0</v>
          </cell>
          <cell r="AI430">
            <v>0</v>
          </cell>
          <cell r="AJ430">
            <v>659166.66666666663</v>
          </cell>
          <cell r="AK430">
            <v>390833.33333333337</v>
          </cell>
          <cell r="AL430">
            <v>0</v>
          </cell>
          <cell r="AM430">
            <v>0</v>
          </cell>
          <cell r="AN430">
            <v>0</v>
          </cell>
          <cell r="AO430">
            <v>134030.55555555553</v>
          </cell>
          <cell r="AP430">
            <v>83377.777777777796</v>
          </cell>
          <cell r="AQ430">
            <v>0</v>
          </cell>
          <cell r="AR430">
            <v>0</v>
          </cell>
          <cell r="AT430" t="str">
            <v>OPP-953843 - Identified - New - NE</v>
          </cell>
          <cell r="AU430">
            <v>217408.33333333331</v>
          </cell>
          <cell r="AV430">
            <v>0</v>
          </cell>
          <cell r="AW430">
            <v>0</v>
          </cell>
          <cell r="AX430">
            <v>217408.33333333331</v>
          </cell>
          <cell r="AZ430">
            <v>419</v>
          </cell>
          <cell r="BA430">
            <v>419</v>
          </cell>
          <cell r="BB430">
            <v>27</v>
          </cell>
        </row>
        <row r="431">
          <cell r="B431" t="str">
            <v>OPP-905774</v>
          </cell>
          <cell r="C431" t="str">
            <v>SRS Tritium Finishing Facility (TFF)</v>
          </cell>
          <cell r="D431" t="str">
            <v>NE</v>
          </cell>
          <cell r="E431" t="str">
            <v>NE Technical Services</v>
          </cell>
          <cell r="F431" t="str">
            <v>DOE-NNSA</v>
          </cell>
          <cell r="G431" t="str">
            <v>DOE</v>
          </cell>
          <cell r="H431">
            <v>43861</v>
          </cell>
          <cell r="I431">
            <v>43876</v>
          </cell>
          <cell r="J431">
            <v>44972</v>
          </cell>
          <cell r="K431" t="str">
            <v>Prime</v>
          </cell>
          <cell r="L431" t="str">
            <v>Cost Plus Award Fee; Cost Plus Fixed Fee</v>
          </cell>
          <cell r="M431" t="str">
            <v>Cost Reimbursable</v>
          </cell>
          <cell r="N431" t="str">
            <v>Identified - New</v>
          </cell>
          <cell r="O431" t="str">
            <v>01 Prospect</v>
          </cell>
          <cell r="P431" t="str">
            <v>Priority 2</v>
          </cell>
          <cell r="Q431">
            <v>0.35</v>
          </cell>
          <cell r="R431">
            <v>79000000</v>
          </cell>
          <cell r="S431">
            <v>0</v>
          </cell>
          <cell r="T431">
            <v>0.3</v>
          </cell>
          <cell r="U431">
            <v>0.3</v>
          </cell>
          <cell r="V431">
            <v>0.3</v>
          </cell>
          <cell r="W431">
            <v>0.3</v>
          </cell>
          <cell r="X431">
            <v>0</v>
          </cell>
          <cell r="Y431">
            <v>6.0999999999999999E-2</v>
          </cell>
          <cell r="Z431">
            <v>6.4000000000000001E-2</v>
          </cell>
          <cell r="AA431">
            <v>6.7000000000000004E-2</v>
          </cell>
          <cell r="AB431">
            <v>7.0000000000000007E-2</v>
          </cell>
          <cell r="AC431">
            <v>26333333.333333332</v>
          </cell>
          <cell r="AD431">
            <v>0</v>
          </cell>
          <cell r="AE431">
            <v>5760416.666666666</v>
          </cell>
          <cell r="AF431">
            <v>9216666.666666666</v>
          </cell>
          <cell r="AG431">
            <v>9216666.666666666</v>
          </cell>
          <cell r="AH431">
            <v>3456250</v>
          </cell>
          <cell r="AI431">
            <v>0</v>
          </cell>
          <cell r="AJ431">
            <v>1728124.9999999998</v>
          </cell>
          <cell r="AK431">
            <v>2764999.9999999995</v>
          </cell>
          <cell r="AL431">
            <v>2764999.9999999995</v>
          </cell>
          <cell r="AM431">
            <v>1036875</v>
          </cell>
          <cell r="AN431">
            <v>0</v>
          </cell>
          <cell r="AO431">
            <v>351385.41666666663</v>
          </cell>
          <cell r="AP431">
            <v>589866.66666666663</v>
          </cell>
          <cell r="AQ431">
            <v>617516.66666666663</v>
          </cell>
          <cell r="AR431">
            <v>241937.50000000003</v>
          </cell>
          <cell r="AT431" t="str">
            <v>OPP-905774 - Identified - New - NE</v>
          </cell>
          <cell r="AU431">
            <v>1800706.25</v>
          </cell>
          <cell r="AV431">
            <v>0</v>
          </cell>
          <cell r="AW431">
            <v>0</v>
          </cell>
          <cell r="AX431">
            <v>1800706.25</v>
          </cell>
          <cell r="AZ431">
            <v>420</v>
          </cell>
          <cell r="BA431">
            <v>420</v>
          </cell>
          <cell r="BB431">
            <v>4</v>
          </cell>
        </row>
        <row r="432">
          <cell r="B432" t="str">
            <v>OPP-669576</v>
          </cell>
          <cell r="C432" t="str">
            <v>TVA Support for SMR COLA and Site-BOP Design (MS Portion)</v>
          </cell>
          <cell r="D432" t="str">
            <v>NE</v>
          </cell>
          <cell r="E432" t="str">
            <v>NE Technical Services</v>
          </cell>
          <cell r="F432" t="str">
            <v>Federal Civilian</v>
          </cell>
          <cell r="G432" t="str">
            <v>Federal Civilian</v>
          </cell>
          <cell r="H432">
            <v>43876</v>
          </cell>
          <cell r="I432">
            <v>43891</v>
          </cell>
          <cell r="J432">
            <v>44621</v>
          </cell>
          <cell r="K432" t="str">
            <v>Prime</v>
          </cell>
          <cell r="L432" t="str">
            <v>Cost Plus Fixed Fee</v>
          </cell>
          <cell r="M432" t="str">
            <v>Cost Reimbursable</v>
          </cell>
          <cell r="N432" t="str">
            <v>Identified - New</v>
          </cell>
          <cell r="O432" t="str">
            <v>01 Prospect</v>
          </cell>
          <cell r="P432" t="str">
            <v>Priority 3</v>
          </cell>
          <cell r="Q432">
            <v>0.35</v>
          </cell>
          <cell r="R432">
            <v>1000000</v>
          </cell>
          <cell r="S432">
            <v>0</v>
          </cell>
          <cell r="T432">
            <v>0.3</v>
          </cell>
          <cell r="U432">
            <v>0.3</v>
          </cell>
          <cell r="V432">
            <v>0.3</v>
          </cell>
          <cell r="W432">
            <v>0.3</v>
          </cell>
          <cell r="X432">
            <v>0</v>
          </cell>
          <cell r="Y432">
            <v>6.0999999999999999E-2</v>
          </cell>
          <cell r="Z432">
            <v>6.4000000000000001E-2</v>
          </cell>
          <cell r="AA432">
            <v>6.7000000000000004E-2</v>
          </cell>
          <cell r="AB432">
            <v>7.0000000000000007E-2</v>
          </cell>
          <cell r="AC432">
            <v>500000</v>
          </cell>
          <cell r="AD432">
            <v>0</v>
          </cell>
          <cell r="AE432">
            <v>101597.22222222223</v>
          </cell>
          <cell r="AF432">
            <v>175000</v>
          </cell>
          <cell r="AG432">
            <v>73402.777777777752</v>
          </cell>
          <cell r="AH432">
            <v>0</v>
          </cell>
          <cell r="AI432">
            <v>0</v>
          </cell>
          <cell r="AJ432">
            <v>30479.166666666668</v>
          </cell>
          <cell r="AK432">
            <v>52500</v>
          </cell>
          <cell r="AL432">
            <v>22020.833333333325</v>
          </cell>
          <cell r="AM432">
            <v>0</v>
          </cell>
          <cell r="AN432">
            <v>0</v>
          </cell>
          <cell r="AO432">
            <v>6197.4305555555557</v>
          </cell>
          <cell r="AP432">
            <v>11200</v>
          </cell>
          <cell r="AQ432">
            <v>4917.9861111111095</v>
          </cell>
          <cell r="AR432">
            <v>0</v>
          </cell>
          <cell r="AT432" t="str">
            <v>OPP-669576 - Identified - New - NE</v>
          </cell>
          <cell r="AU432">
            <v>22315.416666666664</v>
          </cell>
          <cell r="AV432">
            <v>0</v>
          </cell>
          <cell r="AW432">
            <v>0</v>
          </cell>
          <cell r="AX432">
            <v>22315.416666666664</v>
          </cell>
          <cell r="AZ432">
            <v>421</v>
          </cell>
          <cell r="BA432">
            <v>421</v>
          </cell>
          <cell r="BB432">
            <v>51</v>
          </cell>
        </row>
        <row r="433">
          <cell r="B433" t="str">
            <v>OPP-761606</v>
          </cell>
          <cell r="C433" t="str">
            <v>EM Nevada Environmental Program Services</v>
          </cell>
          <cell r="D433" t="str">
            <v>NE</v>
          </cell>
          <cell r="E433" t="str">
            <v>NE Technical Services</v>
          </cell>
          <cell r="F433" t="str">
            <v>DOE-EM</v>
          </cell>
          <cell r="G433" t="str">
            <v>DOE</v>
          </cell>
          <cell r="H433">
            <v>43843</v>
          </cell>
          <cell r="I433">
            <v>43906</v>
          </cell>
          <cell r="J433">
            <v>47558</v>
          </cell>
          <cell r="K433" t="str">
            <v>Prime</v>
          </cell>
          <cell r="L433" t="str">
            <v>Cost Plus Award Fee</v>
          </cell>
          <cell r="M433" t="str">
            <v>Cost Reimbursable</v>
          </cell>
          <cell r="N433" t="str">
            <v>Identified - New</v>
          </cell>
          <cell r="O433" t="str">
            <v>03 Proposal</v>
          </cell>
          <cell r="P433" t="str">
            <v>Priority 3</v>
          </cell>
          <cell r="Q433">
            <v>0.35</v>
          </cell>
          <cell r="R433">
            <v>25000000</v>
          </cell>
          <cell r="S433">
            <v>0</v>
          </cell>
          <cell r="T433">
            <v>0.3</v>
          </cell>
          <cell r="U433">
            <v>0.3</v>
          </cell>
          <cell r="V433">
            <v>0.3</v>
          </cell>
          <cell r="W433">
            <v>0.3</v>
          </cell>
          <cell r="X433">
            <v>0</v>
          </cell>
          <cell r="Y433">
            <v>6.0999999999999999E-2</v>
          </cell>
          <cell r="Z433">
            <v>6.4000000000000001E-2</v>
          </cell>
          <cell r="AA433">
            <v>6.7000000000000004E-2</v>
          </cell>
          <cell r="AB433">
            <v>7.0000000000000007E-2</v>
          </cell>
          <cell r="AC433">
            <v>2500000</v>
          </cell>
          <cell r="AD433">
            <v>0</v>
          </cell>
          <cell r="AE433">
            <v>471527.77777777775</v>
          </cell>
          <cell r="AF433">
            <v>875000</v>
          </cell>
          <cell r="AG433">
            <v>875000</v>
          </cell>
          <cell r="AH433">
            <v>875000</v>
          </cell>
          <cell r="AI433">
            <v>0</v>
          </cell>
          <cell r="AJ433">
            <v>141458.33333333331</v>
          </cell>
          <cell r="AK433">
            <v>262500</v>
          </cell>
          <cell r="AL433">
            <v>262500</v>
          </cell>
          <cell r="AM433">
            <v>262500</v>
          </cell>
          <cell r="AN433">
            <v>0</v>
          </cell>
          <cell r="AO433">
            <v>28763.194444444442</v>
          </cell>
          <cell r="AP433">
            <v>56000</v>
          </cell>
          <cell r="AQ433">
            <v>58625</v>
          </cell>
          <cell r="AR433">
            <v>61250.000000000007</v>
          </cell>
          <cell r="AT433" t="str">
            <v>OPP-761606 - Identified - New - NE</v>
          </cell>
          <cell r="AU433">
            <v>204638.19444444444</v>
          </cell>
          <cell r="AV433">
            <v>0</v>
          </cell>
          <cell r="AW433">
            <v>0</v>
          </cell>
          <cell r="AX433">
            <v>204638.19444444444</v>
          </cell>
          <cell r="AZ433">
            <v>422</v>
          </cell>
          <cell r="BA433">
            <v>422</v>
          </cell>
          <cell r="BB433">
            <v>29</v>
          </cell>
        </row>
        <row r="434">
          <cell r="B434" t="str">
            <v>OPP-855300</v>
          </cell>
          <cell r="C434" t="str">
            <v>US Electron-Ion Collider Design and Construction</v>
          </cell>
          <cell r="D434" t="str">
            <v>NE</v>
          </cell>
          <cell r="E434" t="str">
            <v>NE Technical Services</v>
          </cell>
          <cell r="F434" t="str">
            <v>DOE-Other</v>
          </cell>
          <cell r="G434" t="str">
            <v>DOE</v>
          </cell>
          <cell r="H434">
            <v>43891</v>
          </cell>
          <cell r="I434">
            <v>43922</v>
          </cell>
          <cell r="J434">
            <v>45383</v>
          </cell>
          <cell r="K434" t="str">
            <v>Prime</v>
          </cell>
          <cell r="L434" t="str">
            <v>Cost Plus Fixed Fee</v>
          </cell>
          <cell r="M434" t="str">
            <v>Cost Reimbursable</v>
          </cell>
          <cell r="N434" t="str">
            <v>Identified - New</v>
          </cell>
          <cell r="O434" t="str">
            <v>01 Prospect</v>
          </cell>
          <cell r="P434" t="str">
            <v>Priority 3</v>
          </cell>
          <cell r="Q434">
            <v>0.35</v>
          </cell>
          <cell r="R434">
            <v>33000000</v>
          </cell>
          <cell r="S434">
            <v>0</v>
          </cell>
          <cell r="T434">
            <v>0.3</v>
          </cell>
          <cell r="U434">
            <v>0.3</v>
          </cell>
          <cell r="V434">
            <v>0.3</v>
          </cell>
          <cell r="W434">
            <v>0.3</v>
          </cell>
          <cell r="X434">
            <v>0</v>
          </cell>
          <cell r="Y434">
            <v>6.0999999999999999E-2</v>
          </cell>
          <cell r="Z434">
            <v>6.4000000000000001E-2</v>
          </cell>
          <cell r="AA434">
            <v>6.7000000000000004E-2</v>
          </cell>
          <cell r="AB434">
            <v>7.0000000000000007E-2</v>
          </cell>
          <cell r="AC434">
            <v>8250000</v>
          </cell>
          <cell r="AD434">
            <v>0</v>
          </cell>
          <cell r="AE434">
            <v>1435729.1666666667</v>
          </cell>
          <cell r="AF434">
            <v>2887500</v>
          </cell>
          <cell r="AG434">
            <v>2887500</v>
          </cell>
          <cell r="AH434">
            <v>2887500</v>
          </cell>
          <cell r="AI434">
            <v>0</v>
          </cell>
          <cell r="AJ434">
            <v>430718.75</v>
          </cell>
          <cell r="AK434">
            <v>866250</v>
          </cell>
          <cell r="AL434">
            <v>866250</v>
          </cell>
          <cell r="AM434">
            <v>866250</v>
          </cell>
          <cell r="AN434">
            <v>0</v>
          </cell>
          <cell r="AO434">
            <v>87579.479166666672</v>
          </cell>
          <cell r="AP434">
            <v>184800</v>
          </cell>
          <cell r="AQ434">
            <v>193462.5</v>
          </cell>
          <cell r="AR434">
            <v>202125.00000000003</v>
          </cell>
          <cell r="AT434" t="str">
            <v>OPP-855300 - Identified - New - NE</v>
          </cell>
          <cell r="AU434">
            <v>667966.97916666674</v>
          </cell>
          <cell r="AV434">
            <v>0</v>
          </cell>
          <cell r="AW434">
            <v>0</v>
          </cell>
          <cell r="AX434">
            <v>667966.97916666674</v>
          </cell>
          <cell r="AZ434">
            <v>423</v>
          </cell>
          <cell r="BA434">
            <v>423</v>
          </cell>
          <cell r="BB434">
            <v>13</v>
          </cell>
        </row>
        <row r="435">
          <cell r="B435" t="str">
            <v>OPP-412747</v>
          </cell>
          <cell r="C435" t="str">
            <v>FAA-ETOC Area 41 Soil Remediation</v>
          </cell>
          <cell r="D435" t="str">
            <v>NE</v>
          </cell>
          <cell r="E435" t="str">
            <v>NE Technical Services</v>
          </cell>
          <cell r="F435" t="str">
            <v>Federal Civilian</v>
          </cell>
          <cell r="G435" t="str">
            <v>Federal Civilian</v>
          </cell>
          <cell r="H435">
            <v>43864</v>
          </cell>
          <cell r="I435">
            <v>43927</v>
          </cell>
          <cell r="J435">
            <v>44657</v>
          </cell>
          <cell r="K435" t="str">
            <v>Prime</v>
          </cell>
          <cell r="L435" t="str">
            <v>Fixed Price</v>
          </cell>
          <cell r="M435" t="str">
            <v>Fixed Price</v>
          </cell>
          <cell r="N435" t="str">
            <v>Identified - New</v>
          </cell>
          <cell r="O435" t="str">
            <v>01 Prospect</v>
          </cell>
          <cell r="P435" t="str">
            <v>Priority 2</v>
          </cell>
          <cell r="Q435">
            <v>0.5</v>
          </cell>
          <cell r="R435">
            <v>15000000</v>
          </cell>
          <cell r="S435">
            <v>0</v>
          </cell>
          <cell r="T435">
            <v>0.3</v>
          </cell>
          <cell r="U435">
            <v>0.3</v>
          </cell>
          <cell r="V435">
            <v>0.3</v>
          </cell>
          <cell r="W435">
            <v>0.3</v>
          </cell>
          <cell r="X435">
            <v>0</v>
          </cell>
          <cell r="Y435">
            <v>6.0999999999999999E-2</v>
          </cell>
          <cell r="Z435">
            <v>6.4000000000000001E-2</v>
          </cell>
          <cell r="AA435">
            <v>6.7000000000000004E-2</v>
          </cell>
          <cell r="AB435">
            <v>7.0000000000000007E-2</v>
          </cell>
          <cell r="AC435">
            <v>7500000</v>
          </cell>
          <cell r="AD435">
            <v>0</v>
          </cell>
          <cell r="AE435">
            <v>1812500</v>
          </cell>
          <cell r="AF435">
            <v>3750000</v>
          </cell>
          <cell r="AG435">
            <v>1937500</v>
          </cell>
          <cell r="AH435">
            <v>0</v>
          </cell>
          <cell r="AI435">
            <v>0</v>
          </cell>
          <cell r="AJ435">
            <v>543750</v>
          </cell>
          <cell r="AK435">
            <v>1125000</v>
          </cell>
          <cell r="AL435">
            <v>581250</v>
          </cell>
          <cell r="AM435">
            <v>0</v>
          </cell>
          <cell r="AN435">
            <v>0</v>
          </cell>
          <cell r="AO435">
            <v>110562.5</v>
          </cell>
          <cell r="AP435">
            <v>240000</v>
          </cell>
          <cell r="AQ435">
            <v>129812.50000000001</v>
          </cell>
          <cell r="AR435">
            <v>0</v>
          </cell>
          <cell r="AT435" t="str">
            <v>OPP-412747 - Identified - New - NE</v>
          </cell>
          <cell r="AU435">
            <v>480375</v>
          </cell>
          <cell r="AV435">
            <v>0</v>
          </cell>
          <cell r="AW435">
            <v>0</v>
          </cell>
          <cell r="AX435">
            <v>480375</v>
          </cell>
          <cell r="AZ435">
            <v>424</v>
          </cell>
          <cell r="BA435">
            <v>424</v>
          </cell>
          <cell r="BB435">
            <v>16</v>
          </cell>
        </row>
        <row r="436">
          <cell r="B436" t="str">
            <v>OPP-411526</v>
          </cell>
          <cell r="C436" t="str">
            <v>Y-12 Lithium Facility</v>
          </cell>
          <cell r="D436" t="str">
            <v>NE</v>
          </cell>
          <cell r="E436" t="str">
            <v>NE Technical Services</v>
          </cell>
          <cell r="F436" t="str">
            <v>DOE-NNSA</v>
          </cell>
          <cell r="G436" t="str">
            <v>DOE</v>
          </cell>
          <cell r="H436">
            <v>43917</v>
          </cell>
          <cell r="I436">
            <v>43955</v>
          </cell>
          <cell r="J436">
            <v>44685</v>
          </cell>
          <cell r="K436" t="str">
            <v>Prime</v>
          </cell>
          <cell r="L436" t="str">
            <v>Cost Plus Award Fee</v>
          </cell>
          <cell r="M436" t="str">
            <v>Cost Reimbursable</v>
          </cell>
          <cell r="N436" t="str">
            <v>Identified - New</v>
          </cell>
          <cell r="O436" t="str">
            <v>01 Prospect</v>
          </cell>
          <cell r="P436" t="str">
            <v>Priority 2</v>
          </cell>
          <cell r="Q436">
            <v>0.35</v>
          </cell>
          <cell r="R436">
            <v>40000000</v>
          </cell>
          <cell r="S436">
            <v>0</v>
          </cell>
          <cell r="T436">
            <v>0.3</v>
          </cell>
          <cell r="U436">
            <v>0.3</v>
          </cell>
          <cell r="V436">
            <v>0.3</v>
          </cell>
          <cell r="W436">
            <v>0.3</v>
          </cell>
          <cell r="X436">
            <v>0</v>
          </cell>
          <cell r="Y436">
            <v>6.0999999999999999E-2</v>
          </cell>
          <cell r="Z436">
            <v>6.4000000000000001E-2</v>
          </cell>
          <cell r="AA436">
            <v>6.7000000000000004E-2</v>
          </cell>
          <cell r="AB436">
            <v>7.0000000000000007E-2</v>
          </cell>
          <cell r="AC436">
            <v>20000000</v>
          </cell>
          <cell r="AD436">
            <v>0</v>
          </cell>
          <cell r="AE436">
            <v>2838888.8888888885</v>
          </cell>
          <cell r="AF436">
            <v>7000000</v>
          </cell>
          <cell r="AG436">
            <v>4161111.1111111119</v>
          </cell>
          <cell r="AH436">
            <v>0</v>
          </cell>
          <cell r="AI436">
            <v>0</v>
          </cell>
          <cell r="AJ436">
            <v>851666.66666666651</v>
          </cell>
          <cell r="AK436">
            <v>2100000</v>
          </cell>
          <cell r="AL436">
            <v>1248333.3333333335</v>
          </cell>
          <cell r="AM436">
            <v>0</v>
          </cell>
          <cell r="AN436">
            <v>0</v>
          </cell>
          <cell r="AO436">
            <v>173172.22222222219</v>
          </cell>
          <cell r="AP436">
            <v>448000</v>
          </cell>
          <cell r="AQ436">
            <v>278794.4444444445</v>
          </cell>
          <cell r="AR436">
            <v>0</v>
          </cell>
          <cell r="AT436" t="str">
            <v>OPP-411526 - Identified - New - NE</v>
          </cell>
          <cell r="AU436">
            <v>899966.66666666674</v>
          </cell>
          <cell r="AV436">
            <v>0</v>
          </cell>
          <cell r="AW436">
            <v>0</v>
          </cell>
          <cell r="AX436">
            <v>899966.66666666674</v>
          </cell>
          <cell r="AZ436">
            <v>425</v>
          </cell>
          <cell r="BA436">
            <v>425</v>
          </cell>
          <cell r="BB436">
            <v>8</v>
          </cell>
        </row>
        <row r="437">
          <cell r="B437" t="str">
            <v>OPP-888619</v>
          </cell>
          <cell r="C437" t="str">
            <v>DOE Legacy Management</v>
          </cell>
          <cell r="D437" t="str">
            <v>NE</v>
          </cell>
          <cell r="E437" t="str">
            <v>NE Technical Services</v>
          </cell>
          <cell r="F437" t="str">
            <v>DOE-EM</v>
          </cell>
          <cell r="G437" t="str">
            <v>DOE</v>
          </cell>
          <cell r="H437">
            <v>43805</v>
          </cell>
          <cell r="I437">
            <v>43982</v>
          </cell>
          <cell r="J437">
            <v>46904</v>
          </cell>
          <cell r="K437" t="str">
            <v>Sub</v>
          </cell>
          <cell r="L437" t="str">
            <v>Cost Plus Award Fee</v>
          </cell>
          <cell r="M437" t="str">
            <v>Cost Reimbursable</v>
          </cell>
          <cell r="N437" t="str">
            <v>Identified - New</v>
          </cell>
          <cell r="O437" t="str">
            <v>03 Proposal</v>
          </cell>
          <cell r="P437" t="str">
            <v>Priority 2</v>
          </cell>
          <cell r="Q437">
            <v>0.35</v>
          </cell>
          <cell r="R437">
            <v>45000000</v>
          </cell>
          <cell r="S437">
            <v>0</v>
          </cell>
          <cell r="T437">
            <v>0.3</v>
          </cell>
          <cell r="U437">
            <v>0.3</v>
          </cell>
          <cell r="V437">
            <v>0.3</v>
          </cell>
          <cell r="W437">
            <v>0.3</v>
          </cell>
          <cell r="X437">
            <v>0</v>
          </cell>
          <cell r="Y437">
            <v>0.11</v>
          </cell>
          <cell r="Z437">
            <v>0.11</v>
          </cell>
          <cell r="AA437">
            <v>0.11</v>
          </cell>
          <cell r="AB437">
            <v>0.11</v>
          </cell>
          <cell r="AC437">
            <v>5625000</v>
          </cell>
          <cell r="AD437">
            <v>0</v>
          </cell>
          <cell r="AE437">
            <v>656250</v>
          </cell>
          <cell r="AF437">
            <v>1968749.9999999998</v>
          </cell>
          <cell r="AG437">
            <v>1968749.9999999998</v>
          </cell>
          <cell r="AH437">
            <v>1968749.9999999998</v>
          </cell>
          <cell r="AI437">
            <v>0</v>
          </cell>
          <cell r="AJ437">
            <v>196875</v>
          </cell>
          <cell r="AK437">
            <v>590624.99999999988</v>
          </cell>
          <cell r="AL437">
            <v>590624.99999999988</v>
          </cell>
          <cell r="AM437">
            <v>590624.99999999988</v>
          </cell>
          <cell r="AN437">
            <v>0</v>
          </cell>
          <cell r="AO437">
            <v>72187.5</v>
          </cell>
          <cell r="AP437">
            <v>216562.49999999997</v>
          </cell>
          <cell r="AQ437">
            <v>216562.49999999997</v>
          </cell>
          <cell r="AR437">
            <v>216562.49999999997</v>
          </cell>
          <cell r="AT437" t="str">
            <v>OPP-888619 - Identified - New - NE</v>
          </cell>
          <cell r="AU437">
            <v>721875</v>
          </cell>
          <cell r="AV437">
            <v>0</v>
          </cell>
          <cell r="AW437">
            <v>0</v>
          </cell>
          <cell r="AX437">
            <v>721875</v>
          </cell>
          <cell r="AZ437">
            <v>426</v>
          </cell>
          <cell r="BA437">
            <v>426</v>
          </cell>
          <cell r="BB437">
            <v>11</v>
          </cell>
        </row>
        <row r="438">
          <cell r="B438" t="str">
            <v>OPP-856616</v>
          </cell>
          <cell r="C438" t="str">
            <v>Nationwide Deactivation, Decommissioning and Removal (DD&amp;R)</v>
          </cell>
          <cell r="D438" t="str">
            <v>NE</v>
          </cell>
          <cell r="E438" t="str">
            <v>NE Technical Services</v>
          </cell>
          <cell r="F438" t="str">
            <v>DOE-NNSA</v>
          </cell>
          <cell r="G438" t="str">
            <v>DOE</v>
          </cell>
          <cell r="H438">
            <v>43936</v>
          </cell>
          <cell r="I438">
            <v>43983</v>
          </cell>
          <cell r="J438">
            <v>45809</v>
          </cell>
          <cell r="K438" t="str">
            <v>Prime</v>
          </cell>
          <cell r="L438" t="str">
            <v>Hybrid/Mixed Cost-Plus/Fixed</v>
          </cell>
          <cell r="M438" t="str">
            <v>Other</v>
          </cell>
          <cell r="N438" t="str">
            <v>Identified - New</v>
          </cell>
          <cell r="O438" t="str">
            <v>02 Capture</v>
          </cell>
          <cell r="P438" t="str">
            <v>Priority 1</v>
          </cell>
          <cell r="Q438">
            <v>0.35</v>
          </cell>
          <cell r="R438">
            <v>250000000</v>
          </cell>
          <cell r="S438">
            <v>0</v>
          </cell>
          <cell r="T438">
            <v>0.3</v>
          </cell>
          <cell r="U438">
            <v>0.3</v>
          </cell>
          <cell r="V438">
            <v>0.3</v>
          </cell>
          <cell r="W438">
            <v>0.3</v>
          </cell>
          <cell r="X438">
            <v>0</v>
          </cell>
          <cell r="Y438">
            <v>6.0999999999999999E-2</v>
          </cell>
          <cell r="Z438">
            <v>6.4000000000000001E-2</v>
          </cell>
          <cell r="AA438">
            <v>6.7000000000000004E-2</v>
          </cell>
          <cell r="AB438">
            <v>7.0000000000000007E-2</v>
          </cell>
          <cell r="AC438">
            <v>50000000</v>
          </cell>
          <cell r="AD438">
            <v>0</v>
          </cell>
          <cell r="AE438">
            <v>5784722.222222222</v>
          </cell>
          <cell r="AF438">
            <v>17500000</v>
          </cell>
          <cell r="AG438">
            <v>17500000</v>
          </cell>
          <cell r="AH438">
            <v>17500000</v>
          </cell>
          <cell r="AI438">
            <v>0</v>
          </cell>
          <cell r="AJ438">
            <v>1735416.6666666665</v>
          </cell>
          <cell r="AK438">
            <v>5250000</v>
          </cell>
          <cell r="AL438">
            <v>5250000</v>
          </cell>
          <cell r="AM438">
            <v>5250000</v>
          </cell>
          <cell r="AN438">
            <v>0</v>
          </cell>
          <cell r="AO438">
            <v>352868.05555555556</v>
          </cell>
          <cell r="AP438">
            <v>1120000</v>
          </cell>
          <cell r="AQ438">
            <v>1172500</v>
          </cell>
          <cell r="AR438">
            <v>1225000.0000000002</v>
          </cell>
          <cell r="AT438" t="str">
            <v>OPP-856616 - Identified - New - NE</v>
          </cell>
          <cell r="AU438">
            <v>3870368.055555556</v>
          </cell>
          <cell r="AV438">
            <v>0</v>
          </cell>
          <cell r="AW438">
            <v>0</v>
          </cell>
          <cell r="AX438">
            <v>3870368.055555556</v>
          </cell>
          <cell r="AZ438">
            <v>427</v>
          </cell>
          <cell r="BA438">
            <v>427</v>
          </cell>
          <cell r="BB438">
            <v>1</v>
          </cell>
        </row>
        <row r="439">
          <cell r="B439" t="str">
            <v>OPP-938442</v>
          </cell>
          <cell r="C439" t="str">
            <v>Sandia Site Infrastructure Services - SB Set-Aside</v>
          </cell>
          <cell r="D439" t="str">
            <v>NE</v>
          </cell>
          <cell r="E439" t="str">
            <v>NE Technical Services</v>
          </cell>
          <cell r="F439" t="str">
            <v>DOE-NNSA</v>
          </cell>
          <cell r="G439" t="str">
            <v>DOE</v>
          </cell>
          <cell r="H439">
            <v>44044</v>
          </cell>
          <cell r="I439">
            <v>44074</v>
          </cell>
          <cell r="J439">
            <v>45900</v>
          </cell>
          <cell r="K439" t="str">
            <v>Prime</v>
          </cell>
          <cell r="L439" t="str">
            <v>Fixed Price; Lump Sum; T&amp;M</v>
          </cell>
          <cell r="M439" t="str">
            <v>Fixed Price</v>
          </cell>
          <cell r="N439" t="str">
            <v>Identified - New</v>
          </cell>
          <cell r="O439" t="str">
            <v>01 Prospect</v>
          </cell>
          <cell r="P439" t="str">
            <v>Priority 1</v>
          </cell>
          <cell r="Q439">
            <v>0.35</v>
          </cell>
          <cell r="R439">
            <v>1500000</v>
          </cell>
          <cell r="S439">
            <v>0</v>
          </cell>
          <cell r="T439">
            <v>0.3</v>
          </cell>
          <cell r="U439">
            <v>0.3</v>
          </cell>
          <cell r="V439">
            <v>0.3</v>
          </cell>
          <cell r="W439">
            <v>0.3</v>
          </cell>
          <cell r="X439">
            <v>0</v>
          </cell>
          <cell r="Y439">
            <v>6.0999999999999999E-2</v>
          </cell>
          <cell r="Z439">
            <v>6.4000000000000001E-2</v>
          </cell>
          <cell r="AA439">
            <v>6.7000000000000004E-2</v>
          </cell>
          <cell r="AB439">
            <v>7.0000000000000007E-2</v>
          </cell>
          <cell r="AC439">
            <v>300000</v>
          </cell>
          <cell r="AD439">
            <v>0</v>
          </cell>
          <cell r="AE439">
            <v>8750</v>
          </cell>
          <cell r="AF439">
            <v>105000</v>
          </cell>
          <cell r="AG439">
            <v>105000</v>
          </cell>
          <cell r="AH439">
            <v>105000</v>
          </cell>
          <cell r="AI439">
            <v>0</v>
          </cell>
          <cell r="AJ439">
            <v>2625</v>
          </cell>
          <cell r="AK439">
            <v>31500</v>
          </cell>
          <cell r="AL439">
            <v>31500</v>
          </cell>
          <cell r="AM439">
            <v>31500</v>
          </cell>
          <cell r="AN439">
            <v>0</v>
          </cell>
          <cell r="AO439">
            <v>533.75</v>
          </cell>
          <cell r="AP439">
            <v>6720</v>
          </cell>
          <cell r="AQ439">
            <v>7035</v>
          </cell>
          <cell r="AR439">
            <v>7350.0000000000009</v>
          </cell>
          <cell r="AT439" t="str">
            <v>OPP-938442 - Identified - New - NE</v>
          </cell>
          <cell r="AU439">
            <v>21638.75</v>
          </cell>
          <cell r="AV439">
            <v>0</v>
          </cell>
          <cell r="AW439">
            <v>0</v>
          </cell>
          <cell r="AX439">
            <v>21638.75</v>
          </cell>
          <cell r="AZ439">
            <v>428</v>
          </cell>
          <cell r="BA439">
            <v>428</v>
          </cell>
          <cell r="BB439">
            <v>53</v>
          </cell>
        </row>
        <row r="440">
          <cell r="B440" t="str">
            <v>OPP-640476</v>
          </cell>
          <cell r="C440" t="str">
            <v>Malmstrom AFB WSMF (MS Portion)</v>
          </cell>
          <cell r="D440" t="str">
            <v>NE</v>
          </cell>
          <cell r="E440" t="str">
            <v>NE Technical Services</v>
          </cell>
          <cell r="F440" t="str">
            <v>DoD</v>
          </cell>
          <cell r="G440" t="str">
            <v>DOD</v>
          </cell>
          <cell r="H440">
            <v>44043</v>
          </cell>
          <cell r="I440">
            <v>44074</v>
          </cell>
          <cell r="J440">
            <v>45535</v>
          </cell>
          <cell r="K440" t="str">
            <v>Prime</v>
          </cell>
          <cell r="L440" t="str">
            <v>Fixed Price</v>
          </cell>
          <cell r="M440" t="str">
            <v>Fixed Price</v>
          </cell>
          <cell r="N440" t="str">
            <v>Identified - New</v>
          </cell>
          <cell r="O440" t="str">
            <v>01 Prospect</v>
          </cell>
          <cell r="P440" t="str">
            <v>Priority 3</v>
          </cell>
          <cell r="Q440">
            <v>0.35</v>
          </cell>
          <cell r="R440">
            <v>5000000</v>
          </cell>
          <cell r="S440">
            <v>0</v>
          </cell>
          <cell r="T440">
            <v>0.3</v>
          </cell>
          <cell r="U440">
            <v>0.3</v>
          </cell>
          <cell r="V440">
            <v>0.3</v>
          </cell>
          <cell r="W440">
            <v>0.3</v>
          </cell>
          <cell r="X440">
            <v>0</v>
          </cell>
          <cell r="Y440">
            <v>6.0999999999999999E-2</v>
          </cell>
          <cell r="Z440">
            <v>6.4000000000000001E-2</v>
          </cell>
          <cell r="AA440">
            <v>6.7000000000000004E-2</v>
          </cell>
          <cell r="AB440">
            <v>7.0000000000000007E-2</v>
          </cell>
          <cell r="AC440">
            <v>1250000</v>
          </cell>
          <cell r="AD440">
            <v>0</v>
          </cell>
          <cell r="AE440">
            <v>36458.333333333328</v>
          </cell>
          <cell r="AF440">
            <v>437500</v>
          </cell>
          <cell r="AG440">
            <v>437500</v>
          </cell>
          <cell r="AH440">
            <v>437500</v>
          </cell>
          <cell r="AI440">
            <v>0</v>
          </cell>
          <cell r="AJ440">
            <v>10937.499999999998</v>
          </cell>
          <cell r="AK440">
            <v>131250</v>
          </cell>
          <cell r="AL440">
            <v>131250</v>
          </cell>
          <cell r="AM440">
            <v>131250</v>
          </cell>
          <cell r="AN440">
            <v>0</v>
          </cell>
          <cell r="AO440">
            <v>2223.958333333333</v>
          </cell>
          <cell r="AP440">
            <v>28000</v>
          </cell>
          <cell r="AQ440">
            <v>29312.5</v>
          </cell>
          <cell r="AR440">
            <v>30625.000000000004</v>
          </cell>
          <cell r="AT440" t="str">
            <v>OPP-640476 - Identified - New - NE</v>
          </cell>
          <cell r="AU440">
            <v>90161.458333333328</v>
          </cell>
          <cell r="AV440">
            <v>0</v>
          </cell>
          <cell r="AW440">
            <v>0</v>
          </cell>
          <cell r="AX440">
            <v>90161.458333333328</v>
          </cell>
          <cell r="AZ440">
            <v>429</v>
          </cell>
          <cell r="BA440">
            <v>429</v>
          </cell>
          <cell r="BB440">
            <v>36</v>
          </cell>
        </row>
        <row r="441">
          <cell r="B441" t="str">
            <v>OPP-411534</v>
          </cell>
          <cell r="C441" t="str">
            <v>Naval Examination Acquisition Project (NEAP)</v>
          </cell>
          <cell r="D441" t="str">
            <v>NE</v>
          </cell>
          <cell r="E441" t="str">
            <v>NE Technical Services</v>
          </cell>
          <cell r="F441" t="str">
            <v>DoD</v>
          </cell>
          <cell r="G441" t="str">
            <v>DOD</v>
          </cell>
          <cell r="H441">
            <v>44043</v>
          </cell>
          <cell r="I441">
            <v>44104</v>
          </cell>
          <cell r="J441">
            <v>45565</v>
          </cell>
          <cell r="K441" t="str">
            <v>Prime</v>
          </cell>
          <cell r="L441" t="str">
            <v>Cost Plus Fixed Fee</v>
          </cell>
          <cell r="M441" t="str">
            <v>Cost Reimbursable</v>
          </cell>
          <cell r="N441" t="str">
            <v>Identified - New</v>
          </cell>
          <cell r="O441" t="str">
            <v>01 Prospect</v>
          </cell>
          <cell r="P441" t="str">
            <v>Priority 2</v>
          </cell>
          <cell r="Q441">
            <v>0.35</v>
          </cell>
          <cell r="R441">
            <v>48750000</v>
          </cell>
          <cell r="S441">
            <v>0</v>
          </cell>
          <cell r="T441">
            <v>0.3</v>
          </cell>
          <cell r="U441">
            <v>0.3</v>
          </cell>
          <cell r="V441">
            <v>0.3</v>
          </cell>
          <cell r="W441">
            <v>0.3</v>
          </cell>
          <cell r="X441">
            <v>0</v>
          </cell>
          <cell r="Y441">
            <v>6.0999999999999999E-2</v>
          </cell>
          <cell r="Z441">
            <v>6.4000000000000001E-2</v>
          </cell>
          <cell r="AA441">
            <v>6.7000000000000004E-2</v>
          </cell>
          <cell r="AB441">
            <v>7.0000000000000007E-2</v>
          </cell>
          <cell r="AC441">
            <v>12187500</v>
          </cell>
          <cell r="AD441">
            <v>0</v>
          </cell>
          <cell r="AE441">
            <v>0</v>
          </cell>
          <cell r="AF441">
            <v>4265625</v>
          </cell>
          <cell r="AG441">
            <v>4265625</v>
          </cell>
          <cell r="AH441">
            <v>4265625</v>
          </cell>
          <cell r="AI441">
            <v>0</v>
          </cell>
          <cell r="AJ441">
            <v>0</v>
          </cell>
          <cell r="AK441">
            <v>1279687.5</v>
          </cell>
          <cell r="AL441">
            <v>1279687.5</v>
          </cell>
          <cell r="AM441">
            <v>1279687.5</v>
          </cell>
          <cell r="AN441">
            <v>0</v>
          </cell>
          <cell r="AO441">
            <v>0</v>
          </cell>
          <cell r="AP441">
            <v>273000</v>
          </cell>
          <cell r="AQ441">
            <v>285796.875</v>
          </cell>
          <cell r="AR441">
            <v>298593.75</v>
          </cell>
          <cell r="AT441" t="str">
            <v>OPP-411534 - Identified - New - NE</v>
          </cell>
          <cell r="AU441">
            <v>857390.625</v>
          </cell>
          <cell r="AV441">
            <v>0</v>
          </cell>
          <cell r="AW441">
            <v>0</v>
          </cell>
          <cell r="AX441">
            <v>857390.625</v>
          </cell>
          <cell r="AZ441">
            <v>430</v>
          </cell>
          <cell r="BA441">
            <v>430</v>
          </cell>
          <cell r="BB441">
            <v>9</v>
          </cell>
        </row>
        <row r="442">
          <cell r="B442" t="str">
            <v>OPP-420443</v>
          </cell>
          <cell r="C442" t="str">
            <v>Niagara Falls Storage Facility (FUSRAP)</v>
          </cell>
          <cell r="D442" t="str">
            <v>NE</v>
          </cell>
          <cell r="E442" t="str">
            <v>NE Technical Services</v>
          </cell>
          <cell r="F442" t="str">
            <v>DoD</v>
          </cell>
          <cell r="G442" t="str">
            <v>DOD</v>
          </cell>
          <cell r="H442">
            <v>44013</v>
          </cell>
          <cell r="I442">
            <v>44105</v>
          </cell>
          <cell r="J442">
            <v>45931</v>
          </cell>
          <cell r="K442" t="str">
            <v>Prime</v>
          </cell>
          <cell r="L442" t="str">
            <v>T&amp;M</v>
          </cell>
          <cell r="M442" t="str">
            <v>T&amp;M</v>
          </cell>
          <cell r="N442" t="str">
            <v>Identified - New</v>
          </cell>
          <cell r="O442" t="str">
            <v>01 Prospect</v>
          </cell>
          <cell r="P442" t="str">
            <v>Priority 1</v>
          </cell>
          <cell r="Q442">
            <v>0.35</v>
          </cell>
          <cell r="R442">
            <v>75000000</v>
          </cell>
          <cell r="S442">
            <v>0</v>
          </cell>
          <cell r="T442">
            <v>0.3</v>
          </cell>
          <cell r="U442">
            <v>0.3</v>
          </cell>
          <cell r="V442">
            <v>0.3</v>
          </cell>
          <cell r="W442">
            <v>0.3</v>
          </cell>
          <cell r="X442">
            <v>0</v>
          </cell>
          <cell r="Y442">
            <v>6.0999999999999999E-2</v>
          </cell>
          <cell r="Z442">
            <v>6.4000000000000001E-2</v>
          </cell>
          <cell r="AA442">
            <v>6.7000000000000004E-2</v>
          </cell>
          <cell r="AB442">
            <v>7.0000000000000007E-2</v>
          </cell>
          <cell r="AC442">
            <v>15000000</v>
          </cell>
          <cell r="AD442">
            <v>0</v>
          </cell>
          <cell r="AE442">
            <v>0</v>
          </cell>
          <cell r="AF442">
            <v>5235416.666666667</v>
          </cell>
          <cell r="AG442">
            <v>5250000</v>
          </cell>
          <cell r="AH442">
            <v>5250000</v>
          </cell>
          <cell r="AI442">
            <v>0</v>
          </cell>
          <cell r="AJ442">
            <v>0</v>
          </cell>
          <cell r="AK442">
            <v>1570625</v>
          </cell>
          <cell r="AL442">
            <v>1575000</v>
          </cell>
          <cell r="AM442">
            <v>1575000</v>
          </cell>
          <cell r="AN442">
            <v>0</v>
          </cell>
          <cell r="AO442">
            <v>0</v>
          </cell>
          <cell r="AP442">
            <v>335066.66666666669</v>
          </cell>
          <cell r="AQ442">
            <v>351750</v>
          </cell>
          <cell r="AR442">
            <v>367500.00000000006</v>
          </cell>
          <cell r="AT442" t="str">
            <v>OPP-420443 - Identified - New - NE</v>
          </cell>
          <cell r="AU442">
            <v>1054316.6666666667</v>
          </cell>
          <cell r="AV442">
            <v>0</v>
          </cell>
          <cell r="AW442">
            <v>0</v>
          </cell>
          <cell r="AX442">
            <v>1054316.6666666667</v>
          </cell>
          <cell r="AZ442">
            <v>431</v>
          </cell>
          <cell r="BA442">
            <v>431</v>
          </cell>
          <cell r="BB442">
            <v>6</v>
          </cell>
        </row>
        <row r="443">
          <cell r="B443" t="str">
            <v>OPP-621905</v>
          </cell>
          <cell r="C443" t="str">
            <v>Second Target Station for Spallation Neutron Source II</v>
          </cell>
          <cell r="D443" t="str">
            <v>NE</v>
          </cell>
          <cell r="E443" t="str">
            <v>NE Technical Services</v>
          </cell>
          <cell r="F443" t="str">
            <v>DOE-Other</v>
          </cell>
          <cell r="G443" t="str">
            <v>DOE</v>
          </cell>
          <cell r="H443">
            <v>44176</v>
          </cell>
          <cell r="I443">
            <v>44200</v>
          </cell>
          <cell r="J443">
            <v>45111</v>
          </cell>
          <cell r="K443" t="str">
            <v>Prime</v>
          </cell>
          <cell r="L443" t="str">
            <v>Cost Plus Award Fee</v>
          </cell>
          <cell r="M443" t="str">
            <v>Cost Reimbursable</v>
          </cell>
          <cell r="N443" t="str">
            <v>Identified - New</v>
          </cell>
          <cell r="O443" t="str">
            <v>01 Prospect</v>
          </cell>
          <cell r="P443" t="str">
            <v>Priority 3</v>
          </cell>
          <cell r="Q443">
            <v>0.35</v>
          </cell>
          <cell r="R443">
            <v>35000000</v>
          </cell>
          <cell r="S443">
            <v>0</v>
          </cell>
          <cell r="T443">
            <v>0.3</v>
          </cell>
          <cell r="U443">
            <v>0.3</v>
          </cell>
          <cell r="V443">
            <v>0.3</v>
          </cell>
          <cell r="W443">
            <v>0.3</v>
          </cell>
          <cell r="X443">
            <v>0</v>
          </cell>
          <cell r="Y443">
            <v>6.0999999999999999E-2</v>
          </cell>
          <cell r="Z443">
            <v>6.4000000000000001E-2</v>
          </cell>
          <cell r="AA443">
            <v>6.7000000000000004E-2</v>
          </cell>
          <cell r="AB443">
            <v>7.0000000000000007E-2</v>
          </cell>
          <cell r="AC443">
            <v>14000000</v>
          </cell>
          <cell r="AD443">
            <v>0</v>
          </cell>
          <cell r="AE443">
            <v>0</v>
          </cell>
          <cell r="AF443">
            <v>3620555.555555556</v>
          </cell>
          <cell r="AG443">
            <v>4900000</v>
          </cell>
          <cell r="AH443">
            <v>3729444.444444444</v>
          </cell>
          <cell r="AI443">
            <v>0</v>
          </cell>
          <cell r="AJ443">
            <v>0</v>
          </cell>
          <cell r="AK443">
            <v>1086166.6666666667</v>
          </cell>
          <cell r="AL443">
            <v>1470000</v>
          </cell>
          <cell r="AM443">
            <v>1118833.3333333333</v>
          </cell>
          <cell r="AN443">
            <v>0</v>
          </cell>
          <cell r="AO443">
            <v>0</v>
          </cell>
          <cell r="AP443">
            <v>231715.55555555559</v>
          </cell>
          <cell r="AQ443">
            <v>328300</v>
          </cell>
          <cell r="AR443">
            <v>261061.11111111109</v>
          </cell>
          <cell r="AT443" t="str">
            <v>OPP-621905 - Identified - New - NE</v>
          </cell>
          <cell r="AU443">
            <v>821076.66666666674</v>
          </cell>
          <cell r="AV443">
            <v>0</v>
          </cell>
          <cell r="AW443">
            <v>0</v>
          </cell>
          <cell r="AX443">
            <v>821076.66666666674</v>
          </cell>
          <cell r="AZ443">
            <v>432</v>
          </cell>
          <cell r="BA443">
            <v>432</v>
          </cell>
          <cell r="BB443">
            <v>10</v>
          </cell>
        </row>
        <row r="444">
          <cell r="B444" t="str">
            <v>OPP-736923</v>
          </cell>
          <cell r="C444" t="str">
            <v>Beatty LLRW Cap Construction</v>
          </cell>
          <cell r="D444" t="str">
            <v>NE</v>
          </cell>
          <cell r="E444" t="str">
            <v>NE Technical Services</v>
          </cell>
          <cell r="F444" t="str">
            <v>Other</v>
          </cell>
          <cell r="G444" t="str">
            <v>Other</v>
          </cell>
          <cell r="H444">
            <v>44228</v>
          </cell>
          <cell r="I444">
            <v>44256</v>
          </cell>
          <cell r="J444">
            <v>44621</v>
          </cell>
          <cell r="K444" t="str">
            <v>Prime</v>
          </cell>
          <cell r="L444" t="str">
            <v>Cost Plus Award Fee</v>
          </cell>
          <cell r="M444" t="str">
            <v>Cost Reimbursable</v>
          </cell>
          <cell r="N444" t="str">
            <v>Identified - New</v>
          </cell>
          <cell r="O444" t="str">
            <v>01 Prospect</v>
          </cell>
          <cell r="P444" t="str">
            <v>Priority 3</v>
          </cell>
          <cell r="Q444">
            <v>0.35</v>
          </cell>
          <cell r="R444">
            <v>18000000</v>
          </cell>
          <cell r="S444">
            <v>0</v>
          </cell>
          <cell r="T444">
            <v>0.3</v>
          </cell>
          <cell r="U444">
            <v>0.3</v>
          </cell>
          <cell r="V444">
            <v>0.3</v>
          </cell>
          <cell r="W444">
            <v>0.3</v>
          </cell>
          <cell r="X444">
            <v>0</v>
          </cell>
          <cell r="Y444">
            <v>6.0999999999999999E-2</v>
          </cell>
          <cell r="Z444">
            <v>6.4000000000000001E-2</v>
          </cell>
          <cell r="AA444">
            <v>6.7000000000000004E-2</v>
          </cell>
          <cell r="AB444">
            <v>7.0000000000000007E-2</v>
          </cell>
          <cell r="AC444">
            <v>18000000</v>
          </cell>
          <cell r="AD444">
            <v>0</v>
          </cell>
          <cell r="AE444">
            <v>0</v>
          </cell>
          <cell r="AF444">
            <v>3657500</v>
          </cell>
          <cell r="AG444">
            <v>2642500</v>
          </cell>
          <cell r="AH444">
            <v>0</v>
          </cell>
          <cell r="AI444">
            <v>0</v>
          </cell>
          <cell r="AJ444">
            <v>0</v>
          </cell>
          <cell r="AK444">
            <v>1097250</v>
          </cell>
          <cell r="AL444">
            <v>792750</v>
          </cell>
          <cell r="AM444">
            <v>0</v>
          </cell>
          <cell r="AN444">
            <v>0</v>
          </cell>
          <cell r="AO444">
            <v>0</v>
          </cell>
          <cell r="AP444">
            <v>234080</v>
          </cell>
          <cell r="AQ444">
            <v>177047.5</v>
          </cell>
          <cell r="AR444">
            <v>0</v>
          </cell>
          <cell r="AT444" t="str">
            <v>OPP-736923 - Identified - New - NE</v>
          </cell>
          <cell r="AU444">
            <v>411127.5</v>
          </cell>
          <cell r="AV444">
            <v>0</v>
          </cell>
          <cell r="AW444">
            <v>0</v>
          </cell>
          <cell r="AX444">
            <v>411127.5</v>
          </cell>
          <cell r="AZ444">
            <v>433</v>
          </cell>
          <cell r="BA444">
            <v>433</v>
          </cell>
          <cell r="BB444">
            <v>20</v>
          </cell>
        </row>
        <row r="445">
          <cell r="B445" t="str">
            <v>OPP-640472</v>
          </cell>
          <cell r="C445" t="str">
            <v>Whiteman AFB WSMF (MS Portion)</v>
          </cell>
          <cell r="D445" t="str">
            <v>NE</v>
          </cell>
          <cell r="E445" t="str">
            <v>NE Technical Services</v>
          </cell>
          <cell r="F445" t="str">
            <v>DoD</v>
          </cell>
          <cell r="G445" t="str">
            <v>DOD</v>
          </cell>
          <cell r="H445">
            <v>44421</v>
          </cell>
          <cell r="I445">
            <v>44452</v>
          </cell>
          <cell r="J445">
            <v>45548</v>
          </cell>
          <cell r="K445" t="str">
            <v>Prime</v>
          </cell>
          <cell r="L445" t="str">
            <v>Fixed Price</v>
          </cell>
          <cell r="M445" t="str">
            <v>Fixed Price</v>
          </cell>
          <cell r="N445" t="str">
            <v>Identified - New</v>
          </cell>
          <cell r="O445" t="str">
            <v>01 Prospect</v>
          </cell>
          <cell r="P445" t="str">
            <v>Priority 3</v>
          </cell>
          <cell r="Q445">
            <v>0.35</v>
          </cell>
          <cell r="R445">
            <v>5000000</v>
          </cell>
          <cell r="S445">
            <v>0</v>
          </cell>
          <cell r="T445">
            <v>0.3</v>
          </cell>
          <cell r="U445">
            <v>0.3</v>
          </cell>
          <cell r="V445">
            <v>0.3</v>
          </cell>
          <cell r="W445">
            <v>0.3</v>
          </cell>
          <cell r="X445">
            <v>0</v>
          </cell>
          <cell r="Y445">
            <v>6.0999999999999999E-2</v>
          </cell>
          <cell r="Z445">
            <v>6.4000000000000001E-2</v>
          </cell>
          <cell r="AA445">
            <v>6.7000000000000004E-2</v>
          </cell>
          <cell r="AB445">
            <v>7.0000000000000007E-2</v>
          </cell>
          <cell r="AC445">
            <v>1666666.6666666667</v>
          </cell>
          <cell r="AD445">
            <v>0</v>
          </cell>
          <cell r="AE445">
            <v>0</v>
          </cell>
          <cell r="AF445">
            <v>27546.296296296296</v>
          </cell>
          <cell r="AG445">
            <v>583333.33333333337</v>
          </cell>
          <cell r="AH445">
            <v>583333.33333333337</v>
          </cell>
          <cell r="AI445">
            <v>0</v>
          </cell>
          <cell r="AJ445">
            <v>0</v>
          </cell>
          <cell r="AK445">
            <v>8263.8888888888887</v>
          </cell>
          <cell r="AL445">
            <v>175000</v>
          </cell>
          <cell r="AM445">
            <v>175000</v>
          </cell>
          <cell r="AN445">
            <v>0</v>
          </cell>
          <cell r="AO445">
            <v>0</v>
          </cell>
          <cell r="AP445">
            <v>1762.962962962963</v>
          </cell>
          <cell r="AQ445">
            <v>39083.333333333336</v>
          </cell>
          <cell r="AR445">
            <v>40833.333333333343</v>
          </cell>
          <cell r="AT445" t="str">
            <v>OPP-640472 - Identified - New - NE</v>
          </cell>
          <cell r="AU445">
            <v>81679.629629629635</v>
          </cell>
          <cell r="AV445">
            <v>0</v>
          </cell>
          <cell r="AW445">
            <v>0</v>
          </cell>
          <cell r="AX445">
            <v>81679.629629629635</v>
          </cell>
          <cell r="AZ445">
            <v>434</v>
          </cell>
          <cell r="BA445">
            <v>434</v>
          </cell>
          <cell r="BB445">
            <v>39</v>
          </cell>
        </row>
        <row r="446">
          <cell r="B446" t="str">
            <v>OPP-503561</v>
          </cell>
          <cell r="C446" t="str">
            <v>FAA-ETOC Area Y Soil Removal</v>
          </cell>
          <cell r="D446" t="str">
            <v>NE</v>
          </cell>
          <cell r="E446" t="str">
            <v>NE Technical Services</v>
          </cell>
          <cell r="F446" t="str">
            <v>Federal Civilian</v>
          </cell>
          <cell r="G446" t="str">
            <v>Federal Civilian</v>
          </cell>
          <cell r="H446">
            <v>44075</v>
          </cell>
          <cell r="I446">
            <v>44471</v>
          </cell>
          <cell r="J446">
            <v>44836</v>
          </cell>
          <cell r="K446" t="str">
            <v>Prime</v>
          </cell>
          <cell r="L446" t="str">
            <v>Fixed Price</v>
          </cell>
          <cell r="M446" t="str">
            <v>Fixed Price</v>
          </cell>
          <cell r="N446" t="str">
            <v>Identified - New</v>
          </cell>
          <cell r="O446" t="str">
            <v>01 Prospect</v>
          </cell>
          <cell r="P446" t="str">
            <v>Priority 3</v>
          </cell>
          <cell r="Q446">
            <v>0.5</v>
          </cell>
          <cell r="R446">
            <v>1000000</v>
          </cell>
          <cell r="S446">
            <v>0</v>
          </cell>
          <cell r="T446">
            <v>0.3</v>
          </cell>
          <cell r="U446">
            <v>0.3</v>
          </cell>
          <cell r="V446">
            <v>0.3</v>
          </cell>
          <cell r="W446">
            <v>0.3</v>
          </cell>
          <cell r="X446">
            <v>0</v>
          </cell>
          <cell r="Y446">
            <v>6.0999999999999999E-2</v>
          </cell>
          <cell r="Z446">
            <v>6.4000000000000001E-2</v>
          </cell>
          <cell r="AA446">
            <v>6.7000000000000004E-2</v>
          </cell>
          <cell r="AB446">
            <v>7.0000000000000007E-2</v>
          </cell>
          <cell r="AC446">
            <v>1000000</v>
          </cell>
          <cell r="AD446">
            <v>0</v>
          </cell>
          <cell r="AE446">
            <v>0</v>
          </cell>
          <cell r="AF446">
            <v>0</v>
          </cell>
          <cell r="AG446">
            <v>497222.22222222225</v>
          </cell>
          <cell r="AH446">
            <v>2777.7777777777519</v>
          </cell>
          <cell r="AI446">
            <v>0</v>
          </cell>
          <cell r="AJ446">
            <v>0</v>
          </cell>
          <cell r="AK446">
            <v>0</v>
          </cell>
          <cell r="AL446">
            <v>149166.66666666666</v>
          </cell>
          <cell r="AM446">
            <v>833.33333333332553</v>
          </cell>
          <cell r="AN446">
            <v>0</v>
          </cell>
          <cell r="AO446">
            <v>0</v>
          </cell>
          <cell r="AP446">
            <v>0</v>
          </cell>
          <cell r="AQ446">
            <v>33313.888888888891</v>
          </cell>
          <cell r="AR446">
            <v>194.44444444444264</v>
          </cell>
          <cell r="AT446" t="str">
            <v>OPP-503561 - Identified - New - NE</v>
          </cell>
          <cell r="AU446">
            <v>33508.333333333336</v>
          </cell>
          <cell r="AV446">
            <v>0</v>
          </cell>
          <cell r="AW446">
            <v>0</v>
          </cell>
          <cell r="AX446">
            <v>33508.333333333336</v>
          </cell>
          <cell r="AZ446">
            <v>435</v>
          </cell>
          <cell r="BA446">
            <v>435</v>
          </cell>
          <cell r="BB446">
            <v>49</v>
          </cell>
        </row>
        <row r="447">
          <cell r="B447" t="str">
            <v>OPP-611367</v>
          </cell>
          <cell r="C447" t="str">
            <v>Barksdale AFB Weapons Storage and Maintenance Facility (MS Portion)</v>
          </cell>
          <cell r="D447" t="str">
            <v>NE</v>
          </cell>
          <cell r="E447" t="str">
            <v>NE Technical Services</v>
          </cell>
          <cell r="F447" t="str">
            <v>DoD</v>
          </cell>
          <cell r="G447" t="str">
            <v>DOD</v>
          </cell>
          <cell r="H447">
            <v>44445</v>
          </cell>
          <cell r="I447">
            <v>44480</v>
          </cell>
          <cell r="J447">
            <v>45576</v>
          </cell>
          <cell r="K447" t="str">
            <v>Prime</v>
          </cell>
          <cell r="L447" t="str">
            <v>Fixed Price</v>
          </cell>
          <cell r="M447" t="str">
            <v>Fixed Price</v>
          </cell>
          <cell r="N447" t="str">
            <v>Identified - New</v>
          </cell>
          <cell r="O447" t="str">
            <v>01 Prospect</v>
          </cell>
          <cell r="P447" t="str">
            <v>Priority 3</v>
          </cell>
          <cell r="Q447">
            <v>0.35</v>
          </cell>
          <cell r="R447">
            <v>5000000</v>
          </cell>
          <cell r="S447">
            <v>0</v>
          </cell>
          <cell r="T447">
            <v>0.3</v>
          </cell>
          <cell r="U447">
            <v>0.3</v>
          </cell>
          <cell r="V447">
            <v>0.3</v>
          </cell>
          <cell r="W447">
            <v>0.3</v>
          </cell>
          <cell r="X447">
            <v>0</v>
          </cell>
          <cell r="Y447">
            <v>6.0999999999999999E-2</v>
          </cell>
          <cell r="Z447">
            <v>6.4000000000000001E-2</v>
          </cell>
          <cell r="AA447">
            <v>6.7000000000000004E-2</v>
          </cell>
          <cell r="AB447">
            <v>7.0000000000000007E-2</v>
          </cell>
          <cell r="AC447">
            <v>1666666.6666666667</v>
          </cell>
          <cell r="AD447">
            <v>0</v>
          </cell>
          <cell r="AE447">
            <v>0</v>
          </cell>
          <cell r="AF447">
            <v>0</v>
          </cell>
          <cell r="AG447">
            <v>565509.25925925933</v>
          </cell>
          <cell r="AH447">
            <v>583333.33333333337</v>
          </cell>
          <cell r="AI447">
            <v>0</v>
          </cell>
          <cell r="AJ447">
            <v>0</v>
          </cell>
          <cell r="AK447">
            <v>0</v>
          </cell>
          <cell r="AL447">
            <v>169652.77777777778</v>
          </cell>
          <cell r="AM447">
            <v>175000</v>
          </cell>
          <cell r="AN447">
            <v>0</v>
          </cell>
          <cell r="AO447">
            <v>0</v>
          </cell>
          <cell r="AP447">
            <v>0</v>
          </cell>
          <cell r="AQ447">
            <v>37889.12037037038</v>
          </cell>
          <cell r="AR447">
            <v>40833.333333333343</v>
          </cell>
          <cell r="AT447" t="str">
            <v>OPP-611367 - Identified - New - NE</v>
          </cell>
          <cell r="AU447">
            <v>78722.453703703723</v>
          </cell>
          <cell r="AV447">
            <v>0</v>
          </cell>
          <cell r="AW447">
            <v>0</v>
          </cell>
          <cell r="AX447">
            <v>78722.453703703723</v>
          </cell>
          <cell r="AZ447">
            <v>436</v>
          </cell>
          <cell r="BA447">
            <v>436</v>
          </cell>
          <cell r="BB447">
            <v>41</v>
          </cell>
        </row>
        <row r="448">
          <cell r="B448" t="str">
            <v>OPP-473588</v>
          </cell>
          <cell r="C448" t="str">
            <v>Sandia Weapons Engineering Facility Design</v>
          </cell>
          <cell r="D448" t="str">
            <v>NE</v>
          </cell>
          <cell r="E448" t="str">
            <v>NE Technical Services</v>
          </cell>
          <cell r="F448" t="str">
            <v>DOE-NNSA</v>
          </cell>
          <cell r="G448" t="str">
            <v>DOE</v>
          </cell>
          <cell r="H448">
            <v>44501</v>
          </cell>
          <cell r="I448">
            <v>44564</v>
          </cell>
          <cell r="J448">
            <v>45294</v>
          </cell>
          <cell r="K448" t="str">
            <v>Prime</v>
          </cell>
          <cell r="L448" t="str">
            <v>Cost Plus Award Fee</v>
          </cell>
          <cell r="M448" t="str">
            <v>Cost Reimbursable</v>
          </cell>
          <cell r="N448" t="str">
            <v>Identified - New</v>
          </cell>
          <cell r="O448" t="str">
            <v>01 Prospect</v>
          </cell>
          <cell r="P448" t="str">
            <v>Priority 3</v>
          </cell>
          <cell r="Q448">
            <v>0.35</v>
          </cell>
          <cell r="R448">
            <v>25000000</v>
          </cell>
          <cell r="S448">
            <v>0</v>
          </cell>
          <cell r="T448">
            <v>0.3</v>
          </cell>
          <cell r="U448">
            <v>0.3</v>
          </cell>
          <cell r="V448">
            <v>0.3</v>
          </cell>
          <cell r="W448">
            <v>0.3</v>
          </cell>
          <cell r="X448">
            <v>0</v>
          </cell>
          <cell r="Y448">
            <v>6.0999999999999999E-2</v>
          </cell>
          <cell r="Z448">
            <v>6.4000000000000001E-2</v>
          </cell>
          <cell r="AA448">
            <v>6.7000000000000004E-2</v>
          </cell>
          <cell r="AB448">
            <v>7.0000000000000007E-2</v>
          </cell>
          <cell r="AC448">
            <v>12500000</v>
          </cell>
          <cell r="AD448">
            <v>0</v>
          </cell>
          <cell r="AE448">
            <v>0</v>
          </cell>
          <cell r="AF448">
            <v>0</v>
          </cell>
          <cell r="AG448">
            <v>3244791.6666666665</v>
          </cell>
          <cell r="AH448">
            <v>4375000</v>
          </cell>
          <cell r="AI448">
            <v>0</v>
          </cell>
          <cell r="AJ448">
            <v>0</v>
          </cell>
          <cell r="AK448">
            <v>0</v>
          </cell>
          <cell r="AL448">
            <v>973437.49999999988</v>
          </cell>
          <cell r="AM448">
            <v>1312500</v>
          </cell>
          <cell r="AN448">
            <v>0</v>
          </cell>
          <cell r="AO448">
            <v>0</v>
          </cell>
          <cell r="AP448">
            <v>0</v>
          </cell>
          <cell r="AQ448">
            <v>217401.04166666666</v>
          </cell>
          <cell r="AR448">
            <v>306250.00000000006</v>
          </cell>
          <cell r="AT448" t="str">
            <v>OPP-473588 - Identified - New - NE</v>
          </cell>
          <cell r="AU448">
            <v>523651.04166666674</v>
          </cell>
          <cell r="AV448">
            <v>0</v>
          </cell>
          <cell r="AW448">
            <v>0</v>
          </cell>
          <cell r="AX448">
            <v>523651.04166666674</v>
          </cell>
          <cell r="AZ448">
            <v>437</v>
          </cell>
          <cell r="BA448">
            <v>437</v>
          </cell>
          <cell r="BB448">
            <v>14</v>
          </cell>
        </row>
        <row r="449">
          <cell r="B449" t="str">
            <v>OPP-473593</v>
          </cell>
          <cell r="C449" t="str">
            <v>LANL MaRIE Conceptual Design</v>
          </cell>
          <cell r="D449" t="str">
            <v>NE</v>
          </cell>
          <cell r="E449" t="str">
            <v>NE Technical Services</v>
          </cell>
          <cell r="F449" t="str">
            <v>Other</v>
          </cell>
          <cell r="G449" t="str">
            <v>Other</v>
          </cell>
          <cell r="H449">
            <v>44650</v>
          </cell>
          <cell r="I449">
            <v>44651</v>
          </cell>
          <cell r="J449">
            <v>45747</v>
          </cell>
          <cell r="K449" t="str">
            <v>Prime</v>
          </cell>
          <cell r="L449" t="str">
            <v>Cost Plus Award Fee</v>
          </cell>
          <cell r="M449" t="str">
            <v>Cost Reimbursable</v>
          </cell>
          <cell r="N449" t="str">
            <v>Identified - New</v>
          </cell>
          <cell r="O449" t="str">
            <v>01 Prospect</v>
          </cell>
          <cell r="P449" t="str">
            <v>Priority 3</v>
          </cell>
          <cell r="Q449">
            <v>0.35</v>
          </cell>
          <cell r="R449">
            <v>24000000</v>
          </cell>
          <cell r="S449">
            <v>0</v>
          </cell>
          <cell r="T449">
            <v>0.3</v>
          </cell>
          <cell r="U449">
            <v>0.3</v>
          </cell>
          <cell r="V449">
            <v>0.3</v>
          </cell>
          <cell r="W449">
            <v>0.3</v>
          </cell>
          <cell r="X449">
            <v>0</v>
          </cell>
          <cell r="Y449">
            <v>6.0999999999999999E-2</v>
          </cell>
          <cell r="Z449">
            <v>6.4000000000000001E-2</v>
          </cell>
          <cell r="AA449">
            <v>6.7000000000000004E-2</v>
          </cell>
          <cell r="AB449">
            <v>7.0000000000000007E-2</v>
          </cell>
          <cell r="AC449">
            <v>8000000</v>
          </cell>
          <cell r="AD449">
            <v>0</v>
          </cell>
          <cell r="AE449">
            <v>0</v>
          </cell>
          <cell r="AF449">
            <v>0</v>
          </cell>
          <cell r="AG449">
            <v>1400000</v>
          </cell>
          <cell r="AH449">
            <v>2800000</v>
          </cell>
          <cell r="AI449">
            <v>0</v>
          </cell>
          <cell r="AJ449">
            <v>0</v>
          </cell>
          <cell r="AK449">
            <v>0</v>
          </cell>
          <cell r="AL449">
            <v>420000</v>
          </cell>
          <cell r="AM449">
            <v>840000</v>
          </cell>
          <cell r="AN449">
            <v>0</v>
          </cell>
          <cell r="AO449">
            <v>0</v>
          </cell>
          <cell r="AP449">
            <v>0</v>
          </cell>
          <cell r="AQ449">
            <v>93800</v>
          </cell>
          <cell r="AR449">
            <v>196000.00000000003</v>
          </cell>
          <cell r="AT449" t="str">
            <v>OPP-473593 - Identified - New - NE</v>
          </cell>
          <cell r="AU449">
            <v>289800</v>
          </cell>
          <cell r="AV449">
            <v>0</v>
          </cell>
          <cell r="AW449">
            <v>0</v>
          </cell>
          <cell r="AX449">
            <v>289800</v>
          </cell>
          <cell r="AZ449">
            <v>438</v>
          </cell>
          <cell r="BA449">
            <v>438</v>
          </cell>
          <cell r="BB449">
            <v>22</v>
          </cell>
        </row>
        <row r="450">
          <cell r="B450" t="str">
            <v>OPP-940200</v>
          </cell>
          <cell r="C450" t="str">
            <v>NREL A&amp;E Services IDIQ</v>
          </cell>
          <cell r="D450" t="str">
            <v>NE</v>
          </cell>
          <cell r="E450" t="str">
            <v>NE Technical Services</v>
          </cell>
          <cell r="F450" t="str">
            <v>DOE-Other</v>
          </cell>
          <cell r="G450" t="str">
            <v>DOE</v>
          </cell>
          <cell r="H450">
            <v>44652</v>
          </cell>
          <cell r="I450">
            <v>44666</v>
          </cell>
          <cell r="J450">
            <v>45762</v>
          </cell>
          <cell r="K450" t="str">
            <v>Prime</v>
          </cell>
          <cell r="L450" t="str">
            <v>Fixed Price; Labor Hour; T&amp;M</v>
          </cell>
          <cell r="M450" t="str">
            <v>Fixed Price</v>
          </cell>
          <cell r="N450" t="str">
            <v>Identified - New</v>
          </cell>
          <cell r="O450" t="str">
            <v>01 Prospect</v>
          </cell>
          <cell r="P450" t="str">
            <v>Priority 1</v>
          </cell>
          <cell r="Q450">
            <v>0.35</v>
          </cell>
          <cell r="R450">
            <v>3300000</v>
          </cell>
          <cell r="S450">
            <v>0</v>
          </cell>
          <cell r="T450">
            <v>0.3</v>
          </cell>
          <cell r="U450">
            <v>0.3</v>
          </cell>
          <cell r="V450">
            <v>0.3</v>
          </cell>
          <cell r="W450">
            <v>0.3</v>
          </cell>
          <cell r="X450">
            <v>0</v>
          </cell>
          <cell r="Y450">
            <v>6.0999999999999999E-2</v>
          </cell>
          <cell r="Z450">
            <v>6.4000000000000001E-2</v>
          </cell>
          <cell r="AA450">
            <v>6.7000000000000004E-2</v>
          </cell>
          <cell r="AB450">
            <v>7.0000000000000007E-2</v>
          </cell>
          <cell r="AC450">
            <v>1100000</v>
          </cell>
          <cell r="AD450">
            <v>0</v>
          </cell>
          <cell r="AE450">
            <v>0</v>
          </cell>
          <cell r="AF450">
            <v>0</v>
          </cell>
          <cell r="AG450">
            <v>176458.33333333331</v>
          </cell>
          <cell r="AH450">
            <v>385000</v>
          </cell>
          <cell r="AI450">
            <v>0</v>
          </cell>
          <cell r="AJ450">
            <v>0</v>
          </cell>
          <cell r="AK450">
            <v>0</v>
          </cell>
          <cell r="AL450">
            <v>52937.499999999993</v>
          </cell>
          <cell r="AM450">
            <v>115500</v>
          </cell>
          <cell r="AN450">
            <v>0</v>
          </cell>
          <cell r="AO450">
            <v>0</v>
          </cell>
          <cell r="AP450">
            <v>0</v>
          </cell>
          <cell r="AQ450">
            <v>11822.708333333332</v>
          </cell>
          <cell r="AR450">
            <v>26950.000000000004</v>
          </cell>
          <cell r="AT450" t="str">
            <v>OPP-940200 - Identified - New - NE</v>
          </cell>
          <cell r="AU450">
            <v>38772.708333333336</v>
          </cell>
          <cell r="AV450">
            <v>0</v>
          </cell>
          <cell r="AW450">
            <v>0</v>
          </cell>
          <cell r="AX450">
            <v>38772.708333333336</v>
          </cell>
          <cell r="AZ450">
            <v>439</v>
          </cell>
          <cell r="BA450">
            <v>439</v>
          </cell>
          <cell r="BB450">
            <v>48</v>
          </cell>
        </row>
        <row r="451">
          <cell r="B451" t="str">
            <v>OPP-640488</v>
          </cell>
          <cell r="C451" t="str">
            <v>Minot AFB WSMF (MS Portion)</v>
          </cell>
          <cell r="D451" t="str">
            <v>NE</v>
          </cell>
          <cell r="E451" t="str">
            <v>NE Technical Services</v>
          </cell>
          <cell r="F451" t="str">
            <v>DoD</v>
          </cell>
          <cell r="G451" t="str">
            <v>DOD</v>
          </cell>
          <cell r="H451">
            <v>44742</v>
          </cell>
          <cell r="I451">
            <v>44743</v>
          </cell>
          <cell r="J451">
            <v>46569</v>
          </cell>
          <cell r="K451" t="str">
            <v>Prime</v>
          </cell>
          <cell r="L451" t="str">
            <v>Fixed Price</v>
          </cell>
          <cell r="M451" t="str">
            <v>Fixed Price</v>
          </cell>
          <cell r="N451" t="str">
            <v>Identified - New</v>
          </cell>
          <cell r="O451" t="str">
            <v>01 Prospect</v>
          </cell>
          <cell r="P451" t="str">
            <v>Priority 2</v>
          </cell>
          <cell r="Q451">
            <v>0.35</v>
          </cell>
          <cell r="R451">
            <v>10000000</v>
          </cell>
          <cell r="S451">
            <v>0</v>
          </cell>
          <cell r="T451">
            <v>0.3</v>
          </cell>
          <cell r="U451">
            <v>0.3</v>
          </cell>
          <cell r="V451">
            <v>0.3</v>
          </cell>
          <cell r="W451">
            <v>0.3</v>
          </cell>
          <cell r="X451">
            <v>0</v>
          </cell>
          <cell r="Y451">
            <v>6.0999999999999999E-2</v>
          </cell>
          <cell r="Z451">
            <v>6.4000000000000001E-2</v>
          </cell>
          <cell r="AA451">
            <v>6.7000000000000004E-2</v>
          </cell>
          <cell r="AB451">
            <v>7.0000000000000007E-2</v>
          </cell>
          <cell r="AC451">
            <v>2000000</v>
          </cell>
          <cell r="AD451">
            <v>0</v>
          </cell>
          <cell r="AE451">
            <v>0</v>
          </cell>
          <cell r="AF451">
            <v>0</v>
          </cell>
          <cell r="AG451">
            <v>173055.55555555553</v>
          </cell>
          <cell r="AH451">
            <v>700000</v>
          </cell>
          <cell r="AI451">
            <v>0</v>
          </cell>
          <cell r="AJ451">
            <v>0</v>
          </cell>
          <cell r="AK451">
            <v>0</v>
          </cell>
          <cell r="AL451">
            <v>51916.666666666657</v>
          </cell>
          <cell r="AM451">
            <v>210000</v>
          </cell>
          <cell r="AN451">
            <v>0</v>
          </cell>
          <cell r="AO451">
            <v>0</v>
          </cell>
          <cell r="AP451">
            <v>0</v>
          </cell>
          <cell r="AQ451">
            <v>11594.722222222221</v>
          </cell>
          <cell r="AR451">
            <v>49000.000000000007</v>
          </cell>
          <cell r="AT451" t="str">
            <v>OPP-640488 - Identified - New - NE</v>
          </cell>
          <cell r="AU451">
            <v>60594.722222222226</v>
          </cell>
          <cell r="AV451">
            <v>0</v>
          </cell>
          <cell r="AW451">
            <v>0</v>
          </cell>
          <cell r="AX451">
            <v>60594.722222222226</v>
          </cell>
          <cell r="AZ451">
            <v>440</v>
          </cell>
          <cell r="BA451">
            <v>440</v>
          </cell>
          <cell r="BB451">
            <v>43</v>
          </cell>
        </row>
        <row r="452">
          <cell r="B452" t="str">
            <v>OPP-504425</v>
          </cell>
          <cell r="C452" t="str">
            <v>Curtis Bay Disposal Area Remediation (FUSRAP)</v>
          </cell>
          <cell r="D452" t="str">
            <v>NE</v>
          </cell>
          <cell r="E452" t="str">
            <v>NE Technical Services</v>
          </cell>
          <cell r="F452" t="str">
            <v>DoD</v>
          </cell>
          <cell r="G452" t="str">
            <v>DOD</v>
          </cell>
          <cell r="H452">
            <v>44771</v>
          </cell>
          <cell r="I452">
            <v>44844</v>
          </cell>
          <cell r="J452">
            <v>45940</v>
          </cell>
          <cell r="K452" t="str">
            <v>Prime</v>
          </cell>
          <cell r="L452" t="str">
            <v>Cost Plus Fixed Fee</v>
          </cell>
          <cell r="M452" t="str">
            <v>Cost Reimbursable</v>
          </cell>
          <cell r="N452" t="str">
            <v>Identified - New</v>
          </cell>
          <cell r="O452" t="str">
            <v>01 Prospect</v>
          </cell>
          <cell r="P452" t="str">
            <v>Priority 3</v>
          </cell>
          <cell r="Q452">
            <v>0.35</v>
          </cell>
          <cell r="R452">
            <v>10000000</v>
          </cell>
          <cell r="S452">
            <v>0</v>
          </cell>
          <cell r="T452">
            <v>0.3</v>
          </cell>
          <cell r="U452">
            <v>0.3</v>
          </cell>
          <cell r="V452">
            <v>0.3</v>
          </cell>
          <cell r="W452">
            <v>0.3</v>
          </cell>
          <cell r="X452">
            <v>0</v>
          </cell>
          <cell r="Y452">
            <v>6.0999999999999999E-2</v>
          </cell>
          <cell r="Z452">
            <v>6.4000000000000001E-2</v>
          </cell>
          <cell r="AA452">
            <v>6.7000000000000004E-2</v>
          </cell>
          <cell r="AB452">
            <v>7.0000000000000007E-2</v>
          </cell>
          <cell r="AC452">
            <v>3333333.3333333335</v>
          </cell>
          <cell r="AD452">
            <v>0</v>
          </cell>
          <cell r="AE452">
            <v>0</v>
          </cell>
          <cell r="AF452">
            <v>0</v>
          </cell>
          <cell r="AG452">
            <v>0</v>
          </cell>
          <cell r="AH452">
            <v>1134259.2592592591</v>
          </cell>
          <cell r="AI452">
            <v>0</v>
          </cell>
          <cell r="AJ452">
            <v>0</v>
          </cell>
          <cell r="AK452">
            <v>0</v>
          </cell>
          <cell r="AL452">
            <v>0</v>
          </cell>
          <cell r="AM452">
            <v>340277.77777777769</v>
          </cell>
          <cell r="AN452">
            <v>0</v>
          </cell>
          <cell r="AO452">
            <v>0</v>
          </cell>
          <cell r="AP452">
            <v>0</v>
          </cell>
          <cell r="AQ452">
            <v>0</v>
          </cell>
          <cell r="AR452">
            <v>79398.148148148146</v>
          </cell>
          <cell r="AT452" t="str">
            <v>OPP-504425 - Identified - New - NE</v>
          </cell>
          <cell r="AU452">
            <v>79398.148148148146</v>
          </cell>
          <cell r="AV452">
            <v>0</v>
          </cell>
          <cell r="AW452">
            <v>0</v>
          </cell>
          <cell r="AX452">
            <v>79398.148148148146</v>
          </cell>
          <cell r="AZ452">
            <v>441</v>
          </cell>
          <cell r="BA452">
            <v>441</v>
          </cell>
          <cell r="BB452">
            <v>40</v>
          </cell>
        </row>
        <row r="453">
          <cell r="B453" t="str">
            <v>OPP-589125</v>
          </cell>
          <cell r="C453" t="str">
            <v>Westinghouse Western Zirconium (Commercial remediation)</v>
          </cell>
          <cell r="D453" t="str">
            <v>NE</v>
          </cell>
          <cell r="E453" t="str">
            <v>NE Technical Services</v>
          </cell>
          <cell r="F453" t="str">
            <v>Commercial</v>
          </cell>
          <cell r="G453" t="str">
            <v xml:space="preserve">Commercial </v>
          </cell>
          <cell r="H453">
            <v>44858</v>
          </cell>
          <cell r="I453">
            <v>44935</v>
          </cell>
          <cell r="J453">
            <v>45666</v>
          </cell>
          <cell r="K453" t="str">
            <v>Prime</v>
          </cell>
          <cell r="L453" t="str">
            <v>T&amp;M</v>
          </cell>
          <cell r="M453" t="str">
            <v>T&amp;M</v>
          </cell>
          <cell r="N453" t="str">
            <v>Identified - New</v>
          </cell>
          <cell r="O453" t="str">
            <v>01 Prospect</v>
          </cell>
          <cell r="P453" t="str">
            <v>Priority 3</v>
          </cell>
          <cell r="Q453">
            <v>0.35</v>
          </cell>
          <cell r="R453">
            <v>25000000</v>
          </cell>
          <cell r="S453">
            <v>0</v>
          </cell>
          <cell r="T453">
            <v>0.3</v>
          </cell>
          <cell r="U453">
            <v>0.3</v>
          </cell>
          <cell r="V453">
            <v>0.3</v>
          </cell>
          <cell r="W453">
            <v>0.3</v>
          </cell>
          <cell r="X453">
            <v>0</v>
          </cell>
          <cell r="Y453">
            <v>6.0999999999999999E-2</v>
          </cell>
          <cell r="Z453">
            <v>6.4000000000000001E-2</v>
          </cell>
          <cell r="AA453">
            <v>6.7000000000000004E-2</v>
          </cell>
          <cell r="AB453">
            <v>7.0000000000000007E-2</v>
          </cell>
          <cell r="AC453">
            <v>12500000</v>
          </cell>
          <cell r="AD453">
            <v>0</v>
          </cell>
          <cell r="AE453">
            <v>0</v>
          </cell>
          <cell r="AF453">
            <v>0</v>
          </cell>
          <cell r="AG453">
            <v>0</v>
          </cell>
          <cell r="AH453">
            <v>3171875</v>
          </cell>
          <cell r="AI453">
            <v>0</v>
          </cell>
          <cell r="AJ453">
            <v>0</v>
          </cell>
          <cell r="AK453">
            <v>0</v>
          </cell>
          <cell r="AL453">
            <v>0</v>
          </cell>
          <cell r="AM453">
            <v>951562.5</v>
          </cell>
          <cell r="AN453">
            <v>0</v>
          </cell>
          <cell r="AO453">
            <v>0</v>
          </cell>
          <cell r="AP453">
            <v>0</v>
          </cell>
          <cell r="AQ453">
            <v>0</v>
          </cell>
          <cell r="AR453">
            <v>222031.25000000003</v>
          </cell>
          <cell r="AT453" t="str">
            <v>OPP-589125 - Identified - New - NE</v>
          </cell>
          <cell r="AU453">
            <v>222031.25000000003</v>
          </cell>
          <cell r="AV453">
            <v>0</v>
          </cell>
          <cell r="AW453">
            <v>0</v>
          </cell>
          <cell r="AX453">
            <v>222031.25000000003</v>
          </cell>
          <cell r="AZ453">
            <v>442</v>
          </cell>
          <cell r="BA453">
            <v>442</v>
          </cell>
          <cell r="BB453">
            <v>26</v>
          </cell>
        </row>
        <row r="454">
          <cell r="B454" t="str">
            <v>OPP-696880</v>
          </cell>
          <cell r="C454" t="str">
            <v>Hanford 222S Laboratory Contract</v>
          </cell>
          <cell r="D454" t="str">
            <v>NE</v>
          </cell>
          <cell r="E454" t="str">
            <v>NE Technical Services</v>
          </cell>
          <cell r="F454" t="str">
            <v>DOE</v>
          </cell>
          <cell r="G454" t="str">
            <v>DOE</v>
          </cell>
          <cell r="H454">
            <v>43815</v>
          </cell>
          <cell r="I454">
            <v>43854</v>
          </cell>
          <cell r="J454">
            <v>46046</v>
          </cell>
          <cell r="K454" t="str">
            <v>Sub</v>
          </cell>
          <cell r="L454" t="str">
            <v>Cost Plus Award Fee; Hybrid/Mixed Cost-Plus/Fixed</v>
          </cell>
          <cell r="M454" t="str">
            <v>Cost Reimbursable</v>
          </cell>
          <cell r="N454" t="str">
            <v>Identified - New</v>
          </cell>
          <cell r="O454" t="str">
            <v>04 Submitted</v>
          </cell>
          <cell r="P454" t="str">
            <v>Priority 2</v>
          </cell>
          <cell r="Q454">
            <v>0.5</v>
          </cell>
          <cell r="R454">
            <v>40000000</v>
          </cell>
          <cell r="S454">
            <v>0</v>
          </cell>
          <cell r="T454">
            <v>0.3</v>
          </cell>
          <cell r="U454">
            <v>0.3</v>
          </cell>
          <cell r="V454">
            <v>0.3</v>
          </cell>
          <cell r="W454">
            <v>0.3</v>
          </cell>
          <cell r="X454">
            <v>0</v>
          </cell>
          <cell r="Y454">
            <v>0.18</v>
          </cell>
          <cell r="Z454">
            <v>0.18</v>
          </cell>
          <cell r="AA454">
            <v>0.18</v>
          </cell>
          <cell r="AB454">
            <v>0.18</v>
          </cell>
          <cell r="AC454">
            <v>6666666.666666667</v>
          </cell>
          <cell r="AD454">
            <v>0</v>
          </cell>
          <cell r="AE454">
            <v>2277777.777777778</v>
          </cell>
          <cell r="AF454">
            <v>3333333.3333333335</v>
          </cell>
          <cell r="AG454">
            <v>3333333.3333333335</v>
          </cell>
          <cell r="AH454">
            <v>3333333.3333333335</v>
          </cell>
          <cell r="AI454">
            <v>0</v>
          </cell>
          <cell r="AJ454">
            <v>683333.33333333337</v>
          </cell>
          <cell r="AK454">
            <v>1000000</v>
          </cell>
          <cell r="AL454">
            <v>1000000</v>
          </cell>
          <cell r="AM454">
            <v>1000000</v>
          </cell>
          <cell r="AN454">
            <v>0</v>
          </cell>
          <cell r="AO454">
            <v>410000</v>
          </cell>
          <cell r="AP454">
            <v>600000</v>
          </cell>
          <cell r="AQ454">
            <v>600000</v>
          </cell>
          <cell r="AR454">
            <v>600000</v>
          </cell>
          <cell r="AT454" t="str">
            <v>OPP-696880 - Identified - New - NE</v>
          </cell>
          <cell r="AU454">
            <v>2210000</v>
          </cell>
          <cell r="AV454">
            <v>0</v>
          </cell>
          <cell r="AW454">
            <v>0</v>
          </cell>
          <cell r="AX454">
            <v>2210000</v>
          </cell>
          <cell r="AZ454">
            <v>443</v>
          </cell>
          <cell r="BA454">
            <v>443</v>
          </cell>
          <cell r="BB454">
            <v>3</v>
          </cell>
        </row>
        <row r="455">
          <cell r="B455" t="str">
            <v>OPP-912556</v>
          </cell>
          <cell r="C455" t="str">
            <v>Repsol Sinopec Flotta Terminal Lifetime Plan</v>
          </cell>
          <cell r="D455" t="str">
            <v>COMG</v>
          </cell>
          <cell r="E455" t="str">
            <v>Commercial O&amp;M</v>
          </cell>
          <cell r="F455" t="str">
            <v>Commercial</v>
          </cell>
          <cell r="G455" t="str">
            <v xml:space="preserve">Commercial </v>
          </cell>
          <cell r="H455">
            <v>43509</v>
          </cell>
          <cell r="I455">
            <v>43509</v>
          </cell>
          <cell r="J455">
            <v>43568</v>
          </cell>
          <cell r="K455" t="str">
            <v>Prime</v>
          </cell>
          <cell r="L455" t="str">
            <v>Fixed Price</v>
          </cell>
          <cell r="M455" t="str">
            <v>Fixed Price</v>
          </cell>
          <cell r="N455" t="str">
            <v>Identified - New</v>
          </cell>
          <cell r="O455" t="str">
            <v>01 Prospect</v>
          </cell>
          <cell r="P455" t="str">
            <v>Priority 3</v>
          </cell>
          <cell r="Q455">
            <v>0.75</v>
          </cell>
          <cell r="R455">
            <v>0</v>
          </cell>
          <cell r="S455">
            <v>0</v>
          </cell>
          <cell r="T455">
            <v>0.14166666666666666</v>
          </cell>
          <cell r="U455">
            <v>0.14166666666666666</v>
          </cell>
          <cell r="V455">
            <v>0.14166666666666666</v>
          </cell>
          <cell r="W455">
            <v>0.14166666666666666</v>
          </cell>
          <cell r="X455">
            <v>0</v>
          </cell>
          <cell r="Y455">
            <v>3.6000000000000004E-2</v>
          </cell>
          <cell r="Z455">
            <v>4.0000000000000008E-2</v>
          </cell>
          <cell r="AA455">
            <v>4.5000000000000005E-2</v>
          </cell>
          <cell r="AB455">
            <v>5.000000000000001E-2</v>
          </cell>
          <cell r="AC455">
            <v>0</v>
          </cell>
          <cell r="AD455">
            <v>0</v>
          </cell>
          <cell r="AE455">
            <v>0</v>
          </cell>
          <cell r="AF455">
            <v>0</v>
          </cell>
          <cell r="AG455">
            <v>0</v>
          </cell>
          <cell r="AH455">
            <v>0</v>
          </cell>
          <cell r="AI455">
            <v>0</v>
          </cell>
          <cell r="AJ455">
            <v>0</v>
          </cell>
          <cell r="AK455">
            <v>0</v>
          </cell>
          <cell r="AL455">
            <v>0</v>
          </cell>
          <cell r="AM455">
            <v>0</v>
          </cell>
          <cell r="AN455">
            <v>0</v>
          </cell>
          <cell r="AO455">
            <v>0</v>
          </cell>
          <cell r="AP455">
            <v>0</v>
          </cell>
          <cell r="AQ455">
            <v>0</v>
          </cell>
          <cell r="AR455">
            <v>0</v>
          </cell>
          <cell r="AT455" t="str">
            <v>OPP-912556 - Identified - New - COMG</v>
          </cell>
          <cell r="AU455">
            <v>0</v>
          </cell>
          <cell r="AV455">
            <v>0</v>
          </cell>
          <cell r="AW455">
            <v>0</v>
          </cell>
          <cell r="AX455">
            <v>0</v>
          </cell>
          <cell r="AZ455">
            <v>444</v>
          </cell>
          <cell r="BA455">
            <v>444</v>
          </cell>
          <cell r="BB455">
            <v>444</v>
          </cell>
        </row>
        <row r="456">
          <cell r="B456" t="str">
            <v>OPP-925117</v>
          </cell>
          <cell r="C456" t="str">
            <v>Caterpillar - Sumter, SC</v>
          </cell>
          <cell r="D456" t="str">
            <v>COMG</v>
          </cell>
          <cell r="E456" t="str">
            <v>Commercial O&amp;M</v>
          </cell>
          <cell r="F456" t="str">
            <v>Commercial</v>
          </cell>
          <cell r="G456" t="str">
            <v xml:space="preserve">Commercial </v>
          </cell>
          <cell r="H456">
            <v>43616</v>
          </cell>
          <cell r="I456">
            <v>43616</v>
          </cell>
          <cell r="J456">
            <v>44712</v>
          </cell>
          <cell r="K456" t="str">
            <v>Prime</v>
          </cell>
          <cell r="L456" t="str">
            <v>Cost Plus Fixed Fee</v>
          </cell>
          <cell r="M456" t="str">
            <v>Cost Reimbursable</v>
          </cell>
          <cell r="N456" t="str">
            <v>Identified - New</v>
          </cell>
          <cell r="O456" t="str">
            <v>04 Submitted</v>
          </cell>
          <cell r="P456" t="str">
            <v>Priority 3</v>
          </cell>
          <cell r="Q456">
            <v>0.15</v>
          </cell>
          <cell r="R456">
            <v>0</v>
          </cell>
          <cell r="S456">
            <v>0</v>
          </cell>
          <cell r="T456">
            <v>0.14166666666666666</v>
          </cell>
          <cell r="U456">
            <v>0.14166666666666666</v>
          </cell>
          <cell r="V456">
            <v>0.14166666666666666</v>
          </cell>
          <cell r="W456">
            <v>0.14166666666666666</v>
          </cell>
          <cell r="X456">
            <v>0</v>
          </cell>
          <cell r="Y456">
            <v>3.5000000000000003E-2</v>
          </cell>
          <cell r="Z456">
            <v>3.7500000000000006E-2</v>
          </cell>
          <cell r="AA456">
            <v>4.0000000000000008E-2</v>
          </cell>
          <cell r="AB456">
            <v>4.250000000000001E-2</v>
          </cell>
          <cell r="AC456">
            <v>0</v>
          </cell>
          <cell r="AD456">
            <v>0</v>
          </cell>
          <cell r="AE456">
            <v>0</v>
          </cell>
          <cell r="AF456">
            <v>0</v>
          </cell>
          <cell r="AG456">
            <v>0</v>
          </cell>
          <cell r="AH456">
            <v>0</v>
          </cell>
          <cell r="AI456">
            <v>0</v>
          </cell>
          <cell r="AJ456">
            <v>0</v>
          </cell>
          <cell r="AK456">
            <v>0</v>
          </cell>
          <cell r="AL456">
            <v>0</v>
          </cell>
          <cell r="AM456">
            <v>0</v>
          </cell>
          <cell r="AN456">
            <v>0</v>
          </cell>
          <cell r="AO456">
            <v>0</v>
          </cell>
          <cell r="AP456">
            <v>0</v>
          </cell>
          <cell r="AQ456">
            <v>0</v>
          </cell>
          <cell r="AR456">
            <v>0</v>
          </cell>
          <cell r="AT456" t="str">
            <v>OPP-925117 - Identified - New - COMG</v>
          </cell>
          <cell r="AU456">
            <v>0</v>
          </cell>
          <cell r="AV456">
            <v>0</v>
          </cell>
          <cell r="AW456">
            <v>0</v>
          </cell>
          <cell r="AX456">
            <v>0</v>
          </cell>
          <cell r="AZ456">
            <v>445</v>
          </cell>
          <cell r="BA456">
            <v>445</v>
          </cell>
          <cell r="BB456">
            <v>445</v>
          </cell>
        </row>
        <row r="457">
          <cell r="B457" t="str">
            <v>OPP-896735</v>
          </cell>
          <cell r="C457" t="str">
            <v>John Deere Integrated Facility Management Services</v>
          </cell>
          <cell r="D457" t="str">
            <v>COMG</v>
          </cell>
          <cell r="E457" t="str">
            <v>Commercial O&amp;M</v>
          </cell>
          <cell r="F457" t="str">
            <v>Commercial</v>
          </cell>
          <cell r="G457" t="str">
            <v xml:space="preserve">Commercial </v>
          </cell>
          <cell r="H457">
            <v>43692</v>
          </cell>
          <cell r="I457">
            <v>43770</v>
          </cell>
          <cell r="J457">
            <v>44850</v>
          </cell>
          <cell r="K457" t="str">
            <v>Prime</v>
          </cell>
          <cell r="L457" t="str">
            <v>Fixed Price</v>
          </cell>
          <cell r="M457" t="str">
            <v>Fixed Price</v>
          </cell>
          <cell r="N457" t="str">
            <v>Identified - New</v>
          </cell>
          <cell r="O457" t="str">
            <v>05 Awarded/Won</v>
          </cell>
          <cell r="P457" t="str">
            <v>Priority 2</v>
          </cell>
          <cell r="Q457">
            <v>1</v>
          </cell>
          <cell r="R457">
            <v>12000000</v>
          </cell>
          <cell r="S457">
            <v>0</v>
          </cell>
          <cell r="T457">
            <v>0.14166666666666666</v>
          </cell>
          <cell r="U457">
            <v>0.14166666666666666</v>
          </cell>
          <cell r="V457">
            <v>0.14166666666666666</v>
          </cell>
          <cell r="W457">
            <v>0.14166666666666666</v>
          </cell>
          <cell r="X457">
            <v>0</v>
          </cell>
          <cell r="Y457">
            <v>3.6000000000000004E-2</v>
          </cell>
          <cell r="Z457">
            <v>4.0000000000000008E-2</v>
          </cell>
          <cell r="AA457">
            <v>4.5000000000000005E-2</v>
          </cell>
          <cell r="AB457">
            <v>5.000000000000001E-2</v>
          </cell>
          <cell r="AC457">
            <v>4056338.028169014</v>
          </cell>
          <cell r="AD457">
            <v>0</v>
          </cell>
          <cell r="AE457">
            <v>3707042.2535211267</v>
          </cell>
          <cell r="AF457">
            <v>4056338.028169014</v>
          </cell>
          <cell r="AG457">
            <v>4056338.028169014</v>
          </cell>
          <cell r="AH457">
            <v>180281.69014084525</v>
          </cell>
          <cell r="AI457">
            <v>0</v>
          </cell>
          <cell r="AJ457">
            <v>525164.31924882624</v>
          </cell>
          <cell r="AK457">
            <v>574647.88732394367</v>
          </cell>
          <cell r="AL457">
            <v>574647.88732394367</v>
          </cell>
          <cell r="AM457">
            <v>25539.906103286412</v>
          </cell>
          <cell r="AN457">
            <v>0</v>
          </cell>
          <cell r="AO457">
            <v>133453.52112676058</v>
          </cell>
          <cell r="AP457">
            <v>162253.52112676061</v>
          </cell>
          <cell r="AQ457">
            <v>182535.21126760566</v>
          </cell>
          <cell r="AR457">
            <v>9014.0845070422638</v>
          </cell>
          <cell r="AT457" t="str">
            <v>OPP-896735 - Identified - New - COMG</v>
          </cell>
          <cell r="AU457">
            <v>487256.33802816906</v>
          </cell>
          <cell r="AV457">
            <v>0</v>
          </cell>
          <cell r="AW457">
            <v>0</v>
          </cell>
          <cell r="AX457">
            <v>0</v>
          </cell>
          <cell r="AZ457">
            <v>446</v>
          </cell>
          <cell r="BA457">
            <v>446</v>
          </cell>
          <cell r="BB457">
            <v>446</v>
          </cell>
        </row>
        <row r="458">
          <cell r="B458" t="str">
            <v>OPP-935074</v>
          </cell>
          <cell r="C458" t="str">
            <v>Caterpillar DC Bundled Maintenance Services</v>
          </cell>
          <cell r="D458" t="str">
            <v>COMG</v>
          </cell>
          <cell r="E458" t="str">
            <v>Commercial O&amp;M</v>
          </cell>
          <cell r="F458" t="str">
            <v>Commercial</v>
          </cell>
          <cell r="G458" t="str">
            <v xml:space="preserve">Commercial </v>
          </cell>
          <cell r="H458">
            <v>43640</v>
          </cell>
          <cell r="I458">
            <v>43640</v>
          </cell>
          <cell r="J458">
            <v>45467</v>
          </cell>
          <cell r="K458" t="str">
            <v>Prime</v>
          </cell>
          <cell r="L458" t="str">
            <v>Cost Plus Fixed Fee</v>
          </cell>
          <cell r="M458" t="str">
            <v>Cost Reimbursable</v>
          </cell>
          <cell r="N458" t="str">
            <v>Identified - New</v>
          </cell>
          <cell r="O458" t="str">
            <v>04 Submitted</v>
          </cell>
          <cell r="P458" t="str">
            <v>Priority 3</v>
          </cell>
          <cell r="Q458">
            <v>0.5</v>
          </cell>
          <cell r="R458">
            <v>0</v>
          </cell>
          <cell r="S458">
            <v>0</v>
          </cell>
          <cell r="T458">
            <v>0.14166666666666666</v>
          </cell>
          <cell r="U458">
            <v>0.14166666666666666</v>
          </cell>
          <cell r="V458">
            <v>0.14166666666666666</v>
          </cell>
          <cell r="W458">
            <v>0.14166666666666666</v>
          </cell>
          <cell r="X458">
            <v>0</v>
          </cell>
          <cell r="Y458">
            <v>3.5000000000000003E-2</v>
          </cell>
          <cell r="Z458">
            <v>3.7500000000000006E-2</v>
          </cell>
          <cell r="AA458">
            <v>4.0000000000000008E-2</v>
          </cell>
          <cell r="AB458">
            <v>4.250000000000001E-2</v>
          </cell>
          <cell r="AC458">
            <v>0</v>
          </cell>
          <cell r="AD458">
            <v>0</v>
          </cell>
          <cell r="AE458">
            <v>0</v>
          </cell>
          <cell r="AF458">
            <v>0</v>
          </cell>
          <cell r="AG458">
            <v>0</v>
          </cell>
          <cell r="AH458">
            <v>0</v>
          </cell>
          <cell r="AI458">
            <v>0</v>
          </cell>
          <cell r="AJ458">
            <v>0</v>
          </cell>
          <cell r="AK458">
            <v>0</v>
          </cell>
          <cell r="AL458">
            <v>0</v>
          </cell>
          <cell r="AM458">
            <v>0</v>
          </cell>
          <cell r="AN458">
            <v>0</v>
          </cell>
          <cell r="AO458">
            <v>0</v>
          </cell>
          <cell r="AP458">
            <v>0</v>
          </cell>
          <cell r="AQ458">
            <v>0</v>
          </cell>
          <cell r="AR458">
            <v>0</v>
          </cell>
          <cell r="AT458" t="str">
            <v>OPP-935074 - Identified - New - COMG</v>
          </cell>
          <cell r="AU458">
            <v>0</v>
          </cell>
          <cell r="AV458">
            <v>0</v>
          </cell>
          <cell r="AW458">
            <v>0</v>
          </cell>
          <cell r="AX458">
            <v>0</v>
          </cell>
          <cell r="AZ458">
            <v>447</v>
          </cell>
          <cell r="BA458">
            <v>447</v>
          </cell>
          <cell r="BB458">
            <v>447</v>
          </cell>
        </row>
        <row r="459">
          <cell r="B459" t="str">
            <v>OPP-878088</v>
          </cell>
          <cell r="C459" t="str">
            <v>Caterpillar - IFM Thiravulur</v>
          </cell>
          <cell r="D459" t="str">
            <v>COMG</v>
          </cell>
          <cell r="E459" t="str">
            <v>Commercial O&amp;M</v>
          </cell>
          <cell r="F459" t="str">
            <v>Commercial</v>
          </cell>
          <cell r="G459" t="str">
            <v xml:space="preserve">Commercial </v>
          </cell>
          <cell r="H459">
            <v>43692</v>
          </cell>
          <cell r="I459">
            <v>43692</v>
          </cell>
          <cell r="J459">
            <v>43784</v>
          </cell>
          <cell r="K459" t="str">
            <v>Prime</v>
          </cell>
          <cell r="L459" t="str">
            <v>Fixed Price</v>
          </cell>
          <cell r="M459" t="str">
            <v>Fixed Price</v>
          </cell>
          <cell r="N459" t="str">
            <v>Identified - New</v>
          </cell>
          <cell r="O459" t="str">
            <v>02 Capture</v>
          </cell>
          <cell r="P459" t="str">
            <v>Priority 3</v>
          </cell>
          <cell r="Q459">
            <v>0.25</v>
          </cell>
          <cell r="R459">
            <v>1000000</v>
          </cell>
          <cell r="S459">
            <v>0</v>
          </cell>
          <cell r="T459">
            <v>0.14166666666666666</v>
          </cell>
          <cell r="U459">
            <v>0.14166666666666666</v>
          </cell>
          <cell r="V459">
            <v>0.14166666666666666</v>
          </cell>
          <cell r="W459">
            <v>0.14166666666666666</v>
          </cell>
          <cell r="X459">
            <v>0</v>
          </cell>
          <cell r="Y459">
            <v>3.6000000000000004E-2</v>
          </cell>
          <cell r="Z459">
            <v>4.0000000000000008E-2</v>
          </cell>
          <cell r="AA459">
            <v>4.5000000000000005E-2</v>
          </cell>
          <cell r="AB459">
            <v>5.000000000000001E-2</v>
          </cell>
          <cell r="AC459">
            <v>1000000</v>
          </cell>
          <cell r="AD459">
            <v>0</v>
          </cell>
          <cell r="AE459">
            <v>250000</v>
          </cell>
          <cell r="AF459">
            <v>0</v>
          </cell>
          <cell r="AG459">
            <v>0</v>
          </cell>
          <cell r="AH459">
            <v>0</v>
          </cell>
          <cell r="AI459">
            <v>0</v>
          </cell>
          <cell r="AJ459">
            <v>35416.666666666664</v>
          </cell>
          <cell r="AK459">
            <v>0</v>
          </cell>
          <cell r="AL459">
            <v>0</v>
          </cell>
          <cell r="AM459">
            <v>0</v>
          </cell>
          <cell r="AN459">
            <v>0</v>
          </cell>
          <cell r="AO459">
            <v>9000.0000000000018</v>
          </cell>
          <cell r="AP459">
            <v>0</v>
          </cell>
          <cell r="AQ459">
            <v>0</v>
          </cell>
          <cell r="AR459">
            <v>0</v>
          </cell>
          <cell r="AT459" t="str">
            <v>OPP-878088 - Identified - New - COMG</v>
          </cell>
          <cell r="AU459">
            <v>9000.0000000000018</v>
          </cell>
          <cell r="AV459">
            <v>0</v>
          </cell>
          <cell r="AW459">
            <v>0</v>
          </cell>
          <cell r="AX459">
            <v>0</v>
          </cell>
          <cell r="AZ459">
            <v>448</v>
          </cell>
          <cell r="BA459">
            <v>448</v>
          </cell>
          <cell r="BB459">
            <v>448</v>
          </cell>
        </row>
        <row r="460">
          <cell r="B460" t="str">
            <v>OPP-932862</v>
          </cell>
          <cell r="C460" t="str">
            <v>Signicast Hartford, WI Equipment Maintenance</v>
          </cell>
          <cell r="D460" t="str">
            <v>COMG</v>
          </cell>
          <cell r="E460" t="str">
            <v>Commercial O&amp;M</v>
          </cell>
          <cell r="F460" t="str">
            <v>Commercial</v>
          </cell>
          <cell r="G460" t="str">
            <v xml:space="preserve">Commercial </v>
          </cell>
          <cell r="H460">
            <v>43707</v>
          </cell>
          <cell r="I460">
            <v>43707</v>
          </cell>
          <cell r="J460">
            <v>44803</v>
          </cell>
          <cell r="K460" t="str">
            <v>Prime</v>
          </cell>
          <cell r="L460" t="str">
            <v>Cost Plus Fixed Fee</v>
          </cell>
          <cell r="M460" t="str">
            <v>Cost Reimbursable</v>
          </cell>
          <cell r="N460" t="str">
            <v>Identified - New</v>
          </cell>
          <cell r="O460" t="str">
            <v>02 Capture</v>
          </cell>
          <cell r="P460" t="str">
            <v>Priority 3</v>
          </cell>
          <cell r="Q460">
            <v>0.5</v>
          </cell>
          <cell r="R460">
            <v>2700000</v>
          </cell>
          <cell r="S460">
            <v>0</v>
          </cell>
          <cell r="T460">
            <v>0.14166666666666666</v>
          </cell>
          <cell r="U460">
            <v>0.14166666666666666</v>
          </cell>
          <cell r="V460">
            <v>0.14166666666666666</v>
          </cell>
          <cell r="W460">
            <v>0.14166666666666666</v>
          </cell>
          <cell r="X460">
            <v>0</v>
          </cell>
          <cell r="Y460">
            <v>3.5000000000000003E-2</v>
          </cell>
          <cell r="Z460">
            <v>3.7500000000000006E-2</v>
          </cell>
          <cell r="AA460">
            <v>4.0000000000000008E-2</v>
          </cell>
          <cell r="AB460">
            <v>4.250000000000001E-2</v>
          </cell>
          <cell r="AC460">
            <v>900000</v>
          </cell>
          <cell r="AD460">
            <v>0</v>
          </cell>
          <cell r="AE460">
            <v>450000</v>
          </cell>
          <cell r="AF460">
            <v>450000</v>
          </cell>
          <cell r="AG460">
            <v>450000</v>
          </cell>
          <cell r="AH460">
            <v>0</v>
          </cell>
          <cell r="AI460">
            <v>0</v>
          </cell>
          <cell r="AJ460">
            <v>63750</v>
          </cell>
          <cell r="AK460">
            <v>63750</v>
          </cell>
          <cell r="AL460">
            <v>63750</v>
          </cell>
          <cell r="AM460">
            <v>0</v>
          </cell>
          <cell r="AN460">
            <v>0</v>
          </cell>
          <cell r="AO460">
            <v>15750.000000000002</v>
          </cell>
          <cell r="AP460">
            <v>16875.000000000004</v>
          </cell>
          <cell r="AQ460">
            <v>18000.000000000004</v>
          </cell>
          <cell r="AR460">
            <v>0</v>
          </cell>
          <cell r="AT460" t="str">
            <v>OPP-932862 - Identified - New - COMG</v>
          </cell>
          <cell r="AU460">
            <v>50625.000000000015</v>
          </cell>
          <cell r="AV460">
            <v>0</v>
          </cell>
          <cell r="AW460">
            <v>0</v>
          </cell>
          <cell r="AX460">
            <v>0</v>
          </cell>
          <cell r="AZ460">
            <v>449</v>
          </cell>
          <cell r="BA460">
            <v>449</v>
          </cell>
          <cell r="BB460">
            <v>449</v>
          </cell>
        </row>
        <row r="461">
          <cell r="B461" t="str">
            <v>OPP-911820</v>
          </cell>
          <cell r="C461" t="str">
            <v>Caterpillar - Solar Turbines, Rowville Victoria (IFM)</v>
          </cell>
          <cell r="D461" t="str">
            <v>COMG</v>
          </cell>
          <cell r="E461" t="str">
            <v>Commercial O&amp;M</v>
          </cell>
          <cell r="F461" t="str">
            <v>Commercial</v>
          </cell>
          <cell r="G461" t="str">
            <v xml:space="preserve">Commercial </v>
          </cell>
          <cell r="H461">
            <v>43709</v>
          </cell>
          <cell r="I461">
            <v>43709</v>
          </cell>
          <cell r="J461">
            <v>44805</v>
          </cell>
          <cell r="K461" t="str">
            <v>Prime</v>
          </cell>
          <cell r="L461" t="str">
            <v>Fixed Price - Negotiated</v>
          </cell>
          <cell r="M461" t="str">
            <v>Fixed Price</v>
          </cell>
          <cell r="N461" t="str">
            <v>Identified - New</v>
          </cell>
          <cell r="O461" t="str">
            <v>02 Capture</v>
          </cell>
          <cell r="P461" t="str">
            <v>Priority 3</v>
          </cell>
          <cell r="Q461">
            <v>0.6</v>
          </cell>
          <cell r="R461">
            <v>500000</v>
          </cell>
          <cell r="S461">
            <v>0</v>
          </cell>
          <cell r="T461">
            <v>0.14166666666666666</v>
          </cell>
          <cell r="U461">
            <v>0.14166666666666666</v>
          </cell>
          <cell r="V461">
            <v>0.14166666666666666</v>
          </cell>
          <cell r="W461">
            <v>0.14166666666666666</v>
          </cell>
          <cell r="X461">
            <v>0</v>
          </cell>
          <cell r="Y461">
            <v>3.6000000000000004E-2</v>
          </cell>
          <cell r="Z461">
            <v>4.0000000000000008E-2</v>
          </cell>
          <cell r="AA461">
            <v>4.5000000000000005E-2</v>
          </cell>
          <cell r="AB461">
            <v>5.000000000000001E-2</v>
          </cell>
          <cell r="AC461">
            <v>166666.66666666666</v>
          </cell>
          <cell r="AD461">
            <v>0</v>
          </cell>
          <cell r="AE461">
            <v>99999.999999999985</v>
          </cell>
          <cell r="AF461">
            <v>99999.999999999985</v>
          </cell>
          <cell r="AG461">
            <v>99999.999999999985</v>
          </cell>
          <cell r="AH461">
            <v>5.8207660913467407E-11</v>
          </cell>
          <cell r="AI461">
            <v>0</v>
          </cell>
          <cell r="AJ461">
            <v>14166.666666666664</v>
          </cell>
          <cell r="AK461">
            <v>14166.666666666664</v>
          </cell>
          <cell r="AL461">
            <v>14166.666666666664</v>
          </cell>
          <cell r="AM461">
            <v>8.2460852960745491E-12</v>
          </cell>
          <cell r="AN461">
            <v>0</v>
          </cell>
          <cell r="AO461">
            <v>3600</v>
          </cell>
          <cell r="AP461">
            <v>4000</v>
          </cell>
          <cell r="AQ461">
            <v>4500</v>
          </cell>
          <cell r="AR461">
            <v>2.9103830456733709E-12</v>
          </cell>
          <cell r="AT461" t="str">
            <v>OPP-911820 - Identified - New - COMG</v>
          </cell>
          <cell r="AU461">
            <v>12100.000000000004</v>
          </cell>
          <cell r="AV461">
            <v>0</v>
          </cell>
          <cell r="AW461">
            <v>0</v>
          </cell>
          <cell r="AX461">
            <v>0</v>
          </cell>
          <cell r="AZ461">
            <v>450</v>
          </cell>
          <cell r="BA461">
            <v>450</v>
          </cell>
          <cell r="BB461">
            <v>450</v>
          </cell>
        </row>
        <row r="462">
          <cell r="B462" t="str">
            <v>OPP-938186</v>
          </cell>
          <cell r="C462" t="str">
            <v>HKHA Asset Management &amp; BIM Consultancy</v>
          </cell>
          <cell r="D462" t="str">
            <v>COMG</v>
          </cell>
          <cell r="E462" t="str">
            <v>Commercial O&amp;M</v>
          </cell>
          <cell r="F462" t="str">
            <v>Foreign Government</v>
          </cell>
          <cell r="G462" t="str">
            <v>Non-US Gov't</v>
          </cell>
          <cell r="H462">
            <v>43710</v>
          </cell>
          <cell r="I462">
            <v>43710</v>
          </cell>
          <cell r="J462">
            <v>44014</v>
          </cell>
          <cell r="K462" t="str">
            <v>Prime</v>
          </cell>
          <cell r="L462" t="str">
            <v>Fixed Price - Hard Bid</v>
          </cell>
          <cell r="M462" t="str">
            <v>Fixed Price</v>
          </cell>
          <cell r="N462" t="str">
            <v>Identified - New</v>
          </cell>
          <cell r="O462" t="str">
            <v>02 Capture</v>
          </cell>
          <cell r="P462" t="str">
            <v>Priority 3</v>
          </cell>
          <cell r="Q462">
            <v>0.5</v>
          </cell>
          <cell r="R462">
            <v>1500000</v>
          </cell>
          <cell r="S462">
            <v>0</v>
          </cell>
          <cell r="T462">
            <v>0.14166666666666666</v>
          </cell>
          <cell r="U462">
            <v>0.14166666666666666</v>
          </cell>
          <cell r="V462">
            <v>0.14166666666666666</v>
          </cell>
          <cell r="W462">
            <v>0.14166666666666666</v>
          </cell>
          <cell r="X462">
            <v>0</v>
          </cell>
          <cell r="Y462">
            <v>3.6000000000000004E-2</v>
          </cell>
          <cell r="Z462">
            <v>4.0000000000000008E-2</v>
          </cell>
          <cell r="AA462">
            <v>4.5000000000000005E-2</v>
          </cell>
          <cell r="AB462">
            <v>5.000000000000001E-2</v>
          </cell>
          <cell r="AC462">
            <v>1500000</v>
          </cell>
          <cell r="AD462">
            <v>0</v>
          </cell>
          <cell r="AE462">
            <v>750000</v>
          </cell>
          <cell r="AF462">
            <v>0</v>
          </cell>
          <cell r="AG462">
            <v>0</v>
          </cell>
          <cell r="AH462">
            <v>0</v>
          </cell>
          <cell r="AI462">
            <v>0</v>
          </cell>
          <cell r="AJ462">
            <v>106250</v>
          </cell>
          <cell r="AK462">
            <v>0</v>
          </cell>
          <cell r="AL462">
            <v>0</v>
          </cell>
          <cell r="AM462">
            <v>0</v>
          </cell>
          <cell r="AN462">
            <v>0</v>
          </cell>
          <cell r="AO462">
            <v>27000.000000000004</v>
          </cell>
          <cell r="AP462">
            <v>0</v>
          </cell>
          <cell r="AQ462">
            <v>0</v>
          </cell>
          <cell r="AR462">
            <v>0</v>
          </cell>
          <cell r="AT462" t="str">
            <v>OPP-938186 - Identified - New - COMG</v>
          </cell>
          <cell r="AU462">
            <v>27000.000000000004</v>
          </cell>
          <cell r="AV462">
            <v>0</v>
          </cell>
          <cell r="AW462">
            <v>0</v>
          </cell>
          <cell r="AX462">
            <v>0</v>
          </cell>
          <cell r="AZ462">
            <v>451</v>
          </cell>
          <cell r="BA462">
            <v>451</v>
          </cell>
          <cell r="BB462">
            <v>451</v>
          </cell>
        </row>
        <row r="463">
          <cell r="B463" t="str">
            <v>OPP-954044</v>
          </cell>
          <cell r="C463" t="str">
            <v>Caterpillar Wamego Process Services</v>
          </cell>
          <cell r="D463" t="str">
            <v>COMG</v>
          </cell>
          <cell r="E463" t="str">
            <v>Commercial O&amp;M</v>
          </cell>
          <cell r="F463" t="str">
            <v>Commercial</v>
          </cell>
          <cell r="G463" t="str">
            <v xml:space="preserve">Commercial </v>
          </cell>
          <cell r="H463">
            <v>43723</v>
          </cell>
          <cell r="I463">
            <v>43723</v>
          </cell>
          <cell r="J463">
            <v>44819</v>
          </cell>
          <cell r="K463" t="str">
            <v>Prime</v>
          </cell>
          <cell r="L463" t="str">
            <v>Cost Plus Fixed Fee</v>
          </cell>
          <cell r="M463" t="str">
            <v>Cost Reimbursable</v>
          </cell>
          <cell r="N463" t="str">
            <v>Identified - New</v>
          </cell>
          <cell r="O463" t="str">
            <v>03 Proposal</v>
          </cell>
          <cell r="P463" t="str">
            <v>Priority 3</v>
          </cell>
          <cell r="Q463">
            <v>0.5</v>
          </cell>
          <cell r="R463">
            <v>9000000</v>
          </cell>
          <cell r="S463">
            <v>0</v>
          </cell>
          <cell r="T463">
            <v>0.14166666666666666</v>
          </cell>
          <cell r="U463">
            <v>0.14166666666666666</v>
          </cell>
          <cell r="V463">
            <v>0.14166666666666666</v>
          </cell>
          <cell r="W463">
            <v>0.14166666666666666</v>
          </cell>
          <cell r="X463">
            <v>0</v>
          </cell>
          <cell r="Y463">
            <v>3.5000000000000003E-2</v>
          </cell>
          <cell r="Z463">
            <v>3.7500000000000006E-2</v>
          </cell>
          <cell r="AA463">
            <v>4.0000000000000008E-2</v>
          </cell>
          <cell r="AB463">
            <v>4.250000000000001E-2</v>
          </cell>
          <cell r="AC463">
            <v>3000000</v>
          </cell>
          <cell r="AD463">
            <v>0</v>
          </cell>
          <cell r="AE463">
            <v>1500000</v>
          </cell>
          <cell r="AF463">
            <v>1500000</v>
          </cell>
          <cell r="AG463">
            <v>1500000</v>
          </cell>
          <cell r="AH463">
            <v>0</v>
          </cell>
          <cell r="AI463">
            <v>0</v>
          </cell>
          <cell r="AJ463">
            <v>212500</v>
          </cell>
          <cell r="AK463">
            <v>212500</v>
          </cell>
          <cell r="AL463">
            <v>212500</v>
          </cell>
          <cell r="AM463">
            <v>0</v>
          </cell>
          <cell r="AN463">
            <v>0</v>
          </cell>
          <cell r="AO463">
            <v>52500.000000000007</v>
          </cell>
          <cell r="AP463">
            <v>56250.000000000007</v>
          </cell>
          <cell r="AQ463">
            <v>60000.000000000015</v>
          </cell>
          <cell r="AR463">
            <v>0</v>
          </cell>
          <cell r="AT463" t="str">
            <v>OPP-954044 - Identified - New - COMG</v>
          </cell>
          <cell r="AU463">
            <v>168750.00000000003</v>
          </cell>
          <cell r="AV463">
            <v>0</v>
          </cell>
          <cell r="AW463">
            <v>0</v>
          </cell>
          <cell r="AX463">
            <v>0</v>
          </cell>
          <cell r="AZ463">
            <v>452</v>
          </cell>
          <cell r="BA463">
            <v>452</v>
          </cell>
          <cell r="BB463">
            <v>452</v>
          </cell>
        </row>
        <row r="464">
          <cell r="B464" t="str">
            <v>OPP-896743</v>
          </cell>
          <cell r="C464" t="str">
            <v>Eaton - Mountain Home AR Maintenance</v>
          </cell>
          <cell r="D464" t="str">
            <v>COMG</v>
          </cell>
          <cell r="E464" t="str">
            <v>Commercial O&amp;M</v>
          </cell>
          <cell r="F464" t="str">
            <v>Commercial</v>
          </cell>
          <cell r="G464" t="str">
            <v xml:space="preserve">Commercial </v>
          </cell>
          <cell r="H464">
            <v>43724</v>
          </cell>
          <cell r="I464">
            <v>43724</v>
          </cell>
          <cell r="J464">
            <v>44820</v>
          </cell>
          <cell r="K464" t="str">
            <v>Prime</v>
          </cell>
          <cell r="L464" t="str">
            <v>Fixed Price</v>
          </cell>
          <cell r="M464" t="str">
            <v>Fixed Price</v>
          </cell>
          <cell r="N464" t="str">
            <v>Identified - New</v>
          </cell>
          <cell r="O464" t="str">
            <v>04 Submitted</v>
          </cell>
          <cell r="P464" t="str">
            <v>Priority 2</v>
          </cell>
          <cell r="Q464">
            <v>0.5</v>
          </cell>
          <cell r="R464">
            <v>18600000</v>
          </cell>
          <cell r="S464">
            <v>0</v>
          </cell>
          <cell r="T464">
            <v>0.14166666666666666</v>
          </cell>
          <cell r="U464">
            <v>0.14166666666666666</v>
          </cell>
          <cell r="V464">
            <v>0.14166666666666666</v>
          </cell>
          <cell r="W464">
            <v>0.14166666666666666</v>
          </cell>
          <cell r="X464">
            <v>0</v>
          </cell>
          <cell r="Y464">
            <v>3.6000000000000004E-2</v>
          </cell>
          <cell r="Z464">
            <v>4.0000000000000008E-2</v>
          </cell>
          <cell r="AA464">
            <v>4.5000000000000005E-2</v>
          </cell>
          <cell r="AB464">
            <v>5.000000000000001E-2</v>
          </cell>
          <cell r="AC464">
            <v>6200000</v>
          </cell>
          <cell r="AD464">
            <v>0</v>
          </cell>
          <cell r="AE464">
            <v>3100000</v>
          </cell>
          <cell r="AF464">
            <v>3100000</v>
          </cell>
          <cell r="AG464">
            <v>3100000</v>
          </cell>
          <cell r="AH464">
            <v>0</v>
          </cell>
          <cell r="AI464">
            <v>0</v>
          </cell>
          <cell r="AJ464">
            <v>439166.66666666663</v>
          </cell>
          <cell r="AK464">
            <v>439166.66666666663</v>
          </cell>
          <cell r="AL464">
            <v>439166.66666666663</v>
          </cell>
          <cell r="AM464">
            <v>0</v>
          </cell>
          <cell r="AN464">
            <v>0</v>
          </cell>
          <cell r="AO464">
            <v>111600.00000000001</v>
          </cell>
          <cell r="AP464">
            <v>124000.00000000003</v>
          </cell>
          <cell r="AQ464">
            <v>139500.00000000003</v>
          </cell>
          <cell r="AR464">
            <v>0</v>
          </cell>
          <cell r="AT464" t="str">
            <v>OPP-896743 - Identified - New - COMG</v>
          </cell>
          <cell r="AU464">
            <v>375100.00000000012</v>
          </cell>
          <cell r="AV464">
            <v>0</v>
          </cell>
          <cell r="AW464">
            <v>0</v>
          </cell>
          <cell r="AX464">
            <v>0</v>
          </cell>
          <cell r="AZ464">
            <v>453</v>
          </cell>
          <cell r="BA464">
            <v>453</v>
          </cell>
          <cell r="BB464">
            <v>453</v>
          </cell>
        </row>
        <row r="465">
          <cell r="B465" t="str">
            <v>OPP-911821</v>
          </cell>
          <cell r="C465" t="str">
            <v>Schneider - EAJ (IFM)</v>
          </cell>
          <cell r="D465" t="str">
            <v>COMG</v>
          </cell>
          <cell r="E465" t="str">
            <v>Commercial O&amp;M</v>
          </cell>
          <cell r="F465" t="str">
            <v>Commercial</v>
          </cell>
          <cell r="G465" t="str">
            <v xml:space="preserve">Commercial </v>
          </cell>
          <cell r="H465">
            <v>43745</v>
          </cell>
          <cell r="I465">
            <v>43745</v>
          </cell>
          <cell r="J465">
            <v>44841</v>
          </cell>
          <cell r="K465" t="str">
            <v>Prime</v>
          </cell>
          <cell r="L465" t="str">
            <v>Fixed Price - Negotiated</v>
          </cell>
          <cell r="M465" t="str">
            <v>Fixed Price</v>
          </cell>
          <cell r="N465" t="str">
            <v>Identified - New</v>
          </cell>
          <cell r="O465" t="str">
            <v>02 Capture</v>
          </cell>
          <cell r="P465" t="str">
            <v>Priority 3</v>
          </cell>
          <cell r="Q465">
            <v>0.25</v>
          </cell>
          <cell r="R465">
            <v>20000000</v>
          </cell>
          <cell r="S465">
            <v>0</v>
          </cell>
          <cell r="T465">
            <v>0.14166666666666666</v>
          </cell>
          <cell r="U465">
            <v>0.14166666666666666</v>
          </cell>
          <cell r="V465">
            <v>0.14166666666666666</v>
          </cell>
          <cell r="W465">
            <v>0.14166666666666666</v>
          </cell>
          <cell r="X465">
            <v>0</v>
          </cell>
          <cell r="Y465">
            <v>3.6000000000000004E-2</v>
          </cell>
          <cell r="Z465">
            <v>4.0000000000000008E-2</v>
          </cell>
          <cell r="AA465">
            <v>4.5000000000000005E-2</v>
          </cell>
          <cell r="AB465">
            <v>5.000000000000001E-2</v>
          </cell>
          <cell r="AC465">
            <v>6666666.666666667</v>
          </cell>
          <cell r="AD465">
            <v>0</v>
          </cell>
          <cell r="AE465">
            <v>1634259.2592592593</v>
          </cell>
          <cell r="AF465">
            <v>1666666.6666666667</v>
          </cell>
          <cell r="AG465">
            <v>1666666.6666666667</v>
          </cell>
          <cell r="AH465">
            <v>32407.407407406718</v>
          </cell>
          <cell r="AI465">
            <v>0</v>
          </cell>
          <cell r="AJ465">
            <v>231520.06172839506</v>
          </cell>
          <cell r="AK465">
            <v>236111.11111111112</v>
          </cell>
          <cell r="AL465">
            <v>236111.11111111112</v>
          </cell>
          <cell r="AM465">
            <v>4591.0493827159517</v>
          </cell>
          <cell r="AN465">
            <v>0</v>
          </cell>
          <cell r="AO465">
            <v>58833.333333333343</v>
          </cell>
          <cell r="AP465">
            <v>66666.666666666686</v>
          </cell>
          <cell r="AQ465">
            <v>75000.000000000015</v>
          </cell>
          <cell r="AR465">
            <v>1620.3703703703361</v>
          </cell>
          <cell r="AT465" t="str">
            <v>OPP-911821 - Identified - New - COMG</v>
          </cell>
          <cell r="AU465">
            <v>202120.37037037039</v>
          </cell>
          <cell r="AV465">
            <v>0</v>
          </cell>
          <cell r="AW465">
            <v>0</v>
          </cell>
          <cell r="AX465">
            <v>0</v>
          </cell>
          <cell r="AZ465">
            <v>454</v>
          </cell>
          <cell r="BA465">
            <v>454</v>
          </cell>
          <cell r="BB465">
            <v>454</v>
          </cell>
        </row>
        <row r="466">
          <cell r="B466" t="str">
            <v>OPP-844210</v>
          </cell>
          <cell r="C466" t="str">
            <v>Caterpillar Batam Indonesia</v>
          </cell>
          <cell r="D466" t="str">
            <v>COMG</v>
          </cell>
          <cell r="E466" t="str">
            <v>Commercial O&amp;M</v>
          </cell>
          <cell r="F466" t="str">
            <v>Commercial</v>
          </cell>
          <cell r="G466" t="str">
            <v xml:space="preserve">Commercial </v>
          </cell>
          <cell r="H466">
            <v>43801</v>
          </cell>
          <cell r="I466">
            <v>43801</v>
          </cell>
          <cell r="J466">
            <v>44897</v>
          </cell>
          <cell r="K466" t="str">
            <v>Prime</v>
          </cell>
          <cell r="L466" t="str">
            <v>Cost Plus Fixed Fee</v>
          </cell>
          <cell r="M466" t="str">
            <v>Cost Reimbursable</v>
          </cell>
          <cell r="N466" t="str">
            <v>Identified - New</v>
          </cell>
          <cell r="O466" t="str">
            <v>02 Capture</v>
          </cell>
          <cell r="P466" t="str">
            <v>Priority 3</v>
          </cell>
          <cell r="Q466">
            <v>0.35</v>
          </cell>
          <cell r="R466">
            <v>1500000</v>
          </cell>
          <cell r="S466">
            <v>0</v>
          </cell>
          <cell r="T466">
            <v>0.14166666666666666</v>
          </cell>
          <cell r="U466">
            <v>0.14166666666666666</v>
          </cell>
          <cell r="V466">
            <v>0.14166666666666666</v>
          </cell>
          <cell r="W466">
            <v>0.14166666666666666</v>
          </cell>
          <cell r="X466">
            <v>0</v>
          </cell>
          <cell r="Y466">
            <v>3.5000000000000003E-2</v>
          </cell>
          <cell r="Z466">
            <v>3.7500000000000006E-2</v>
          </cell>
          <cell r="AA466">
            <v>4.0000000000000008E-2</v>
          </cell>
          <cell r="AB466">
            <v>4.250000000000001E-2</v>
          </cell>
          <cell r="AC466">
            <v>500000</v>
          </cell>
          <cell r="AD466">
            <v>0</v>
          </cell>
          <cell r="AE466">
            <v>144861.11111111109</v>
          </cell>
          <cell r="AF466">
            <v>175000</v>
          </cell>
          <cell r="AG466">
            <v>175000</v>
          </cell>
          <cell r="AH466">
            <v>30138.888888888876</v>
          </cell>
          <cell r="AI466">
            <v>0</v>
          </cell>
          <cell r="AJ466">
            <v>20521.990740740737</v>
          </cell>
          <cell r="AK466">
            <v>24791.666666666664</v>
          </cell>
          <cell r="AL466">
            <v>24791.666666666664</v>
          </cell>
          <cell r="AM466">
            <v>4269.6759259259243</v>
          </cell>
          <cell r="AN466">
            <v>0</v>
          </cell>
          <cell r="AO466">
            <v>5070.1388888888887</v>
          </cell>
          <cell r="AP466">
            <v>6562.5000000000009</v>
          </cell>
          <cell r="AQ466">
            <v>7000.0000000000009</v>
          </cell>
          <cell r="AR466">
            <v>1280.9027777777776</v>
          </cell>
          <cell r="AT466" t="str">
            <v>OPP-844210 - Identified - New - COMG</v>
          </cell>
          <cell r="AU466">
            <v>19913.541666666668</v>
          </cell>
          <cell r="AV466">
            <v>0</v>
          </cell>
          <cell r="AW466">
            <v>0</v>
          </cell>
          <cell r="AX466">
            <v>0</v>
          </cell>
          <cell r="AZ466">
            <v>455</v>
          </cell>
          <cell r="BA466">
            <v>455</v>
          </cell>
          <cell r="BB466">
            <v>455</v>
          </cell>
        </row>
        <row r="467">
          <cell r="B467" t="str">
            <v>OPP-947680</v>
          </cell>
          <cell r="C467" t="str">
            <v>Pfizer Groton Utilities O&amp;M Staffing</v>
          </cell>
          <cell r="D467" t="str">
            <v>COMG</v>
          </cell>
          <cell r="E467" t="str">
            <v>Commercial O&amp;M</v>
          </cell>
          <cell r="F467" t="str">
            <v>Commercial</v>
          </cell>
          <cell r="G467" t="str">
            <v xml:space="preserve">Commercial </v>
          </cell>
          <cell r="H467">
            <v>43723</v>
          </cell>
          <cell r="I467">
            <v>43814</v>
          </cell>
          <cell r="J467">
            <v>44910</v>
          </cell>
          <cell r="K467" t="str">
            <v>Prime</v>
          </cell>
          <cell r="L467" t="str">
            <v>Fixed Price</v>
          </cell>
          <cell r="M467" t="str">
            <v>Fixed Price</v>
          </cell>
          <cell r="N467" t="str">
            <v>Identified - New</v>
          </cell>
          <cell r="O467" t="str">
            <v>05 Awarded/Won</v>
          </cell>
          <cell r="P467" t="str">
            <v>Priority 3</v>
          </cell>
          <cell r="Q467">
            <v>1</v>
          </cell>
          <cell r="R467">
            <v>3700000</v>
          </cell>
          <cell r="S467">
            <v>0</v>
          </cell>
          <cell r="T467">
            <v>0.14166666666666666</v>
          </cell>
          <cell r="U467">
            <v>0.14166666666666666</v>
          </cell>
          <cell r="V467">
            <v>0.14166666666666666</v>
          </cell>
          <cell r="W467">
            <v>0.14166666666666666</v>
          </cell>
          <cell r="X467">
            <v>0</v>
          </cell>
          <cell r="Y467">
            <v>3.6000000000000004E-2</v>
          </cell>
          <cell r="Z467">
            <v>4.0000000000000008E-2</v>
          </cell>
          <cell r="AA467">
            <v>4.5000000000000005E-2</v>
          </cell>
          <cell r="AB467">
            <v>5.000000000000001E-2</v>
          </cell>
          <cell r="AC467">
            <v>1233333.3333333333</v>
          </cell>
          <cell r="AD467">
            <v>0</v>
          </cell>
          <cell r="AE467">
            <v>976388.88888888876</v>
          </cell>
          <cell r="AF467">
            <v>1233333.3333333333</v>
          </cell>
          <cell r="AG467">
            <v>1233333.3333333333</v>
          </cell>
          <cell r="AH467">
            <v>256944.44444444496</v>
          </cell>
          <cell r="AI467">
            <v>0</v>
          </cell>
          <cell r="AJ467">
            <v>138321.75925925924</v>
          </cell>
          <cell r="AK467">
            <v>174722.22222222222</v>
          </cell>
          <cell r="AL467">
            <v>174722.22222222222</v>
          </cell>
          <cell r="AM467">
            <v>36400.462962963036</v>
          </cell>
          <cell r="AN467">
            <v>0</v>
          </cell>
          <cell r="AO467">
            <v>35150</v>
          </cell>
          <cell r="AP467">
            <v>49333.333333333343</v>
          </cell>
          <cell r="AQ467">
            <v>55500</v>
          </cell>
          <cell r="AR467">
            <v>12847.22222222225</v>
          </cell>
          <cell r="AT467" t="str">
            <v>OPP-947680 - Identified - New - COMG</v>
          </cell>
          <cell r="AU467">
            <v>152830.55555555559</v>
          </cell>
          <cell r="AV467">
            <v>0</v>
          </cell>
          <cell r="AW467">
            <v>0</v>
          </cell>
          <cell r="AX467">
            <v>0</v>
          </cell>
          <cell r="AZ467">
            <v>456</v>
          </cell>
          <cell r="BA467">
            <v>456</v>
          </cell>
          <cell r="BB467">
            <v>456</v>
          </cell>
        </row>
        <row r="468">
          <cell r="B468" t="str">
            <v>OPP-925113</v>
          </cell>
          <cell r="C468" t="str">
            <v>Caterpillar - Multiple Sites, Preliminary Pricing Exercise</v>
          </cell>
          <cell r="D468" t="str">
            <v>COMG</v>
          </cell>
          <cell r="E468" t="str">
            <v>Commercial O&amp;M</v>
          </cell>
          <cell r="F468" t="str">
            <v>Commercial</v>
          </cell>
          <cell r="G468" t="str">
            <v xml:space="preserve">Commercial </v>
          </cell>
          <cell r="H468">
            <v>43862</v>
          </cell>
          <cell r="I468">
            <v>43862</v>
          </cell>
          <cell r="J468">
            <v>44958</v>
          </cell>
          <cell r="K468" t="str">
            <v>Prime</v>
          </cell>
          <cell r="L468" t="str">
            <v>Cost Plus Fixed Fee</v>
          </cell>
          <cell r="M468" t="str">
            <v>Cost Reimbursable</v>
          </cell>
          <cell r="N468" t="str">
            <v>Identified - New</v>
          </cell>
          <cell r="O468" t="str">
            <v>04 Submitted</v>
          </cell>
          <cell r="P468" t="str">
            <v>Priority 2</v>
          </cell>
          <cell r="Q468">
            <v>0.25</v>
          </cell>
          <cell r="R468">
            <v>66000000</v>
          </cell>
          <cell r="S468">
            <v>0</v>
          </cell>
          <cell r="T468">
            <v>0.14166666666666666</v>
          </cell>
          <cell r="U468">
            <v>0.14166666666666666</v>
          </cell>
          <cell r="V468">
            <v>0.14166666666666666</v>
          </cell>
          <cell r="W468">
            <v>0.14166666666666666</v>
          </cell>
          <cell r="X468">
            <v>0</v>
          </cell>
          <cell r="Y468">
            <v>3.5000000000000003E-2</v>
          </cell>
          <cell r="Z468">
            <v>3.7500000000000006E-2</v>
          </cell>
          <cell r="AA468">
            <v>4.0000000000000008E-2</v>
          </cell>
          <cell r="AB468">
            <v>4.250000000000001E-2</v>
          </cell>
          <cell r="AC468">
            <v>22000000</v>
          </cell>
          <cell r="AD468">
            <v>0</v>
          </cell>
          <cell r="AE468">
            <v>3651388.8888888885</v>
          </cell>
          <cell r="AF468">
            <v>5500000</v>
          </cell>
          <cell r="AG468">
            <v>5500000</v>
          </cell>
          <cell r="AH468">
            <v>1848611.1111111119</v>
          </cell>
          <cell r="AI468">
            <v>0</v>
          </cell>
          <cell r="AJ468">
            <v>517280.09259259253</v>
          </cell>
          <cell r="AK468">
            <v>779166.66666666663</v>
          </cell>
          <cell r="AL468">
            <v>779166.66666666663</v>
          </cell>
          <cell r="AM468">
            <v>261886.57407407419</v>
          </cell>
          <cell r="AN468">
            <v>0</v>
          </cell>
          <cell r="AO468">
            <v>127798.61111111111</v>
          </cell>
          <cell r="AP468">
            <v>206250.00000000003</v>
          </cell>
          <cell r="AQ468">
            <v>220000.00000000003</v>
          </cell>
          <cell r="AR468">
            <v>78565.972222222277</v>
          </cell>
          <cell r="AT468" t="str">
            <v>OPP-925113 - Identified - New - COMG</v>
          </cell>
          <cell r="AU468">
            <v>632614.58333333337</v>
          </cell>
          <cell r="AV468">
            <v>0</v>
          </cell>
          <cell r="AW468">
            <v>0</v>
          </cell>
          <cell r="AX468">
            <v>0</v>
          </cell>
          <cell r="AZ468">
            <v>457</v>
          </cell>
          <cell r="BA468">
            <v>457</v>
          </cell>
          <cell r="BB468">
            <v>457</v>
          </cell>
        </row>
        <row r="469">
          <cell r="B469" t="str">
            <v>OPP-706355</v>
          </cell>
          <cell r="C469" t="str">
            <v>Unilever IFM</v>
          </cell>
          <cell r="D469" t="str">
            <v>COMG</v>
          </cell>
          <cell r="E469" t="str">
            <v>Commercial O&amp;M</v>
          </cell>
          <cell r="F469" t="str">
            <v>Commercial</v>
          </cell>
          <cell r="G469" t="str">
            <v xml:space="preserve">Commercial </v>
          </cell>
          <cell r="H469">
            <v>43952</v>
          </cell>
          <cell r="I469">
            <v>43952</v>
          </cell>
          <cell r="J469">
            <v>45047</v>
          </cell>
          <cell r="K469" t="str">
            <v>Prime</v>
          </cell>
          <cell r="L469" t="str">
            <v>Hybrid/Mixed Cost-Plus/Fixed</v>
          </cell>
          <cell r="M469" t="str">
            <v>Other</v>
          </cell>
          <cell r="N469" t="str">
            <v>Identified - New</v>
          </cell>
          <cell r="O469" t="str">
            <v>02 Capture</v>
          </cell>
          <cell r="P469" t="str">
            <v>Priority 2</v>
          </cell>
          <cell r="Q469">
            <v>0.15</v>
          </cell>
          <cell r="R469">
            <v>45000000</v>
          </cell>
          <cell r="S469">
            <v>0</v>
          </cell>
          <cell r="T469">
            <v>0.14166666666666666</v>
          </cell>
          <cell r="U469">
            <v>0.14166666666666666</v>
          </cell>
          <cell r="V469">
            <v>0.14166666666666666</v>
          </cell>
          <cell r="W469">
            <v>0.14166666666666666</v>
          </cell>
          <cell r="X469">
            <v>0</v>
          </cell>
          <cell r="Y469">
            <v>3.5000000000000003E-2</v>
          </cell>
          <cell r="Z469">
            <v>3.7500000000000006E-2</v>
          </cell>
          <cell r="AA469">
            <v>4.0000000000000008E-2</v>
          </cell>
          <cell r="AB469">
            <v>4.250000000000001E-2</v>
          </cell>
          <cell r="AC469">
            <v>15000000</v>
          </cell>
          <cell r="AD469">
            <v>0</v>
          </cell>
          <cell r="AE469">
            <v>931249.99999999988</v>
          </cell>
          <cell r="AF469">
            <v>2250000</v>
          </cell>
          <cell r="AG469">
            <v>2250000</v>
          </cell>
          <cell r="AH469">
            <v>1318750</v>
          </cell>
          <cell r="AI469">
            <v>0</v>
          </cell>
          <cell r="AJ469">
            <v>131927.08333333331</v>
          </cell>
          <cell r="AK469">
            <v>318750</v>
          </cell>
          <cell r="AL469">
            <v>318750</v>
          </cell>
          <cell r="AM469">
            <v>186822.91666666666</v>
          </cell>
          <cell r="AN469">
            <v>0</v>
          </cell>
          <cell r="AO469">
            <v>32593.75</v>
          </cell>
          <cell r="AP469">
            <v>84375.000000000015</v>
          </cell>
          <cell r="AQ469">
            <v>90000.000000000015</v>
          </cell>
          <cell r="AR469">
            <v>56046.875000000015</v>
          </cell>
          <cell r="AT469" t="str">
            <v>OPP-706355 - Identified - New - COMG</v>
          </cell>
          <cell r="AU469">
            <v>263015.62500000006</v>
          </cell>
          <cell r="AV469">
            <v>0</v>
          </cell>
          <cell r="AW469">
            <v>0</v>
          </cell>
          <cell r="AX469">
            <v>0</v>
          </cell>
          <cell r="AZ469">
            <v>458</v>
          </cell>
          <cell r="BA469">
            <v>458</v>
          </cell>
          <cell r="BB469">
            <v>458</v>
          </cell>
        </row>
        <row r="470">
          <cell r="B470" t="str">
            <v>OPP-823820</v>
          </cell>
          <cell r="C470" t="str">
            <v>Novartis FM</v>
          </cell>
          <cell r="D470" t="str">
            <v>COMG</v>
          </cell>
          <cell r="E470" t="str">
            <v>Commercial O&amp;M</v>
          </cell>
          <cell r="F470" t="str">
            <v>Commercial</v>
          </cell>
          <cell r="G470" t="str">
            <v xml:space="preserve">Commercial </v>
          </cell>
          <cell r="H470">
            <v>44012</v>
          </cell>
          <cell r="I470">
            <v>44012</v>
          </cell>
          <cell r="J470">
            <v>45838</v>
          </cell>
          <cell r="K470" t="str">
            <v>Prime</v>
          </cell>
          <cell r="L470" t="str">
            <v>Cost Plus Fixed Fee</v>
          </cell>
          <cell r="M470" t="str">
            <v>Cost Reimbursable</v>
          </cell>
          <cell r="N470" t="str">
            <v>Identified - New</v>
          </cell>
          <cell r="O470" t="str">
            <v>03 Proposal</v>
          </cell>
          <cell r="P470" t="str">
            <v>Priority 3</v>
          </cell>
          <cell r="Q470">
            <v>0.15</v>
          </cell>
          <cell r="R470">
            <v>1000000</v>
          </cell>
          <cell r="S470">
            <v>0</v>
          </cell>
          <cell r="T470">
            <v>0.14166666666666666</v>
          </cell>
          <cell r="U470">
            <v>0.14166666666666666</v>
          </cell>
          <cell r="V470">
            <v>0.14166666666666666</v>
          </cell>
          <cell r="W470">
            <v>0.14166666666666666</v>
          </cell>
          <cell r="X470">
            <v>0</v>
          </cell>
          <cell r="Y470">
            <v>3.5000000000000003E-2</v>
          </cell>
          <cell r="Z470">
            <v>3.7500000000000006E-2</v>
          </cell>
          <cell r="AA470">
            <v>4.0000000000000008E-2</v>
          </cell>
          <cell r="AB470">
            <v>4.250000000000001E-2</v>
          </cell>
          <cell r="AC470">
            <v>200000</v>
          </cell>
          <cell r="AD470">
            <v>0</v>
          </cell>
          <cell r="AE470">
            <v>7500</v>
          </cell>
          <cell r="AF470">
            <v>30000</v>
          </cell>
          <cell r="AG470">
            <v>30000</v>
          </cell>
          <cell r="AH470">
            <v>30000</v>
          </cell>
          <cell r="AI470">
            <v>0</v>
          </cell>
          <cell r="AJ470">
            <v>1062.5</v>
          </cell>
          <cell r="AK470">
            <v>4250</v>
          </cell>
          <cell r="AL470">
            <v>4250</v>
          </cell>
          <cell r="AM470">
            <v>4250</v>
          </cell>
          <cell r="AN470">
            <v>0</v>
          </cell>
          <cell r="AO470">
            <v>262.5</v>
          </cell>
          <cell r="AP470">
            <v>1125.0000000000002</v>
          </cell>
          <cell r="AQ470">
            <v>1200.0000000000002</v>
          </cell>
          <cell r="AR470">
            <v>1275.0000000000002</v>
          </cell>
          <cell r="AT470" t="str">
            <v>OPP-823820 - Identified - New - COMG</v>
          </cell>
          <cell r="AU470">
            <v>3862.5000000000009</v>
          </cell>
          <cell r="AV470">
            <v>0</v>
          </cell>
          <cell r="AW470">
            <v>0</v>
          </cell>
          <cell r="AX470">
            <v>0</v>
          </cell>
          <cell r="AZ470">
            <v>459</v>
          </cell>
          <cell r="BA470">
            <v>459</v>
          </cell>
          <cell r="BB470">
            <v>459</v>
          </cell>
        </row>
        <row r="471">
          <cell r="B471" t="str">
            <v>OPP-818083</v>
          </cell>
          <cell r="C471" t="str">
            <v>PMC Group IFM - Memphis</v>
          </cell>
          <cell r="D471" t="str">
            <v>COMG</v>
          </cell>
          <cell r="E471" t="str">
            <v>Commercial O&amp;M</v>
          </cell>
          <cell r="F471" t="str">
            <v>Commercial</v>
          </cell>
          <cell r="G471" t="str">
            <v xml:space="preserve">Commercial </v>
          </cell>
          <cell r="H471">
            <v>44013</v>
          </cell>
          <cell r="I471">
            <v>44013</v>
          </cell>
          <cell r="J471">
            <v>45108</v>
          </cell>
          <cell r="K471" t="str">
            <v>Prime</v>
          </cell>
          <cell r="L471" t="str">
            <v>Cost Plus Incentive Fee</v>
          </cell>
          <cell r="M471" t="str">
            <v>Cost Reimbursable</v>
          </cell>
          <cell r="N471" t="str">
            <v>Identified - New</v>
          </cell>
          <cell r="O471" t="str">
            <v>02 Capture</v>
          </cell>
          <cell r="P471" t="str">
            <v>Priority 3</v>
          </cell>
          <cell r="Q471">
            <v>0.15</v>
          </cell>
          <cell r="R471">
            <v>30000000</v>
          </cell>
          <cell r="S471">
            <v>0</v>
          </cell>
          <cell r="T471">
            <v>0.14166666666666666</v>
          </cell>
          <cell r="U471">
            <v>0.14166666666666666</v>
          </cell>
          <cell r="V471">
            <v>0.14166666666666666</v>
          </cell>
          <cell r="W471">
            <v>0.14166666666666666</v>
          </cell>
          <cell r="X471">
            <v>0</v>
          </cell>
          <cell r="Y471">
            <v>3.5000000000000003E-2</v>
          </cell>
          <cell r="Z471">
            <v>3.7500000000000006E-2</v>
          </cell>
          <cell r="AA471">
            <v>4.0000000000000008E-2</v>
          </cell>
          <cell r="AB471">
            <v>4.250000000000001E-2</v>
          </cell>
          <cell r="AC471">
            <v>10000000</v>
          </cell>
          <cell r="AD471">
            <v>0</v>
          </cell>
          <cell r="AE471">
            <v>370833.33333333337</v>
          </cell>
          <cell r="AF471">
            <v>1500000</v>
          </cell>
          <cell r="AG471">
            <v>1500000</v>
          </cell>
          <cell r="AH471">
            <v>1129166.6666666665</v>
          </cell>
          <cell r="AI471">
            <v>0</v>
          </cell>
          <cell r="AJ471">
            <v>52534.722222222226</v>
          </cell>
          <cell r="AK471">
            <v>212500</v>
          </cell>
          <cell r="AL471">
            <v>212500</v>
          </cell>
          <cell r="AM471">
            <v>159965.27777777775</v>
          </cell>
          <cell r="AN471">
            <v>0</v>
          </cell>
          <cell r="AO471">
            <v>12979.16666666667</v>
          </cell>
          <cell r="AP471">
            <v>56250.000000000007</v>
          </cell>
          <cell r="AQ471">
            <v>60000.000000000015</v>
          </cell>
          <cell r="AR471">
            <v>47989.583333333336</v>
          </cell>
          <cell r="AT471" t="str">
            <v>OPP-818083 - Identified - New - COMG</v>
          </cell>
          <cell r="AU471">
            <v>177218.75000000003</v>
          </cell>
          <cell r="AV471">
            <v>0</v>
          </cell>
          <cell r="AW471">
            <v>0</v>
          </cell>
          <cell r="AX471">
            <v>0</v>
          </cell>
          <cell r="AZ471">
            <v>460</v>
          </cell>
          <cell r="BA471">
            <v>460</v>
          </cell>
          <cell r="BB471">
            <v>460</v>
          </cell>
        </row>
        <row r="472">
          <cell r="B472" t="str">
            <v>OPP-852591</v>
          </cell>
          <cell r="C472" t="str">
            <v>GE Aviation - Batesville MS IFM</v>
          </cell>
          <cell r="D472" t="str">
            <v>COMG</v>
          </cell>
          <cell r="E472" t="str">
            <v>Commercial O&amp;M</v>
          </cell>
          <cell r="F472" t="str">
            <v>Commercial</v>
          </cell>
          <cell r="G472" t="str">
            <v xml:space="preserve">Commercial </v>
          </cell>
          <cell r="H472">
            <v>44166</v>
          </cell>
          <cell r="I472">
            <v>44166</v>
          </cell>
          <cell r="J472">
            <v>45261</v>
          </cell>
          <cell r="K472" t="str">
            <v>Prime</v>
          </cell>
          <cell r="L472" t="str">
            <v>Fixed Price</v>
          </cell>
          <cell r="M472" t="str">
            <v>Fixed Price</v>
          </cell>
          <cell r="N472" t="str">
            <v>Identified - New</v>
          </cell>
          <cell r="O472" t="str">
            <v>01 Prospect</v>
          </cell>
          <cell r="P472" t="str">
            <v>Priority 3</v>
          </cell>
          <cell r="Q472">
            <v>0.5</v>
          </cell>
          <cell r="R472">
            <v>6000000</v>
          </cell>
          <cell r="S472">
            <v>0</v>
          </cell>
          <cell r="T472">
            <v>0.14166666666666666</v>
          </cell>
          <cell r="U472">
            <v>0.14166666666666666</v>
          </cell>
          <cell r="V472">
            <v>0.14166666666666666</v>
          </cell>
          <cell r="W472">
            <v>0.14166666666666666</v>
          </cell>
          <cell r="X472">
            <v>0</v>
          </cell>
          <cell r="Y472">
            <v>3.6000000000000004E-2</v>
          </cell>
          <cell r="Z472">
            <v>4.0000000000000008E-2</v>
          </cell>
          <cell r="AA472">
            <v>4.5000000000000005E-2</v>
          </cell>
          <cell r="AB472">
            <v>5.000000000000001E-2</v>
          </cell>
          <cell r="AC472">
            <v>2000000</v>
          </cell>
          <cell r="AD472">
            <v>0</v>
          </cell>
          <cell r="AE472">
            <v>0</v>
          </cell>
          <cell r="AF472">
            <v>830555.55555555562</v>
          </cell>
          <cell r="AG472">
            <v>1000000</v>
          </cell>
          <cell r="AH472">
            <v>1000000</v>
          </cell>
          <cell r="AI472">
            <v>0</v>
          </cell>
          <cell r="AJ472">
            <v>0</v>
          </cell>
          <cell r="AK472">
            <v>117662.03703703704</v>
          </cell>
          <cell r="AL472">
            <v>141666.66666666666</v>
          </cell>
          <cell r="AM472">
            <v>141666.66666666666</v>
          </cell>
          <cell r="AN472">
            <v>0</v>
          </cell>
          <cell r="AO472">
            <v>0</v>
          </cell>
          <cell r="AP472">
            <v>33222.222222222234</v>
          </cell>
          <cell r="AQ472">
            <v>45000.000000000007</v>
          </cell>
          <cell r="AR472">
            <v>50000.000000000007</v>
          </cell>
          <cell r="AT472" t="str">
            <v>OPP-852591 - Identified - New - COMG</v>
          </cell>
          <cell r="AU472">
            <v>128222.22222222225</v>
          </cell>
          <cell r="AV472">
            <v>0</v>
          </cell>
          <cell r="AW472">
            <v>0</v>
          </cell>
          <cell r="AX472">
            <v>0</v>
          </cell>
          <cell r="AZ472">
            <v>461</v>
          </cell>
          <cell r="BA472">
            <v>461</v>
          </cell>
          <cell r="BB472">
            <v>461</v>
          </cell>
        </row>
        <row r="473">
          <cell r="B473" t="str">
            <v>OPP-852603</v>
          </cell>
          <cell r="C473" t="str">
            <v>GE Power - Wilmington NC IFM</v>
          </cell>
          <cell r="D473" t="str">
            <v>COMG</v>
          </cell>
          <cell r="E473" t="str">
            <v>Commercial O&amp;M</v>
          </cell>
          <cell r="F473" t="str">
            <v>Commercial</v>
          </cell>
          <cell r="G473" t="str">
            <v xml:space="preserve">Commercial </v>
          </cell>
          <cell r="H473">
            <v>44166</v>
          </cell>
          <cell r="I473">
            <v>44166</v>
          </cell>
          <cell r="J473">
            <v>45261</v>
          </cell>
          <cell r="K473" t="str">
            <v>Prime</v>
          </cell>
          <cell r="L473" t="str">
            <v>Fixed Price</v>
          </cell>
          <cell r="M473" t="str">
            <v>Fixed Price</v>
          </cell>
          <cell r="N473" t="str">
            <v>Identified - New</v>
          </cell>
          <cell r="O473" t="str">
            <v>01 Prospect</v>
          </cell>
          <cell r="P473" t="str">
            <v>Priority 3</v>
          </cell>
          <cell r="Q473">
            <v>0.25</v>
          </cell>
          <cell r="R473">
            <v>4500000</v>
          </cell>
          <cell r="S473">
            <v>0</v>
          </cell>
          <cell r="T473">
            <v>0.14166666666666666</v>
          </cell>
          <cell r="U473">
            <v>0.14166666666666666</v>
          </cell>
          <cell r="V473">
            <v>0.14166666666666666</v>
          </cell>
          <cell r="W473">
            <v>0.14166666666666666</v>
          </cell>
          <cell r="X473">
            <v>0</v>
          </cell>
          <cell r="Y473">
            <v>3.6000000000000004E-2</v>
          </cell>
          <cell r="Z473">
            <v>4.0000000000000008E-2</v>
          </cell>
          <cell r="AA473">
            <v>4.5000000000000005E-2</v>
          </cell>
          <cell r="AB473">
            <v>5.000000000000001E-2</v>
          </cell>
          <cell r="AC473">
            <v>1500000</v>
          </cell>
          <cell r="AD473">
            <v>0</v>
          </cell>
          <cell r="AE473">
            <v>0</v>
          </cell>
          <cell r="AF473">
            <v>311458.33333333337</v>
          </cell>
          <cell r="AG473">
            <v>375000</v>
          </cell>
          <cell r="AH473">
            <v>375000</v>
          </cell>
          <cell r="AI473">
            <v>0</v>
          </cell>
          <cell r="AJ473">
            <v>0</v>
          </cell>
          <cell r="AK473">
            <v>44123.263888888891</v>
          </cell>
          <cell r="AL473">
            <v>53125</v>
          </cell>
          <cell r="AM473">
            <v>53125</v>
          </cell>
          <cell r="AN473">
            <v>0</v>
          </cell>
          <cell r="AO473">
            <v>0</v>
          </cell>
          <cell r="AP473">
            <v>12458.333333333338</v>
          </cell>
          <cell r="AQ473">
            <v>16875.000000000004</v>
          </cell>
          <cell r="AR473">
            <v>18750.000000000004</v>
          </cell>
          <cell r="AT473" t="str">
            <v>OPP-852603 - Identified - New - COMG</v>
          </cell>
          <cell r="AU473">
            <v>48083.333333333343</v>
          </cell>
          <cell r="AV473">
            <v>0</v>
          </cell>
          <cell r="AW473">
            <v>0</v>
          </cell>
          <cell r="AX473">
            <v>0</v>
          </cell>
          <cell r="AZ473">
            <v>462</v>
          </cell>
          <cell r="BA473">
            <v>462</v>
          </cell>
          <cell r="BB473">
            <v>462</v>
          </cell>
        </row>
        <row r="474">
          <cell r="B474" t="str">
            <v>OPP-838683</v>
          </cell>
          <cell r="C474" t="str">
            <v>Olin Brass</v>
          </cell>
          <cell r="D474" t="str">
            <v>COMG</v>
          </cell>
          <cell r="E474" t="str">
            <v>Commercial O&amp;M</v>
          </cell>
          <cell r="F474" t="str">
            <v>Commercial</v>
          </cell>
          <cell r="G474" t="str">
            <v xml:space="preserve">Commercial </v>
          </cell>
          <cell r="H474">
            <v>44382</v>
          </cell>
          <cell r="I474">
            <v>44382</v>
          </cell>
          <cell r="J474">
            <v>45478</v>
          </cell>
          <cell r="K474" t="str">
            <v>Prime</v>
          </cell>
          <cell r="L474" t="str">
            <v>Fixed Price</v>
          </cell>
          <cell r="M474" t="str">
            <v>Fixed Price</v>
          </cell>
          <cell r="N474" t="str">
            <v>Identified - New</v>
          </cell>
          <cell r="O474" t="str">
            <v>02 Capture</v>
          </cell>
          <cell r="P474" t="str">
            <v>Priority 3</v>
          </cell>
          <cell r="Q474">
            <v>0.5</v>
          </cell>
          <cell r="R474">
            <v>9000000</v>
          </cell>
          <cell r="S474">
            <v>0</v>
          </cell>
          <cell r="T474">
            <v>0.14166666666666666</v>
          </cell>
          <cell r="U474">
            <v>0.14166666666666666</v>
          </cell>
          <cell r="V474">
            <v>0.14166666666666666</v>
          </cell>
          <cell r="W474">
            <v>0.14166666666666666</v>
          </cell>
          <cell r="X474">
            <v>0</v>
          </cell>
          <cell r="Y474">
            <v>3.6000000000000004E-2</v>
          </cell>
          <cell r="Z474">
            <v>4.0000000000000008E-2</v>
          </cell>
          <cell r="AA474">
            <v>4.5000000000000005E-2</v>
          </cell>
          <cell r="AB474">
            <v>5.000000000000001E-2</v>
          </cell>
          <cell r="AC474">
            <v>3000000</v>
          </cell>
          <cell r="AD474">
            <v>0</v>
          </cell>
          <cell r="AE474">
            <v>0</v>
          </cell>
          <cell r="AF474">
            <v>354166.66666666669</v>
          </cell>
          <cell r="AG474">
            <v>1500000</v>
          </cell>
          <cell r="AH474">
            <v>1500000</v>
          </cell>
          <cell r="AI474">
            <v>0</v>
          </cell>
          <cell r="AJ474">
            <v>0</v>
          </cell>
          <cell r="AK474">
            <v>50173.611111111109</v>
          </cell>
          <cell r="AL474">
            <v>212500</v>
          </cell>
          <cell r="AM474">
            <v>212500</v>
          </cell>
          <cell r="AN474">
            <v>0</v>
          </cell>
          <cell r="AO474">
            <v>0</v>
          </cell>
          <cell r="AP474">
            <v>14166.66666666667</v>
          </cell>
          <cell r="AQ474">
            <v>67500.000000000015</v>
          </cell>
          <cell r="AR474">
            <v>75000.000000000015</v>
          </cell>
          <cell r="AT474" t="str">
            <v>OPP-838683 - Identified - New - COMG</v>
          </cell>
          <cell r="AU474">
            <v>156666.66666666669</v>
          </cell>
          <cell r="AV474">
            <v>0</v>
          </cell>
          <cell r="AW474">
            <v>0</v>
          </cell>
          <cell r="AX474">
            <v>0</v>
          </cell>
          <cell r="AZ474">
            <v>463</v>
          </cell>
          <cell r="BA474">
            <v>463</v>
          </cell>
          <cell r="BB474">
            <v>463</v>
          </cell>
        </row>
        <row r="475">
          <cell r="AT475" t="str">
            <v xml:space="preserve"> -  - </v>
          </cell>
        </row>
        <row r="476">
          <cell r="B476" t="str">
            <v>MR Logistics &amp; Supply - Identified - New</v>
          </cell>
          <cell r="C476" t="str">
            <v>Logistics &amp; Supply</v>
          </cell>
          <cell r="D476" t="str">
            <v>MR</v>
          </cell>
          <cell r="E476" t="str">
            <v>MR Logistics &amp; Supply</v>
          </cell>
          <cell r="N476" t="str">
            <v>Identified - New</v>
          </cell>
          <cell r="AD476">
            <v>0</v>
          </cell>
          <cell r="AE476">
            <v>70069903.869619653</v>
          </cell>
          <cell r="AF476">
            <v>172308768.77873138</v>
          </cell>
          <cell r="AG476">
            <v>185147823.66907692</v>
          </cell>
          <cell r="AH476">
            <v>189954322.32188693</v>
          </cell>
          <cell r="AI476">
            <v>0</v>
          </cell>
          <cell r="AJ476">
            <v>10181550.687178612</v>
          </cell>
          <cell r="AK476">
            <v>24988197.631130978</v>
          </cell>
          <cell r="AL476">
            <v>27572861.682758674</v>
          </cell>
          <cell r="AM476">
            <v>28666027.765444726</v>
          </cell>
          <cell r="AN476">
            <v>0</v>
          </cell>
          <cell r="AO476">
            <v>3428161.472331007</v>
          </cell>
          <cell r="AP476">
            <v>8035971.2440743772</v>
          </cell>
          <cell r="AQ476">
            <v>9058779.9324772917</v>
          </cell>
          <cell r="AR476">
            <v>9569565.2017911226</v>
          </cell>
          <cell r="AT476" t="str">
            <v>MR Logistics &amp; Supply - Identified - New - Identified - New - MR</v>
          </cell>
        </row>
        <row r="477">
          <cell r="B477" t="str">
            <v>MR Logistics &amp; Supply - Unidentified - New</v>
          </cell>
          <cell r="C477" t="str">
            <v>Logistics &amp; Supply</v>
          </cell>
          <cell r="D477" t="str">
            <v>MR</v>
          </cell>
          <cell r="E477" t="str">
            <v>MR Logistics &amp; Supply</v>
          </cell>
          <cell r="N477" t="str">
            <v>Unidentified - New</v>
          </cell>
          <cell r="S477">
            <v>0.20464138457393208</v>
          </cell>
          <cell r="T477">
            <v>0.20464138457393208</v>
          </cell>
          <cell r="U477">
            <v>0.20464138457393208</v>
          </cell>
          <cell r="V477">
            <v>0.20464138457393208</v>
          </cell>
          <cell r="W477">
            <v>0.20464138457393208</v>
          </cell>
          <cell r="X477">
            <v>9.5276732791524113E-2</v>
          </cell>
          <cell r="Y477">
            <v>0.1</v>
          </cell>
          <cell r="Z477">
            <v>0.10249999999999999</v>
          </cell>
          <cell r="AA477">
            <v>0.105</v>
          </cell>
          <cell r="AB477">
            <v>0.1075</v>
          </cell>
          <cell r="AD477">
            <v>0</v>
          </cell>
          <cell r="AE477">
            <v>0</v>
          </cell>
          <cell r="AF477">
            <v>0</v>
          </cell>
          <cell r="AG477">
            <v>50000000</v>
          </cell>
          <cell r="AH477">
            <v>75000000</v>
          </cell>
          <cell r="AI477">
            <v>0</v>
          </cell>
          <cell r="AJ477">
            <v>0</v>
          </cell>
          <cell r="AK477">
            <v>0</v>
          </cell>
          <cell r="AL477">
            <v>10232069.228696603</v>
          </cell>
          <cell r="AM477">
            <v>15348103.843044905</v>
          </cell>
          <cell r="AN477">
            <v>0</v>
          </cell>
          <cell r="AO477">
            <v>0</v>
          </cell>
          <cell r="AP477">
            <v>0</v>
          </cell>
          <cell r="AQ477">
            <v>5250000</v>
          </cell>
          <cell r="AR477">
            <v>8062500</v>
          </cell>
          <cell r="AT477" t="str">
            <v>MR Logistics &amp; Supply - Unidentified - New - Unidentified - New - MR</v>
          </cell>
        </row>
        <row r="478">
          <cell r="B478" t="str">
            <v>MR Maintenance &amp; Sustainment - Identified - New</v>
          </cell>
          <cell r="C478" t="str">
            <v>Maintenance &amp; Sustainment</v>
          </cell>
          <cell r="D478" t="str">
            <v>MR</v>
          </cell>
          <cell r="E478" t="str">
            <v>MR Maintenance &amp; Sustainment</v>
          </cell>
          <cell r="N478" t="str">
            <v>Identified - New</v>
          </cell>
          <cell r="AD478">
            <v>0</v>
          </cell>
          <cell r="AE478">
            <v>122766737.678868</v>
          </cell>
          <cell r="AF478">
            <v>203082990.3445085</v>
          </cell>
          <cell r="AG478">
            <v>212585879.23339739</v>
          </cell>
          <cell r="AH478">
            <v>142043055.15932333</v>
          </cell>
          <cell r="AI478">
            <v>0</v>
          </cell>
          <cell r="AJ478">
            <v>16414956.845010322</v>
          </cell>
          <cell r="AK478">
            <v>26482453.654174674</v>
          </cell>
          <cell r="AL478">
            <v>27768154.116741404</v>
          </cell>
          <cell r="AM478">
            <v>17993165.921900727</v>
          </cell>
          <cell r="AN478">
            <v>0</v>
          </cell>
          <cell r="AO478">
            <v>3922666.9256444112</v>
          </cell>
          <cell r="AP478">
            <v>6781440.881237098</v>
          </cell>
          <cell r="AQ478">
            <v>7363128.9976404021</v>
          </cell>
          <cell r="AR478">
            <v>5093643.9819002543</v>
          </cell>
          <cell r="AT478" t="str">
            <v>MR Maintenance &amp; Sustainment - Identified - New - Identified - New - MR</v>
          </cell>
        </row>
        <row r="479">
          <cell r="B479" t="str">
            <v>MR Maintenance &amp; Sustainment - Unidentified - New</v>
          </cell>
          <cell r="C479" t="str">
            <v>Maintenance &amp; Sustainment</v>
          </cell>
          <cell r="D479" t="str">
            <v>MR</v>
          </cell>
          <cell r="E479" t="str">
            <v>MR Maintenance &amp; Sustainment</v>
          </cell>
          <cell r="N479" t="str">
            <v>Unidentified - New</v>
          </cell>
          <cell r="S479">
            <v>0.11879583251906871</v>
          </cell>
          <cell r="T479">
            <v>0.11879583251906871</v>
          </cell>
          <cell r="U479">
            <v>0.11879583251906871</v>
          </cell>
          <cell r="V479">
            <v>0.11879583251906871</v>
          </cell>
          <cell r="W479">
            <v>0.11879583251906871</v>
          </cell>
          <cell r="X479">
            <v>2.599047088893185E-2</v>
          </cell>
          <cell r="Y479">
            <v>2.7004251529088887E-2</v>
          </cell>
          <cell r="Z479">
            <v>2.7004251529088887E-2</v>
          </cell>
          <cell r="AA479">
            <v>2.7004251529088887E-2</v>
          </cell>
          <cell r="AB479">
            <v>2.7004251529088887E-2</v>
          </cell>
          <cell r="AD479">
            <v>0</v>
          </cell>
          <cell r="AE479">
            <v>0</v>
          </cell>
          <cell r="AF479">
            <v>0</v>
          </cell>
          <cell r="AG479">
            <v>75000000</v>
          </cell>
          <cell r="AH479">
            <v>300000000</v>
          </cell>
          <cell r="AI479">
            <v>0</v>
          </cell>
          <cell r="AJ479">
            <v>0</v>
          </cell>
          <cell r="AK479">
            <v>0</v>
          </cell>
          <cell r="AL479">
            <v>8909687.4389301538</v>
          </cell>
          <cell r="AM479">
            <v>35638749.755720615</v>
          </cell>
          <cell r="AN479">
            <v>0</v>
          </cell>
          <cell r="AO479">
            <v>0</v>
          </cell>
          <cell r="AP479">
            <v>0</v>
          </cell>
          <cell r="AQ479">
            <v>2025318.8646816665</v>
          </cell>
          <cell r="AR479">
            <v>8101275.4587266659</v>
          </cell>
          <cell r="AT479" t="str">
            <v>MR Maintenance &amp; Sustainment - Unidentified - New - Unidentified - New - MR</v>
          </cell>
        </row>
        <row r="480">
          <cell r="B480" t="str">
            <v>MR NASA - Identified - New</v>
          </cell>
          <cell r="C480" t="str">
            <v>NASA</v>
          </cell>
          <cell r="D480" t="str">
            <v>MR</v>
          </cell>
          <cell r="E480" t="str">
            <v>MR NASA</v>
          </cell>
          <cell r="N480" t="str">
            <v>Identified - New</v>
          </cell>
          <cell r="AD480">
            <v>0</v>
          </cell>
          <cell r="AE480">
            <v>3156222.5</v>
          </cell>
          <cell r="AF480">
            <v>17436388.888888888</v>
          </cell>
          <cell r="AG480">
            <v>33693455.555555552</v>
          </cell>
          <cell r="AH480">
            <v>36687900</v>
          </cell>
          <cell r="AI480">
            <v>0</v>
          </cell>
          <cell r="AJ480">
            <v>416621.37000000005</v>
          </cell>
          <cell r="AK480">
            <v>2319039.7222222225</v>
          </cell>
          <cell r="AL480">
            <v>4727427.611111111</v>
          </cell>
          <cell r="AM480">
            <v>5220554.4000000004</v>
          </cell>
          <cell r="AN480">
            <v>0</v>
          </cell>
          <cell r="AO480">
            <v>138873.78999999998</v>
          </cell>
          <cell r="AP480">
            <v>802073.88888888888</v>
          </cell>
          <cell r="AQ480">
            <v>1794914.6333333333</v>
          </cell>
          <cell r="AR480">
            <v>2184519.2000000002</v>
          </cell>
          <cell r="AT480" t="str">
            <v>MR NASA - Identified - New - Identified - New - MR</v>
          </cell>
        </row>
        <row r="481">
          <cell r="B481" t="str">
            <v>MR NASA - Unidentified - New</v>
          </cell>
          <cell r="C481" t="str">
            <v>NASA</v>
          </cell>
          <cell r="D481" t="str">
            <v>MR</v>
          </cell>
          <cell r="E481" t="str">
            <v>MR NASA</v>
          </cell>
          <cell r="N481" t="str">
            <v>Unidentified - New</v>
          </cell>
          <cell r="S481">
            <v>0.19856516203503338</v>
          </cell>
          <cell r="T481">
            <v>0.14000000000000001</v>
          </cell>
          <cell r="U481">
            <v>0.14000000000000001</v>
          </cell>
          <cell r="V481">
            <v>0.14000000000000001</v>
          </cell>
          <cell r="W481">
            <v>0.14000000000000001</v>
          </cell>
          <cell r="X481">
            <v>7.6835262729769149E-2</v>
          </cell>
          <cell r="Y481">
            <v>0.05</v>
          </cell>
          <cell r="Z481">
            <v>0.05</v>
          </cell>
          <cell r="AA481">
            <v>0.05</v>
          </cell>
          <cell r="AB481">
            <v>0.05</v>
          </cell>
          <cell r="AD481">
            <v>0</v>
          </cell>
          <cell r="AE481">
            <v>0</v>
          </cell>
          <cell r="AF481">
            <v>0</v>
          </cell>
          <cell r="AG481">
            <v>15000000</v>
          </cell>
          <cell r="AH481">
            <v>25000000</v>
          </cell>
          <cell r="AI481">
            <v>0</v>
          </cell>
          <cell r="AJ481">
            <v>0</v>
          </cell>
          <cell r="AK481">
            <v>0</v>
          </cell>
          <cell r="AL481">
            <v>2100000</v>
          </cell>
          <cell r="AM481">
            <v>3500000.0000000005</v>
          </cell>
          <cell r="AN481">
            <v>0</v>
          </cell>
          <cell r="AO481">
            <v>0</v>
          </cell>
          <cell r="AP481">
            <v>0</v>
          </cell>
          <cell r="AQ481">
            <v>750000</v>
          </cell>
          <cell r="AR481">
            <v>1250000</v>
          </cell>
          <cell r="AT481" t="str">
            <v>MR NASA - Unidentified - New - Unidentified - New - MR</v>
          </cell>
        </row>
        <row r="482">
          <cell r="B482" t="str">
            <v>MR Non-Proliferation and Security Services - Identified - New</v>
          </cell>
          <cell r="C482" t="str">
            <v>Non-Proliferation and Security Services</v>
          </cell>
          <cell r="D482" t="str">
            <v>MR</v>
          </cell>
          <cell r="E482" t="str">
            <v>MR Non-Proliferation and Security Services</v>
          </cell>
          <cell r="N482" t="str">
            <v>Identified - New</v>
          </cell>
          <cell r="AD482">
            <v>0</v>
          </cell>
          <cell r="AE482">
            <v>25250126.555806082</v>
          </cell>
          <cell r="AF482">
            <v>29769560.942001756</v>
          </cell>
          <cell r="AG482">
            <v>26038861.327804226</v>
          </cell>
          <cell r="AH482">
            <v>21379669.916360725</v>
          </cell>
          <cell r="AI482">
            <v>0</v>
          </cell>
          <cell r="AJ482">
            <v>4340145.1969347373</v>
          </cell>
          <cell r="AK482">
            <v>5180299.6076036571</v>
          </cell>
          <cell r="AL482">
            <v>4499874.249858032</v>
          </cell>
          <cell r="AM482">
            <v>3787229.817183631</v>
          </cell>
          <cell r="AN482">
            <v>0</v>
          </cell>
          <cell r="AO482">
            <v>1645688.7978003256</v>
          </cell>
          <cell r="AP482">
            <v>2025173.2894901664</v>
          </cell>
          <cell r="AQ482">
            <v>1305860.1670840466</v>
          </cell>
          <cell r="AR482">
            <v>1458076.3623180031</v>
          </cell>
          <cell r="AT482" t="str">
            <v>MR Non-Proliferation and Security Services - Identified - New - Identified - New - MR</v>
          </cell>
        </row>
        <row r="483">
          <cell r="B483" t="str">
            <v>MR Non-Proliferation and Security Services - Unidentified - New</v>
          </cell>
          <cell r="C483" t="str">
            <v>Non-Proliferation and Security Services</v>
          </cell>
          <cell r="D483" t="str">
            <v>MR</v>
          </cell>
          <cell r="E483" t="str">
            <v>MR Non-Proliferation and Security Services</v>
          </cell>
          <cell r="N483" t="str">
            <v>Unidentified - New</v>
          </cell>
          <cell r="S483">
            <v>0.19352334203923272</v>
          </cell>
          <cell r="T483">
            <v>0.19877223922728987</v>
          </cell>
          <cell r="U483">
            <v>0.19877223922728987</v>
          </cell>
          <cell r="V483">
            <v>0.19877223922728987</v>
          </cell>
          <cell r="W483">
            <v>0.19877223922728987</v>
          </cell>
          <cell r="X483">
            <v>0.12302208713486505</v>
          </cell>
          <cell r="Y483">
            <v>0.1225</v>
          </cell>
          <cell r="Z483">
            <v>0.125</v>
          </cell>
          <cell r="AA483">
            <v>0.1275</v>
          </cell>
          <cell r="AB483">
            <v>0.1275</v>
          </cell>
          <cell r="AD483">
            <v>0</v>
          </cell>
          <cell r="AE483">
            <v>0</v>
          </cell>
          <cell r="AF483">
            <v>0</v>
          </cell>
          <cell r="AG483">
            <v>50000000</v>
          </cell>
          <cell r="AH483">
            <v>75000000</v>
          </cell>
          <cell r="AI483">
            <v>0</v>
          </cell>
          <cell r="AJ483">
            <v>0</v>
          </cell>
          <cell r="AK483">
            <v>0</v>
          </cell>
          <cell r="AL483">
            <v>9938611.9613644928</v>
          </cell>
          <cell r="AM483">
            <v>14907917.942046741</v>
          </cell>
          <cell r="AN483">
            <v>0</v>
          </cell>
          <cell r="AO483">
            <v>0</v>
          </cell>
          <cell r="AP483">
            <v>0</v>
          </cell>
          <cell r="AQ483">
            <v>6375000</v>
          </cell>
          <cell r="AR483">
            <v>9562500</v>
          </cell>
          <cell r="AT483" t="str">
            <v>MR Non-Proliferation and Security Services - Unidentified - New - Unidentified - New - MR</v>
          </cell>
        </row>
        <row r="484">
          <cell r="B484" t="str">
            <v>MR Warfighter Support - Identified - New</v>
          </cell>
          <cell r="C484" t="str">
            <v>Warfighter Support</v>
          </cell>
          <cell r="D484" t="str">
            <v>MR</v>
          </cell>
          <cell r="E484" t="str">
            <v>MR Warfighter Support</v>
          </cell>
          <cell r="N484" t="str">
            <v>Identified - New</v>
          </cell>
          <cell r="AD484">
            <v>0</v>
          </cell>
          <cell r="AE484">
            <v>15948229.166666666</v>
          </cell>
          <cell r="AF484">
            <v>37430386.90476191</v>
          </cell>
          <cell r="AG484">
            <v>61783482.142857134</v>
          </cell>
          <cell r="AH484">
            <v>89935898.809523806</v>
          </cell>
          <cell r="AI484">
            <v>0</v>
          </cell>
          <cell r="AJ484">
            <v>1800214.513888889</v>
          </cell>
          <cell r="AK484">
            <v>4363367.9761904757</v>
          </cell>
          <cell r="AL484">
            <v>7300996.527777778</v>
          </cell>
          <cell r="AM484">
            <v>10627335.714285715</v>
          </cell>
          <cell r="AN484">
            <v>0</v>
          </cell>
          <cell r="AO484">
            <v>591788.33333333337</v>
          </cell>
          <cell r="AP484">
            <v>1487086.25</v>
          </cell>
          <cell r="AQ484">
            <v>2403285.972222222</v>
          </cell>
          <cell r="AR484">
            <v>3531488.125</v>
          </cell>
          <cell r="AT484" t="str">
            <v>MR Warfighter Support - Identified - New - Identified - New - MR</v>
          </cell>
        </row>
        <row r="485">
          <cell r="B485" t="str">
            <v>MR Warfighter Support - Unidentified - New</v>
          </cell>
          <cell r="C485" t="str">
            <v>Warfighter Support</v>
          </cell>
          <cell r="D485" t="str">
            <v>MR</v>
          </cell>
          <cell r="E485" t="str">
            <v>MR Warfighter Support</v>
          </cell>
          <cell r="N485" t="str">
            <v>Unidentified - New</v>
          </cell>
          <cell r="S485">
            <v>5.8893636129318874E-2</v>
          </cell>
          <cell r="T485">
            <v>8.6271836871876881E-2</v>
          </cell>
          <cell r="U485">
            <v>8.6271836871876881E-2</v>
          </cell>
          <cell r="V485">
            <v>8.6271836871876881E-2</v>
          </cell>
          <cell r="W485">
            <v>8.6271836871876881E-2</v>
          </cell>
          <cell r="X485">
            <v>2.0033453164286941E-2</v>
          </cell>
          <cell r="Y485">
            <v>2.5000000000000001E-2</v>
          </cell>
          <cell r="Z485">
            <v>0.03</v>
          </cell>
          <cell r="AA485">
            <v>0.04</v>
          </cell>
          <cell r="AB485">
            <v>4.4999999999999998E-2</v>
          </cell>
          <cell r="AD485">
            <v>0</v>
          </cell>
          <cell r="AE485">
            <v>0</v>
          </cell>
          <cell r="AF485">
            <v>0</v>
          </cell>
          <cell r="AG485">
            <v>25000000</v>
          </cell>
          <cell r="AH485">
            <v>125000000</v>
          </cell>
          <cell r="AI485">
            <v>0</v>
          </cell>
          <cell r="AJ485">
            <v>0</v>
          </cell>
          <cell r="AK485">
            <v>0</v>
          </cell>
          <cell r="AL485">
            <v>2156795.9217969221</v>
          </cell>
          <cell r="AM485">
            <v>10783979.60898461</v>
          </cell>
          <cell r="AN485">
            <v>0</v>
          </cell>
          <cell r="AO485">
            <v>0</v>
          </cell>
          <cell r="AP485">
            <v>0</v>
          </cell>
          <cell r="AQ485">
            <v>1000000</v>
          </cell>
          <cell r="AR485">
            <v>5625000</v>
          </cell>
          <cell r="AT485" t="str">
            <v>MR Warfighter Support - Unidentified - New - Unidentified - New - MR</v>
          </cell>
        </row>
        <row r="486">
          <cell r="B486" t="str">
            <v>IS4 Engineering and Technology Services - Identified - New</v>
          </cell>
          <cell r="C486" t="str">
            <v>Engineering and Technology Services</v>
          </cell>
          <cell r="D486" t="str">
            <v>IS4</v>
          </cell>
          <cell r="E486" t="str">
            <v>IS4 Engineering and Technology Services</v>
          </cell>
          <cell r="N486" t="str">
            <v>Identified - New</v>
          </cell>
          <cell r="AD486">
            <v>0</v>
          </cell>
          <cell r="AE486">
            <v>34543676.611517183</v>
          </cell>
          <cell r="AF486">
            <v>71966860.540529534</v>
          </cell>
          <cell r="AG486">
            <v>84508006.096085086</v>
          </cell>
          <cell r="AH486">
            <v>98830981.4135454</v>
          </cell>
          <cell r="AI486">
            <v>0</v>
          </cell>
          <cell r="AJ486">
            <v>5378544.9327365104</v>
          </cell>
          <cell r="AK486">
            <v>11887264.672956049</v>
          </cell>
          <cell r="AL486">
            <v>14195689.834037108</v>
          </cell>
          <cell r="AM486">
            <v>16865222.643327057</v>
          </cell>
          <cell r="AN486">
            <v>0</v>
          </cell>
          <cell r="AO486">
            <v>2200526.6844769297</v>
          </cell>
          <cell r="AP486">
            <v>5266313.5032273354</v>
          </cell>
          <cell r="AQ486">
            <v>6420953.273197284</v>
          </cell>
          <cell r="AR486">
            <v>7772772.3532808833</v>
          </cell>
          <cell r="AT486" t="str">
            <v>IS4 Engineering and Technology Services - Identified - New - Identified - New - IS4</v>
          </cell>
        </row>
        <row r="487">
          <cell r="B487" t="str">
            <v>IS4 Engineering and Technology Services - Unidentified - New</v>
          </cell>
          <cell r="C487" t="str">
            <v>Engineering and Technology Services</v>
          </cell>
          <cell r="D487" t="str">
            <v>IS4</v>
          </cell>
          <cell r="E487" t="str">
            <v>IS4 Engineering and Technology Services</v>
          </cell>
          <cell r="N487" t="str">
            <v>Unidentified - New</v>
          </cell>
          <cell r="S487">
            <v>0</v>
          </cell>
          <cell r="T487">
            <v>0</v>
          </cell>
          <cell r="U487">
            <v>0</v>
          </cell>
          <cell r="V487">
            <v>0</v>
          </cell>
          <cell r="W487">
            <v>0</v>
          </cell>
          <cell r="X487">
            <v>0</v>
          </cell>
          <cell r="Y487">
            <v>0</v>
          </cell>
          <cell r="Z487">
            <v>0</v>
          </cell>
          <cell r="AA487">
            <v>0</v>
          </cell>
          <cell r="AB487">
            <v>0</v>
          </cell>
          <cell r="AD487">
            <v>0</v>
          </cell>
          <cell r="AE487">
            <v>0</v>
          </cell>
          <cell r="AF487">
            <v>0</v>
          </cell>
          <cell r="AG487">
            <v>0</v>
          </cell>
          <cell r="AH487">
            <v>0</v>
          </cell>
          <cell r="AI487">
            <v>0</v>
          </cell>
          <cell r="AJ487">
            <v>0</v>
          </cell>
          <cell r="AK487">
            <v>0</v>
          </cell>
          <cell r="AL487">
            <v>0</v>
          </cell>
          <cell r="AM487">
            <v>0</v>
          </cell>
          <cell r="AN487">
            <v>0</v>
          </cell>
          <cell r="AO487">
            <v>0</v>
          </cell>
          <cell r="AP487">
            <v>0</v>
          </cell>
          <cell r="AQ487">
            <v>0</v>
          </cell>
          <cell r="AR487">
            <v>0</v>
          </cell>
          <cell r="AT487" t="str">
            <v>IS4 Engineering and Technology Services - Unidentified - New - Unidentified - New - IS4</v>
          </cell>
        </row>
        <row r="488">
          <cell r="B488" t="str">
            <v>IS4 Global Mission Solutions - Identified - New</v>
          </cell>
          <cell r="C488" t="str">
            <v>Global Mission Solutions</v>
          </cell>
          <cell r="D488" t="str">
            <v>IS4</v>
          </cell>
          <cell r="E488" t="str">
            <v>IS4 Global Mission Solutions</v>
          </cell>
          <cell r="N488" t="str">
            <v>Identified - New</v>
          </cell>
          <cell r="AD488">
            <v>0</v>
          </cell>
          <cell r="AE488">
            <v>48479159.933204591</v>
          </cell>
          <cell r="AF488">
            <v>45835105.31524767</v>
          </cell>
          <cell r="AG488">
            <v>41624885.766133338</v>
          </cell>
          <cell r="AH488">
            <v>38742330.210577786</v>
          </cell>
          <cell r="AI488">
            <v>0</v>
          </cell>
          <cell r="AJ488">
            <v>7924740.4340746626</v>
          </cell>
          <cell r="AK488">
            <v>7549031.7881108727</v>
          </cell>
          <cell r="AL488">
            <v>6907741.7282780949</v>
          </cell>
          <cell r="AM488">
            <v>6435079.9904420935</v>
          </cell>
          <cell r="AN488">
            <v>0</v>
          </cell>
          <cell r="AO488">
            <v>3464657.7202198417</v>
          </cell>
          <cell r="AP488">
            <v>3332202.0991080864</v>
          </cell>
          <cell r="AQ488">
            <v>3078252.237793826</v>
          </cell>
          <cell r="AR488">
            <v>2870785.611068937</v>
          </cell>
          <cell r="AT488" t="str">
            <v>IS4 Global Mission Solutions - Identified - New - Identified - New - IS4</v>
          </cell>
        </row>
        <row r="489">
          <cell r="B489" t="str">
            <v>IS4 Global Mission Solutions - Unidentified - New</v>
          </cell>
          <cell r="C489" t="str">
            <v>Global Mission Solutions</v>
          </cell>
          <cell r="D489" t="str">
            <v>IS4</v>
          </cell>
          <cell r="E489" t="str">
            <v>IS4 Global Mission Solutions</v>
          </cell>
          <cell r="N489" t="str">
            <v>Unidentified - New</v>
          </cell>
          <cell r="S489">
            <v>0</v>
          </cell>
          <cell r="T489">
            <v>0</v>
          </cell>
          <cell r="U489">
            <v>0</v>
          </cell>
          <cell r="V489">
            <v>0</v>
          </cell>
          <cell r="W489">
            <v>0</v>
          </cell>
          <cell r="X489">
            <v>0</v>
          </cell>
          <cell r="Y489">
            <v>0</v>
          </cell>
          <cell r="Z489">
            <v>0</v>
          </cell>
          <cell r="AA489">
            <v>0</v>
          </cell>
          <cell r="AB489">
            <v>0</v>
          </cell>
          <cell r="AD489">
            <v>0</v>
          </cell>
          <cell r="AE489">
            <v>0</v>
          </cell>
          <cell r="AF489">
            <v>0</v>
          </cell>
          <cell r="AG489">
            <v>0</v>
          </cell>
          <cell r="AH489">
            <v>0</v>
          </cell>
          <cell r="AI489">
            <v>0</v>
          </cell>
          <cell r="AJ489">
            <v>0</v>
          </cell>
          <cell r="AK489">
            <v>0</v>
          </cell>
          <cell r="AL489">
            <v>0</v>
          </cell>
          <cell r="AM489">
            <v>0</v>
          </cell>
          <cell r="AN489">
            <v>0</v>
          </cell>
          <cell r="AO489">
            <v>0</v>
          </cell>
          <cell r="AP489">
            <v>0</v>
          </cell>
          <cell r="AQ489">
            <v>0</v>
          </cell>
          <cell r="AR489">
            <v>0</v>
          </cell>
          <cell r="AT489" t="str">
            <v>IS4 Global Mission Solutions - Unidentified - New - Unidentified - New - IS4</v>
          </cell>
        </row>
        <row r="490">
          <cell r="B490" t="str">
            <v>IS4 Infrastructure and Engineering - Identified - New</v>
          </cell>
          <cell r="C490" t="str">
            <v>Infrastructure and Engineering</v>
          </cell>
          <cell r="D490" t="str">
            <v>IS4</v>
          </cell>
          <cell r="E490" t="str">
            <v>IS4 Infrastructure and Engineering</v>
          </cell>
          <cell r="N490" t="str">
            <v>Identified - New</v>
          </cell>
          <cell r="AD490">
            <v>0</v>
          </cell>
          <cell r="AE490">
            <v>20027062.682858713</v>
          </cell>
          <cell r="AF490">
            <v>16403539.830353806</v>
          </cell>
          <cell r="AG490">
            <v>71222877.222103789</v>
          </cell>
          <cell r="AH490">
            <v>128533108.11991157</v>
          </cell>
          <cell r="AI490">
            <v>0</v>
          </cell>
          <cell r="AJ490">
            <v>2909113.1509659379</v>
          </cell>
          <cell r="AK490">
            <v>2506734.4228250254</v>
          </cell>
          <cell r="AL490">
            <v>11036958.208335081</v>
          </cell>
          <cell r="AM490">
            <v>20218104.363989245</v>
          </cell>
          <cell r="AN490">
            <v>0</v>
          </cell>
          <cell r="AO490">
            <v>1066623.3841429355</v>
          </cell>
          <cell r="AP490">
            <v>997608.75843247538</v>
          </cell>
          <cell r="AQ490">
            <v>4484453.503901531</v>
          </cell>
          <cell r="AR490">
            <v>8393058.4169573803</v>
          </cell>
          <cell r="AT490" t="str">
            <v>IS4 Infrastructure and Engineering - Identified - New - Identified - New - IS4</v>
          </cell>
        </row>
        <row r="491">
          <cell r="B491" t="str">
            <v>IS4 Infrastructure and Engineering - Unidentified - New</v>
          </cell>
          <cell r="C491" t="str">
            <v>Infrastructure and Engineering</v>
          </cell>
          <cell r="D491" t="str">
            <v>IS4</v>
          </cell>
          <cell r="E491" t="str">
            <v>IS4 Infrastructure and Engineering</v>
          </cell>
          <cell r="N491" t="str">
            <v>Unidentified - New</v>
          </cell>
          <cell r="S491">
            <v>0</v>
          </cell>
          <cell r="T491">
            <v>0</v>
          </cell>
          <cell r="U491">
            <v>0</v>
          </cell>
          <cell r="V491">
            <v>0</v>
          </cell>
          <cell r="W491">
            <v>0</v>
          </cell>
          <cell r="X491">
            <v>0</v>
          </cell>
          <cell r="Y491">
            <v>0</v>
          </cell>
          <cell r="Z491">
            <v>0</v>
          </cell>
          <cell r="AA491">
            <v>0</v>
          </cell>
          <cell r="AB491">
            <v>0</v>
          </cell>
          <cell r="AD491">
            <v>0</v>
          </cell>
          <cell r="AE491">
            <v>0</v>
          </cell>
          <cell r="AF491">
            <v>0</v>
          </cell>
          <cell r="AG491">
            <v>0</v>
          </cell>
          <cell r="AH491">
            <v>0</v>
          </cell>
          <cell r="AI491">
            <v>0</v>
          </cell>
          <cell r="AJ491">
            <v>0</v>
          </cell>
          <cell r="AK491">
            <v>0</v>
          </cell>
          <cell r="AL491">
            <v>0</v>
          </cell>
          <cell r="AM491">
            <v>0</v>
          </cell>
          <cell r="AN491">
            <v>0</v>
          </cell>
          <cell r="AO491">
            <v>0</v>
          </cell>
          <cell r="AP491">
            <v>0</v>
          </cell>
          <cell r="AQ491">
            <v>0</v>
          </cell>
          <cell r="AR491">
            <v>0</v>
          </cell>
          <cell r="AT491" t="str">
            <v>IS4 Infrastructure and Engineering - Unidentified - New - Unidentified - New - IS4</v>
          </cell>
        </row>
        <row r="492">
          <cell r="B492" t="str">
            <v>IS4 Spectrum &amp; Infrastructure Assurance - Identified - New</v>
          </cell>
          <cell r="C492" t="str">
            <v>Spectrum &amp; Infrastructure Assurance</v>
          </cell>
          <cell r="D492" t="str">
            <v>IS4</v>
          </cell>
          <cell r="E492" t="str">
            <v>IS4 Spectrum &amp; Infrastructure Assurance</v>
          </cell>
          <cell r="N492" t="str">
            <v>Identified - New</v>
          </cell>
          <cell r="AD492">
            <v>0</v>
          </cell>
          <cell r="AE492">
            <v>90140953.87356393</v>
          </cell>
          <cell r="AF492">
            <v>207133873.32999304</v>
          </cell>
          <cell r="AG492">
            <v>279544625.10384268</v>
          </cell>
          <cell r="AH492">
            <v>323178797.79981399</v>
          </cell>
          <cell r="AI492">
            <v>0</v>
          </cell>
          <cell r="AJ492">
            <v>14455644.409823138</v>
          </cell>
          <cell r="AK492">
            <v>34059634.207269788</v>
          </cell>
          <cell r="AL492">
            <v>46146404.135662459</v>
          </cell>
          <cell r="AM492">
            <v>53604812.759542771</v>
          </cell>
          <cell r="AN492">
            <v>0</v>
          </cell>
          <cell r="AO492">
            <v>6162676.6534552583</v>
          </cell>
          <cell r="AP492">
            <v>15003317.860910425</v>
          </cell>
          <cell r="AQ492">
            <v>20428298.626108922</v>
          </cell>
          <cell r="AR492">
            <v>23872363.361959886</v>
          </cell>
          <cell r="AT492" t="str">
            <v>IS4 Spectrum &amp; Infrastructure Assurance - Identified - New - Identified - New - IS4</v>
          </cell>
        </row>
        <row r="493">
          <cell r="B493" t="str">
            <v>IS4 Spectrum &amp; Infrastructure Assurance - Unidentified - New</v>
          </cell>
          <cell r="C493" t="str">
            <v>Spectrum &amp; Infrastructure Assurance</v>
          </cell>
          <cell r="D493" t="str">
            <v>IS4</v>
          </cell>
          <cell r="E493" t="str">
            <v>IS4 Spectrum &amp; Infrastructure Assurance</v>
          </cell>
          <cell r="N493" t="str">
            <v>Unidentified - New</v>
          </cell>
          <cell r="S493">
            <v>0</v>
          </cell>
          <cell r="T493">
            <v>0</v>
          </cell>
          <cell r="U493">
            <v>0</v>
          </cell>
          <cell r="V493">
            <v>0</v>
          </cell>
          <cell r="W493">
            <v>0</v>
          </cell>
          <cell r="X493">
            <v>0</v>
          </cell>
          <cell r="Y493">
            <v>0</v>
          </cell>
          <cell r="Z493">
            <v>0</v>
          </cell>
          <cell r="AA493">
            <v>0</v>
          </cell>
          <cell r="AB493">
            <v>0</v>
          </cell>
          <cell r="AD493">
            <v>0</v>
          </cell>
          <cell r="AE493">
            <v>0</v>
          </cell>
          <cell r="AF493">
            <v>0</v>
          </cell>
          <cell r="AG493">
            <v>0</v>
          </cell>
          <cell r="AH493">
            <v>0</v>
          </cell>
          <cell r="AI493">
            <v>0</v>
          </cell>
          <cell r="AJ493">
            <v>0</v>
          </cell>
          <cell r="AK493">
            <v>0</v>
          </cell>
          <cell r="AL493">
            <v>0</v>
          </cell>
          <cell r="AM493">
            <v>0</v>
          </cell>
          <cell r="AN493">
            <v>0</v>
          </cell>
          <cell r="AO493">
            <v>0</v>
          </cell>
          <cell r="AP493">
            <v>0</v>
          </cell>
          <cell r="AQ493">
            <v>0</v>
          </cell>
          <cell r="AR493">
            <v>0</v>
          </cell>
          <cell r="AT493" t="str">
            <v>IS4 Spectrum &amp; Infrastructure Assurance - Unidentified - New - Unidentified - New - IS4</v>
          </cell>
        </row>
        <row r="494">
          <cell r="B494" t="str">
            <v>IS4 Sustainment Engineering and Acquisition - Identified - New</v>
          </cell>
          <cell r="C494" t="str">
            <v>Sustainment Engineering and Acquisition</v>
          </cell>
          <cell r="D494" t="str">
            <v>IS4</v>
          </cell>
          <cell r="E494" t="str">
            <v>IS4 Sustainment Engineering and Acquisition</v>
          </cell>
          <cell r="N494" t="str">
            <v>Identified - New</v>
          </cell>
          <cell r="AD494">
            <v>0</v>
          </cell>
          <cell r="AE494">
            <v>34375839.768612519</v>
          </cell>
          <cell r="AF494">
            <v>141145427.82947922</v>
          </cell>
          <cell r="AG494">
            <v>150726413.01466444</v>
          </cell>
          <cell r="AH494">
            <v>169308343.57021999</v>
          </cell>
          <cell r="AI494">
            <v>0</v>
          </cell>
          <cell r="AJ494">
            <v>5533110.6453113379</v>
          </cell>
          <cell r="AK494">
            <v>22800024.847161122</v>
          </cell>
          <cell r="AL494">
            <v>24418644.532346305</v>
          </cell>
          <cell r="AM494">
            <v>27408031.171235196</v>
          </cell>
          <cell r="AN494">
            <v>0</v>
          </cell>
          <cell r="AO494">
            <v>2370533.3865989838</v>
          </cell>
          <cell r="AP494">
            <v>9814645.4868490323</v>
          </cell>
          <cell r="AQ494">
            <v>10551814.53499718</v>
          </cell>
          <cell r="AR494">
            <v>11831663.562774956</v>
          </cell>
          <cell r="AT494" t="str">
            <v>IS4 Sustainment Engineering and Acquisition - Identified - New - Identified - New - IS4</v>
          </cell>
        </row>
        <row r="495">
          <cell r="B495" t="str">
            <v>IS4 Sustainment Engineering and Acquisition - Unidentified - New</v>
          </cell>
          <cell r="C495" t="str">
            <v>Sustainment Engineering and Acquisition</v>
          </cell>
          <cell r="D495" t="str">
            <v>IS4</v>
          </cell>
          <cell r="E495" t="str">
            <v>IS4 Sustainment Engineering and Acquisition</v>
          </cell>
          <cell r="N495" t="str">
            <v>Unidentified - New</v>
          </cell>
          <cell r="S495">
            <v>0</v>
          </cell>
          <cell r="T495">
            <v>0</v>
          </cell>
          <cell r="U495">
            <v>0</v>
          </cell>
          <cell r="V495">
            <v>0</v>
          </cell>
          <cell r="W495">
            <v>0</v>
          </cell>
          <cell r="X495">
            <v>0</v>
          </cell>
          <cell r="Y495">
            <v>0</v>
          </cell>
          <cell r="Z495">
            <v>0</v>
          </cell>
          <cell r="AA495">
            <v>0</v>
          </cell>
          <cell r="AB495">
            <v>0</v>
          </cell>
          <cell r="AD495">
            <v>0</v>
          </cell>
          <cell r="AE495">
            <v>0</v>
          </cell>
          <cell r="AF495">
            <v>0</v>
          </cell>
          <cell r="AG495">
            <v>0</v>
          </cell>
          <cell r="AH495">
            <v>0</v>
          </cell>
          <cell r="AI495">
            <v>0</v>
          </cell>
          <cell r="AJ495">
            <v>0</v>
          </cell>
          <cell r="AK495">
            <v>0</v>
          </cell>
          <cell r="AL495">
            <v>0</v>
          </cell>
          <cell r="AM495">
            <v>0</v>
          </cell>
          <cell r="AN495">
            <v>0</v>
          </cell>
          <cell r="AO495">
            <v>0</v>
          </cell>
          <cell r="AP495">
            <v>0</v>
          </cell>
          <cell r="AQ495">
            <v>0</v>
          </cell>
          <cell r="AR495">
            <v>0</v>
          </cell>
          <cell r="AT495" t="str">
            <v>IS4 Sustainment Engineering and Acquisition - Unidentified - New - Unidentified - New - IS4</v>
          </cell>
        </row>
        <row r="496">
          <cell r="B496" t="str">
            <v>NE DD and WM Projects - Identified - New</v>
          </cell>
          <cell r="C496" t="str">
            <v>DD and WM Projects</v>
          </cell>
          <cell r="D496" t="str">
            <v>NE</v>
          </cell>
          <cell r="E496" t="str">
            <v>NE DD and WM Projects</v>
          </cell>
          <cell r="N496" t="str">
            <v>Identified - New</v>
          </cell>
          <cell r="AD496">
            <v>0</v>
          </cell>
          <cell r="AE496">
            <v>0</v>
          </cell>
          <cell r="AF496">
            <v>1223958.3333333333</v>
          </cell>
          <cell r="AG496">
            <v>1562500</v>
          </cell>
          <cell r="AH496">
            <v>1562500</v>
          </cell>
          <cell r="AI496">
            <v>0</v>
          </cell>
          <cell r="AJ496">
            <v>0</v>
          </cell>
          <cell r="AK496">
            <v>367187.49999999994</v>
          </cell>
          <cell r="AL496">
            <v>468750</v>
          </cell>
          <cell r="AM496">
            <v>468750</v>
          </cell>
          <cell r="AN496">
            <v>0</v>
          </cell>
          <cell r="AO496">
            <v>0</v>
          </cell>
          <cell r="AP496">
            <v>52630.208333333328</v>
          </cell>
          <cell r="AQ496">
            <v>71875</v>
          </cell>
          <cell r="AR496">
            <v>76562.5</v>
          </cell>
          <cell r="AT496" t="str">
            <v>NE DD and WM Projects - Identified - New - Identified - New - NE</v>
          </cell>
        </row>
        <row r="497">
          <cell r="B497" t="str">
            <v>NE DD and WM Projects - Unidentified - New</v>
          </cell>
          <cell r="C497" t="str">
            <v>DD and WM Projects</v>
          </cell>
          <cell r="D497" t="str">
            <v>NE</v>
          </cell>
          <cell r="E497" t="str">
            <v>NE DD and WM Projects</v>
          </cell>
          <cell r="N497" t="str">
            <v>Unidentified - New</v>
          </cell>
          <cell r="S497">
            <v>0</v>
          </cell>
          <cell r="T497">
            <v>0.3</v>
          </cell>
          <cell r="U497">
            <v>0.3</v>
          </cell>
          <cell r="V497">
            <v>0.3</v>
          </cell>
          <cell r="W497">
            <v>0.3</v>
          </cell>
          <cell r="X497">
            <v>0</v>
          </cell>
          <cell r="Y497">
            <v>0.04</v>
          </cell>
          <cell r="Z497">
            <v>0.04</v>
          </cell>
          <cell r="AA497">
            <v>0.04</v>
          </cell>
          <cell r="AB497">
            <v>0.04</v>
          </cell>
          <cell r="AD497">
            <v>0</v>
          </cell>
          <cell r="AE497">
            <v>0</v>
          </cell>
          <cell r="AF497">
            <v>0</v>
          </cell>
          <cell r="AG497">
            <v>50000000</v>
          </cell>
          <cell r="AH497">
            <v>160000000</v>
          </cell>
          <cell r="AI497">
            <v>0</v>
          </cell>
          <cell r="AJ497">
            <v>0</v>
          </cell>
          <cell r="AK497">
            <v>0</v>
          </cell>
          <cell r="AL497">
            <v>15000000</v>
          </cell>
          <cell r="AM497">
            <v>48000000</v>
          </cell>
          <cell r="AN497">
            <v>0</v>
          </cell>
          <cell r="AO497">
            <v>0</v>
          </cell>
          <cell r="AP497">
            <v>0</v>
          </cell>
          <cell r="AQ497">
            <v>2000000</v>
          </cell>
          <cell r="AR497">
            <v>6400000</v>
          </cell>
          <cell r="AT497" t="str">
            <v>NE DD and WM Projects - Unidentified - New - Unidentified - New - NE</v>
          </cell>
        </row>
        <row r="498">
          <cell r="B498" t="str">
            <v>NE HLW &amp; NNSA Operations - Identified - New</v>
          </cell>
          <cell r="C498" t="str">
            <v>HLW &amp; NNSA Operations</v>
          </cell>
          <cell r="D498" t="str">
            <v>NE</v>
          </cell>
          <cell r="E498" t="str">
            <v>NE HLW &amp; NNSA Operations</v>
          </cell>
          <cell r="N498" t="str">
            <v>Identified - New</v>
          </cell>
          <cell r="AD498">
            <v>0</v>
          </cell>
          <cell r="AE498">
            <v>0</v>
          </cell>
          <cell r="AF498">
            <v>2391666.6666666665</v>
          </cell>
          <cell r="AG498">
            <v>2625000</v>
          </cell>
          <cell r="AH498">
            <v>233333.33333333395</v>
          </cell>
          <cell r="AI498">
            <v>0</v>
          </cell>
          <cell r="AJ498">
            <v>0</v>
          </cell>
          <cell r="AK498">
            <v>717499.99999999988</v>
          </cell>
          <cell r="AL498">
            <v>787500</v>
          </cell>
          <cell r="AM498">
            <v>70000.000000000189</v>
          </cell>
          <cell r="AN498">
            <v>0</v>
          </cell>
          <cell r="AO498">
            <v>0</v>
          </cell>
          <cell r="AP498">
            <v>126758.33333333333</v>
          </cell>
          <cell r="AQ498">
            <v>147000</v>
          </cell>
          <cell r="AR498">
            <v>13766.666666666702</v>
          </cell>
          <cell r="AT498" t="str">
            <v>NE HLW &amp; NNSA Operations - Identified - New - Identified - New - NE</v>
          </cell>
        </row>
        <row r="499">
          <cell r="B499" t="str">
            <v>NE HLW &amp; NNSA Operations - Unidentified - New</v>
          </cell>
          <cell r="C499" t="str">
            <v>HLW &amp; NNSA Operations</v>
          </cell>
          <cell r="D499" t="str">
            <v>NE</v>
          </cell>
          <cell r="E499" t="str">
            <v>NE HLW &amp; NNSA Operations</v>
          </cell>
          <cell r="N499" t="str">
            <v>Unidentified - New</v>
          </cell>
          <cell r="S499">
            <v>0</v>
          </cell>
          <cell r="T499">
            <v>0.3</v>
          </cell>
          <cell r="U499">
            <v>0.3</v>
          </cell>
          <cell r="V499">
            <v>0.3</v>
          </cell>
          <cell r="W499">
            <v>0.3</v>
          </cell>
          <cell r="X499">
            <v>0</v>
          </cell>
          <cell r="Y499">
            <v>0.05</v>
          </cell>
          <cell r="Z499">
            <v>0.05</v>
          </cell>
          <cell r="AA499">
            <v>0.05</v>
          </cell>
          <cell r="AB499">
            <v>0.05</v>
          </cell>
          <cell r="AD499">
            <v>0</v>
          </cell>
          <cell r="AE499">
            <v>0</v>
          </cell>
          <cell r="AF499">
            <v>30000000</v>
          </cell>
          <cell r="AG499">
            <v>50000000</v>
          </cell>
          <cell r="AH499">
            <v>160000000</v>
          </cell>
          <cell r="AI499">
            <v>0</v>
          </cell>
          <cell r="AJ499">
            <v>0</v>
          </cell>
          <cell r="AK499">
            <v>9000000</v>
          </cell>
          <cell r="AL499">
            <v>15000000</v>
          </cell>
          <cell r="AM499">
            <v>48000000</v>
          </cell>
          <cell r="AN499">
            <v>0</v>
          </cell>
          <cell r="AO499">
            <v>0</v>
          </cell>
          <cell r="AP499">
            <v>1500000</v>
          </cell>
          <cell r="AQ499">
            <v>2500000</v>
          </cell>
          <cell r="AR499">
            <v>8000000</v>
          </cell>
          <cell r="AT499" t="str">
            <v>NE HLW &amp; NNSA Operations - Unidentified - New - Unidentified - New - NE</v>
          </cell>
        </row>
        <row r="500">
          <cell r="B500" t="str">
            <v>NE International Programs - Identified - New</v>
          </cell>
          <cell r="C500" t="str">
            <v>International Programs</v>
          </cell>
          <cell r="D500" t="str">
            <v>NE</v>
          </cell>
          <cell r="E500" t="str">
            <v>NE International Programs</v>
          </cell>
          <cell r="N500" t="str">
            <v>Identified - New</v>
          </cell>
          <cell r="AD500">
            <v>0</v>
          </cell>
          <cell r="AE500">
            <v>23809023.714085415</v>
          </cell>
          <cell r="AF500">
            <v>65992696.677581936</v>
          </cell>
          <cell r="AG500">
            <v>32973647.631049305</v>
          </cell>
          <cell r="AH500">
            <v>15918959.146</v>
          </cell>
          <cell r="AI500">
            <v>0</v>
          </cell>
          <cell r="AJ500">
            <v>4097610.5620314446</v>
          </cell>
          <cell r="AK500">
            <v>11068664.980635332</v>
          </cell>
          <cell r="AL500">
            <v>5275783.6209678883</v>
          </cell>
          <cell r="AM500">
            <v>2547033.4633599999</v>
          </cell>
          <cell r="AN500">
            <v>0</v>
          </cell>
          <cell r="AO500">
            <v>1175801.0212319868</v>
          </cell>
          <cell r="AP500">
            <v>3450784.0070846905</v>
          </cell>
          <cell r="AQ500">
            <v>1830815.1769899493</v>
          </cell>
          <cell r="AR500">
            <v>938093.58961399994</v>
          </cell>
          <cell r="AT500" t="str">
            <v>NE International Programs - Identified - New - Identified - New - NE</v>
          </cell>
        </row>
        <row r="501">
          <cell r="B501" t="str">
            <v>NE International Programs - Unidentified - New</v>
          </cell>
          <cell r="C501" t="str">
            <v>International Programs</v>
          </cell>
          <cell r="D501" t="str">
            <v>NE</v>
          </cell>
          <cell r="E501" t="str">
            <v>NE International Programs</v>
          </cell>
          <cell r="N501" t="str">
            <v>Unidentified - New</v>
          </cell>
          <cell r="S501">
            <v>0</v>
          </cell>
          <cell r="T501">
            <v>0.16</v>
          </cell>
          <cell r="U501">
            <v>0.16</v>
          </cell>
          <cell r="V501">
            <v>0.16</v>
          </cell>
          <cell r="W501">
            <v>0.16</v>
          </cell>
          <cell r="X501">
            <v>0</v>
          </cell>
          <cell r="Y501">
            <v>0.05</v>
          </cell>
          <cell r="Z501">
            <v>0.05</v>
          </cell>
          <cell r="AA501">
            <v>0.05</v>
          </cell>
          <cell r="AB501">
            <v>0.05</v>
          </cell>
          <cell r="AD501">
            <v>0</v>
          </cell>
          <cell r="AE501">
            <v>0</v>
          </cell>
          <cell r="AF501">
            <v>0</v>
          </cell>
          <cell r="AG501">
            <v>50000000</v>
          </cell>
          <cell r="AH501">
            <v>50000000</v>
          </cell>
          <cell r="AI501">
            <v>0</v>
          </cell>
          <cell r="AJ501">
            <v>0</v>
          </cell>
          <cell r="AK501">
            <v>0</v>
          </cell>
          <cell r="AL501">
            <v>8000000</v>
          </cell>
          <cell r="AM501">
            <v>8000000</v>
          </cell>
          <cell r="AN501">
            <v>0</v>
          </cell>
          <cell r="AO501">
            <v>0</v>
          </cell>
          <cell r="AP501">
            <v>0</v>
          </cell>
          <cell r="AQ501">
            <v>2500000</v>
          </cell>
          <cell r="AR501">
            <v>2500000</v>
          </cell>
          <cell r="AT501" t="str">
            <v>NE International Programs - Unidentified - New - Unidentified - New - NE</v>
          </cell>
        </row>
        <row r="502">
          <cell r="B502" t="str">
            <v>NE Technical Services - Identified - New</v>
          </cell>
          <cell r="C502" t="str">
            <v>Technical Services</v>
          </cell>
          <cell r="D502" t="str">
            <v>NE</v>
          </cell>
          <cell r="E502" t="str">
            <v>NE Technical Services</v>
          </cell>
          <cell r="N502" t="str">
            <v>Identified - New</v>
          </cell>
          <cell r="AD502">
            <v>0</v>
          </cell>
          <cell r="AE502">
            <v>36056304.51296296</v>
          </cell>
          <cell r="AF502">
            <v>71802873.529629618</v>
          </cell>
          <cell r="AG502">
            <v>71498598.29814814</v>
          </cell>
          <cell r="AH502">
            <v>62765892.279629633</v>
          </cell>
          <cell r="AI502">
            <v>0</v>
          </cell>
          <cell r="AJ502">
            <v>10816891.353888888</v>
          </cell>
          <cell r="AK502">
            <v>21540862.058888886</v>
          </cell>
          <cell r="AL502">
            <v>21449579.489444442</v>
          </cell>
          <cell r="AM502">
            <v>18829767.68388889</v>
          </cell>
          <cell r="AN502">
            <v>0</v>
          </cell>
          <cell r="AO502">
            <v>2502646.3808462964</v>
          </cell>
          <cell r="AP502">
            <v>5072613.0725629628</v>
          </cell>
          <cell r="AQ502">
            <v>5251729.0026425924</v>
          </cell>
          <cell r="AR502">
            <v>4839029.1262407415</v>
          </cell>
          <cell r="AT502" t="str">
            <v>NE Technical Services - Identified - New - Identified - New - NE</v>
          </cell>
        </row>
        <row r="503">
          <cell r="B503" t="str">
            <v>NE Technical Services - Unidentified - New</v>
          </cell>
          <cell r="C503" t="str">
            <v>Technical Services</v>
          </cell>
          <cell r="D503" t="str">
            <v>NE</v>
          </cell>
          <cell r="E503" t="str">
            <v>NE Technical Services</v>
          </cell>
          <cell r="N503" t="str">
            <v>Unidentified - New</v>
          </cell>
          <cell r="S503">
            <v>0</v>
          </cell>
          <cell r="T503">
            <v>0.3</v>
          </cell>
          <cell r="U503">
            <v>0.3</v>
          </cell>
          <cell r="V503">
            <v>0.3</v>
          </cell>
          <cell r="W503">
            <v>0.3</v>
          </cell>
          <cell r="X503">
            <v>0</v>
          </cell>
          <cell r="Y503">
            <v>6.0999999999999999E-2</v>
          </cell>
          <cell r="Z503">
            <v>6.4000000000000001E-2</v>
          </cell>
          <cell r="AA503">
            <v>6.7000000000000004E-2</v>
          </cell>
          <cell r="AB503">
            <v>7.0000000000000007E-2</v>
          </cell>
          <cell r="AD503">
            <v>0</v>
          </cell>
          <cell r="AE503">
            <v>0</v>
          </cell>
          <cell r="AF503">
            <v>30000000</v>
          </cell>
          <cell r="AG503">
            <v>50000000</v>
          </cell>
          <cell r="AH503">
            <v>100000000</v>
          </cell>
          <cell r="AI503">
            <v>0</v>
          </cell>
          <cell r="AJ503">
            <v>0</v>
          </cell>
          <cell r="AK503">
            <v>9000000</v>
          </cell>
          <cell r="AL503">
            <v>15000000</v>
          </cell>
          <cell r="AM503">
            <v>30000000</v>
          </cell>
          <cell r="AN503">
            <v>0</v>
          </cell>
          <cell r="AO503">
            <v>0</v>
          </cell>
          <cell r="AP503">
            <v>1920000</v>
          </cell>
          <cell r="AQ503">
            <v>3350000</v>
          </cell>
          <cell r="AR503">
            <v>7000000.0000000009</v>
          </cell>
          <cell r="AT503" t="str">
            <v>NE Technical Services - Unidentified - New - Unidentified - New - NE</v>
          </cell>
        </row>
        <row r="504">
          <cell r="B504" t="str">
            <v>Commercial O&amp;M - Identified - New</v>
          </cell>
          <cell r="C504" t="str">
            <v>Commercial O&amp;M</v>
          </cell>
          <cell r="D504" t="str">
            <v>COMG</v>
          </cell>
          <cell r="E504" t="str">
            <v>Commercial O&amp;M</v>
          </cell>
          <cell r="N504" t="str">
            <v>Identified - New</v>
          </cell>
          <cell r="AD504">
            <v>0</v>
          </cell>
          <cell r="AE504">
            <v>17573523.735002603</v>
          </cell>
          <cell r="AF504">
            <v>23057518.58372457</v>
          </cell>
          <cell r="AG504">
            <v>24436338.028169014</v>
          </cell>
          <cell r="AH504">
            <v>7701300.2086593639</v>
          </cell>
          <cell r="AI504">
            <v>0</v>
          </cell>
          <cell r="AJ504">
            <v>2489582.5291253692</v>
          </cell>
          <cell r="AK504">
            <v>3266481.7993609803</v>
          </cell>
          <cell r="AL504">
            <v>3461814.5539906099</v>
          </cell>
          <cell r="AM504">
            <v>1091017.5295600765</v>
          </cell>
          <cell r="AN504">
            <v>0</v>
          </cell>
          <cell r="AO504">
            <v>625591.02112676052</v>
          </cell>
          <cell r="AP504">
            <v>893788.24334898288</v>
          </cell>
          <cell r="AQ504">
            <v>1042610.2112676057</v>
          </cell>
          <cell r="AR504">
            <v>352390.01043296827</v>
          </cell>
          <cell r="AT504" t="str">
            <v>Commercial O&amp;M - Identified - New - Identified - New - COMG</v>
          </cell>
        </row>
        <row r="505">
          <cell r="B505" t="str">
            <v>Commercial O&amp;M - Unidentified - New</v>
          </cell>
          <cell r="C505" t="str">
            <v>Commercial O&amp;M</v>
          </cell>
          <cell r="D505" t="str">
            <v>COMG</v>
          </cell>
          <cell r="E505" t="str">
            <v>Commercial O&amp;M</v>
          </cell>
          <cell r="N505" t="str">
            <v>Unidentified - New</v>
          </cell>
          <cell r="S505">
            <v>0</v>
          </cell>
          <cell r="T505">
            <v>0.14166666666666666</v>
          </cell>
          <cell r="U505">
            <v>0.14166666666666666</v>
          </cell>
          <cell r="V505">
            <v>0.14166666666666666</v>
          </cell>
          <cell r="W505">
            <v>0.14166666666666666</v>
          </cell>
          <cell r="X505">
            <v>0</v>
          </cell>
          <cell r="Y505">
            <v>3.7499999999999999E-2</v>
          </cell>
          <cell r="Z505">
            <v>0.04</v>
          </cell>
          <cell r="AA505">
            <v>4.2500000000000003E-2</v>
          </cell>
          <cell r="AB505">
            <v>4.4999999999999998E-2</v>
          </cell>
          <cell r="AD505">
            <v>0</v>
          </cell>
          <cell r="AE505">
            <v>20000000</v>
          </cell>
          <cell r="AF505">
            <v>65000000</v>
          </cell>
          <cell r="AG505">
            <v>90000000</v>
          </cell>
          <cell r="AH505">
            <v>160000000</v>
          </cell>
          <cell r="AI505">
            <v>0</v>
          </cell>
          <cell r="AJ505">
            <v>2833333.3333333335</v>
          </cell>
          <cell r="AK505">
            <v>9208333.333333334</v>
          </cell>
          <cell r="AL505">
            <v>12750000</v>
          </cell>
          <cell r="AM505">
            <v>22666666.666666668</v>
          </cell>
          <cell r="AN505">
            <v>0</v>
          </cell>
          <cell r="AO505">
            <v>750000</v>
          </cell>
          <cell r="AP505">
            <v>2600000</v>
          </cell>
          <cell r="AQ505">
            <v>3825000.0000000005</v>
          </cell>
          <cell r="AR505">
            <v>7200000</v>
          </cell>
          <cell r="AT505" t="str">
            <v>Commercial O&amp;M - Unidentified - New - Unidentified - New - COMG</v>
          </cell>
        </row>
        <row r="508">
          <cell r="B508" t="str">
            <v>Identified New Business</v>
          </cell>
        </row>
        <row r="509">
          <cell r="B509" t="str">
            <v>MR  - Identified - New</v>
          </cell>
          <cell r="D509" t="str">
            <v>MR</v>
          </cell>
          <cell r="N509" t="str">
            <v>Identified - New</v>
          </cell>
          <cell r="AE509">
            <v>237191219.77096039</v>
          </cell>
          <cell r="AF509">
            <v>460028095.85889244</v>
          </cell>
          <cell r="AG509">
            <v>519249501.92869121</v>
          </cell>
          <cell r="AH509">
            <v>480000846.20709479</v>
          </cell>
          <cell r="AI509">
            <v>0</v>
          </cell>
          <cell r="AJ509">
            <v>33153488.61301256</v>
          </cell>
          <cell r="AK509">
            <v>63333358.591322005</v>
          </cell>
          <cell r="AL509">
            <v>71869314.188246995</v>
          </cell>
          <cell r="AM509">
            <v>66294313.618814796</v>
          </cell>
          <cell r="AN509">
            <v>0</v>
          </cell>
          <cell r="AO509">
            <v>9727179.3191090785</v>
          </cell>
          <cell r="AP509">
            <v>19131745.55369053</v>
          </cell>
          <cell r="AQ509">
            <v>21925969.702757291</v>
          </cell>
          <cell r="AR509">
            <v>21837292.87100938</v>
          </cell>
        </row>
        <row r="510">
          <cell r="B510" t="str">
            <v>IS4  - Identified - New</v>
          </cell>
          <cell r="D510" t="str">
            <v>IS4</v>
          </cell>
          <cell r="N510" t="str">
            <v>Identified - New</v>
          </cell>
          <cell r="AE510">
            <v>227566692.86975694</v>
          </cell>
          <cell r="AF510">
            <v>482484806.84560329</v>
          </cell>
          <cell r="AG510">
            <v>627626807.20282936</v>
          </cell>
          <cell r="AH510">
            <v>758593561.11406875</v>
          </cell>
          <cell r="AI510">
            <v>0</v>
          </cell>
          <cell r="AJ510">
            <v>36201153.57291159</v>
          </cell>
          <cell r="AK510">
            <v>78802689.938322857</v>
          </cell>
          <cell r="AL510">
            <v>102705438.43865904</v>
          </cell>
          <cell r="AM510">
            <v>124531250.92853636</v>
          </cell>
          <cell r="AN510">
            <v>0</v>
          </cell>
          <cell r="AO510">
            <v>15265017.82889395</v>
          </cell>
          <cell r="AP510">
            <v>34414087.708527356</v>
          </cell>
          <cell r="AQ510">
            <v>44963772.175998747</v>
          </cell>
          <cell r="AR510">
            <v>54740643.306042045</v>
          </cell>
        </row>
        <row r="511">
          <cell r="B511" t="str">
            <v>NE  - Identified - New</v>
          </cell>
          <cell r="D511" t="str">
            <v>NE</v>
          </cell>
          <cell r="N511" t="str">
            <v>Identified - New</v>
          </cell>
          <cell r="AE511">
            <v>59865328.227048375</v>
          </cell>
          <cell r="AF511">
            <v>141411195.20721155</v>
          </cell>
          <cell r="AG511">
            <v>108659745.92919745</v>
          </cell>
          <cell r="AH511">
            <v>80480684.758962959</v>
          </cell>
          <cell r="AI511">
            <v>0</v>
          </cell>
          <cell r="AJ511">
            <v>14914501.915920332</v>
          </cell>
          <cell r="AK511">
            <v>33694214.53952422</v>
          </cell>
          <cell r="AL511">
            <v>27981613.110412329</v>
          </cell>
          <cell r="AM511">
            <v>21915551.14724889</v>
          </cell>
          <cell r="AN511">
            <v>0</v>
          </cell>
          <cell r="AO511">
            <v>3678447.402078283</v>
          </cell>
          <cell r="AP511">
            <v>8702785.6213143207</v>
          </cell>
          <cell r="AQ511">
            <v>7301419.1796325417</v>
          </cell>
          <cell r="AR511">
            <v>5867451.8825214077</v>
          </cell>
        </row>
        <row r="512">
          <cell r="B512" t="str">
            <v>COMG  - Identified - New</v>
          </cell>
          <cell r="D512" t="str">
            <v>COMG</v>
          </cell>
          <cell r="N512" t="str">
            <v>Identified - New</v>
          </cell>
          <cell r="AE512">
            <v>17573523.735002603</v>
          </cell>
          <cell r="AF512">
            <v>23057518.58372457</v>
          </cell>
          <cell r="AG512">
            <v>24436338.028169014</v>
          </cell>
          <cell r="AH512">
            <v>7701300.2086593639</v>
          </cell>
          <cell r="AI512">
            <v>0</v>
          </cell>
          <cell r="AJ512">
            <v>2489582.5291253692</v>
          </cell>
          <cell r="AK512">
            <v>3266481.7993609803</v>
          </cell>
          <cell r="AL512">
            <v>3461814.5539906099</v>
          </cell>
          <cell r="AM512">
            <v>1091017.5295600765</v>
          </cell>
          <cell r="AN512">
            <v>0</v>
          </cell>
          <cell r="AO512">
            <v>625591.02112676052</v>
          </cell>
          <cell r="AP512">
            <v>893788.24334898288</v>
          </cell>
          <cell r="AQ512">
            <v>1042610.2112676057</v>
          </cell>
          <cell r="AR512">
            <v>352390.01043296827</v>
          </cell>
        </row>
        <row r="513">
          <cell r="B513" t="str">
            <v>Total</v>
          </cell>
          <cell r="AE513">
            <v>542196764.6027683</v>
          </cell>
          <cell r="AF513">
            <v>1106981616.4954317</v>
          </cell>
          <cell r="AG513">
            <v>1279972393.088887</v>
          </cell>
          <cell r="AH513">
            <v>1326776392.2887859</v>
          </cell>
          <cell r="AI513">
            <v>0</v>
          </cell>
          <cell r="AJ513">
            <v>86758726.630969837</v>
          </cell>
          <cell r="AK513">
            <v>179096744.86853006</v>
          </cell>
          <cell r="AL513">
            <v>206018180.29130897</v>
          </cell>
          <cell r="AM513">
            <v>213832133.22416013</v>
          </cell>
          <cell r="AN513">
            <v>0</v>
          </cell>
          <cell r="AO513">
            <v>29296235.571208071</v>
          </cell>
          <cell r="AP513">
            <v>63142407.126881197</v>
          </cell>
          <cell r="AQ513">
            <v>75233771.269656181</v>
          </cell>
          <cell r="AR513">
            <v>82797778.070005804</v>
          </cell>
        </row>
        <row r="515">
          <cell r="B515" t="str">
            <v>Unidentified New Business</v>
          </cell>
        </row>
        <row r="516">
          <cell r="B516" t="str">
            <v>MR  - Unidentified - New</v>
          </cell>
          <cell r="D516" t="str">
            <v>MR</v>
          </cell>
          <cell r="N516" t="str">
            <v>Unidentified - New</v>
          </cell>
          <cell r="AE516">
            <v>0</v>
          </cell>
          <cell r="AF516">
            <v>0</v>
          </cell>
          <cell r="AG516">
            <v>215000000</v>
          </cell>
          <cell r="AH516">
            <v>600000000</v>
          </cell>
          <cell r="AI516">
            <v>0</v>
          </cell>
          <cell r="AJ516">
            <v>0</v>
          </cell>
          <cell r="AK516">
            <v>0</v>
          </cell>
          <cell r="AL516">
            <v>33337164.550788172</v>
          </cell>
          <cell r="AM516">
            <v>80178751.149796873</v>
          </cell>
          <cell r="AN516">
            <v>0</v>
          </cell>
          <cell r="AO516">
            <v>0</v>
          </cell>
          <cell r="AP516">
            <v>0</v>
          </cell>
          <cell r="AQ516">
            <v>15400318.864681667</v>
          </cell>
          <cell r="AR516">
            <v>32601275.458726667</v>
          </cell>
        </row>
        <row r="517">
          <cell r="B517" t="str">
            <v>IS4  - Unidentified - New</v>
          </cell>
          <cell r="D517" t="str">
            <v>IS4</v>
          </cell>
          <cell r="N517" t="str">
            <v>Unidentified - New</v>
          </cell>
          <cell r="AE517">
            <v>0</v>
          </cell>
          <cell r="AF517">
            <v>0</v>
          </cell>
          <cell r="AG517">
            <v>0</v>
          </cell>
          <cell r="AH517">
            <v>0</v>
          </cell>
          <cell r="AI517">
            <v>0</v>
          </cell>
          <cell r="AJ517">
            <v>0</v>
          </cell>
          <cell r="AK517">
            <v>0</v>
          </cell>
          <cell r="AL517">
            <v>0</v>
          </cell>
          <cell r="AM517">
            <v>0</v>
          </cell>
          <cell r="AN517">
            <v>0</v>
          </cell>
          <cell r="AO517">
            <v>0</v>
          </cell>
          <cell r="AP517">
            <v>0</v>
          </cell>
          <cell r="AQ517">
            <v>0</v>
          </cell>
          <cell r="AR517">
            <v>0</v>
          </cell>
        </row>
        <row r="518">
          <cell r="B518" t="str">
            <v>NE  - Unidentified - New</v>
          </cell>
          <cell r="D518" t="str">
            <v>NE</v>
          </cell>
          <cell r="N518" t="str">
            <v>Unidentified - New</v>
          </cell>
          <cell r="AE518">
            <v>0</v>
          </cell>
          <cell r="AF518">
            <v>60000000</v>
          </cell>
          <cell r="AG518">
            <v>200000000</v>
          </cell>
          <cell r="AH518">
            <v>470000000</v>
          </cell>
          <cell r="AI518">
            <v>0</v>
          </cell>
          <cell r="AJ518">
            <v>0</v>
          </cell>
          <cell r="AK518">
            <v>18000000</v>
          </cell>
          <cell r="AL518">
            <v>53000000</v>
          </cell>
          <cell r="AM518">
            <v>134000000</v>
          </cell>
          <cell r="AN518">
            <v>0</v>
          </cell>
          <cell r="AO518">
            <v>0</v>
          </cell>
          <cell r="AP518">
            <v>3420000</v>
          </cell>
          <cell r="AQ518">
            <v>10350000</v>
          </cell>
          <cell r="AR518">
            <v>23900000</v>
          </cell>
        </row>
        <row r="519">
          <cell r="B519" t="str">
            <v>COMG  - Unidentified - New</v>
          </cell>
          <cell r="D519" t="str">
            <v>COMG</v>
          </cell>
          <cell r="N519" t="str">
            <v>Unidentified - New</v>
          </cell>
          <cell r="AE519">
            <v>20000000</v>
          </cell>
          <cell r="AF519">
            <v>65000000</v>
          </cell>
          <cell r="AG519">
            <v>90000000</v>
          </cell>
          <cell r="AH519">
            <v>160000000</v>
          </cell>
          <cell r="AI519">
            <v>0</v>
          </cell>
          <cell r="AJ519">
            <v>2833333.3333333335</v>
          </cell>
          <cell r="AK519">
            <v>9208333.333333334</v>
          </cell>
          <cell r="AL519">
            <v>12750000</v>
          </cell>
          <cell r="AM519">
            <v>22666666.666666668</v>
          </cell>
          <cell r="AN519">
            <v>0</v>
          </cell>
          <cell r="AO519">
            <v>750000</v>
          </cell>
          <cell r="AP519">
            <v>2600000</v>
          </cell>
          <cell r="AQ519">
            <v>3825000.0000000005</v>
          </cell>
          <cell r="AR519">
            <v>7200000</v>
          </cell>
        </row>
        <row r="520">
          <cell r="B520" t="str">
            <v>Total</v>
          </cell>
          <cell r="AE520">
            <v>20000000</v>
          </cell>
          <cell r="AF520">
            <v>125000000</v>
          </cell>
          <cell r="AG520">
            <v>505000000</v>
          </cell>
          <cell r="AH520">
            <v>1230000000</v>
          </cell>
          <cell r="AI520">
            <v>0</v>
          </cell>
          <cell r="AJ520">
            <v>2833333.3333333335</v>
          </cell>
          <cell r="AK520">
            <v>27208333.333333336</v>
          </cell>
          <cell r="AL520">
            <v>99087164.550788164</v>
          </cell>
          <cell r="AM520">
            <v>236845417.81646353</v>
          </cell>
          <cell r="AN520">
            <v>0</v>
          </cell>
          <cell r="AO520">
            <v>750000</v>
          </cell>
          <cell r="AP520">
            <v>6020000</v>
          </cell>
          <cell r="AQ520">
            <v>29575318.864681669</v>
          </cell>
          <cell r="AR520">
            <v>63701275.458726667</v>
          </cell>
        </row>
      </sheetData>
      <sheetData sheetId="43"/>
      <sheetData sheetId="44"/>
      <sheetData sheetId="45">
        <row r="4">
          <cell r="A4">
            <v>5</v>
          </cell>
        </row>
      </sheetData>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P&amp;L"/>
      <sheetName val="QTR"/>
      <sheetName val="KEY"/>
      <sheetName val="SALES"/>
      <sheetName val="Changes"/>
      <sheetName val="QTR SUM"/>
      <sheetName val="QTR PRES Page"/>
      <sheetName val="BSCF"/>
      <sheetName val="P&amp;L2007"/>
      <sheetName val="P&amp;L2008"/>
      <sheetName val="Contribution"/>
      <sheetName val="MEDICARE"/>
      <sheetName val="PIPE"/>
      <sheetName val="EVENTS"/>
      <sheetName val="GUIDE"/>
      <sheetName val="ANN SUM"/>
      <sheetName val="PATENTS"/>
      <sheetName val="PR CTG"/>
      <sheetName val="Cialis P&amp;L"/>
      <sheetName val="GM"/>
      <sheetName val="FIGURES"/>
      <sheetName val="VAL ANALYSIS"/>
      <sheetName val="LEGAL"/>
      <sheetName val="Disclosures"/>
      <sheetName val="PrasugrelChart"/>
      <sheetName val="PrasugrelOut"/>
    </sheetNames>
    <sheetDataSet>
      <sheetData sheetId="0" refreshError="1">
        <row r="1">
          <cell r="H1">
            <v>39197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rnings Summary"/>
      <sheetName val="Summary Page"/>
      <sheetName val="Credit Model"/>
      <sheetName val="Assumptions"/>
      <sheetName val="Visualizations"/>
      <sheetName val="Update Log"/>
      <sheetName val="&gt;&gt;&gt;"/>
      <sheetName val="Other Data"/>
      <sheetName val="Historicals"/>
      <sheetName val="Organizational Structure"/>
      <sheetName val="US Radiology Specialists - F3Q2"/>
    </sheetNames>
    <sheetDataSet>
      <sheetData sheetId="0"/>
      <sheetData sheetId="1">
        <row r="2">
          <cell r="AA2">
            <v>1</v>
          </cell>
        </row>
        <row r="8">
          <cell r="AA8" t="str">
            <v>F3Q23</v>
          </cell>
        </row>
        <row r="9">
          <cell r="D9" t="str">
            <v>F3Q23</v>
          </cell>
        </row>
      </sheetData>
      <sheetData sheetId="2"/>
      <sheetData sheetId="3">
        <row r="3">
          <cell r="A3" t="str">
            <v>1 - Base Case</v>
          </cell>
        </row>
      </sheetData>
      <sheetData sheetId="4"/>
      <sheetData sheetId="5"/>
      <sheetData sheetId="6"/>
      <sheetData sheetId="7">
        <row r="43">
          <cell r="D43">
            <v>45199</v>
          </cell>
        </row>
      </sheetData>
      <sheetData sheetId="8">
        <row r="3">
          <cell r="C3">
            <v>193</v>
          </cell>
        </row>
      </sheetData>
      <sheetData sheetId="9"/>
      <sheetData sheetId="10"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Data Sheet"/>
      <sheetName val="Main Data Sheet Charts"/>
      <sheetName val="Elasticity"/>
      <sheetName val="Occupancy"/>
      <sheetName val="Dist of WD DD"/>
      <sheetName val="Seg. of Rms-EBITDA"/>
      <sheetName val="Occ-Rate Contri"/>
      <sheetName val="Occ-RevPAR Mix &amp; SP"/>
      <sheetName val="Inter Travel"/>
      <sheetName val="Forecasts"/>
      <sheetName val="Supply"/>
      <sheetName val="Supply1"/>
      <sheetName val="Supply by Chain"/>
      <sheetName val="Supply by Brand"/>
      <sheetName val="Raw Econ Data"/>
      <sheetName val="Seg. of Rms-EBITDA - LI"/>
      <sheetName val="Owners vs. Op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3">
          <cell r="A3" t="str">
            <v>1967 *Y</v>
          </cell>
          <cell r="B3" t="str">
            <v>gdph</v>
          </cell>
          <cell r="C3" t="str">
            <v>ch</v>
          </cell>
          <cell r="D3" t="str">
            <v>fnh</v>
          </cell>
          <cell r="E3" t="str">
            <v>pcu</v>
          </cell>
          <cell r="F3" t="str">
            <v>ypdh</v>
          </cell>
          <cell r="G3" t="str">
            <v>ycat</v>
          </cell>
          <cell r="H3" t="str">
            <v>ycbt</v>
          </cell>
          <cell r="I3" t="str">
            <v>ycp</v>
          </cell>
        </row>
      </sheetData>
      <sheetData sheetId="15" refreshError="1"/>
      <sheetData sheetId="16"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efreshError="1"/>
      <sheetData sheetId="1" refreshError="1">
        <row r="1">
          <cell r="A1" t="str">
            <v>1980-Q1 *Q</v>
          </cell>
          <cell r="B1" t="str">
            <v>GDPH@USECON</v>
          </cell>
        </row>
        <row r="2">
          <cell r="A2" t="str">
            <v>.DESC</v>
          </cell>
          <cell r="B2" t="str">
            <v>Gross Domestic Product (SAAR, Bil.Chn.1996$)</v>
          </cell>
        </row>
      </sheetData>
      <sheetData sheetId="2" refreshError="1">
        <row r="1">
          <cell r="A1" t="str">
            <v>1980-Q1 *Q</v>
          </cell>
          <cell r="B1" t="str">
            <v>CNFOXHM@USNA</v>
          </cell>
        </row>
        <row r="2">
          <cell r="A2" t="str">
            <v>.DESC</v>
          </cell>
          <cell r="B2" t="str">
            <v>PCE: Food Purchased for Off-Premise Consumption (SAAR, Mil.Chn.1996$)</v>
          </cell>
        </row>
      </sheetData>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and census"/>
      <sheetName val="Mkt Lookups"/>
      <sheetName val="brand lookup"/>
      <sheetName val="lookups"/>
      <sheetName val="CENSUS pivots"/>
      <sheetName val="top cos 5c pivots"/>
      <sheetName val="Pipeline pivots"/>
      <sheetName val="old open pivots"/>
      <sheetName val="Top Cos Ex 5B"/>
      <sheetName val="Top Cos Ex 5C"/>
    </sheetNames>
    <sheetDataSet>
      <sheetData sheetId="0" refreshError="1"/>
      <sheetData sheetId="1" refreshError="1"/>
      <sheetData sheetId="2" refreshError="1">
        <row r="33">
          <cell r="D33">
            <v>1383</v>
          </cell>
        </row>
        <row r="34">
          <cell r="D34">
            <v>2115</v>
          </cell>
        </row>
        <row r="35">
          <cell r="D35">
            <v>5023</v>
          </cell>
        </row>
        <row r="36">
          <cell r="D36">
            <v>6172</v>
          </cell>
        </row>
      </sheetData>
      <sheetData sheetId="3" refreshError="1"/>
      <sheetData sheetId="4" refreshError="1"/>
      <sheetData sheetId="5" refreshError="1">
        <row r="8">
          <cell r="AP8">
            <v>80</v>
          </cell>
          <cell r="AQ8">
            <v>45</v>
          </cell>
          <cell r="AR8">
            <v>24</v>
          </cell>
        </row>
        <row r="9">
          <cell r="AP9">
            <v>156</v>
          </cell>
          <cell r="AQ9">
            <v>201</v>
          </cell>
          <cell r="AR9">
            <v>123</v>
          </cell>
        </row>
        <row r="10">
          <cell r="AP10">
            <v>53</v>
          </cell>
          <cell r="AQ10">
            <v>49</v>
          </cell>
          <cell r="AR10">
            <v>49</v>
          </cell>
        </row>
        <row r="11">
          <cell r="AP11">
            <v>307</v>
          </cell>
          <cell r="AQ11">
            <v>445</v>
          </cell>
          <cell r="AR11">
            <v>200</v>
          </cell>
        </row>
        <row r="12">
          <cell r="AP12">
            <v>105</v>
          </cell>
          <cell r="AQ12">
            <v>194</v>
          </cell>
        </row>
        <row r="15">
          <cell r="AP15">
            <v>29811</v>
          </cell>
          <cell r="AQ15">
            <v>16066</v>
          </cell>
          <cell r="AR15">
            <v>8574</v>
          </cell>
        </row>
        <row r="16">
          <cell r="AP16">
            <v>22390</v>
          </cell>
          <cell r="AQ16">
            <v>28262</v>
          </cell>
          <cell r="AR16">
            <v>16464</v>
          </cell>
        </row>
        <row r="17">
          <cell r="AP17">
            <v>4538</v>
          </cell>
          <cell r="AQ17">
            <v>5794</v>
          </cell>
          <cell r="AR17">
            <v>5051</v>
          </cell>
        </row>
        <row r="18">
          <cell r="AP18">
            <v>27152</v>
          </cell>
          <cell r="AQ18">
            <v>39318</v>
          </cell>
          <cell r="AR18">
            <v>20491</v>
          </cell>
        </row>
        <row r="19">
          <cell r="AP19">
            <v>8524</v>
          </cell>
          <cell r="AQ19">
            <v>15556</v>
          </cell>
        </row>
      </sheetData>
      <sheetData sheetId="6" refreshError="1"/>
      <sheetData sheetId="7" refreshError="1"/>
      <sheetData sheetId="8" refreshError="1"/>
      <sheetData sheetId="9"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LY"/>
      <sheetName val="ROIC"/>
      <sheetName val="DCF"/>
      <sheetName val="WACC"/>
      <sheetName val="Scenarios"/>
      <sheetName val="EPS Sensitivity"/>
    </sheetNames>
    <sheetDataSet>
      <sheetData sheetId="0"/>
      <sheetData sheetId="1" refreshError="1"/>
      <sheetData sheetId="2" refreshError="1"/>
      <sheetData sheetId="3"/>
      <sheetData sheetId="4" refreshError="1"/>
      <sheetData sheetId="5"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audit"/>
      <sheetName val="Model"/>
      <sheetName val="COMPLink"/>
      <sheetName val="Trend"/>
      <sheetName val="Xpect Earn"/>
      <sheetName val="Xpect Qly"/>
      <sheetName val="Enroll"/>
      <sheetName val="Cap"/>
      <sheetName val="Rsvrs"/>
      <sheetName val="Harris"/>
      <sheetName val="3Q adj~fcn"/>
      <sheetName val="Notes"/>
      <sheetName val="Ex2"/>
      <sheetName val="Exhibits"/>
      <sheetName val="Tables"/>
      <sheetName val="Sensitivity"/>
      <sheetName val="annual is"/>
      <sheetName val="Graph"/>
      <sheetName val="Old"/>
      <sheetName val="FHP"/>
      <sheetName val="Print"/>
      <sheetName val="Xpect"/>
      <sheetName val="COMP"/>
      <sheetName val="4Q Adj"/>
      <sheetName val="Xpect FCN"/>
      <sheetName val="Shares"/>
      <sheetName val="FHP Merger"/>
      <sheetName val="End Notes"/>
      <sheetName val="Sheet1"/>
      <sheetName val="COMPLink old"/>
      <sheetName val="2Q98"/>
      <sheetName val=""/>
      <sheetName val="͉_x0004_͊_x0004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ensus"/>
      <sheetName val="brand lookup"/>
      <sheetName val="companies lookup"/>
      <sheetName val="census pivot"/>
      <sheetName val="old open pivots"/>
      <sheetName val="companies pivots"/>
      <sheetName val="DKW Mkt Ranks"/>
      <sheetName val="CL Mkt Ranks"/>
      <sheetName val="BS Hilton Mkt Share"/>
      <sheetName val="BS Marr Mkt Share"/>
      <sheetName val="BS Starwood Mkt Share"/>
      <sheetName val="Choice Mkt Share"/>
      <sheetName val="ESA Mkt Share"/>
      <sheetName val="Hilton Mkt Share"/>
      <sheetName val="Marriott Mkt Share"/>
      <sheetName val="Prime Mkt Share"/>
      <sheetName val="Starwood Mkt Share"/>
      <sheetName val="Wyndham Mkt Share"/>
      <sheetName val="Top Cos-CL"/>
    </sheetNames>
    <sheetDataSet>
      <sheetData sheetId="0" refreshError="1"/>
      <sheetData sheetId="1" refreshError="1"/>
      <sheetData sheetId="2" refreshError="1"/>
      <sheetData sheetId="3" refreshError="1">
        <row r="38">
          <cell r="C38" t="str">
            <v>Anaheim, CA</v>
          </cell>
          <cell r="D38">
            <v>0</v>
          </cell>
          <cell r="E38">
            <v>0</v>
          </cell>
          <cell r="F38">
            <v>0</v>
          </cell>
          <cell r="G38">
            <v>0</v>
          </cell>
          <cell r="H38">
            <v>0</v>
          </cell>
          <cell r="I38">
            <v>0</v>
          </cell>
          <cell r="J38">
            <v>0</v>
          </cell>
          <cell r="K38">
            <v>0</v>
          </cell>
          <cell r="L38">
            <v>2</v>
          </cell>
          <cell r="M38">
            <v>160</v>
          </cell>
          <cell r="N38">
            <v>0</v>
          </cell>
          <cell r="O38">
            <v>0</v>
          </cell>
          <cell r="P38">
            <v>0</v>
          </cell>
          <cell r="Q38">
            <v>0</v>
          </cell>
          <cell r="R38">
            <v>1</v>
          </cell>
          <cell r="S38">
            <v>85</v>
          </cell>
          <cell r="T38">
            <v>1</v>
          </cell>
          <cell r="U38">
            <v>75</v>
          </cell>
          <cell r="V38">
            <v>1</v>
          </cell>
          <cell r="W38">
            <v>75</v>
          </cell>
          <cell r="X38">
            <v>49</v>
          </cell>
          <cell r="Y38">
            <v>4789</v>
          </cell>
          <cell r="Z38">
            <v>0</v>
          </cell>
          <cell r="AA38">
            <v>0</v>
          </cell>
        </row>
        <row r="39">
          <cell r="C39" t="str">
            <v>Atlanta, GA</v>
          </cell>
          <cell r="D39">
            <v>18</v>
          </cell>
          <cell r="E39">
            <v>1235</v>
          </cell>
          <cell r="F39">
            <v>2</v>
          </cell>
          <cell r="G39">
            <v>131</v>
          </cell>
          <cell r="H39">
            <v>0</v>
          </cell>
          <cell r="I39">
            <v>0</v>
          </cell>
          <cell r="J39">
            <v>2</v>
          </cell>
          <cell r="K39">
            <v>131</v>
          </cell>
          <cell r="L39">
            <v>6</v>
          </cell>
          <cell r="M39">
            <v>590</v>
          </cell>
          <cell r="N39">
            <v>1</v>
          </cell>
          <cell r="O39">
            <v>51</v>
          </cell>
          <cell r="P39">
            <v>4</v>
          </cell>
          <cell r="Q39">
            <v>270</v>
          </cell>
          <cell r="R39">
            <v>1</v>
          </cell>
          <cell r="S39">
            <v>200</v>
          </cell>
          <cell r="T39">
            <v>2</v>
          </cell>
          <cell r="U39">
            <v>200</v>
          </cell>
          <cell r="V39">
            <v>2</v>
          </cell>
          <cell r="W39">
            <v>200</v>
          </cell>
          <cell r="X39">
            <v>104</v>
          </cell>
          <cell r="Y39">
            <v>9636</v>
          </cell>
          <cell r="Z39">
            <v>2</v>
          </cell>
          <cell r="AA39">
            <v>142</v>
          </cell>
        </row>
        <row r="40">
          <cell r="C40" t="str">
            <v>Boston, MA</v>
          </cell>
          <cell r="D40">
            <v>2</v>
          </cell>
          <cell r="E40">
            <v>169</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25</v>
          </cell>
          <cell r="Y40">
            <v>3086</v>
          </cell>
          <cell r="Z40">
            <v>0</v>
          </cell>
          <cell r="AA40">
            <v>0</v>
          </cell>
        </row>
        <row r="41">
          <cell r="C41" t="str">
            <v>Chicago, IL</v>
          </cell>
          <cell r="D41">
            <v>6</v>
          </cell>
          <cell r="E41">
            <v>401</v>
          </cell>
          <cell r="F41">
            <v>2</v>
          </cell>
          <cell r="G41">
            <v>191</v>
          </cell>
          <cell r="H41">
            <v>4</v>
          </cell>
          <cell r="I41">
            <v>409</v>
          </cell>
          <cell r="J41">
            <v>6</v>
          </cell>
          <cell r="K41">
            <v>600</v>
          </cell>
          <cell r="L41">
            <v>8</v>
          </cell>
          <cell r="M41">
            <v>1358</v>
          </cell>
          <cell r="N41">
            <v>2</v>
          </cell>
          <cell r="O41">
            <v>191</v>
          </cell>
          <cell r="P41">
            <v>2</v>
          </cell>
          <cell r="Q41">
            <v>169</v>
          </cell>
          <cell r="R41">
            <v>5</v>
          </cell>
          <cell r="S41">
            <v>728</v>
          </cell>
          <cell r="T41">
            <v>5</v>
          </cell>
          <cell r="U41">
            <v>870</v>
          </cell>
          <cell r="V41">
            <v>5</v>
          </cell>
          <cell r="W41">
            <v>870</v>
          </cell>
          <cell r="X41">
            <v>44</v>
          </cell>
          <cell r="Y41">
            <v>4558</v>
          </cell>
          <cell r="Z41">
            <v>1</v>
          </cell>
          <cell r="AA41">
            <v>60</v>
          </cell>
        </row>
        <row r="42">
          <cell r="C42" t="str">
            <v>Dallas, TX</v>
          </cell>
          <cell r="D42">
            <v>18</v>
          </cell>
          <cell r="E42">
            <v>1139</v>
          </cell>
          <cell r="F42">
            <v>1</v>
          </cell>
          <cell r="G42">
            <v>65</v>
          </cell>
          <cell r="H42">
            <v>2</v>
          </cell>
          <cell r="I42">
            <v>210</v>
          </cell>
          <cell r="J42">
            <v>3</v>
          </cell>
          <cell r="K42">
            <v>275</v>
          </cell>
          <cell r="L42">
            <v>4</v>
          </cell>
          <cell r="M42">
            <v>300</v>
          </cell>
          <cell r="N42">
            <v>1</v>
          </cell>
          <cell r="O42">
            <v>65</v>
          </cell>
          <cell r="P42">
            <v>3</v>
          </cell>
          <cell r="Q42">
            <v>270</v>
          </cell>
          <cell r="R42">
            <v>1</v>
          </cell>
          <cell r="S42">
            <v>80</v>
          </cell>
          <cell r="T42">
            <v>2</v>
          </cell>
          <cell r="U42">
            <v>160</v>
          </cell>
          <cell r="V42">
            <v>2</v>
          </cell>
          <cell r="W42">
            <v>160</v>
          </cell>
          <cell r="X42">
            <v>60</v>
          </cell>
          <cell r="Y42">
            <v>5572</v>
          </cell>
          <cell r="Z42">
            <v>1</v>
          </cell>
          <cell r="AA42">
            <v>65</v>
          </cell>
        </row>
        <row r="43">
          <cell r="C43" t="str">
            <v>Denver, CO</v>
          </cell>
          <cell r="D43">
            <v>5</v>
          </cell>
          <cell r="E43">
            <v>480</v>
          </cell>
          <cell r="F43">
            <v>0</v>
          </cell>
          <cell r="G43">
            <v>0</v>
          </cell>
          <cell r="H43">
            <v>1</v>
          </cell>
          <cell r="I43">
            <v>120</v>
          </cell>
          <cell r="J43">
            <v>1</v>
          </cell>
          <cell r="K43">
            <v>120</v>
          </cell>
          <cell r="L43">
            <v>5</v>
          </cell>
          <cell r="M43">
            <v>572</v>
          </cell>
          <cell r="N43">
            <v>0</v>
          </cell>
          <cell r="O43">
            <v>0</v>
          </cell>
          <cell r="P43">
            <v>1</v>
          </cell>
          <cell r="Q43">
            <v>120</v>
          </cell>
          <cell r="R43">
            <v>1</v>
          </cell>
          <cell r="S43">
            <v>110</v>
          </cell>
          <cell r="T43">
            <v>4</v>
          </cell>
          <cell r="U43">
            <v>462</v>
          </cell>
          <cell r="V43">
            <v>4</v>
          </cell>
          <cell r="W43">
            <v>462</v>
          </cell>
          <cell r="X43">
            <v>26</v>
          </cell>
          <cell r="Y43">
            <v>2953</v>
          </cell>
          <cell r="Z43">
            <v>0</v>
          </cell>
          <cell r="AA43">
            <v>0</v>
          </cell>
        </row>
        <row r="44">
          <cell r="C44" t="str">
            <v>Detroit, MI</v>
          </cell>
          <cell r="D44">
            <v>8</v>
          </cell>
          <cell r="E44">
            <v>554</v>
          </cell>
          <cell r="F44">
            <v>1</v>
          </cell>
          <cell r="G44">
            <v>75</v>
          </cell>
          <cell r="H44">
            <v>1</v>
          </cell>
          <cell r="I44">
            <v>80</v>
          </cell>
          <cell r="J44">
            <v>2</v>
          </cell>
          <cell r="K44">
            <v>155</v>
          </cell>
          <cell r="L44">
            <v>0</v>
          </cell>
          <cell r="M44">
            <v>0</v>
          </cell>
          <cell r="N44">
            <v>0</v>
          </cell>
          <cell r="O44">
            <v>0</v>
          </cell>
          <cell r="P44">
            <v>2</v>
          </cell>
          <cell r="Q44">
            <v>155</v>
          </cell>
          <cell r="R44">
            <v>0</v>
          </cell>
          <cell r="S44">
            <v>0</v>
          </cell>
          <cell r="T44">
            <v>0</v>
          </cell>
          <cell r="U44">
            <v>0</v>
          </cell>
          <cell r="V44">
            <v>0</v>
          </cell>
          <cell r="W44">
            <v>0</v>
          </cell>
          <cell r="X44">
            <v>47</v>
          </cell>
          <cell r="Y44">
            <v>4675</v>
          </cell>
          <cell r="Z44">
            <v>1</v>
          </cell>
          <cell r="AA44">
            <v>50</v>
          </cell>
        </row>
        <row r="45">
          <cell r="C45" t="str">
            <v>Houston, TX</v>
          </cell>
          <cell r="D45">
            <v>18</v>
          </cell>
          <cell r="E45">
            <v>980</v>
          </cell>
          <cell r="F45">
            <v>1</v>
          </cell>
          <cell r="G45">
            <v>45</v>
          </cell>
          <cell r="H45">
            <v>4</v>
          </cell>
          <cell r="I45">
            <v>217</v>
          </cell>
          <cell r="J45">
            <v>5</v>
          </cell>
          <cell r="K45">
            <v>262</v>
          </cell>
          <cell r="L45">
            <v>2</v>
          </cell>
          <cell r="M45">
            <v>225</v>
          </cell>
          <cell r="N45">
            <v>0</v>
          </cell>
          <cell r="O45">
            <v>0</v>
          </cell>
          <cell r="P45">
            <v>5</v>
          </cell>
          <cell r="Q45">
            <v>262</v>
          </cell>
          <cell r="R45">
            <v>2</v>
          </cell>
          <cell r="S45">
            <v>225</v>
          </cell>
          <cell r="T45">
            <v>0</v>
          </cell>
          <cell r="U45">
            <v>0</v>
          </cell>
          <cell r="V45">
            <v>0</v>
          </cell>
          <cell r="W45">
            <v>0</v>
          </cell>
          <cell r="X45">
            <v>56</v>
          </cell>
          <cell r="Y45">
            <v>4740</v>
          </cell>
          <cell r="Z45">
            <v>3</v>
          </cell>
          <cell r="AA45">
            <v>140</v>
          </cell>
        </row>
        <row r="46">
          <cell r="C46" t="str">
            <v>Los Angeles, CA</v>
          </cell>
          <cell r="D46">
            <v>3</v>
          </cell>
          <cell r="E46">
            <v>220</v>
          </cell>
          <cell r="F46">
            <v>0</v>
          </cell>
          <cell r="G46">
            <v>0</v>
          </cell>
          <cell r="H46">
            <v>0</v>
          </cell>
          <cell r="I46">
            <v>0</v>
          </cell>
          <cell r="J46">
            <v>0</v>
          </cell>
          <cell r="K46">
            <v>0</v>
          </cell>
          <cell r="L46">
            <v>1</v>
          </cell>
          <cell r="M46">
            <v>200</v>
          </cell>
          <cell r="N46">
            <v>0</v>
          </cell>
          <cell r="O46">
            <v>0</v>
          </cell>
          <cell r="P46">
            <v>0</v>
          </cell>
          <cell r="Q46">
            <v>0</v>
          </cell>
          <cell r="R46">
            <v>1</v>
          </cell>
          <cell r="S46">
            <v>200</v>
          </cell>
          <cell r="T46">
            <v>0</v>
          </cell>
          <cell r="U46">
            <v>0</v>
          </cell>
          <cell r="V46">
            <v>0</v>
          </cell>
          <cell r="W46">
            <v>0</v>
          </cell>
          <cell r="X46">
            <v>91</v>
          </cell>
          <cell r="Y46">
            <v>6840</v>
          </cell>
          <cell r="Z46">
            <v>1</v>
          </cell>
          <cell r="AA46">
            <v>105</v>
          </cell>
        </row>
        <row r="47">
          <cell r="C47" t="str">
            <v>Miami, FL</v>
          </cell>
          <cell r="D47">
            <v>1</v>
          </cell>
          <cell r="E47">
            <v>88</v>
          </cell>
          <cell r="F47">
            <v>0</v>
          </cell>
          <cell r="G47">
            <v>0</v>
          </cell>
          <cell r="H47">
            <v>0</v>
          </cell>
          <cell r="I47">
            <v>0</v>
          </cell>
          <cell r="J47">
            <v>0</v>
          </cell>
          <cell r="K47">
            <v>0</v>
          </cell>
          <cell r="L47">
            <v>1</v>
          </cell>
          <cell r="M47">
            <v>120</v>
          </cell>
          <cell r="N47">
            <v>0</v>
          </cell>
          <cell r="O47">
            <v>0</v>
          </cell>
          <cell r="P47">
            <v>0</v>
          </cell>
          <cell r="Q47">
            <v>0</v>
          </cell>
          <cell r="R47">
            <v>0</v>
          </cell>
          <cell r="S47">
            <v>0</v>
          </cell>
          <cell r="T47">
            <v>1</v>
          </cell>
          <cell r="U47">
            <v>120</v>
          </cell>
          <cell r="V47">
            <v>1</v>
          </cell>
          <cell r="W47">
            <v>120</v>
          </cell>
          <cell r="X47">
            <v>35</v>
          </cell>
          <cell r="Y47">
            <v>4417</v>
          </cell>
          <cell r="Z47">
            <v>0</v>
          </cell>
          <cell r="AA47">
            <v>0</v>
          </cell>
        </row>
        <row r="48">
          <cell r="C48" t="str">
            <v>Minneapolis, MN</v>
          </cell>
          <cell r="D48">
            <v>1</v>
          </cell>
          <cell r="E48">
            <v>84</v>
          </cell>
          <cell r="F48">
            <v>0</v>
          </cell>
          <cell r="G48">
            <v>0</v>
          </cell>
          <cell r="H48">
            <v>0</v>
          </cell>
          <cell r="I48">
            <v>0</v>
          </cell>
          <cell r="J48">
            <v>0</v>
          </cell>
          <cell r="K48">
            <v>0</v>
          </cell>
          <cell r="L48">
            <v>2</v>
          </cell>
          <cell r="M48">
            <v>246</v>
          </cell>
          <cell r="N48">
            <v>0</v>
          </cell>
          <cell r="O48">
            <v>0</v>
          </cell>
          <cell r="P48">
            <v>0</v>
          </cell>
          <cell r="Q48">
            <v>0</v>
          </cell>
          <cell r="R48">
            <v>1</v>
          </cell>
          <cell r="S48">
            <v>100</v>
          </cell>
          <cell r="T48">
            <v>1</v>
          </cell>
          <cell r="U48">
            <v>146</v>
          </cell>
          <cell r="V48">
            <v>1</v>
          </cell>
          <cell r="W48">
            <v>146</v>
          </cell>
          <cell r="X48">
            <v>37</v>
          </cell>
          <cell r="Y48">
            <v>3818</v>
          </cell>
          <cell r="Z48">
            <v>0</v>
          </cell>
          <cell r="AA48">
            <v>0</v>
          </cell>
        </row>
        <row r="49">
          <cell r="C49" t="str">
            <v>Nashville, TN</v>
          </cell>
          <cell r="D49">
            <v>8</v>
          </cell>
          <cell r="E49">
            <v>515</v>
          </cell>
          <cell r="F49">
            <v>0</v>
          </cell>
          <cell r="G49">
            <v>0</v>
          </cell>
          <cell r="H49">
            <v>1</v>
          </cell>
          <cell r="I49">
            <v>70</v>
          </cell>
          <cell r="J49">
            <v>1</v>
          </cell>
          <cell r="K49">
            <v>70</v>
          </cell>
          <cell r="L49">
            <v>2</v>
          </cell>
          <cell r="M49">
            <v>186</v>
          </cell>
          <cell r="N49">
            <v>0</v>
          </cell>
          <cell r="O49">
            <v>0</v>
          </cell>
          <cell r="P49">
            <v>1</v>
          </cell>
          <cell r="Q49">
            <v>70</v>
          </cell>
          <cell r="R49">
            <v>1</v>
          </cell>
          <cell r="S49">
            <v>101</v>
          </cell>
          <cell r="T49">
            <v>1</v>
          </cell>
          <cell r="U49">
            <v>85</v>
          </cell>
          <cell r="V49">
            <v>1</v>
          </cell>
          <cell r="W49">
            <v>85</v>
          </cell>
          <cell r="X49">
            <v>49</v>
          </cell>
          <cell r="Y49">
            <v>5056</v>
          </cell>
          <cell r="Z49">
            <v>0</v>
          </cell>
          <cell r="AA49">
            <v>0</v>
          </cell>
        </row>
        <row r="50">
          <cell r="C50" t="str">
            <v>New Orleans, LA</v>
          </cell>
          <cell r="D50">
            <v>6</v>
          </cell>
          <cell r="E50">
            <v>536</v>
          </cell>
          <cell r="F50">
            <v>0</v>
          </cell>
          <cell r="G50">
            <v>0</v>
          </cell>
          <cell r="H50">
            <v>2</v>
          </cell>
          <cell r="I50">
            <v>275</v>
          </cell>
          <cell r="J50">
            <v>2</v>
          </cell>
          <cell r="K50">
            <v>275</v>
          </cell>
          <cell r="L50">
            <v>3</v>
          </cell>
          <cell r="M50">
            <v>296</v>
          </cell>
          <cell r="N50">
            <v>0</v>
          </cell>
          <cell r="O50">
            <v>0</v>
          </cell>
          <cell r="P50">
            <v>0</v>
          </cell>
          <cell r="Q50">
            <v>0</v>
          </cell>
          <cell r="R50">
            <v>4</v>
          </cell>
          <cell r="S50">
            <v>500</v>
          </cell>
          <cell r="T50">
            <v>1</v>
          </cell>
          <cell r="U50">
            <v>71</v>
          </cell>
          <cell r="V50">
            <v>1</v>
          </cell>
          <cell r="W50">
            <v>71</v>
          </cell>
          <cell r="X50">
            <v>24</v>
          </cell>
          <cell r="Y50">
            <v>2992</v>
          </cell>
          <cell r="Z50">
            <v>0</v>
          </cell>
          <cell r="AA50">
            <v>0</v>
          </cell>
        </row>
        <row r="51">
          <cell r="C51" t="str">
            <v>New York, NY</v>
          </cell>
          <cell r="D51">
            <v>1</v>
          </cell>
          <cell r="E51">
            <v>217</v>
          </cell>
          <cell r="F51">
            <v>2</v>
          </cell>
          <cell r="G51">
            <v>267</v>
          </cell>
          <cell r="H51">
            <v>0</v>
          </cell>
          <cell r="I51">
            <v>0</v>
          </cell>
          <cell r="J51">
            <v>2</v>
          </cell>
          <cell r="K51">
            <v>267</v>
          </cell>
          <cell r="L51">
            <v>1</v>
          </cell>
          <cell r="M51">
            <v>250</v>
          </cell>
          <cell r="N51">
            <v>1</v>
          </cell>
          <cell r="O51">
            <v>217</v>
          </cell>
          <cell r="P51">
            <v>1</v>
          </cell>
          <cell r="Q51">
            <v>50</v>
          </cell>
          <cell r="R51">
            <v>0</v>
          </cell>
          <cell r="S51">
            <v>0</v>
          </cell>
          <cell r="T51">
            <v>1</v>
          </cell>
          <cell r="U51">
            <v>250</v>
          </cell>
          <cell r="V51">
            <v>1</v>
          </cell>
          <cell r="W51">
            <v>250</v>
          </cell>
          <cell r="X51">
            <v>12</v>
          </cell>
          <cell r="Y51">
            <v>4262</v>
          </cell>
          <cell r="Z51">
            <v>0</v>
          </cell>
          <cell r="AA51">
            <v>0</v>
          </cell>
        </row>
        <row r="52">
          <cell r="C52" t="str">
            <v>Norfolk, VA</v>
          </cell>
          <cell r="D52">
            <v>3</v>
          </cell>
          <cell r="E52">
            <v>171</v>
          </cell>
          <cell r="F52">
            <v>0</v>
          </cell>
          <cell r="G52">
            <v>0</v>
          </cell>
          <cell r="H52">
            <v>0</v>
          </cell>
          <cell r="I52">
            <v>0</v>
          </cell>
          <cell r="J52">
            <v>0</v>
          </cell>
          <cell r="K52">
            <v>0</v>
          </cell>
          <cell r="L52">
            <v>4</v>
          </cell>
          <cell r="M52">
            <v>470</v>
          </cell>
          <cell r="N52">
            <v>0</v>
          </cell>
          <cell r="O52">
            <v>0</v>
          </cell>
          <cell r="P52">
            <v>0</v>
          </cell>
          <cell r="Q52">
            <v>0</v>
          </cell>
          <cell r="R52">
            <v>3</v>
          </cell>
          <cell r="S52">
            <v>350</v>
          </cell>
          <cell r="T52">
            <v>1</v>
          </cell>
          <cell r="U52">
            <v>120</v>
          </cell>
          <cell r="V52">
            <v>1</v>
          </cell>
          <cell r="W52">
            <v>120</v>
          </cell>
          <cell r="X52">
            <v>56</v>
          </cell>
          <cell r="Y52">
            <v>5790</v>
          </cell>
          <cell r="Z52">
            <v>0</v>
          </cell>
          <cell r="AA52">
            <v>0</v>
          </cell>
        </row>
        <row r="53">
          <cell r="C53" t="str">
            <v>Oahu Island</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1</v>
          </cell>
          <cell r="Y53">
            <v>80</v>
          </cell>
          <cell r="Z53">
            <v>0</v>
          </cell>
          <cell r="AA53">
            <v>0</v>
          </cell>
        </row>
        <row r="54">
          <cell r="C54" t="str">
            <v>Orlando, FL</v>
          </cell>
          <cell r="D54">
            <v>1</v>
          </cell>
          <cell r="E54">
            <v>100</v>
          </cell>
          <cell r="F54">
            <v>0</v>
          </cell>
          <cell r="G54">
            <v>0</v>
          </cell>
          <cell r="H54">
            <v>1</v>
          </cell>
          <cell r="I54">
            <v>250</v>
          </cell>
          <cell r="J54">
            <v>1</v>
          </cell>
          <cell r="K54">
            <v>250</v>
          </cell>
          <cell r="L54">
            <v>6</v>
          </cell>
          <cell r="M54">
            <v>1600</v>
          </cell>
          <cell r="N54">
            <v>0</v>
          </cell>
          <cell r="O54">
            <v>0</v>
          </cell>
          <cell r="P54">
            <v>1</v>
          </cell>
          <cell r="Q54">
            <v>250</v>
          </cell>
          <cell r="R54">
            <v>1</v>
          </cell>
          <cell r="S54">
            <v>100</v>
          </cell>
          <cell r="T54">
            <v>5</v>
          </cell>
          <cell r="U54">
            <v>1500</v>
          </cell>
          <cell r="V54">
            <v>5</v>
          </cell>
          <cell r="W54">
            <v>1500</v>
          </cell>
          <cell r="X54">
            <v>79</v>
          </cell>
          <cell r="Y54">
            <v>16834</v>
          </cell>
          <cell r="Z54">
            <v>0</v>
          </cell>
          <cell r="AA54">
            <v>0</v>
          </cell>
        </row>
        <row r="55">
          <cell r="C55" t="str">
            <v>Philadelphia, PA</v>
          </cell>
          <cell r="D55">
            <v>0</v>
          </cell>
          <cell r="E55">
            <v>0</v>
          </cell>
          <cell r="F55">
            <v>0</v>
          </cell>
          <cell r="G55">
            <v>0</v>
          </cell>
          <cell r="H55">
            <v>1</v>
          </cell>
          <cell r="I55">
            <v>80</v>
          </cell>
          <cell r="J55">
            <v>1</v>
          </cell>
          <cell r="K55">
            <v>80</v>
          </cell>
          <cell r="L55">
            <v>3</v>
          </cell>
          <cell r="M55">
            <v>678</v>
          </cell>
          <cell r="N55">
            <v>0</v>
          </cell>
          <cell r="O55">
            <v>0</v>
          </cell>
          <cell r="P55">
            <v>1</v>
          </cell>
          <cell r="Q55">
            <v>80</v>
          </cell>
          <cell r="R55">
            <v>0</v>
          </cell>
          <cell r="S55">
            <v>0</v>
          </cell>
          <cell r="T55">
            <v>3</v>
          </cell>
          <cell r="U55">
            <v>678</v>
          </cell>
          <cell r="V55">
            <v>3</v>
          </cell>
          <cell r="W55">
            <v>678</v>
          </cell>
          <cell r="X55">
            <v>24</v>
          </cell>
          <cell r="Y55">
            <v>2475</v>
          </cell>
          <cell r="Z55">
            <v>0</v>
          </cell>
          <cell r="AA55">
            <v>0</v>
          </cell>
        </row>
        <row r="56">
          <cell r="C56" t="str">
            <v>Phoenix, AZ</v>
          </cell>
          <cell r="D56">
            <v>7</v>
          </cell>
          <cell r="E56">
            <v>413</v>
          </cell>
          <cell r="F56">
            <v>0</v>
          </cell>
          <cell r="G56">
            <v>0</v>
          </cell>
          <cell r="H56">
            <v>1</v>
          </cell>
          <cell r="I56">
            <v>100</v>
          </cell>
          <cell r="J56">
            <v>1</v>
          </cell>
          <cell r="K56">
            <v>100</v>
          </cell>
          <cell r="L56">
            <v>3</v>
          </cell>
          <cell r="M56">
            <v>325</v>
          </cell>
          <cell r="N56">
            <v>0</v>
          </cell>
          <cell r="O56">
            <v>0</v>
          </cell>
          <cell r="P56">
            <v>0</v>
          </cell>
          <cell r="Q56">
            <v>0</v>
          </cell>
          <cell r="R56">
            <v>2</v>
          </cell>
          <cell r="S56">
            <v>200</v>
          </cell>
          <cell r="T56">
            <v>2</v>
          </cell>
          <cell r="U56">
            <v>225</v>
          </cell>
          <cell r="V56">
            <v>2</v>
          </cell>
          <cell r="W56">
            <v>225</v>
          </cell>
          <cell r="X56">
            <v>39</v>
          </cell>
          <cell r="Y56">
            <v>3947</v>
          </cell>
          <cell r="Z56">
            <v>0</v>
          </cell>
          <cell r="AA56">
            <v>0</v>
          </cell>
        </row>
        <row r="57">
          <cell r="C57" t="str">
            <v>Saint Louis, MO</v>
          </cell>
          <cell r="D57">
            <v>10</v>
          </cell>
          <cell r="E57">
            <v>644</v>
          </cell>
          <cell r="F57">
            <v>0</v>
          </cell>
          <cell r="G57">
            <v>0</v>
          </cell>
          <cell r="H57">
            <v>2</v>
          </cell>
          <cell r="I57">
            <v>195</v>
          </cell>
          <cell r="J57">
            <v>2</v>
          </cell>
          <cell r="K57">
            <v>195</v>
          </cell>
          <cell r="L57">
            <v>1</v>
          </cell>
          <cell r="M57">
            <v>144</v>
          </cell>
          <cell r="N57">
            <v>0</v>
          </cell>
          <cell r="O57">
            <v>0</v>
          </cell>
          <cell r="P57">
            <v>2</v>
          </cell>
          <cell r="Q57">
            <v>195</v>
          </cell>
          <cell r="R57">
            <v>0</v>
          </cell>
          <cell r="S57">
            <v>0</v>
          </cell>
          <cell r="T57">
            <v>1</v>
          </cell>
          <cell r="U57">
            <v>144</v>
          </cell>
          <cell r="V57">
            <v>1</v>
          </cell>
          <cell r="W57">
            <v>144</v>
          </cell>
          <cell r="X57">
            <v>49</v>
          </cell>
          <cell r="Y57">
            <v>4267</v>
          </cell>
          <cell r="Z57">
            <v>0</v>
          </cell>
          <cell r="AA57">
            <v>0</v>
          </cell>
        </row>
        <row r="58">
          <cell r="C58" t="str">
            <v>San Diego, CA</v>
          </cell>
          <cell r="D58">
            <v>0</v>
          </cell>
          <cell r="E58">
            <v>0</v>
          </cell>
          <cell r="F58">
            <v>0</v>
          </cell>
          <cell r="G58">
            <v>0</v>
          </cell>
          <cell r="H58">
            <v>0</v>
          </cell>
          <cell r="I58">
            <v>0</v>
          </cell>
          <cell r="J58">
            <v>0</v>
          </cell>
          <cell r="K58">
            <v>0</v>
          </cell>
          <cell r="L58">
            <v>4</v>
          </cell>
          <cell r="M58">
            <v>391</v>
          </cell>
          <cell r="N58">
            <v>0</v>
          </cell>
          <cell r="O58">
            <v>0</v>
          </cell>
          <cell r="P58">
            <v>0</v>
          </cell>
          <cell r="Q58">
            <v>0</v>
          </cell>
          <cell r="R58">
            <v>0</v>
          </cell>
          <cell r="S58">
            <v>0</v>
          </cell>
          <cell r="T58">
            <v>4</v>
          </cell>
          <cell r="U58">
            <v>391</v>
          </cell>
          <cell r="V58">
            <v>4</v>
          </cell>
          <cell r="W58">
            <v>391</v>
          </cell>
          <cell r="X58">
            <v>64</v>
          </cell>
          <cell r="Y58">
            <v>5089</v>
          </cell>
          <cell r="Z58">
            <v>0</v>
          </cell>
          <cell r="AA58">
            <v>0</v>
          </cell>
        </row>
        <row r="59">
          <cell r="C59" t="str">
            <v>San Francisco, CA</v>
          </cell>
          <cell r="D59">
            <v>3</v>
          </cell>
          <cell r="E59">
            <v>131</v>
          </cell>
          <cell r="F59">
            <v>3</v>
          </cell>
          <cell r="G59">
            <v>233</v>
          </cell>
          <cell r="H59">
            <v>1</v>
          </cell>
          <cell r="I59">
            <v>63</v>
          </cell>
          <cell r="J59">
            <v>4</v>
          </cell>
          <cell r="K59">
            <v>296</v>
          </cell>
          <cell r="L59">
            <v>0</v>
          </cell>
          <cell r="M59">
            <v>0</v>
          </cell>
          <cell r="N59">
            <v>2</v>
          </cell>
          <cell r="O59">
            <v>188</v>
          </cell>
          <cell r="P59">
            <v>2</v>
          </cell>
          <cell r="Q59">
            <v>108</v>
          </cell>
          <cell r="R59">
            <v>0</v>
          </cell>
          <cell r="S59">
            <v>0</v>
          </cell>
          <cell r="T59">
            <v>0</v>
          </cell>
          <cell r="U59">
            <v>0</v>
          </cell>
          <cell r="V59">
            <v>0</v>
          </cell>
          <cell r="W59">
            <v>0</v>
          </cell>
          <cell r="X59">
            <v>43</v>
          </cell>
          <cell r="Y59">
            <v>3326</v>
          </cell>
          <cell r="Z59">
            <v>0</v>
          </cell>
          <cell r="AA59">
            <v>0</v>
          </cell>
        </row>
        <row r="60">
          <cell r="C60" t="str">
            <v>Seattle, WA</v>
          </cell>
          <cell r="D60">
            <v>5</v>
          </cell>
          <cell r="E60">
            <v>344</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36</v>
          </cell>
          <cell r="Y60">
            <v>2955</v>
          </cell>
          <cell r="Z60">
            <v>1</v>
          </cell>
          <cell r="AA60">
            <v>156</v>
          </cell>
        </row>
        <row r="61">
          <cell r="C61" t="str">
            <v>Tampa, FL</v>
          </cell>
          <cell r="D61">
            <v>3</v>
          </cell>
          <cell r="E61">
            <v>255</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52</v>
          </cell>
          <cell r="Y61">
            <v>6605</v>
          </cell>
          <cell r="Z61">
            <v>0</v>
          </cell>
          <cell r="AA61">
            <v>0</v>
          </cell>
        </row>
        <row r="62">
          <cell r="C62" t="str">
            <v>Washington, DC</v>
          </cell>
          <cell r="D62">
            <v>2</v>
          </cell>
          <cell r="E62">
            <v>84</v>
          </cell>
          <cell r="F62">
            <v>0</v>
          </cell>
          <cell r="G62">
            <v>0</v>
          </cell>
          <cell r="H62">
            <v>2</v>
          </cell>
          <cell r="I62">
            <v>260</v>
          </cell>
          <cell r="J62">
            <v>2</v>
          </cell>
          <cell r="K62">
            <v>260</v>
          </cell>
          <cell r="L62">
            <v>1</v>
          </cell>
          <cell r="M62">
            <v>100</v>
          </cell>
          <cell r="N62">
            <v>0</v>
          </cell>
          <cell r="O62">
            <v>0</v>
          </cell>
          <cell r="P62">
            <v>1</v>
          </cell>
          <cell r="Q62">
            <v>60</v>
          </cell>
          <cell r="R62">
            <v>1</v>
          </cell>
          <cell r="S62">
            <v>200</v>
          </cell>
          <cell r="T62">
            <v>1</v>
          </cell>
          <cell r="U62">
            <v>100</v>
          </cell>
          <cell r="V62">
            <v>1</v>
          </cell>
          <cell r="W62">
            <v>100</v>
          </cell>
          <cell r="X62">
            <v>48</v>
          </cell>
          <cell r="Y62">
            <v>5584</v>
          </cell>
          <cell r="Z62">
            <v>0</v>
          </cell>
          <cell r="AA62">
            <v>0</v>
          </cell>
        </row>
        <row r="307">
          <cell r="C307" t="str">
            <v>Anaheim, CA</v>
          </cell>
          <cell r="D307">
            <v>2</v>
          </cell>
          <cell r="E307">
            <v>527</v>
          </cell>
          <cell r="F307">
            <v>3</v>
          </cell>
          <cell r="G307">
            <v>512</v>
          </cell>
          <cell r="H307">
            <v>1</v>
          </cell>
          <cell r="I307">
            <v>125</v>
          </cell>
          <cell r="J307">
            <v>4</v>
          </cell>
          <cell r="K307">
            <v>637</v>
          </cell>
          <cell r="L307">
            <v>0</v>
          </cell>
          <cell r="M307">
            <v>0</v>
          </cell>
          <cell r="N307">
            <v>2</v>
          </cell>
          <cell r="O307">
            <v>409</v>
          </cell>
          <cell r="P307">
            <v>2</v>
          </cell>
          <cell r="Q307">
            <v>228</v>
          </cell>
          <cell r="R307">
            <v>0</v>
          </cell>
          <cell r="S307">
            <v>0</v>
          </cell>
          <cell r="T307">
            <v>0</v>
          </cell>
          <cell r="U307">
            <v>0</v>
          </cell>
          <cell r="V307">
            <v>0</v>
          </cell>
          <cell r="W307">
            <v>0</v>
          </cell>
          <cell r="X307">
            <v>17</v>
          </cell>
          <cell r="Y307">
            <v>3032</v>
          </cell>
          <cell r="Z307">
            <v>0</v>
          </cell>
          <cell r="AA307">
            <v>0</v>
          </cell>
        </row>
        <row r="308">
          <cell r="C308" t="str">
            <v>Atlanta, GA</v>
          </cell>
          <cell r="D308">
            <v>12</v>
          </cell>
          <cell r="E308">
            <v>1081</v>
          </cell>
          <cell r="F308">
            <v>2</v>
          </cell>
          <cell r="G308">
            <v>155</v>
          </cell>
          <cell r="H308">
            <v>5</v>
          </cell>
          <cell r="I308">
            <v>766</v>
          </cell>
          <cell r="J308">
            <v>7</v>
          </cell>
          <cell r="K308">
            <v>921</v>
          </cell>
          <cell r="L308">
            <v>1</v>
          </cell>
          <cell r="M308">
            <v>49</v>
          </cell>
          <cell r="N308">
            <v>1</v>
          </cell>
          <cell r="O308">
            <v>80</v>
          </cell>
          <cell r="P308">
            <v>3</v>
          </cell>
          <cell r="Q308">
            <v>230</v>
          </cell>
          <cell r="R308">
            <v>4</v>
          </cell>
          <cell r="S308">
            <v>660</v>
          </cell>
          <cell r="T308">
            <v>0</v>
          </cell>
          <cell r="U308">
            <v>0</v>
          </cell>
          <cell r="V308">
            <v>0</v>
          </cell>
          <cell r="W308">
            <v>0</v>
          </cell>
          <cell r="X308">
            <v>46</v>
          </cell>
          <cell r="Y308">
            <v>6851</v>
          </cell>
          <cell r="Z308">
            <v>2</v>
          </cell>
          <cell r="AA308">
            <v>122</v>
          </cell>
        </row>
        <row r="309">
          <cell r="C309" t="str">
            <v>Boston, MA</v>
          </cell>
          <cell r="D309">
            <v>2</v>
          </cell>
          <cell r="E309">
            <v>274</v>
          </cell>
          <cell r="F309">
            <v>0</v>
          </cell>
          <cell r="G309">
            <v>0</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cell r="V309">
            <v>0</v>
          </cell>
          <cell r="W309">
            <v>0</v>
          </cell>
          <cell r="X309">
            <v>22</v>
          </cell>
          <cell r="Y309">
            <v>4086</v>
          </cell>
          <cell r="Z309">
            <v>0</v>
          </cell>
          <cell r="AA309">
            <v>0</v>
          </cell>
        </row>
        <row r="310">
          <cell r="C310" t="str">
            <v>Chicago, IL</v>
          </cell>
          <cell r="D310">
            <v>8</v>
          </cell>
          <cell r="E310">
            <v>842</v>
          </cell>
          <cell r="F310">
            <v>2</v>
          </cell>
          <cell r="G310">
            <v>312</v>
          </cell>
          <cell r="H310">
            <v>3</v>
          </cell>
          <cell r="I310">
            <v>315</v>
          </cell>
          <cell r="J310">
            <v>5</v>
          </cell>
          <cell r="K310">
            <v>627</v>
          </cell>
          <cell r="L310">
            <v>0</v>
          </cell>
          <cell r="M310">
            <v>0</v>
          </cell>
          <cell r="N310">
            <v>1</v>
          </cell>
          <cell r="O310">
            <v>112</v>
          </cell>
          <cell r="P310">
            <v>3</v>
          </cell>
          <cell r="Q310">
            <v>340</v>
          </cell>
          <cell r="R310">
            <v>1</v>
          </cell>
          <cell r="S310">
            <v>175</v>
          </cell>
          <cell r="T310">
            <v>0</v>
          </cell>
          <cell r="U310">
            <v>0</v>
          </cell>
          <cell r="V310">
            <v>0</v>
          </cell>
          <cell r="W310">
            <v>0</v>
          </cell>
          <cell r="X310">
            <v>37</v>
          </cell>
          <cell r="Y310">
            <v>8570</v>
          </cell>
          <cell r="Z310">
            <v>1</v>
          </cell>
          <cell r="AA310">
            <v>86</v>
          </cell>
        </row>
        <row r="311">
          <cell r="C311" t="str">
            <v>Dallas, TX</v>
          </cell>
          <cell r="D311">
            <v>7</v>
          </cell>
          <cell r="E311">
            <v>551</v>
          </cell>
          <cell r="F311">
            <v>0</v>
          </cell>
          <cell r="G311">
            <v>0</v>
          </cell>
          <cell r="H311">
            <v>2</v>
          </cell>
          <cell r="I311">
            <v>149</v>
          </cell>
          <cell r="J311">
            <v>2</v>
          </cell>
          <cell r="K311">
            <v>149</v>
          </cell>
          <cell r="L311">
            <v>0</v>
          </cell>
          <cell r="M311">
            <v>0</v>
          </cell>
          <cell r="N311">
            <v>0</v>
          </cell>
          <cell r="O311">
            <v>0</v>
          </cell>
          <cell r="P311">
            <v>2</v>
          </cell>
          <cell r="Q311">
            <v>149</v>
          </cell>
          <cell r="R311">
            <v>0</v>
          </cell>
          <cell r="S311">
            <v>0</v>
          </cell>
          <cell r="T311">
            <v>0</v>
          </cell>
          <cell r="U311">
            <v>0</v>
          </cell>
          <cell r="V311">
            <v>0</v>
          </cell>
          <cell r="W311">
            <v>0</v>
          </cell>
          <cell r="X311">
            <v>27</v>
          </cell>
          <cell r="Y311">
            <v>5433</v>
          </cell>
          <cell r="Z311">
            <v>0</v>
          </cell>
          <cell r="AA311">
            <v>0</v>
          </cell>
        </row>
        <row r="312">
          <cell r="C312" t="str">
            <v>Denver, CO</v>
          </cell>
          <cell r="D312">
            <v>6</v>
          </cell>
          <cell r="E312">
            <v>517</v>
          </cell>
          <cell r="F312">
            <v>1</v>
          </cell>
          <cell r="G312">
            <v>121</v>
          </cell>
          <cell r="H312">
            <v>0</v>
          </cell>
          <cell r="I312">
            <v>0</v>
          </cell>
          <cell r="J312">
            <v>1</v>
          </cell>
          <cell r="K312">
            <v>121</v>
          </cell>
          <cell r="L312">
            <v>2</v>
          </cell>
          <cell r="M312">
            <v>367</v>
          </cell>
          <cell r="N312">
            <v>1</v>
          </cell>
          <cell r="O312">
            <v>121</v>
          </cell>
          <cell r="P312">
            <v>0</v>
          </cell>
          <cell r="Q312">
            <v>0</v>
          </cell>
          <cell r="R312">
            <v>1</v>
          </cell>
          <cell r="S312">
            <v>64</v>
          </cell>
          <cell r="T312">
            <v>1</v>
          </cell>
          <cell r="U312">
            <v>303</v>
          </cell>
          <cell r="V312">
            <v>1</v>
          </cell>
          <cell r="W312">
            <v>303</v>
          </cell>
          <cell r="X312">
            <v>16</v>
          </cell>
          <cell r="Y312">
            <v>2656</v>
          </cell>
          <cell r="Z312">
            <v>0</v>
          </cell>
          <cell r="AA312">
            <v>0</v>
          </cell>
        </row>
        <row r="313">
          <cell r="C313" t="str">
            <v>Detroit, MI</v>
          </cell>
          <cell r="D313">
            <v>8</v>
          </cell>
          <cell r="E313">
            <v>828</v>
          </cell>
          <cell r="F313">
            <v>3</v>
          </cell>
          <cell r="G313">
            <v>219</v>
          </cell>
          <cell r="H313">
            <v>2</v>
          </cell>
          <cell r="I313">
            <v>178</v>
          </cell>
          <cell r="J313">
            <v>5</v>
          </cell>
          <cell r="K313">
            <v>397</v>
          </cell>
          <cell r="L313">
            <v>1</v>
          </cell>
          <cell r="M313">
            <v>90</v>
          </cell>
          <cell r="N313">
            <v>2</v>
          </cell>
          <cell r="O313">
            <v>159</v>
          </cell>
          <cell r="P313">
            <v>3</v>
          </cell>
          <cell r="Q313">
            <v>238</v>
          </cell>
          <cell r="R313">
            <v>1</v>
          </cell>
          <cell r="S313">
            <v>90</v>
          </cell>
          <cell r="T313">
            <v>0</v>
          </cell>
          <cell r="U313">
            <v>0</v>
          </cell>
          <cell r="V313">
            <v>0</v>
          </cell>
          <cell r="W313">
            <v>0</v>
          </cell>
          <cell r="X313">
            <v>21</v>
          </cell>
          <cell r="Y313">
            <v>3982</v>
          </cell>
          <cell r="Z313">
            <v>2</v>
          </cell>
          <cell r="AA313">
            <v>172</v>
          </cell>
        </row>
        <row r="314">
          <cell r="C314" t="str">
            <v>Houston, TX</v>
          </cell>
          <cell r="D314">
            <v>17</v>
          </cell>
          <cell r="E314">
            <v>1686</v>
          </cell>
          <cell r="F314">
            <v>3</v>
          </cell>
          <cell r="G314">
            <v>209</v>
          </cell>
          <cell r="H314">
            <v>2</v>
          </cell>
          <cell r="I314">
            <v>145</v>
          </cell>
          <cell r="J314">
            <v>5</v>
          </cell>
          <cell r="K314">
            <v>354</v>
          </cell>
          <cell r="L314">
            <v>0</v>
          </cell>
          <cell r="M314">
            <v>0</v>
          </cell>
          <cell r="N314">
            <v>3</v>
          </cell>
          <cell r="O314">
            <v>209</v>
          </cell>
          <cell r="P314">
            <v>0</v>
          </cell>
          <cell r="Q314">
            <v>0</v>
          </cell>
          <cell r="R314">
            <v>2</v>
          </cell>
          <cell r="S314">
            <v>145</v>
          </cell>
          <cell r="T314">
            <v>0</v>
          </cell>
          <cell r="U314">
            <v>0</v>
          </cell>
          <cell r="V314">
            <v>0</v>
          </cell>
          <cell r="W314">
            <v>0</v>
          </cell>
          <cell r="X314">
            <v>34</v>
          </cell>
          <cell r="Y314">
            <v>5864</v>
          </cell>
          <cell r="Z314">
            <v>3</v>
          </cell>
          <cell r="AA314">
            <v>433</v>
          </cell>
        </row>
        <row r="315">
          <cell r="C315" t="str">
            <v>Los Angeles, CA</v>
          </cell>
          <cell r="D315">
            <v>1</v>
          </cell>
          <cell r="E315">
            <v>80</v>
          </cell>
          <cell r="F315">
            <v>2</v>
          </cell>
          <cell r="G315">
            <v>252</v>
          </cell>
          <cell r="H315">
            <v>1</v>
          </cell>
          <cell r="I315">
            <v>95</v>
          </cell>
          <cell r="J315">
            <v>3</v>
          </cell>
          <cell r="K315">
            <v>347</v>
          </cell>
          <cell r="L315">
            <v>1</v>
          </cell>
          <cell r="M315">
            <v>100</v>
          </cell>
          <cell r="N315">
            <v>2</v>
          </cell>
          <cell r="O315">
            <v>252</v>
          </cell>
          <cell r="P315">
            <v>1</v>
          </cell>
          <cell r="Q315">
            <v>95</v>
          </cell>
          <cell r="R315">
            <v>1</v>
          </cell>
          <cell r="S315">
            <v>100</v>
          </cell>
          <cell r="T315">
            <v>0</v>
          </cell>
          <cell r="U315">
            <v>0</v>
          </cell>
          <cell r="V315">
            <v>0</v>
          </cell>
          <cell r="W315">
            <v>0</v>
          </cell>
          <cell r="X315">
            <v>31</v>
          </cell>
          <cell r="Y315">
            <v>5726</v>
          </cell>
          <cell r="Z315">
            <v>1</v>
          </cell>
          <cell r="AA315">
            <v>80</v>
          </cell>
        </row>
        <row r="316">
          <cell r="C316" t="str">
            <v>Miami, FL</v>
          </cell>
          <cell r="D316">
            <v>4</v>
          </cell>
          <cell r="E316">
            <v>448</v>
          </cell>
          <cell r="F316">
            <v>1</v>
          </cell>
          <cell r="G316">
            <v>422</v>
          </cell>
          <cell r="H316">
            <v>1</v>
          </cell>
          <cell r="I316">
            <v>100</v>
          </cell>
          <cell r="J316">
            <v>2</v>
          </cell>
          <cell r="K316">
            <v>522</v>
          </cell>
          <cell r="L316">
            <v>0</v>
          </cell>
          <cell r="M316">
            <v>0</v>
          </cell>
          <cell r="N316">
            <v>1</v>
          </cell>
          <cell r="O316">
            <v>422</v>
          </cell>
          <cell r="P316">
            <v>1</v>
          </cell>
          <cell r="Q316">
            <v>100</v>
          </cell>
          <cell r="R316">
            <v>0</v>
          </cell>
          <cell r="S316">
            <v>0</v>
          </cell>
          <cell r="T316">
            <v>0</v>
          </cell>
          <cell r="U316">
            <v>0</v>
          </cell>
          <cell r="V316">
            <v>0</v>
          </cell>
          <cell r="W316">
            <v>0</v>
          </cell>
          <cell r="X316">
            <v>17</v>
          </cell>
          <cell r="Y316">
            <v>3633</v>
          </cell>
          <cell r="Z316">
            <v>0</v>
          </cell>
          <cell r="AA316">
            <v>0</v>
          </cell>
        </row>
        <row r="317">
          <cell r="C317" t="str">
            <v>Minneapolis, MN</v>
          </cell>
          <cell r="D317">
            <v>9</v>
          </cell>
          <cell r="E317">
            <v>840</v>
          </cell>
          <cell r="F317">
            <v>0</v>
          </cell>
          <cell r="G317">
            <v>0</v>
          </cell>
          <cell r="H317">
            <v>1</v>
          </cell>
          <cell r="I317">
            <v>140</v>
          </cell>
          <cell r="J317">
            <v>1</v>
          </cell>
          <cell r="K317">
            <v>140</v>
          </cell>
          <cell r="L317">
            <v>0</v>
          </cell>
          <cell r="M317">
            <v>0</v>
          </cell>
          <cell r="N317">
            <v>0</v>
          </cell>
          <cell r="O317">
            <v>0</v>
          </cell>
          <cell r="P317">
            <v>1</v>
          </cell>
          <cell r="Q317">
            <v>140</v>
          </cell>
          <cell r="R317">
            <v>0</v>
          </cell>
          <cell r="S317">
            <v>0</v>
          </cell>
          <cell r="T317">
            <v>0</v>
          </cell>
          <cell r="U317">
            <v>0</v>
          </cell>
          <cell r="V317">
            <v>0</v>
          </cell>
          <cell r="W317">
            <v>0</v>
          </cell>
          <cell r="X317">
            <v>25</v>
          </cell>
          <cell r="Y317">
            <v>3790</v>
          </cell>
          <cell r="Z317">
            <v>1</v>
          </cell>
          <cell r="AA317">
            <v>127</v>
          </cell>
        </row>
        <row r="318">
          <cell r="C318" t="str">
            <v>Nashville, TN</v>
          </cell>
          <cell r="D318">
            <v>2</v>
          </cell>
          <cell r="E318">
            <v>130</v>
          </cell>
          <cell r="F318">
            <v>0</v>
          </cell>
          <cell r="G318">
            <v>0</v>
          </cell>
          <cell r="H318">
            <v>0</v>
          </cell>
          <cell r="I318">
            <v>0</v>
          </cell>
          <cell r="J318">
            <v>0</v>
          </cell>
          <cell r="K318">
            <v>0</v>
          </cell>
          <cell r="L318">
            <v>0</v>
          </cell>
          <cell r="M318">
            <v>0</v>
          </cell>
          <cell r="N318">
            <v>0</v>
          </cell>
          <cell r="O318">
            <v>0</v>
          </cell>
          <cell r="P318">
            <v>0</v>
          </cell>
          <cell r="Q318">
            <v>0</v>
          </cell>
          <cell r="R318">
            <v>0</v>
          </cell>
          <cell r="S318">
            <v>0</v>
          </cell>
          <cell r="T318">
            <v>0</v>
          </cell>
          <cell r="U318">
            <v>0</v>
          </cell>
          <cell r="V318">
            <v>0</v>
          </cell>
          <cell r="W318">
            <v>0</v>
          </cell>
          <cell r="X318">
            <v>15</v>
          </cell>
          <cell r="Y318">
            <v>2298</v>
          </cell>
          <cell r="Z318">
            <v>0</v>
          </cell>
          <cell r="AA318">
            <v>0</v>
          </cell>
        </row>
        <row r="319">
          <cell r="C319" t="str">
            <v>New Orleans, LA</v>
          </cell>
          <cell r="D319">
            <v>1</v>
          </cell>
          <cell r="E319">
            <v>98</v>
          </cell>
          <cell r="F319">
            <v>2</v>
          </cell>
          <cell r="G319">
            <v>643</v>
          </cell>
          <cell r="H319">
            <v>3</v>
          </cell>
          <cell r="I319">
            <v>847</v>
          </cell>
          <cell r="J319">
            <v>5</v>
          </cell>
          <cell r="K319">
            <v>1490</v>
          </cell>
          <cell r="L319">
            <v>0</v>
          </cell>
          <cell r="M319">
            <v>0</v>
          </cell>
          <cell r="N319">
            <v>0</v>
          </cell>
          <cell r="O319">
            <v>0</v>
          </cell>
          <cell r="P319">
            <v>3</v>
          </cell>
          <cell r="Q319">
            <v>733</v>
          </cell>
          <cell r="R319">
            <v>1</v>
          </cell>
          <cell r="S319">
            <v>62</v>
          </cell>
          <cell r="T319">
            <v>1</v>
          </cell>
          <cell r="U319">
            <v>695</v>
          </cell>
          <cell r="V319">
            <v>1</v>
          </cell>
          <cell r="W319">
            <v>695</v>
          </cell>
          <cell r="X319">
            <v>13</v>
          </cell>
          <cell r="Y319">
            <v>2840</v>
          </cell>
          <cell r="Z319">
            <v>0</v>
          </cell>
          <cell r="AA319">
            <v>0</v>
          </cell>
        </row>
        <row r="320">
          <cell r="C320" t="str">
            <v>New York, NY</v>
          </cell>
          <cell r="D320">
            <v>3</v>
          </cell>
          <cell r="E320">
            <v>749</v>
          </cell>
          <cell r="F320">
            <v>0</v>
          </cell>
          <cell r="G320">
            <v>0</v>
          </cell>
          <cell r="H320">
            <v>1</v>
          </cell>
          <cell r="I320">
            <v>90</v>
          </cell>
          <cell r="J320">
            <v>1</v>
          </cell>
          <cell r="K320">
            <v>90</v>
          </cell>
          <cell r="L320">
            <v>0</v>
          </cell>
          <cell r="M320">
            <v>0</v>
          </cell>
          <cell r="N320">
            <v>0</v>
          </cell>
          <cell r="O320">
            <v>0</v>
          </cell>
          <cell r="P320">
            <v>1</v>
          </cell>
          <cell r="Q320">
            <v>90</v>
          </cell>
          <cell r="R320">
            <v>0</v>
          </cell>
          <cell r="S320">
            <v>0</v>
          </cell>
          <cell r="T320">
            <v>0</v>
          </cell>
          <cell r="U320">
            <v>0</v>
          </cell>
          <cell r="V320">
            <v>0</v>
          </cell>
          <cell r="W320">
            <v>0</v>
          </cell>
          <cell r="X320">
            <v>16</v>
          </cell>
          <cell r="Y320">
            <v>5299</v>
          </cell>
          <cell r="Z320">
            <v>1</v>
          </cell>
          <cell r="AA320">
            <v>79</v>
          </cell>
        </row>
        <row r="321">
          <cell r="C321" t="str">
            <v>Norfolk, VA</v>
          </cell>
          <cell r="D321">
            <v>1</v>
          </cell>
          <cell r="E321">
            <v>147</v>
          </cell>
          <cell r="F321">
            <v>0</v>
          </cell>
          <cell r="G321">
            <v>0</v>
          </cell>
          <cell r="H321">
            <v>1</v>
          </cell>
          <cell r="I321">
            <v>120</v>
          </cell>
          <cell r="J321">
            <v>1</v>
          </cell>
          <cell r="K321">
            <v>120</v>
          </cell>
          <cell r="L321">
            <v>0</v>
          </cell>
          <cell r="M321">
            <v>0</v>
          </cell>
          <cell r="N321">
            <v>0</v>
          </cell>
          <cell r="O321">
            <v>0</v>
          </cell>
          <cell r="P321">
            <v>0</v>
          </cell>
          <cell r="Q321">
            <v>0</v>
          </cell>
          <cell r="R321">
            <v>1</v>
          </cell>
          <cell r="S321">
            <v>120</v>
          </cell>
          <cell r="T321">
            <v>0</v>
          </cell>
          <cell r="U321">
            <v>0</v>
          </cell>
          <cell r="V321">
            <v>0</v>
          </cell>
          <cell r="W321">
            <v>0</v>
          </cell>
          <cell r="X321">
            <v>14</v>
          </cell>
          <cell r="Y321">
            <v>2593</v>
          </cell>
          <cell r="Z321">
            <v>0</v>
          </cell>
          <cell r="AA321">
            <v>0</v>
          </cell>
        </row>
        <row r="322">
          <cell r="C322" t="str">
            <v>Oahu Island</v>
          </cell>
          <cell r="D322">
            <v>0</v>
          </cell>
          <cell r="E322">
            <v>0</v>
          </cell>
          <cell r="F322">
            <v>0</v>
          </cell>
          <cell r="G322">
            <v>0</v>
          </cell>
          <cell r="H322">
            <v>0</v>
          </cell>
          <cell r="I322">
            <v>0</v>
          </cell>
          <cell r="J322">
            <v>0</v>
          </cell>
          <cell r="K322">
            <v>0</v>
          </cell>
          <cell r="L322">
            <v>0</v>
          </cell>
          <cell r="M322">
            <v>0</v>
          </cell>
          <cell r="N322">
            <v>0</v>
          </cell>
          <cell r="O322">
            <v>0</v>
          </cell>
          <cell r="P322">
            <v>0</v>
          </cell>
          <cell r="Q322">
            <v>0</v>
          </cell>
          <cell r="R322">
            <v>0</v>
          </cell>
          <cell r="S322">
            <v>0</v>
          </cell>
          <cell r="T322">
            <v>0</v>
          </cell>
          <cell r="U322">
            <v>0</v>
          </cell>
          <cell r="V322">
            <v>0</v>
          </cell>
          <cell r="W322">
            <v>0</v>
          </cell>
          <cell r="X322">
            <v>1</v>
          </cell>
          <cell r="Y322">
            <v>199</v>
          </cell>
          <cell r="Z322">
            <v>0</v>
          </cell>
          <cell r="AA322">
            <v>0</v>
          </cell>
        </row>
        <row r="323">
          <cell r="C323" t="str">
            <v>Orlando, FL</v>
          </cell>
          <cell r="D323">
            <v>4</v>
          </cell>
          <cell r="E323">
            <v>1162</v>
          </cell>
          <cell r="F323">
            <v>1</v>
          </cell>
          <cell r="G323">
            <v>400</v>
          </cell>
          <cell r="H323">
            <v>1</v>
          </cell>
          <cell r="I323">
            <v>94</v>
          </cell>
          <cell r="J323">
            <v>2</v>
          </cell>
          <cell r="K323">
            <v>494</v>
          </cell>
          <cell r="L323">
            <v>0</v>
          </cell>
          <cell r="M323">
            <v>0</v>
          </cell>
          <cell r="N323">
            <v>0</v>
          </cell>
          <cell r="O323">
            <v>0</v>
          </cell>
          <cell r="P323">
            <v>1</v>
          </cell>
          <cell r="Q323">
            <v>400</v>
          </cell>
          <cell r="R323">
            <v>1</v>
          </cell>
          <cell r="S323">
            <v>94</v>
          </cell>
          <cell r="T323">
            <v>0</v>
          </cell>
          <cell r="U323">
            <v>0</v>
          </cell>
          <cell r="V323">
            <v>0</v>
          </cell>
          <cell r="W323">
            <v>0</v>
          </cell>
          <cell r="X323">
            <v>22</v>
          </cell>
          <cell r="Y323">
            <v>6464</v>
          </cell>
          <cell r="Z323">
            <v>1</v>
          </cell>
          <cell r="AA323">
            <v>150</v>
          </cell>
        </row>
        <row r="324">
          <cell r="C324" t="str">
            <v>Philadelphia, PA</v>
          </cell>
          <cell r="D324">
            <v>4</v>
          </cell>
          <cell r="E324">
            <v>314</v>
          </cell>
          <cell r="F324">
            <v>1</v>
          </cell>
          <cell r="G324">
            <v>78</v>
          </cell>
          <cell r="H324">
            <v>0</v>
          </cell>
          <cell r="I324">
            <v>0</v>
          </cell>
          <cell r="J324">
            <v>1</v>
          </cell>
          <cell r="K324">
            <v>78</v>
          </cell>
          <cell r="L324">
            <v>0</v>
          </cell>
          <cell r="M324">
            <v>0</v>
          </cell>
          <cell r="N324">
            <v>1</v>
          </cell>
          <cell r="O324">
            <v>78</v>
          </cell>
          <cell r="P324">
            <v>0</v>
          </cell>
          <cell r="Q324">
            <v>0</v>
          </cell>
          <cell r="R324">
            <v>0</v>
          </cell>
          <cell r="S324">
            <v>0</v>
          </cell>
          <cell r="T324">
            <v>0</v>
          </cell>
          <cell r="U324">
            <v>0</v>
          </cell>
          <cell r="V324">
            <v>0</v>
          </cell>
          <cell r="W324">
            <v>0</v>
          </cell>
          <cell r="X324">
            <v>21</v>
          </cell>
          <cell r="Y324">
            <v>3999</v>
          </cell>
          <cell r="Z324">
            <v>0</v>
          </cell>
          <cell r="AA324">
            <v>0</v>
          </cell>
        </row>
        <row r="325">
          <cell r="C325" t="str">
            <v>Phoenix, AZ</v>
          </cell>
          <cell r="D325">
            <v>3</v>
          </cell>
          <cell r="E325">
            <v>329</v>
          </cell>
          <cell r="F325">
            <v>0</v>
          </cell>
          <cell r="G325">
            <v>0</v>
          </cell>
          <cell r="H325">
            <v>0</v>
          </cell>
          <cell r="I325">
            <v>0</v>
          </cell>
          <cell r="J325">
            <v>0</v>
          </cell>
          <cell r="K325">
            <v>0</v>
          </cell>
          <cell r="L325">
            <v>0</v>
          </cell>
          <cell r="M325">
            <v>0</v>
          </cell>
          <cell r="N325">
            <v>0</v>
          </cell>
          <cell r="O325">
            <v>0</v>
          </cell>
          <cell r="P325">
            <v>0</v>
          </cell>
          <cell r="Q325">
            <v>0</v>
          </cell>
          <cell r="R325">
            <v>0</v>
          </cell>
          <cell r="S325">
            <v>0</v>
          </cell>
          <cell r="T325">
            <v>0</v>
          </cell>
          <cell r="U325">
            <v>0</v>
          </cell>
          <cell r="V325">
            <v>0</v>
          </cell>
          <cell r="W325">
            <v>0</v>
          </cell>
          <cell r="X325">
            <v>15</v>
          </cell>
          <cell r="Y325">
            <v>2777</v>
          </cell>
          <cell r="Z325">
            <v>0</v>
          </cell>
          <cell r="AA325">
            <v>0</v>
          </cell>
        </row>
        <row r="326">
          <cell r="C326" t="str">
            <v>Saint Louis, MO</v>
          </cell>
          <cell r="D326">
            <v>5</v>
          </cell>
          <cell r="E326">
            <v>337</v>
          </cell>
          <cell r="F326">
            <v>0</v>
          </cell>
          <cell r="G326">
            <v>0</v>
          </cell>
          <cell r="H326">
            <v>1</v>
          </cell>
          <cell r="I326">
            <v>120</v>
          </cell>
          <cell r="J326">
            <v>1</v>
          </cell>
          <cell r="K326">
            <v>120</v>
          </cell>
          <cell r="L326">
            <v>1</v>
          </cell>
          <cell r="M326">
            <v>100</v>
          </cell>
          <cell r="N326">
            <v>0</v>
          </cell>
          <cell r="O326">
            <v>0</v>
          </cell>
          <cell r="P326">
            <v>1</v>
          </cell>
          <cell r="Q326">
            <v>120</v>
          </cell>
          <cell r="R326">
            <v>1</v>
          </cell>
          <cell r="S326">
            <v>100</v>
          </cell>
          <cell r="T326">
            <v>0</v>
          </cell>
          <cell r="U326">
            <v>0</v>
          </cell>
          <cell r="V326">
            <v>0</v>
          </cell>
          <cell r="W326">
            <v>0</v>
          </cell>
          <cell r="X326">
            <v>23</v>
          </cell>
          <cell r="Y326">
            <v>4265</v>
          </cell>
          <cell r="Z326">
            <v>0</v>
          </cell>
          <cell r="AA326">
            <v>0</v>
          </cell>
        </row>
        <row r="327">
          <cell r="C327" t="str">
            <v>San Diego, CA</v>
          </cell>
          <cell r="D327">
            <v>1</v>
          </cell>
          <cell r="E327">
            <v>80</v>
          </cell>
          <cell r="F327">
            <v>3</v>
          </cell>
          <cell r="G327">
            <v>351</v>
          </cell>
          <cell r="H327">
            <v>0</v>
          </cell>
          <cell r="I327">
            <v>0</v>
          </cell>
          <cell r="J327">
            <v>3</v>
          </cell>
          <cell r="K327">
            <v>351</v>
          </cell>
          <cell r="L327">
            <v>1</v>
          </cell>
          <cell r="M327">
            <v>132</v>
          </cell>
          <cell r="N327">
            <v>3</v>
          </cell>
          <cell r="O327">
            <v>351</v>
          </cell>
          <cell r="P327">
            <v>0</v>
          </cell>
          <cell r="Q327">
            <v>0</v>
          </cell>
          <cell r="R327">
            <v>1</v>
          </cell>
          <cell r="S327">
            <v>132</v>
          </cell>
          <cell r="T327">
            <v>0</v>
          </cell>
          <cell r="U327">
            <v>0</v>
          </cell>
          <cell r="V327">
            <v>0</v>
          </cell>
          <cell r="W327">
            <v>0</v>
          </cell>
          <cell r="X327">
            <v>20</v>
          </cell>
          <cell r="Y327">
            <v>3380</v>
          </cell>
          <cell r="Z327">
            <v>0</v>
          </cell>
          <cell r="AA327">
            <v>0</v>
          </cell>
        </row>
        <row r="328">
          <cell r="C328" t="str">
            <v>San Francisco, CA</v>
          </cell>
          <cell r="D328">
            <v>2</v>
          </cell>
          <cell r="E328">
            <v>334</v>
          </cell>
          <cell r="F328">
            <v>1</v>
          </cell>
          <cell r="G328">
            <v>145</v>
          </cell>
          <cell r="H328">
            <v>0</v>
          </cell>
          <cell r="I328">
            <v>0</v>
          </cell>
          <cell r="J328">
            <v>1</v>
          </cell>
          <cell r="K328">
            <v>145</v>
          </cell>
          <cell r="L328">
            <v>0</v>
          </cell>
          <cell r="M328">
            <v>0</v>
          </cell>
          <cell r="N328">
            <v>0</v>
          </cell>
          <cell r="O328">
            <v>0</v>
          </cell>
          <cell r="P328">
            <v>1</v>
          </cell>
          <cell r="Q328">
            <v>145</v>
          </cell>
          <cell r="R328">
            <v>0</v>
          </cell>
          <cell r="S328">
            <v>0</v>
          </cell>
          <cell r="T328">
            <v>0</v>
          </cell>
          <cell r="U328">
            <v>0</v>
          </cell>
          <cell r="V328">
            <v>0</v>
          </cell>
          <cell r="W328">
            <v>0</v>
          </cell>
          <cell r="X328">
            <v>16</v>
          </cell>
          <cell r="Y328">
            <v>4195</v>
          </cell>
          <cell r="Z328">
            <v>1</v>
          </cell>
          <cell r="AA328">
            <v>252</v>
          </cell>
        </row>
        <row r="329">
          <cell r="C329" t="str">
            <v>Seattle, WA</v>
          </cell>
          <cell r="D329">
            <v>4</v>
          </cell>
          <cell r="E329">
            <v>515</v>
          </cell>
          <cell r="F329">
            <v>3</v>
          </cell>
          <cell r="G329">
            <v>365</v>
          </cell>
          <cell r="H329">
            <v>0</v>
          </cell>
          <cell r="I329">
            <v>0</v>
          </cell>
          <cell r="J329">
            <v>3</v>
          </cell>
          <cell r="K329">
            <v>365</v>
          </cell>
          <cell r="L329">
            <v>0</v>
          </cell>
          <cell r="M329">
            <v>0</v>
          </cell>
          <cell r="N329">
            <v>3</v>
          </cell>
          <cell r="O329">
            <v>365</v>
          </cell>
          <cell r="P329">
            <v>0</v>
          </cell>
          <cell r="Q329">
            <v>0</v>
          </cell>
          <cell r="R329">
            <v>0</v>
          </cell>
          <cell r="S329">
            <v>0</v>
          </cell>
          <cell r="T329">
            <v>0</v>
          </cell>
          <cell r="U329">
            <v>0</v>
          </cell>
          <cell r="V329">
            <v>0</v>
          </cell>
          <cell r="W329">
            <v>0</v>
          </cell>
          <cell r="X329">
            <v>13</v>
          </cell>
          <cell r="Y329">
            <v>2126</v>
          </cell>
          <cell r="Z329">
            <v>0</v>
          </cell>
          <cell r="AA329">
            <v>0</v>
          </cell>
        </row>
        <row r="330">
          <cell r="C330" t="str">
            <v>Tampa, FL</v>
          </cell>
          <cell r="D330">
            <v>6</v>
          </cell>
          <cell r="E330">
            <v>496</v>
          </cell>
          <cell r="F330">
            <v>1</v>
          </cell>
          <cell r="G330">
            <v>76</v>
          </cell>
          <cell r="H330">
            <v>4</v>
          </cell>
          <cell r="I330">
            <v>365</v>
          </cell>
          <cell r="J330">
            <v>5</v>
          </cell>
          <cell r="K330">
            <v>441</v>
          </cell>
          <cell r="L330">
            <v>0</v>
          </cell>
          <cell r="M330">
            <v>0</v>
          </cell>
          <cell r="N330">
            <v>1</v>
          </cell>
          <cell r="O330">
            <v>76</v>
          </cell>
          <cell r="P330">
            <v>2</v>
          </cell>
          <cell r="Q330">
            <v>185</v>
          </cell>
          <cell r="R330">
            <v>2</v>
          </cell>
          <cell r="S330">
            <v>180</v>
          </cell>
          <cell r="T330">
            <v>0</v>
          </cell>
          <cell r="U330">
            <v>0</v>
          </cell>
          <cell r="V330">
            <v>0</v>
          </cell>
          <cell r="W330">
            <v>0</v>
          </cell>
          <cell r="X330">
            <v>23</v>
          </cell>
          <cell r="Y330">
            <v>3808</v>
          </cell>
          <cell r="Z330">
            <v>1</v>
          </cell>
          <cell r="AA330">
            <v>82</v>
          </cell>
        </row>
        <row r="331">
          <cell r="C331" t="str">
            <v>Washington, DC</v>
          </cell>
          <cell r="D331">
            <v>2</v>
          </cell>
          <cell r="E331">
            <v>130</v>
          </cell>
          <cell r="F331">
            <v>2</v>
          </cell>
          <cell r="G331">
            <v>376</v>
          </cell>
          <cell r="H331">
            <v>4</v>
          </cell>
          <cell r="I331">
            <v>422</v>
          </cell>
          <cell r="J331">
            <v>6</v>
          </cell>
          <cell r="K331">
            <v>798</v>
          </cell>
          <cell r="L331">
            <v>2</v>
          </cell>
          <cell r="M331">
            <v>176</v>
          </cell>
          <cell r="N331">
            <v>1</v>
          </cell>
          <cell r="O331">
            <v>143</v>
          </cell>
          <cell r="P331">
            <v>4</v>
          </cell>
          <cell r="Q331">
            <v>536</v>
          </cell>
          <cell r="R331">
            <v>3</v>
          </cell>
          <cell r="S331">
            <v>295</v>
          </cell>
          <cell r="T331">
            <v>0</v>
          </cell>
          <cell r="U331">
            <v>0</v>
          </cell>
          <cell r="V331">
            <v>0</v>
          </cell>
          <cell r="W331">
            <v>0</v>
          </cell>
          <cell r="X331">
            <v>34</v>
          </cell>
          <cell r="Y331">
            <v>7746</v>
          </cell>
          <cell r="Z331">
            <v>0</v>
          </cell>
          <cell r="AA331">
            <v>0</v>
          </cell>
        </row>
        <row r="382">
          <cell r="C382" t="str">
            <v>Anaheim, CA</v>
          </cell>
          <cell r="D382">
            <v>0</v>
          </cell>
          <cell r="E382">
            <v>0</v>
          </cell>
          <cell r="F382">
            <v>0</v>
          </cell>
          <cell r="G382">
            <v>0</v>
          </cell>
          <cell r="H382">
            <v>0</v>
          </cell>
          <cell r="I382">
            <v>0</v>
          </cell>
          <cell r="J382">
            <v>0</v>
          </cell>
          <cell r="K382">
            <v>0</v>
          </cell>
          <cell r="L382">
            <v>0</v>
          </cell>
          <cell r="M382">
            <v>0</v>
          </cell>
          <cell r="N382">
            <v>0</v>
          </cell>
          <cell r="O382">
            <v>0</v>
          </cell>
          <cell r="P382">
            <v>0</v>
          </cell>
          <cell r="Q382">
            <v>0</v>
          </cell>
          <cell r="R382">
            <v>0</v>
          </cell>
          <cell r="S382">
            <v>0</v>
          </cell>
          <cell r="T382">
            <v>0</v>
          </cell>
          <cell r="U382">
            <v>0</v>
          </cell>
          <cell r="V382">
            <v>0</v>
          </cell>
          <cell r="W382">
            <v>0</v>
          </cell>
          <cell r="X382">
            <v>6</v>
          </cell>
          <cell r="Y382">
            <v>429</v>
          </cell>
          <cell r="Z382">
            <v>0</v>
          </cell>
          <cell r="AA382">
            <v>0</v>
          </cell>
        </row>
        <row r="383">
          <cell r="C383" t="str">
            <v>Atlanta, GA</v>
          </cell>
          <cell r="D383">
            <v>11</v>
          </cell>
          <cell r="E383">
            <v>830</v>
          </cell>
          <cell r="F383">
            <v>3</v>
          </cell>
          <cell r="G383">
            <v>217</v>
          </cell>
          <cell r="H383">
            <v>3</v>
          </cell>
          <cell r="I383">
            <v>283</v>
          </cell>
          <cell r="J383">
            <v>6</v>
          </cell>
          <cell r="K383">
            <v>500</v>
          </cell>
          <cell r="L383">
            <v>0</v>
          </cell>
          <cell r="M383">
            <v>0</v>
          </cell>
          <cell r="N383">
            <v>3</v>
          </cell>
          <cell r="O383">
            <v>217</v>
          </cell>
          <cell r="P383">
            <v>1</v>
          </cell>
          <cell r="Q383">
            <v>100</v>
          </cell>
          <cell r="R383">
            <v>2</v>
          </cell>
          <cell r="S383">
            <v>183</v>
          </cell>
          <cell r="T383">
            <v>0</v>
          </cell>
          <cell r="U383">
            <v>0</v>
          </cell>
          <cell r="V383">
            <v>0</v>
          </cell>
          <cell r="W383">
            <v>0</v>
          </cell>
          <cell r="X383">
            <v>15</v>
          </cell>
          <cell r="Y383">
            <v>1519</v>
          </cell>
          <cell r="Z383">
            <v>1</v>
          </cell>
          <cell r="AA383">
            <v>46</v>
          </cell>
        </row>
        <row r="384">
          <cell r="C384" t="str">
            <v>Boston, MA</v>
          </cell>
          <cell r="D384">
            <v>3</v>
          </cell>
          <cell r="E384">
            <v>289</v>
          </cell>
          <cell r="F384">
            <v>1</v>
          </cell>
          <cell r="G384">
            <v>50</v>
          </cell>
          <cell r="H384">
            <v>1</v>
          </cell>
          <cell r="I384">
            <v>100</v>
          </cell>
          <cell r="J384">
            <v>2</v>
          </cell>
          <cell r="K384">
            <v>150</v>
          </cell>
          <cell r="L384">
            <v>1</v>
          </cell>
          <cell r="M384">
            <v>85</v>
          </cell>
          <cell r="N384">
            <v>1</v>
          </cell>
          <cell r="O384">
            <v>50</v>
          </cell>
          <cell r="P384">
            <v>0</v>
          </cell>
          <cell r="Q384">
            <v>0</v>
          </cell>
          <cell r="R384">
            <v>2</v>
          </cell>
          <cell r="S384">
            <v>185</v>
          </cell>
          <cell r="T384">
            <v>0</v>
          </cell>
          <cell r="U384">
            <v>0</v>
          </cell>
          <cell r="V384">
            <v>0</v>
          </cell>
          <cell r="W384">
            <v>0</v>
          </cell>
          <cell r="X384">
            <v>3</v>
          </cell>
          <cell r="Y384">
            <v>289</v>
          </cell>
          <cell r="Z384">
            <v>0</v>
          </cell>
          <cell r="AA384">
            <v>0</v>
          </cell>
        </row>
        <row r="385">
          <cell r="C385" t="str">
            <v>Chicago, IL</v>
          </cell>
          <cell r="D385">
            <v>4</v>
          </cell>
          <cell r="E385">
            <v>549</v>
          </cell>
          <cell r="F385">
            <v>0</v>
          </cell>
          <cell r="G385">
            <v>0</v>
          </cell>
          <cell r="H385">
            <v>2</v>
          </cell>
          <cell r="I385">
            <v>123</v>
          </cell>
          <cell r="J385">
            <v>2</v>
          </cell>
          <cell r="K385">
            <v>123</v>
          </cell>
          <cell r="L385">
            <v>3</v>
          </cell>
          <cell r="M385">
            <v>234</v>
          </cell>
          <cell r="N385">
            <v>0</v>
          </cell>
          <cell r="O385">
            <v>0</v>
          </cell>
          <cell r="P385">
            <v>2</v>
          </cell>
          <cell r="Q385">
            <v>123</v>
          </cell>
          <cell r="R385">
            <v>1</v>
          </cell>
          <cell r="S385">
            <v>82</v>
          </cell>
          <cell r="T385">
            <v>2</v>
          </cell>
          <cell r="U385">
            <v>152</v>
          </cell>
          <cell r="V385">
            <v>2</v>
          </cell>
          <cell r="W385">
            <v>152</v>
          </cell>
          <cell r="X385">
            <v>3</v>
          </cell>
          <cell r="Y385">
            <v>249</v>
          </cell>
          <cell r="Z385">
            <v>1</v>
          </cell>
          <cell r="AA385">
            <v>50</v>
          </cell>
        </row>
        <row r="386">
          <cell r="C386" t="str">
            <v>Dallas, TX</v>
          </cell>
          <cell r="D386">
            <v>12</v>
          </cell>
          <cell r="E386">
            <v>744</v>
          </cell>
          <cell r="F386">
            <v>0</v>
          </cell>
          <cell r="G386">
            <v>0</v>
          </cell>
          <cell r="H386">
            <v>0</v>
          </cell>
          <cell r="I386">
            <v>0</v>
          </cell>
          <cell r="J386">
            <v>0</v>
          </cell>
          <cell r="K386">
            <v>0</v>
          </cell>
          <cell r="L386">
            <v>0</v>
          </cell>
          <cell r="M386">
            <v>0</v>
          </cell>
          <cell r="N386">
            <v>0</v>
          </cell>
          <cell r="O386">
            <v>0</v>
          </cell>
          <cell r="P386">
            <v>0</v>
          </cell>
          <cell r="Q386">
            <v>0</v>
          </cell>
          <cell r="R386">
            <v>0</v>
          </cell>
          <cell r="S386">
            <v>0</v>
          </cell>
          <cell r="T386">
            <v>0</v>
          </cell>
          <cell r="U386">
            <v>0</v>
          </cell>
          <cell r="V386">
            <v>0</v>
          </cell>
          <cell r="W386">
            <v>0</v>
          </cell>
          <cell r="X386">
            <v>14</v>
          </cell>
          <cell r="Y386">
            <v>936</v>
          </cell>
          <cell r="Z386">
            <v>2</v>
          </cell>
          <cell r="AA386">
            <v>139</v>
          </cell>
        </row>
        <row r="387">
          <cell r="C387" t="str">
            <v>Denver, CO</v>
          </cell>
          <cell r="D387">
            <v>2</v>
          </cell>
          <cell r="E387">
            <v>193</v>
          </cell>
          <cell r="F387">
            <v>1</v>
          </cell>
          <cell r="G387">
            <v>88</v>
          </cell>
          <cell r="H387">
            <v>0</v>
          </cell>
          <cell r="I387">
            <v>0</v>
          </cell>
          <cell r="J387">
            <v>1</v>
          </cell>
          <cell r="K387">
            <v>88</v>
          </cell>
          <cell r="L387">
            <v>1</v>
          </cell>
          <cell r="M387">
            <v>82</v>
          </cell>
          <cell r="N387">
            <v>0</v>
          </cell>
          <cell r="O387">
            <v>0</v>
          </cell>
          <cell r="P387">
            <v>1</v>
          </cell>
          <cell r="Q387">
            <v>88</v>
          </cell>
          <cell r="R387">
            <v>1</v>
          </cell>
          <cell r="S387">
            <v>82</v>
          </cell>
          <cell r="T387">
            <v>0</v>
          </cell>
          <cell r="U387">
            <v>0</v>
          </cell>
          <cell r="V387">
            <v>0</v>
          </cell>
          <cell r="W387">
            <v>0</v>
          </cell>
          <cell r="X387">
            <v>3</v>
          </cell>
          <cell r="Y387">
            <v>252</v>
          </cell>
          <cell r="Z387">
            <v>0</v>
          </cell>
          <cell r="AA387">
            <v>0</v>
          </cell>
        </row>
        <row r="388">
          <cell r="C388" t="str">
            <v>Detroit, MI</v>
          </cell>
          <cell r="D388">
            <v>1</v>
          </cell>
          <cell r="E388">
            <v>98</v>
          </cell>
          <cell r="F388">
            <v>1</v>
          </cell>
          <cell r="G388">
            <v>90</v>
          </cell>
          <cell r="H388">
            <v>2</v>
          </cell>
          <cell r="I388">
            <v>168</v>
          </cell>
          <cell r="J388">
            <v>3</v>
          </cell>
          <cell r="K388">
            <v>258</v>
          </cell>
          <cell r="L388">
            <v>6</v>
          </cell>
          <cell r="M388">
            <v>532</v>
          </cell>
          <cell r="N388">
            <v>0</v>
          </cell>
          <cell r="O388">
            <v>0</v>
          </cell>
          <cell r="P388">
            <v>3</v>
          </cell>
          <cell r="Q388">
            <v>258</v>
          </cell>
          <cell r="R388">
            <v>3</v>
          </cell>
          <cell r="S388">
            <v>232</v>
          </cell>
          <cell r="T388">
            <v>3</v>
          </cell>
          <cell r="U388">
            <v>300</v>
          </cell>
          <cell r="V388">
            <v>3</v>
          </cell>
          <cell r="W388">
            <v>300</v>
          </cell>
          <cell r="X388">
            <v>1</v>
          </cell>
          <cell r="Y388">
            <v>98</v>
          </cell>
          <cell r="Z388">
            <v>0</v>
          </cell>
          <cell r="AA388">
            <v>0</v>
          </cell>
        </row>
        <row r="389">
          <cell r="C389" t="str">
            <v>Houston, TX</v>
          </cell>
          <cell r="D389">
            <v>5</v>
          </cell>
          <cell r="E389">
            <v>377</v>
          </cell>
          <cell r="F389">
            <v>1</v>
          </cell>
          <cell r="G389">
            <v>50</v>
          </cell>
          <cell r="H389">
            <v>1</v>
          </cell>
          <cell r="I389">
            <v>60</v>
          </cell>
          <cell r="J389">
            <v>2</v>
          </cell>
          <cell r="K389">
            <v>110</v>
          </cell>
          <cell r="L389">
            <v>0</v>
          </cell>
          <cell r="M389">
            <v>0</v>
          </cell>
          <cell r="N389">
            <v>1</v>
          </cell>
          <cell r="O389">
            <v>50</v>
          </cell>
          <cell r="P389">
            <v>1</v>
          </cell>
          <cell r="Q389">
            <v>60</v>
          </cell>
          <cell r="R389">
            <v>0</v>
          </cell>
          <cell r="S389">
            <v>0</v>
          </cell>
          <cell r="T389">
            <v>0</v>
          </cell>
          <cell r="U389">
            <v>0</v>
          </cell>
          <cell r="V389">
            <v>0</v>
          </cell>
          <cell r="W389">
            <v>0</v>
          </cell>
          <cell r="X389">
            <v>10</v>
          </cell>
          <cell r="Y389">
            <v>914</v>
          </cell>
          <cell r="Z389">
            <v>0</v>
          </cell>
          <cell r="AA389">
            <v>0</v>
          </cell>
        </row>
        <row r="390">
          <cell r="C390" t="str">
            <v>Los Angeles, CA</v>
          </cell>
          <cell r="D390">
            <v>0</v>
          </cell>
          <cell r="E390">
            <v>0</v>
          </cell>
          <cell r="F390">
            <v>1</v>
          </cell>
          <cell r="G390">
            <v>53</v>
          </cell>
          <cell r="H390">
            <v>1</v>
          </cell>
          <cell r="I390">
            <v>129</v>
          </cell>
          <cell r="J390">
            <v>2</v>
          </cell>
          <cell r="K390">
            <v>182</v>
          </cell>
          <cell r="L390">
            <v>0</v>
          </cell>
          <cell r="M390">
            <v>0</v>
          </cell>
          <cell r="N390">
            <v>1</v>
          </cell>
          <cell r="O390">
            <v>53</v>
          </cell>
          <cell r="P390">
            <v>0</v>
          </cell>
          <cell r="Q390">
            <v>0</v>
          </cell>
          <cell r="R390">
            <v>0</v>
          </cell>
          <cell r="S390">
            <v>0</v>
          </cell>
          <cell r="T390">
            <v>1</v>
          </cell>
          <cell r="U390">
            <v>129</v>
          </cell>
          <cell r="V390">
            <v>1</v>
          </cell>
          <cell r="W390">
            <v>129</v>
          </cell>
          <cell r="X390">
            <v>1</v>
          </cell>
          <cell r="Y390">
            <v>59</v>
          </cell>
          <cell r="Z390">
            <v>0</v>
          </cell>
          <cell r="AA390">
            <v>0</v>
          </cell>
        </row>
        <row r="391">
          <cell r="C391" t="str">
            <v>Miami, FL</v>
          </cell>
          <cell r="D391">
            <v>0</v>
          </cell>
          <cell r="E391">
            <v>0</v>
          </cell>
          <cell r="F391">
            <v>0</v>
          </cell>
          <cell r="G391">
            <v>0</v>
          </cell>
          <cell r="H391">
            <v>0</v>
          </cell>
          <cell r="I391">
            <v>0</v>
          </cell>
          <cell r="J391">
            <v>0</v>
          </cell>
          <cell r="K391">
            <v>0</v>
          </cell>
          <cell r="L391">
            <v>1</v>
          </cell>
          <cell r="M391">
            <v>162</v>
          </cell>
          <cell r="N391">
            <v>0</v>
          </cell>
          <cell r="O391">
            <v>0</v>
          </cell>
          <cell r="P391">
            <v>0</v>
          </cell>
          <cell r="Q391">
            <v>0</v>
          </cell>
          <cell r="R391">
            <v>0</v>
          </cell>
          <cell r="S391">
            <v>0</v>
          </cell>
          <cell r="T391">
            <v>1</v>
          </cell>
          <cell r="U391">
            <v>162</v>
          </cell>
          <cell r="V391">
            <v>1</v>
          </cell>
          <cell r="W391">
            <v>162</v>
          </cell>
          <cell r="X391">
            <v>1</v>
          </cell>
          <cell r="Y391">
            <v>84</v>
          </cell>
          <cell r="Z391">
            <v>0</v>
          </cell>
          <cell r="AA391">
            <v>0</v>
          </cell>
        </row>
        <row r="392">
          <cell r="C392" t="str">
            <v>Minneapolis, MN</v>
          </cell>
          <cell r="D392">
            <v>3</v>
          </cell>
          <cell r="E392">
            <v>219</v>
          </cell>
          <cell r="F392">
            <v>0</v>
          </cell>
          <cell r="G392">
            <v>0</v>
          </cell>
          <cell r="H392">
            <v>1</v>
          </cell>
          <cell r="I392">
            <v>59</v>
          </cell>
          <cell r="J392">
            <v>1</v>
          </cell>
          <cell r="K392">
            <v>59</v>
          </cell>
          <cell r="L392">
            <v>4</v>
          </cell>
          <cell r="M392">
            <v>279</v>
          </cell>
          <cell r="N392">
            <v>0</v>
          </cell>
          <cell r="O392">
            <v>0</v>
          </cell>
          <cell r="P392">
            <v>1</v>
          </cell>
          <cell r="Q392">
            <v>59</v>
          </cell>
          <cell r="R392">
            <v>3</v>
          </cell>
          <cell r="S392">
            <v>196</v>
          </cell>
          <cell r="T392">
            <v>1</v>
          </cell>
          <cell r="U392">
            <v>83</v>
          </cell>
          <cell r="V392">
            <v>1</v>
          </cell>
          <cell r="W392">
            <v>83</v>
          </cell>
          <cell r="X392">
            <v>4</v>
          </cell>
          <cell r="Y392">
            <v>360</v>
          </cell>
          <cell r="Z392">
            <v>1</v>
          </cell>
          <cell r="AA392">
            <v>62</v>
          </cell>
        </row>
        <row r="393">
          <cell r="C393" t="str">
            <v>Nashville, TN</v>
          </cell>
          <cell r="D393">
            <v>3</v>
          </cell>
          <cell r="E393">
            <v>200</v>
          </cell>
          <cell r="F393">
            <v>0</v>
          </cell>
          <cell r="G393">
            <v>0</v>
          </cell>
          <cell r="H393">
            <v>0</v>
          </cell>
          <cell r="I393">
            <v>0</v>
          </cell>
          <cell r="J393">
            <v>0</v>
          </cell>
          <cell r="K393">
            <v>0</v>
          </cell>
          <cell r="L393">
            <v>1</v>
          </cell>
          <cell r="M393">
            <v>59</v>
          </cell>
          <cell r="N393">
            <v>0</v>
          </cell>
          <cell r="O393">
            <v>0</v>
          </cell>
          <cell r="P393">
            <v>0</v>
          </cell>
          <cell r="Q393">
            <v>0</v>
          </cell>
          <cell r="R393">
            <v>1</v>
          </cell>
          <cell r="S393">
            <v>59</v>
          </cell>
          <cell r="T393">
            <v>0</v>
          </cell>
          <cell r="U393">
            <v>0</v>
          </cell>
          <cell r="V393">
            <v>0</v>
          </cell>
          <cell r="W393">
            <v>0</v>
          </cell>
          <cell r="X393">
            <v>4</v>
          </cell>
          <cell r="Y393">
            <v>295</v>
          </cell>
          <cell r="Z393">
            <v>0</v>
          </cell>
          <cell r="AA393">
            <v>0</v>
          </cell>
        </row>
        <row r="394">
          <cell r="C394" t="str">
            <v>New Orleans, LA</v>
          </cell>
          <cell r="D394">
            <v>0</v>
          </cell>
          <cell r="E394">
            <v>0</v>
          </cell>
          <cell r="F394">
            <v>0</v>
          </cell>
          <cell r="G394">
            <v>0</v>
          </cell>
          <cell r="H394">
            <v>0</v>
          </cell>
          <cell r="I394">
            <v>0</v>
          </cell>
          <cell r="J394">
            <v>0</v>
          </cell>
          <cell r="K394">
            <v>0</v>
          </cell>
          <cell r="L394">
            <v>1</v>
          </cell>
          <cell r="M394">
            <v>120</v>
          </cell>
          <cell r="N394">
            <v>0</v>
          </cell>
          <cell r="O394">
            <v>0</v>
          </cell>
          <cell r="P394">
            <v>0</v>
          </cell>
          <cell r="Q394">
            <v>0</v>
          </cell>
          <cell r="R394">
            <v>0</v>
          </cell>
          <cell r="S394">
            <v>0</v>
          </cell>
          <cell r="T394">
            <v>1</v>
          </cell>
          <cell r="U394">
            <v>120</v>
          </cell>
          <cell r="V394">
            <v>1</v>
          </cell>
          <cell r="W394">
            <v>120</v>
          </cell>
          <cell r="X394">
            <v>0</v>
          </cell>
          <cell r="Y394">
            <v>0</v>
          </cell>
          <cell r="Z394">
            <v>0</v>
          </cell>
          <cell r="AA394">
            <v>0</v>
          </cell>
        </row>
        <row r="395">
          <cell r="C395" t="str">
            <v>New York, NY</v>
          </cell>
          <cell r="D395">
            <v>0</v>
          </cell>
          <cell r="E395">
            <v>0</v>
          </cell>
          <cell r="F395">
            <v>0</v>
          </cell>
          <cell r="G395">
            <v>0</v>
          </cell>
          <cell r="H395">
            <v>0</v>
          </cell>
          <cell r="I395">
            <v>0</v>
          </cell>
          <cell r="J395">
            <v>0</v>
          </cell>
          <cell r="K395">
            <v>0</v>
          </cell>
          <cell r="L395">
            <v>1</v>
          </cell>
          <cell r="M395">
            <v>300</v>
          </cell>
          <cell r="N395">
            <v>0</v>
          </cell>
          <cell r="O395">
            <v>0</v>
          </cell>
          <cell r="P395">
            <v>0</v>
          </cell>
          <cell r="Q395">
            <v>0</v>
          </cell>
          <cell r="R395">
            <v>0</v>
          </cell>
          <cell r="S395">
            <v>0</v>
          </cell>
          <cell r="T395">
            <v>1</v>
          </cell>
          <cell r="U395">
            <v>300</v>
          </cell>
          <cell r="V395">
            <v>1</v>
          </cell>
          <cell r="W395">
            <v>300</v>
          </cell>
          <cell r="X395">
            <v>0</v>
          </cell>
          <cell r="Y395">
            <v>0</v>
          </cell>
          <cell r="Z395">
            <v>0</v>
          </cell>
          <cell r="AA395">
            <v>0</v>
          </cell>
        </row>
        <row r="396">
          <cell r="C396" t="str">
            <v>Norfolk, VA</v>
          </cell>
          <cell r="D396">
            <v>1</v>
          </cell>
          <cell r="E396">
            <v>70</v>
          </cell>
          <cell r="F396">
            <v>1</v>
          </cell>
          <cell r="G396">
            <v>65</v>
          </cell>
          <cell r="H396">
            <v>0</v>
          </cell>
          <cell r="I396">
            <v>0</v>
          </cell>
          <cell r="J396">
            <v>1</v>
          </cell>
          <cell r="K396">
            <v>65</v>
          </cell>
          <cell r="L396">
            <v>0</v>
          </cell>
          <cell r="M396">
            <v>0</v>
          </cell>
          <cell r="N396">
            <v>0</v>
          </cell>
          <cell r="O396">
            <v>0</v>
          </cell>
          <cell r="P396">
            <v>1</v>
          </cell>
          <cell r="Q396">
            <v>65</v>
          </cell>
          <cell r="R396">
            <v>0</v>
          </cell>
          <cell r="S396">
            <v>0</v>
          </cell>
          <cell r="T396">
            <v>0</v>
          </cell>
          <cell r="U396">
            <v>0</v>
          </cell>
          <cell r="V396">
            <v>0</v>
          </cell>
          <cell r="W396">
            <v>0</v>
          </cell>
          <cell r="X396">
            <v>3</v>
          </cell>
          <cell r="Y396">
            <v>292</v>
          </cell>
          <cell r="Z396">
            <v>0</v>
          </cell>
          <cell r="AA396">
            <v>0</v>
          </cell>
        </row>
        <row r="397">
          <cell r="C397" t="str">
            <v>Oahu Island</v>
          </cell>
          <cell r="D397">
            <v>1</v>
          </cell>
          <cell r="E397">
            <v>48</v>
          </cell>
          <cell r="F397">
            <v>0</v>
          </cell>
          <cell r="G397">
            <v>0</v>
          </cell>
          <cell r="H397">
            <v>0</v>
          </cell>
          <cell r="I397">
            <v>0</v>
          </cell>
          <cell r="J397">
            <v>0</v>
          </cell>
          <cell r="K397">
            <v>0</v>
          </cell>
          <cell r="L397">
            <v>0</v>
          </cell>
          <cell r="M397">
            <v>0</v>
          </cell>
          <cell r="N397">
            <v>0</v>
          </cell>
          <cell r="O397">
            <v>0</v>
          </cell>
          <cell r="P397">
            <v>0</v>
          </cell>
          <cell r="Q397">
            <v>0</v>
          </cell>
          <cell r="R397">
            <v>0</v>
          </cell>
          <cell r="S397">
            <v>0</v>
          </cell>
          <cell r="T397">
            <v>0</v>
          </cell>
          <cell r="U397">
            <v>0</v>
          </cell>
          <cell r="V397">
            <v>0</v>
          </cell>
          <cell r="W397">
            <v>0</v>
          </cell>
          <cell r="X397">
            <v>1</v>
          </cell>
          <cell r="Y397">
            <v>48</v>
          </cell>
          <cell r="Z397">
            <v>0</v>
          </cell>
          <cell r="AA397">
            <v>0</v>
          </cell>
        </row>
        <row r="398">
          <cell r="C398" t="str">
            <v>Orlando, FL</v>
          </cell>
          <cell r="D398">
            <v>4</v>
          </cell>
          <cell r="E398">
            <v>498</v>
          </cell>
          <cell r="F398">
            <v>0</v>
          </cell>
          <cell r="G398">
            <v>0</v>
          </cell>
          <cell r="H398">
            <v>0</v>
          </cell>
          <cell r="I398">
            <v>0</v>
          </cell>
          <cell r="J398">
            <v>0</v>
          </cell>
          <cell r="K398">
            <v>0</v>
          </cell>
          <cell r="L398">
            <v>4</v>
          </cell>
          <cell r="M398">
            <v>492</v>
          </cell>
          <cell r="N398">
            <v>0</v>
          </cell>
          <cell r="O398">
            <v>0</v>
          </cell>
          <cell r="P398">
            <v>0</v>
          </cell>
          <cell r="Q398">
            <v>0</v>
          </cell>
          <cell r="R398">
            <v>0</v>
          </cell>
          <cell r="S398">
            <v>0</v>
          </cell>
          <cell r="T398">
            <v>4</v>
          </cell>
          <cell r="U398">
            <v>492</v>
          </cell>
          <cell r="V398">
            <v>4</v>
          </cell>
          <cell r="W398">
            <v>492</v>
          </cell>
          <cell r="X398">
            <v>7</v>
          </cell>
          <cell r="Y398">
            <v>1080</v>
          </cell>
          <cell r="Z398">
            <v>0</v>
          </cell>
          <cell r="AA398">
            <v>0</v>
          </cell>
        </row>
        <row r="399">
          <cell r="C399" t="str">
            <v>Philadelphia, PA</v>
          </cell>
          <cell r="D399">
            <v>3</v>
          </cell>
          <cell r="E399">
            <v>528</v>
          </cell>
          <cell r="F399">
            <v>0</v>
          </cell>
          <cell r="G399">
            <v>0</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cell r="V399">
            <v>0</v>
          </cell>
          <cell r="W399">
            <v>0</v>
          </cell>
          <cell r="X399">
            <v>4</v>
          </cell>
          <cell r="Y399">
            <v>678</v>
          </cell>
          <cell r="Z399">
            <v>0</v>
          </cell>
          <cell r="AA399">
            <v>0</v>
          </cell>
        </row>
        <row r="400">
          <cell r="C400" t="str">
            <v>Phoenix, AZ</v>
          </cell>
          <cell r="D400">
            <v>4</v>
          </cell>
          <cell r="E400">
            <v>414</v>
          </cell>
          <cell r="F400">
            <v>0</v>
          </cell>
          <cell r="G400">
            <v>0</v>
          </cell>
          <cell r="H400">
            <v>0</v>
          </cell>
          <cell r="I400">
            <v>0</v>
          </cell>
          <cell r="J400">
            <v>0</v>
          </cell>
          <cell r="K400">
            <v>0</v>
          </cell>
          <cell r="L400">
            <v>1</v>
          </cell>
          <cell r="M400">
            <v>75</v>
          </cell>
          <cell r="N400">
            <v>0</v>
          </cell>
          <cell r="O400">
            <v>0</v>
          </cell>
          <cell r="P400">
            <v>0</v>
          </cell>
          <cell r="Q400">
            <v>0</v>
          </cell>
          <cell r="R400">
            <v>1</v>
          </cell>
          <cell r="S400">
            <v>75</v>
          </cell>
          <cell r="T400">
            <v>0</v>
          </cell>
          <cell r="U400">
            <v>0</v>
          </cell>
          <cell r="V400">
            <v>0</v>
          </cell>
          <cell r="W400">
            <v>0</v>
          </cell>
          <cell r="X400">
            <v>6</v>
          </cell>
          <cell r="Y400">
            <v>562</v>
          </cell>
          <cell r="Z400">
            <v>0</v>
          </cell>
          <cell r="AA400">
            <v>0</v>
          </cell>
        </row>
        <row r="401">
          <cell r="C401" t="str">
            <v>Saint Louis, MO</v>
          </cell>
          <cell r="D401">
            <v>2</v>
          </cell>
          <cell r="E401">
            <v>135</v>
          </cell>
          <cell r="F401">
            <v>0</v>
          </cell>
          <cell r="G401">
            <v>0</v>
          </cell>
          <cell r="H401">
            <v>0</v>
          </cell>
          <cell r="I401">
            <v>0</v>
          </cell>
          <cell r="J401">
            <v>0</v>
          </cell>
          <cell r="K401">
            <v>0</v>
          </cell>
          <cell r="L401">
            <v>0</v>
          </cell>
          <cell r="M401">
            <v>0</v>
          </cell>
          <cell r="N401">
            <v>0</v>
          </cell>
          <cell r="O401">
            <v>0</v>
          </cell>
          <cell r="P401">
            <v>0</v>
          </cell>
          <cell r="Q401">
            <v>0</v>
          </cell>
          <cell r="R401">
            <v>0</v>
          </cell>
          <cell r="S401">
            <v>0</v>
          </cell>
          <cell r="T401">
            <v>0</v>
          </cell>
          <cell r="U401">
            <v>0</v>
          </cell>
          <cell r="V401">
            <v>0</v>
          </cell>
          <cell r="W401">
            <v>0</v>
          </cell>
          <cell r="X401">
            <v>3</v>
          </cell>
          <cell r="Y401">
            <v>219</v>
          </cell>
          <cell r="Z401">
            <v>1</v>
          </cell>
          <cell r="AA401">
            <v>65</v>
          </cell>
        </row>
        <row r="402">
          <cell r="C402" t="str">
            <v>San Diego, CA</v>
          </cell>
          <cell r="D402">
            <v>1</v>
          </cell>
          <cell r="E402">
            <v>50</v>
          </cell>
          <cell r="F402">
            <v>0</v>
          </cell>
          <cell r="G402">
            <v>0</v>
          </cell>
          <cell r="H402">
            <v>0</v>
          </cell>
          <cell r="I402">
            <v>0</v>
          </cell>
          <cell r="J402">
            <v>0</v>
          </cell>
          <cell r="K402">
            <v>0</v>
          </cell>
          <cell r="L402">
            <v>1</v>
          </cell>
          <cell r="M402">
            <v>70</v>
          </cell>
          <cell r="N402">
            <v>0</v>
          </cell>
          <cell r="O402">
            <v>0</v>
          </cell>
          <cell r="P402">
            <v>0</v>
          </cell>
          <cell r="Q402">
            <v>0</v>
          </cell>
          <cell r="R402">
            <v>1</v>
          </cell>
          <cell r="S402">
            <v>70</v>
          </cell>
          <cell r="T402">
            <v>0</v>
          </cell>
          <cell r="U402">
            <v>0</v>
          </cell>
          <cell r="V402">
            <v>0</v>
          </cell>
          <cell r="W402">
            <v>0</v>
          </cell>
          <cell r="X402">
            <v>3</v>
          </cell>
          <cell r="Y402">
            <v>358</v>
          </cell>
          <cell r="Z402">
            <v>0</v>
          </cell>
          <cell r="AA402">
            <v>0</v>
          </cell>
        </row>
        <row r="403">
          <cell r="C403" t="str">
            <v>San Francisco, CA</v>
          </cell>
          <cell r="D403">
            <v>0</v>
          </cell>
          <cell r="E403">
            <v>0</v>
          </cell>
          <cell r="F403">
            <v>1</v>
          </cell>
          <cell r="G403">
            <v>29</v>
          </cell>
          <cell r="H403">
            <v>0</v>
          </cell>
          <cell r="I403">
            <v>0</v>
          </cell>
          <cell r="J403">
            <v>1</v>
          </cell>
          <cell r="K403">
            <v>29</v>
          </cell>
          <cell r="L403">
            <v>1</v>
          </cell>
          <cell r="M403">
            <v>40</v>
          </cell>
          <cell r="N403">
            <v>1</v>
          </cell>
          <cell r="O403">
            <v>29</v>
          </cell>
          <cell r="P403">
            <v>0</v>
          </cell>
          <cell r="Q403">
            <v>0</v>
          </cell>
          <cell r="R403">
            <v>0</v>
          </cell>
          <cell r="S403">
            <v>0</v>
          </cell>
          <cell r="T403">
            <v>1</v>
          </cell>
          <cell r="U403">
            <v>40</v>
          </cell>
          <cell r="V403">
            <v>1</v>
          </cell>
          <cell r="W403">
            <v>40</v>
          </cell>
          <cell r="X403">
            <v>1</v>
          </cell>
          <cell r="Y403">
            <v>38</v>
          </cell>
          <cell r="Z403">
            <v>0</v>
          </cell>
          <cell r="AA403">
            <v>0</v>
          </cell>
        </row>
        <row r="404">
          <cell r="C404" t="str">
            <v>Seattle, WA</v>
          </cell>
          <cell r="D404">
            <v>3</v>
          </cell>
          <cell r="E404">
            <v>364</v>
          </cell>
          <cell r="F404">
            <v>1</v>
          </cell>
          <cell r="G404">
            <v>68</v>
          </cell>
          <cell r="H404">
            <v>0</v>
          </cell>
          <cell r="I404">
            <v>0</v>
          </cell>
          <cell r="J404">
            <v>1</v>
          </cell>
          <cell r="K404">
            <v>68</v>
          </cell>
          <cell r="L404">
            <v>1</v>
          </cell>
          <cell r="M404">
            <v>72</v>
          </cell>
          <cell r="N404">
            <v>0</v>
          </cell>
          <cell r="O404">
            <v>0</v>
          </cell>
          <cell r="P404">
            <v>1</v>
          </cell>
          <cell r="Q404">
            <v>68</v>
          </cell>
          <cell r="R404">
            <v>0</v>
          </cell>
          <cell r="S404">
            <v>0</v>
          </cell>
          <cell r="T404">
            <v>1</v>
          </cell>
          <cell r="U404">
            <v>72</v>
          </cell>
          <cell r="V404">
            <v>1</v>
          </cell>
          <cell r="W404">
            <v>72</v>
          </cell>
          <cell r="X404">
            <v>5</v>
          </cell>
          <cell r="Y404">
            <v>588</v>
          </cell>
          <cell r="Z404">
            <v>0</v>
          </cell>
          <cell r="AA404">
            <v>0</v>
          </cell>
        </row>
        <row r="405">
          <cell r="C405" t="str">
            <v>Tampa, FL</v>
          </cell>
          <cell r="D405">
            <v>1</v>
          </cell>
          <cell r="E405">
            <v>63</v>
          </cell>
          <cell r="F405">
            <v>0</v>
          </cell>
          <cell r="G405">
            <v>0</v>
          </cell>
          <cell r="H405">
            <v>0</v>
          </cell>
          <cell r="I405">
            <v>0</v>
          </cell>
          <cell r="J405">
            <v>0</v>
          </cell>
          <cell r="K405">
            <v>0</v>
          </cell>
          <cell r="L405">
            <v>4</v>
          </cell>
          <cell r="M405">
            <v>331</v>
          </cell>
          <cell r="N405">
            <v>0</v>
          </cell>
          <cell r="O405">
            <v>0</v>
          </cell>
          <cell r="P405">
            <v>0</v>
          </cell>
          <cell r="Q405">
            <v>0</v>
          </cell>
          <cell r="R405">
            <v>1</v>
          </cell>
          <cell r="S405">
            <v>65</v>
          </cell>
          <cell r="T405">
            <v>3</v>
          </cell>
          <cell r="U405">
            <v>266</v>
          </cell>
          <cell r="V405">
            <v>3</v>
          </cell>
          <cell r="W405">
            <v>266</v>
          </cell>
          <cell r="X405">
            <v>1</v>
          </cell>
          <cell r="Y405">
            <v>63</v>
          </cell>
          <cell r="Z405">
            <v>1</v>
          </cell>
          <cell r="AA405">
            <v>63</v>
          </cell>
        </row>
        <row r="406">
          <cell r="C406" t="str">
            <v>Washington, DC</v>
          </cell>
          <cell r="D406">
            <v>2</v>
          </cell>
          <cell r="E406">
            <v>203</v>
          </cell>
          <cell r="F406">
            <v>0</v>
          </cell>
          <cell r="G406">
            <v>0</v>
          </cell>
          <cell r="H406">
            <v>1</v>
          </cell>
          <cell r="I406">
            <v>110</v>
          </cell>
          <cell r="J406">
            <v>1</v>
          </cell>
          <cell r="K406">
            <v>110</v>
          </cell>
          <cell r="L406">
            <v>0</v>
          </cell>
          <cell r="M406">
            <v>0</v>
          </cell>
          <cell r="N406">
            <v>0</v>
          </cell>
          <cell r="O406">
            <v>0</v>
          </cell>
          <cell r="P406">
            <v>1</v>
          </cell>
          <cell r="Q406">
            <v>110</v>
          </cell>
          <cell r="R406">
            <v>0</v>
          </cell>
          <cell r="S406">
            <v>0</v>
          </cell>
          <cell r="T406">
            <v>0</v>
          </cell>
          <cell r="U406">
            <v>0</v>
          </cell>
          <cell r="V406">
            <v>0</v>
          </cell>
          <cell r="W406">
            <v>0</v>
          </cell>
          <cell r="X406">
            <v>3</v>
          </cell>
          <cell r="Y406">
            <v>388</v>
          </cell>
          <cell r="Z406">
            <v>1</v>
          </cell>
          <cell r="AA406">
            <v>99</v>
          </cell>
        </row>
      </sheetData>
      <sheetData sheetId="4" refreshError="1"/>
      <sheetData sheetId="5" refreshError="1"/>
      <sheetData sheetId="6" refreshError="1">
        <row r="12">
          <cell r="AV12">
            <v>115696</v>
          </cell>
          <cell r="AY12">
            <v>821</v>
          </cell>
        </row>
        <row r="15">
          <cell r="AV15">
            <v>137170</v>
          </cell>
          <cell r="AY15">
            <v>1080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ttons"/>
      <sheetName val="Comps - Monthly"/>
      <sheetName val="NKEBS"/>
      <sheetName val="qorfa"/>
      <sheetName val="Sheet2"/>
      <sheetName val="Sheet3"/>
      <sheetName val="(e)Summary"/>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D"/>
      <sheetName val="Model "/>
      <sheetName val="New Openings "/>
      <sheetName val="Model - Most recent"/>
      <sheetName val="Earnings Model 4-26-00"/>
      <sheetName val="Property Portfolio"/>
      <sheetName val="RevPAR Results"/>
      <sheetName val="Revs Oper Y Mix"/>
      <sheetName val="Asia"/>
      <sheetName val="TimeShare"/>
      <sheetName val="CAGR Units"/>
      <sheetName val="Margins"/>
      <sheetName val="Luxury Segment"/>
      <sheetName val="RETURNS"/>
      <sheetName val="Multiples"/>
      <sheetName val="Multiples of Luxury Cos."/>
    </sheetNames>
    <sheetDataSet>
      <sheetData sheetId="0"/>
      <sheetData sheetId="1"/>
      <sheetData sheetId="2"/>
      <sheetData sheetId="3"/>
      <sheetData sheetId="4" refreshError="1">
        <row r="26">
          <cell r="K26">
            <v>76.172138794520521</v>
          </cell>
          <cell r="P26">
            <v>113.41041616425697</v>
          </cell>
          <cell r="U26">
            <v>136.46835309812022</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s"/>
      <sheetName val="Projects export"/>
      <sheetName val="Sheet1"/>
      <sheetName val="Devp Q3"/>
    </sheetNames>
    <sheetDataSet>
      <sheetData sheetId="0" refreshError="1">
        <row r="4">
          <cell r="AF4" t="str">
            <v>Cancelled</v>
          </cell>
          <cell r="AG4" t="str">
            <v>6Cancelled</v>
          </cell>
          <cell r="BP4" t="str">
            <v>ABILENE, TX</v>
          </cell>
          <cell r="BQ4">
            <v>0</v>
          </cell>
        </row>
        <row r="5">
          <cell r="AF5" t="str">
            <v>Early Planning</v>
          </cell>
          <cell r="AG5" t="str">
            <v>4Early Planning</v>
          </cell>
          <cell r="BP5" t="str">
            <v>AIKEN, SC</v>
          </cell>
          <cell r="BQ5">
            <v>0</v>
          </cell>
        </row>
        <row r="6">
          <cell r="AF6" t="str">
            <v>In Permitting</v>
          </cell>
          <cell r="AG6" t="str">
            <v>3In Permitting</v>
          </cell>
          <cell r="BP6" t="str">
            <v>AKRON, OH</v>
          </cell>
          <cell r="BQ6">
            <v>0</v>
          </cell>
        </row>
        <row r="7">
          <cell r="AF7" t="str">
            <v>On Hold</v>
          </cell>
          <cell r="AG7" t="str">
            <v>5On Hold</v>
          </cell>
          <cell r="BP7" t="str">
            <v>ALABAMA NORTH AREA</v>
          </cell>
          <cell r="BQ7">
            <v>0</v>
          </cell>
        </row>
        <row r="8">
          <cell r="AF8" t="str">
            <v>Open</v>
          </cell>
          <cell r="AG8" t="str">
            <v>1Open</v>
          </cell>
          <cell r="BP8" t="str">
            <v>ALABAMA SOUTH AREA</v>
          </cell>
          <cell r="BQ8">
            <v>0</v>
          </cell>
        </row>
        <row r="9">
          <cell r="AF9" t="str">
            <v>Under Construction</v>
          </cell>
          <cell r="AG9" t="str">
            <v>2Under Construction</v>
          </cell>
          <cell r="BP9" t="str">
            <v>ALASKA</v>
          </cell>
          <cell r="BQ9">
            <v>0</v>
          </cell>
        </row>
        <row r="10">
          <cell r="BP10" t="str">
            <v>ALBANY NY</v>
          </cell>
          <cell r="BQ10">
            <v>0</v>
          </cell>
        </row>
        <row r="11">
          <cell r="BP11" t="str">
            <v>ALBUQUERQUE</v>
          </cell>
          <cell r="BQ11">
            <v>0</v>
          </cell>
        </row>
        <row r="12">
          <cell r="BP12" t="str">
            <v>ALBUQUERQUE AREA</v>
          </cell>
          <cell r="BQ12">
            <v>0</v>
          </cell>
        </row>
        <row r="13">
          <cell r="BP13" t="str">
            <v>ALEXANDRIA</v>
          </cell>
          <cell r="BQ13">
            <v>2</v>
          </cell>
        </row>
        <row r="14">
          <cell r="BP14" t="str">
            <v>ALLENTOWN</v>
          </cell>
          <cell r="BQ14">
            <v>0</v>
          </cell>
        </row>
        <row r="15">
          <cell r="BP15" t="str">
            <v>ALPHARETTA</v>
          </cell>
          <cell r="BQ15" t="str">
            <v>9b</v>
          </cell>
        </row>
        <row r="16">
          <cell r="AF16" t="str">
            <v>Budget</v>
          </cell>
          <cell r="AG16" t="str">
            <v>f</v>
          </cell>
          <cell r="BP16" t="str">
            <v>ALTOONA/JOHNSTOWN PA</v>
          </cell>
          <cell r="BQ16">
            <v>0</v>
          </cell>
        </row>
        <row r="17">
          <cell r="AF17" t="str">
            <v>Casino</v>
          </cell>
          <cell r="AG17" t="str">
            <v>k</v>
          </cell>
          <cell r="BP17" t="str">
            <v>AMARILLO, TX</v>
          </cell>
          <cell r="BQ17">
            <v>0</v>
          </cell>
        </row>
        <row r="18">
          <cell r="AF18" t="str">
            <v>Deluxe</v>
          </cell>
          <cell r="AG18" t="str">
            <v>a</v>
          </cell>
          <cell r="BP18" t="str">
            <v>ANAHEIM CBD</v>
          </cell>
          <cell r="BQ18">
            <v>1</v>
          </cell>
        </row>
        <row r="19">
          <cell r="AF19" t="str">
            <v>Economy</v>
          </cell>
          <cell r="AG19" t="str">
            <v>e</v>
          </cell>
          <cell r="BP19" t="str">
            <v>ANN ARBOR-JACKSON</v>
          </cell>
          <cell r="BQ19">
            <v>1</v>
          </cell>
        </row>
        <row r="20">
          <cell r="AF20" t="str">
            <v>Independent</v>
          </cell>
          <cell r="AG20" t="str">
            <v>g</v>
          </cell>
          <cell r="BP20" t="str">
            <v>ANNE ARUNDEL</v>
          </cell>
          <cell r="BQ20">
            <v>0</v>
          </cell>
        </row>
        <row r="21">
          <cell r="AF21" t="str">
            <v>Midscale</v>
          </cell>
          <cell r="AG21" t="str">
            <v>d</v>
          </cell>
          <cell r="AI21" t="str">
            <v>Casino</v>
          </cell>
          <cell r="AJ21" t="str">
            <v>k</v>
          </cell>
          <cell r="BP21" t="str">
            <v>APPLETON/OSHKOSH/NEENAH</v>
          </cell>
          <cell r="BQ21">
            <v>0</v>
          </cell>
        </row>
        <row r="22">
          <cell r="AF22" t="str">
            <v>Upper Upscale</v>
          </cell>
          <cell r="AG22" t="str">
            <v>b</v>
          </cell>
          <cell r="AI22" t="str">
            <v>Economy</v>
          </cell>
          <cell r="AJ22" t="str">
            <v>e</v>
          </cell>
          <cell r="BP22" t="str">
            <v>ARIZONA CENTRAL AREA</v>
          </cell>
          <cell r="BQ22">
            <v>2</v>
          </cell>
        </row>
        <row r="23">
          <cell r="AF23" t="str">
            <v>Upscale</v>
          </cell>
          <cell r="AG23" t="str">
            <v>c</v>
          </cell>
          <cell r="AI23" t="str">
            <v>Independent</v>
          </cell>
          <cell r="AJ23" t="str">
            <v>f</v>
          </cell>
          <cell r="BP23" t="str">
            <v>ARIZONA NORTH</v>
          </cell>
          <cell r="BQ23">
            <v>1</v>
          </cell>
        </row>
        <row r="24">
          <cell r="AI24" t="str">
            <v>Midscale w/F&amp;B</v>
          </cell>
          <cell r="AJ24" t="str">
            <v>c</v>
          </cell>
          <cell r="BP24" t="str">
            <v>ARIZONA SOUTHEAST AREA</v>
          </cell>
          <cell r="BQ24">
            <v>3</v>
          </cell>
        </row>
        <row r="25">
          <cell r="AI25" t="str">
            <v>Midscale w/o F&amp;B</v>
          </cell>
          <cell r="AJ25" t="str">
            <v>d</v>
          </cell>
          <cell r="BP25" t="str">
            <v>ARIZONA WEST AREA</v>
          </cell>
          <cell r="BQ25">
            <v>4</v>
          </cell>
        </row>
        <row r="26">
          <cell r="AI26" t="str">
            <v>Upper Upscale</v>
          </cell>
          <cell r="AJ26" t="str">
            <v>a</v>
          </cell>
          <cell r="BP26" t="str">
            <v>ARKANSAS NORTH AREA</v>
          </cell>
          <cell r="BQ26">
            <v>0</v>
          </cell>
        </row>
        <row r="27">
          <cell r="AI27" t="str">
            <v>Upscale</v>
          </cell>
          <cell r="AJ27" t="str">
            <v>b</v>
          </cell>
          <cell r="BP27" t="str">
            <v>ARKANSAS SOUTH AREA</v>
          </cell>
          <cell r="BQ27">
            <v>0</v>
          </cell>
        </row>
        <row r="28">
          <cell r="BP28" t="str">
            <v>ARLINGTON</v>
          </cell>
          <cell r="BQ28">
            <v>3</v>
          </cell>
        </row>
        <row r="29">
          <cell r="BP29" t="str">
            <v>ARLINGTON-EULESS</v>
          </cell>
          <cell r="BQ29">
            <v>0</v>
          </cell>
        </row>
        <row r="30">
          <cell r="BP30" t="str">
            <v>ASHEVILLE, NC</v>
          </cell>
          <cell r="BQ30">
            <v>0</v>
          </cell>
        </row>
        <row r="31">
          <cell r="BP31" t="str">
            <v>ATLANTA AIRPORT</v>
          </cell>
          <cell r="BQ31">
            <v>2</v>
          </cell>
        </row>
        <row r="32">
          <cell r="AI32" t="str">
            <v>Extended-Stay (Upper Tier)</v>
          </cell>
          <cell r="AJ32" t="str">
            <v>3Extended-Stay (Upper Tier)</v>
          </cell>
          <cell r="BP32" t="str">
            <v>ATLANTA DOWNTOWN</v>
          </cell>
          <cell r="BQ32">
            <v>1</v>
          </cell>
        </row>
        <row r="33">
          <cell r="AI33" t="str">
            <v>Independent</v>
          </cell>
          <cell r="AJ33" t="str">
            <v>4Independent</v>
          </cell>
          <cell r="BP33" t="str">
            <v>ATLANTA EAST</v>
          </cell>
          <cell r="BQ33">
            <v>3</v>
          </cell>
        </row>
        <row r="34">
          <cell r="AI34" t="str">
            <v>Upper Upscale</v>
          </cell>
          <cell r="AJ34" t="str">
            <v>1Upper Upscale</v>
          </cell>
          <cell r="BP34" t="str">
            <v>ATLANTA GALLERIA AREA</v>
          </cell>
          <cell r="BQ34">
            <v>4</v>
          </cell>
        </row>
        <row r="35">
          <cell r="AI35" t="str">
            <v>Upscale</v>
          </cell>
          <cell r="AJ35" t="str">
            <v>2Upscale</v>
          </cell>
          <cell r="BP35" t="str">
            <v>ATLANTA NORTH</v>
          </cell>
          <cell r="BQ35">
            <v>5</v>
          </cell>
        </row>
        <row r="36">
          <cell r="BP36" t="str">
            <v>ATLANTA NORTH CENTRAL</v>
          </cell>
          <cell r="BQ36">
            <v>6</v>
          </cell>
        </row>
        <row r="37">
          <cell r="BP37" t="str">
            <v>ATLANTA NORTHEAST</v>
          </cell>
          <cell r="BQ37">
            <v>7</v>
          </cell>
        </row>
        <row r="38">
          <cell r="BP38" t="str">
            <v>ATLANTA NORTHWEST</v>
          </cell>
          <cell r="BQ38">
            <v>8</v>
          </cell>
        </row>
        <row r="39">
          <cell r="BP39" t="str">
            <v>ATLANTA SOUTH</v>
          </cell>
          <cell r="BQ39" t="str">
            <v>9a</v>
          </cell>
        </row>
        <row r="40">
          <cell r="AI40" t="str">
            <v>Affiliation Undetermined</v>
          </cell>
          <cell r="AJ40" t="str">
            <v/>
          </cell>
          <cell r="BP40" t="str">
            <v>ATLANTIC CITY</v>
          </cell>
          <cell r="BQ40">
            <v>0</v>
          </cell>
        </row>
        <row r="41">
          <cell r="AI41" t="str">
            <v>Budget</v>
          </cell>
          <cell r="AJ41" t="str">
            <v>L</v>
          </cell>
          <cell r="BP41" t="str">
            <v>ATLANTIC CITY AREA</v>
          </cell>
          <cell r="BQ41">
            <v>0</v>
          </cell>
        </row>
        <row r="42">
          <cell r="AI42" t="str">
            <v>Casino</v>
          </cell>
          <cell r="AJ42" t="str">
            <v>F</v>
          </cell>
          <cell r="BP42" t="str">
            <v>AUGUSTA &amp; SOUTH</v>
          </cell>
          <cell r="BQ42">
            <v>0</v>
          </cell>
        </row>
        <row r="43">
          <cell r="AI43" t="str">
            <v>Extended-Stay (Lower Tier)</v>
          </cell>
          <cell r="AJ43" t="str">
            <v>X</v>
          </cell>
          <cell r="BP43" t="str">
            <v>AUGUSTA NORTH &amp; WEST</v>
          </cell>
          <cell r="BQ43">
            <v>0</v>
          </cell>
        </row>
        <row r="44">
          <cell r="AI44" t="str">
            <v>Extended-Stay (Middle Tier)</v>
          </cell>
          <cell r="AJ44" t="str">
            <v>X</v>
          </cell>
          <cell r="BP44" t="str">
            <v>AUSTIN</v>
          </cell>
          <cell r="BQ44">
            <v>0</v>
          </cell>
        </row>
        <row r="45">
          <cell r="AI45" t="str">
            <v>Extended-Stay (Upper Tier)</v>
          </cell>
          <cell r="AJ45" t="str">
            <v>X</v>
          </cell>
          <cell r="BP45" t="str">
            <v>AUSTIN NORTH</v>
          </cell>
          <cell r="BQ45">
            <v>0</v>
          </cell>
        </row>
        <row r="46">
          <cell r="AI46" t="str">
            <v>First Class (Upscale)</v>
          </cell>
          <cell r="AJ46" t="str">
            <v>F</v>
          </cell>
          <cell r="BP46" t="str">
            <v>AUSTIN SOUTH</v>
          </cell>
          <cell r="BQ46">
            <v>0</v>
          </cell>
        </row>
        <row r="47">
          <cell r="AI47" t="str">
            <v>Full-Service (Economy)</v>
          </cell>
          <cell r="AJ47" t="str">
            <v>F</v>
          </cell>
          <cell r="BP47" t="str">
            <v>BAKERSFIELD, CA</v>
          </cell>
          <cell r="BQ47">
            <v>0</v>
          </cell>
        </row>
        <row r="48">
          <cell r="AI48" t="str">
            <v>Full-Service (Mid-Market)</v>
          </cell>
          <cell r="AJ48" t="str">
            <v>F</v>
          </cell>
          <cell r="BP48" t="str">
            <v>BALTIMORE</v>
          </cell>
          <cell r="BQ48">
            <v>0</v>
          </cell>
        </row>
        <row r="49">
          <cell r="AI49" t="str">
            <v>Limited-Service (Economy)</v>
          </cell>
          <cell r="AJ49" t="str">
            <v>L</v>
          </cell>
          <cell r="BP49" t="str">
            <v>BALTIMORE CBD</v>
          </cell>
          <cell r="BQ49">
            <v>0</v>
          </cell>
        </row>
        <row r="50">
          <cell r="AI50" t="str">
            <v>Limited-Service (Mid-Market)</v>
          </cell>
          <cell r="AJ50" t="str">
            <v>L</v>
          </cell>
          <cell r="BP50" t="str">
            <v>BALTIMORE, MD AREA</v>
          </cell>
          <cell r="BQ50">
            <v>0</v>
          </cell>
        </row>
        <row r="51">
          <cell r="AI51" t="str">
            <v>Luxury</v>
          </cell>
          <cell r="AJ51" t="str">
            <v>F</v>
          </cell>
          <cell r="BP51" t="str">
            <v>BATON ROUGE, LA</v>
          </cell>
          <cell r="BQ51">
            <v>0</v>
          </cell>
        </row>
        <row r="52">
          <cell r="BP52" t="str">
            <v>BEAUMONT-PORT ARTHUR, TX</v>
          </cell>
          <cell r="BQ52">
            <v>0</v>
          </cell>
        </row>
        <row r="53">
          <cell r="BP53" t="str">
            <v>BETHESDA-SILVER SPRING</v>
          </cell>
          <cell r="BQ53">
            <v>5</v>
          </cell>
        </row>
        <row r="54">
          <cell r="BP54" t="str">
            <v>BILLINGS, MT</v>
          </cell>
          <cell r="BQ54">
            <v>0</v>
          </cell>
        </row>
        <row r="55">
          <cell r="BP55" t="str">
            <v>BILOXI-GULFPORT, MS</v>
          </cell>
          <cell r="BQ55">
            <v>0</v>
          </cell>
        </row>
        <row r="56">
          <cell r="BP56" t="str">
            <v>BIRMINGHAM AREA</v>
          </cell>
          <cell r="BQ56">
            <v>0</v>
          </cell>
        </row>
        <row r="57">
          <cell r="BP57" t="str">
            <v>BIRMINGHAM DOWNTOWN-AIRPORT</v>
          </cell>
          <cell r="BQ57">
            <v>0</v>
          </cell>
        </row>
        <row r="58">
          <cell r="BP58" t="str">
            <v>BLOOMINGTON</v>
          </cell>
          <cell r="BQ58">
            <v>5</v>
          </cell>
        </row>
        <row r="59">
          <cell r="BP59" t="str">
            <v>BLOOMINGTON/NORMAL, IL</v>
          </cell>
          <cell r="BQ59">
            <v>0</v>
          </cell>
        </row>
        <row r="60">
          <cell r="BP60" t="str">
            <v>BOCA RATON, FL</v>
          </cell>
          <cell r="BQ60">
            <v>0</v>
          </cell>
        </row>
        <row r="61">
          <cell r="BP61" t="str">
            <v>BOSTON CBD</v>
          </cell>
          <cell r="BQ61">
            <v>1</v>
          </cell>
        </row>
        <row r="62">
          <cell r="BP62" t="str">
            <v>BOSTON NORTH</v>
          </cell>
          <cell r="BQ62">
            <v>2</v>
          </cell>
        </row>
        <row r="63">
          <cell r="Q63" t="str">
            <v>Casino</v>
          </cell>
          <cell r="R63" t="str">
            <v>9Casino</v>
          </cell>
          <cell r="BP63" t="str">
            <v>BOSTON SOUTH/SOUTHWEST</v>
          </cell>
          <cell r="BQ63">
            <v>3</v>
          </cell>
        </row>
        <row r="64">
          <cell r="Q64" t="str">
            <v>Economy</v>
          </cell>
          <cell r="R64" t="str">
            <v>6Economy</v>
          </cell>
          <cell r="BP64" t="str">
            <v>BOSTON SOUTHSHORE</v>
          </cell>
          <cell r="BQ64">
            <v>4</v>
          </cell>
        </row>
        <row r="65">
          <cell r="Q65" t="str">
            <v>Independent</v>
          </cell>
          <cell r="R65" t="str">
            <v>8Independent</v>
          </cell>
          <cell r="BP65" t="str">
            <v>BOULDER, CO</v>
          </cell>
          <cell r="BQ65">
            <v>0</v>
          </cell>
        </row>
        <row r="66">
          <cell r="Q66" t="str">
            <v>Midscale w/F&amp;B</v>
          </cell>
          <cell r="R66" t="str">
            <v>4Midscale w/F&amp;B</v>
          </cell>
          <cell r="BP66" t="str">
            <v>BOWLING GREEN</v>
          </cell>
          <cell r="BQ66">
            <v>0</v>
          </cell>
        </row>
        <row r="67">
          <cell r="Q67" t="str">
            <v>Midscale w/o F&amp;B</v>
          </cell>
          <cell r="R67" t="str">
            <v>5Midscale w/o F&amp;B</v>
          </cell>
          <cell r="BP67" t="str">
            <v>BOZEMAN/YELLOWSTONE</v>
          </cell>
          <cell r="BQ67">
            <v>0</v>
          </cell>
        </row>
        <row r="68">
          <cell r="Q68" t="str">
            <v>Upper Upscale</v>
          </cell>
          <cell r="R68" t="str">
            <v>2Upper Upscale</v>
          </cell>
          <cell r="BP68" t="str">
            <v>BRADENTON-LONG BOAT KEY</v>
          </cell>
          <cell r="BQ68">
            <v>3</v>
          </cell>
        </row>
        <row r="69">
          <cell r="Q69" t="str">
            <v>Upscale</v>
          </cell>
          <cell r="R69" t="str">
            <v>3Upscale</v>
          </cell>
          <cell r="BP69" t="str">
            <v>BRANSON</v>
          </cell>
          <cell r="BQ69">
            <v>0</v>
          </cell>
        </row>
        <row r="70">
          <cell r="BP70" t="str">
            <v>BRIDGEPORT/DANBURY/STAMFORD</v>
          </cell>
          <cell r="BQ70">
            <v>0</v>
          </cell>
        </row>
        <row r="71">
          <cell r="BP71" t="str">
            <v>BROWNSVILLE-HARLINGEN, TX</v>
          </cell>
          <cell r="BQ71">
            <v>0</v>
          </cell>
        </row>
        <row r="72">
          <cell r="BP72" t="str">
            <v>BRYAN COLLEGE STATION, TX</v>
          </cell>
          <cell r="BQ72">
            <v>0</v>
          </cell>
        </row>
        <row r="73">
          <cell r="BP73" t="str">
            <v>BUFFALO NORTH</v>
          </cell>
          <cell r="BQ73">
            <v>0</v>
          </cell>
        </row>
        <row r="74">
          <cell r="BP74" t="str">
            <v>BUFFALO SOUTH</v>
          </cell>
          <cell r="BQ74">
            <v>0</v>
          </cell>
        </row>
        <row r="75">
          <cell r="BP75" t="str">
            <v>CALIFORNIA CENTRAL AREA</v>
          </cell>
          <cell r="BQ75">
            <v>0</v>
          </cell>
        </row>
        <row r="76">
          <cell r="BP76" t="str">
            <v>CALIFORNIA NORTH AREA</v>
          </cell>
          <cell r="BQ76">
            <v>0</v>
          </cell>
        </row>
        <row r="77">
          <cell r="BP77" t="str">
            <v>CAMBRIDGE-LEXINGTON</v>
          </cell>
          <cell r="BQ77">
            <v>5</v>
          </cell>
        </row>
        <row r="78">
          <cell r="BP78" t="str">
            <v>CAPE CORAL-SANIBEL, FL</v>
          </cell>
          <cell r="BQ78">
            <v>0</v>
          </cell>
        </row>
        <row r="79">
          <cell r="BP79" t="str">
            <v>CARLISLE/MECHANICSBURG PA</v>
          </cell>
          <cell r="BQ79">
            <v>0</v>
          </cell>
        </row>
        <row r="80">
          <cell r="BP80" t="str">
            <v>CARLSBAD-OCEANSIDE</v>
          </cell>
          <cell r="BQ80">
            <v>4</v>
          </cell>
        </row>
        <row r="81">
          <cell r="BP81" t="str">
            <v>CHAMPAIGN-URBANA, IL</v>
          </cell>
          <cell r="BQ81">
            <v>0</v>
          </cell>
        </row>
        <row r="82">
          <cell r="BP82" t="str">
            <v>CHARLESTON</v>
          </cell>
          <cell r="BQ82">
            <v>0</v>
          </cell>
        </row>
        <row r="83">
          <cell r="BP83" t="str">
            <v>CHARLESTON AIRPORT-NORTH</v>
          </cell>
          <cell r="BQ83">
            <v>0</v>
          </cell>
        </row>
        <row r="84">
          <cell r="BP84" t="str">
            <v>CHARLESTON SOUTH</v>
          </cell>
          <cell r="BQ84">
            <v>0</v>
          </cell>
        </row>
        <row r="85">
          <cell r="BP85" t="str">
            <v>CHARLOTTE AIRPORT/WEST</v>
          </cell>
          <cell r="BQ85">
            <v>0</v>
          </cell>
        </row>
        <row r="86">
          <cell r="BP86" t="str">
            <v>CHARLOTTE DOWNTOWN / SOUTHPARK</v>
          </cell>
          <cell r="BQ86">
            <v>0</v>
          </cell>
        </row>
        <row r="87">
          <cell r="BP87" t="str">
            <v>CHARLOTTE EAST</v>
          </cell>
          <cell r="BQ87">
            <v>0</v>
          </cell>
        </row>
        <row r="88">
          <cell r="BP88" t="str">
            <v>CHARLOTTE NORTH</v>
          </cell>
          <cell r="BQ88">
            <v>0</v>
          </cell>
        </row>
        <row r="89">
          <cell r="BP89" t="str">
            <v>CHARLOTTE SOUTHWEST</v>
          </cell>
          <cell r="BQ89">
            <v>0</v>
          </cell>
        </row>
        <row r="90">
          <cell r="BP90" t="str">
            <v>CHARLOTTESVILLE, VA</v>
          </cell>
          <cell r="BQ90">
            <v>0</v>
          </cell>
        </row>
        <row r="91">
          <cell r="BP91" t="str">
            <v>CHATTANOOGA</v>
          </cell>
          <cell r="BQ91">
            <v>0</v>
          </cell>
        </row>
        <row r="92">
          <cell r="BP92" t="str">
            <v>CHATTANOOGA AREA</v>
          </cell>
          <cell r="BQ92">
            <v>0</v>
          </cell>
        </row>
        <row r="93">
          <cell r="BP93" t="str">
            <v>CHESAPEAKE</v>
          </cell>
          <cell r="BQ93">
            <v>0</v>
          </cell>
        </row>
        <row r="94">
          <cell r="BP94" t="str">
            <v>CHESAPEAKE/PORTSMOUTH</v>
          </cell>
          <cell r="BQ94">
            <v>2</v>
          </cell>
        </row>
        <row r="95">
          <cell r="BP95" t="str">
            <v>CHICAGO AIRPORT</v>
          </cell>
          <cell r="BQ95">
            <v>2</v>
          </cell>
        </row>
        <row r="96">
          <cell r="BP96" t="str">
            <v>CHICAGO CBD</v>
          </cell>
          <cell r="BQ96">
            <v>1</v>
          </cell>
        </row>
        <row r="97">
          <cell r="BP97" t="str">
            <v>CHICAGO DUPAGE CO.</v>
          </cell>
          <cell r="BQ97">
            <v>7</v>
          </cell>
        </row>
        <row r="98">
          <cell r="BP98" t="str">
            <v>CHICAGO NORTH</v>
          </cell>
          <cell r="BQ98">
            <v>3</v>
          </cell>
        </row>
        <row r="99">
          <cell r="BP99" t="str">
            <v>CHICAGO NORTHWEST</v>
          </cell>
          <cell r="BQ99">
            <v>4</v>
          </cell>
        </row>
        <row r="100">
          <cell r="BP100" t="str">
            <v>CHICAGO SOUTH</v>
          </cell>
          <cell r="BQ100">
            <v>5</v>
          </cell>
        </row>
        <row r="101">
          <cell r="BP101" t="str">
            <v>CHICAGO-MIDWAY</v>
          </cell>
          <cell r="BQ101">
            <v>6</v>
          </cell>
        </row>
        <row r="102">
          <cell r="BP102" t="str">
            <v>CINCINNATI CBD</v>
          </cell>
          <cell r="BQ102">
            <v>0</v>
          </cell>
        </row>
        <row r="103">
          <cell r="BP103" t="str">
            <v>CINCINNATI NORTH/EAST</v>
          </cell>
          <cell r="BQ103">
            <v>0</v>
          </cell>
        </row>
        <row r="104">
          <cell r="BP104" t="str">
            <v>CINCINNATI SOUTH</v>
          </cell>
          <cell r="BQ104">
            <v>0</v>
          </cell>
        </row>
        <row r="105">
          <cell r="BP105" t="str">
            <v>CLEARWATER</v>
          </cell>
          <cell r="BQ105">
            <v>4</v>
          </cell>
        </row>
        <row r="106">
          <cell r="BP106" t="str">
            <v>CLEVELAND AIRPORT</v>
          </cell>
          <cell r="BQ106">
            <v>0</v>
          </cell>
        </row>
        <row r="107">
          <cell r="BP107" t="str">
            <v>CLEVELAND CBD &amp; NORTH-EAST</v>
          </cell>
          <cell r="BQ107">
            <v>0</v>
          </cell>
        </row>
        <row r="108">
          <cell r="BP108" t="str">
            <v>CLEVELAND SOUTH-WEST</v>
          </cell>
          <cell r="BQ108">
            <v>0</v>
          </cell>
        </row>
        <row r="109">
          <cell r="BP109" t="str">
            <v>COLORADO CENTRAL-WEST</v>
          </cell>
          <cell r="BQ109">
            <v>0</v>
          </cell>
        </row>
        <row r="110">
          <cell r="BP110" t="str">
            <v>COLORADO EAST AREA</v>
          </cell>
          <cell r="BQ110">
            <v>0</v>
          </cell>
        </row>
        <row r="111">
          <cell r="BP111" t="str">
            <v>COLORADO NORTH-WEST</v>
          </cell>
          <cell r="BQ111">
            <v>0</v>
          </cell>
        </row>
        <row r="112">
          <cell r="BP112" t="str">
            <v>COLORADO SOUTH-WEST</v>
          </cell>
          <cell r="BQ112">
            <v>0</v>
          </cell>
        </row>
        <row r="113">
          <cell r="BP113" t="str">
            <v>COLORADO SPRINGS NORTH</v>
          </cell>
          <cell r="BQ113">
            <v>1</v>
          </cell>
        </row>
        <row r="114">
          <cell r="BP114" t="str">
            <v>COLORADO SPRINGS SO./AIRPORT</v>
          </cell>
          <cell r="BQ114">
            <v>2</v>
          </cell>
        </row>
        <row r="115">
          <cell r="BP115" t="str">
            <v>COLUMBIA EAST</v>
          </cell>
          <cell r="BQ115">
            <v>0</v>
          </cell>
        </row>
        <row r="116">
          <cell r="BP116" t="str">
            <v>COLUMBIA WEST</v>
          </cell>
          <cell r="BQ116">
            <v>0</v>
          </cell>
        </row>
        <row r="117">
          <cell r="BP117" t="str">
            <v>COLUMBIA-JEFFERSON</v>
          </cell>
          <cell r="BQ117">
            <v>0</v>
          </cell>
        </row>
        <row r="118">
          <cell r="BP118" t="str">
            <v>COLUMBUS &amp; WEST</v>
          </cell>
          <cell r="BQ118">
            <v>0</v>
          </cell>
        </row>
        <row r="119">
          <cell r="BP119" t="str">
            <v>COLUMBUS SOUTH-EAST</v>
          </cell>
          <cell r="BQ119">
            <v>0</v>
          </cell>
        </row>
        <row r="120">
          <cell r="BP120" t="str">
            <v>COLUMBUS-WORTHINGTON</v>
          </cell>
          <cell r="BQ120">
            <v>0</v>
          </cell>
        </row>
        <row r="121">
          <cell r="BP121" t="str">
            <v>CONCORD/WALNUT CREEK, CA</v>
          </cell>
          <cell r="BQ121">
            <v>0</v>
          </cell>
        </row>
        <row r="122">
          <cell r="BP122" t="str">
            <v>CONNECTICUT EAST-WEST</v>
          </cell>
          <cell r="BQ122">
            <v>0</v>
          </cell>
        </row>
        <row r="123">
          <cell r="BP123" t="str">
            <v>CORPUS CHRISTI, TX</v>
          </cell>
          <cell r="BQ123">
            <v>0</v>
          </cell>
        </row>
        <row r="124">
          <cell r="BP124" t="str">
            <v>COUNCIL BLUFFS, IA</v>
          </cell>
          <cell r="BQ124">
            <v>0</v>
          </cell>
        </row>
        <row r="125">
          <cell r="BP125" t="str">
            <v>DALLAS NORTH</v>
          </cell>
          <cell r="BQ125">
            <v>2</v>
          </cell>
        </row>
        <row r="126">
          <cell r="BP126" t="str">
            <v>DALLAS NORTH AREA</v>
          </cell>
          <cell r="BQ126">
            <v>5</v>
          </cell>
        </row>
        <row r="127">
          <cell r="BP127" t="str">
            <v>DALLAS NORTHWEST</v>
          </cell>
          <cell r="BQ127">
            <v>4</v>
          </cell>
        </row>
        <row r="128">
          <cell r="BP128" t="str">
            <v>DALLAS SOUTH-EAST</v>
          </cell>
          <cell r="BQ128">
            <v>3</v>
          </cell>
        </row>
        <row r="129">
          <cell r="BP129" t="str">
            <v>DALLAS/MARKET CENTER</v>
          </cell>
          <cell r="BQ129">
            <v>1</v>
          </cell>
        </row>
        <row r="130">
          <cell r="BP130" t="str">
            <v>DAVENPORT</v>
          </cell>
          <cell r="BQ130">
            <v>0</v>
          </cell>
        </row>
        <row r="131">
          <cell r="BP131" t="str">
            <v>DAYTON, OH</v>
          </cell>
          <cell r="BQ131">
            <v>0</v>
          </cell>
        </row>
        <row r="132">
          <cell r="BP132" t="str">
            <v>DAYTONA BEACH NORTH</v>
          </cell>
          <cell r="BQ132">
            <v>0</v>
          </cell>
        </row>
        <row r="133">
          <cell r="BP133" t="str">
            <v>DAYTONA BEACH SOUTH</v>
          </cell>
          <cell r="BQ133">
            <v>0</v>
          </cell>
        </row>
        <row r="134">
          <cell r="BP134" t="str">
            <v>DELAWARE AREA</v>
          </cell>
          <cell r="BQ134">
            <v>0</v>
          </cell>
        </row>
        <row r="135">
          <cell r="BP135" t="str">
            <v>DENVER AIRPORT/EAST</v>
          </cell>
          <cell r="BQ135">
            <v>2</v>
          </cell>
        </row>
        <row r="136">
          <cell r="BP136" t="str">
            <v>DENVER CBD</v>
          </cell>
          <cell r="BQ136">
            <v>1</v>
          </cell>
        </row>
        <row r="137">
          <cell r="BP137" t="str">
            <v>DENVER NORTH</v>
          </cell>
          <cell r="BQ137">
            <v>3</v>
          </cell>
        </row>
        <row r="138">
          <cell r="BP138" t="str">
            <v>DENVER SOUTH</v>
          </cell>
          <cell r="BQ138">
            <v>4</v>
          </cell>
        </row>
        <row r="139">
          <cell r="BP139" t="str">
            <v>DENVER WEST</v>
          </cell>
          <cell r="BQ139">
            <v>5</v>
          </cell>
        </row>
        <row r="140">
          <cell r="BP140" t="str">
            <v>DES MOINES AIRPORT/WEST</v>
          </cell>
          <cell r="BQ140">
            <v>0</v>
          </cell>
        </row>
        <row r="141">
          <cell r="BP141" t="str">
            <v>DES MOINES DOWNTOWN/NORTH</v>
          </cell>
          <cell r="BQ141">
            <v>0</v>
          </cell>
        </row>
        <row r="142">
          <cell r="BP142" t="str">
            <v>DES MOINES, IA</v>
          </cell>
          <cell r="BQ142">
            <v>0</v>
          </cell>
        </row>
        <row r="143">
          <cell r="BP143" t="str">
            <v>DETROIT NORTH</v>
          </cell>
          <cell r="BQ143">
            <v>3</v>
          </cell>
        </row>
        <row r="144">
          <cell r="BP144" t="str">
            <v>DETROIT NORTHEAST</v>
          </cell>
          <cell r="BQ144">
            <v>4</v>
          </cell>
        </row>
        <row r="145">
          <cell r="BP145" t="str">
            <v>DETROIT NORTHWEST</v>
          </cell>
          <cell r="BQ145">
            <v>5</v>
          </cell>
        </row>
        <row r="146">
          <cell r="BP146" t="str">
            <v>DETROIT SOUTHWEST-AIRPORT</v>
          </cell>
          <cell r="BQ146">
            <v>2</v>
          </cell>
        </row>
        <row r="147">
          <cell r="BP147" t="str">
            <v>DETROIT/DEARBORN</v>
          </cell>
          <cell r="BQ147">
            <v>1</v>
          </cell>
        </row>
        <row r="148">
          <cell r="BP148" t="str">
            <v>DOTHAN, AL</v>
          </cell>
          <cell r="BQ148">
            <v>0</v>
          </cell>
        </row>
        <row r="149">
          <cell r="BP149" t="str">
            <v>DURHAM</v>
          </cell>
          <cell r="BQ149">
            <v>0</v>
          </cell>
        </row>
        <row r="150">
          <cell r="BP150" t="str">
            <v>DURHAM SOUTH</v>
          </cell>
          <cell r="BQ150">
            <v>0</v>
          </cell>
        </row>
        <row r="151">
          <cell r="BP151" t="str">
            <v>EAST IOWA AREA</v>
          </cell>
          <cell r="BQ151">
            <v>0</v>
          </cell>
        </row>
        <row r="152">
          <cell r="BP152" t="str">
            <v>EASTERN ARIZONA</v>
          </cell>
          <cell r="BQ152">
            <v>6</v>
          </cell>
        </row>
        <row r="153">
          <cell r="BP153" t="str">
            <v>EL PASO, TX</v>
          </cell>
          <cell r="BQ153">
            <v>0</v>
          </cell>
        </row>
        <row r="154">
          <cell r="BP154" t="str">
            <v>ENGLEWOOD</v>
          </cell>
          <cell r="BQ154">
            <v>6</v>
          </cell>
        </row>
        <row r="155">
          <cell r="BP155" t="str">
            <v>ESSEX COUNTY</v>
          </cell>
          <cell r="BQ155">
            <v>6</v>
          </cell>
        </row>
        <row r="156">
          <cell r="BP156" t="str">
            <v>EUGENE</v>
          </cell>
          <cell r="BQ156">
            <v>0</v>
          </cell>
        </row>
        <row r="157">
          <cell r="BP157" t="str">
            <v>EVANSVILLE</v>
          </cell>
          <cell r="BQ157">
            <v>0</v>
          </cell>
        </row>
        <row r="158">
          <cell r="BP158" t="str">
            <v>FAIRFAX</v>
          </cell>
          <cell r="BQ158">
            <v>4</v>
          </cell>
        </row>
        <row r="159">
          <cell r="BP159" t="str">
            <v>FARGO, ND</v>
          </cell>
          <cell r="BQ159">
            <v>0</v>
          </cell>
        </row>
        <row r="160">
          <cell r="BP160" t="str">
            <v>FAYETTEVILLE-FORT SMITH</v>
          </cell>
          <cell r="BQ160">
            <v>0</v>
          </cell>
        </row>
        <row r="161">
          <cell r="BP161" t="str">
            <v>FAYETTEVILLE-LUMBERTON</v>
          </cell>
          <cell r="BQ161">
            <v>0</v>
          </cell>
        </row>
        <row r="162">
          <cell r="BP162" t="str">
            <v>FLAGSTAFF</v>
          </cell>
          <cell r="BQ162">
            <v>5</v>
          </cell>
        </row>
        <row r="163">
          <cell r="BP163" t="str">
            <v>FLORENCE/DILLON</v>
          </cell>
          <cell r="BQ163">
            <v>0</v>
          </cell>
        </row>
        <row r="164">
          <cell r="BP164" t="str">
            <v>FLORIDA CENTRAL AREA</v>
          </cell>
          <cell r="BQ164">
            <v>0</v>
          </cell>
        </row>
        <row r="165">
          <cell r="BP165" t="str">
            <v>FLORIDA NORTH AREA</v>
          </cell>
          <cell r="BQ165">
            <v>1</v>
          </cell>
        </row>
        <row r="166">
          <cell r="BP166" t="str">
            <v>FORT COLLINS-LOVELAND, CO</v>
          </cell>
          <cell r="BQ166">
            <v>0</v>
          </cell>
        </row>
        <row r="167">
          <cell r="BP167" t="str">
            <v>FORT DODGE-AMES</v>
          </cell>
          <cell r="BQ167">
            <v>0</v>
          </cell>
        </row>
        <row r="168">
          <cell r="BP168" t="str">
            <v>FORT LAUDERDALE EAST</v>
          </cell>
          <cell r="BQ168">
            <v>0</v>
          </cell>
        </row>
        <row r="169">
          <cell r="BP169" t="str">
            <v>FORT LAUDERDALE NORTH</v>
          </cell>
          <cell r="BQ169">
            <v>0</v>
          </cell>
        </row>
        <row r="170">
          <cell r="BP170" t="str">
            <v>FORT LAUDERDALE SOUTH</v>
          </cell>
          <cell r="BQ170">
            <v>0</v>
          </cell>
        </row>
        <row r="171">
          <cell r="BP171" t="str">
            <v>FORT LAUDERDALE WEST</v>
          </cell>
          <cell r="BQ171">
            <v>0</v>
          </cell>
        </row>
        <row r="172">
          <cell r="BP172" t="str">
            <v>FORT MYERS-BONITA SPRINGS</v>
          </cell>
          <cell r="BQ172">
            <v>0</v>
          </cell>
        </row>
        <row r="173">
          <cell r="BP173" t="str">
            <v>FORT PIERCE, FL</v>
          </cell>
          <cell r="BQ173">
            <v>4</v>
          </cell>
        </row>
        <row r="174">
          <cell r="BP174" t="str">
            <v>FORT WALTON BEACH, FL</v>
          </cell>
          <cell r="BQ174">
            <v>3</v>
          </cell>
        </row>
        <row r="175">
          <cell r="BP175" t="str">
            <v>FORT WAYNE, IN</v>
          </cell>
          <cell r="BQ175">
            <v>0</v>
          </cell>
        </row>
        <row r="176">
          <cell r="BP176" t="str">
            <v>FORT WORTH CBD</v>
          </cell>
          <cell r="BQ176">
            <v>0</v>
          </cell>
        </row>
        <row r="177">
          <cell r="BP177" t="str">
            <v>FREDERICK-ROCKVILLE</v>
          </cell>
          <cell r="BQ177">
            <v>6</v>
          </cell>
        </row>
        <row r="178">
          <cell r="BP178" t="str">
            <v>FRESNO, CA</v>
          </cell>
          <cell r="BQ178">
            <v>0</v>
          </cell>
        </row>
        <row r="179">
          <cell r="BP179" t="str">
            <v>GAINESVILLE, FL</v>
          </cell>
          <cell r="BQ179">
            <v>2</v>
          </cell>
        </row>
        <row r="180">
          <cell r="BP180" t="str">
            <v>GALVESTON-TEXAS CITY, TX</v>
          </cell>
          <cell r="BQ180">
            <v>0</v>
          </cell>
        </row>
        <row r="181">
          <cell r="BP181" t="str">
            <v>GARY-HAMMOND, IN</v>
          </cell>
          <cell r="BQ181">
            <v>0</v>
          </cell>
        </row>
        <row r="182">
          <cell r="BP182" t="str">
            <v>GATLINBURG</v>
          </cell>
          <cell r="BQ182">
            <v>0</v>
          </cell>
        </row>
        <row r="183">
          <cell r="BP183" t="str">
            <v>GEORGIA NORTH AREA</v>
          </cell>
          <cell r="BQ183">
            <v>0</v>
          </cell>
        </row>
        <row r="184">
          <cell r="BP184" t="str">
            <v>GEORGIA SOUTH AREA</v>
          </cell>
          <cell r="BQ184">
            <v>0</v>
          </cell>
        </row>
        <row r="185">
          <cell r="BP185" t="str">
            <v>GRAND RAPIDS, MI</v>
          </cell>
          <cell r="BQ185">
            <v>0</v>
          </cell>
        </row>
        <row r="186">
          <cell r="BP186" t="str">
            <v>GREEN BAY, WI</v>
          </cell>
          <cell r="BQ186">
            <v>0</v>
          </cell>
        </row>
        <row r="187">
          <cell r="BP187" t="str">
            <v>GREENSBORO</v>
          </cell>
          <cell r="BQ187">
            <v>0</v>
          </cell>
        </row>
        <row r="188">
          <cell r="BP188" t="str">
            <v>GREENSBORO-WINSTON-SALEM AREA</v>
          </cell>
          <cell r="BQ188">
            <v>0</v>
          </cell>
        </row>
        <row r="189">
          <cell r="BP189" t="str">
            <v>GREENVILLE</v>
          </cell>
          <cell r="BQ189">
            <v>0</v>
          </cell>
        </row>
        <row r="190">
          <cell r="BP190" t="str">
            <v>HACKENSACK SOUTH</v>
          </cell>
          <cell r="BQ190">
            <v>2</v>
          </cell>
        </row>
        <row r="191">
          <cell r="BP191" t="str">
            <v>HARRISBURG/HERSHEY PA</v>
          </cell>
          <cell r="BQ191">
            <v>0</v>
          </cell>
        </row>
        <row r="192">
          <cell r="BP192" t="str">
            <v>HARTFORD NORTH</v>
          </cell>
          <cell r="BQ192">
            <v>0</v>
          </cell>
        </row>
        <row r="193">
          <cell r="BP193" t="str">
            <v>HARTFORD SOUTH</v>
          </cell>
          <cell r="BQ193">
            <v>0</v>
          </cell>
        </row>
        <row r="194">
          <cell r="BP194" t="str">
            <v>HAWAII</v>
          </cell>
          <cell r="BQ194">
            <v>1</v>
          </cell>
        </row>
        <row r="195">
          <cell r="BP195" t="str">
            <v>HENRICO</v>
          </cell>
          <cell r="BQ195">
            <v>3</v>
          </cell>
        </row>
        <row r="196">
          <cell r="BP196" t="str">
            <v>HILTON HEAD</v>
          </cell>
          <cell r="BQ196">
            <v>0</v>
          </cell>
        </row>
        <row r="197">
          <cell r="BP197" t="str">
            <v>HOLLYWOOD-BEVERLY HILLS</v>
          </cell>
          <cell r="BQ197">
            <v>7</v>
          </cell>
        </row>
        <row r="198">
          <cell r="BP198" t="str">
            <v>HOT SPRINGS</v>
          </cell>
          <cell r="BQ198">
            <v>0</v>
          </cell>
        </row>
        <row r="199">
          <cell r="BP199" t="str">
            <v>HOUSTON EAST/NASA/BAYTOWN</v>
          </cell>
          <cell r="BQ199">
            <v>2</v>
          </cell>
        </row>
        <row r="200">
          <cell r="BP200" t="str">
            <v>HOUSTON NORTH</v>
          </cell>
          <cell r="BQ200">
            <v>3</v>
          </cell>
        </row>
        <row r="201">
          <cell r="BP201" t="str">
            <v>HOUSTON NORTHWEST</v>
          </cell>
          <cell r="BQ201">
            <v>4</v>
          </cell>
        </row>
        <row r="202">
          <cell r="BP202" t="str">
            <v>HOUSTON SOUTHWEST</v>
          </cell>
          <cell r="BQ202">
            <v>5</v>
          </cell>
        </row>
        <row r="203">
          <cell r="BP203" t="str">
            <v>HOUSTON WEST</v>
          </cell>
          <cell r="BQ203">
            <v>6</v>
          </cell>
        </row>
        <row r="204">
          <cell r="BP204" t="str">
            <v>HOUSTON/SOUTH</v>
          </cell>
          <cell r="BQ204">
            <v>1</v>
          </cell>
        </row>
        <row r="205">
          <cell r="BP205" t="str">
            <v>HUNTSVILLE, AL</v>
          </cell>
          <cell r="BQ205">
            <v>0</v>
          </cell>
        </row>
        <row r="206">
          <cell r="B206" t="str">
            <v>Deutsche Bank Independent Look Up</v>
          </cell>
          <cell r="BP206" t="str">
            <v>I - 25 CORRIDOR</v>
          </cell>
          <cell r="BQ206">
            <v>0</v>
          </cell>
        </row>
        <row r="207">
          <cell r="B207" t="str">
            <v>Affiliation Undetermined</v>
          </cell>
          <cell r="C207" t="str">
            <v>j</v>
          </cell>
          <cell r="BP207" t="str">
            <v>I - 80 CORRIDOR</v>
          </cell>
          <cell r="BQ207">
            <v>0</v>
          </cell>
        </row>
        <row r="208">
          <cell r="B208" t="str">
            <v>Casino</v>
          </cell>
          <cell r="C208" t="str">
            <v>k</v>
          </cell>
          <cell r="BP208" t="str">
            <v>I - 81/I - 77 CROSSROADS</v>
          </cell>
          <cell r="BQ208">
            <v>0</v>
          </cell>
        </row>
        <row r="209">
          <cell r="B209" t="str">
            <v>Economy/Budget</v>
          </cell>
          <cell r="C209" t="str">
            <v>ff</v>
          </cell>
          <cell r="BP209" t="str">
            <v>I-15 CORRIDOR</v>
          </cell>
          <cell r="BQ209">
            <v>0</v>
          </cell>
        </row>
        <row r="210">
          <cell r="B210" t="str">
            <v>Luxury/First Class</v>
          </cell>
          <cell r="C210" t="str">
            <v>aa</v>
          </cell>
          <cell r="BP210" t="str">
            <v>I-70 CORRIDOR</v>
          </cell>
          <cell r="BQ210">
            <v>0</v>
          </cell>
        </row>
        <row r="211">
          <cell r="B211" t="str">
            <v>Mid-Market (Full-Service)</v>
          </cell>
          <cell r="C211" t="str">
            <v>dd</v>
          </cell>
          <cell r="BP211" t="str">
            <v>I-75 CORRIDOR</v>
          </cell>
          <cell r="BQ211">
            <v>0</v>
          </cell>
        </row>
        <row r="212">
          <cell r="B212" t="str">
            <v>Mid-Market (Limited-Service)</v>
          </cell>
          <cell r="C212" t="str">
            <v>ee</v>
          </cell>
          <cell r="BP212" t="str">
            <v>I-80 CORRIDOR</v>
          </cell>
          <cell r="BQ212">
            <v>0</v>
          </cell>
        </row>
        <row r="213">
          <cell r="B213" t="str">
            <v>Upscale</v>
          </cell>
          <cell r="C213" t="str">
            <v>bb</v>
          </cell>
          <cell r="BP213" t="str">
            <v>I-94 CORRIDOR</v>
          </cell>
          <cell r="BQ213">
            <v>0</v>
          </cell>
        </row>
        <row r="214">
          <cell r="BP214" t="str">
            <v>I-95 CORRIDOR</v>
          </cell>
          <cell r="BQ214">
            <v>0</v>
          </cell>
        </row>
        <row r="215">
          <cell r="BP215" t="str">
            <v>IDAHO NORTH</v>
          </cell>
          <cell r="BQ215">
            <v>0</v>
          </cell>
        </row>
        <row r="216">
          <cell r="BP216" t="str">
            <v>IDAHO SOUTHEAST</v>
          </cell>
          <cell r="BQ216">
            <v>0</v>
          </cell>
        </row>
        <row r="217">
          <cell r="BP217" t="str">
            <v>IDAHO SOUTHWEST</v>
          </cell>
          <cell r="BQ217">
            <v>0</v>
          </cell>
        </row>
        <row r="218">
          <cell r="BP218" t="str">
            <v>ILLINOIS NORTH AREA</v>
          </cell>
          <cell r="BQ218">
            <v>0</v>
          </cell>
        </row>
        <row r="219">
          <cell r="BP219" t="str">
            <v>ILLINOIS SOUTH AREA</v>
          </cell>
          <cell r="BQ219">
            <v>0</v>
          </cell>
        </row>
        <row r="220">
          <cell r="BP220" t="str">
            <v>INDIANA NORTH AREA</v>
          </cell>
          <cell r="BQ220">
            <v>0</v>
          </cell>
        </row>
        <row r="221">
          <cell r="BP221" t="str">
            <v>INDIANA SOUTH AREA</v>
          </cell>
          <cell r="BQ221">
            <v>0</v>
          </cell>
        </row>
        <row r="222">
          <cell r="BP222" t="str">
            <v>INDIANAPOLIS AIRPORT-WEST</v>
          </cell>
          <cell r="BQ222">
            <v>2</v>
          </cell>
        </row>
        <row r="223">
          <cell r="BP223" t="str">
            <v>INDIANAPOLIS DOWNTOWN/EAST</v>
          </cell>
          <cell r="BQ223">
            <v>1</v>
          </cell>
        </row>
        <row r="224">
          <cell r="BP224" t="str">
            <v>INDIANAPOLIS SOUTH</v>
          </cell>
          <cell r="BQ224">
            <v>4</v>
          </cell>
        </row>
        <row r="225">
          <cell r="BP225" t="str">
            <v>INDIANAPOLIS-NORTH</v>
          </cell>
          <cell r="BQ225">
            <v>3</v>
          </cell>
        </row>
        <row r="226">
          <cell r="BP226" t="str">
            <v>INYO/KINGS/TULARE, CA</v>
          </cell>
          <cell r="BQ226">
            <v>0</v>
          </cell>
        </row>
        <row r="227">
          <cell r="BP227" t="str">
            <v>IOWA CITY-WATERLOO</v>
          </cell>
          <cell r="BQ227">
            <v>0</v>
          </cell>
        </row>
        <row r="228">
          <cell r="BP228" t="str">
            <v>IRVING NORTH</v>
          </cell>
          <cell r="BQ228">
            <v>6</v>
          </cell>
        </row>
        <row r="229">
          <cell r="BP229" t="str">
            <v>IRVING SOUTH/GRAND PRAIRIE</v>
          </cell>
          <cell r="BQ229">
            <v>7</v>
          </cell>
        </row>
        <row r="230">
          <cell r="BP230" t="str">
            <v>ITHACA/ELMIRA</v>
          </cell>
          <cell r="BQ230">
            <v>0</v>
          </cell>
        </row>
        <row r="231">
          <cell r="BP231" t="str">
            <v>JACKSON MS NORTH</v>
          </cell>
          <cell r="BQ231">
            <v>0</v>
          </cell>
        </row>
        <row r="232">
          <cell r="BP232" t="str">
            <v>JACKSON MS SOUTH</v>
          </cell>
          <cell r="BQ232">
            <v>0</v>
          </cell>
        </row>
        <row r="233">
          <cell r="BP233" t="str">
            <v>JACKSON, MS NORTH</v>
          </cell>
          <cell r="BQ233">
            <v>0</v>
          </cell>
        </row>
        <row r="234">
          <cell r="BP234" t="str">
            <v>JACKSONVILLE AIRPORT-NORTHEAST</v>
          </cell>
          <cell r="BQ234">
            <v>0</v>
          </cell>
        </row>
        <row r="235">
          <cell r="BP235" t="str">
            <v>JACKSONVILLE BEACH</v>
          </cell>
          <cell r="BQ235">
            <v>0</v>
          </cell>
        </row>
        <row r="236">
          <cell r="BP236" t="str">
            <v>JACKSONVILLE SOUTH-WEST</v>
          </cell>
          <cell r="BQ236">
            <v>0</v>
          </cell>
        </row>
        <row r="237">
          <cell r="BP237" t="str">
            <v>JACKSONVILLE, FL-S.E.</v>
          </cell>
          <cell r="BQ237">
            <v>0</v>
          </cell>
        </row>
        <row r="238">
          <cell r="BP238" t="str">
            <v>JOHNSON CITY-BRISTOL, TN-VA</v>
          </cell>
          <cell r="BQ238">
            <v>0</v>
          </cell>
        </row>
        <row r="239">
          <cell r="BP239" t="str">
            <v>JOLIET, IL</v>
          </cell>
          <cell r="BQ239">
            <v>0</v>
          </cell>
        </row>
        <row r="240">
          <cell r="BP240" t="str">
            <v>KALAMAZOO-BATTLE CREEK</v>
          </cell>
          <cell r="BQ240">
            <v>3</v>
          </cell>
        </row>
        <row r="241">
          <cell r="BP241" t="str">
            <v>KANSAS AREA</v>
          </cell>
          <cell r="BQ241">
            <v>0</v>
          </cell>
        </row>
        <row r="242">
          <cell r="BP242" t="str">
            <v>KANSAS CITY CBD</v>
          </cell>
          <cell r="BQ242">
            <v>0</v>
          </cell>
        </row>
        <row r="243">
          <cell r="BP243" t="str">
            <v>KANSAS CITY NORTH-AIRPORT</v>
          </cell>
          <cell r="BQ243">
            <v>0</v>
          </cell>
        </row>
        <row r="244">
          <cell r="BP244" t="str">
            <v>KANSAS CITY, MO AREA</v>
          </cell>
          <cell r="BQ244">
            <v>0</v>
          </cell>
        </row>
        <row r="245">
          <cell r="BP245" t="str">
            <v>KAUAI</v>
          </cell>
          <cell r="BQ245">
            <v>2</v>
          </cell>
        </row>
        <row r="246">
          <cell r="BP246" t="str">
            <v>KENTUCKY EAST AREA</v>
          </cell>
          <cell r="BQ246">
            <v>0</v>
          </cell>
        </row>
        <row r="247">
          <cell r="BP247" t="str">
            <v>KENTUCKY WEST AREA</v>
          </cell>
          <cell r="BQ247">
            <v>0</v>
          </cell>
        </row>
        <row r="248">
          <cell r="BP248" t="str">
            <v>KEY WEST</v>
          </cell>
          <cell r="BQ248">
            <v>0</v>
          </cell>
        </row>
        <row r="249">
          <cell r="BP249" t="str">
            <v>KILLEEN-TEMPLE, TX</v>
          </cell>
          <cell r="BQ249">
            <v>0</v>
          </cell>
        </row>
        <row r="250">
          <cell r="BP250" t="str">
            <v>KISSIMMEE EAST</v>
          </cell>
          <cell r="BQ250">
            <v>5</v>
          </cell>
        </row>
        <row r="251">
          <cell r="BP251" t="str">
            <v>KISSIMMEE WEST</v>
          </cell>
          <cell r="BQ251">
            <v>6</v>
          </cell>
        </row>
        <row r="252">
          <cell r="BP252" t="str">
            <v>KNOXVILLE</v>
          </cell>
          <cell r="BQ252">
            <v>0</v>
          </cell>
        </row>
        <row r="253">
          <cell r="BP253" t="str">
            <v>KNOXVILLE TN AREA</v>
          </cell>
          <cell r="BQ253">
            <v>0</v>
          </cell>
        </row>
        <row r="254">
          <cell r="BP254" t="str">
            <v>LA JOLLA-POINT LOMA</v>
          </cell>
          <cell r="BQ254">
            <v>5</v>
          </cell>
        </row>
        <row r="255">
          <cell r="BP255" t="str">
            <v>LAFAYETTE, LA</v>
          </cell>
          <cell r="BQ255">
            <v>0</v>
          </cell>
        </row>
        <row r="256">
          <cell r="BP256" t="str">
            <v>LAKE BUENA VISTA</v>
          </cell>
          <cell r="BQ256">
            <v>7</v>
          </cell>
        </row>
        <row r="257">
          <cell r="BP257" t="str">
            <v>LAKE COUNTY, IL</v>
          </cell>
          <cell r="BQ257">
            <v>0</v>
          </cell>
        </row>
        <row r="258">
          <cell r="BP258" t="str">
            <v>LAKELAND-WINTER HAVEN, FL</v>
          </cell>
          <cell r="BQ258">
            <v>0</v>
          </cell>
        </row>
        <row r="259">
          <cell r="BP259" t="str">
            <v>LANCASTER, PA</v>
          </cell>
          <cell r="BQ259">
            <v>0</v>
          </cell>
        </row>
        <row r="260">
          <cell r="BP260" t="str">
            <v>LANSING-EAST LANSING, MI</v>
          </cell>
          <cell r="BQ260">
            <v>2</v>
          </cell>
        </row>
        <row r="261">
          <cell r="BP261" t="str">
            <v>LAS CRUCES/DEMING, NM</v>
          </cell>
          <cell r="BQ261">
            <v>0</v>
          </cell>
        </row>
        <row r="262">
          <cell r="BP262" t="str">
            <v>LAS VEGAS STRIP</v>
          </cell>
          <cell r="BQ262">
            <v>1</v>
          </cell>
        </row>
        <row r="263">
          <cell r="BP263" t="str">
            <v>LAS VEGAS-NORTH</v>
          </cell>
          <cell r="BQ263">
            <v>2</v>
          </cell>
        </row>
        <row r="264">
          <cell r="BP264" t="str">
            <v>LAS VEGAS-SOUTH</v>
          </cell>
          <cell r="BQ264">
            <v>3</v>
          </cell>
        </row>
        <row r="265">
          <cell r="BP265" t="str">
            <v>LEXINGTON-FAYETTE, KY</v>
          </cell>
          <cell r="BQ265">
            <v>0</v>
          </cell>
        </row>
        <row r="266">
          <cell r="BP266" t="str">
            <v>LEXINGTON-WINCHESTER</v>
          </cell>
          <cell r="BQ266">
            <v>0</v>
          </cell>
        </row>
        <row r="267">
          <cell r="BP267" t="str">
            <v>LINCOLN, NE</v>
          </cell>
          <cell r="BQ267">
            <v>0</v>
          </cell>
        </row>
        <row r="268">
          <cell r="BP268" t="str">
            <v>LITTLE ROCK</v>
          </cell>
          <cell r="BQ268">
            <v>0</v>
          </cell>
        </row>
        <row r="269">
          <cell r="BP269" t="str">
            <v>LITTLE ROCK NORTH-EAST</v>
          </cell>
          <cell r="BQ269">
            <v>0</v>
          </cell>
        </row>
        <row r="270">
          <cell r="BP270" t="str">
            <v>LONG BEACH</v>
          </cell>
          <cell r="BQ270">
            <v>9</v>
          </cell>
        </row>
        <row r="271">
          <cell r="BP271" t="str">
            <v>LONGVIEW-MARSHALL, TX</v>
          </cell>
          <cell r="BQ271">
            <v>0</v>
          </cell>
        </row>
        <row r="272">
          <cell r="BP272" t="str">
            <v>LOS ANGELES AIRPORT</v>
          </cell>
          <cell r="BQ272">
            <v>2</v>
          </cell>
        </row>
        <row r="273">
          <cell r="BP273" t="str">
            <v>LOS ANGELES CBD</v>
          </cell>
          <cell r="BQ273">
            <v>1</v>
          </cell>
        </row>
        <row r="274">
          <cell r="BP274" t="str">
            <v>LOS ANGELES EAST</v>
          </cell>
          <cell r="BQ274">
            <v>3</v>
          </cell>
        </row>
        <row r="275">
          <cell r="BP275" t="str">
            <v>LOS ANGELES NORTH</v>
          </cell>
          <cell r="BQ275">
            <v>4</v>
          </cell>
        </row>
        <row r="276">
          <cell r="BP276" t="str">
            <v>LOS ANGELES SOUTHEAST</v>
          </cell>
          <cell r="BQ276">
            <v>6</v>
          </cell>
        </row>
        <row r="277">
          <cell r="BP277" t="str">
            <v>LOS ANGELES SOUTHWEST</v>
          </cell>
          <cell r="BQ277">
            <v>5</v>
          </cell>
        </row>
        <row r="278">
          <cell r="BP278" t="str">
            <v>LOUISIANA NORTH AREA</v>
          </cell>
          <cell r="BQ278">
            <v>0</v>
          </cell>
        </row>
        <row r="279">
          <cell r="BP279" t="str">
            <v>LOUISIANA SOUTH AREA</v>
          </cell>
          <cell r="BQ279">
            <v>0</v>
          </cell>
        </row>
        <row r="280">
          <cell r="BP280" t="str">
            <v>LOUISVILLE</v>
          </cell>
          <cell r="BQ280">
            <v>0</v>
          </cell>
        </row>
        <row r="281">
          <cell r="BP281" t="str">
            <v>LOUISVILLE AREA</v>
          </cell>
          <cell r="BQ281">
            <v>0</v>
          </cell>
        </row>
        <row r="282">
          <cell r="BP282" t="str">
            <v>LOUISVILLE NORTH</v>
          </cell>
          <cell r="BQ282">
            <v>0</v>
          </cell>
        </row>
        <row r="283">
          <cell r="BP283" t="str">
            <v>LOWER MI NORTH/CENTRAL</v>
          </cell>
          <cell r="BQ283">
            <v>0</v>
          </cell>
        </row>
        <row r="284">
          <cell r="BP284" t="str">
            <v>LOWER MI NORTHWEST</v>
          </cell>
          <cell r="BQ284">
            <v>0</v>
          </cell>
        </row>
        <row r="285">
          <cell r="BP285" t="str">
            <v>MACON, GA</v>
          </cell>
          <cell r="BQ285">
            <v>0</v>
          </cell>
        </row>
        <row r="286">
          <cell r="BP286" t="str">
            <v>MADISON, WI</v>
          </cell>
          <cell r="BQ286">
            <v>0</v>
          </cell>
        </row>
        <row r="287">
          <cell r="BP287" t="str">
            <v>MAINE AREA</v>
          </cell>
          <cell r="BQ287">
            <v>0</v>
          </cell>
        </row>
        <row r="288">
          <cell r="BP288" t="str">
            <v>MANHATTAN-EAST</v>
          </cell>
          <cell r="BQ288">
            <v>1</v>
          </cell>
        </row>
        <row r="289">
          <cell r="BP289" t="str">
            <v>MANHATTAN-WEST</v>
          </cell>
          <cell r="BQ289">
            <v>2</v>
          </cell>
        </row>
        <row r="290">
          <cell r="BP290" t="str">
            <v>MARYLAND WEST</v>
          </cell>
          <cell r="BQ290">
            <v>0</v>
          </cell>
        </row>
        <row r="291">
          <cell r="BP291" t="str">
            <v>MASSACHUSETTS SOUTHEAST</v>
          </cell>
          <cell r="BQ291">
            <v>3</v>
          </cell>
        </row>
        <row r="292">
          <cell r="BP292" t="str">
            <v>MASSACHUSETTS WEST</v>
          </cell>
          <cell r="BQ292">
            <v>4</v>
          </cell>
        </row>
        <row r="293">
          <cell r="BP293" t="str">
            <v>MAUI AREA</v>
          </cell>
          <cell r="BQ293">
            <v>0</v>
          </cell>
        </row>
        <row r="294">
          <cell r="BP294" t="str">
            <v>MCALLEN, TX</v>
          </cell>
          <cell r="BQ294">
            <v>0</v>
          </cell>
        </row>
        <row r="295">
          <cell r="BP295" t="str">
            <v>MELBOURNE-PALM BAY</v>
          </cell>
          <cell r="BQ295">
            <v>0</v>
          </cell>
        </row>
        <row r="296">
          <cell r="BP296" t="str">
            <v>MEMPHIS AIRPORT &amp; SOUTH</v>
          </cell>
          <cell r="BQ296">
            <v>2</v>
          </cell>
        </row>
        <row r="297">
          <cell r="BP297" t="str">
            <v>MEMPHIS CBD</v>
          </cell>
          <cell r="BQ297">
            <v>1</v>
          </cell>
        </row>
        <row r="298">
          <cell r="BP298" t="str">
            <v>MEMPHIS EAST</v>
          </cell>
          <cell r="BQ298">
            <v>3</v>
          </cell>
        </row>
        <row r="299">
          <cell r="BP299" t="str">
            <v xml:space="preserve">MESA/CHANDLER </v>
          </cell>
          <cell r="BQ299">
            <v>5</v>
          </cell>
        </row>
        <row r="300">
          <cell r="BP300" t="str">
            <v>METARIE-AIRPORT</v>
          </cell>
          <cell r="BQ300">
            <v>3</v>
          </cell>
        </row>
        <row r="301">
          <cell r="BP301" t="str">
            <v>MIAMI AIRPORT-CIVIC CENTER</v>
          </cell>
          <cell r="BQ301">
            <v>2</v>
          </cell>
        </row>
        <row r="302">
          <cell r="BP302" t="str">
            <v>MIAMI BEACH</v>
          </cell>
          <cell r="BQ302">
            <v>3</v>
          </cell>
        </row>
        <row r="303">
          <cell r="BP303" t="str">
            <v>MIAMI DOWNTOWN-NORTH</v>
          </cell>
          <cell r="BQ303">
            <v>1</v>
          </cell>
        </row>
        <row r="304">
          <cell r="BP304" t="str">
            <v>MIAMI SOUTH</v>
          </cell>
          <cell r="BQ304">
            <v>4</v>
          </cell>
        </row>
        <row r="305">
          <cell r="BP305" t="str">
            <v>MICHIGAN CITY-SOUTH BEND-ELKHART</v>
          </cell>
          <cell r="BQ305">
            <v>0</v>
          </cell>
        </row>
        <row r="306">
          <cell r="BP306" t="str">
            <v>MICHIGAN SOUTHWEST</v>
          </cell>
          <cell r="BQ306">
            <v>4</v>
          </cell>
        </row>
        <row r="307">
          <cell r="BP307" t="str">
            <v>MIDDLESEX-HUNTERDON</v>
          </cell>
          <cell r="BQ307">
            <v>0</v>
          </cell>
        </row>
        <row r="308">
          <cell r="BP308" t="str">
            <v>MIDLAND-FLINT</v>
          </cell>
          <cell r="BQ308">
            <v>0</v>
          </cell>
        </row>
        <row r="309">
          <cell r="BP309" t="str">
            <v>MIDLAND-ODESSA</v>
          </cell>
          <cell r="BQ309">
            <v>0</v>
          </cell>
        </row>
        <row r="310">
          <cell r="BP310" t="str">
            <v>MILWAUKEE CBD</v>
          </cell>
          <cell r="BQ310">
            <v>0</v>
          </cell>
        </row>
        <row r="311">
          <cell r="BP311" t="str">
            <v>MILWAUKEE NORTH</v>
          </cell>
          <cell r="BQ311">
            <v>0</v>
          </cell>
        </row>
        <row r="312">
          <cell r="BP312" t="str">
            <v>MILWAUKEE WEST-SOUTH</v>
          </cell>
          <cell r="BQ312">
            <v>0</v>
          </cell>
        </row>
        <row r="313">
          <cell r="BP313" t="str">
            <v>MINNEAPOLIS CBD</v>
          </cell>
          <cell r="BQ313">
            <v>1</v>
          </cell>
        </row>
        <row r="314">
          <cell r="BP314" t="str">
            <v>MINNEAPOLIS NORTH AREA</v>
          </cell>
          <cell r="BQ314">
            <v>2</v>
          </cell>
        </row>
        <row r="315">
          <cell r="BP315" t="str">
            <v>MINNEAPOLIS SOUTH AREA</v>
          </cell>
          <cell r="BQ315">
            <v>3</v>
          </cell>
        </row>
        <row r="316">
          <cell r="BP316" t="str">
            <v>MINNESOTA NORTH AREA</v>
          </cell>
          <cell r="BQ316">
            <v>0</v>
          </cell>
        </row>
        <row r="317">
          <cell r="BP317" t="str">
            <v>MINNESOTA SOUTH AREA</v>
          </cell>
          <cell r="BQ317">
            <v>0</v>
          </cell>
        </row>
        <row r="318">
          <cell r="BP318" t="str">
            <v>MISSION VALLEY</v>
          </cell>
          <cell r="BQ318">
            <v>6</v>
          </cell>
        </row>
        <row r="319">
          <cell r="BP319" t="str">
            <v>MISSISSIPPI CENTRAL</v>
          </cell>
          <cell r="BQ319">
            <v>0</v>
          </cell>
        </row>
        <row r="320">
          <cell r="BP320" t="str">
            <v>MISSISSIPPI EAST</v>
          </cell>
          <cell r="BQ320">
            <v>0</v>
          </cell>
        </row>
        <row r="321">
          <cell r="BP321" t="str">
            <v>MISSISSIPPI NORTH</v>
          </cell>
          <cell r="BQ321">
            <v>0</v>
          </cell>
        </row>
        <row r="322">
          <cell r="BP322" t="str">
            <v>MISSISSIPPI SOUTH</v>
          </cell>
          <cell r="BQ322">
            <v>0</v>
          </cell>
        </row>
        <row r="323">
          <cell r="BP323" t="str">
            <v>MISSOURI NORTH AREA</v>
          </cell>
          <cell r="BQ323">
            <v>0</v>
          </cell>
        </row>
        <row r="324">
          <cell r="BP324" t="str">
            <v>MISSOURI SOUTH AREA</v>
          </cell>
          <cell r="BQ324">
            <v>0</v>
          </cell>
        </row>
        <row r="325">
          <cell r="BP325" t="str">
            <v>MISSOURI SOUTH CENTRAL</v>
          </cell>
          <cell r="BQ325">
            <v>0</v>
          </cell>
        </row>
        <row r="326">
          <cell r="BP326" t="str">
            <v>MISSOURI SOUTH-EAST</v>
          </cell>
          <cell r="BQ326">
            <v>0</v>
          </cell>
        </row>
        <row r="327">
          <cell r="BP327" t="str">
            <v>MOBILE, AL (AREA)</v>
          </cell>
          <cell r="BQ327">
            <v>0</v>
          </cell>
        </row>
        <row r="328">
          <cell r="BP328" t="str">
            <v>MONMOUTH</v>
          </cell>
          <cell r="BQ328">
            <v>0</v>
          </cell>
        </row>
        <row r="329">
          <cell r="BP329" t="str">
            <v>MONROE, LA</v>
          </cell>
          <cell r="BQ329">
            <v>0</v>
          </cell>
        </row>
        <row r="330">
          <cell r="BP330" t="str">
            <v>MONTANA EAST AREA</v>
          </cell>
          <cell r="BQ330">
            <v>0</v>
          </cell>
        </row>
        <row r="331">
          <cell r="BP331" t="str">
            <v>MONTANA WEST AREA</v>
          </cell>
          <cell r="BQ331">
            <v>0</v>
          </cell>
        </row>
        <row r="332">
          <cell r="BP332" t="str">
            <v>MONTEREY</v>
          </cell>
          <cell r="BQ332">
            <v>0</v>
          </cell>
        </row>
        <row r="333">
          <cell r="BP333" t="str">
            <v>MONTGOMERY, AL</v>
          </cell>
          <cell r="BQ333">
            <v>0</v>
          </cell>
        </row>
        <row r="334">
          <cell r="BP334" t="str">
            <v>MORRIS-SUSSEX COUNTY</v>
          </cell>
          <cell r="BQ334">
            <v>0</v>
          </cell>
        </row>
        <row r="335">
          <cell r="BP335" t="str">
            <v>MOUNT VERNON/CARBONDALE, IL</v>
          </cell>
          <cell r="BQ335">
            <v>0</v>
          </cell>
        </row>
        <row r="336">
          <cell r="BP336" t="str">
            <v>MYRTLE BEACH</v>
          </cell>
          <cell r="BQ336">
            <v>0</v>
          </cell>
        </row>
        <row r="337">
          <cell r="BP337" t="str">
            <v>NAPLES, FL</v>
          </cell>
          <cell r="BQ337">
            <v>2</v>
          </cell>
        </row>
        <row r="338">
          <cell r="BP338" t="str">
            <v>NASHVILLE AREA NORTH</v>
          </cell>
          <cell r="BQ338">
            <v>4</v>
          </cell>
        </row>
        <row r="339">
          <cell r="BP339" t="str">
            <v>NASHVILLE AREA SOUTH</v>
          </cell>
          <cell r="BQ339">
            <v>5</v>
          </cell>
        </row>
        <row r="340">
          <cell r="BP340" t="str">
            <v>NASHVILLE DOWNTOWN &amp; SOUTH</v>
          </cell>
          <cell r="BQ340">
            <v>1</v>
          </cell>
        </row>
        <row r="341">
          <cell r="BP341" t="str">
            <v>NASHVILLE EAST AIRPORT</v>
          </cell>
          <cell r="BQ341">
            <v>2</v>
          </cell>
        </row>
        <row r="342">
          <cell r="BP342" t="str">
            <v>NASHVILLE METRO CENTER-NORTH</v>
          </cell>
          <cell r="BQ342">
            <v>3</v>
          </cell>
        </row>
        <row r="343">
          <cell r="BP343" t="str">
            <v>NASSAU</v>
          </cell>
          <cell r="BQ343">
            <v>1</v>
          </cell>
        </row>
        <row r="344">
          <cell r="BP344" t="str">
            <v>NEBRASKA AREA</v>
          </cell>
          <cell r="BQ344">
            <v>0</v>
          </cell>
        </row>
        <row r="345">
          <cell r="BP345" t="str">
            <v>NEVADA AREA</v>
          </cell>
          <cell r="BQ345">
            <v>0</v>
          </cell>
        </row>
        <row r="346">
          <cell r="BP346" t="str">
            <v>NEW HAMPSHIRE CENTRAL-NORTH</v>
          </cell>
          <cell r="BQ346">
            <v>0</v>
          </cell>
        </row>
        <row r="347">
          <cell r="BP347" t="str">
            <v>NEW HAMPSHIRE SOUTH</v>
          </cell>
          <cell r="BQ347">
            <v>0</v>
          </cell>
        </row>
        <row r="348">
          <cell r="BP348" t="str">
            <v>NEW HAVEN-WATERBURY, CT</v>
          </cell>
          <cell r="BQ348">
            <v>0</v>
          </cell>
        </row>
        <row r="349">
          <cell r="BP349" t="str">
            <v>NEW MEXICO NORTH AREA</v>
          </cell>
          <cell r="BQ349">
            <v>0</v>
          </cell>
        </row>
        <row r="350">
          <cell r="BP350" t="str">
            <v>NEW MEXICO SOUTH AREA</v>
          </cell>
          <cell r="BQ350">
            <v>0</v>
          </cell>
        </row>
        <row r="351">
          <cell r="BP351" t="str">
            <v>NEW ORLEANS CBD</v>
          </cell>
          <cell r="BQ351">
            <v>1</v>
          </cell>
        </row>
        <row r="352">
          <cell r="BP352" t="str">
            <v>NEW ORLEANS EAST/FRENCH QUARTER</v>
          </cell>
          <cell r="BQ352">
            <v>2</v>
          </cell>
        </row>
        <row r="353">
          <cell r="BP353" t="str">
            <v>NEW YORK CENTRAL AREA</v>
          </cell>
          <cell r="BQ353">
            <v>0</v>
          </cell>
        </row>
        <row r="354">
          <cell r="BP354" t="str">
            <v>NEW YORK EAST AREA</v>
          </cell>
          <cell r="BQ354">
            <v>0</v>
          </cell>
        </row>
        <row r="355">
          <cell r="BP355" t="str">
            <v>NEW YORK NY AREA</v>
          </cell>
          <cell r="BQ355">
            <v>3</v>
          </cell>
        </row>
        <row r="356">
          <cell r="BP356" t="str">
            <v>NEW YORK WEST AREA</v>
          </cell>
          <cell r="BQ356">
            <v>0</v>
          </cell>
        </row>
        <row r="357">
          <cell r="BP357" t="str">
            <v>NEWARK</v>
          </cell>
          <cell r="BQ357">
            <v>0</v>
          </cell>
        </row>
        <row r="358">
          <cell r="BP358" t="str">
            <v>NEWPORT NEWS/HAMPTON</v>
          </cell>
          <cell r="BQ358">
            <v>3</v>
          </cell>
        </row>
        <row r="359">
          <cell r="BP359" t="str">
            <v>NIAGARA FALLS, NY</v>
          </cell>
          <cell r="BQ359">
            <v>0</v>
          </cell>
        </row>
        <row r="360">
          <cell r="BP360" t="str">
            <v>NORFOLK CITY</v>
          </cell>
          <cell r="BQ360">
            <v>1</v>
          </cell>
        </row>
        <row r="361">
          <cell r="BP361" t="str">
            <v>NORTH CAROLINA CENTRAL</v>
          </cell>
          <cell r="BQ361">
            <v>0</v>
          </cell>
        </row>
        <row r="362">
          <cell r="BP362" t="str">
            <v>NORTH CAROLINA EAST AREA</v>
          </cell>
          <cell r="BQ362">
            <v>0</v>
          </cell>
        </row>
        <row r="363">
          <cell r="BP363" t="str">
            <v>NORTH CAROLINA WEST AREA</v>
          </cell>
          <cell r="BQ363">
            <v>0</v>
          </cell>
        </row>
        <row r="364">
          <cell r="BP364" t="str">
            <v>NORTH CAROLINA WEST CENTRAL</v>
          </cell>
          <cell r="BQ364">
            <v>0</v>
          </cell>
        </row>
        <row r="365">
          <cell r="BP365" t="str">
            <v>NORTH DAKOTA AREA</v>
          </cell>
          <cell r="BQ365">
            <v>0</v>
          </cell>
        </row>
        <row r="366">
          <cell r="BP366" t="str">
            <v>NORTHEAST BEACH AREA, NC</v>
          </cell>
          <cell r="BQ366">
            <v>0</v>
          </cell>
        </row>
        <row r="367">
          <cell r="BP367" t="str">
            <v>OAHU AREA</v>
          </cell>
          <cell r="BQ367">
            <v>1</v>
          </cell>
        </row>
        <row r="368">
          <cell r="BP368" t="str">
            <v>OAKLAND CA AREA</v>
          </cell>
          <cell r="BQ368">
            <v>0</v>
          </cell>
        </row>
        <row r="369">
          <cell r="BP369" t="str">
            <v>OAKLAND-BERKELEY</v>
          </cell>
          <cell r="BQ369">
            <v>0</v>
          </cell>
        </row>
        <row r="370">
          <cell r="BP370" t="str">
            <v>OCALA, FL</v>
          </cell>
          <cell r="BQ370">
            <v>0</v>
          </cell>
        </row>
        <row r="371">
          <cell r="BP371" t="str">
            <v>OHIO NORTH AREA</v>
          </cell>
          <cell r="BQ371">
            <v>0</v>
          </cell>
        </row>
        <row r="372">
          <cell r="BP372" t="str">
            <v>OHIO SOUTH AREA</v>
          </cell>
          <cell r="BQ372">
            <v>0</v>
          </cell>
        </row>
        <row r="373">
          <cell r="BP373" t="str">
            <v>OKLAHOMA CITY &amp; NORTH</v>
          </cell>
          <cell r="BQ373">
            <v>0</v>
          </cell>
        </row>
        <row r="374">
          <cell r="BP374" t="str">
            <v>OKLAHOMA CITY AIRPORT-SOUTH</v>
          </cell>
          <cell r="BQ374">
            <v>0</v>
          </cell>
        </row>
        <row r="375">
          <cell r="BP375" t="str">
            <v>OKLAHOMA EAST</v>
          </cell>
          <cell r="BQ375">
            <v>0</v>
          </cell>
        </row>
        <row r="376">
          <cell r="BP376" t="str">
            <v>OKLAHOMA WEST</v>
          </cell>
          <cell r="BQ376">
            <v>0</v>
          </cell>
        </row>
        <row r="377">
          <cell r="BP377" t="str">
            <v>OMAHA NORTH</v>
          </cell>
          <cell r="BQ377">
            <v>0</v>
          </cell>
        </row>
        <row r="378">
          <cell r="BP378" t="str">
            <v>OMAHA SOUTH</v>
          </cell>
          <cell r="BQ378">
            <v>0</v>
          </cell>
        </row>
        <row r="379">
          <cell r="BP379" t="str">
            <v>ONTARIO/AIRPORT</v>
          </cell>
          <cell r="BQ379">
            <v>0</v>
          </cell>
        </row>
        <row r="380">
          <cell r="BP380" t="str">
            <v>ORANGE COUNTY NORTHWEST</v>
          </cell>
          <cell r="BQ380">
            <v>3</v>
          </cell>
        </row>
        <row r="381">
          <cell r="BP381" t="str">
            <v>ORANGE COUNTY SOUTH-EAST</v>
          </cell>
          <cell r="BQ381">
            <v>4</v>
          </cell>
        </row>
        <row r="382">
          <cell r="BP382" t="str">
            <v>ORANGE COUNTY SOUTH-WEST</v>
          </cell>
          <cell r="BQ382">
            <v>2</v>
          </cell>
        </row>
        <row r="383">
          <cell r="BP383" t="str">
            <v>ORANGE COUNTY, NY</v>
          </cell>
          <cell r="BQ383">
            <v>0</v>
          </cell>
        </row>
        <row r="384">
          <cell r="BP384" t="str">
            <v>OREGON EAST AREA</v>
          </cell>
          <cell r="BQ384">
            <v>0</v>
          </cell>
        </row>
        <row r="385">
          <cell r="BP385" t="str">
            <v>OREGON WEST AREA</v>
          </cell>
          <cell r="BQ385">
            <v>0</v>
          </cell>
        </row>
        <row r="386">
          <cell r="BP386" t="str">
            <v>ORLANDO CBD</v>
          </cell>
          <cell r="BQ386">
            <v>1</v>
          </cell>
        </row>
        <row r="387">
          <cell r="BP387" t="str">
            <v>ORLANDO NORTH</v>
          </cell>
          <cell r="BQ387">
            <v>2</v>
          </cell>
        </row>
        <row r="388">
          <cell r="BP388" t="str">
            <v>ORLANDO SOUTH</v>
          </cell>
          <cell r="BQ388">
            <v>3</v>
          </cell>
        </row>
        <row r="389">
          <cell r="BP389" t="str">
            <v>ORLANDO-INTERNATIONAL DRIVE</v>
          </cell>
          <cell r="BQ389">
            <v>4</v>
          </cell>
        </row>
        <row r="390">
          <cell r="BP390" t="str">
            <v>OVERLAND PARK-LENEXA</v>
          </cell>
          <cell r="BQ390">
            <v>0</v>
          </cell>
        </row>
        <row r="391">
          <cell r="BP391" t="str">
            <v>OXNARD, CA</v>
          </cell>
          <cell r="BQ391">
            <v>1</v>
          </cell>
        </row>
        <row r="392">
          <cell r="BP392" t="str">
            <v>PALM SPRINGS (AREA)</v>
          </cell>
          <cell r="BQ392">
            <v>0</v>
          </cell>
        </row>
        <row r="393">
          <cell r="BP393" t="str">
            <v>PALM SPRINGS (CITY OF)</v>
          </cell>
          <cell r="BQ393">
            <v>0</v>
          </cell>
        </row>
        <row r="394">
          <cell r="BP394" t="str">
            <v>PANAMA CITY, FL</v>
          </cell>
          <cell r="BQ394">
            <v>5</v>
          </cell>
        </row>
        <row r="395">
          <cell r="BP395" t="str">
            <v>PASADENA/GLENDALE/BURBANK</v>
          </cell>
          <cell r="BQ395">
            <v>8</v>
          </cell>
        </row>
        <row r="396">
          <cell r="BP396" t="str">
            <v>PASSAIC AREA</v>
          </cell>
          <cell r="BQ396">
            <v>1</v>
          </cell>
        </row>
        <row r="397">
          <cell r="BP397" t="str">
            <v>PENNSYLVANIA CENTRAL</v>
          </cell>
          <cell r="BQ397">
            <v>0</v>
          </cell>
        </row>
        <row r="398">
          <cell r="BP398" t="str">
            <v>PENNSYLVANIA WEST</v>
          </cell>
          <cell r="BQ398">
            <v>0</v>
          </cell>
        </row>
        <row r="399">
          <cell r="BP399" t="str">
            <v>PENSACOLA, FL</v>
          </cell>
          <cell r="BQ399">
            <v>4</v>
          </cell>
        </row>
        <row r="400">
          <cell r="BP400" t="str">
            <v>PEORIA, IL</v>
          </cell>
          <cell r="BQ400">
            <v>0</v>
          </cell>
        </row>
        <row r="401">
          <cell r="BP401" t="str">
            <v>PHILA AIRPORT/STADIUM</v>
          </cell>
          <cell r="BQ401">
            <v>2</v>
          </cell>
        </row>
        <row r="402">
          <cell r="BP402" t="str">
            <v>PHILA CENTER CITY</v>
          </cell>
          <cell r="BQ402">
            <v>1</v>
          </cell>
        </row>
        <row r="403">
          <cell r="BP403" t="str">
            <v>PHILA NORTHEAST-LOWER BUCKS</v>
          </cell>
          <cell r="BQ403">
            <v>5</v>
          </cell>
        </row>
        <row r="404">
          <cell r="BP404" t="str">
            <v>PHILA NORTHERN SUBURBS</v>
          </cell>
          <cell r="BQ404">
            <v>3</v>
          </cell>
        </row>
        <row r="405">
          <cell r="BP405" t="str">
            <v>PHILA WESTERN SUBURBS</v>
          </cell>
          <cell r="BQ405">
            <v>4</v>
          </cell>
        </row>
        <row r="406">
          <cell r="BP406" t="str">
            <v>PHOENIX AIRPORT</v>
          </cell>
          <cell r="BQ406">
            <v>1</v>
          </cell>
        </row>
        <row r="407">
          <cell r="BP407" t="str">
            <v>PHOENIX EAST</v>
          </cell>
          <cell r="BQ407">
            <v>2</v>
          </cell>
        </row>
        <row r="408">
          <cell r="BP408" t="str">
            <v>PHOENIX WEST</v>
          </cell>
          <cell r="BQ408">
            <v>3</v>
          </cell>
        </row>
        <row r="409">
          <cell r="BP409" t="str">
            <v>PIGEON FORGE</v>
          </cell>
          <cell r="BQ409">
            <v>0</v>
          </cell>
        </row>
        <row r="410">
          <cell r="BP410" t="str">
            <v>PITTSBURGH &amp; NORTH-EAST</v>
          </cell>
          <cell r="BQ410">
            <v>0</v>
          </cell>
        </row>
        <row r="411">
          <cell r="BP411" t="str">
            <v>PITTSBURGH PA AREA</v>
          </cell>
          <cell r="BQ411">
            <v>0</v>
          </cell>
        </row>
        <row r="412">
          <cell r="BP412" t="str">
            <v>PITTSBURGH SOUTH-WEST</v>
          </cell>
          <cell r="BQ412">
            <v>0</v>
          </cell>
        </row>
        <row r="413">
          <cell r="BP413" t="str">
            <v>PITTSBURGH, PA AREA</v>
          </cell>
          <cell r="BQ413">
            <v>0</v>
          </cell>
        </row>
        <row r="414">
          <cell r="BP414" t="str">
            <v>PLANO/RICHARDSON</v>
          </cell>
          <cell r="BQ414">
            <v>8</v>
          </cell>
        </row>
        <row r="415">
          <cell r="BP415" t="str">
            <v>POCONOS AREA</v>
          </cell>
          <cell r="BQ415">
            <v>0</v>
          </cell>
        </row>
        <row r="416">
          <cell r="BP416" t="str">
            <v>PORTLAND CBD</v>
          </cell>
          <cell r="BQ416">
            <v>0</v>
          </cell>
        </row>
        <row r="417">
          <cell r="BP417" t="str">
            <v>PORTLAND, ME</v>
          </cell>
          <cell r="BQ417">
            <v>0</v>
          </cell>
        </row>
        <row r="418">
          <cell r="BP418" t="str">
            <v>PORTLAND, OR AREA</v>
          </cell>
          <cell r="BQ418">
            <v>0</v>
          </cell>
        </row>
        <row r="419">
          <cell r="BP419" t="str">
            <v>POUGHKEEPSIE/KENSINGTON</v>
          </cell>
          <cell r="BQ419">
            <v>0</v>
          </cell>
        </row>
        <row r="420">
          <cell r="BP420" t="str">
            <v>RALEIGH NORTH-EAST</v>
          </cell>
          <cell r="BQ420">
            <v>0</v>
          </cell>
        </row>
        <row r="421">
          <cell r="BP421" t="str">
            <v>RALEIGH NORTH-WEST</v>
          </cell>
          <cell r="BQ421">
            <v>0</v>
          </cell>
        </row>
        <row r="422">
          <cell r="BP422" t="str">
            <v>RALEIGH SOUTH</v>
          </cell>
          <cell r="BQ422">
            <v>0</v>
          </cell>
        </row>
        <row r="423">
          <cell r="BP423" t="str">
            <v>RAPID CITY, SD</v>
          </cell>
          <cell r="BQ423">
            <v>0</v>
          </cell>
        </row>
        <row r="424">
          <cell r="BP424" t="str">
            <v>READING</v>
          </cell>
          <cell r="BQ424">
            <v>0</v>
          </cell>
        </row>
        <row r="425">
          <cell r="BP425" t="str">
            <v>RENO</v>
          </cell>
          <cell r="BQ425">
            <v>0</v>
          </cell>
        </row>
        <row r="426">
          <cell r="BP426" t="str">
            <v>RENO AREA</v>
          </cell>
          <cell r="BQ426">
            <v>0</v>
          </cell>
        </row>
        <row r="427">
          <cell r="BP427" t="str">
            <v>RHODE ISLAND</v>
          </cell>
          <cell r="BQ427">
            <v>1</v>
          </cell>
        </row>
        <row r="428">
          <cell r="BP428" t="str">
            <v>RICHMOND AREA</v>
          </cell>
          <cell r="BQ428">
            <v>2</v>
          </cell>
        </row>
        <row r="429">
          <cell r="BP429" t="str">
            <v>RICHMOND CITY</v>
          </cell>
          <cell r="BQ429">
            <v>1</v>
          </cell>
        </row>
        <row r="430">
          <cell r="BP430" t="str">
            <v>RIVERSIDE COUNTY AREA</v>
          </cell>
          <cell r="BQ430">
            <v>0</v>
          </cell>
        </row>
        <row r="431">
          <cell r="BP431" t="str">
            <v>ROANOKE, VA</v>
          </cell>
          <cell r="BQ431">
            <v>0</v>
          </cell>
        </row>
        <row r="432">
          <cell r="BP432" t="str">
            <v>ROCHESTER, MN</v>
          </cell>
          <cell r="BQ432">
            <v>0</v>
          </cell>
        </row>
        <row r="433">
          <cell r="BP433" t="str">
            <v>ROCHESTER, NY (AREA)</v>
          </cell>
          <cell r="BQ433">
            <v>0</v>
          </cell>
        </row>
        <row r="434">
          <cell r="BP434" t="str">
            <v>ROCHESTER, NY (CITY OF)</v>
          </cell>
          <cell r="BQ434">
            <v>0</v>
          </cell>
        </row>
        <row r="435">
          <cell r="BP435" t="str">
            <v>ROCK HILL, SC</v>
          </cell>
          <cell r="BQ435">
            <v>0</v>
          </cell>
        </row>
        <row r="436">
          <cell r="BP436" t="str">
            <v>ROCKFORD-DEKALB-AURORA-ELGIN</v>
          </cell>
          <cell r="BQ436">
            <v>0</v>
          </cell>
        </row>
        <row r="437">
          <cell r="BP437" t="str">
            <v>ROCKY MOUNT-SELMA</v>
          </cell>
          <cell r="BQ437">
            <v>0</v>
          </cell>
        </row>
        <row r="438">
          <cell r="BP438" t="str">
            <v>S.F.-NOB HILL/WHARF</v>
          </cell>
          <cell r="BQ438">
            <v>2</v>
          </cell>
        </row>
        <row r="439">
          <cell r="BP439" t="str">
            <v>SACRAMENTO DOWNTOWN &amp; NORTH</v>
          </cell>
          <cell r="BQ439">
            <v>0</v>
          </cell>
        </row>
        <row r="440">
          <cell r="BP440" t="str">
            <v>SACRAMENTO EAST</v>
          </cell>
          <cell r="BQ440">
            <v>0</v>
          </cell>
        </row>
        <row r="441">
          <cell r="BP441" t="str">
            <v>SAINT AUGUSTINE</v>
          </cell>
          <cell r="BQ441">
            <v>0</v>
          </cell>
        </row>
        <row r="442">
          <cell r="BP442" t="str">
            <v>SAINT LOUIS AIRPORT</v>
          </cell>
          <cell r="BQ442">
            <v>2</v>
          </cell>
        </row>
        <row r="443">
          <cell r="BP443" t="str">
            <v>SAINT LOUIS CBD</v>
          </cell>
          <cell r="BQ443">
            <v>1</v>
          </cell>
        </row>
        <row r="444">
          <cell r="BP444" t="str">
            <v>SAINT LOUIS EAST</v>
          </cell>
          <cell r="BQ444">
            <v>5</v>
          </cell>
        </row>
        <row r="445">
          <cell r="BP445" t="str">
            <v>SAINT LOUIS NORTHWEST</v>
          </cell>
          <cell r="BQ445">
            <v>3</v>
          </cell>
        </row>
        <row r="446">
          <cell r="BP446" t="str">
            <v>SAINT LOUIS SOUTHWEST</v>
          </cell>
          <cell r="BQ446">
            <v>4</v>
          </cell>
        </row>
        <row r="447">
          <cell r="BP447" t="str">
            <v>SAINT PAUL</v>
          </cell>
          <cell r="BQ447">
            <v>4</v>
          </cell>
        </row>
        <row r="448">
          <cell r="BP448" t="str">
            <v>SAINT PETERSBURG</v>
          </cell>
          <cell r="BQ448">
            <v>5</v>
          </cell>
        </row>
        <row r="449">
          <cell r="BP449" t="str">
            <v>SALINAS</v>
          </cell>
          <cell r="BQ449">
            <v>0</v>
          </cell>
        </row>
        <row r="450">
          <cell r="BP450" t="str">
            <v>SALT LAKE CITY</v>
          </cell>
          <cell r="BQ450">
            <v>0</v>
          </cell>
        </row>
        <row r="451">
          <cell r="BP451" t="str">
            <v>SALT LAKE CITY NORTH</v>
          </cell>
          <cell r="BQ451">
            <v>0</v>
          </cell>
        </row>
        <row r="452">
          <cell r="BP452" t="str">
            <v>SALT LAKE CITY SOUTH</v>
          </cell>
          <cell r="BQ452">
            <v>0</v>
          </cell>
        </row>
        <row r="453">
          <cell r="BP453" t="str">
            <v>SAN ANTONIO AIRPORT</v>
          </cell>
          <cell r="BQ453">
            <v>0</v>
          </cell>
        </row>
        <row r="454">
          <cell r="BP454" t="str">
            <v>SAN ANTONIO CBD</v>
          </cell>
          <cell r="BQ454">
            <v>0</v>
          </cell>
        </row>
        <row r="455">
          <cell r="BP455" t="str">
            <v>SAN ANTONIO EAST</v>
          </cell>
          <cell r="BQ455">
            <v>0</v>
          </cell>
        </row>
        <row r="456">
          <cell r="BP456" t="str">
            <v>SAN ANTONIO NORTHEAST</v>
          </cell>
          <cell r="BQ456">
            <v>0</v>
          </cell>
        </row>
        <row r="457">
          <cell r="BP457" t="str">
            <v>SAN ANTONIO NORTHWEST</v>
          </cell>
          <cell r="BQ457">
            <v>0</v>
          </cell>
        </row>
        <row r="458">
          <cell r="BP458" t="str">
            <v>SAN BERNARDINO</v>
          </cell>
          <cell r="BQ458">
            <v>0</v>
          </cell>
        </row>
        <row r="459">
          <cell r="BP459" t="str">
            <v>SAN BERNARDINO AREA</v>
          </cell>
          <cell r="BQ459">
            <v>0</v>
          </cell>
        </row>
        <row r="460">
          <cell r="BP460" t="str">
            <v>SAN DIEGO CBD</v>
          </cell>
          <cell r="BQ460">
            <v>1</v>
          </cell>
        </row>
        <row r="461">
          <cell r="BP461" t="str">
            <v>SAN DIEGO NORTH</v>
          </cell>
          <cell r="BQ461">
            <v>2</v>
          </cell>
        </row>
        <row r="462">
          <cell r="BP462" t="str">
            <v>SAN DIEGO SOUTH</v>
          </cell>
          <cell r="BQ462">
            <v>3</v>
          </cell>
        </row>
        <row r="463">
          <cell r="BP463" t="str">
            <v>SAN FRANCISCO AIRPORT</v>
          </cell>
          <cell r="BQ463">
            <v>3</v>
          </cell>
        </row>
        <row r="464">
          <cell r="BP464" t="str">
            <v>SAN FRANCISCO AREA</v>
          </cell>
          <cell r="BQ464">
            <v>4</v>
          </cell>
        </row>
        <row r="465">
          <cell r="BP465" t="str">
            <v>SAN FRANCISCO-MARKET ST</v>
          </cell>
          <cell r="BQ465">
            <v>1</v>
          </cell>
        </row>
        <row r="466">
          <cell r="BP466" t="str">
            <v>SAN JOSE AIRPORT</v>
          </cell>
          <cell r="BQ466">
            <v>0</v>
          </cell>
        </row>
        <row r="467">
          <cell r="BP467" t="str">
            <v>SAN JOSE, CA AREA</v>
          </cell>
          <cell r="BQ467">
            <v>0</v>
          </cell>
        </row>
        <row r="468">
          <cell r="BP468" t="str">
            <v>SAN JOSE/CAMPBELL</v>
          </cell>
          <cell r="BQ468">
            <v>0</v>
          </cell>
        </row>
        <row r="469">
          <cell r="BP469" t="str">
            <v>SAN LUIS OBISPO NORTH</v>
          </cell>
          <cell r="BQ469">
            <v>0</v>
          </cell>
        </row>
        <row r="470">
          <cell r="BP470" t="str">
            <v>SAN LUIS OBISPO SOUTH</v>
          </cell>
          <cell r="BQ470">
            <v>0</v>
          </cell>
        </row>
        <row r="471">
          <cell r="BP471" t="str">
            <v>SANDUSKY, OH</v>
          </cell>
          <cell r="BQ471">
            <v>0</v>
          </cell>
        </row>
        <row r="472">
          <cell r="BP472" t="str">
            <v>SANTA BARBARA</v>
          </cell>
          <cell r="BQ472">
            <v>0</v>
          </cell>
        </row>
        <row r="473">
          <cell r="BP473" t="str">
            <v>SANTA FE, NM</v>
          </cell>
          <cell r="BQ473">
            <v>0</v>
          </cell>
        </row>
        <row r="474">
          <cell r="BP474" t="str">
            <v>SANTA ROSA-PETALUMA, CA</v>
          </cell>
          <cell r="BQ474">
            <v>0</v>
          </cell>
        </row>
        <row r="475">
          <cell r="BP475" t="str">
            <v>SARASOTA, FL</v>
          </cell>
          <cell r="BQ475">
            <v>1</v>
          </cell>
        </row>
        <row r="476">
          <cell r="BP476" t="str">
            <v>SAVANNAH</v>
          </cell>
          <cell r="BQ476">
            <v>0</v>
          </cell>
        </row>
        <row r="477">
          <cell r="BP477" t="str">
            <v>SCHENECTADY NY</v>
          </cell>
          <cell r="BQ477">
            <v>0</v>
          </cell>
        </row>
        <row r="478">
          <cell r="BP478" t="str">
            <v>SCHENECTADY, NY</v>
          </cell>
          <cell r="BQ478">
            <v>0</v>
          </cell>
        </row>
        <row r="479">
          <cell r="BP479" t="str">
            <v>SCOTTSDALE</v>
          </cell>
          <cell r="BQ479">
            <v>4</v>
          </cell>
        </row>
        <row r="480">
          <cell r="BP480" t="str">
            <v>SCRANTON/WILKES-BARRE/POCONOS</v>
          </cell>
          <cell r="BQ480">
            <v>0</v>
          </cell>
        </row>
        <row r="481">
          <cell r="BP481" t="str">
            <v>SEATTLE AIRPORT</v>
          </cell>
          <cell r="BQ481">
            <v>2</v>
          </cell>
        </row>
        <row r="482">
          <cell r="BP482" t="str">
            <v>SEATTLE CBD</v>
          </cell>
          <cell r="BQ482">
            <v>1</v>
          </cell>
        </row>
        <row r="483">
          <cell r="BP483" t="str">
            <v>SEATTLE NORTH</v>
          </cell>
          <cell r="BQ483">
            <v>3</v>
          </cell>
        </row>
        <row r="484">
          <cell r="BP484" t="str">
            <v>SEATTLE SOUTH &amp; EAST</v>
          </cell>
          <cell r="BQ484">
            <v>4</v>
          </cell>
        </row>
        <row r="485">
          <cell r="BP485" t="str">
            <v>SHREVEPORT, LA</v>
          </cell>
          <cell r="BQ485">
            <v>0</v>
          </cell>
        </row>
        <row r="486">
          <cell r="BP486" t="str">
            <v>SIOUX FALLS, SD</v>
          </cell>
          <cell r="BQ486">
            <v>0</v>
          </cell>
        </row>
        <row r="487">
          <cell r="BP487" t="str">
            <v>SMITHVILLE-SPRING LAKE</v>
          </cell>
          <cell r="BQ487">
            <v>0</v>
          </cell>
        </row>
        <row r="488">
          <cell r="BP488" t="str">
            <v>SOMERSET-HUNTERDON</v>
          </cell>
          <cell r="BQ488">
            <v>0</v>
          </cell>
        </row>
        <row r="489">
          <cell r="BP489" t="str">
            <v>SOUTH BEACH AREA</v>
          </cell>
          <cell r="BQ489">
            <v>0</v>
          </cell>
        </row>
        <row r="490">
          <cell r="BP490" t="str">
            <v>SOUTH CAROLINA SMALL TOWN</v>
          </cell>
          <cell r="BQ490">
            <v>0</v>
          </cell>
        </row>
        <row r="491">
          <cell r="BP491" t="str">
            <v>SOUTH DAKOTA AREA</v>
          </cell>
          <cell r="BQ491">
            <v>0</v>
          </cell>
        </row>
        <row r="492">
          <cell r="BP492" t="str">
            <v>SOUTH JERSEY</v>
          </cell>
          <cell r="BQ492">
            <v>6</v>
          </cell>
        </row>
        <row r="493">
          <cell r="BP493" t="str">
            <v>SOUTH LAKE TAHOE</v>
          </cell>
          <cell r="BQ493">
            <v>0</v>
          </cell>
        </row>
        <row r="494">
          <cell r="BP494" t="str">
            <v>SPARTANBURG</v>
          </cell>
          <cell r="BQ494">
            <v>0</v>
          </cell>
        </row>
        <row r="495">
          <cell r="BP495" t="str">
            <v>SPOKANE, WA</v>
          </cell>
          <cell r="BQ495">
            <v>0</v>
          </cell>
        </row>
        <row r="496">
          <cell r="BP496" t="str">
            <v>SPRINGFIELD, IL</v>
          </cell>
          <cell r="BQ496">
            <v>0</v>
          </cell>
        </row>
        <row r="497">
          <cell r="BP497" t="str">
            <v>SPRINGFIELD, MA</v>
          </cell>
          <cell r="BQ497">
            <v>2</v>
          </cell>
        </row>
        <row r="498">
          <cell r="BP498" t="str">
            <v>SPRINGFIELD, MO</v>
          </cell>
          <cell r="BQ498">
            <v>0</v>
          </cell>
        </row>
        <row r="499">
          <cell r="BP499" t="str">
            <v>SPRINGFIELD, OH</v>
          </cell>
          <cell r="BQ499">
            <v>0</v>
          </cell>
        </row>
        <row r="500">
          <cell r="BP500" t="str">
            <v>STOCKTON AREA</v>
          </cell>
          <cell r="BQ500">
            <v>0</v>
          </cell>
        </row>
        <row r="501">
          <cell r="BP501" t="str">
            <v>SUBURBAN MARYLAND SOUTH</v>
          </cell>
          <cell r="BQ501">
            <v>7</v>
          </cell>
        </row>
        <row r="502">
          <cell r="BP502" t="str">
            <v>SUBURBAN VIRGINIA AREA</v>
          </cell>
          <cell r="BQ502">
            <v>8</v>
          </cell>
        </row>
        <row r="503">
          <cell r="BP503" t="str">
            <v>SUFFOLK</v>
          </cell>
          <cell r="BQ503">
            <v>2</v>
          </cell>
        </row>
        <row r="504">
          <cell r="BP504" t="str">
            <v>SYRACUSE</v>
          </cell>
          <cell r="BQ504">
            <v>0</v>
          </cell>
        </row>
        <row r="505">
          <cell r="BP505" t="str">
            <v>SYRACUSE AREA</v>
          </cell>
          <cell r="BQ505">
            <v>0</v>
          </cell>
        </row>
        <row r="506">
          <cell r="BP506" t="str">
            <v>TACOMA WA</v>
          </cell>
          <cell r="BQ506">
            <v>0</v>
          </cell>
        </row>
        <row r="507">
          <cell r="BP507" t="str">
            <v>TALLAHASSEE, FL</v>
          </cell>
          <cell r="BQ507">
            <v>6</v>
          </cell>
        </row>
        <row r="508">
          <cell r="BP508" t="str">
            <v>TAMPA DOWNTOWN-AIRPORT</v>
          </cell>
          <cell r="BQ508">
            <v>1</v>
          </cell>
        </row>
        <row r="509">
          <cell r="BP509" t="str">
            <v>TAMPA EAST</v>
          </cell>
          <cell r="BQ509">
            <v>2</v>
          </cell>
        </row>
        <row r="510">
          <cell r="BP510" t="str">
            <v>TAMPA NORTH-BUSCH GARDENS</v>
          </cell>
          <cell r="BQ510">
            <v>3</v>
          </cell>
        </row>
        <row r="511">
          <cell r="BP511" t="str">
            <v>TARPON SPRINGS/NEW PORT RICHEY</v>
          </cell>
          <cell r="BQ511">
            <v>6</v>
          </cell>
        </row>
        <row r="512">
          <cell r="BP512" t="str">
            <v>TEMPE</v>
          </cell>
          <cell r="BQ512">
            <v>6</v>
          </cell>
        </row>
        <row r="513">
          <cell r="BP513" t="str">
            <v>TENNESSEE CENTRAL AREA</v>
          </cell>
          <cell r="BQ513">
            <v>0</v>
          </cell>
        </row>
        <row r="514">
          <cell r="BP514" t="str">
            <v>TENNESSEE EAST AREA</v>
          </cell>
          <cell r="BQ514">
            <v>0</v>
          </cell>
        </row>
        <row r="515">
          <cell r="BP515" t="str">
            <v>TENNESSEE WEST AREA</v>
          </cell>
          <cell r="BQ515">
            <v>0</v>
          </cell>
        </row>
        <row r="516">
          <cell r="BP516" t="str">
            <v>TERRU HAUTE, IN</v>
          </cell>
          <cell r="BQ516">
            <v>0</v>
          </cell>
        </row>
        <row r="517">
          <cell r="BP517" t="str">
            <v>TEXAS EAST AREA</v>
          </cell>
          <cell r="BQ517">
            <v>0</v>
          </cell>
        </row>
        <row r="518">
          <cell r="BP518" t="str">
            <v>TEXAS NORTH AREA</v>
          </cell>
          <cell r="BQ518">
            <v>0</v>
          </cell>
        </row>
        <row r="519">
          <cell r="BP519" t="str">
            <v>TEXAS SOUTH AREA</v>
          </cell>
          <cell r="BQ519">
            <v>0</v>
          </cell>
        </row>
        <row r="520">
          <cell r="BP520" t="str">
            <v>TEXAS WEST AREA</v>
          </cell>
          <cell r="BQ520">
            <v>0</v>
          </cell>
        </row>
        <row r="521">
          <cell r="BP521" t="str">
            <v>TITUSVILLE-SATELLITE BEACH</v>
          </cell>
          <cell r="BQ521">
            <v>0</v>
          </cell>
        </row>
        <row r="522">
          <cell r="BP522" t="str">
            <v>TOLEDO, OH</v>
          </cell>
          <cell r="BQ522">
            <v>0</v>
          </cell>
        </row>
        <row r="523">
          <cell r="BP523" t="str">
            <v>TOPEKA, KS</v>
          </cell>
          <cell r="BQ523">
            <v>0</v>
          </cell>
        </row>
        <row r="524">
          <cell r="BP524" t="str">
            <v>TRENTON</v>
          </cell>
          <cell r="BQ524">
            <v>0</v>
          </cell>
        </row>
        <row r="525">
          <cell r="BP525" t="str">
            <v>TUCSON</v>
          </cell>
          <cell r="BQ525">
            <v>0</v>
          </cell>
        </row>
        <row r="526">
          <cell r="BP526" t="str">
            <v>TUCSON NORTH/WEST</v>
          </cell>
          <cell r="BQ526">
            <v>0</v>
          </cell>
        </row>
        <row r="527">
          <cell r="BP527" t="str">
            <v>TUCSON SOUTH/AIRPORT</v>
          </cell>
          <cell r="BQ527">
            <v>0</v>
          </cell>
        </row>
        <row r="528">
          <cell r="BP528" t="str">
            <v>TULSA &amp; SOUTHWEST</v>
          </cell>
          <cell r="BQ528">
            <v>0</v>
          </cell>
        </row>
        <row r="529">
          <cell r="BP529" t="str">
            <v>TULSA AIRPORT-NORTH</v>
          </cell>
          <cell r="BQ529">
            <v>0</v>
          </cell>
        </row>
        <row r="530">
          <cell r="BP530" t="str">
            <v>TYLER, TX</v>
          </cell>
          <cell r="BQ530">
            <v>0</v>
          </cell>
        </row>
        <row r="531">
          <cell r="BP531" t="str">
            <v>UNION COUNTY</v>
          </cell>
          <cell r="BQ531">
            <v>0</v>
          </cell>
        </row>
        <row r="532">
          <cell r="BP532" t="str">
            <v>UPPER PENINSULA</v>
          </cell>
          <cell r="BQ532">
            <v>0</v>
          </cell>
        </row>
        <row r="533">
          <cell r="BP533" t="str">
            <v>UTAH EAST AREA</v>
          </cell>
          <cell r="BQ533">
            <v>0</v>
          </cell>
        </row>
        <row r="534">
          <cell r="BP534" t="str">
            <v>VALLEJO-FAIRFIELD-NAPA, CA</v>
          </cell>
          <cell r="BQ534">
            <v>0</v>
          </cell>
        </row>
        <row r="535">
          <cell r="BP535" t="str">
            <v>VENTURA, CA</v>
          </cell>
          <cell r="BQ535">
            <v>2</v>
          </cell>
        </row>
        <row r="536">
          <cell r="BP536" t="str">
            <v>VERMONT NORTH</v>
          </cell>
          <cell r="BQ536">
            <v>0</v>
          </cell>
        </row>
        <row r="537">
          <cell r="BP537" t="str">
            <v>VERMONT SOUTH</v>
          </cell>
          <cell r="BQ537">
            <v>0</v>
          </cell>
        </row>
        <row r="538">
          <cell r="BP538" t="str">
            <v>VIRGINIA BEACH CITY</v>
          </cell>
          <cell r="BQ538">
            <v>4</v>
          </cell>
        </row>
        <row r="539">
          <cell r="BP539" t="str">
            <v>VIRGINIA NORTH</v>
          </cell>
          <cell r="BQ539">
            <v>0</v>
          </cell>
        </row>
        <row r="540">
          <cell r="BP540" t="str">
            <v>VIRGINIA SOUTH</v>
          </cell>
          <cell r="BQ540">
            <v>0</v>
          </cell>
        </row>
        <row r="541">
          <cell r="BP541" t="str">
            <v>WAIKIKI</v>
          </cell>
          <cell r="BQ541">
            <v>2</v>
          </cell>
        </row>
        <row r="542">
          <cell r="BP542" t="str">
            <v>WARNER ROBINS, GA</v>
          </cell>
          <cell r="BQ542">
            <v>0</v>
          </cell>
        </row>
        <row r="543">
          <cell r="BP543" t="str">
            <v>WARREN COUNTY</v>
          </cell>
          <cell r="BQ543">
            <v>0</v>
          </cell>
        </row>
        <row r="544">
          <cell r="BP544" t="str">
            <v>WASHINGTON EAST AREA</v>
          </cell>
          <cell r="BQ544">
            <v>0</v>
          </cell>
        </row>
        <row r="545">
          <cell r="BP545" t="str">
            <v>WASHINGTON WEST AREA</v>
          </cell>
          <cell r="BQ545">
            <v>0</v>
          </cell>
        </row>
        <row r="546">
          <cell r="BP546" t="str">
            <v>WASHINGTON, DC-CBD</v>
          </cell>
          <cell r="BQ546">
            <v>1</v>
          </cell>
        </row>
        <row r="547">
          <cell r="BP547" t="str">
            <v>WEST IOWA AREA</v>
          </cell>
          <cell r="BQ547">
            <v>0</v>
          </cell>
        </row>
        <row r="548">
          <cell r="BP548" t="str">
            <v>WEST MEMPHIS</v>
          </cell>
          <cell r="BQ548">
            <v>4</v>
          </cell>
        </row>
        <row r="549">
          <cell r="BP549" t="str">
            <v>WEST PALM BEACH</v>
          </cell>
          <cell r="BQ549">
            <v>0</v>
          </cell>
        </row>
        <row r="550">
          <cell r="BP550" t="str">
            <v>WEST VIRGINIA NORTH</v>
          </cell>
          <cell r="BQ550">
            <v>0</v>
          </cell>
        </row>
        <row r="551">
          <cell r="BP551" t="str">
            <v>WEST VIRGINIA SOUTH</v>
          </cell>
          <cell r="BQ551">
            <v>0</v>
          </cell>
        </row>
        <row r="552">
          <cell r="BP552" t="str">
            <v>WESTCHESTER-ROCKLAND</v>
          </cell>
          <cell r="BQ552">
            <v>4</v>
          </cell>
        </row>
        <row r="553">
          <cell r="BP553" t="str">
            <v>WICHITA FALLS</v>
          </cell>
          <cell r="BQ553">
            <v>0</v>
          </cell>
        </row>
        <row r="554">
          <cell r="BP554" t="str">
            <v>WICHITA, KS</v>
          </cell>
          <cell r="BQ554">
            <v>0</v>
          </cell>
        </row>
        <row r="555">
          <cell r="BP555" t="str">
            <v>WILLIAMSBURG</v>
          </cell>
          <cell r="BQ555">
            <v>5</v>
          </cell>
        </row>
        <row r="556">
          <cell r="BP556" t="str">
            <v>WILMINGTON, DE-NJ-MD</v>
          </cell>
          <cell r="BQ556">
            <v>0</v>
          </cell>
        </row>
        <row r="557">
          <cell r="BP557" t="str">
            <v>WILMINGTON, NC</v>
          </cell>
          <cell r="BQ557">
            <v>0</v>
          </cell>
        </row>
        <row r="558">
          <cell r="BP558" t="str">
            <v>WINSTON SALEM</v>
          </cell>
          <cell r="BQ558">
            <v>0</v>
          </cell>
        </row>
        <row r="559">
          <cell r="BP559" t="str">
            <v>WISCONSIN NORTH AREA</v>
          </cell>
          <cell r="BQ559">
            <v>0</v>
          </cell>
        </row>
        <row r="560">
          <cell r="BP560" t="str">
            <v>WISCONSIN SOUTH AREA</v>
          </cell>
          <cell r="BQ560">
            <v>0</v>
          </cell>
        </row>
        <row r="561">
          <cell r="BP561" t="str">
            <v>WORCESTER, MA</v>
          </cell>
          <cell r="BQ561">
            <v>1</v>
          </cell>
        </row>
        <row r="562">
          <cell r="BP562" t="str">
            <v>WYOMING AREA</v>
          </cell>
          <cell r="BQ562">
            <v>0</v>
          </cell>
        </row>
        <row r="563">
          <cell r="BP563" t="str">
            <v>YORK, PA</v>
          </cell>
          <cell r="BQ563">
            <v>0</v>
          </cell>
        </row>
        <row r="564">
          <cell r="BP564" t="str">
            <v>YOUNGSTOWN-WARREN, OH</v>
          </cell>
          <cell r="BQ564">
            <v>0</v>
          </cell>
        </row>
      </sheetData>
      <sheetData sheetId="1" refreshError="1"/>
      <sheetData sheetId="2" refreshError="1"/>
      <sheetData sheetId="3"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
      <sheetName val="1997"/>
      <sheetName val="1998"/>
      <sheetName val="99-01"/>
      <sheetName val="Summary"/>
      <sheetName val="Incent Comp Dtl"/>
      <sheetName val="Comps - Monthly"/>
      <sheetName val="Data Pa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Lookups"/>
      <sheetName val="Q2 99 Projects"/>
      <sheetName val="Pivots Q2"/>
      <sheetName val="Old BT Pivots"/>
      <sheetName val="BT Brand p6"/>
      <sheetName val="BT Pg 2"/>
      <sheetName val="BT Pg 3"/>
      <sheetName val="BT Pg 4"/>
      <sheetName val="BT Pg 5"/>
      <sheetName val="BT MSAs p9"/>
      <sheetName val="BT States p18"/>
    </sheetNames>
    <sheetDataSet>
      <sheetData sheetId="0" refreshError="1"/>
      <sheetData sheetId="1" refreshError="1">
        <row r="41">
          <cell r="B41" t="str">
            <v>Hearthside Inn</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ces"/>
      <sheetName val="Sheet1"/>
      <sheetName val="ProForma"/>
      <sheetName val="profit"/>
    </sheetNames>
    <sheetDataSet>
      <sheetData sheetId="0" refreshError="1">
        <row r="5">
          <cell r="B5">
            <v>425.95</v>
          </cell>
        </row>
        <row r="6">
          <cell r="F6">
            <v>49.26</v>
          </cell>
          <cell r="G6">
            <v>53.78</v>
          </cell>
        </row>
        <row r="7">
          <cell r="B7">
            <v>1393.56</v>
          </cell>
          <cell r="F7">
            <v>17.77</v>
          </cell>
          <cell r="G7">
            <v>23.65</v>
          </cell>
        </row>
        <row r="9">
          <cell r="B9">
            <v>458.11</v>
          </cell>
        </row>
        <row r="12">
          <cell r="B12">
            <v>21</v>
          </cell>
        </row>
        <row r="13">
          <cell r="B13">
            <v>17.9375</v>
          </cell>
        </row>
        <row r="14">
          <cell r="B14">
            <v>47</v>
          </cell>
        </row>
        <row r="15">
          <cell r="B15">
            <v>15.0625</v>
          </cell>
        </row>
        <row r="16">
          <cell r="B16">
            <v>10.375</v>
          </cell>
        </row>
        <row r="17">
          <cell r="B17">
            <v>44.625</v>
          </cell>
        </row>
        <row r="24">
          <cell r="B24">
            <v>17.8125</v>
          </cell>
        </row>
      </sheetData>
      <sheetData sheetId="1" refreshError="1"/>
      <sheetData sheetId="2" refreshError="1"/>
      <sheetData sheetId="3"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AssumIS"/>
      <sheetName val="Rev Model"/>
      <sheetName val="Quarterly"/>
      <sheetName val="Quarterly (Calendar)"/>
      <sheetName val="Financial Forecast"/>
      <sheetName val="Annual"/>
      <sheetName val="JPM BS"/>
      <sheetName val="JPM CF"/>
      <sheetName val="2.DebtSch"/>
      <sheetName val="Input"/>
      <sheetName val="ISBS"/>
      <sheetName val="CFNWI"/>
      <sheetName val="IncStatement"/>
      <sheetName val="BalanceSheet"/>
      <sheetName val="NWI"/>
      <sheetName val="CashFlow"/>
      <sheetName val="OperatingRatios"/>
      <sheetName val="CreditRatios"/>
      <sheetName val="SumSheet"/>
      <sheetName val="SingaporeCRStats"/>
      <sheetName val="TokyoOfficeRatios"/>
      <sheetName val="TokyoBondRating"/>
      <sheetName val="IncStat(PctofSales)"/>
      <sheetName val="BalanceSheet(Pct)"/>
      <sheetName val="ValuationInput"/>
      <sheetName val="Valuation"/>
      <sheetName val="ValuationSummary"/>
      <sheetName val="Stora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ow r="3">
          <cell r="BR3" t="str">
            <v>On average balance</v>
          </cell>
        </row>
        <row r="4">
          <cell r="BR4" t="str">
            <v>On starting balance</v>
          </cell>
        </row>
        <row r="5">
          <cell r="BR5" t="str">
            <v>0 if no deal date set</v>
          </cell>
        </row>
        <row r="7">
          <cell r="BR7" t="str">
            <v>Senior</v>
          </cell>
        </row>
        <row r="8">
          <cell r="BR8" t="str">
            <v>Subordinated</v>
          </cell>
        </row>
        <row r="10">
          <cell r="BR10" t="str">
            <v>Short-term</v>
          </cell>
        </row>
        <row r="11">
          <cell r="BR11" t="str">
            <v>Long-term</v>
          </cell>
        </row>
      </sheetData>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_CIQHiddenCacheSheet"/>
      <sheetName val="SMOOTHPE"/>
    </sheetNames>
    <sheetDataSet>
      <sheetData sheetId="0" refreshError="1"/>
      <sheetData sheetId="1"/>
      <sheetData sheetId="2">
        <row r="4">
          <cell r="A4">
            <v>36168</v>
          </cell>
        </row>
        <row r="5">
          <cell r="A5">
            <v>36175</v>
          </cell>
        </row>
        <row r="6">
          <cell r="A6">
            <v>36182</v>
          </cell>
        </row>
        <row r="7">
          <cell r="A7">
            <v>36189</v>
          </cell>
        </row>
        <row r="8">
          <cell r="A8">
            <v>36196</v>
          </cell>
        </row>
        <row r="9">
          <cell r="A9">
            <v>36203</v>
          </cell>
        </row>
        <row r="10">
          <cell r="A10">
            <v>36210</v>
          </cell>
        </row>
        <row r="11">
          <cell r="A11">
            <v>36217</v>
          </cell>
        </row>
        <row r="12">
          <cell r="A12">
            <v>36224</v>
          </cell>
        </row>
        <row r="13">
          <cell r="A13">
            <v>36231</v>
          </cell>
        </row>
        <row r="14">
          <cell r="A14">
            <v>36238</v>
          </cell>
        </row>
        <row r="15">
          <cell r="A15">
            <v>36245</v>
          </cell>
        </row>
        <row r="16">
          <cell r="A16">
            <v>36251</v>
          </cell>
        </row>
        <row r="17">
          <cell r="A17">
            <v>36259</v>
          </cell>
        </row>
        <row r="18">
          <cell r="A18">
            <v>36266</v>
          </cell>
        </row>
        <row r="19">
          <cell r="A19">
            <v>36273</v>
          </cell>
        </row>
        <row r="20">
          <cell r="A20">
            <v>36280</v>
          </cell>
        </row>
        <row r="21">
          <cell r="A21">
            <v>36287</v>
          </cell>
        </row>
        <row r="22">
          <cell r="A22">
            <v>36294</v>
          </cell>
        </row>
        <row r="23">
          <cell r="A23">
            <v>36301</v>
          </cell>
        </row>
        <row r="24">
          <cell r="A24">
            <v>36308</v>
          </cell>
        </row>
        <row r="25">
          <cell r="A25">
            <v>36315</v>
          </cell>
        </row>
        <row r="26">
          <cell r="A26">
            <v>36322</v>
          </cell>
        </row>
        <row r="27">
          <cell r="A27">
            <v>36329</v>
          </cell>
        </row>
        <row r="28">
          <cell r="A28">
            <v>36336</v>
          </cell>
        </row>
        <row r="29">
          <cell r="A29">
            <v>36343</v>
          </cell>
        </row>
        <row r="30">
          <cell r="A30">
            <v>36350</v>
          </cell>
        </row>
        <row r="31">
          <cell r="A31">
            <v>36357</v>
          </cell>
        </row>
        <row r="32">
          <cell r="A32">
            <v>36364</v>
          </cell>
        </row>
        <row r="33">
          <cell r="A33">
            <v>36371</v>
          </cell>
        </row>
        <row r="34">
          <cell r="A34">
            <v>36378</v>
          </cell>
        </row>
        <row r="35">
          <cell r="A35">
            <v>36385</v>
          </cell>
        </row>
        <row r="36">
          <cell r="A36">
            <v>36392</v>
          </cell>
        </row>
        <row r="37">
          <cell r="A37">
            <v>36399</v>
          </cell>
        </row>
        <row r="38">
          <cell r="A38">
            <v>36406</v>
          </cell>
        </row>
        <row r="39">
          <cell r="A39">
            <v>36413</v>
          </cell>
        </row>
        <row r="40">
          <cell r="A40">
            <v>36420</v>
          </cell>
        </row>
        <row r="41">
          <cell r="A41">
            <v>36427</v>
          </cell>
        </row>
        <row r="42">
          <cell r="A42">
            <v>36434</v>
          </cell>
        </row>
        <row r="43">
          <cell r="A43">
            <v>36441</v>
          </cell>
        </row>
        <row r="44">
          <cell r="A44">
            <v>36448</v>
          </cell>
        </row>
        <row r="45">
          <cell r="A45">
            <v>36455</v>
          </cell>
        </row>
        <row r="46">
          <cell r="A46">
            <v>36462</v>
          </cell>
        </row>
        <row r="47">
          <cell r="A47">
            <v>36469</v>
          </cell>
        </row>
        <row r="48">
          <cell r="A48">
            <v>36476</v>
          </cell>
        </row>
        <row r="49">
          <cell r="A49">
            <v>36483</v>
          </cell>
        </row>
        <row r="50">
          <cell r="A50">
            <v>36490</v>
          </cell>
        </row>
        <row r="51">
          <cell r="A51">
            <v>36497</v>
          </cell>
        </row>
        <row r="52">
          <cell r="A52">
            <v>36504</v>
          </cell>
        </row>
        <row r="53">
          <cell r="A53">
            <v>36511</v>
          </cell>
        </row>
        <row r="54">
          <cell r="A54">
            <v>36517</v>
          </cell>
        </row>
        <row r="55">
          <cell r="A55">
            <v>36525</v>
          </cell>
        </row>
        <row r="56">
          <cell r="A56">
            <v>36532</v>
          </cell>
        </row>
        <row r="57">
          <cell r="A57">
            <v>36539</v>
          </cell>
        </row>
        <row r="58">
          <cell r="A58">
            <v>36546</v>
          </cell>
        </row>
        <row r="59">
          <cell r="A59">
            <v>36553</v>
          </cell>
        </row>
        <row r="60">
          <cell r="A60">
            <v>36560</v>
          </cell>
        </row>
        <row r="61">
          <cell r="A61">
            <v>36567</v>
          </cell>
        </row>
        <row r="62">
          <cell r="A62">
            <v>36574</v>
          </cell>
        </row>
        <row r="63">
          <cell r="A63">
            <v>36581</v>
          </cell>
        </row>
        <row r="64">
          <cell r="A64">
            <v>36588</v>
          </cell>
        </row>
        <row r="65">
          <cell r="A65">
            <v>36595</v>
          </cell>
        </row>
        <row r="66">
          <cell r="A66">
            <v>36602</v>
          </cell>
        </row>
        <row r="67">
          <cell r="A67">
            <v>36609</v>
          </cell>
        </row>
        <row r="68">
          <cell r="A68">
            <v>36616</v>
          </cell>
        </row>
        <row r="69">
          <cell r="A69">
            <v>36623</v>
          </cell>
        </row>
        <row r="70">
          <cell r="A70">
            <v>36630</v>
          </cell>
        </row>
        <row r="71">
          <cell r="A71">
            <v>36636</v>
          </cell>
        </row>
        <row r="72">
          <cell r="A72">
            <v>36644</v>
          </cell>
        </row>
        <row r="73">
          <cell r="A73">
            <v>36651</v>
          </cell>
        </row>
        <row r="74">
          <cell r="A74">
            <v>36658</v>
          </cell>
        </row>
        <row r="75">
          <cell r="A75">
            <v>36665</v>
          </cell>
        </row>
        <row r="76">
          <cell r="A76">
            <v>36672</v>
          </cell>
        </row>
        <row r="77">
          <cell r="A77">
            <v>36679</v>
          </cell>
        </row>
        <row r="78">
          <cell r="A78">
            <v>36686</v>
          </cell>
        </row>
        <row r="79">
          <cell r="A79">
            <v>36693</v>
          </cell>
        </row>
        <row r="80">
          <cell r="A80">
            <v>36700</v>
          </cell>
        </row>
        <row r="81">
          <cell r="A81">
            <v>36707</v>
          </cell>
        </row>
        <row r="82">
          <cell r="A82">
            <v>36714</v>
          </cell>
        </row>
        <row r="83">
          <cell r="A83">
            <v>36721</v>
          </cell>
        </row>
        <row r="84">
          <cell r="A84">
            <v>36728</v>
          </cell>
        </row>
        <row r="85">
          <cell r="A85">
            <v>36735</v>
          </cell>
        </row>
        <row r="86">
          <cell r="A86">
            <v>36742</v>
          </cell>
        </row>
        <row r="87">
          <cell r="A87">
            <v>36749</v>
          </cell>
        </row>
        <row r="88">
          <cell r="A88">
            <v>36756</v>
          </cell>
        </row>
        <row r="89">
          <cell r="A89">
            <v>36763</v>
          </cell>
        </row>
        <row r="90">
          <cell r="A90">
            <v>36770</v>
          </cell>
        </row>
        <row r="91">
          <cell r="A91">
            <v>36777</v>
          </cell>
        </row>
        <row r="92">
          <cell r="A92">
            <v>36784</v>
          </cell>
        </row>
        <row r="93">
          <cell r="A93">
            <v>36791</v>
          </cell>
        </row>
        <row r="94">
          <cell r="A94">
            <v>36798</v>
          </cell>
        </row>
        <row r="95">
          <cell r="A95">
            <v>36805</v>
          </cell>
        </row>
        <row r="96">
          <cell r="A96">
            <v>36812</v>
          </cell>
        </row>
        <row r="97">
          <cell r="A97">
            <v>36819</v>
          </cell>
        </row>
        <row r="98">
          <cell r="A98">
            <v>36826</v>
          </cell>
        </row>
        <row r="99">
          <cell r="A99">
            <v>36833</v>
          </cell>
        </row>
        <row r="100">
          <cell r="A100">
            <v>36840</v>
          </cell>
        </row>
        <row r="101">
          <cell r="A101">
            <v>36847</v>
          </cell>
        </row>
        <row r="102">
          <cell r="A102">
            <v>36854</v>
          </cell>
        </row>
        <row r="103">
          <cell r="A103">
            <v>36861</v>
          </cell>
        </row>
        <row r="104">
          <cell r="A104">
            <v>36868</v>
          </cell>
        </row>
        <row r="105">
          <cell r="A105">
            <v>36875</v>
          </cell>
        </row>
        <row r="106">
          <cell r="A106">
            <v>36882</v>
          </cell>
        </row>
        <row r="107">
          <cell r="A107">
            <v>36889</v>
          </cell>
        </row>
        <row r="108">
          <cell r="A108">
            <v>36896</v>
          </cell>
        </row>
        <row r="109">
          <cell r="A109">
            <v>36903</v>
          </cell>
        </row>
        <row r="110">
          <cell r="A110">
            <v>36910</v>
          </cell>
        </row>
        <row r="111">
          <cell r="A111">
            <v>36917</v>
          </cell>
        </row>
        <row r="112">
          <cell r="A112">
            <v>36924</v>
          </cell>
        </row>
        <row r="113">
          <cell r="A113">
            <v>36931</v>
          </cell>
        </row>
        <row r="114">
          <cell r="A114">
            <v>36938</v>
          </cell>
        </row>
        <row r="115">
          <cell r="A115">
            <v>36945</v>
          </cell>
        </row>
        <row r="116">
          <cell r="A116">
            <v>36952</v>
          </cell>
        </row>
        <row r="117">
          <cell r="A117">
            <v>36959</v>
          </cell>
        </row>
        <row r="118">
          <cell r="A118">
            <v>36966</v>
          </cell>
        </row>
        <row r="119">
          <cell r="A119">
            <v>36973</v>
          </cell>
        </row>
        <row r="120">
          <cell r="A120">
            <v>36980</v>
          </cell>
        </row>
        <row r="121">
          <cell r="A121">
            <v>36987</v>
          </cell>
        </row>
        <row r="122">
          <cell r="A122">
            <v>36993</v>
          </cell>
        </row>
        <row r="123">
          <cell r="A123">
            <v>37001</v>
          </cell>
        </row>
        <row r="124">
          <cell r="A124">
            <v>37008</v>
          </cell>
        </row>
        <row r="125">
          <cell r="A125">
            <v>37015</v>
          </cell>
        </row>
        <row r="126">
          <cell r="A126">
            <v>37022</v>
          </cell>
        </row>
        <row r="127">
          <cell r="A127">
            <v>37029</v>
          </cell>
        </row>
        <row r="128">
          <cell r="A128">
            <v>37036</v>
          </cell>
        </row>
        <row r="129">
          <cell r="A129">
            <v>37043</v>
          </cell>
        </row>
        <row r="130">
          <cell r="A130">
            <v>37050</v>
          </cell>
        </row>
        <row r="131">
          <cell r="A131">
            <v>37057</v>
          </cell>
        </row>
        <row r="132">
          <cell r="A132">
            <v>37064</v>
          </cell>
        </row>
        <row r="133">
          <cell r="A133">
            <v>37071</v>
          </cell>
        </row>
        <row r="134">
          <cell r="A134">
            <v>37078</v>
          </cell>
        </row>
        <row r="135">
          <cell r="A135">
            <v>37085</v>
          </cell>
        </row>
        <row r="136">
          <cell r="A136">
            <v>37092</v>
          </cell>
        </row>
        <row r="137">
          <cell r="A137">
            <v>37099</v>
          </cell>
        </row>
        <row r="138">
          <cell r="A138">
            <v>37106</v>
          </cell>
        </row>
        <row r="139">
          <cell r="A139">
            <v>37113</v>
          </cell>
        </row>
        <row r="140">
          <cell r="A140">
            <v>37120</v>
          </cell>
        </row>
        <row r="141">
          <cell r="A141">
            <v>37127</v>
          </cell>
        </row>
        <row r="142">
          <cell r="A142">
            <v>37134</v>
          </cell>
        </row>
        <row r="143">
          <cell r="A143">
            <v>37141</v>
          </cell>
        </row>
        <row r="144">
          <cell r="A144">
            <v>37144</v>
          </cell>
        </row>
        <row r="145">
          <cell r="A145">
            <v>37155</v>
          </cell>
        </row>
        <row r="146">
          <cell r="A146">
            <v>37162</v>
          </cell>
        </row>
        <row r="147">
          <cell r="A147">
            <v>37169</v>
          </cell>
        </row>
        <row r="148">
          <cell r="A148">
            <v>37176</v>
          </cell>
        </row>
        <row r="149">
          <cell r="A149">
            <v>37183</v>
          </cell>
        </row>
        <row r="150">
          <cell r="A150">
            <v>37190</v>
          </cell>
        </row>
        <row r="151">
          <cell r="A151">
            <v>37197</v>
          </cell>
        </row>
        <row r="152">
          <cell r="A152">
            <v>37204</v>
          </cell>
        </row>
        <row r="153">
          <cell r="A153">
            <v>37211</v>
          </cell>
        </row>
        <row r="154">
          <cell r="A154">
            <v>37218</v>
          </cell>
        </row>
        <row r="155">
          <cell r="A155">
            <v>37225</v>
          </cell>
        </row>
        <row r="156">
          <cell r="A156">
            <v>37232</v>
          </cell>
        </row>
        <row r="157">
          <cell r="A157">
            <v>37239</v>
          </cell>
        </row>
        <row r="158">
          <cell r="A158">
            <v>37246</v>
          </cell>
        </row>
        <row r="159">
          <cell r="A159">
            <v>37253</v>
          </cell>
        </row>
        <row r="160">
          <cell r="A160">
            <v>37260</v>
          </cell>
        </row>
        <row r="161">
          <cell r="A161">
            <v>37267</v>
          </cell>
        </row>
        <row r="162">
          <cell r="A162">
            <v>37274</v>
          </cell>
        </row>
        <row r="163">
          <cell r="A163">
            <v>37281</v>
          </cell>
        </row>
        <row r="164">
          <cell r="A164">
            <v>37288</v>
          </cell>
        </row>
        <row r="165">
          <cell r="A165">
            <v>37295</v>
          </cell>
        </row>
        <row r="166">
          <cell r="A166">
            <v>37302</v>
          </cell>
        </row>
        <row r="167">
          <cell r="A167">
            <v>37309</v>
          </cell>
        </row>
        <row r="168">
          <cell r="A168">
            <v>37316</v>
          </cell>
        </row>
        <row r="169">
          <cell r="A169">
            <v>37323</v>
          </cell>
        </row>
        <row r="170">
          <cell r="A170">
            <v>37330</v>
          </cell>
        </row>
        <row r="171">
          <cell r="A171">
            <v>37337</v>
          </cell>
        </row>
        <row r="172">
          <cell r="A172">
            <v>37343</v>
          </cell>
        </row>
        <row r="173">
          <cell r="A173">
            <v>37351</v>
          </cell>
        </row>
        <row r="174">
          <cell r="A174">
            <v>37358</v>
          </cell>
        </row>
        <row r="175">
          <cell r="A175">
            <v>37365</v>
          </cell>
        </row>
        <row r="176">
          <cell r="A176">
            <v>37372</v>
          </cell>
        </row>
        <row r="177">
          <cell r="A177">
            <v>37379</v>
          </cell>
        </row>
        <row r="178">
          <cell r="A178">
            <v>37386</v>
          </cell>
        </row>
        <row r="179">
          <cell r="A179">
            <v>37393</v>
          </cell>
        </row>
        <row r="180">
          <cell r="A180">
            <v>37400</v>
          </cell>
        </row>
        <row r="181">
          <cell r="A181">
            <v>37407</v>
          </cell>
        </row>
        <row r="182">
          <cell r="A182">
            <v>37414</v>
          </cell>
        </row>
        <row r="183">
          <cell r="A183">
            <v>37421</v>
          </cell>
        </row>
        <row r="184">
          <cell r="A184">
            <v>37428</v>
          </cell>
        </row>
        <row r="185">
          <cell r="A185">
            <v>37435</v>
          </cell>
        </row>
        <row r="186">
          <cell r="A186">
            <v>37442</v>
          </cell>
        </row>
        <row r="187">
          <cell r="A187">
            <v>37449</v>
          </cell>
        </row>
        <row r="188">
          <cell r="A188">
            <v>37456</v>
          </cell>
        </row>
        <row r="189">
          <cell r="A189">
            <v>37463</v>
          </cell>
        </row>
        <row r="190">
          <cell r="A190">
            <v>37470</v>
          </cell>
        </row>
        <row r="191">
          <cell r="A191">
            <v>37477</v>
          </cell>
        </row>
        <row r="192">
          <cell r="A192">
            <v>37484</v>
          </cell>
        </row>
        <row r="193">
          <cell r="A193">
            <v>37491</v>
          </cell>
        </row>
        <row r="194">
          <cell r="A194">
            <v>37498</v>
          </cell>
        </row>
        <row r="195">
          <cell r="A195">
            <v>37505</v>
          </cell>
        </row>
        <row r="196">
          <cell r="A196">
            <v>37512</v>
          </cell>
        </row>
        <row r="197">
          <cell r="A197">
            <v>37519</v>
          </cell>
        </row>
        <row r="198">
          <cell r="A198">
            <v>37526</v>
          </cell>
        </row>
        <row r="199">
          <cell r="A199">
            <v>37533</v>
          </cell>
        </row>
        <row r="200">
          <cell r="A200">
            <v>37540</v>
          </cell>
        </row>
        <row r="201">
          <cell r="A201">
            <v>37547</v>
          </cell>
        </row>
        <row r="202">
          <cell r="A202">
            <v>37554</v>
          </cell>
        </row>
        <row r="203">
          <cell r="A203">
            <v>37561</v>
          </cell>
        </row>
        <row r="204">
          <cell r="A204">
            <v>37568</v>
          </cell>
        </row>
        <row r="205">
          <cell r="A205">
            <v>37575</v>
          </cell>
        </row>
        <row r="206">
          <cell r="A206">
            <v>37582</v>
          </cell>
        </row>
        <row r="207">
          <cell r="A207">
            <v>37589</v>
          </cell>
        </row>
        <row r="208">
          <cell r="A208">
            <v>37596</v>
          </cell>
        </row>
        <row r="209">
          <cell r="A209">
            <v>37603</v>
          </cell>
        </row>
        <row r="210">
          <cell r="A210">
            <v>37610</v>
          </cell>
        </row>
        <row r="211">
          <cell r="A211">
            <v>37617</v>
          </cell>
        </row>
        <row r="212">
          <cell r="A212">
            <v>37624</v>
          </cell>
        </row>
        <row r="213">
          <cell r="A213">
            <v>37631</v>
          </cell>
        </row>
        <row r="214">
          <cell r="A214">
            <v>37638</v>
          </cell>
        </row>
        <row r="215">
          <cell r="A215">
            <v>37645</v>
          </cell>
        </row>
        <row r="216">
          <cell r="A216">
            <v>37652</v>
          </cell>
        </row>
        <row r="217">
          <cell r="A217">
            <v>37659</v>
          </cell>
        </row>
        <row r="218">
          <cell r="A218">
            <v>37666</v>
          </cell>
        </row>
        <row r="219">
          <cell r="A219">
            <v>37673</v>
          </cell>
        </row>
        <row r="220">
          <cell r="A220">
            <v>37680</v>
          </cell>
        </row>
        <row r="221">
          <cell r="A221">
            <v>37687</v>
          </cell>
        </row>
        <row r="222">
          <cell r="A222">
            <v>37694</v>
          </cell>
        </row>
        <row r="223">
          <cell r="A223">
            <v>37701</v>
          </cell>
        </row>
        <row r="224">
          <cell r="A224">
            <v>37708</v>
          </cell>
        </row>
        <row r="225">
          <cell r="A225">
            <v>37715</v>
          </cell>
        </row>
        <row r="226">
          <cell r="A226">
            <v>37722</v>
          </cell>
        </row>
        <row r="227">
          <cell r="A227">
            <v>37728</v>
          </cell>
        </row>
        <row r="228">
          <cell r="A228">
            <v>37736</v>
          </cell>
        </row>
        <row r="229">
          <cell r="A229">
            <v>37743</v>
          </cell>
        </row>
        <row r="230">
          <cell r="A230">
            <v>37750</v>
          </cell>
        </row>
        <row r="231">
          <cell r="A231">
            <v>37757</v>
          </cell>
        </row>
        <row r="232">
          <cell r="A232">
            <v>37764</v>
          </cell>
        </row>
        <row r="233">
          <cell r="A233">
            <v>37771</v>
          </cell>
        </row>
        <row r="234">
          <cell r="A234">
            <v>37778</v>
          </cell>
        </row>
        <row r="235">
          <cell r="A235">
            <v>37785</v>
          </cell>
        </row>
        <row r="236">
          <cell r="A236">
            <v>37792</v>
          </cell>
        </row>
        <row r="237">
          <cell r="A237">
            <v>37799</v>
          </cell>
        </row>
        <row r="238">
          <cell r="A238">
            <v>37805</v>
          </cell>
        </row>
        <row r="239">
          <cell r="A239">
            <v>37813</v>
          </cell>
        </row>
        <row r="240">
          <cell r="A240">
            <v>37820</v>
          </cell>
        </row>
        <row r="241">
          <cell r="A241">
            <v>37827</v>
          </cell>
        </row>
        <row r="242">
          <cell r="A242">
            <v>37834</v>
          </cell>
        </row>
        <row r="243">
          <cell r="A243">
            <v>37841</v>
          </cell>
        </row>
        <row r="244">
          <cell r="A244">
            <v>37848</v>
          </cell>
        </row>
        <row r="245">
          <cell r="A245">
            <v>37855</v>
          </cell>
        </row>
        <row r="246">
          <cell r="A246">
            <v>37862</v>
          </cell>
        </row>
        <row r="247">
          <cell r="A247">
            <v>37869</v>
          </cell>
        </row>
        <row r="248">
          <cell r="A248">
            <v>37876</v>
          </cell>
        </row>
        <row r="249">
          <cell r="A249">
            <v>37883</v>
          </cell>
        </row>
        <row r="250">
          <cell r="A250">
            <v>37890</v>
          </cell>
        </row>
        <row r="251">
          <cell r="A251">
            <v>37897</v>
          </cell>
        </row>
        <row r="252">
          <cell r="A252">
            <v>37904</v>
          </cell>
        </row>
        <row r="253">
          <cell r="A253">
            <v>37911</v>
          </cell>
        </row>
        <row r="254">
          <cell r="A254">
            <v>37918</v>
          </cell>
        </row>
        <row r="255">
          <cell r="A255">
            <v>37925</v>
          </cell>
        </row>
        <row r="256">
          <cell r="A256">
            <v>37932</v>
          </cell>
        </row>
        <row r="257">
          <cell r="A257">
            <v>37939</v>
          </cell>
        </row>
        <row r="258">
          <cell r="A258">
            <v>37946</v>
          </cell>
        </row>
        <row r="259">
          <cell r="A259">
            <v>37953</v>
          </cell>
        </row>
        <row r="260">
          <cell r="A260">
            <v>37960</v>
          </cell>
        </row>
        <row r="261">
          <cell r="A261">
            <v>37967</v>
          </cell>
        </row>
        <row r="262">
          <cell r="A262">
            <v>37974</v>
          </cell>
        </row>
        <row r="263">
          <cell r="A263">
            <v>37981</v>
          </cell>
        </row>
        <row r="264">
          <cell r="A264">
            <v>37988</v>
          </cell>
        </row>
        <row r="265">
          <cell r="A265">
            <v>37995</v>
          </cell>
        </row>
        <row r="266">
          <cell r="A266">
            <v>38002</v>
          </cell>
        </row>
        <row r="267">
          <cell r="A267">
            <v>38009</v>
          </cell>
        </row>
        <row r="268">
          <cell r="A268">
            <v>38016</v>
          </cell>
        </row>
        <row r="269">
          <cell r="A269">
            <v>38023</v>
          </cell>
        </row>
        <row r="270">
          <cell r="A270">
            <v>38030</v>
          </cell>
        </row>
        <row r="271">
          <cell r="A271">
            <v>38037</v>
          </cell>
        </row>
        <row r="272">
          <cell r="A272">
            <v>38044</v>
          </cell>
        </row>
        <row r="273">
          <cell r="A273">
            <v>38051</v>
          </cell>
        </row>
        <row r="274">
          <cell r="A274">
            <v>38058</v>
          </cell>
        </row>
        <row r="275">
          <cell r="A275">
            <v>38065</v>
          </cell>
        </row>
        <row r="276">
          <cell r="A276">
            <v>38072</v>
          </cell>
        </row>
        <row r="277">
          <cell r="A277">
            <v>38079</v>
          </cell>
        </row>
        <row r="278">
          <cell r="A278">
            <v>38085</v>
          </cell>
        </row>
        <row r="279">
          <cell r="A279">
            <v>38093</v>
          </cell>
        </row>
        <row r="280">
          <cell r="A280">
            <v>38100</v>
          </cell>
        </row>
        <row r="281">
          <cell r="A281">
            <v>38107</v>
          </cell>
        </row>
        <row r="282">
          <cell r="A282">
            <v>38114</v>
          </cell>
        </row>
        <row r="283">
          <cell r="A283">
            <v>38121</v>
          </cell>
        </row>
        <row r="284">
          <cell r="A284">
            <v>38128</v>
          </cell>
        </row>
        <row r="285">
          <cell r="A285">
            <v>38135</v>
          </cell>
        </row>
        <row r="286">
          <cell r="A286">
            <v>38142</v>
          </cell>
        </row>
        <row r="287">
          <cell r="A287">
            <v>38148</v>
          </cell>
        </row>
        <row r="288">
          <cell r="A288">
            <v>38156</v>
          </cell>
        </row>
        <row r="289">
          <cell r="A289">
            <v>38163</v>
          </cell>
        </row>
        <row r="290">
          <cell r="A290">
            <v>38170</v>
          </cell>
        </row>
        <row r="291">
          <cell r="A291">
            <v>38177</v>
          </cell>
        </row>
        <row r="292">
          <cell r="A292">
            <v>38184</v>
          </cell>
        </row>
        <row r="293">
          <cell r="A293">
            <v>38191</v>
          </cell>
        </row>
        <row r="294">
          <cell r="A294">
            <v>38198</v>
          </cell>
        </row>
        <row r="295">
          <cell r="A295">
            <v>38205</v>
          </cell>
        </row>
        <row r="296">
          <cell r="A296">
            <v>38212</v>
          </cell>
        </row>
        <row r="297">
          <cell r="A297">
            <v>38219</v>
          </cell>
        </row>
        <row r="298">
          <cell r="A298">
            <v>38226</v>
          </cell>
        </row>
        <row r="299">
          <cell r="A299">
            <v>38233</v>
          </cell>
        </row>
        <row r="300">
          <cell r="A300">
            <v>38240</v>
          </cell>
        </row>
        <row r="301">
          <cell r="A301">
            <v>38247</v>
          </cell>
        </row>
        <row r="302">
          <cell r="A302">
            <v>38254</v>
          </cell>
        </row>
        <row r="303">
          <cell r="A303">
            <v>38261</v>
          </cell>
        </row>
        <row r="304">
          <cell r="A304">
            <v>38268</v>
          </cell>
        </row>
        <row r="305">
          <cell r="A305">
            <v>38275</v>
          </cell>
        </row>
        <row r="306">
          <cell r="A306">
            <v>38282</v>
          </cell>
        </row>
        <row r="307">
          <cell r="A307">
            <v>38289</v>
          </cell>
        </row>
        <row r="308">
          <cell r="A308">
            <v>38296</v>
          </cell>
        </row>
        <row r="309">
          <cell r="A309">
            <v>38303</v>
          </cell>
        </row>
        <row r="310">
          <cell r="A310">
            <v>38310</v>
          </cell>
        </row>
        <row r="311">
          <cell r="A311">
            <v>38317</v>
          </cell>
        </row>
        <row r="312">
          <cell r="A312">
            <v>38324</v>
          </cell>
        </row>
        <row r="313">
          <cell r="A313">
            <v>38331</v>
          </cell>
        </row>
        <row r="314">
          <cell r="A314">
            <v>38338</v>
          </cell>
        </row>
        <row r="315">
          <cell r="A315">
            <v>38344</v>
          </cell>
        </row>
        <row r="316">
          <cell r="A316">
            <v>38352</v>
          </cell>
        </row>
        <row r="317">
          <cell r="A317">
            <v>38359</v>
          </cell>
        </row>
        <row r="318">
          <cell r="A318">
            <v>38366</v>
          </cell>
        </row>
        <row r="319">
          <cell r="A319">
            <v>38373</v>
          </cell>
        </row>
        <row r="320">
          <cell r="A320">
            <v>38380</v>
          </cell>
        </row>
        <row r="321">
          <cell r="A321">
            <v>38387</v>
          </cell>
        </row>
        <row r="322">
          <cell r="A322">
            <v>38394</v>
          </cell>
        </row>
        <row r="323">
          <cell r="A323">
            <v>38401</v>
          </cell>
        </row>
        <row r="324">
          <cell r="A324">
            <v>38408</v>
          </cell>
        </row>
        <row r="325">
          <cell r="A325">
            <v>38415</v>
          </cell>
        </row>
        <row r="326">
          <cell r="A326">
            <v>38422</v>
          </cell>
        </row>
        <row r="327">
          <cell r="A327">
            <v>38429</v>
          </cell>
        </row>
        <row r="328">
          <cell r="A328">
            <v>38435</v>
          </cell>
        </row>
        <row r="329">
          <cell r="A329">
            <v>38443</v>
          </cell>
        </row>
        <row r="330">
          <cell r="A330">
            <v>38450</v>
          </cell>
        </row>
        <row r="331">
          <cell r="A331">
            <v>38457</v>
          </cell>
        </row>
        <row r="332">
          <cell r="A332">
            <v>38464</v>
          </cell>
        </row>
        <row r="333">
          <cell r="A333">
            <v>38471</v>
          </cell>
        </row>
        <row r="334">
          <cell r="A334">
            <v>38478</v>
          </cell>
        </row>
        <row r="335">
          <cell r="A335">
            <v>38485</v>
          </cell>
        </row>
        <row r="336">
          <cell r="A336">
            <v>38492</v>
          </cell>
        </row>
        <row r="337">
          <cell r="A337">
            <v>38499</v>
          </cell>
        </row>
        <row r="338">
          <cell r="A338">
            <v>38506</v>
          </cell>
        </row>
        <row r="339">
          <cell r="A339">
            <v>38513</v>
          </cell>
        </row>
        <row r="340">
          <cell r="A340">
            <v>38520</v>
          </cell>
        </row>
        <row r="341">
          <cell r="A341">
            <v>38527</v>
          </cell>
        </row>
        <row r="342">
          <cell r="A342">
            <v>38534</v>
          </cell>
        </row>
        <row r="343">
          <cell r="A343">
            <v>38541</v>
          </cell>
        </row>
        <row r="344">
          <cell r="A344">
            <v>38548</v>
          </cell>
        </row>
        <row r="345">
          <cell r="A345">
            <v>38555</v>
          </cell>
        </row>
        <row r="346">
          <cell r="A346">
            <v>38562</v>
          </cell>
        </row>
        <row r="347">
          <cell r="A347">
            <v>38569</v>
          </cell>
        </row>
        <row r="348">
          <cell r="A348">
            <v>38576</v>
          </cell>
        </row>
        <row r="349">
          <cell r="A349">
            <v>38583</v>
          </cell>
        </row>
        <row r="350">
          <cell r="A350">
            <v>38590</v>
          </cell>
        </row>
        <row r="351">
          <cell r="A351">
            <v>38597</v>
          </cell>
        </row>
        <row r="352">
          <cell r="A352">
            <v>38604</v>
          </cell>
        </row>
        <row r="353">
          <cell r="A353">
            <v>38611</v>
          </cell>
        </row>
        <row r="354">
          <cell r="A354">
            <v>38618</v>
          </cell>
        </row>
        <row r="355">
          <cell r="A355">
            <v>38625</v>
          </cell>
        </row>
        <row r="356">
          <cell r="A356">
            <v>38632</v>
          </cell>
        </row>
        <row r="357">
          <cell r="A357">
            <v>38639</v>
          </cell>
        </row>
        <row r="358">
          <cell r="A358">
            <v>38646</v>
          </cell>
        </row>
        <row r="359">
          <cell r="A359">
            <v>38653</v>
          </cell>
        </row>
        <row r="360">
          <cell r="A360">
            <v>38660</v>
          </cell>
        </row>
        <row r="361">
          <cell r="A361">
            <v>38667</v>
          </cell>
        </row>
        <row r="362">
          <cell r="A362">
            <v>38674</v>
          </cell>
        </row>
        <row r="363">
          <cell r="A363">
            <v>38681</v>
          </cell>
        </row>
        <row r="364">
          <cell r="A364">
            <v>38688</v>
          </cell>
        </row>
        <row r="365">
          <cell r="A365">
            <v>38695</v>
          </cell>
        </row>
        <row r="366">
          <cell r="A366">
            <v>38702</v>
          </cell>
        </row>
        <row r="367">
          <cell r="A367">
            <v>38709</v>
          </cell>
        </row>
        <row r="368">
          <cell r="A368">
            <v>38716</v>
          </cell>
        </row>
        <row r="369">
          <cell r="A369">
            <v>38723</v>
          </cell>
        </row>
        <row r="370">
          <cell r="A370">
            <v>38730</v>
          </cell>
        </row>
        <row r="371">
          <cell r="A371">
            <v>38737</v>
          </cell>
        </row>
        <row r="372">
          <cell r="A372">
            <v>38744</v>
          </cell>
        </row>
        <row r="373">
          <cell r="A373">
            <v>38751</v>
          </cell>
        </row>
        <row r="374">
          <cell r="A374">
            <v>38758</v>
          </cell>
        </row>
        <row r="375">
          <cell r="A375">
            <v>38765</v>
          </cell>
        </row>
        <row r="376">
          <cell r="A376">
            <v>38772</v>
          </cell>
        </row>
        <row r="377">
          <cell r="A377">
            <v>38779</v>
          </cell>
        </row>
        <row r="378">
          <cell r="A378">
            <v>38786</v>
          </cell>
        </row>
        <row r="379">
          <cell r="A379">
            <v>38793</v>
          </cell>
        </row>
        <row r="380">
          <cell r="A380">
            <v>38800</v>
          </cell>
        </row>
        <row r="381">
          <cell r="A381">
            <v>38807</v>
          </cell>
        </row>
        <row r="382">
          <cell r="A382">
            <v>38814</v>
          </cell>
        </row>
        <row r="383">
          <cell r="A383">
            <v>38820</v>
          </cell>
        </row>
        <row r="384">
          <cell r="A384">
            <v>38828</v>
          </cell>
        </row>
        <row r="385">
          <cell r="A385">
            <v>38835</v>
          </cell>
        </row>
        <row r="386">
          <cell r="A386">
            <v>38842</v>
          </cell>
        </row>
        <row r="387">
          <cell r="A387">
            <v>38849</v>
          </cell>
        </row>
        <row r="388">
          <cell r="A388">
            <v>38856</v>
          </cell>
        </row>
        <row r="389">
          <cell r="A389">
            <v>38863</v>
          </cell>
        </row>
        <row r="390">
          <cell r="A390">
            <v>38870</v>
          </cell>
        </row>
        <row r="391">
          <cell r="A391">
            <v>38877</v>
          </cell>
        </row>
        <row r="392">
          <cell r="A392">
            <v>38884</v>
          </cell>
        </row>
        <row r="393">
          <cell r="A393">
            <v>38891</v>
          </cell>
        </row>
        <row r="394">
          <cell r="A394">
            <v>38898</v>
          </cell>
        </row>
        <row r="395">
          <cell r="A395">
            <v>38905</v>
          </cell>
        </row>
        <row r="396">
          <cell r="A396">
            <v>38912</v>
          </cell>
        </row>
        <row r="397">
          <cell r="A397">
            <v>38919</v>
          </cell>
        </row>
        <row r="398">
          <cell r="A398">
            <v>38926</v>
          </cell>
        </row>
        <row r="399">
          <cell r="A399">
            <v>38933</v>
          </cell>
        </row>
        <row r="400">
          <cell r="A400">
            <v>38940</v>
          </cell>
        </row>
        <row r="401">
          <cell r="A401">
            <v>38947</v>
          </cell>
        </row>
        <row r="402">
          <cell r="A402">
            <v>38954</v>
          </cell>
        </row>
        <row r="403">
          <cell r="A403">
            <v>38961</v>
          </cell>
        </row>
        <row r="404">
          <cell r="A404">
            <v>38968</v>
          </cell>
        </row>
        <row r="405">
          <cell r="A405">
            <v>38975</v>
          </cell>
        </row>
        <row r="406">
          <cell r="A406">
            <v>38982</v>
          </cell>
        </row>
        <row r="407">
          <cell r="A407">
            <v>38989</v>
          </cell>
        </row>
        <row r="408">
          <cell r="A408">
            <v>38996</v>
          </cell>
        </row>
        <row r="409">
          <cell r="A409">
            <v>39003</v>
          </cell>
        </row>
        <row r="410">
          <cell r="A410">
            <v>39010</v>
          </cell>
        </row>
        <row r="411">
          <cell r="A411">
            <v>39017</v>
          </cell>
        </row>
        <row r="412">
          <cell r="A412">
            <v>39024</v>
          </cell>
        </row>
        <row r="413">
          <cell r="A413">
            <v>39031</v>
          </cell>
        </row>
        <row r="414">
          <cell r="A414">
            <v>39038</v>
          </cell>
        </row>
        <row r="415">
          <cell r="A415">
            <v>39045</v>
          </cell>
        </row>
        <row r="416">
          <cell r="A416">
            <v>39052</v>
          </cell>
        </row>
        <row r="417">
          <cell r="A417">
            <v>39059</v>
          </cell>
        </row>
        <row r="418">
          <cell r="A418">
            <v>39066</v>
          </cell>
        </row>
        <row r="419">
          <cell r="A419">
            <v>39073</v>
          </cell>
        </row>
        <row r="420">
          <cell r="A420">
            <v>39080</v>
          </cell>
        </row>
        <row r="421">
          <cell r="A421">
            <v>39087</v>
          </cell>
        </row>
        <row r="422">
          <cell r="A422">
            <v>39094</v>
          </cell>
        </row>
        <row r="423">
          <cell r="A423">
            <v>39101</v>
          </cell>
        </row>
        <row r="424">
          <cell r="A424">
            <v>39108</v>
          </cell>
        </row>
        <row r="425">
          <cell r="A425">
            <v>39115</v>
          </cell>
        </row>
        <row r="426">
          <cell r="A426">
            <v>39122</v>
          </cell>
        </row>
        <row r="427">
          <cell r="A427">
            <v>39129</v>
          </cell>
        </row>
        <row r="428">
          <cell r="A428">
            <v>39136</v>
          </cell>
        </row>
        <row r="429">
          <cell r="A429">
            <v>39143</v>
          </cell>
        </row>
        <row r="430">
          <cell r="A430">
            <v>39150</v>
          </cell>
        </row>
        <row r="431">
          <cell r="A431">
            <v>39157</v>
          </cell>
        </row>
        <row r="432">
          <cell r="A432">
            <v>39164</v>
          </cell>
        </row>
        <row r="433">
          <cell r="A433">
            <v>39171</v>
          </cell>
        </row>
        <row r="434">
          <cell r="A434">
            <v>39177</v>
          </cell>
        </row>
        <row r="435">
          <cell r="A435">
            <v>39185</v>
          </cell>
        </row>
        <row r="436">
          <cell r="A436">
            <v>39192</v>
          </cell>
        </row>
        <row r="437">
          <cell r="A437">
            <v>39199</v>
          </cell>
        </row>
        <row r="438">
          <cell r="A438">
            <v>39206</v>
          </cell>
        </row>
        <row r="439">
          <cell r="A439">
            <v>39213</v>
          </cell>
        </row>
        <row r="440">
          <cell r="A440">
            <v>39220</v>
          </cell>
        </row>
        <row r="441">
          <cell r="A441">
            <v>39227</v>
          </cell>
        </row>
        <row r="442">
          <cell r="A442">
            <v>39234</v>
          </cell>
        </row>
        <row r="443">
          <cell r="A443">
            <v>39241</v>
          </cell>
        </row>
        <row r="444">
          <cell r="A444">
            <v>39248</v>
          </cell>
        </row>
        <row r="445">
          <cell r="A445">
            <v>39255</v>
          </cell>
        </row>
        <row r="446">
          <cell r="A446">
            <v>39262</v>
          </cell>
        </row>
        <row r="447">
          <cell r="A447">
            <v>39269</v>
          </cell>
        </row>
        <row r="448">
          <cell r="A448">
            <v>39276</v>
          </cell>
        </row>
        <row r="449">
          <cell r="A449">
            <v>39283</v>
          </cell>
        </row>
        <row r="450">
          <cell r="A450">
            <v>39290</v>
          </cell>
        </row>
        <row r="451">
          <cell r="A451">
            <v>39297</v>
          </cell>
        </row>
        <row r="452">
          <cell r="A452">
            <v>39304</v>
          </cell>
        </row>
        <row r="453">
          <cell r="A453">
            <v>39311</v>
          </cell>
        </row>
        <row r="454">
          <cell r="A454">
            <v>39318</v>
          </cell>
        </row>
        <row r="455">
          <cell r="A455">
            <v>39325</v>
          </cell>
        </row>
        <row r="456">
          <cell r="A456">
            <v>39332</v>
          </cell>
        </row>
        <row r="457">
          <cell r="A457">
            <v>39339</v>
          </cell>
        </row>
        <row r="458">
          <cell r="A458">
            <v>39346</v>
          </cell>
        </row>
        <row r="459">
          <cell r="A459">
            <v>39353</v>
          </cell>
        </row>
        <row r="460">
          <cell r="A460">
            <v>39360</v>
          </cell>
        </row>
        <row r="461">
          <cell r="A461">
            <v>39367</v>
          </cell>
        </row>
        <row r="462">
          <cell r="A462">
            <v>39374</v>
          </cell>
        </row>
        <row r="463">
          <cell r="A463">
            <v>39381</v>
          </cell>
        </row>
        <row r="464">
          <cell r="A464">
            <v>39388</v>
          </cell>
        </row>
        <row r="465">
          <cell r="A465">
            <v>39395</v>
          </cell>
        </row>
        <row r="466">
          <cell r="A466">
            <v>39402</v>
          </cell>
        </row>
        <row r="467">
          <cell r="A467">
            <v>39409</v>
          </cell>
        </row>
        <row r="468">
          <cell r="A468">
            <v>39416</v>
          </cell>
        </row>
        <row r="469">
          <cell r="A469">
            <v>39423</v>
          </cell>
        </row>
        <row r="470">
          <cell r="A470">
            <v>39430</v>
          </cell>
        </row>
        <row r="471">
          <cell r="A471">
            <v>39437</v>
          </cell>
        </row>
        <row r="472">
          <cell r="A472">
            <v>39444</v>
          </cell>
        </row>
        <row r="473">
          <cell r="A473">
            <v>39451</v>
          </cell>
        </row>
        <row r="474">
          <cell r="A474">
            <v>39458</v>
          </cell>
        </row>
        <row r="475">
          <cell r="A475">
            <v>39465</v>
          </cell>
        </row>
        <row r="476">
          <cell r="A476">
            <v>39472</v>
          </cell>
        </row>
        <row r="477">
          <cell r="A477">
            <v>39479</v>
          </cell>
        </row>
        <row r="478">
          <cell r="A478">
            <v>39486</v>
          </cell>
        </row>
        <row r="479">
          <cell r="A479">
            <v>39493</v>
          </cell>
        </row>
        <row r="480">
          <cell r="A480">
            <v>39500</v>
          </cell>
        </row>
        <row r="481">
          <cell r="A481">
            <v>39507</v>
          </cell>
        </row>
        <row r="482">
          <cell r="A482">
            <v>39514</v>
          </cell>
        </row>
        <row r="483">
          <cell r="A483">
            <v>39521</v>
          </cell>
        </row>
        <row r="484">
          <cell r="A484">
            <v>39527</v>
          </cell>
        </row>
        <row r="485">
          <cell r="A485">
            <v>39535</v>
          </cell>
        </row>
        <row r="486">
          <cell r="A486">
            <v>39542</v>
          </cell>
        </row>
        <row r="487">
          <cell r="A487">
            <v>39549</v>
          </cell>
        </row>
        <row r="488">
          <cell r="A488">
            <v>39556</v>
          </cell>
        </row>
        <row r="489">
          <cell r="A489">
            <v>39563</v>
          </cell>
        </row>
        <row r="490">
          <cell r="A490">
            <v>39570</v>
          </cell>
        </row>
        <row r="491">
          <cell r="A491">
            <v>39577</v>
          </cell>
        </row>
        <row r="492">
          <cell r="A492">
            <v>39584</v>
          </cell>
        </row>
        <row r="493">
          <cell r="A493">
            <v>39591</v>
          </cell>
        </row>
        <row r="494">
          <cell r="A494">
            <v>39598</v>
          </cell>
        </row>
        <row r="495">
          <cell r="A495">
            <v>39605</v>
          </cell>
        </row>
        <row r="496">
          <cell r="A496">
            <v>39612</v>
          </cell>
        </row>
        <row r="497">
          <cell r="A497">
            <v>39619</v>
          </cell>
        </row>
        <row r="498">
          <cell r="A498">
            <v>39626</v>
          </cell>
        </row>
        <row r="499">
          <cell r="A499">
            <v>39632</v>
          </cell>
        </row>
        <row r="500">
          <cell r="A500">
            <v>39640</v>
          </cell>
        </row>
        <row r="501">
          <cell r="A501">
            <v>39647</v>
          </cell>
        </row>
        <row r="502">
          <cell r="A502">
            <v>39654</v>
          </cell>
        </row>
        <row r="503">
          <cell r="A503">
            <v>39661</v>
          </cell>
        </row>
        <row r="504">
          <cell r="A504">
            <v>39668</v>
          </cell>
        </row>
        <row r="505">
          <cell r="A505">
            <v>39675</v>
          </cell>
        </row>
        <row r="506">
          <cell r="A506">
            <v>39682</v>
          </cell>
        </row>
        <row r="507">
          <cell r="A507">
            <v>39689</v>
          </cell>
        </row>
        <row r="508">
          <cell r="A508">
            <v>39696</v>
          </cell>
        </row>
        <row r="509">
          <cell r="A509">
            <v>39703</v>
          </cell>
        </row>
        <row r="510">
          <cell r="A510">
            <v>39710</v>
          </cell>
        </row>
        <row r="511">
          <cell r="A511">
            <v>39717</v>
          </cell>
        </row>
        <row r="512">
          <cell r="A512">
            <v>39724</v>
          </cell>
        </row>
        <row r="513">
          <cell r="A513">
            <v>39731</v>
          </cell>
        </row>
        <row r="514">
          <cell r="A514">
            <v>39738</v>
          </cell>
        </row>
        <row r="515">
          <cell r="A515">
            <v>39745</v>
          </cell>
        </row>
        <row r="516">
          <cell r="A516">
            <v>39752</v>
          </cell>
        </row>
        <row r="517">
          <cell r="A517">
            <v>39759</v>
          </cell>
        </row>
        <row r="518">
          <cell r="A518">
            <v>39766</v>
          </cell>
        </row>
        <row r="519">
          <cell r="A519">
            <v>39773</v>
          </cell>
        </row>
        <row r="520">
          <cell r="A520">
            <v>39780</v>
          </cell>
        </row>
        <row r="521">
          <cell r="A521">
            <v>39787</v>
          </cell>
        </row>
        <row r="522">
          <cell r="A522">
            <v>39794</v>
          </cell>
        </row>
        <row r="523">
          <cell r="A523">
            <v>39801</v>
          </cell>
        </row>
        <row r="524">
          <cell r="A524">
            <v>39808</v>
          </cell>
        </row>
        <row r="525">
          <cell r="A525">
            <v>39815</v>
          </cell>
        </row>
        <row r="526">
          <cell r="A526">
            <v>39822</v>
          </cell>
        </row>
        <row r="527">
          <cell r="A527">
            <v>39829</v>
          </cell>
        </row>
        <row r="528">
          <cell r="A528">
            <v>39836</v>
          </cell>
        </row>
        <row r="529">
          <cell r="A529">
            <v>39843</v>
          </cell>
        </row>
        <row r="530">
          <cell r="A530">
            <v>39850</v>
          </cell>
        </row>
        <row r="531">
          <cell r="A531">
            <v>39857</v>
          </cell>
        </row>
        <row r="532">
          <cell r="A532">
            <v>39864</v>
          </cell>
        </row>
        <row r="533">
          <cell r="A533">
            <v>39871</v>
          </cell>
        </row>
        <row r="534">
          <cell r="A534">
            <v>39878</v>
          </cell>
        </row>
        <row r="535">
          <cell r="A535">
            <v>39885</v>
          </cell>
        </row>
        <row r="536">
          <cell r="A536">
            <v>39892</v>
          </cell>
        </row>
        <row r="537">
          <cell r="A537">
            <v>39899</v>
          </cell>
        </row>
        <row r="538">
          <cell r="A538">
            <v>39906</v>
          </cell>
        </row>
        <row r="539">
          <cell r="A539">
            <v>39912</v>
          </cell>
        </row>
        <row r="540">
          <cell r="A540">
            <v>39920</v>
          </cell>
        </row>
        <row r="541">
          <cell r="A541">
            <v>39927</v>
          </cell>
        </row>
        <row r="542">
          <cell r="A542">
            <v>39934</v>
          </cell>
        </row>
        <row r="543">
          <cell r="A543">
            <v>39941</v>
          </cell>
        </row>
        <row r="544">
          <cell r="A544">
            <v>39948</v>
          </cell>
        </row>
        <row r="545">
          <cell r="A545">
            <v>39955</v>
          </cell>
        </row>
        <row r="546">
          <cell r="A546">
            <v>39962</v>
          </cell>
        </row>
        <row r="547">
          <cell r="A547">
            <v>39969</v>
          </cell>
        </row>
        <row r="548">
          <cell r="A548">
            <v>39976</v>
          </cell>
        </row>
        <row r="549">
          <cell r="A549">
            <v>39983</v>
          </cell>
        </row>
        <row r="550">
          <cell r="A550">
            <v>39990</v>
          </cell>
        </row>
        <row r="551">
          <cell r="A551">
            <v>39996</v>
          </cell>
        </row>
        <row r="552">
          <cell r="A552">
            <v>40004</v>
          </cell>
        </row>
        <row r="553">
          <cell r="A553">
            <v>40011</v>
          </cell>
        </row>
        <row r="554">
          <cell r="A554">
            <v>40018</v>
          </cell>
        </row>
        <row r="555">
          <cell r="A555">
            <v>40025</v>
          </cell>
        </row>
        <row r="556">
          <cell r="A556">
            <v>40032</v>
          </cell>
        </row>
        <row r="557">
          <cell r="A557">
            <v>40039</v>
          </cell>
        </row>
        <row r="558">
          <cell r="A558">
            <v>40046</v>
          </cell>
        </row>
        <row r="559">
          <cell r="A559">
            <v>40053</v>
          </cell>
        </row>
        <row r="560">
          <cell r="A560">
            <v>40060</v>
          </cell>
        </row>
        <row r="561">
          <cell r="A561">
            <v>40067</v>
          </cell>
        </row>
        <row r="562">
          <cell r="A562">
            <v>40074</v>
          </cell>
        </row>
        <row r="563">
          <cell r="A563">
            <v>40081</v>
          </cell>
        </row>
        <row r="564">
          <cell r="A564">
            <v>40088</v>
          </cell>
        </row>
        <row r="565">
          <cell r="A565">
            <v>40095</v>
          </cell>
        </row>
        <row r="566">
          <cell r="A566">
            <v>40102</v>
          </cell>
        </row>
        <row r="567">
          <cell r="A567">
            <v>40109</v>
          </cell>
        </row>
        <row r="568">
          <cell r="A568">
            <v>40116</v>
          </cell>
        </row>
        <row r="569">
          <cell r="A569">
            <v>40123</v>
          </cell>
        </row>
        <row r="570">
          <cell r="A570">
            <v>40130</v>
          </cell>
        </row>
        <row r="571">
          <cell r="A571">
            <v>40137</v>
          </cell>
        </row>
        <row r="572">
          <cell r="A572">
            <v>40144</v>
          </cell>
        </row>
        <row r="573">
          <cell r="A573">
            <v>40151</v>
          </cell>
        </row>
        <row r="574">
          <cell r="A574">
            <v>40158</v>
          </cell>
        </row>
        <row r="575">
          <cell r="A575">
            <v>40165</v>
          </cell>
        </row>
        <row r="576">
          <cell r="A576">
            <v>40171</v>
          </cell>
        </row>
        <row r="577">
          <cell r="A577">
            <v>40178</v>
          </cell>
        </row>
        <row r="578">
          <cell r="A578">
            <v>40186</v>
          </cell>
        </row>
        <row r="579">
          <cell r="A579">
            <v>40193</v>
          </cell>
        </row>
        <row r="580">
          <cell r="A580">
            <v>40200</v>
          </cell>
        </row>
        <row r="581">
          <cell r="A581">
            <v>40207</v>
          </cell>
        </row>
        <row r="582">
          <cell r="A582">
            <v>40214</v>
          </cell>
        </row>
        <row r="583">
          <cell r="A583">
            <v>40221</v>
          </cell>
        </row>
        <row r="584">
          <cell r="A584">
            <v>40228</v>
          </cell>
        </row>
        <row r="585">
          <cell r="A585">
            <v>40235</v>
          </cell>
        </row>
        <row r="586">
          <cell r="A586">
            <v>40242</v>
          </cell>
        </row>
        <row r="587">
          <cell r="A587">
            <v>40249</v>
          </cell>
        </row>
        <row r="588">
          <cell r="A588">
            <v>40256</v>
          </cell>
        </row>
        <row r="589">
          <cell r="A589">
            <v>40263</v>
          </cell>
        </row>
        <row r="590">
          <cell r="A590">
            <v>40269</v>
          </cell>
        </row>
        <row r="591">
          <cell r="A591">
            <v>40277</v>
          </cell>
        </row>
        <row r="592">
          <cell r="A592">
            <v>40284</v>
          </cell>
        </row>
        <row r="593">
          <cell r="A593">
            <v>40291</v>
          </cell>
        </row>
        <row r="594">
          <cell r="A594">
            <v>40298</v>
          </cell>
        </row>
        <row r="595">
          <cell r="A595">
            <v>40305</v>
          </cell>
        </row>
        <row r="596">
          <cell r="A596">
            <v>40312</v>
          </cell>
        </row>
        <row r="597">
          <cell r="A597">
            <v>40319</v>
          </cell>
        </row>
        <row r="598">
          <cell r="A598">
            <v>40326</v>
          </cell>
        </row>
        <row r="599">
          <cell r="A599">
            <v>40333</v>
          </cell>
        </row>
        <row r="600">
          <cell r="A600">
            <v>40340</v>
          </cell>
        </row>
        <row r="601">
          <cell r="A601">
            <v>40347</v>
          </cell>
        </row>
        <row r="602">
          <cell r="A602">
            <v>40354</v>
          </cell>
        </row>
        <row r="603">
          <cell r="A603">
            <v>40361</v>
          </cell>
        </row>
        <row r="604">
          <cell r="A604">
            <v>40368</v>
          </cell>
        </row>
        <row r="605">
          <cell r="A605">
            <v>40375</v>
          </cell>
        </row>
        <row r="606">
          <cell r="A606">
            <v>40382</v>
          </cell>
        </row>
        <row r="607">
          <cell r="A607">
            <v>40389</v>
          </cell>
        </row>
        <row r="608">
          <cell r="A608">
            <v>40396</v>
          </cell>
        </row>
        <row r="609">
          <cell r="A609">
            <v>40403</v>
          </cell>
        </row>
        <row r="610">
          <cell r="A610">
            <v>40410</v>
          </cell>
        </row>
        <row r="611">
          <cell r="A611">
            <v>40417</v>
          </cell>
        </row>
        <row r="612">
          <cell r="A612">
            <v>40424</v>
          </cell>
        </row>
        <row r="613">
          <cell r="A613">
            <v>40431</v>
          </cell>
        </row>
        <row r="614">
          <cell r="A614">
            <v>40438</v>
          </cell>
        </row>
        <row r="615">
          <cell r="A615">
            <v>40445</v>
          </cell>
        </row>
        <row r="616">
          <cell r="A616">
            <v>40452</v>
          </cell>
        </row>
        <row r="617">
          <cell r="A617">
            <v>40459</v>
          </cell>
        </row>
        <row r="618">
          <cell r="A618">
            <v>40466</v>
          </cell>
        </row>
        <row r="619">
          <cell r="A619">
            <v>40473</v>
          </cell>
        </row>
        <row r="620">
          <cell r="A620">
            <v>40480</v>
          </cell>
        </row>
        <row r="621">
          <cell r="A621">
            <v>40487</v>
          </cell>
        </row>
        <row r="622">
          <cell r="A622">
            <v>40494</v>
          </cell>
        </row>
        <row r="623">
          <cell r="A623">
            <v>40501</v>
          </cell>
        </row>
        <row r="624">
          <cell r="A624">
            <v>40508</v>
          </cell>
        </row>
        <row r="625">
          <cell r="A625">
            <v>40515</v>
          </cell>
        </row>
        <row r="626">
          <cell r="A626">
            <v>40522</v>
          </cell>
        </row>
        <row r="627">
          <cell r="A627">
            <v>40529</v>
          </cell>
        </row>
        <row r="628">
          <cell r="A628">
            <v>40535</v>
          </cell>
        </row>
        <row r="629">
          <cell r="A629">
            <v>40543</v>
          </cell>
        </row>
        <row r="630">
          <cell r="A630">
            <v>40550</v>
          </cell>
        </row>
        <row r="631">
          <cell r="A631">
            <v>40557</v>
          </cell>
        </row>
        <row r="632">
          <cell r="A632">
            <v>40564</v>
          </cell>
        </row>
        <row r="633">
          <cell r="A633">
            <v>40571</v>
          </cell>
        </row>
        <row r="634">
          <cell r="A634">
            <v>40578</v>
          </cell>
        </row>
        <row r="635">
          <cell r="A635">
            <v>40585</v>
          </cell>
        </row>
        <row r="636">
          <cell r="A636">
            <v>40592</v>
          </cell>
        </row>
        <row r="637">
          <cell r="A637">
            <v>40599</v>
          </cell>
        </row>
        <row r="638">
          <cell r="A638">
            <v>40606</v>
          </cell>
        </row>
        <row r="639">
          <cell r="A639">
            <v>40613</v>
          </cell>
        </row>
        <row r="640">
          <cell r="A640">
            <v>40620</v>
          </cell>
        </row>
        <row r="641">
          <cell r="A641">
            <v>40627</v>
          </cell>
        </row>
        <row r="642">
          <cell r="A642">
            <v>40634</v>
          </cell>
        </row>
        <row r="643">
          <cell r="A643">
            <v>40641</v>
          </cell>
        </row>
        <row r="644">
          <cell r="A644">
            <v>40648</v>
          </cell>
        </row>
        <row r="645">
          <cell r="A645">
            <v>40654</v>
          </cell>
        </row>
        <row r="646">
          <cell r="A646">
            <v>40662</v>
          </cell>
        </row>
        <row r="647">
          <cell r="A647">
            <v>40669</v>
          </cell>
        </row>
        <row r="648">
          <cell r="A648">
            <v>40676</v>
          </cell>
        </row>
        <row r="649">
          <cell r="A649">
            <v>40683</v>
          </cell>
        </row>
        <row r="650">
          <cell r="A650">
            <v>40690</v>
          </cell>
        </row>
        <row r="651">
          <cell r="A651">
            <v>40697</v>
          </cell>
        </row>
        <row r="652">
          <cell r="A652">
            <v>40704</v>
          </cell>
        </row>
        <row r="653">
          <cell r="A653">
            <v>40711</v>
          </cell>
        </row>
        <row r="654">
          <cell r="A654">
            <v>40718</v>
          </cell>
        </row>
        <row r="655">
          <cell r="A655">
            <v>40725</v>
          </cell>
        </row>
        <row r="656">
          <cell r="A656">
            <v>40732</v>
          </cell>
        </row>
        <row r="657">
          <cell r="A657">
            <v>40739</v>
          </cell>
        </row>
        <row r="658">
          <cell r="A658">
            <v>40746</v>
          </cell>
        </row>
        <row r="659">
          <cell r="A659">
            <v>40753</v>
          </cell>
        </row>
        <row r="660">
          <cell r="A660">
            <v>40760</v>
          </cell>
        </row>
        <row r="661">
          <cell r="A661">
            <v>40767</v>
          </cell>
        </row>
        <row r="662">
          <cell r="A662">
            <v>40774</v>
          </cell>
        </row>
        <row r="663">
          <cell r="A663">
            <v>40781</v>
          </cell>
        </row>
        <row r="664">
          <cell r="A664">
            <v>40788</v>
          </cell>
        </row>
        <row r="665">
          <cell r="A665">
            <v>40795</v>
          </cell>
        </row>
        <row r="666">
          <cell r="A666">
            <v>40802</v>
          </cell>
        </row>
        <row r="667">
          <cell r="A667">
            <v>40809</v>
          </cell>
        </row>
        <row r="668">
          <cell r="A668">
            <v>40816</v>
          </cell>
        </row>
        <row r="669">
          <cell r="A669">
            <v>40823</v>
          </cell>
        </row>
        <row r="670">
          <cell r="A670">
            <v>40830</v>
          </cell>
        </row>
        <row r="671">
          <cell r="A671">
            <v>40837</v>
          </cell>
        </row>
        <row r="672">
          <cell r="A672">
            <v>40844</v>
          </cell>
        </row>
        <row r="673">
          <cell r="A673">
            <v>40851</v>
          </cell>
        </row>
        <row r="674">
          <cell r="A674">
            <v>40858</v>
          </cell>
        </row>
        <row r="675">
          <cell r="A675">
            <v>40865</v>
          </cell>
        </row>
        <row r="676">
          <cell r="A676">
            <v>40872</v>
          </cell>
        </row>
        <row r="677">
          <cell r="A677">
            <v>40879</v>
          </cell>
        </row>
        <row r="678">
          <cell r="A678">
            <v>40886</v>
          </cell>
        </row>
        <row r="679">
          <cell r="A679">
            <v>40893</v>
          </cell>
        </row>
        <row r="680">
          <cell r="A680">
            <v>40900</v>
          </cell>
        </row>
        <row r="681">
          <cell r="A681">
            <v>40907</v>
          </cell>
        </row>
        <row r="682">
          <cell r="A682">
            <v>40914</v>
          </cell>
        </row>
        <row r="683">
          <cell r="A683">
            <v>40921</v>
          </cell>
        </row>
        <row r="684">
          <cell r="A684">
            <v>40928</v>
          </cell>
        </row>
        <row r="685">
          <cell r="A685">
            <v>40935</v>
          </cell>
        </row>
        <row r="686">
          <cell r="A686">
            <v>40942</v>
          </cell>
        </row>
        <row r="687">
          <cell r="A687">
            <v>40949</v>
          </cell>
        </row>
        <row r="688">
          <cell r="A688">
            <v>40956</v>
          </cell>
        </row>
        <row r="689">
          <cell r="A689">
            <v>40963</v>
          </cell>
        </row>
        <row r="690">
          <cell r="A690">
            <v>40970</v>
          </cell>
        </row>
        <row r="691">
          <cell r="A691">
            <v>40977</v>
          </cell>
        </row>
        <row r="692">
          <cell r="A692">
            <v>40984</v>
          </cell>
        </row>
        <row r="693">
          <cell r="A693">
            <v>40991</v>
          </cell>
        </row>
        <row r="694">
          <cell r="A694">
            <v>40998</v>
          </cell>
        </row>
        <row r="695">
          <cell r="A695">
            <v>41004</v>
          </cell>
        </row>
        <row r="696">
          <cell r="A696">
            <v>41012</v>
          </cell>
        </row>
        <row r="697">
          <cell r="A697">
            <v>41019</v>
          </cell>
        </row>
        <row r="698">
          <cell r="A698">
            <v>41026</v>
          </cell>
        </row>
        <row r="699">
          <cell r="A699">
            <v>41033</v>
          </cell>
        </row>
        <row r="700">
          <cell r="A700">
            <v>41040</v>
          </cell>
        </row>
        <row r="701">
          <cell r="A701">
            <v>41047</v>
          </cell>
        </row>
        <row r="702">
          <cell r="A702">
            <v>41054</v>
          </cell>
        </row>
        <row r="703">
          <cell r="A703">
            <v>41061</v>
          </cell>
        </row>
        <row r="704">
          <cell r="A704">
            <v>41068</v>
          </cell>
        </row>
        <row r="705">
          <cell r="A705">
            <v>41075</v>
          </cell>
        </row>
        <row r="706">
          <cell r="A706">
            <v>41082</v>
          </cell>
        </row>
        <row r="707">
          <cell r="A707">
            <v>41089</v>
          </cell>
        </row>
        <row r="708">
          <cell r="A708">
            <v>41096</v>
          </cell>
        </row>
        <row r="709">
          <cell r="A709">
            <v>41103</v>
          </cell>
        </row>
        <row r="710">
          <cell r="A710">
            <v>41110</v>
          </cell>
        </row>
        <row r="711">
          <cell r="A711">
            <v>41117</v>
          </cell>
        </row>
        <row r="712">
          <cell r="A712">
            <v>41124</v>
          </cell>
        </row>
        <row r="713">
          <cell r="A713">
            <v>41131</v>
          </cell>
        </row>
        <row r="714">
          <cell r="A714">
            <v>41138</v>
          </cell>
        </row>
        <row r="715">
          <cell r="A715">
            <v>41145</v>
          </cell>
        </row>
        <row r="716">
          <cell r="A716">
            <v>41152</v>
          </cell>
        </row>
        <row r="717">
          <cell r="A717">
            <v>41159</v>
          </cell>
        </row>
        <row r="718">
          <cell r="A718">
            <v>41166</v>
          </cell>
        </row>
        <row r="719">
          <cell r="A719">
            <v>41173</v>
          </cell>
        </row>
        <row r="720">
          <cell r="A720">
            <v>41180</v>
          </cell>
        </row>
        <row r="721">
          <cell r="A721">
            <v>41187</v>
          </cell>
        </row>
        <row r="722">
          <cell r="A722">
            <v>41194</v>
          </cell>
        </row>
        <row r="723">
          <cell r="A723">
            <v>41201</v>
          </cell>
        </row>
        <row r="724">
          <cell r="A724">
            <v>41208</v>
          </cell>
        </row>
        <row r="725">
          <cell r="A725">
            <v>41215</v>
          </cell>
        </row>
        <row r="726">
          <cell r="A726">
            <v>41222</v>
          </cell>
        </row>
        <row r="727">
          <cell r="A727">
            <v>41229</v>
          </cell>
        </row>
        <row r="728">
          <cell r="A728">
            <v>41236</v>
          </cell>
        </row>
        <row r="729">
          <cell r="A729">
            <v>41243</v>
          </cell>
        </row>
        <row r="730">
          <cell r="A730">
            <v>41250</v>
          </cell>
        </row>
        <row r="731">
          <cell r="A731">
            <v>41257</v>
          </cell>
        </row>
        <row r="732">
          <cell r="A732">
            <v>41264</v>
          </cell>
        </row>
        <row r="733">
          <cell r="A733">
            <v>41271</v>
          </cell>
        </row>
        <row r="734">
          <cell r="A734">
            <v>41278</v>
          </cell>
        </row>
        <row r="735">
          <cell r="A735">
            <v>41285</v>
          </cell>
        </row>
        <row r="736">
          <cell r="A736">
            <v>41292</v>
          </cell>
        </row>
        <row r="737">
          <cell r="A737">
            <v>41299</v>
          </cell>
        </row>
        <row r="738">
          <cell r="A738">
            <v>41306</v>
          </cell>
        </row>
        <row r="739">
          <cell r="A739">
            <v>41313</v>
          </cell>
        </row>
        <row r="740">
          <cell r="A740">
            <v>41320</v>
          </cell>
        </row>
        <row r="741">
          <cell r="A741">
            <v>41327</v>
          </cell>
        </row>
        <row r="742">
          <cell r="A742">
            <v>41334</v>
          </cell>
        </row>
        <row r="743">
          <cell r="A743">
            <v>41341</v>
          </cell>
        </row>
        <row r="744">
          <cell r="A744">
            <v>41348</v>
          </cell>
        </row>
        <row r="745">
          <cell r="A745">
            <v>41355</v>
          </cell>
        </row>
        <row r="746">
          <cell r="A746">
            <v>41361</v>
          </cell>
        </row>
        <row r="747">
          <cell r="A747">
            <v>41369</v>
          </cell>
        </row>
        <row r="748">
          <cell r="A748">
            <v>41376</v>
          </cell>
        </row>
        <row r="749">
          <cell r="A749">
            <v>41383</v>
          </cell>
        </row>
        <row r="750">
          <cell r="A750">
            <v>41390</v>
          </cell>
        </row>
        <row r="751">
          <cell r="A751">
            <v>41397</v>
          </cell>
        </row>
        <row r="752">
          <cell r="A752">
            <v>41404</v>
          </cell>
        </row>
        <row r="753">
          <cell r="A753">
            <v>41411</v>
          </cell>
        </row>
        <row r="754">
          <cell r="A754">
            <v>41418</v>
          </cell>
        </row>
        <row r="755">
          <cell r="A755">
            <v>41425</v>
          </cell>
        </row>
        <row r="756">
          <cell r="A756">
            <v>41432</v>
          </cell>
        </row>
        <row r="757">
          <cell r="A757">
            <v>41439</v>
          </cell>
        </row>
        <row r="758">
          <cell r="A758">
            <v>41446</v>
          </cell>
        </row>
        <row r="759">
          <cell r="A759">
            <v>41453</v>
          </cell>
        </row>
        <row r="760">
          <cell r="A760">
            <v>41460</v>
          </cell>
        </row>
        <row r="761">
          <cell r="A761">
            <v>41467</v>
          </cell>
        </row>
        <row r="762">
          <cell r="A762">
            <v>41474</v>
          </cell>
        </row>
        <row r="763">
          <cell r="A763">
            <v>41481</v>
          </cell>
        </row>
        <row r="764">
          <cell r="A764">
            <v>41488</v>
          </cell>
        </row>
        <row r="765">
          <cell r="A765">
            <v>41495</v>
          </cell>
        </row>
        <row r="766">
          <cell r="A766">
            <v>41502</v>
          </cell>
        </row>
        <row r="767">
          <cell r="A767">
            <v>41509</v>
          </cell>
        </row>
        <row r="768">
          <cell r="A768">
            <v>41516</v>
          </cell>
        </row>
        <row r="769">
          <cell r="A769">
            <v>41523</v>
          </cell>
        </row>
        <row r="770">
          <cell r="A770">
            <v>41530</v>
          </cell>
        </row>
        <row r="771">
          <cell r="A771">
            <v>41537</v>
          </cell>
        </row>
        <row r="772">
          <cell r="A772">
            <v>41544</v>
          </cell>
        </row>
        <row r="773">
          <cell r="A773">
            <v>41551</v>
          </cell>
        </row>
        <row r="774">
          <cell r="A774">
            <v>41558</v>
          </cell>
        </row>
        <row r="775">
          <cell r="A775">
            <v>41565</v>
          </cell>
        </row>
        <row r="776">
          <cell r="A776">
            <v>41572</v>
          </cell>
        </row>
        <row r="777">
          <cell r="A777">
            <v>41579</v>
          </cell>
        </row>
        <row r="778">
          <cell r="A778">
            <v>41586</v>
          </cell>
        </row>
        <row r="779">
          <cell r="A779">
            <v>41593</v>
          </cell>
        </row>
        <row r="780">
          <cell r="A780">
            <v>41600</v>
          </cell>
        </row>
        <row r="781">
          <cell r="A781">
            <v>41607</v>
          </cell>
        </row>
        <row r="782">
          <cell r="A782">
            <v>41614</v>
          </cell>
        </row>
        <row r="783">
          <cell r="A783">
            <v>41621</v>
          </cell>
        </row>
        <row r="784">
          <cell r="A784">
            <v>41628</v>
          </cell>
        </row>
        <row r="785">
          <cell r="A785">
            <v>41635</v>
          </cell>
        </row>
        <row r="786">
          <cell r="A786">
            <v>41642</v>
          </cell>
        </row>
        <row r="787">
          <cell r="A787">
            <v>41649</v>
          </cell>
        </row>
        <row r="788">
          <cell r="A788">
            <v>41656</v>
          </cell>
        </row>
        <row r="789">
          <cell r="A789">
            <v>41663</v>
          </cell>
        </row>
        <row r="790">
          <cell r="A790">
            <v>41670</v>
          </cell>
        </row>
        <row r="791">
          <cell r="A791">
            <v>41677</v>
          </cell>
        </row>
        <row r="792">
          <cell r="A792">
            <v>41684</v>
          </cell>
        </row>
        <row r="793">
          <cell r="A793">
            <v>41691</v>
          </cell>
        </row>
        <row r="794">
          <cell r="A794">
            <v>41698</v>
          </cell>
        </row>
        <row r="795">
          <cell r="A795">
            <v>41705</v>
          </cell>
        </row>
        <row r="796">
          <cell r="A796">
            <v>41712</v>
          </cell>
        </row>
        <row r="797">
          <cell r="A797">
            <v>41719</v>
          </cell>
        </row>
        <row r="798">
          <cell r="A798">
            <v>41726</v>
          </cell>
        </row>
        <row r="799">
          <cell r="A799">
            <v>41733</v>
          </cell>
        </row>
        <row r="800">
          <cell r="A800">
            <v>41740</v>
          </cell>
        </row>
        <row r="801">
          <cell r="A801">
            <v>41746</v>
          </cell>
        </row>
        <row r="802">
          <cell r="A802">
            <v>41754</v>
          </cell>
        </row>
        <row r="803">
          <cell r="A803">
            <v>41761</v>
          </cell>
        </row>
        <row r="804">
          <cell r="A804">
            <v>41768</v>
          </cell>
        </row>
        <row r="805">
          <cell r="A805">
            <v>41775</v>
          </cell>
        </row>
        <row r="806">
          <cell r="A806">
            <v>41782</v>
          </cell>
        </row>
        <row r="807">
          <cell r="A807">
            <v>41789</v>
          </cell>
        </row>
        <row r="808">
          <cell r="A808">
            <v>41796</v>
          </cell>
        </row>
        <row r="809">
          <cell r="A809">
            <v>41803</v>
          </cell>
        </row>
        <row r="810">
          <cell r="A810">
            <v>41810</v>
          </cell>
        </row>
        <row r="811">
          <cell r="A811">
            <v>41817</v>
          </cell>
        </row>
        <row r="812">
          <cell r="A812">
            <v>41823</v>
          </cell>
        </row>
        <row r="813">
          <cell r="A813">
            <v>41831</v>
          </cell>
        </row>
        <row r="814">
          <cell r="A814">
            <v>41838</v>
          </cell>
        </row>
        <row r="815">
          <cell r="A815">
            <v>41845</v>
          </cell>
        </row>
        <row r="816">
          <cell r="A816">
            <v>41852</v>
          </cell>
        </row>
        <row r="817">
          <cell r="A817">
            <v>41859</v>
          </cell>
        </row>
        <row r="818">
          <cell r="A818">
            <v>41866</v>
          </cell>
        </row>
        <row r="819">
          <cell r="A819">
            <v>41873</v>
          </cell>
        </row>
        <row r="820">
          <cell r="A820">
            <v>41880</v>
          </cell>
        </row>
        <row r="821">
          <cell r="A821">
            <v>41887</v>
          </cell>
        </row>
        <row r="822">
          <cell r="A822">
            <v>41894</v>
          </cell>
        </row>
        <row r="823">
          <cell r="A823">
            <v>41901</v>
          </cell>
        </row>
        <row r="824">
          <cell r="A824">
            <v>41908</v>
          </cell>
        </row>
        <row r="825">
          <cell r="A825">
            <v>41915</v>
          </cell>
        </row>
        <row r="826">
          <cell r="A826">
            <v>41922</v>
          </cell>
        </row>
        <row r="827">
          <cell r="A827">
            <v>41929</v>
          </cell>
        </row>
        <row r="828">
          <cell r="A828">
            <v>41936</v>
          </cell>
        </row>
        <row r="829">
          <cell r="A829">
            <v>41943</v>
          </cell>
        </row>
        <row r="830">
          <cell r="A830">
            <v>41950</v>
          </cell>
        </row>
        <row r="831">
          <cell r="A831">
            <v>41957</v>
          </cell>
        </row>
        <row r="832">
          <cell r="A832">
            <v>41964</v>
          </cell>
        </row>
        <row r="833">
          <cell r="A833">
            <v>41971</v>
          </cell>
        </row>
        <row r="834">
          <cell r="A834">
            <v>41978</v>
          </cell>
        </row>
        <row r="835">
          <cell r="A835">
            <v>41985</v>
          </cell>
        </row>
        <row r="836">
          <cell r="A836">
            <v>41992</v>
          </cell>
        </row>
        <row r="837">
          <cell r="A837">
            <v>41999</v>
          </cell>
        </row>
        <row r="838">
          <cell r="A838">
            <v>42006</v>
          </cell>
        </row>
        <row r="839">
          <cell r="A839">
            <v>42013</v>
          </cell>
        </row>
        <row r="840">
          <cell r="A840">
            <v>42020</v>
          </cell>
        </row>
        <row r="841">
          <cell r="A841">
            <v>42027</v>
          </cell>
        </row>
        <row r="842">
          <cell r="A842">
            <v>42034</v>
          </cell>
        </row>
        <row r="843">
          <cell r="A843">
            <v>42041</v>
          </cell>
        </row>
        <row r="844">
          <cell r="A844">
            <v>42048</v>
          </cell>
        </row>
        <row r="845">
          <cell r="A845">
            <v>42055</v>
          </cell>
        </row>
        <row r="846">
          <cell r="A846">
            <v>42062</v>
          </cell>
        </row>
        <row r="847">
          <cell r="A847">
            <v>42069</v>
          </cell>
        </row>
        <row r="848">
          <cell r="A848">
            <v>42076</v>
          </cell>
        </row>
        <row r="849">
          <cell r="A849">
            <v>42083</v>
          </cell>
        </row>
        <row r="850">
          <cell r="A850">
            <v>42090</v>
          </cell>
        </row>
        <row r="851">
          <cell r="A851">
            <v>42096</v>
          </cell>
        </row>
        <row r="852">
          <cell r="A852">
            <v>42104</v>
          </cell>
        </row>
        <row r="853">
          <cell r="A853">
            <v>42111</v>
          </cell>
        </row>
        <row r="854">
          <cell r="A854">
            <v>42118</v>
          </cell>
        </row>
        <row r="855">
          <cell r="A855">
            <v>42125</v>
          </cell>
        </row>
        <row r="856">
          <cell r="A856">
            <v>42132</v>
          </cell>
        </row>
        <row r="857">
          <cell r="A857">
            <v>42139</v>
          </cell>
        </row>
        <row r="858">
          <cell r="A858">
            <v>42146</v>
          </cell>
        </row>
        <row r="859">
          <cell r="A859">
            <v>42153</v>
          </cell>
        </row>
        <row r="860">
          <cell r="A860">
            <v>42160</v>
          </cell>
        </row>
        <row r="861">
          <cell r="A861">
            <v>42167</v>
          </cell>
        </row>
        <row r="862">
          <cell r="A862">
            <v>42174</v>
          </cell>
        </row>
        <row r="863">
          <cell r="A863">
            <v>42181</v>
          </cell>
        </row>
        <row r="864">
          <cell r="A864">
            <v>42187</v>
          </cell>
        </row>
        <row r="865">
          <cell r="A865">
            <v>42195</v>
          </cell>
        </row>
        <row r="866">
          <cell r="A866">
            <v>42202</v>
          </cell>
        </row>
        <row r="867">
          <cell r="A867">
            <v>42209</v>
          </cell>
        </row>
        <row r="868">
          <cell r="A868">
            <v>42216</v>
          </cell>
        </row>
        <row r="869">
          <cell r="A869">
            <v>42223</v>
          </cell>
        </row>
        <row r="870">
          <cell r="A870">
            <v>42230</v>
          </cell>
        </row>
        <row r="871">
          <cell r="A871">
            <v>42237</v>
          </cell>
        </row>
        <row r="872">
          <cell r="A872">
            <v>42244</v>
          </cell>
        </row>
        <row r="873">
          <cell r="A873">
            <v>42251</v>
          </cell>
        </row>
        <row r="874">
          <cell r="A874">
            <v>42258</v>
          </cell>
        </row>
        <row r="875">
          <cell r="A875">
            <v>42265</v>
          </cell>
        </row>
        <row r="876">
          <cell r="A876">
            <v>42272</v>
          </cell>
        </row>
        <row r="877">
          <cell r="A877">
            <v>42279</v>
          </cell>
        </row>
        <row r="878">
          <cell r="A878">
            <v>42286</v>
          </cell>
        </row>
        <row r="879">
          <cell r="A879">
            <v>42293</v>
          </cell>
        </row>
        <row r="880">
          <cell r="A880">
            <v>42300</v>
          </cell>
        </row>
        <row r="881">
          <cell r="A881">
            <v>42307</v>
          </cell>
        </row>
        <row r="882">
          <cell r="A882">
            <v>42314</v>
          </cell>
        </row>
        <row r="883">
          <cell r="A883">
            <v>42321</v>
          </cell>
        </row>
        <row r="884">
          <cell r="A884">
            <v>42328</v>
          </cell>
        </row>
        <row r="885">
          <cell r="A885">
            <v>42335</v>
          </cell>
        </row>
        <row r="886">
          <cell r="A886">
            <v>42342</v>
          </cell>
        </row>
        <row r="887">
          <cell r="A887">
            <v>42349</v>
          </cell>
        </row>
        <row r="888">
          <cell r="A888">
            <v>42356</v>
          </cell>
        </row>
        <row r="889">
          <cell r="A889">
            <v>42362</v>
          </cell>
        </row>
        <row r="890">
          <cell r="A890">
            <v>42369</v>
          </cell>
        </row>
        <row r="891">
          <cell r="A891">
            <v>42377</v>
          </cell>
        </row>
        <row r="892">
          <cell r="A892">
            <v>42384</v>
          </cell>
        </row>
        <row r="893">
          <cell r="A893">
            <v>42391</v>
          </cell>
        </row>
        <row r="894">
          <cell r="A894">
            <v>42398</v>
          </cell>
        </row>
        <row r="895">
          <cell r="A895">
            <v>42405</v>
          </cell>
        </row>
        <row r="896">
          <cell r="A896">
            <v>42412</v>
          </cell>
        </row>
        <row r="897">
          <cell r="A897">
            <v>42419</v>
          </cell>
        </row>
        <row r="898">
          <cell r="A898">
            <v>42426</v>
          </cell>
        </row>
        <row r="899">
          <cell r="A899">
            <v>42433</v>
          </cell>
        </row>
        <row r="900">
          <cell r="A900">
            <v>42440</v>
          </cell>
        </row>
        <row r="901">
          <cell r="A901">
            <v>42447</v>
          </cell>
        </row>
        <row r="902">
          <cell r="A902">
            <v>42453</v>
          </cell>
        </row>
        <row r="903">
          <cell r="A903">
            <v>42461</v>
          </cell>
        </row>
        <row r="904">
          <cell r="A904">
            <v>42468</v>
          </cell>
        </row>
        <row r="905">
          <cell r="A905">
            <v>42475</v>
          </cell>
        </row>
        <row r="906">
          <cell r="A906">
            <v>42482</v>
          </cell>
        </row>
        <row r="907">
          <cell r="A907">
            <v>42489</v>
          </cell>
        </row>
        <row r="908">
          <cell r="A908">
            <v>42496</v>
          </cell>
        </row>
        <row r="909">
          <cell r="A909">
            <v>42503</v>
          </cell>
        </row>
        <row r="910">
          <cell r="A910">
            <v>42510</v>
          </cell>
        </row>
        <row r="911">
          <cell r="A911">
            <v>42517</v>
          </cell>
        </row>
        <row r="912">
          <cell r="A912">
            <v>42524</v>
          </cell>
        </row>
        <row r="913">
          <cell r="A913">
            <v>42531</v>
          </cell>
        </row>
        <row r="914">
          <cell r="A914">
            <v>42538</v>
          </cell>
        </row>
        <row r="915">
          <cell r="A915">
            <v>42545</v>
          </cell>
        </row>
        <row r="916">
          <cell r="A916">
            <v>42552</v>
          </cell>
        </row>
        <row r="917">
          <cell r="A917">
            <v>42559</v>
          </cell>
        </row>
        <row r="918">
          <cell r="A918">
            <v>42566</v>
          </cell>
        </row>
        <row r="919">
          <cell r="A919">
            <v>42573</v>
          </cell>
        </row>
        <row r="920">
          <cell r="A920">
            <v>42580</v>
          </cell>
        </row>
        <row r="921">
          <cell r="A921">
            <v>42587</v>
          </cell>
        </row>
        <row r="922">
          <cell r="A922">
            <v>42594</v>
          </cell>
        </row>
        <row r="923">
          <cell r="A923">
            <v>42601</v>
          </cell>
        </row>
        <row r="924">
          <cell r="A924">
            <v>42608</v>
          </cell>
        </row>
        <row r="925">
          <cell r="A925">
            <v>42615</v>
          </cell>
        </row>
        <row r="926">
          <cell r="A926">
            <v>42622</v>
          </cell>
        </row>
        <row r="927">
          <cell r="A927">
            <v>42629</v>
          </cell>
        </row>
        <row r="928">
          <cell r="A928">
            <v>42636</v>
          </cell>
        </row>
        <row r="929">
          <cell r="A929">
            <v>42643</v>
          </cell>
        </row>
        <row r="930">
          <cell r="A930">
            <v>42650</v>
          </cell>
        </row>
        <row r="931">
          <cell r="A931">
            <v>42657</v>
          </cell>
        </row>
        <row r="932">
          <cell r="A932">
            <v>42664</v>
          </cell>
        </row>
        <row r="933">
          <cell r="A933">
            <v>42671</v>
          </cell>
        </row>
        <row r="934">
          <cell r="A934">
            <v>42678</v>
          </cell>
        </row>
        <row r="935">
          <cell r="A935">
            <v>42685</v>
          </cell>
        </row>
        <row r="936">
          <cell r="A936">
            <v>42692</v>
          </cell>
        </row>
        <row r="937">
          <cell r="A937">
            <v>42699</v>
          </cell>
        </row>
        <row r="938">
          <cell r="A938">
            <v>42706</v>
          </cell>
        </row>
        <row r="939">
          <cell r="A939">
            <v>42713</v>
          </cell>
        </row>
        <row r="940">
          <cell r="A940">
            <v>42720</v>
          </cell>
        </row>
        <row r="941">
          <cell r="A941">
            <v>42727</v>
          </cell>
        </row>
        <row r="942">
          <cell r="A942">
            <v>42734</v>
          </cell>
        </row>
        <row r="943">
          <cell r="A943">
            <v>42741</v>
          </cell>
        </row>
        <row r="944">
          <cell r="A944">
            <v>42748</v>
          </cell>
        </row>
        <row r="945">
          <cell r="A945">
            <v>42755</v>
          </cell>
        </row>
        <row r="946">
          <cell r="A946">
            <v>42762</v>
          </cell>
        </row>
        <row r="947">
          <cell r="A947">
            <v>42769</v>
          </cell>
        </row>
        <row r="948">
          <cell r="A948">
            <v>42776</v>
          </cell>
        </row>
        <row r="949">
          <cell r="A949">
            <v>42783</v>
          </cell>
        </row>
        <row r="950">
          <cell r="A950">
            <v>42790</v>
          </cell>
        </row>
        <row r="951">
          <cell r="A951">
            <v>42797</v>
          </cell>
        </row>
        <row r="952">
          <cell r="A952">
            <v>42804</v>
          </cell>
        </row>
        <row r="953">
          <cell r="A953">
            <v>42811</v>
          </cell>
        </row>
        <row r="954">
          <cell r="A954">
            <v>42818</v>
          </cell>
        </row>
        <row r="955">
          <cell r="A955">
            <v>42825</v>
          </cell>
        </row>
        <row r="956">
          <cell r="A956">
            <v>42832</v>
          </cell>
        </row>
        <row r="957">
          <cell r="A957">
            <v>42838</v>
          </cell>
        </row>
        <row r="958">
          <cell r="A958">
            <v>42846</v>
          </cell>
        </row>
        <row r="959">
          <cell r="A959">
            <v>42853</v>
          </cell>
        </row>
        <row r="960">
          <cell r="A960">
            <v>42860</v>
          </cell>
        </row>
        <row r="961">
          <cell r="A961">
            <v>42867</v>
          </cell>
        </row>
        <row r="962">
          <cell r="A962">
            <v>42874</v>
          </cell>
        </row>
        <row r="963">
          <cell r="A963">
            <v>42881</v>
          </cell>
        </row>
        <row r="964">
          <cell r="A964">
            <v>42888</v>
          </cell>
        </row>
        <row r="965">
          <cell r="A965">
            <v>42895</v>
          </cell>
        </row>
        <row r="966">
          <cell r="A966">
            <v>42902</v>
          </cell>
        </row>
        <row r="967">
          <cell r="A967">
            <v>42909</v>
          </cell>
        </row>
        <row r="968">
          <cell r="A968">
            <v>42916</v>
          </cell>
        </row>
        <row r="969">
          <cell r="A969">
            <v>42923</v>
          </cell>
        </row>
        <row r="970">
          <cell r="A970">
            <v>42930</v>
          </cell>
        </row>
        <row r="971">
          <cell r="A971">
            <v>42937</v>
          </cell>
        </row>
        <row r="972">
          <cell r="A972">
            <v>42944</v>
          </cell>
        </row>
        <row r="973">
          <cell r="A973">
            <v>42951</v>
          </cell>
        </row>
        <row r="974">
          <cell r="A974">
            <v>42958</v>
          </cell>
        </row>
        <row r="975">
          <cell r="A975">
            <v>42965</v>
          </cell>
        </row>
        <row r="976">
          <cell r="A976">
            <v>42972</v>
          </cell>
        </row>
        <row r="977">
          <cell r="A977">
            <v>42979</v>
          </cell>
        </row>
        <row r="978">
          <cell r="A978">
            <v>42986</v>
          </cell>
        </row>
        <row r="979">
          <cell r="A979">
            <v>42993</v>
          </cell>
        </row>
        <row r="980">
          <cell r="A980">
            <v>43000</v>
          </cell>
        </row>
        <row r="981">
          <cell r="A981">
            <v>43007</v>
          </cell>
        </row>
        <row r="982">
          <cell r="A982">
            <v>43014</v>
          </cell>
        </row>
        <row r="983">
          <cell r="A983">
            <v>43021</v>
          </cell>
        </row>
        <row r="984">
          <cell r="A984">
            <v>43028</v>
          </cell>
        </row>
        <row r="985">
          <cell r="A985">
            <v>43035</v>
          </cell>
        </row>
        <row r="986">
          <cell r="A986">
            <v>43042</v>
          </cell>
        </row>
        <row r="987">
          <cell r="A987">
            <v>43049</v>
          </cell>
        </row>
        <row r="988">
          <cell r="A988">
            <v>43056</v>
          </cell>
        </row>
        <row r="989">
          <cell r="A989">
            <v>43063</v>
          </cell>
        </row>
        <row r="990">
          <cell r="A990">
            <v>43070</v>
          </cell>
        </row>
        <row r="991">
          <cell r="A991">
            <v>43077</v>
          </cell>
        </row>
        <row r="992">
          <cell r="A992">
            <v>43084</v>
          </cell>
        </row>
        <row r="993">
          <cell r="A993">
            <v>43091</v>
          </cell>
        </row>
        <row r="994">
          <cell r="A994">
            <v>43098</v>
          </cell>
        </row>
        <row r="995">
          <cell r="A995">
            <v>43105</v>
          </cell>
        </row>
        <row r="996">
          <cell r="A996">
            <v>43112</v>
          </cell>
        </row>
        <row r="997">
          <cell r="A997">
            <v>43119</v>
          </cell>
        </row>
        <row r="998">
          <cell r="A998">
            <v>43126</v>
          </cell>
        </row>
        <row r="999">
          <cell r="A999">
            <v>43133</v>
          </cell>
        </row>
        <row r="1000">
          <cell r="A1000">
            <v>43140</v>
          </cell>
        </row>
        <row r="1001">
          <cell r="A1001">
            <v>43147</v>
          </cell>
        </row>
        <row r="1002">
          <cell r="A1002">
            <v>43154</v>
          </cell>
        </row>
        <row r="1003">
          <cell r="A1003">
            <v>43161</v>
          </cell>
        </row>
        <row r="1004">
          <cell r="A1004">
            <v>43168</v>
          </cell>
        </row>
        <row r="1005">
          <cell r="A1005">
            <v>43175</v>
          </cell>
        </row>
        <row r="1006">
          <cell r="A1006">
            <v>43182</v>
          </cell>
        </row>
        <row r="1007">
          <cell r="A1007">
            <v>43188</v>
          </cell>
        </row>
        <row r="1008">
          <cell r="A1008">
            <v>43196</v>
          </cell>
        </row>
        <row r="1009">
          <cell r="A1009">
            <v>43203</v>
          </cell>
        </row>
        <row r="1010">
          <cell r="A1010">
            <v>43210</v>
          </cell>
        </row>
        <row r="1011">
          <cell r="A1011">
            <v>43217</v>
          </cell>
        </row>
        <row r="1012">
          <cell r="A1012">
            <v>43224</v>
          </cell>
        </row>
        <row r="1013">
          <cell r="A1013">
            <v>43231</v>
          </cell>
        </row>
        <row r="1014">
          <cell r="A1014">
            <v>43238</v>
          </cell>
        </row>
        <row r="1015">
          <cell r="A1015">
            <v>43245</v>
          </cell>
        </row>
        <row r="1016">
          <cell r="A1016">
            <v>43252</v>
          </cell>
        </row>
        <row r="1017">
          <cell r="A1017">
            <v>43259</v>
          </cell>
        </row>
        <row r="1018">
          <cell r="A1018">
            <v>43266</v>
          </cell>
        </row>
        <row r="1019">
          <cell r="A1019">
            <v>43273</v>
          </cell>
        </row>
        <row r="1020">
          <cell r="A1020">
            <v>43280</v>
          </cell>
        </row>
        <row r="1021">
          <cell r="A1021">
            <v>43287</v>
          </cell>
        </row>
        <row r="1022">
          <cell r="A1022">
            <v>43294</v>
          </cell>
        </row>
        <row r="1023">
          <cell r="A1023">
            <v>43301</v>
          </cell>
        </row>
        <row r="1024">
          <cell r="A1024">
            <v>43308</v>
          </cell>
        </row>
        <row r="1025">
          <cell r="A1025">
            <v>43315</v>
          </cell>
        </row>
        <row r="1026">
          <cell r="A1026">
            <v>43322</v>
          </cell>
        </row>
        <row r="1027">
          <cell r="A1027">
            <v>43329</v>
          </cell>
        </row>
        <row r="1028">
          <cell r="A1028">
            <v>43336</v>
          </cell>
        </row>
        <row r="1029">
          <cell r="A1029">
            <v>43343</v>
          </cell>
        </row>
        <row r="1030">
          <cell r="A1030">
            <v>43350</v>
          </cell>
        </row>
        <row r="1031">
          <cell r="A1031">
            <v>43357</v>
          </cell>
        </row>
        <row r="1032">
          <cell r="A1032">
            <v>43364</v>
          </cell>
        </row>
        <row r="1033">
          <cell r="A1033">
            <v>43371</v>
          </cell>
        </row>
        <row r="1034">
          <cell r="A1034">
            <v>43378</v>
          </cell>
        </row>
        <row r="1035">
          <cell r="A1035">
            <v>43385</v>
          </cell>
        </row>
        <row r="1036">
          <cell r="A1036">
            <v>43392</v>
          </cell>
        </row>
        <row r="1037">
          <cell r="A1037">
            <v>43399</v>
          </cell>
        </row>
        <row r="1038">
          <cell r="A1038">
            <v>43406</v>
          </cell>
        </row>
        <row r="1039">
          <cell r="A1039">
            <v>43413</v>
          </cell>
        </row>
        <row r="1040">
          <cell r="A1040">
            <v>43420</v>
          </cell>
        </row>
        <row r="1041">
          <cell r="A1041">
            <v>43427</v>
          </cell>
        </row>
        <row r="1042">
          <cell r="A1042">
            <v>43434</v>
          </cell>
        </row>
        <row r="1043">
          <cell r="A1043">
            <v>43441</v>
          </cell>
        </row>
        <row r="1044">
          <cell r="A1044">
            <v>43448</v>
          </cell>
        </row>
        <row r="1045">
          <cell r="A1045">
            <v>43455</v>
          </cell>
        </row>
        <row r="1046">
          <cell r="A1046">
            <v>43462</v>
          </cell>
        </row>
        <row r="1047">
          <cell r="A1047">
            <v>43469</v>
          </cell>
        </row>
        <row r="1048">
          <cell r="A1048">
            <v>43476</v>
          </cell>
        </row>
        <row r="1049">
          <cell r="A1049">
            <v>43483</v>
          </cell>
        </row>
        <row r="1050">
          <cell r="A1050">
            <v>43490</v>
          </cell>
        </row>
        <row r="1051">
          <cell r="A1051">
            <v>43497</v>
          </cell>
        </row>
        <row r="1052">
          <cell r="A1052">
            <v>43504</v>
          </cell>
        </row>
        <row r="1053">
          <cell r="A1053">
            <v>43511</v>
          </cell>
        </row>
        <row r="1054">
          <cell r="A1054">
            <v>43518</v>
          </cell>
        </row>
        <row r="1055">
          <cell r="A1055">
            <v>43525</v>
          </cell>
        </row>
        <row r="1056">
          <cell r="A1056">
            <v>43532</v>
          </cell>
        </row>
        <row r="1057">
          <cell r="A1057">
            <v>43539</v>
          </cell>
        </row>
        <row r="1058">
          <cell r="A1058">
            <v>43546</v>
          </cell>
        </row>
        <row r="1059">
          <cell r="A1059">
            <v>43553</v>
          </cell>
        </row>
        <row r="1060">
          <cell r="A1060">
            <v>43560</v>
          </cell>
        </row>
        <row r="1061">
          <cell r="A1061">
            <v>43567</v>
          </cell>
        </row>
        <row r="1062">
          <cell r="A1062">
            <v>43573</v>
          </cell>
        </row>
        <row r="1063">
          <cell r="A1063">
            <v>43581</v>
          </cell>
        </row>
        <row r="1064">
          <cell r="A1064">
            <v>43588</v>
          </cell>
        </row>
        <row r="1065">
          <cell r="A1065">
            <v>43595</v>
          </cell>
        </row>
        <row r="1066">
          <cell r="A1066">
            <v>43602</v>
          </cell>
        </row>
        <row r="1067">
          <cell r="A1067">
            <v>43609</v>
          </cell>
        </row>
        <row r="1068">
          <cell r="A1068">
            <v>43616</v>
          </cell>
        </row>
        <row r="1069">
          <cell r="A1069">
            <v>43623</v>
          </cell>
        </row>
        <row r="1070">
          <cell r="A1070">
            <v>43630</v>
          </cell>
        </row>
        <row r="1071">
          <cell r="A1071">
            <v>43637</v>
          </cell>
        </row>
        <row r="1072">
          <cell r="A1072">
            <v>43644</v>
          </cell>
        </row>
        <row r="1073">
          <cell r="A1073">
            <v>43651</v>
          </cell>
        </row>
        <row r="1074">
          <cell r="A1074">
            <v>43658</v>
          </cell>
        </row>
        <row r="1075">
          <cell r="A1075">
            <v>43665</v>
          </cell>
        </row>
        <row r="1076">
          <cell r="A1076">
            <v>43672</v>
          </cell>
        </row>
        <row r="1077">
          <cell r="A1077">
            <v>43679</v>
          </cell>
        </row>
        <row r="1078">
          <cell r="A1078">
            <v>43686</v>
          </cell>
        </row>
        <row r="1079">
          <cell r="A1079">
            <v>43693</v>
          </cell>
        </row>
        <row r="1080">
          <cell r="A1080">
            <v>43700</v>
          </cell>
        </row>
        <row r="1081">
          <cell r="A1081">
            <v>43707</v>
          </cell>
        </row>
        <row r="1082">
          <cell r="A1082">
            <v>43714</v>
          </cell>
        </row>
        <row r="1083">
          <cell r="A1083">
            <v>43721</v>
          </cell>
        </row>
        <row r="1084">
          <cell r="A1084">
            <v>43728</v>
          </cell>
        </row>
        <row r="1085">
          <cell r="A1085">
            <v>43735</v>
          </cell>
        </row>
        <row r="1086">
          <cell r="A1086">
            <v>43742</v>
          </cell>
        </row>
        <row r="1087">
          <cell r="A1087">
            <v>43749</v>
          </cell>
        </row>
        <row r="1088">
          <cell r="A1088">
            <v>43756</v>
          </cell>
        </row>
        <row r="1089">
          <cell r="A1089">
            <v>43763</v>
          </cell>
        </row>
        <row r="1090">
          <cell r="A1090">
            <v>43770</v>
          </cell>
        </row>
        <row r="1091">
          <cell r="A1091">
            <v>43777</v>
          </cell>
        </row>
        <row r="1092">
          <cell r="A1092">
            <v>43784</v>
          </cell>
        </row>
        <row r="1093">
          <cell r="A1093">
            <v>43791</v>
          </cell>
        </row>
        <row r="1094">
          <cell r="A1094">
            <v>43798</v>
          </cell>
        </row>
        <row r="1095">
          <cell r="A1095">
            <v>43805</v>
          </cell>
        </row>
        <row r="1096">
          <cell r="A1096">
            <v>43812</v>
          </cell>
        </row>
        <row r="1097">
          <cell r="A1097">
            <v>43819</v>
          </cell>
        </row>
        <row r="1098">
          <cell r="A1098">
            <v>43826</v>
          </cell>
        </row>
        <row r="1099">
          <cell r="A1099">
            <v>43833</v>
          </cell>
        </row>
        <row r="1100">
          <cell r="A1100">
            <v>43840</v>
          </cell>
        </row>
        <row r="1101">
          <cell r="A1101">
            <v>43847</v>
          </cell>
        </row>
        <row r="1102">
          <cell r="A1102">
            <v>43854</v>
          </cell>
        </row>
        <row r="1103">
          <cell r="A1103">
            <v>43861</v>
          </cell>
        </row>
        <row r="1104">
          <cell r="A1104">
            <v>43868</v>
          </cell>
        </row>
        <row r="1105">
          <cell r="A1105">
            <v>43875</v>
          </cell>
        </row>
        <row r="1106">
          <cell r="A1106">
            <v>43882</v>
          </cell>
        </row>
        <row r="1107">
          <cell r="A1107">
            <v>43889</v>
          </cell>
        </row>
        <row r="1108">
          <cell r="A1108">
            <v>43896</v>
          </cell>
        </row>
        <row r="1109">
          <cell r="A1109">
            <v>43903</v>
          </cell>
        </row>
        <row r="1110">
          <cell r="A1110">
            <v>43910</v>
          </cell>
        </row>
        <row r="1111">
          <cell r="A1111">
            <v>43917</v>
          </cell>
        </row>
        <row r="1112">
          <cell r="A1112">
            <v>43924</v>
          </cell>
        </row>
        <row r="1113">
          <cell r="A1113">
            <v>43930</v>
          </cell>
        </row>
        <row r="1114">
          <cell r="A1114">
            <v>43938</v>
          </cell>
        </row>
        <row r="1115">
          <cell r="A1115">
            <v>43945</v>
          </cell>
        </row>
        <row r="1116">
          <cell r="A1116">
            <v>43952</v>
          </cell>
        </row>
        <row r="1117">
          <cell r="A1117">
            <v>43959</v>
          </cell>
        </row>
        <row r="1118">
          <cell r="A1118">
            <v>43966</v>
          </cell>
        </row>
        <row r="1119">
          <cell r="A1119">
            <v>43973</v>
          </cell>
        </row>
        <row r="1120">
          <cell r="A1120">
            <v>43980</v>
          </cell>
        </row>
        <row r="1121">
          <cell r="A1121">
            <v>43987</v>
          </cell>
        </row>
        <row r="1122">
          <cell r="A1122">
            <v>43994</v>
          </cell>
        </row>
        <row r="1123">
          <cell r="A1123">
            <v>44001</v>
          </cell>
        </row>
        <row r="1124">
          <cell r="A1124">
            <v>44008</v>
          </cell>
        </row>
        <row r="1125">
          <cell r="A1125">
            <v>44014</v>
          </cell>
        </row>
        <row r="1126">
          <cell r="A1126">
            <v>44022</v>
          </cell>
        </row>
        <row r="1127">
          <cell r="A1127">
            <v>44029</v>
          </cell>
        </row>
        <row r="1128">
          <cell r="A1128">
            <v>44036</v>
          </cell>
        </row>
        <row r="1129">
          <cell r="A1129">
            <v>44043</v>
          </cell>
        </row>
        <row r="1130">
          <cell r="A1130">
            <v>44050</v>
          </cell>
        </row>
        <row r="1131">
          <cell r="A1131">
            <v>44057</v>
          </cell>
        </row>
        <row r="1132">
          <cell r="A1132">
            <v>44064</v>
          </cell>
        </row>
        <row r="1133">
          <cell r="A1133">
            <v>44071</v>
          </cell>
        </row>
        <row r="1134">
          <cell r="A1134">
            <v>44078</v>
          </cell>
        </row>
        <row r="1135">
          <cell r="A1135">
            <v>44085</v>
          </cell>
        </row>
        <row r="1136">
          <cell r="A1136">
            <v>44092</v>
          </cell>
        </row>
        <row r="1137">
          <cell r="A1137">
            <v>44099</v>
          </cell>
        </row>
        <row r="1138">
          <cell r="A1138">
            <v>44106</v>
          </cell>
        </row>
        <row r="1139">
          <cell r="A1139">
            <v>44113</v>
          </cell>
        </row>
        <row r="1140">
          <cell r="A1140">
            <v>44120</v>
          </cell>
        </row>
        <row r="1141">
          <cell r="A1141">
            <v>44127</v>
          </cell>
        </row>
        <row r="1142">
          <cell r="A1142">
            <v>44134</v>
          </cell>
        </row>
        <row r="1143">
          <cell r="A1143">
            <v>44141</v>
          </cell>
        </row>
        <row r="1144">
          <cell r="A1144">
            <v>44148</v>
          </cell>
        </row>
        <row r="1145">
          <cell r="A1145">
            <v>44155</v>
          </cell>
        </row>
        <row r="1146">
          <cell r="A1146">
            <v>44162</v>
          </cell>
        </row>
        <row r="1147">
          <cell r="A1147">
            <v>44169</v>
          </cell>
        </row>
        <row r="1148">
          <cell r="A1148">
            <v>44176</v>
          </cell>
        </row>
        <row r="1149">
          <cell r="A1149">
            <v>44183</v>
          </cell>
        </row>
        <row r="1150">
          <cell r="A1150">
            <v>44189</v>
          </cell>
        </row>
        <row r="1151">
          <cell r="A1151">
            <v>44196</v>
          </cell>
        </row>
        <row r="1152">
          <cell r="A1152">
            <v>44204</v>
          </cell>
        </row>
      </sheetData>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RK2-25"/>
      <sheetName val="MRK ex Medco"/>
      <sheetName val="Cozaar Gross PM Analysis"/>
      <sheetName val="New Drugs"/>
      <sheetName val="WACC"/>
      <sheetName val="DCF"/>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oldman Pivots"/>
      <sheetName val="Est Comp"/>
      <sheetName val="Category Pivots"/>
      <sheetName val="Sheet1"/>
      <sheetName val="Brand Pivots"/>
      <sheetName val="Lookups"/>
      <sheetName val="Projects"/>
      <sheetName val="LE Brand"/>
      <sheetName val="All Cat"/>
      <sheetName val="STR Brand"/>
      <sheetName val="STR Est. Opens"/>
      <sheetName val="By MSA"/>
      <sheetName val="New Openings"/>
      <sheetName val="LEC PRojects"/>
      <sheetName val="LEC Pivot"/>
      <sheetName val="LEC Brand"/>
      <sheetName val="MS Ex Stay Pivot"/>
      <sheetName val="MS Ex Stay Chart"/>
      <sheetName val="Devp 1999 Q1 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hanges"/>
      <sheetName val="P&amp;L"/>
      <sheetName val="GUIDE"/>
      <sheetName val="QTR"/>
      <sheetName val="Total Sales Analysis"/>
      <sheetName val="SALES"/>
      <sheetName val="ZETIA P&amp;L (2)"/>
      <sheetName val="Cholesterol Matrix"/>
      <sheetName val="Currency Analysis"/>
      <sheetName val="QTR SUM"/>
      <sheetName val="QTR PRES PAGE"/>
      <sheetName val="PIPE"/>
      <sheetName val="EVENTS"/>
      <sheetName val="SPMSD"/>
      <sheetName val="AZLP P&amp;L"/>
      <sheetName val="Cholesterol Matrix (2)"/>
      <sheetName val="GM"/>
      <sheetName val="BSCF"/>
      <sheetName val="DCF"/>
      <sheetName val="__FDSCACHE__"/>
      <sheetName val="WACC 1"/>
      <sheetName val="Januvia-scenario"/>
      <sheetName val="MEDICARE"/>
      <sheetName val="KEY"/>
      <sheetName val="ANN SUM"/>
      <sheetName val="GUIDE06"/>
      <sheetName val="PR CTG"/>
      <sheetName val="Sheet1"/>
      <sheetName val="Share Repurchase"/>
      <sheetName val="SPMSD..."/>
      <sheetName val="GUIDE08"/>
      <sheetName val="Fig 1"/>
      <sheetName val="PRO KEY"/>
      <sheetName val="VAL ANALYSI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Financial One Pager"/>
      <sheetName val="QC"/>
      <sheetName val="COMPlink"/>
      <sheetName val="US Bus Rev Build"/>
      <sheetName val="Consol IS"/>
      <sheetName val="Rev build IS"/>
      <sheetName val="Q Comp"/>
      <sheetName val="Balance Sheet"/>
      <sheetName val="Cash Flow"/>
      <sheetName val="new val sheet"/>
      <sheetName val="puts and takes"/>
      <sheetName val="Dividend WS"/>
      <sheetName val="val sheet"/>
      <sheetName val="ABC inv. charts"/>
      <sheetName val="Village"/>
      <sheetName val="AnnComp"/>
      <sheetName val="Covid"/>
      <sheetName val="potl deals"/>
      <sheetName val="per store"/>
      <sheetName val="LBO"/>
      <sheetName val="Valuation"/>
      <sheetName val="VillageMD Summit"/>
      <sheetName val="Historical Valuation Data"/>
      <sheetName val="DB KPIs"/>
      <sheetName val="chart est summary"/>
      <sheetName val="BM Summary"/>
      <sheetName val="DCF"/>
      <sheetName val="Charts"/>
      <sheetName val="WBA RAD store purchase final"/>
      <sheetName val="WBA RAD store purchase (6-2017)"/>
      <sheetName val="WBA RAD Deal"/>
      <sheetName val="2016 PDP rates"/>
      <sheetName val="WBA RAD post deal"/>
      <sheetName val="Envision Optionality"/>
      <sheetName val="ESRX Deal"/>
      <sheetName val="Debt schedule"/>
      <sheetName val="misc charts"/>
      <sheetName val="misc charts 2"/>
      <sheetName val="Industry examples"/>
      <sheetName val="SG&amp;A comparison"/>
      <sheetName val="AB Details"/>
      <sheetName val="AB Deal math"/>
      <sheetName val="F2016 revised variance"/>
      <sheetName val="Inversion2"/>
      <sheetName val="Leverage"/>
      <sheetName val="leverage w.o inversion"/>
      <sheetName val="Chart2"/>
      <sheetName val="Almus"/>
      <sheetName val="real estate"/>
      <sheetName val="DB Disclaim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B2" t="str">
            <v>Walgreens Boots Alliance</v>
          </cell>
        </row>
        <row r="3">
          <cell r="B3" t="str">
            <v>F3Q-24 Results</v>
          </cell>
        </row>
        <row r="4">
          <cell r="E4" t="str">
            <v>F3Q-24</v>
          </cell>
          <cell r="I4" t="str">
            <v>Growth</v>
          </cell>
        </row>
        <row r="5">
          <cell r="E5" t="str">
            <v>DB est</v>
          </cell>
          <cell r="F5" t="str">
            <v>Actual</v>
          </cell>
          <cell r="G5" t="str">
            <v>F3Q-23</v>
          </cell>
          <cell r="I5" t="str">
            <v xml:space="preserve">Est </v>
          </cell>
          <cell r="J5" t="str">
            <v xml:space="preserve">Act </v>
          </cell>
          <cell r="L5" t="str">
            <v>Comments</v>
          </cell>
        </row>
        <row r="7">
          <cell r="B7" t="str">
            <v>Segment Results</v>
          </cell>
        </row>
        <row r="8">
          <cell r="B8" t="str">
            <v>Retail Pharmacy USA</v>
          </cell>
        </row>
        <row r="9">
          <cell r="B9" t="str">
            <v>Revenue</v>
          </cell>
          <cell r="E9">
            <v>28375.376279437074</v>
          </cell>
          <cell r="F9">
            <v>28503</v>
          </cell>
          <cell r="G9">
            <v>27866</v>
          </cell>
          <cell r="I9">
            <v>1.8279490398229958E-2</v>
          </cell>
          <cell r="J9">
            <v>2.2859398550204579E-2</v>
          </cell>
        </row>
        <row r="10">
          <cell r="B10" t="str">
            <v>Adjusted Gross Profit</v>
          </cell>
          <cell r="E10">
            <v>5084.143228901552</v>
          </cell>
          <cell r="F10">
            <v>5002</v>
          </cell>
          <cell r="G10">
            <v>5383</v>
          </cell>
          <cell r="I10">
            <v>-5.5518627363635109E-2</v>
          </cell>
          <cell r="J10">
            <v>-7.0778376370053908E-2</v>
          </cell>
        </row>
        <row r="11">
          <cell r="B11" t="str">
            <v>Adjusted OP</v>
          </cell>
          <cell r="E11">
            <v>716.53272900852153</v>
          </cell>
          <cell r="F11">
            <v>501</v>
          </cell>
          <cell r="G11">
            <v>962</v>
          </cell>
          <cell r="I11">
            <v>-0.2551634833591252</v>
          </cell>
          <cell r="J11">
            <v>-0.47920997920997921</v>
          </cell>
          <cell r="L11" t="str">
            <v>Fewer non op add backs, bad mix</v>
          </cell>
        </row>
        <row r="13">
          <cell r="B13" t="str">
            <v xml:space="preserve"> International</v>
          </cell>
        </row>
        <row r="14">
          <cell r="B14" t="str">
            <v>Revenue</v>
          </cell>
          <cell r="E14">
            <v>5684.46</v>
          </cell>
          <cell r="F14">
            <v>5727</v>
          </cell>
          <cell r="G14">
            <v>5573</v>
          </cell>
          <cell r="I14">
            <v>2.0000000000000018E-2</v>
          </cell>
          <cell r="J14">
            <v>2.763323165261089E-2</v>
          </cell>
        </row>
        <row r="15">
          <cell r="B15" t="str">
            <v>Adjusted Gross Profit</v>
          </cell>
          <cell r="E15">
            <v>1202.14446</v>
          </cell>
          <cell r="F15">
            <v>1222</v>
          </cell>
          <cell r="G15">
            <v>1173</v>
          </cell>
          <cell r="I15">
            <v>2.4846086956521685E-2</v>
          </cell>
          <cell r="J15">
            <v>4.1773231031543068E-2</v>
          </cell>
        </row>
        <row r="16">
          <cell r="B16" t="str">
            <v>Adjusted OP</v>
          </cell>
          <cell r="E16">
            <v>204.64055999999999</v>
          </cell>
          <cell r="F16">
            <v>175</v>
          </cell>
          <cell r="G16">
            <v>208</v>
          </cell>
          <cell r="I16">
            <v>-1.6151153846153843E-2</v>
          </cell>
          <cell r="J16">
            <v>-0.15865384615384615</v>
          </cell>
          <cell r="L16" t="str">
            <v>Bright spot</v>
          </cell>
        </row>
        <row r="18">
          <cell r="B18" t="str">
            <v>Pharmaceutical Wholesale</v>
          </cell>
        </row>
        <row r="19">
          <cell r="B19" t="str">
            <v>Revenue</v>
          </cell>
          <cell r="E19">
            <v>0</v>
          </cell>
          <cell r="F19">
            <v>-3</v>
          </cell>
          <cell r="G19">
            <v>0</v>
          </cell>
          <cell r="I19" t="e">
            <v>#DIV/0!</v>
          </cell>
          <cell r="J19" t="e">
            <v>#DIV/0!</v>
          </cell>
        </row>
        <row r="20">
          <cell r="B20" t="str">
            <v>Adjusted Gross Profit</v>
          </cell>
          <cell r="E20">
            <v>0</v>
          </cell>
          <cell r="F20">
            <v>0</v>
          </cell>
          <cell r="G20">
            <v>0</v>
          </cell>
          <cell r="I20" t="e">
            <v>#DIV/0!</v>
          </cell>
          <cell r="J20" t="e">
            <v>#DIV/0!</v>
          </cell>
        </row>
        <row r="21">
          <cell r="B21" t="str">
            <v>Adjusted OP</v>
          </cell>
          <cell r="E21">
            <v>-35</v>
          </cell>
          <cell r="F21">
            <v>-42</v>
          </cell>
          <cell r="G21">
            <v>-39</v>
          </cell>
          <cell r="I21">
            <v>-0.10256410256410253</v>
          </cell>
          <cell r="J21">
            <v>7.6923076923076872E-2</v>
          </cell>
        </row>
        <row r="22">
          <cell r="B22" t="str">
            <v>US Healthcare</v>
          </cell>
        </row>
        <row r="23">
          <cell r="B23" t="str">
            <v>Revenue</v>
          </cell>
          <cell r="E23">
            <v>2298.0749999999998</v>
          </cell>
          <cell r="F23">
            <v>2125</v>
          </cell>
          <cell r="G23">
            <v>1975</v>
          </cell>
          <cell r="L23" t="str">
            <v>Soft at the top line</v>
          </cell>
        </row>
        <row r="24">
          <cell r="B24" t="str">
            <v>Adjusted Gross Profit</v>
          </cell>
          <cell r="E24">
            <v>195.336375</v>
          </cell>
          <cell r="F24">
            <v>203</v>
          </cell>
          <cell r="G24">
            <v>114</v>
          </cell>
        </row>
        <row r="25">
          <cell r="B25" t="str">
            <v>Adjusted OP</v>
          </cell>
          <cell r="E25">
            <v>-46.408749999999998</v>
          </cell>
          <cell r="F25">
            <v>-22</v>
          </cell>
          <cell r="G25">
            <v>-172</v>
          </cell>
          <cell r="L25" t="str">
            <v>Better at OP line</v>
          </cell>
        </row>
        <row r="27">
          <cell r="B27" t="str">
            <v>Eliminations</v>
          </cell>
        </row>
        <row r="30">
          <cell r="B30" t="str">
            <v>Total net sales</v>
          </cell>
          <cell r="E30">
            <v>36357.911279437074</v>
          </cell>
          <cell r="F30">
            <v>36352</v>
          </cell>
          <cell r="G30">
            <v>35415</v>
          </cell>
          <cell r="I30">
            <v>2.6624630225527968E-2</v>
          </cell>
          <cell r="J30">
            <v>2.6457715657207448E-2</v>
          </cell>
        </row>
        <row r="31">
          <cell r="B31" t="str">
            <v>Cost of Sales</v>
          </cell>
          <cell r="E31">
            <v>29876.287215535522</v>
          </cell>
          <cell r="F31">
            <v>29893</v>
          </cell>
          <cell r="G31">
            <v>28827</v>
          </cell>
        </row>
        <row r="32">
          <cell r="B32" t="str">
            <v>Gross Profit</v>
          </cell>
          <cell r="E32">
            <v>6481.6240639015514</v>
          </cell>
          <cell r="F32">
            <v>6459</v>
          </cell>
          <cell r="G32">
            <v>6588</v>
          </cell>
        </row>
        <row r="34">
          <cell r="B34" t="str">
            <v>LIFO provision</v>
          </cell>
          <cell r="E34">
            <v>0</v>
          </cell>
          <cell r="F34">
            <v>0</v>
          </cell>
          <cell r="G34">
            <v>0</v>
          </cell>
        </row>
        <row r="35">
          <cell r="B35" t="str">
            <v xml:space="preserve">Adjusted gross profit </v>
          </cell>
          <cell r="E35">
            <v>6481.6240639015514</v>
          </cell>
          <cell r="F35">
            <v>6427</v>
          </cell>
          <cell r="G35">
            <v>6670</v>
          </cell>
          <cell r="I35">
            <v>-2.8242269280127186E-2</v>
          </cell>
          <cell r="J35">
            <v>-3.6431784107946008E-2</v>
          </cell>
        </row>
        <row r="36">
          <cell r="C36" t="str">
            <v>Adjusted GM%</v>
          </cell>
          <cell r="E36">
            <v>0.17827272898284893</v>
          </cell>
          <cell r="F36">
            <v>0.17679907570422534</v>
          </cell>
          <cell r="G36">
            <v>0.18833827474234083</v>
          </cell>
        </row>
        <row r="39">
          <cell r="B39" t="str">
            <v>SG&amp;A</v>
          </cell>
          <cell r="E39">
            <v>6130.5595248930304</v>
          </cell>
          <cell r="F39">
            <v>6393</v>
          </cell>
          <cell r="G39">
            <v>7123</v>
          </cell>
          <cell r="L39" t="str">
            <v>Big Village write down</v>
          </cell>
        </row>
        <row r="41">
          <cell r="B41" t="str">
            <v>Acquis-related amort</v>
          </cell>
          <cell r="E41">
            <v>158.69999999999999</v>
          </cell>
          <cell r="F41">
            <v>267</v>
          </cell>
          <cell r="G41">
            <v>274</v>
          </cell>
        </row>
        <row r="42">
          <cell r="B42" t="str">
            <v>Acquis-related and other costs</v>
          </cell>
          <cell r="E42">
            <v>0</v>
          </cell>
          <cell r="F42">
            <v>0</v>
          </cell>
          <cell r="G42">
            <v>0</v>
          </cell>
        </row>
        <row r="43">
          <cell r="B43" t="str">
            <v>Adjusted SG&amp;A</v>
          </cell>
          <cell r="E43">
            <v>5641.8595248930305</v>
          </cell>
          <cell r="F43">
            <v>5936</v>
          </cell>
          <cell r="G43">
            <v>6849</v>
          </cell>
        </row>
        <row r="46">
          <cell r="B46" t="str">
            <v>Equity earnings in Alliance Boots</v>
          </cell>
          <cell r="E46">
            <v>0</v>
          </cell>
          <cell r="F46">
            <v>0</v>
          </cell>
          <cell r="G46">
            <v>0</v>
          </cell>
        </row>
        <row r="47">
          <cell r="B47" t="str">
            <v>Gain on sale of business</v>
          </cell>
          <cell r="E47">
            <v>0</v>
          </cell>
          <cell r="F47">
            <v>0</v>
          </cell>
          <cell r="G47">
            <v>0</v>
          </cell>
        </row>
        <row r="48">
          <cell r="B48" t="str">
            <v>GAAP OP</v>
          </cell>
          <cell r="E48">
            <v>351.06453900852159</v>
          </cell>
          <cell r="F48">
            <v>110</v>
          </cell>
          <cell r="G48">
            <v>-535</v>
          </cell>
        </row>
        <row r="49">
          <cell r="B49" t="str">
            <v>Consol adjusted OP</v>
          </cell>
          <cell r="E49">
            <v>839.76453900852152</v>
          </cell>
          <cell r="F49">
            <v>612</v>
          </cell>
          <cell r="G49">
            <v>959</v>
          </cell>
          <cell r="I49">
            <v>-0.12433311886494103</v>
          </cell>
          <cell r="J49">
            <v>-0.36183524504692388</v>
          </cell>
        </row>
        <row r="50">
          <cell r="C50" t="str">
            <v>OP margin</v>
          </cell>
          <cell r="E50">
            <v>2.3097161235537386E-2</v>
          </cell>
          <cell r="F50">
            <v>1.683538732394366E-2</v>
          </cell>
          <cell r="G50">
            <v>2.7078921361005225E-2</v>
          </cell>
        </row>
        <row r="51">
          <cell r="B51" t="str">
            <v>Interest expense, net</v>
          </cell>
          <cell r="E51">
            <v>135</v>
          </cell>
          <cell r="F51">
            <v>113</v>
          </cell>
          <cell r="G51">
            <v>173</v>
          </cell>
        </row>
        <row r="52">
          <cell r="B52" t="str">
            <v>Other income</v>
          </cell>
          <cell r="E52">
            <v>0</v>
          </cell>
          <cell r="F52">
            <v>254</v>
          </cell>
          <cell r="G52">
            <v>268</v>
          </cell>
        </row>
        <row r="53">
          <cell r="B53" t="str">
            <v xml:space="preserve">Earnings Before  Tax </v>
          </cell>
          <cell r="E53">
            <v>216.06453900852159</v>
          </cell>
          <cell r="F53">
            <v>251</v>
          </cell>
          <cell r="G53">
            <v>-440</v>
          </cell>
          <cell r="I53" t="str">
            <v>--</v>
          </cell>
          <cell r="J53" t="str">
            <v>--</v>
          </cell>
        </row>
        <row r="54">
          <cell r="B54" t="str">
            <v xml:space="preserve">Tax </v>
          </cell>
          <cell r="E54">
            <v>32.409680851278239</v>
          </cell>
          <cell r="F54">
            <v>20</v>
          </cell>
          <cell r="G54">
            <v>-330</v>
          </cell>
        </row>
        <row r="55">
          <cell r="B55" t="str">
            <v>Tax rate</v>
          </cell>
          <cell r="E55">
            <v>3.6723163841807911E-2</v>
          </cell>
          <cell r="F55">
            <v>3.6723163841807911E-2</v>
          </cell>
          <cell r="G55">
            <v>9.5725466586393734E-2</v>
          </cell>
        </row>
        <row r="56">
          <cell r="C56" t="str">
            <v>Adjusted tax rate</v>
          </cell>
          <cell r="E56">
            <v>0.15</v>
          </cell>
          <cell r="F56">
            <v>9.6000000000000002E-2</v>
          </cell>
          <cell r="G56">
            <v>9.6000000000000002E-2</v>
          </cell>
        </row>
        <row r="57">
          <cell r="B57" t="str">
            <v>GAAP Net income</v>
          </cell>
          <cell r="E57">
            <v>248.65485815724335</v>
          </cell>
          <cell r="F57">
            <v>344</v>
          </cell>
          <cell r="G57">
            <v>-106</v>
          </cell>
        </row>
        <row r="58">
          <cell r="B58" t="str">
            <v>Adjusted net income</v>
          </cell>
          <cell r="E58">
            <v>587.35485815724337</v>
          </cell>
          <cell r="F58">
            <v>545</v>
          </cell>
          <cell r="G58">
            <v>860</v>
          </cell>
          <cell r="I58">
            <v>-0.31702923470087985</v>
          </cell>
          <cell r="J58">
            <v>-0.36627906976744184</v>
          </cell>
        </row>
        <row r="60">
          <cell r="B60" t="str">
            <v>Basic EPS</v>
          </cell>
          <cell r="E60">
            <v>0.28852930401028554</v>
          </cell>
          <cell r="F60">
            <v>0.39856331827134744</v>
          </cell>
          <cell r="G60">
            <v>6.951685783802572E-2</v>
          </cell>
        </row>
        <row r="61">
          <cell r="B61" t="str">
            <v>GAAP diluted EPS</v>
          </cell>
          <cell r="E61">
            <v>0.75718885311424444</v>
          </cell>
          <cell r="F61">
            <v>0.75718885311424444</v>
          </cell>
          <cell r="G61">
            <v>1.546170365068003</v>
          </cell>
        </row>
        <row r="62">
          <cell r="B62" t="str">
            <v xml:space="preserve">Adjusted  EPS </v>
          </cell>
          <cell r="E62">
            <v>0.68099113989245608</v>
          </cell>
          <cell r="F62">
            <v>0.63056808978363998</v>
          </cell>
          <cell r="G62">
            <v>0.99560083352627926</v>
          </cell>
          <cell r="I62">
            <v>-0.31599982948941452</v>
          </cell>
          <cell r="J62">
            <v>-0.36664567912196722</v>
          </cell>
          <cell r="L62" t="str">
            <v>Big beat on write down and tax</v>
          </cell>
        </row>
        <row r="64">
          <cell r="B64" t="str">
            <v>Average shares outstanding</v>
          </cell>
          <cell r="E64">
            <v>861.80105348460302</v>
          </cell>
          <cell r="F64">
            <v>863.1</v>
          </cell>
          <cell r="G64">
            <v>863.1</v>
          </cell>
        </row>
        <row r="66">
          <cell r="B66" t="str">
            <v>Average diluted shares</v>
          </cell>
          <cell r="E66">
            <v>862.5</v>
          </cell>
          <cell r="F66">
            <v>864.3</v>
          </cell>
          <cell r="G66">
            <v>863.8</v>
          </cell>
        </row>
      </sheetData>
      <sheetData sheetId="8" refreshError="1"/>
      <sheetData sheetId="9" refreshError="1"/>
      <sheetData sheetId="10" refreshError="1"/>
      <sheetData sheetId="11" refreshError="1"/>
      <sheetData sheetId="12" refreshError="1">
        <row r="3">
          <cell r="B3" t="str">
            <v>WBA Cash Flow Summary</v>
          </cell>
        </row>
        <row r="4">
          <cell r="B4" t="str">
            <v>(in millions)</v>
          </cell>
          <cell r="C4" t="str">
            <v>F2021</v>
          </cell>
          <cell r="D4" t="str">
            <v>F2022A</v>
          </cell>
          <cell r="E4" t="str">
            <v>F2023E</v>
          </cell>
          <cell r="F4" t="str">
            <v>F2024E</v>
          </cell>
          <cell r="G4" t="str">
            <v>F2025E</v>
          </cell>
          <cell r="H4" t="str">
            <v>Comments</v>
          </cell>
        </row>
        <row r="6">
          <cell r="B6" t="str">
            <v>Adjusted Operating Income</v>
          </cell>
          <cell r="C6">
            <v>6822</v>
          </cell>
          <cell r="D6">
            <v>5133</v>
          </cell>
          <cell r="E6">
            <v>3870</v>
          </cell>
          <cell r="F6">
            <v>2427.9839963153595</v>
          </cell>
          <cell r="G6">
            <v>1731.3058370385556</v>
          </cell>
        </row>
        <row r="7">
          <cell r="B7" t="str">
            <v>Adj Net Income</v>
          </cell>
          <cell r="C7">
            <v>5362</v>
          </cell>
          <cell r="D7">
            <v>4213</v>
          </cell>
          <cell r="E7">
            <v>3006</v>
          </cell>
          <cell r="F7">
            <v>2173.2847964995913</v>
          </cell>
          <cell r="G7">
            <v>1032.3273155568088</v>
          </cell>
          <cell r="H7" t="str">
            <v>Return of income growth could prove optimistic</v>
          </cell>
        </row>
        <row r="8">
          <cell r="B8" t="str">
            <v>OCF</v>
          </cell>
          <cell r="C8">
            <v>5555</v>
          </cell>
          <cell r="D8">
            <v>3899</v>
          </cell>
          <cell r="E8">
            <v>2258</v>
          </cell>
          <cell r="F8">
            <v>3040.0318349149588</v>
          </cell>
          <cell r="G8">
            <v>1948.3327156006171</v>
          </cell>
          <cell r="H8" t="str">
            <v>Giving credit for sustained WC improvements</v>
          </cell>
        </row>
        <row r="9">
          <cell r="B9" t="str">
            <v>CapEx</v>
          </cell>
          <cell r="C9">
            <v>-1379</v>
          </cell>
          <cell r="D9">
            <v>-1734</v>
          </cell>
          <cell r="E9">
            <v>-2117</v>
          </cell>
          <cell r="F9">
            <v>-1345.9704164097607</v>
          </cell>
          <cell r="G9">
            <v>-1492.4035462262209</v>
          </cell>
          <cell r="H9" t="str">
            <v>Capex growth could be conservative</v>
          </cell>
        </row>
        <row r="11">
          <cell r="B11" t="str">
            <v>Opioid Litigation</v>
          </cell>
          <cell r="C11">
            <v>0</v>
          </cell>
          <cell r="D11">
            <v>-97.444444444444443</v>
          </cell>
          <cell r="E11">
            <v>-120</v>
          </cell>
          <cell r="F11">
            <v>-400</v>
          </cell>
          <cell r="G11">
            <v>-400</v>
          </cell>
          <cell r="H11" t="str">
            <v>Number cuold increase</v>
          </cell>
        </row>
        <row r="13">
          <cell r="B13" t="str">
            <v>Consolidated WBA OCF after maint capex</v>
          </cell>
          <cell r="C13">
            <v>4176</v>
          </cell>
          <cell r="D13">
            <v>2067.5555555555557</v>
          </cell>
          <cell r="E13">
            <v>21</v>
          </cell>
          <cell r="F13">
            <v>1294.0614185051982</v>
          </cell>
          <cell r="G13">
            <v>55.929169374396224</v>
          </cell>
        </row>
        <row r="14">
          <cell r="B14" t="str">
            <v>% change</v>
          </cell>
          <cell r="D14">
            <v>-0.50489570029799913</v>
          </cell>
          <cell r="E14">
            <v>-0.98984307824591578</v>
          </cell>
          <cell r="F14">
            <v>60.621972309771344</v>
          </cell>
          <cell r="G14">
            <v>-0.95678012760862508</v>
          </cell>
        </row>
        <row r="16">
          <cell r="B16" t="str">
            <v>M&amp;A Adjustments</v>
          </cell>
        </row>
        <row r="17">
          <cell r="B17" t="str">
            <v>Summit transaction</v>
          </cell>
          <cell r="E17">
            <v>-6733</v>
          </cell>
        </row>
        <row r="19">
          <cell r="B19" t="str">
            <v>ABC</v>
          </cell>
        </row>
        <row r="20">
          <cell r="B20" t="str">
            <v>Dividend from ABC</v>
          </cell>
          <cell r="C20">
            <v>104.48099999999999</v>
          </cell>
          <cell r="D20">
            <v>105.53295528000001</v>
          </cell>
          <cell r="E20">
            <v>80.841519076500006</v>
          </cell>
          <cell r="F20">
            <v>49.143133964925006</v>
          </cell>
          <cell r="G20">
            <v>14.072806544501253</v>
          </cell>
          <cell r="H20" t="str">
            <v>Assuming 5% annual increase in dividend received from ABC</v>
          </cell>
        </row>
        <row r="21">
          <cell r="B21" t="str">
            <v>Sale of ABC Stake</v>
          </cell>
          <cell r="C21">
            <v>0</v>
          </cell>
          <cell r="D21">
            <v>900</v>
          </cell>
          <cell r="E21">
            <v>5244</v>
          </cell>
          <cell r="F21">
            <v>2650</v>
          </cell>
          <cell r="G21">
            <v>0</v>
          </cell>
          <cell r="H21" t="str">
            <v>Assumes full sale of ABC stake</v>
          </cell>
        </row>
        <row r="23">
          <cell r="B23" t="str">
            <v>FCF inc ABC sales and M&amp;A</v>
          </cell>
          <cell r="C23">
            <v>4176</v>
          </cell>
          <cell r="D23">
            <v>2173.0885108355556</v>
          </cell>
          <cell r="E23">
            <v>-1387.1584809235001</v>
          </cell>
          <cell r="F23">
            <v>3993.2045524701234</v>
          </cell>
          <cell r="G23">
            <v>70.001975918897472</v>
          </cell>
        </row>
        <row r="24">
          <cell r="B24" t="str">
            <v>% change</v>
          </cell>
          <cell r="D24">
            <v>-0.47962439874627505</v>
          </cell>
          <cell r="E24">
            <v>-1.6383350121298721</v>
          </cell>
          <cell r="F24">
            <v>-3.8786938243794968</v>
          </cell>
          <cell r="G24">
            <v>-0.98246972450344539</v>
          </cell>
        </row>
        <row r="26">
          <cell r="B26" t="str">
            <v>Dividend Paid</v>
          </cell>
          <cell r="C26">
            <v>-1617</v>
          </cell>
          <cell r="D26">
            <v>-1659</v>
          </cell>
          <cell r="E26">
            <v>-1659</v>
          </cell>
          <cell r="F26">
            <v>-1511.7502469062501</v>
          </cell>
          <cell r="G26">
            <v>-1894.3884999703125</v>
          </cell>
          <cell r="H26" t="str">
            <v>Assumes modest div increases</v>
          </cell>
        </row>
        <row r="27">
          <cell r="B27" t="str">
            <v>Divident cover</v>
          </cell>
          <cell r="D27">
            <v>1.3098785478213113</v>
          </cell>
          <cell r="E27">
            <v>-0.836141338712176</v>
          </cell>
          <cell r="F27">
            <v>2.641444617351373</v>
          </cell>
          <cell r="G27">
            <v>3.6952280865300065E-2</v>
          </cell>
          <cell r="H27" t="str">
            <v>WBA dividend appears safe due to ABC sales</v>
          </cell>
        </row>
        <row r="29">
          <cell r="B29" t="str">
            <v>Simplified Cash Flow</v>
          </cell>
        </row>
        <row r="30">
          <cell r="B30" t="str">
            <v>Beginning cash</v>
          </cell>
          <cell r="D30">
            <v>1287</v>
          </cell>
          <cell r="E30">
            <v>2472</v>
          </cell>
          <cell r="F30">
            <v>-574.15848092350006</v>
          </cell>
          <cell r="G30">
            <v>1907.2958246403732</v>
          </cell>
        </row>
        <row r="31">
          <cell r="B31" t="str">
            <v>Change in cash</v>
          </cell>
          <cell r="D31">
            <v>1137</v>
          </cell>
          <cell r="E31">
            <v>-3046.1584809235001</v>
          </cell>
          <cell r="F31">
            <v>2481.4543055638733</v>
          </cell>
          <cell r="G31">
            <v>-1824.3865240514151</v>
          </cell>
        </row>
        <row r="32">
          <cell r="B32" t="str">
            <v>Ending cash</v>
          </cell>
          <cell r="C32">
            <v>1193</v>
          </cell>
          <cell r="D32">
            <v>2472</v>
          </cell>
          <cell r="E32">
            <v>-574.15848092350006</v>
          </cell>
          <cell r="F32">
            <v>1907.2958246403732</v>
          </cell>
          <cell r="G32">
            <v>82.909300588958104</v>
          </cell>
        </row>
        <row r="34">
          <cell r="B34" t="str">
            <v>Total Debt</v>
          </cell>
          <cell r="C34">
            <v>8980</v>
          </cell>
          <cell r="D34">
            <v>11674</v>
          </cell>
          <cell r="E34">
            <v>11674</v>
          </cell>
          <cell r="F34">
            <v>11674</v>
          </cell>
          <cell r="G34">
            <v>11674</v>
          </cell>
        </row>
        <row r="35">
          <cell r="B35" t="str">
            <v>Net debt</v>
          </cell>
          <cell r="C35">
            <v>7787</v>
          </cell>
          <cell r="D35">
            <v>9202</v>
          </cell>
          <cell r="E35">
            <v>12248.158480923499</v>
          </cell>
          <cell r="F35">
            <v>9766.7041753596277</v>
          </cell>
          <cell r="G35">
            <v>11591.090699411041</v>
          </cell>
        </row>
        <row r="36">
          <cell r="B36" t="str">
            <v>Net debt to FCF</v>
          </cell>
          <cell r="C36">
            <v>1.8647030651340997</v>
          </cell>
          <cell r="D36">
            <v>4.2345260922951633</v>
          </cell>
          <cell r="E36">
            <v>-8.8296749429591443</v>
          </cell>
          <cell r="F36">
            <v>2.4458311731909959</v>
          </cell>
          <cell r="G36">
            <v>165.5823360306313</v>
          </cell>
        </row>
        <row r="38">
          <cell r="B38" t="str">
            <v>Net debt @ 175% FCF</v>
          </cell>
          <cell r="E38">
            <v>-2427.5273416161253</v>
          </cell>
          <cell r="F38">
            <v>6988.1079668227158</v>
          </cell>
          <cell r="G38">
            <v>122.50345785807058</v>
          </cell>
        </row>
        <row r="39">
          <cell r="B39" t="str">
            <v>Excess capital</v>
          </cell>
          <cell r="E39">
            <v>1853.3688606926253</v>
          </cell>
          <cell r="F39">
            <v>-5080.8121421823425</v>
          </cell>
          <cell r="G39">
            <v>-39.594157269112472</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B1" t="str">
            <v>Walgreens LBO Model</v>
          </cell>
        </row>
        <row r="3">
          <cell r="B3" t="str">
            <v>Select Operating and Financial Data</v>
          </cell>
          <cell r="L3" t="str">
            <v>Comments</v>
          </cell>
        </row>
        <row r="4">
          <cell r="B4" t="str">
            <v>Current Date</v>
          </cell>
          <cell r="C4">
            <v>2021</v>
          </cell>
          <cell r="L4" t="str">
            <v>Current date and exit date assumed to be Dec 31 for simplicity</v>
          </cell>
        </row>
        <row r="6">
          <cell r="B6" t="str">
            <v>Current Share Price</v>
          </cell>
          <cell r="C6">
            <v>42.88</v>
          </cell>
        </row>
        <row r="7">
          <cell r="B7" t="str">
            <v>Fully Diluted Shares Outstanding</v>
          </cell>
          <cell r="C7">
            <v>865.3</v>
          </cell>
        </row>
        <row r="8">
          <cell r="B8" t="str">
            <v>Market cap</v>
          </cell>
          <cell r="C8">
            <v>37104.063999999998</v>
          </cell>
        </row>
        <row r="9">
          <cell r="B9" t="str">
            <v>Current Debt</v>
          </cell>
          <cell r="C9">
            <v>15741</v>
          </cell>
          <cell r="E9">
            <v>22300</v>
          </cell>
        </row>
        <row r="10">
          <cell r="B10" t="str">
            <v>Current Cash</v>
          </cell>
          <cell r="C10">
            <v>516</v>
          </cell>
          <cell r="E10">
            <v>37191</v>
          </cell>
        </row>
        <row r="11">
          <cell r="B11" t="str">
            <v>Current Net Debt</v>
          </cell>
          <cell r="C11">
            <v>15225</v>
          </cell>
          <cell r="E11">
            <v>350</v>
          </cell>
          <cell r="F11" t="str">
            <v>def tax</v>
          </cell>
          <cell r="L11" t="str">
            <v>Net Debt = Debt - Cash</v>
          </cell>
        </row>
        <row r="12">
          <cell r="B12" t="str">
            <v>Enterprise Value</v>
          </cell>
          <cell r="C12">
            <v>52329.063999999998</v>
          </cell>
          <cell r="E12">
            <v>37541</v>
          </cell>
          <cell r="L12" t="str">
            <v>Enterprise Value = Mkt cap + net debt</v>
          </cell>
        </row>
        <row r="14">
          <cell r="B14" t="str">
            <v>LTM Revenue</v>
          </cell>
          <cell r="C14">
            <v>136865</v>
          </cell>
        </row>
        <row r="15">
          <cell r="B15" t="str">
            <v>LTM EBITDA</v>
          </cell>
          <cell r="C15">
            <v>6346</v>
          </cell>
          <cell r="E15">
            <v>9996</v>
          </cell>
        </row>
        <row r="16">
          <cell r="B16" t="str">
            <v>Free cash flows after debt paydown</v>
          </cell>
          <cell r="C16">
            <v>5394.0999999999995</v>
          </cell>
          <cell r="E16">
            <v>-164</v>
          </cell>
        </row>
        <row r="17">
          <cell r="E17">
            <v>9832</v>
          </cell>
        </row>
        <row r="18">
          <cell r="B18" t="str">
            <v>EV / EBITDA multiple</v>
          </cell>
          <cell r="C18">
            <v>8.2459918058619603</v>
          </cell>
          <cell r="E18">
            <v>3.8182465419039868</v>
          </cell>
        </row>
        <row r="20">
          <cell r="B20" t="str">
            <v>LBO Assumptions</v>
          </cell>
        </row>
        <row r="21">
          <cell r="B21" t="str">
            <v>Exit Date</v>
          </cell>
          <cell r="C21">
            <v>2025</v>
          </cell>
          <cell r="L21" t="str">
            <v>Current date and exit date assumed to be Dec 31 for simplicity</v>
          </cell>
        </row>
        <row r="23">
          <cell r="B23" t="str">
            <v>LBO Debt Capacity (Net debt/EBITDA)</v>
          </cell>
          <cell r="C23">
            <v>6.5</v>
          </cell>
          <cell r="L23" t="str">
            <v>Based on current debt market conditions</v>
          </cell>
        </row>
        <row r="24">
          <cell r="B24" t="str">
            <v>Minimum cash balance</v>
          </cell>
          <cell r="C24">
            <v>50</v>
          </cell>
          <cell r="L24" t="str">
            <v>Company must maintain a minimum cash balance for a "rainy day"</v>
          </cell>
        </row>
        <row r="25">
          <cell r="B25" t="str">
            <v>Rate on debt</v>
          </cell>
          <cell r="C25">
            <v>5.5E-2</v>
          </cell>
        </row>
        <row r="26">
          <cell r="B26" t="str">
            <v>EBITDA multiple in exit year</v>
          </cell>
          <cell r="C26">
            <v>8</v>
          </cell>
          <cell r="L26" t="str">
            <v>Generally assumed to be the same as the entry multiple</v>
          </cell>
        </row>
        <row r="27">
          <cell r="B27" t="str">
            <v>Financial Sponsor Required Equity Return</v>
          </cell>
          <cell r="C27">
            <v>0.15</v>
          </cell>
          <cell r="L27" t="str">
            <v>Higher required return due to increased debt and riskiness</v>
          </cell>
        </row>
        <row r="28">
          <cell r="B28" t="str">
            <v>Tax rate</v>
          </cell>
          <cell r="C28">
            <v>0.12824474660074164</v>
          </cell>
        </row>
        <row r="29">
          <cell r="B29" t="str">
            <v>Select Operating and Financial Data</v>
          </cell>
        </row>
        <row r="30">
          <cell r="E30" t="str">
            <v>Projected Annual Forecast</v>
          </cell>
        </row>
        <row r="31">
          <cell r="C31" t="str">
            <v>2018A</v>
          </cell>
          <cell r="D31">
            <v>2019</v>
          </cell>
          <cell r="E31">
            <v>2020</v>
          </cell>
          <cell r="F31">
            <v>2021</v>
          </cell>
          <cell r="G31">
            <v>2022</v>
          </cell>
          <cell r="H31">
            <v>2023</v>
          </cell>
          <cell r="I31">
            <v>2024</v>
          </cell>
          <cell r="K31" t="str">
            <v>5yr CAGR</v>
          </cell>
        </row>
        <row r="32">
          <cell r="B32" t="str">
            <v>Revenue</v>
          </cell>
          <cell r="C32">
            <v>131537</v>
          </cell>
          <cell r="D32">
            <v>136865</v>
          </cell>
          <cell r="E32">
            <v>139538</v>
          </cell>
          <cell r="F32">
            <v>136284.55434319488</v>
          </cell>
          <cell r="G32">
            <v>130918.6051844</v>
          </cell>
          <cell r="H32">
            <v>132510</v>
          </cell>
          <cell r="I32">
            <v>134120.73918193777</v>
          </cell>
          <cell r="K32">
            <v>-4.0427272091928534E-3</v>
          </cell>
        </row>
        <row r="33">
          <cell r="B33" t="str">
            <v>Revenue Growth Rate (%)</v>
          </cell>
          <cell r="E33">
            <v>1.9530193986775357E-2</v>
          </cell>
          <cell r="F33">
            <v>-2.3315839820014062E-2</v>
          </cell>
          <cell r="G33">
            <v>-3.9373127678740572E-2</v>
          </cell>
          <cell r="H33">
            <v>1.215560472370214E-2</v>
          </cell>
          <cell r="I33">
            <v>1.215560472370214E-2</v>
          </cell>
        </row>
        <row r="35">
          <cell r="B35" t="str">
            <v>EBITDA</v>
          </cell>
          <cell r="C35">
            <v>8854</v>
          </cell>
          <cell r="D35">
            <v>6346</v>
          </cell>
          <cell r="E35">
            <v>7370</v>
          </cell>
          <cell r="F35">
            <v>8795</v>
          </cell>
          <cell r="G35">
            <v>7123</v>
          </cell>
          <cell r="H35">
            <v>6127</v>
          </cell>
          <cell r="I35">
            <v>6201.4773901421231</v>
          </cell>
          <cell r="K35">
            <v>-4.5968302382543014E-3</v>
          </cell>
          <cell r="M35" t="str">
            <v>Reimbursement Pressure Continues</v>
          </cell>
        </row>
        <row r="36">
          <cell r="B36" t="str">
            <v>EBITDA Margin (%)</v>
          </cell>
          <cell r="C36">
            <v>6.7311859020655784E-2</v>
          </cell>
          <cell r="D36">
            <v>4.63668578526285E-2</v>
          </cell>
          <cell r="E36">
            <v>5.2817153750232909E-2</v>
          </cell>
          <cell r="F36">
            <v>6.4534092233608731E-2</v>
          </cell>
          <cell r="G36">
            <v>5.4407851274974953E-2</v>
          </cell>
          <cell r="H36">
            <v>4.6238019772092673E-2</v>
          </cell>
          <cell r="I36">
            <v>4.6238019772092673E-2</v>
          </cell>
        </row>
        <row r="37">
          <cell r="B37" t="str">
            <v>% change</v>
          </cell>
          <cell r="D37">
            <v>-0.28326180257510725</v>
          </cell>
          <cell r="E37">
            <v>0.16136148755121327</v>
          </cell>
          <cell r="F37">
            <v>0.19335142469470834</v>
          </cell>
          <cell r="G37">
            <v>-0.19010801591813531</v>
          </cell>
          <cell r="H37">
            <v>-0.13982872385230938</v>
          </cell>
          <cell r="I37">
            <v>1.215560472370214E-2</v>
          </cell>
        </row>
        <row r="39">
          <cell r="B39" t="str">
            <v>Free cash flow after required debt paydown</v>
          </cell>
          <cell r="C39">
            <v>7525.9</v>
          </cell>
          <cell r="D39">
            <v>5394.0999999999995</v>
          </cell>
          <cell r="E39">
            <v>4447.0894329419034</v>
          </cell>
          <cell r="F39">
            <v>5904.9605426353837</v>
          </cell>
          <cell r="G39">
            <v>4732.9055064773465</v>
          </cell>
          <cell r="H39">
            <v>4093.9610391897982</v>
          </cell>
          <cell r="I39">
            <v>4357.5756846244149</v>
          </cell>
          <cell r="K39">
            <v>-4.1780092980946981E-2</v>
          </cell>
          <cell r="M39" t="str">
            <v>EBITDA - interest expense - tax</v>
          </cell>
        </row>
        <row r="40">
          <cell r="B40" t="str">
            <v>FCF Margin (%)</v>
          </cell>
          <cell r="D40">
            <v>3.9411829174734223E-2</v>
          </cell>
          <cell r="E40">
            <v>3.187009583727661E-2</v>
          </cell>
          <cell r="F40">
            <v>4.3328171494514171E-2</v>
          </cell>
          <cell r="G40">
            <v>3.61515118482282E-2</v>
          </cell>
          <cell r="H40">
            <v>3.0895487428796303E-2</v>
          </cell>
          <cell r="I40">
            <v>3.2489946828530868E-2</v>
          </cell>
        </row>
        <row r="42">
          <cell r="B42" t="str">
            <v>Cash</v>
          </cell>
          <cell r="C42">
            <v>785</v>
          </cell>
          <cell r="D42">
            <v>516</v>
          </cell>
          <cell r="E42">
            <v>4963.0894329419034</v>
          </cell>
          <cell r="F42">
            <v>10868.049975577287</v>
          </cell>
          <cell r="G42">
            <v>15600.955482054633</v>
          </cell>
          <cell r="H42">
            <v>19694.916521244431</v>
          </cell>
          <cell r="I42">
            <v>24052.492205868846</v>
          </cell>
          <cell r="M42" t="str">
            <v>Beginning cash balance plus change in cash over the period</v>
          </cell>
        </row>
        <row r="43">
          <cell r="B43" t="str">
            <v>Debt</v>
          </cell>
          <cell r="C43">
            <v>14397</v>
          </cell>
          <cell r="D43">
            <v>15741</v>
          </cell>
          <cell r="E43">
            <v>36751.910567058098</v>
          </cell>
          <cell r="F43">
            <v>30796.950024422713</v>
          </cell>
          <cell r="G43">
            <v>26014.044517945367</v>
          </cell>
          <cell r="H43">
            <v>21870.083478755569</v>
          </cell>
          <cell r="I43">
            <v>17462.507794131154</v>
          </cell>
          <cell r="M43" t="str">
            <v>From Debt Schedule below</v>
          </cell>
        </row>
        <row r="44">
          <cell r="B44" t="str">
            <v>Net Debt</v>
          </cell>
          <cell r="C44">
            <v>15182</v>
          </cell>
          <cell r="D44">
            <v>15225</v>
          </cell>
          <cell r="E44">
            <v>31788.821134116195</v>
          </cell>
          <cell r="F44">
            <v>19928.900048845426</v>
          </cell>
          <cell r="G44">
            <v>10413.089035890735</v>
          </cell>
          <cell r="H44">
            <v>2175.1669575111373</v>
          </cell>
          <cell r="I44">
            <v>-6589.9844117376924</v>
          </cell>
          <cell r="M44" t="str">
            <v>Net Debt = Debt - Cash</v>
          </cell>
        </row>
        <row r="46">
          <cell r="B46" t="str">
            <v>Debt Schedule</v>
          </cell>
        </row>
        <row r="47">
          <cell r="E47" t="str">
            <v>Projected Annual Forecast</v>
          </cell>
        </row>
        <row r="48">
          <cell r="E48">
            <v>2020</v>
          </cell>
          <cell r="F48">
            <v>2021</v>
          </cell>
          <cell r="G48">
            <v>2022</v>
          </cell>
          <cell r="H48">
            <v>2023</v>
          </cell>
          <cell r="I48">
            <v>2024</v>
          </cell>
        </row>
        <row r="49">
          <cell r="B49" t="str">
            <v>LBO Debt, Beginning of Period</v>
          </cell>
          <cell r="E49">
            <v>41249</v>
          </cell>
          <cell r="F49">
            <v>36751.910567058098</v>
          </cell>
          <cell r="G49">
            <v>30796.950024422713</v>
          </cell>
          <cell r="H49">
            <v>26014.044517945367</v>
          </cell>
          <cell r="I49">
            <v>21870.083478755569</v>
          </cell>
          <cell r="M49" t="str">
            <v>LTM EBITDA * LBO Debt Capacity</v>
          </cell>
        </row>
        <row r="50">
          <cell r="B50" t="str">
            <v xml:space="preserve"> - Required paydown</v>
          </cell>
          <cell r="E50">
            <v>-50</v>
          </cell>
          <cell r="F50">
            <v>-50</v>
          </cell>
          <cell r="G50">
            <v>-50</v>
          </cell>
          <cell r="H50">
            <v>-50</v>
          </cell>
          <cell r="I50">
            <v>-50</v>
          </cell>
          <cell r="M50" t="str">
            <v>Assumed to be $50 per year</v>
          </cell>
        </row>
        <row r="51">
          <cell r="B51" t="str">
            <v xml:space="preserve"> - Optional paydown (after min cash balance)</v>
          </cell>
          <cell r="E51">
            <v>-4447.0894329419034</v>
          </cell>
          <cell r="F51">
            <v>-5904.9605426353837</v>
          </cell>
          <cell r="G51">
            <v>-4732.9055064773465</v>
          </cell>
          <cell r="H51">
            <v>-4093.9610391897982</v>
          </cell>
          <cell r="I51">
            <v>-4357.5756846244149</v>
          </cell>
        </row>
        <row r="52">
          <cell r="B52" t="str">
            <v>LBO Debt, End of Period</v>
          </cell>
          <cell r="E52">
            <v>36751.910567058098</v>
          </cell>
          <cell r="F52">
            <v>30796.950024422713</v>
          </cell>
          <cell r="G52">
            <v>26014.044517945367</v>
          </cell>
          <cell r="H52">
            <v>21870.083478755569</v>
          </cell>
          <cell r="I52">
            <v>17462.507794131154</v>
          </cell>
        </row>
        <row r="54">
          <cell r="B54" t="str">
            <v>Debt to EBITDA</v>
          </cell>
          <cell r="E54">
            <v>4.9866907146618855</v>
          </cell>
          <cell r="F54">
            <v>3.5016429817422074</v>
          </cell>
          <cell r="G54">
            <v>3.652119123676171</v>
          </cell>
          <cell r="H54">
            <v>3.5694603360136394</v>
          </cell>
          <cell r="I54">
            <v>2.815862526869739</v>
          </cell>
        </row>
        <row r="55">
          <cell r="B55" t="str">
            <v>Rental expense</v>
          </cell>
          <cell r="E55">
            <v>3650</v>
          </cell>
          <cell r="F55">
            <v>3631.75</v>
          </cell>
          <cell r="G55">
            <v>3613.5912499999999</v>
          </cell>
          <cell r="H55">
            <v>3595.52329375</v>
          </cell>
          <cell r="I55">
            <v>3577.5456772812499</v>
          </cell>
        </row>
        <row r="56">
          <cell r="B56" t="str">
            <v>Lease Obligation</v>
          </cell>
          <cell r="E56">
            <v>22300</v>
          </cell>
          <cell r="F56">
            <v>22300</v>
          </cell>
          <cell r="G56">
            <v>22300</v>
          </cell>
          <cell r="H56">
            <v>22300</v>
          </cell>
          <cell r="I56">
            <v>22300</v>
          </cell>
        </row>
        <row r="57">
          <cell r="B57" t="str">
            <v>Total Obligations/EBITDAR</v>
          </cell>
          <cell r="E57">
            <v>5.3586125741432031</v>
          </cell>
          <cell r="F57">
            <v>4.272794578181963</v>
          </cell>
          <cell r="G57">
            <v>4.4999426161394913</v>
          </cell>
          <cell r="H57">
            <v>4.5430678995801159</v>
          </cell>
          <cell r="I57">
            <v>4.0661022599068257</v>
          </cell>
          <cell r="M57" t="str">
            <v>Capturing lease expenses</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and lookup"/>
      <sheetName val="PIVOTS"/>
      <sheetName val="CENSUS LOOKUP"/>
      <sheetName val="TRACT LOOKUP"/>
      <sheetName val="BS TRACT LOOKUP"/>
      <sheetName val="CHAIN LOOKUP"/>
      <sheetName val="rawdata"/>
    </sheetNames>
    <sheetDataSet>
      <sheetData sheetId="0" refreshError="1">
        <row r="4">
          <cell r="B4" t="str">
            <v>Best Western</v>
          </cell>
          <cell r="C4">
            <v>24</v>
          </cell>
          <cell r="D4">
            <v>2297</v>
          </cell>
          <cell r="E4">
            <v>0</v>
          </cell>
          <cell r="F4">
            <v>0</v>
          </cell>
          <cell r="G4">
            <v>0</v>
          </cell>
          <cell r="H4">
            <v>0</v>
          </cell>
        </row>
        <row r="5">
          <cell r="B5" t="str">
            <v>Embassy Suites</v>
          </cell>
          <cell r="C5">
            <v>5</v>
          </cell>
          <cell r="D5">
            <v>1246</v>
          </cell>
          <cell r="E5">
            <v>0</v>
          </cell>
          <cell r="F5">
            <v>0</v>
          </cell>
          <cell r="G5">
            <v>0</v>
          </cell>
          <cell r="H5">
            <v>0</v>
          </cell>
        </row>
        <row r="6">
          <cell r="B6" t="str">
            <v>Hilton Hotel</v>
          </cell>
          <cell r="C6">
            <v>5</v>
          </cell>
          <cell r="D6">
            <v>2865</v>
          </cell>
          <cell r="E6">
            <v>0</v>
          </cell>
          <cell r="F6">
            <v>0</v>
          </cell>
          <cell r="G6">
            <v>0</v>
          </cell>
          <cell r="H6">
            <v>0</v>
          </cell>
        </row>
        <row r="7">
          <cell r="B7" t="str">
            <v>Holiday Inn</v>
          </cell>
          <cell r="C7">
            <v>9</v>
          </cell>
          <cell r="D7">
            <v>1567</v>
          </cell>
          <cell r="E7">
            <v>0</v>
          </cell>
          <cell r="F7">
            <v>0</v>
          </cell>
          <cell r="G7">
            <v>0</v>
          </cell>
          <cell r="H7">
            <v>0</v>
          </cell>
        </row>
        <row r="8">
          <cell r="B8" t="str">
            <v>Hyatt Hotel</v>
          </cell>
          <cell r="C8">
            <v>3</v>
          </cell>
          <cell r="D8">
            <v>1600</v>
          </cell>
          <cell r="E8">
            <v>0</v>
          </cell>
          <cell r="F8">
            <v>0</v>
          </cell>
          <cell r="G8">
            <v>1</v>
          </cell>
          <cell r="H8">
            <v>258</v>
          </cell>
        </row>
        <row r="9">
          <cell r="B9" t="str">
            <v>Marriott Hotel</v>
          </cell>
          <cell r="C9">
            <v>8</v>
          </cell>
          <cell r="D9">
            <v>3211</v>
          </cell>
          <cell r="E9">
            <v>0</v>
          </cell>
          <cell r="F9">
            <v>0</v>
          </cell>
          <cell r="G9">
            <v>0</v>
          </cell>
          <cell r="H9">
            <v>0</v>
          </cell>
        </row>
        <row r="10">
          <cell r="B10" t="str">
            <v>Motel 6</v>
          </cell>
          <cell r="C10">
            <v>10</v>
          </cell>
          <cell r="D10">
            <v>1543</v>
          </cell>
          <cell r="E10">
            <v>0</v>
          </cell>
          <cell r="F10">
            <v>0</v>
          </cell>
          <cell r="G10">
            <v>0</v>
          </cell>
          <cell r="H10">
            <v>0</v>
          </cell>
        </row>
        <row r="11">
          <cell r="B11" t="str">
            <v>Radisson Hotel</v>
          </cell>
          <cell r="C11">
            <v>5</v>
          </cell>
          <cell r="D11">
            <v>1326</v>
          </cell>
          <cell r="E11">
            <v>0</v>
          </cell>
          <cell r="F11">
            <v>0</v>
          </cell>
          <cell r="G11">
            <v>0</v>
          </cell>
          <cell r="H11">
            <v>0</v>
          </cell>
        </row>
        <row r="13">
          <cell r="B13" t="str">
            <v>ACCOR</v>
          </cell>
          <cell r="C13">
            <v>14</v>
          </cell>
          <cell r="D13">
            <v>2059</v>
          </cell>
          <cell r="E13">
            <v>0</v>
          </cell>
          <cell r="F13">
            <v>0</v>
          </cell>
          <cell r="G13">
            <v>0</v>
          </cell>
          <cell r="H13">
            <v>0</v>
          </cell>
        </row>
        <row r="14">
          <cell r="B14" t="str">
            <v>Best Western Int'l</v>
          </cell>
          <cell r="C14">
            <v>24</v>
          </cell>
          <cell r="D14">
            <v>2297</v>
          </cell>
          <cell r="E14">
            <v>0</v>
          </cell>
          <cell r="F14">
            <v>0</v>
          </cell>
          <cell r="G14">
            <v>0</v>
          </cell>
          <cell r="H14">
            <v>0</v>
          </cell>
        </row>
        <row r="15">
          <cell r="B15" t="str">
            <v>Carlson Hospitality</v>
          </cell>
          <cell r="C15">
            <v>6</v>
          </cell>
          <cell r="D15">
            <v>1447</v>
          </cell>
          <cell r="E15">
            <v>0</v>
          </cell>
          <cell r="F15">
            <v>0</v>
          </cell>
          <cell r="G15">
            <v>0</v>
          </cell>
          <cell r="H15">
            <v>0</v>
          </cell>
        </row>
        <row r="16">
          <cell r="B16" t="str">
            <v>Cendant</v>
          </cell>
          <cell r="C16">
            <v>49</v>
          </cell>
          <cell r="D16">
            <v>4789</v>
          </cell>
          <cell r="E16">
            <v>0</v>
          </cell>
          <cell r="F16">
            <v>0</v>
          </cell>
          <cell r="G16">
            <v>0</v>
          </cell>
          <cell r="H16">
            <v>0</v>
          </cell>
        </row>
        <row r="17">
          <cell r="B17" t="str">
            <v>Hilton Hotel Corp.</v>
          </cell>
          <cell r="C17">
            <v>19</v>
          </cell>
          <cell r="D17">
            <v>5915</v>
          </cell>
          <cell r="E17">
            <v>1</v>
          </cell>
          <cell r="F17">
            <v>167</v>
          </cell>
          <cell r="G17">
            <v>0</v>
          </cell>
          <cell r="H17">
            <v>0</v>
          </cell>
        </row>
        <row r="18">
          <cell r="B18" t="str">
            <v>Hyatt Hotel Corp.</v>
          </cell>
          <cell r="C18">
            <v>3</v>
          </cell>
          <cell r="D18">
            <v>1600</v>
          </cell>
          <cell r="E18">
            <v>0</v>
          </cell>
          <cell r="F18">
            <v>0</v>
          </cell>
          <cell r="G18">
            <v>1</v>
          </cell>
          <cell r="H18">
            <v>258</v>
          </cell>
        </row>
        <row r="19">
          <cell r="B19" t="str">
            <v>Marriott Int'l</v>
          </cell>
          <cell r="C19">
            <v>28</v>
          </cell>
          <cell r="D19">
            <v>6668</v>
          </cell>
          <cell r="E19">
            <v>0</v>
          </cell>
          <cell r="F19">
            <v>0</v>
          </cell>
          <cell r="G19">
            <v>1</v>
          </cell>
          <cell r="H19">
            <v>174</v>
          </cell>
        </row>
        <row r="20">
          <cell r="B20" t="str">
            <v>Six Continents Hotels</v>
          </cell>
          <cell r="C20">
            <v>17</v>
          </cell>
          <cell r="D20">
            <v>3032</v>
          </cell>
          <cell r="E20">
            <v>1</v>
          </cell>
          <cell r="F20">
            <v>384</v>
          </cell>
          <cell r="G20">
            <v>1</v>
          </cell>
          <cell r="H20">
            <v>143</v>
          </cell>
        </row>
        <row r="22">
          <cell r="B22" t="str">
            <v>Economy</v>
          </cell>
          <cell r="C22">
            <v>77</v>
          </cell>
          <cell r="D22">
            <v>7098</v>
          </cell>
        </row>
        <row r="23">
          <cell r="B23" t="str">
            <v>Independent</v>
          </cell>
          <cell r="C23">
            <v>149</v>
          </cell>
          <cell r="D23">
            <v>14147</v>
          </cell>
        </row>
        <row r="24">
          <cell r="B24" t="str">
            <v>Midscale w/ F&amp;B</v>
          </cell>
          <cell r="C24">
            <v>53</v>
          </cell>
          <cell r="D24">
            <v>7337</v>
          </cell>
        </row>
        <row r="25">
          <cell r="B25" t="str">
            <v>Midscale w/o F&amp;B</v>
          </cell>
          <cell r="C25">
            <v>28</v>
          </cell>
          <cell r="D25">
            <v>3714</v>
          </cell>
        </row>
        <row r="26">
          <cell r="B26" t="str">
            <v>Upper Upscale</v>
          </cell>
          <cell r="C26">
            <v>27</v>
          </cell>
          <cell r="D26">
            <v>11076</v>
          </cell>
        </row>
        <row r="27">
          <cell r="B27" t="str">
            <v>Upscale</v>
          </cell>
          <cell r="C27">
            <v>33</v>
          </cell>
          <cell r="D27">
            <v>6300</v>
          </cell>
        </row>
        <row r="30">
          <cell r="B30" t="str">
            <v>Courtyard by Marriott</v>
          </cell>
          <cell r="C30">
            <v>20</v>
          </cell>
          <cell r="D30">
            <v>2914</v>
          </cell>
          <cell r="E30">
            <v>1</v>
          </cell>
          <cell r="F30">
            <v>154</v>
          </cell>
          <cell r="G30">
            <v>0</v>
          </cell>
          <cell r="H30">
            <v>0</v>
          </cell>
        </row>
        <row r="31">
          <cell r="B31" t="str">
            <v>Days Inn</v>
          </cell>
          <cell r="C31">
            <v>35</v>
          </cell>
          <cell r="D31">
            <v>3284</v>
          </cell>
          <cell r="E31">
            <v>0</v>
          </cell>
          <cell r="F31">
            <v>0</v>
          </cell>
          <cell r="G31">
            <v>0</v>
          </cell>
          <cell r="H31">
            <v>0</v>
          </cell>
        </row>
        <row r="32">
          <cell r="B32" t="str">
            <v>Hampton Inn</v>
          </cell>
          <cell r="C32">
            <v>25</v>
          </cell>
          <cell r="D32">
            <v>2667</v>
          </cell>
          <cell r="E32">
            <v>2</v>
          </cell>
          <cell r="F32">
            <v>162</v>
          </cell>
          <cell r="G32">
            <v>1</v>
          </cell>
          <cell r="H32">
            <v>72</v>
          </cell>
        </row>
        <row r="33">
          <cell r="B33" t="str">
            <v>Hilton Hotel</v>
          </cell>
          <cell r="C33">
            <v>4</v>
          </cell>
          <cell r="D33">
            <v>2221</v>
          </cell>
          <cell r="E33">
            <v>0</v>
          </cell>
          <cell r="F33">
            <v>0</v>
          </cell>
          <cell r="G33">
            <v>0</v>
          </cell>
          <cell r="H33">
            <v>0</v>
          </cell>
        </row>
        <row r="34">
          <cell r="B34" t="str">
            <v>Holiday Inn</v>
          </cell>
          <cell r="C34">
            <v>12</v>
          </cell>
          <cell r="D34">
            <v>2357</v>
          </cell>
          <cell r="E34">
            <v>0</v>
          </cell>
          <cell r="F34">
            <v>0</v>
          </cell>
          <cell r="G34">
            <v>0</v>
          </cell>
          <cell r="H34">
            <v>0</v>
          </cell>
        </row>
        <row r="35">
          <cell r="B35" t="str">
            <v>Marriott Hotel</v>
          </cell>
          <cell r="C35">
            <v>12</v>
          </cell>
          <cell r="D35">
            <v>5202</v>
          </cell>
          <cell r="E35">
            <v>1</v>
          </cell>
          <cell r="F35">
            <v>318</v>
          </cell>
          <cell r="G35">
            <v>0</v>
          </cell>
          <cell r="H35">
            <v>0</v>
          </cell>
        </row>
        <row r="36">
          <cell r="B36" t="str">
            <v>Sheraton Hotel</v>
          </cell>
          <cell r="C36">
            <v>5</v>
          </cell>
          <cell r="D36">
            <v>2237</v>
          </cell>
          <cell r="E36">
            <v>0</v>
          </cell>
          <cell r="F36">
            <v>0</v>
          </cell>
          <cell r="G36">
            <v>0</v>
          </cell>
          <cell r="H36">
            <v>0</v>
          </cell>
        </row>
        <row r="37">
          <cell r="B37" t="str">
            <v>Suburban Lodge</v>
          </cell>
          <cell r="C37">
            <v>22</v>
          </cell>
          <cell r="D37">
            <v>2864</v>
          </cell>
          <cell r="E37">
            <v>1</v>
          </cell>
          <cell r="F37">
            <v>149</v>
          </cell>
          <cell r="G37">
            <v>0</v>
          </cell>
          <cell r="H37">
            <v>0</v>
          </cell>
        </row>
        <row r="39">
          <cell r="B39" t="str">
            <v>ACCOR</v>
          </cell>
          <cell r="C39">
            <v>25</v>
          </cell>
          <cell r="D39">
            <v>2873</v>
          </cell>
          <cell r="E39">
            <v>1</v>
          </cell>
          <cell r="F39">
            <v>75</v>
          </cell>
          <cell r="G39">
            <v>1</v>
          </cell>
          <cell r="H39">
            <v>65</v>
          </cell>
        </row>
        <row r="40">
          <cell r="B40" t="str">
            <v>Cendant</v>
          </cell>
          <cell r="C40">
            <v>104</v>
          </cell>
          <cell r="D40">
            <v>9636</v>
          </cell>
          <cell r="E40">
            <v>3</v>
          </cell>
          <cell r="F40">
            <v>228</v>
          </cell>
          <cell r="G40">
            <v>2</v>
          </cell>
          <cell r="H40">
            <v>142</v>
          </cell>
        </row>
        <row r="41">
          <cell r="B41" t="str">
            <v>Choice Hotels</v>
          </cell>
          <cell r="C41">
            <v>60</v>
          </cell>
          <cell r="D41">
            <v>5110</v>
          </cell>
          <cell r="E41">
            <v>5</v>
          </cell>
          <cell r="F41">
            <v>349</v>
          </cell>
          <cell r="G41">
            <v>2</v>
          </cell>
          <cell r="H41">
            <v>145</v>
          </cell>
        </row>
        <row r="42">
          <cell r="B42" t="str">
            <v>Hilton Hotel Corp.</v>
          </cell>
          <cell r="C42">
            <v>53</v>
          </cell>
          <cell r="D42">
            <v>8958</v>
          </cell>
          <cell r="E42">
            <v>2</v>
          </cell>
          <cell r="F42">
            <v>162</v>
          </cell>
          <cell r="G42">
            <v>5</v>
          </cell>
          <cell r="H42">
            <v>574</v>
          </cell>
        </row>
        <row r="43">
          <cell r="B43" t="str">
            <v>Marriott Int'l</v>
          </cell>
          <cell r="C43">
            <v>74</v>
          </cell>
          <cell r="D43">
            <v>15067</v>
          </cell>
          <cell r="E43">
            <v>6</v>
          </cell>
          <cell r="F43">
            <v>806</v>
          </cell>
          <cell r="G43">
            <v>0</v>
          </cell>
          <cell r="H43">
            <v>0</v>
          </cell>
        </row>
        <row r="44">
          <cell r="B44" t="str">
            <v>Six Continents Hotels</v>
          </cell>
          <cell r="C44">
            <v>46</v>
          </cell>
          <cell r="D44">
            <v>6851</v>
          </cell>
          <cell r="E44">
            <v>3</v>
          </cell>
          <cell r="F44">
            <v>315</v>
          </cell>
          <cell r="G44">
            <v>2</v>
          </cell>
          <cell r="H44">
            <v>122</v>
          </cell>
        </row>
        <row r="45">
          <cell r="B45" t="str">
            <v>Starwood Hotels</v>
          </cell>
          <cell r="C45">
            <v>10</v>
          </cell>
          <cell r="D45">
            <v>4850</v>
          </cell>
          <cell r="E45">
            <v>0</v>
          </cell>
          <cell r="F45">
            <v>0</v>
          </cell>
          <cell r="G45">
            <v>0</v>
          </cell>
          <cell r="H45">
            <v>0</v>
          </cell>
        </row>
        <row r="46">
          <cell r="B46" t="str">
            <v>Suburban Lodges</v>
          </cell>
          <cell r="C46">
            <v>27</v>
          </cell>
          <cell r="D46">
            <v>3674</v>
          </cell>
          <cell r="E46">
            <v>1</v>
          </cell>
          <cell r="F46">
            <v>149</v>
          </cell>
          <cell r="G46">
            <v>1</v>
          </cell>
          <cell r="H46">
            <v>39</v>
          </cell>
        </row>
        <row r="48">
          <cell r="B48" t="str">
            <v>Economy</v>
          </cell>
          <cell r="C48">
            <v>216</v>
          </cell>
          <cell r="D48">
            <v>21056</v>
          </cell>
        </row>
        <row r="49">
          <cell r="B49" t="str">
            <v>Independent</v>
          </cell>
          <cell r="C49">
            <v>90</v>
          </cell>
          <cell r="D49">
            <v>8740</v>
          </cell>
        </row>
        <row r="50">
          <cell r="B50" t="str">
            <v>Midscale w/ F&amp;B</v>
          </cell>
          <cell r="C50">
            <v>57</v>
          </cell>
          <cell r="D50">
            <v>8288</v>
          </cell>
        </row>
        <row r="51">
          <cell r="B51" t="str">
            <v>Midscale w/o F&amp;B</v>
          </cell>
          <cell r="C51">
            <v>165</v>
          </cell>
          <cell r="D51">
            <v>16353</v>
          </cell>
        </row>
        <row r="52">
          <cell r="B52" t="str">
            <v>Upper Upscale</v>
          </cell>
          <cell r="C52">
            <v>51</v>
          </cell>
          <cell r="D52">
            <v>20550</v>
          </cell>
        </row>
        <row r="53">
          <cell r="B53" t="str">
            <v>Upscale</v>
          </cell>
          <cell r="C53">
            <v>71</v>
          </cell>
          <cell r="D53">
            <v>10901</v>
          </cell>
        </row>
        <row r="56">
          <cell r="B56" t="str">
            <v>Best Western</v>
          </cell>
          <cell r="C56">
            <v>13</v>
          </cell>
          <cell r="D56">
            <v>1711</v>
          </cell>
          <cell r="E56">
            <v>0</v>
          </cell>
          <cell r="F56">
            <v>0</v>
          </cell>
          <cell r="G56">
            <v>1</v>
          </cell>
          <cell r="H56">
            <v>92</v>
          </cell>
        </row>
        <row r="57">
          <cell r="B57" t="str">
            <v>Courtyard by Marriott</v>
          </cell>
          <cell r="C57">
            <v>9</v>
          </cell>
          <cell r="D57">
            <v>1292</v>
          </cell>
          <cell r="E57">
            <v>1</v>
          </cell>
          <cell r="F57">
            <v>154</v>
          </cell>
          <cell r="G57">
            <v>1</v>
          </cell>
          <cell r="H57">
            <v>181</v>
          </cell>
        </row>
        <row r="58">
          <cell r="B58" t="str">
            <v>Hilton Hotel</v>
          </cell>
          <cell r="C58">
            <v>3</v>
          </cell>
          <cell r="D58">
            <v>1234</v>
          </cell>
          <cell r="E58">
            <v>0</v>
          </cell>
          <cell r="F58">
            <v>0</v>
          </cell>
          <cell r="G58">
            <v>0</v>
          </cell>
          <cell r="H58">
            <v>0</v>
          </cell>
        </row>
        <row r="59">
          <cell r="B59" t="str">
            <v>Holiday Inn</v>
          </cell>
          <cell r="C59">
            <v>11</v>
          </cell>
          <cell r="D59">
            <v>2245</v>
          </cell>
          <cell r="E59">
            <v>0</v>
          </cell>
          <cell r="F59">
            <v>0</v>
          </cell>
          <cell r="G59">
            <v>0</v>
          </cell>
          <cell r="H59">
            <v>0</v>
          </cell>
        </row>
        <row r="60">
          <cell r="B60" t="str">
            <v>Marriott Hotel</v>
          </cell>
          <cell r="C60">
            <v>7</v>
          </cell>
          <cell r="D60">
            <v>3539</v>
          </cell>
          <cell r="E60">
            <v>0</v>
          </cell>
          <cell r="F60">
            <v>0</v>
          </cell>
          <cell r="G60">
            <v>1</v>
          </cell>
          <cell r="H60">
            <v>464</v>
          </cell>
        </row>
        <row r="61">
          <cell r="B61" t="str">
            <v>Residence Inn</v>
          </cell>
          <cell r="C61">
            <v>10</v>
          </cell>
          <cell r="D61">
            <v>1185</v>
          </cell>
          <cell r="E61">
            <v>1</v>
          </cell>
          <cell r="F61">
            <v>125</v>
          </cell>
          <cell r="G61">
            <v>4</v>
          </cell>
          <cell r="H61">
            <v>424</v>
          </cell>
        </row>
        <row r="62">
          <cell r="B62" t="str">
            <v>Sheraton Hotel</v>
          </cell>
          <cell r="C62">
            <v>9</v>
          </cell>
          <cell r="D62">
            <v>3548</v>
          </cell>
          <cell r="E62">
            <v>0</v>
          </cell>
          <cell r="F62">
            <v>0</v>
          </cell>
          <cell r="G62">
            <v>0</v>
          </cell>
          <cell r="H62">
            <v>0</v>
          </cell>
        </row>
        <row r="63">
          <cell r="B63" t="str">
            <v>Westin  Hotel</v>
          </cell>
          <cell r="C63">
            <v>2</v>
          </cell>
          <cell r="D63">
            <v>1147</v>
          </cell>
          <cell r="E63">
            <v>0</v>
          </cell>
          <cell r="F63">
            <v>0</v>
          </cell>
          <cell r="G63">
            <v>0</v>
          </cell>
          <cell r="H63">
            <v>0</v>
          </cell>
        </row>
        <row r="65">
          <cell r="B65" t="str">
            <v>Best Western Int'l</v>
          </cell>
          <cell r="C65">
            <v>13</v>
          </cell>
          <cell r="D65">
            <v>1711</v>
          </cell>
          <cell r="E65">
            <v>0</v>
          </cell>
          <cell r="F65">
            <v>0</v>
          </cell>
          <cell r="G65">
            <v>1</v>
          </cell>
          <cell r="H65">
            <v>92</v>
          </cell>
        </row>
        <row r="66">
          <cell r="B66" t="str">
            <v>Carlson Hospitality</v>
          </cell>
          <cell r="C66">
            <v>5</v>
          </cell>
          <cell r="D66">
            <v>1887</v>
          </cell>
          <cell r="E66">
            <v>0</v>
          </cell>
          <cell r="F66">
            <v>0</v>
          </cell>
          <cell r="G66">
            <v>0</v>
          </cell>
          <cell r="H66">
            <v>0</v>
          </cell>
        </row>
        <row r="67">
          <cell r="B67" t="str">
            <v>Cendant</v>
          </cell>
          <cell r="C67">
            <v>25</v>
          </cell>
          <cell r="D67">
            <v>3086</v>
          </cell>
          <cell r="E67">
            <v>0</v>
          </cell>
          <cell r="F67">
            <v>0</v>
          </cell>
          <cell r="G67">
            <v>0</v>
          </cell>
          <cell r="H67">
            <v>0</v>
          </cell>
        </row>
        <row r="68">
          <cell r="B68" t="str">
            <v>Hilton Hotel Corp.</v>
          </cell>
          <cell r="C68">
            <v>19</v>
          </cell>
          <cell r="D68">
            <v>4103</v>
          </cell>
          <cell r="E68">
            <v>2</v>
          </cell>
          <cell r="F68">
            <v>366</v>
          </cell>
          <cell r="G68">
            <v>2</v>
          </cell>
          <cell r="H68">
            <v>330</v>
          </cell>
        </row>
        <row r="69">
          <cell r="B69" t="str">
            <v>Marriott Int'l</v>
          </cell>
          <cell r="C69">
            <v>37</v>
          </cell>
          <cell r="D69">
            <v>7705</v>
          </cell>
          <cell r="E69">
            <v>2</v>
          </cell>
          <cell r="F69">
            <v>279</v>
          </cell>
          <cell r="G69">
            <v>8</v>
          </cell>
          <cell r="H69">
            <v>1398</v>
          </cell>
        </row>
        <row r="70">
          <cell r="B70" t="str">
            <v>Six Continents Hotels</v>
          </cell>
          <cell r="C70">
            <v>22</v>
          </cell>
          <cell r="D70">
            <v>4086</v>
          </cell>
          <cell r="E70">
            <v>2</v>
          </cell>
          <cell r="F70">
            <v>274</v>
          </cell>
          <cell r="G70">
            <v>0</v>
          </cell>
          <cell r="H70">
            <v>0</v>
          </cell>
        </row>
        <row r="71">
          <cell r="B71" t="str">
            <v>Starwood Hotels</v>
          </cell>
          <cell r="C71">
            <v>17</v>
          </cell>
          <cell r="D71">
            <v>5611</v>
          </cell>
          <cell r="E71">
            <v>0</v>
          </cell>
          <cell r="F71">
            <v>0</v>
          </cell>
          <cell r="G71">
            <v>1</v>
          </cell>
          <cell r="H71">
            <v>168</v>
          </cell>
        </row>
        <row r="72">
          <cell r="B72" t="str">
            <v>Wyndham Int'l</v>
          </cell>
          <cell r="C72">
            <v>7</v>
          </cell>
          <cell r="D72">
            <v>1663</v>
          </cell>
          <cell r="E72">
            <v>0</v>
          </cell>
          <cell r="F72">
            <v>0</v>
          </cell>
          <cell r="G72">
            <v>1</v>
          </cell>
          <cell r="H72">
            <v>180</v>
          </cell>
        </row>
        <row r="74">
          <cell r="B74" t="str">
            <v>Economy</v>
          </cell>
          <cell r="C74">
            <v>30</v>
          </cell>
          <cell r="D74">
            <v>3092</v>
          </cell>
        </row>
        <row r="75">
          <cell r="B75" t="str">
            <v>Independent</v>
          </cell>
          <cell r="C75">
            <v>92</v>
          </cell>
          <cell r="D75">
            <v>7045</v>
          </cell>
        </row>
        <row r="76">
          <cell r="B76" t="str">
            <v>Midscale w/ F&amp;B</v>
          </cell>
          <cell r="C76">
            <v>47</v>
          </cell>
          <cell r="D76">
            <v>7423</v>
          </cell>
        </row>
        <row r="77">
          <cell r="B77" t="str">
            <v>Midscale w/o F&amp;B</v>
          </cell>
          <cell r="C77">
            <v>36</v>
          </cell>
          <cell r="D77">
            <v>4527</v>
          </cell>
        </row>
        <row r="78">
          <cell r="B78" t="str">
            <v>Upper Upscale</v>
          </cell>
          <cell r="C78">
            <v>41</v>
          </cell>
          <cell r="D78">
            <v>15652</v>
          </cell>
        </row>
        <row r="79">
          <cell r="B79" t="str">
            <v>Upscale</v>
          </cell>
          <cell r="C79">
            <v>36</v>
          </cell>
          <cell r="D79">
            <v>6474</v>
          </cell>
        </row>
        <row r="82">
          <cell r="B82" t="str">
            <v>Best Western</v>
          </cell>
          <cell r="C82">
            <v>16</v>
          </cell>
          <cell r="D82">
            <v>1939</v>
          </cell>
          <cell r="E82">
            <v>1</v>
          </cell>
          <cell r="F82">
            <v>86</v>
          </cell>
          <cell r="G82">
            <v>1</v>
          </cell>
          <cell r="H82">
            <v>50</v>
          </cell>
        </row>
        <row r="83">
          <cell r="B83" t="str">
            <v>Extended Stay America</v>
          </cell>
          <cell r="C83">
            <v>15</v>
          </cell>
          <cell r="D83">
            <v>1772</v>
          </cell>
          <cell r="E83">
            <v>2</v>
          </cell>
          <cell r="F83">
            <v>238</v>
          </cell>
          <cell r="G83">
            <v>0</v>
          </cell>
          <cell r="H83">
            <v>0</v>
          </cell>
        </row>
        <row r="84">
          <cell r="B84" t="str">
            <v>Hilton Hotel</v>
          </cell>
          <cell r="C84">
            <v>7</v>
          </cell>
          <cell r="D84">
            <v>4987</v>
          </cell>
          <cell r="E84">
            <v>0</v>
          </cell>
          <cell r="F84">
            <v>0</v>
          </cell>
          <cell r="G84">
            <v>0</v>
          </cell>
          <cell r="H84">
            <v>0</v>
          </cell>
        </row>
        <row r="85">
          <cell r="B85" t="str">
            <v>Holiday Inn</v>
          </cell>
          <cell r="C85">
            <v>20</v>
          </cell>
          <cell r="D85">
            <v>4834</v>
          </cell>
          <cell r="E85">
            <v>0</v>
          </cell>
          <cell r="F85">
            <v>0</v>
          </cell>
          <cell r="G85">
            <v>0</v>
          </cell>
          <cell r="H85">
            <v>0</v>
          </cell>
        </row>
        <row r="86">
          <cell r="B86" t="str">
            <v>Hyatt Hotel</v>
          </cell>
          <cell r="C86">
            <v>10</v>
          </cell>
          <cell r="D86">
            <v>5806</v>
          </cell>
          <cell r="E86">
            <v>1</v>
          </cell>
          <cell r="F86">
            <v>203</v>
          </cell>
          <cell r="G86">
            <v>0</v>
          </cell>
          <cell r="H86">
            <v>0</v>
          </cell>
        </row>
        <row r="87">
          <cell r="B87" t="str">
            <v>Marriott Hotel</v>
          </cell>
          <cell r="C87">
            <v>7</v>
          </cell>
          <cell r="D87">
            <v>3492</v>
          </cell>
          <cell r="E87">
            <v>0</v>
          </cell>
          <cell r="F87">
            <v>0</v>
          </cell>
          <cell r="G87">
            <v>0</v>
          </cell>
          <cell r="H87">
            <v>0</v>
          </cell>
        </row>
        <row r="88">
          <cell r="B88" t="str">
            <v>Radisson Hotel</v>
          </cell>
          <cell r="C88">
            <v>8</v>
          </cell>
          <cell r="D88">
            <v>2179</v>
          </cell>
          <cell r="E88">
            <v>0</v>
          </cell>
          <cell r="F88">
            <v>0</v>
          </cell>
          <cell r="G88">
            <v>0</v>
          </cell>
          <cell r="H88">
            <v>0</v>
          </cell>
        </row>
        <row r="89">
          <cell r="B89" t="str">
            <v>Sheraton Hotel</v>
          </cell>
          <cell r="C89">
            <v>5</v>
          </cell>
          <cell r="D89">
            <v>2551</v>
          </cell>
          <cell r="E89">
            <v>0</v>
          </cell>
          <cell r="F89">
            <v>0</v>
          </cell>
          <cell r="G89">
            <v>0</v>
          </cell>
          <cell r="H89">
            <v>0</v>
          </cell>
        </row>
        <row r="91">
          <cell r="B91" t="str">
            <v>Best Western Int'l</v>
          </cell>
          <cell r="C91">
            <v>16</v>
          </cell>
          <cell r="D91">
            <v>1939</v>
          </cell>
          <cell r="E91">
            <v>1</v>
          </cell>
          <cell r="F91">
            <v>86</v>
          </cell>
          <cell r="G91">
            <v>1</v>
          </cell>
          <cell r="H91">
            <v>50</v>
          </cell>
        </row>
        <row r="92">
          <cell r="B92" t="str">
            <v>Carlson Hospitality</v>
          </cell>
          <cell r="C92">
            <v>15</v>
          </cell>
          <cell r="D92">
            <v>3214</v>
          </cell>
          <cell r="E92">
            <v>2</v>
          </cell>
          <cell r="F92">
            <v>180</v>
          </cell>
          <cell r="G92">
            <v>1</v>
          </cell>
          <cell r="H92">
            <v>84</v>
          </cell>
        </row>
        <row r="93">
          <cell r="B93" t="str">
            <v>Extended Stay America</v>
          </cell>
          <cell r="C93">
            <v>17</v>
          </cell>
          <cell r="D93">
            <v>2015</v>
          </cell>
          <cell r="E93">
            <v>2</v>
          </cell>
          <cell r="F93">
            <v>238</v>
          </cell>
          <cell r="G93">
            <v>0</v>
          </cell>
          <cell r="H93">
            <v>0</v>
          </cell>
        </row>
        <row r="94">
          <cell r="B94" t="str">
            <v>Hilton Hotel Corp.</v>
          </cell>
          <cell r="C94">
            <v>43</v>
          </cell>
          <cell r="D94">
            <v>12083</v>
          </cell>
          <cell r="E94">
            <v>4</v>
          </cell>
          <cell r="F94">
            <v>895</v>
          </cell>
          <cell r="G94">
            <v>2</v>
          </cell>
          <cell r="H94">
            <v>634</v>
          </cell>
        </row>
        <row r="95">
          <cell r="B95" t="str">
            <v>Hyatt Hotel Corp.</v>
          </cell>
          <cell r="C95">
            <v>10</v>
          </cell>
          <cell r="D95">
            <v>5806</v>
          </cell>
          <cell r="E95">
            <v>1</v>
          </cell>
          <cell r="F95">
            <v>203</v>
          </cell>
          <cell r="G95">
            <v>0</v>
          </cell>
          <cell r="H95">
            <v>0</v>
          </cell>
        </row>
        <row r="96">
          <cell r="B96" t="str">
            <v>Marriott Int'l</v>
          </cell>
          <cell r="C96">
            <v>34</v>
          </cell>
          <cell r="D96">
            <v>8561</v>
          </cell>
          <cell r="E96">
            <v>0</v>
          </cell>
          <cell r="F96">
            <v>0</v>
          </cell>
          <cell r="G96">
            <v>2</v>
          </cell>
          <cell r="H96">
            <v>310</v>
          </cell>
        </row>
        <row r="97">
          <cell r="B97" t="str">
            <v>Six Continents Hotels</v>
          </cell>
          <cell r="C97">
            <v>37</v>
          </cell>
          <cell r="D97">
            <v>8570</v>
          </cell>
          <cell r="E97">
            <v>1</v>
          </cell>
          <cell r="F97">
            <v>202</v>
          </cell>
          <cell r="G97">
            <v>1</v>
          </cell>
          <cell r="H97">
            <v>86</v>
          </cell>
        </row>
        <row r="98">
          <cell r="B98" t="str">
            <v>Starwood Hotels</v>
          </cell>
          <cell r="C98">
            <v>12</v>
          </cell>
          <cell r="D98">
            <v>5481</v>
          </cell>
          <cell r="E98">
            <v>0</v>
          </cell>
          <cell r="F98">
            <v>0</v>
          </cell>
          <cell r="G98">
            <v>0</v>
          </cell>
          <cell r="H98">
            <v>0</v>
          </cell>
        </row>
        <row r="100">
          <cell r="B100" t="str">
            <v>Economy</v>
          </cell>
          <cell r="C100">
            <v>81</v>
          </cell>
          <cell r="D100">
            <v>9093</v>
          </cell>
        </row>
        <row r="101">
          <cell r="B101" t="str">
            <v>Independent</v>
          </cell>
          <cell r="C101">
            <v>151</v>
          </cell>
          <cell r="D101">
            <v>14490</v>
          </cell>
        </row>
        <row r="102">
          <cell r="B102" t="str">
            <v>Midscale w/ F&amp;B</v>
          </cell>
          <cell r="C102">
            <v>57</v>
          </cell>
          <cell r="D102">
            <v>11491</v>
          </cell>
        </row>
        <row r="103">
          <cell r="B103" t="str">
            <v>Midscale w/o F&amp;B</v>
          </cell>
          <cell r="C103">
            <v>82</v>
          </cell>
          <cell r="D103">
            <v>9253</v>
          </cell>
        </row>
        <row r="104">
          <cell r="B104" t="str">
            <v>Upper Upscale</v>
          </cell>
          <cell r="C104">
            <v>61</v>
          </cell>
          <cell r="D104">
            <v>28633</v>
          </cell>
        </row>
        <row r="105">
          <cell r="B105" t="str">
            <v>Upscale</v>
          </cell>
          <cell r="C105">
            <v>55</v>
          </cell>
          <cell r="D105">
            <v>10836</v>
          </cell>
        </row>
        <row r="108">
          <cell r="B108" t="str">
            <v>Adam's Mark</v>
          </cell>
          <cell r="C108">
            <v>1</v>
          </cell>
          <cell r="D108">
            <v>1844</v>
          </cell>
          <cell r="E108">
            <v>0</v>
          </cell>
          <cell r="F108">
            <v>0</v>
          </cell>
          <cell r="G108">
            <v>0</v>
          </cell>
          <cell r="H108">
            <v>0</v>
          </cell>
        </row>
        <row r="109">
          <cell r="B109" t="str">
            <v>Budget Suites of America</v>
          </cell>
          <cell r="C109">
            <v>8</v>
          </cell>
          <cell r="D109">
            <v>2782</v>
          </cell>
          <cell r="E109">
            <v>3</v>
          </cell>
          <cell r="F109">
            <v>934</v>
          </cell>
          <cell r="G109">
            <v>0</v>
          </cell>
          <cell r="H109">
            <v>0</v>
          </cell>
        </row>
        <row r="110">
          <cell r="B110" t="str">
            <v>Courtyard by Marriott</v>
          </cell>
          <cell r="C110">
            <v>14</v>
          </cell>
          <cell r="D110">
            <v>2055</v>
          </cell>
          <cell r="E110">
            <v>1</v>
          </cell>
          <cell r="F110">
            <v>176</v>
          </cell>
          <cell r="G110">
            <v>1</v>
          </cell>
          <cell r="H110">
            <v>121</v>
          </cell>
        </row>
        <row r="111">
          <cell r="B111" t="str">
            <v>Holiday Inn Select</v>
          </cell>
          <cell r="C111">
            <v>6</v>
          </cell>
          <cell r="D111">
            <v>1649</v>
          </cell>
          <cell r="E111">
            <v>0</v>
          </cell>
          <cell r="F111">
            <v>0</v>
          </cell>
          <cell r="G111">
            <v>0</v>
          </cell>
          <cell r="H111">
            <v>0</v>
          </cell>
        </row>
        <row r="112">
          <cell r="B112" t="str">
            <v>La Quinta Inn</v>
          </cell>
          <cell r="C112">
            <v>15</v>
          </cell>
          <cell r="D112">
            <v>1903</v>
          </cell>
          <cell r="E112">
            <v>0</v>
          </cell>
          <cell r="F112">
            <v>0</v>
          </cell>
          <cell r="G112">
            <v>0</v>
          </cell>
          <cell r="H112">
            <v>0</v>
          </cell>
        </row>
        <row r="113">
          <cell r="B113" t="str">
            <v>Marriott Hotel</v>
          </cell>
          <cell r="C113">
            <v>5</v>
          </cell>
          <cell r="D113">
            <v>1867</v>
          </cell>
          <cell r="E113">
            <v>1</v>
          </cell>
          <cell r="F113">
            <v>364</v>
          </cell>
          <cell r="G113">
            <v>0</v>
          </cell>
          <cell r="H113">
            <v>0</v>
          </cell>
        </row>
        <row r="114">
          <cell r="B114" t="str">
            <v>Sheraton Hotel</v>
          </cell>
          <cell r="C114">
            <v>5</v>
          </cell>
          <cell r="D114">
            <v>1639</v>
          </cell>
          <cell r="E114">
            <v>0</v>
          </cell>
          <cell r="F114">
            <v>0</v>
          </cell>
          <cell r="G114">
            <v>0</v>
          </cell>
          <cell r="H114">
            <v>0</v>
          </cell>
        </row>
        <row r="115">
          <cell r="B115" t="str">
            <v>Wyndham Hotel</v>
          </cell>
          <cell r="C115">
            <v>1</v>
          </cell>
          <cell r="D115">
            <v>1620</v>
          </cell>
          <cell r="E115">
            <v>0</v>
          </cell>
          <cell r="F115">
            <v>0</v>
          </cell>
          <cell r="G115">
            <v>0</v>
          </cell>
          <cell r="H115">
            <v>0</v>
          </cell>
        </row>
        <row r="117">
          <cell r="B117" t="str">
            <v>Adam's Mark</v>
          </cell>
          <cell r="C117">
            <v>1</v>
          </cell>
          <cell r="D117">
            <v>1844</v>
          </cell>
          <cell r="E117">
            <v>0</v>
          </cell>
          <cell r="F117">
            <v>0</v>
          </cell>
          <cell r="G117">
            <v>0</v>
          </cell>
          <cell r="H117">
            <v>0</v>
          </cell>
        </row>
        <row r="118">
          <cell r="B118" t="str">
            <v>Bigelow Cos.</v>
          </cell>
          <cell r="C118">
            <v>8</v>
          </cell>
          <cell r="D118">
            <v>2782</v>
          </cell>
          <cell r="E118">
            <v>3</v>
          </cell>
          <cell r="F118">
            <v>934</v>
          </cell>
          <cell r="G118">
            <v>0</v>
          </cell>
          <cell r="H118">
            <v>0</v>
          </cell>
        </row>
        <row r="119">
          <cell r="B119" t="str">
            <v>Hilton Hotel Corp.</v>
          </cell>
          <cell r="C119">
            <v>31</v>
          </cell>
          <cell r="D119">
            <v>5826</v>
          </cell>
          <cell r="E119">
            <v>0</v>
          </cell>
          <cell r="F119">
            <v>0</v>
          </cell>
          <cell r="G119">
            <v>2</v>
          </cell>
          <cell r="H119">
            <v>648</v>
          </cell>
        </row>
        <row r="120">
          <cell r="B120" t="str">
            <v>La Quinta Inns</v>
          </cell>
          <cell r="C120">
            <v>15</v>
          </cell>
          <cell r="D120">
            <v>1903</v>
          </cell>
          <cell r="E120">
            <v>0</v>
          </cell>
          <cell r="F120">
            <v>0</v>
          </cell>
          <cell r="G120">
            <v>0</v>
          </cell>
          <cell r="H120">
            <v>0</v>
          </cell>
        </row>
        <row r="121">
          <cell r="B121" t="str">
            <v>Marriott Int'l</v>
          </cell>
          <cell r="C121">
            <v>42</v>
          </cell>
          <cell r="D121">
            <v>7332</v>
          </cell>
          <cell r="E121">
            <v>4</v>
          </cell>
          <cell r="F121">
            <v>717</v>
          </cell>
          <cell r="G121">
            <v>3</v>
          </cell>
          <cell r="H121">
            <v>558</v>
          </cell>
        </row>
        <row r="122">
          <cell r="B122" t="str">
            <v>Six Continents Hotels</v>
          </cell>
          <cell r="C122">
            <v>27</v>
          </cell>
          <cell r="D122">
            <v>5433</v>
          </cell>
          <cell r="E122">
            <v>1</v>
          </cell>
          <cell r="F122">
            <v>81</v>
          </cell>
          <cell r="G122">
            <v>0</v>
          </cell>
          <cell r="H122">
            <v>0</v>
          </cell>
        </row>
        <row r="123">
          <cell r="B123" t="str">
            <v>Starwood Hotels</v>
          </cell>
          <cell r="C123">
            <v>8</v>
          </cell>
          <cell r="D123">
            <v>2908</v>
          </cell>
          <cell r="E123">
            <v>1</v>
          </cell>
          <cell r="F123">
            <v>301</v>
          </cell>
          <cell r="G123">
            <v>0</v>
          </cell>
          <cell r="H123">
            <v>0</v>
          </cell>
        </row>
        <row r="124">
          <cell r="B124" t="str">
            <v>Wyndham Int'l</v>
          </cell>
          <cell r="C124">
            <v>7</v>
          </cell>
          <cell r="D124">
            <v>2619</v>
          </cell>
          <cell r="E124">
            <v>0</v>
          </cell>
          <cell r="F124">
            <v>0</v>
          </cell>
          <cell r="G124">
            <v>0</v>
          </cell>
          <cell r="H124">
            <v>0</v>
          </cell>
        </row>
        <row r="126">
          <cell r="B126" t="str">
            <v>Economy</v>
          </cell>
          <cell r="C126">
            <v>105</v>
          </cell>
          <cell r="D126">
            <v>10082</v>
          </cell>
        </row>
        <row r="127">
          <cell r="B127" t="str">
            <v>Independent</v>
          </cell>
          <cell r="C127">
            <v>96</v>
          </cell>
          <cell r="D127">
            <v>10178</v>
          </cell>
        </row>
        <row r="128">
          <cell r="B128" t="str">
            <v>Midscale w/ F&amp;B</v>
          </cell>
          <cell r="C128">
            <v>55</v>
          </cell>
          <cell r="D128">
            <v>8176</v>
          </cell>
        </row>
        <row r="129">
          <cell r="B129" t="str">
            <v>Midscale w/o F&amp;B</v>
          </cell>
          <cell r="C129">
            <v>99</v>
          </cell>
          <cell r="D129">
            <v>10402</v>
          </cell>
        </row>
        <row r="130">
          <cell r="B130" t="str">
            <v>Upper Upscale</v>
          </cell>
          <cell r="C130">
            <v>34</v>
          </cell>
          <cell r="D130">
            <v>13679</v>
          </cell>
        </row>
        <row r="131">
          <cell r="B131" t="str">
            <v>Upscale</v>
          </cell>
          <cell r="C131">
            <v>58</v>
          </cell>
          <cell r="D131">
            <v>11136</v>
          </cell>
        </row>
        <row r="134">
          <cell r="B134" t="str">
            <v>Adam's Mark</v>
          </cell>
          <cell r="C134">
            <v>1</v>
          </cell>
          <cell r="D134">
            <v>1225</v>
          </cell>
          <cell r="E134">
            <v>0</v>
          </cell>
          <cell r="F134">
            <v>0</v>
          </cell>
          <cell r="G134">
            <v>0</v>
          </cell>
          <cell r="H134">
            <v>0</v>
          </cell>
        </row>
        <row r="135">
          <cell r="B135" t="str">
            <v>Best Western</v>
          </cell>
          <cell r="C135">
            <v>7</v>
          </cell>
          <cell r="D135">
            <v>1078</v>
          </cell>
          <cell r="E135">
            <v>0</v>
          </cell>
          <cell r="F135">
            <v>0</v>
          </cell>
          <cell r="G135">
            <v>1</v>
          </cell>
          <cell r="H135">
            <v>68</v>
          </cell>
        </row>
        <row r="136">
          <cell r="B136" t="str">
            <v>Hampton Inn</v>
          </cell>
          <cell r="C136">
            <v>9</v>
          </cell>
          <cell r="D136">
            <v>1070</v>
          </cell>
          <cell r="E136">
            <v>0</v>
          </cell>
          <cell r="F136">
            <v>0</v>
          </cell>
          <cell r="G136">
            <v>1</v>
          </cell>
          <cell r="H136">
            <v>71</v>
          </cell>
        </row>
        <row r="137">
          <cell r="B137" t="str">
            <v>Holiday Inn</v>
          </cell>
          <cell r="C137">
            <v>7</v>
          </cell>
          <cell r="D137">
            <v>1867</v>
          </cell>
          <cell r="E137">
            <v>0</v>
          </cell>
          <cell r="F137">
            <v>0</v>
          </cell>
          <cell r="G137">
            <v>0</v>
          </cell>
          <cell r="H137">
            <v>0</v>
          </cell>
        </row>
        <row r="138">
          <cell r="B138" t="str">
            <v>La Quinta Inn</v>
          </cell>
          <cell r="C138">
            <v>10</v>
          </cell>
          <cell r="D138">
            <v>1273</v>
          </cell>
          <cell r="E138">
            <v>0</v>
          </cell>
          <cell r="F138">
            <v>0</v>
          </cell>
          <cell r="G138">
            <v>0</v>
          </cell>
          <cell r="H138">
            <v>0</v>
          </cell>
        </row>
        <row r="139">
          <cell r="B139" t="str">
            <v>Marriott Hotel</v>
          </cell>
          <cell r="C139">
            <v>4</v>
          </cell>
          <cell r="D139">
            <v>1783</v>
          </cell>
          <cell r="E139">
            <v>0</v>
          </cell>
          <cell r="F139">
            <v>0</v>
          </cell>
          <cell r="G139">
            <v>0</v>
          </cell>
          <cell r="H139">
            <v>0</v>
          </cell>
        </row>
        <row r="140">
          <cell r="B140" t="str">
            <v>Motel 6</v>
          </cell>
          <cell r="C140">
            <v>8</v>
          </cell>
          <cell r="D140">
            <v>1033</v>
          </cell>
          <cell r="E140">
            <v>0</v>
          </cell>
          <cell r="F140">
            <v>0</v>
          </cell>
          <cell r="G140">
            <v>0</v>
          </cell>
          <cell r="H140">
            <v>0</v>
          </cell>
        </row>
        <row r="141">
          <cell r="B141" t="str">
            <v>Super 8</v>
          </cell>
          <cell r="C141">
            <v>12</v>
          </cell>
          <cell r="D141">
            <v>1191</v>
          </cell>
          <cell r="E141">
            <v>0</v>
          </cell>
          <cell r="F141">
            <v>0</v>
          </cell>
          <cell r="G141">
            <v>0</v>
          </cell>
          <cell r="H141">
            <v>0</v>
          </cell>
        </row>
        <row r="143">
          <cell r="B143" t="str">
            <v>ACCOR</v>
          </cell>
          <cell r="C143">
            <v>9</v>
          </cell>
          <cell r="D143">
            <v>1156</v>
          </cell>
          <cell r="E143">
            <v>0</v>
          </cell>
          <cell r="F143">
            <v>0</v>
          </cell>
          <cell r="G143">
            <v>0</v>
          </cell>
          <cell r="H143">
            <v>0</v>
          </cell>
        </row>
        <row r="144">
          <cell r="B144" t="str">
            <v>Adam's Mark</v>
          </cell>
          <cell r="C144">
            <v>1</v>
          </cell>
          <cell r="D144">
            <v>1225</v>
          </cell>
          <cell r="E144">
            <v>0</v>
          </cell>
          <cell r="F144">
            <v>0</v>
          </cell>
          <cell r="G144">
            <v>0</v>
          </cell>
          <cell r="H144">
            <v>0</v>
          </cell>
        </row>
        <row r="145">
          <cell r="B145" t="str">
            <v>Best Western Int'l</v>
          </cell>
          <cell r="C145">
            <v>7</v>
          </cell>
          <cell r="D145">
            <v>1078</v>
          </cell>
          <cell r="E145">
            <v>0</v>
          </cell>
          <cell r="F145">
            <v>0</v>
          </cell>
          <cell r="G145">
            <v>1</v>
          </cell>
          <cell r="H145">
            <v>68</v>
          </cell>
        </row>
        <row r="146">
          <cell r="B146" t="str">
            <v>Cendant</v>
          </cell>
          <cell r="C146">
            <v>26</v>
          </cell>
          <cell r="D146">
            <v>2953</v>
          </cell>
          <cell r="E146">
            <v>0</v>
          </cell>
          <cell r="F146">
            <v>0</v>
          </cell>
          <cell r="G146">
            <v>0</v>
          </cell>
          <cell r="H146">
            <v>0</v>
          </cell>
        </row>
        <row r="147">
          <cell r="B147" t="str">
            <v>Hilton Hotel Corp.</v>
          </cell>
          <cell r="C147">
            <v>21</v>
          </cell>
          <cell r="D147">
            <v>4142</v>
          </cell>
          <cell r="E147">
            <v>0</v>
          </cell>
          <cell r="F147">
            <v>0</v>
          </cell>
          <cell r="G147">
            <v>1</v>
          </cell>
          <cell r="H147">
            <v>71</v>
          </cell>
        </row>
        <row r="148">
          <cell r="B148" t="str">
            <v>La Quinta Inns</v>
          </cell>
          <cell r="C148">
            <v>10</v>
          </cell>
          <cell r="D148">
            <v>1273</v>
          </cell>
          <cell r="E148">
            <v>0</v>
          </cell>
          <cell r="F148">
            <v>0</v>
          </cell>
          <cell r="G148">
            <v>0</v>
          </cell>
          <cell r="H148">
            <v>0</v>
          </cell>
        </row>
        <row r="149">
          <cell r="B149" t="str">
            <v>Marriott Int'l</v>
          </cell>
          <cell r="C149">
            <v>32</v>
          </cell>
          <cell r="D149">
            <v>5434</v>
          </cell>
          <cell r="E149">
            <v>9</v>
          </cell>
          <cell r="F149">
            <v>1017</v>
          </cell>
          <cell r="G149">
            <v>0</v>
          </cell>
          <cell r="H149">
            <v>0</v>
          </cell>
        </row>
        <row r="150">
          <cell r="B150" t="str">
            <v>Six Continents Hotels</v>
          </cell>
          <cell r="C150">
            <v>16</v>
          </cell>
          <cell r="D150">
            <v>2656</v>
          </cell>
          <cell r="E150">
            <v>2</v>
          </cell>
          <cell r="F150">
            <v>191</v>
          </cell>
          <cell r="G150">
            <v>1</v>
          </cell>
          <cell r="H150">
            <v>121</v>
          </cell>
        </row>
        <row r="152">
          <cell r="B152" t="str">
            <v>Economy</v>
          </cell>
          <cell r="C152">
            <v>45</v>
          </cell>
          <cell r="D152">
            <v>5152</v>
          </cell>
        </row>
        <row r="153">
          <cell r="B153" t="str">
            <v>Independent</v>
          </cell>
          <cell r="C153">
            <v>44</v>
          </cell>
          <cell r="D153">
            <v>4932</v>
          </cell>
        </row>
        <row r="154">
          <cell r="B154" t="str">
            <v>Midscale w/ F&amp;B</v>
          </cell>
          <cell r="C154">
            <v>31</v>
          </cell>
          <cell r="D154">
            <v>5372</v>
          </cell>
        </row>
        <row r="155">
          <cell r="B155" t="str">
            <v>Midscale w/o F&amp;B</v>
          </cell>
          <cell r="C155">
            <v>62</v>
          </cell>
          <cell r="D155">
            <v>6834</v>
          </cell>
        </row>
        <row r="156">
          <cell r="B156" t="str">
            <v>Upper Upscale</v>
          </cell>
          <cell r="C156">
            <v>20</v>
          </cell>
          <cell r="D156">
            <v>6667</v>
          </cell>
        </row>
        <row r="157">
          <cell r="B157" t="str">
            <v>Upscale</v>
          </cell>
          <cell r="C157">
            <v>30</v>
          </cell>
          <cell r="D157">
            <v>5965</v>
          </cell>
        </row>
        <row r="160">
          <cell r="B160" t="str">
            <v>Best Western</v>
          </cell>
          <cell r="C160">
            <v>14</v>
          </cell>
          <cell r="D160">
            <v>1953</v>
          </cell>
          <cell r="E160">
            <v>1</v>
          </cell>
          <cell r="F160">
            <v>160</v>
          </cell>
          <cell r="G160">
            <v>0</v>
          </cell>
          <cell r="H160">
            <v>0</v>
          </cell>
        </row>
        <row r="161">
          <cell r="B161" t="str">
            <v>Courtyard by Marriott</v>
          </cell>
          <cell r="C161">
            <v>12</v>
          </cell>
          <cell r="D161">
            <v>1693</v>
          </cell>
          <cell r="E161">
            <v>0</v>
          </cell>
          <cell r="F161">
            <v>0</v>
          </cell>
          <cell r="G161">
            <v>0</v>
          </cell>
          <cell r="H161">
            <v>0</v>
          </cell>
        </row>
        <row r="162">
          <cell r="B162" t="str">
            <v>Days Inn</v>
          </cell>
          <cell r="C162">
            <v>12</v>
          </cell>
          <cell r="D162">
            <v>1033</v>
          </cell>
          <cell r="E162">
            <v>0</v>
          </cell>
          <cell r="F162">
            <v>0</v>
          </cell>
          <cell r="G162">
            <v>0</v>
          </cell>
          <cell r="H162">
            <v>0</v>
          </cell>
        </row>
        <row r="163">
          <cell r="B163" t="str">
            <v>Hampton Inn</v>
          </cell>
          <cell r="C163">
            <v>10</v>
          </cell>
          <cell r="D163">
            <v>1140</v>
          </cell>
          <cell r="E163">
            <v>2</v>
          </cell>
          <cell r="F163">
            <v>164</v>
          </cell>
          <cell r="G163">
            <v>0</v>
          </cell>
          <cell r="H163">
            <v>0</v>
          </cell>
        </row>
        <row r="164">
          <cell r="B164" t="str">
            <v>Holiday Inn</v>
          </cell>
          <cell r="C164">
            <v>7</v>
          </cell>
          <cell r="D164">
            <v>1783</v>
          </cell>
          <cell r="E164">
            <v>0</v>
          </cell>
          <cell r="F164">
            <v>0</v>
          </cell>
          <cell r="G164">
            <v>0</v>
          </cell>
          <cell r="H164">
            <v>0</v>
          </cell>
        </row>
        <row r="165">
          <cell r="B165" t="str">
            <v>Marriott Hotel</v>
          </cell>
          <cell r="C165">
            <v>8</v>
          </cell>
          <cell r="D165">
            <v>3057</v>
          </cell>
          <cell r="E165">
            <v>1</v>
          </cell>
          <cell r="F165">
            <v>290</v>
          </cell>
          <cell r="G165">
            <v>0</v>
          </cell>
          <cell r="H165">
            <v>0</v>
          </cell>
        </row>
        <row r="166">
          <cell r="B166" t="str">
            <v>Ramada Inn</v>
          </cell>
          <cell r="C166">
            <v>6</v>
          </cell>
          <cell r="D166">
            <v>1123</v>
          </cell>
          <cell r="E166">
            <v>0</v>
          </cell>
          <cell r="F166">
            <v>0</v>
          </cell>
          <cell r="G166">
            <v>0</v>
          </cell>
          <cell r="H166">
            <v>0</v>
          </cell>
        </row>
        <row r="167">
          <cell r="B167" t="str">
            <v>Red Roof Inn</v>
          </cell>
          <cell r="C167">
            <v>13</v>
          </cell>
          <cell r="D167">
            <v>1463</v>
          </cell>
          <cell r="E167">
            <v>1</v>
          </cell>
          <cell r="F167">
            <v>99</v>
          </cell>
          <cell r="G167">
            <v>0</v>
          </cell>
          <cell r="H167">
            <v>0</v>
          </cell>
        </row>
        <row r="169">
          <cell r="B169" t="str">
            <v>ACCOR</v>
          </cell>
          <cell r="C169">
            <v>19</v>
          </cell>
          <cell r="D169">
            <v>2087</v>
          </cell>
          <cell r="E169">
            <v>1</v>
          </cell>
          <cell r="F169">
            <v>99</v>
          </cell>
          <cell r="G169">
            <v>0</v>
          </cell>
          <cell r="H169">
            <v>0</v>
          </cell>
        </row>
        <row r="170">
          <cell r="B170" t="str">
            <v>Best Western Int'l</v>
          </cell>
          <cell r="C170">
            <v>14</v>
          </cell>
          <cell r="D170">
            <v>1953</v>
          </cell>
          <cell r="E170">
            <v>1</v>
          </cell>
          <cell r="F170">
            <v>160</v>
          </cell>
          <cell r="G170">
            <v>0</v>
          </cell>
          <cell r="H170">
            <v>0</v>
          </cell>
        </row>
        <row r="171">
          <cell r="B171" t="str">
            <v>Cendant</v>
          </cell>
          <cell r="C171">
            <v>47</v>
          </cell>
          <cell r="D171">
            <v>4675</v>
          </cell>
          <cell r="E171">
            <v>1</v>
          </cell>
          <cell r="F171">
            <v>63</v>
          </cell>
          <cell r="G171">
            <v>1</v>
          </cell>
          <cell r="H171">
            <v>50</v>
          </cell>
        </row>
        <row r="172">
          <cell r="B172" t="str">
            <v>Choice Hotels</v>
          </cell>
          <cell r="C172">
            <v>26</v>
          </cell>
          <cell r="D172">
            <v>2569</v>
          </cell>
          <cell r="E172">
            <v>2</v>
          </cell>
          <cell r="F172">
            <v>127</v>
          </cell>
          <cell r="G172">
            <v>2</v>
          </cell>
          <cell r="H172">
            <v>142</v>
          </cell>
        </row>
        <row r="173">
          <cell r="B173" t="str">
            <v>Extended Stay America</v>
          </cell>
          <cell r="C173">
            <v>9</v>
          </cell>
          <cell r="D173">
            <v>1040</v>
          </cell>
          <cell r="E173">
            <v>1</v>
          </cell>
          <cell r="F173">
            <v>86</v>
          </cell>
          <cell r="G173">
            <v>1</v>
          </cell>
          <cell r="H173">
            <v>104</v>
          </cell>
        </row>
        <row r="174">
          <cell r="B174" t="str">
            <v>Hilton Hotel Corp.</v>
          </cell>
          <cell r="C174">
            <v>23</v>
          </cell>
          <cell r="D174">
            <v>3745</v>
          </cell>
          <cell r="E174">
            <v>3</v>
          </cell>
          <cell r="F174">
            <v>318</v>
          </cell>
          <cell r="G174">
            <v>0</v>
          </cell>
          <cell r="H174">
            <v>0</v>
          </cell>
        </row>
        <row r="175">
          <cell r="B175" t="str">
            <v>Marriott Int'l</v>
          </cell>
          <cell r="C175">
            <v>41</v>
          </cell>
          <cell r="D175">
            <v>7364</v>
          </cell>
          <cell r="E175">
            <v>3</v>
          </cell>
          <cell r="F175">
            <v>456</v>
          </cell>
          <cell r="G175">
            <v>1</v>
          </cell>
          <cell r="H175">
            <v>148</v>
          </cell>
        </row>
        <row r="176">
          <cell r="B176" t="str">
            <v>Six Continents Hotels</v>
          </cell>
          <cell r="C176">
            <v>21</v>
          </cell>
          <cell r="D176">
            <v>3982</v>
          </cell>
          <cell r="E176">
            <v>3</v>
          </cell>
          <cell r="F176">
            <v>328</v>
          </cell>
          <cell r="G176">
            <v>2</v>
          </cell>
          <cell r="H176">
            <v>172</v>
          </cell>
        </row>
        <row r="178">
          <cell r="B178" t="str">
            <v>Economy</v>
          </cell>
          <cell r="C178">
            <v>75</v>
          </cell>
          <cell r="D178">
            <v>7218</v>
          </cell>
        </row>
        <row r="179">
          <cell r="B179" t="str">
            <v>Independent</v>
          </cell>
          <cell r="C179">
            <v>71</v>
          </cell>
          <cell r="D179">
            <v>5042</v>
          </cell>
        </row>
        <row r="180">
          <cell r="B180" t="str">
            <v>Midscale w/ F&amp;B</v>
          </cell>
          <cell r="C180">
            <v>37</v>
          </cell>
          <cell r="D180">
            <v>6328</v>
          </cell>
        </row>
        <row r="181">
          <cell r="B181" t="str">
            <v>Midscale w/o F&amp;B</v>
          </cell>
          <cell r="C181">
            <v>66</v>
          </cell>
          <cell r="D181">
            <v>6891</v>
          </cell>
        </row>
        <row r="182">
          <cell r="B182" t="str">
            <v>Upper Upscale</v>
          </cell>
          <cell r="C182">
            <v>20</v>
          </cell>
          <cell r="D182">
            <v>6352</v>
          </cell>
        </row>
        <row r="183">
          <cell r="B183" t="str">
            <v>Upscale</v>
          </cell>
          <cell r="C183">
            <v>30</v>
          </cell>
          <cell r="D183">
            <v>4748</v>
          </cell>
        </row>
        <row r="186">
          <cell r="B186" t="str">
            <v>Best Western</v>
          </cell>
          <cell r="C186">
            <v>20</v>
          </cell>
          <cell r="D186">
            <v>1408</v>
          </cell>
          <cell r="E186">
            <v>3</v>
          </cell>
          <cell r="F186">
            <v>203</v>
          </cell>
          <cell r="G186">
            <v>2</v>
          </cell>
          <cell r="H186">
            <v>134</v>
          </cell>
        </row>
        <row r="187">
          <cell r="B187" t="str">
            <v>Crowne Plaza</v>
          </cell>
          <cell r="C187">
            <v>4</v>
          </cell>
          <cell r="D187">
            <v>1320</v>
          </cell>
          <cell r="E187">
            <v>0</v>
          </cell>
          <cell r="F187">
            <v>0</v>
          </cell>
          <cell r="G187">
            <v>1</v>
          </cell>
          <cell r="H187">
            <v>259</v>
          </cell>
        </row>
        <row r="188">
          <cell r="B188" t="str">
            <v>Days Inn</v>
          </cell>
          <cell r="C188">
            <v>17</v>
          </cell>
          <cell r="D188">
            <v>1717</v>
          </cell>
          <cell r="E188">
            <v>0</v>
          </cell>
          <cell r="F188">
            <v>0</v>
          </cell>
          <cell r="G188">
            <v>0</v>
          </cell>
          <cell r="H188">
            <v>0</v>
          </cell>
        </row>
        <row r="189">
          <cell r="B189" t="str">
            <v>Hilton Hotel</v>
          </cell>
          <cell r="C189">
            <v>7</v>
          </cell>
          <cell r="D189">
            <v>1576</v>
          </cell>
          <cell r="E189">
            <v>0</v>
          </cell>
          <cell r="F189">
            <v>0</v>
          </cell>
          <cell r="G189">
            <v>0</v>
          </cell>
          <cell r="H189">
            <v>0</v>
          </cell>
        </row>
        <row r="190">
          <cell r="B190" t="str">
            <v>Holiday Inn</v>
          </cell>
          <cell r="C190">
            <v>13</v>
          </cell>
          <cell r="D190">
            <v>3055</v>
          </cell>
          <cell r="E190">
            <v>0</v>
          </cell>
          <cell r="F190">
            <v>0</v>
          </cell>
          <cell r="G190">
            <v>0</v>
          </cell>
          <cell r="H190">
            <v>0</v>
          </cell>
        </row>
        <row r="191">
          <cell r="B191" t="str">
            <v>La Quinta Inn</v>
          </cell>
          <cell r="C191">
            <v>19</v>
          </cell>
          <cell r="D191">
            <v>2390</v>
          </cell>
          <cell r="E191">
            <v>0</v>
          </cell>
          <cell r="F191">
            <v>0</v>
          </cell>
          <cell r="G191">
            <v>0</v>
          </cell>
          <cell r="H191">
            <v>0</v>
          </cell>
        </row>
        <row r="192">
          <cell r="B192" t="str">
            <v>Marriott Hotel</v>
          </cell>
          <cell r="C192">
            <v>5</v>
          </cell>
          <cell r="D192">
            <v>2148</v>
          </cell>
          <cell r="E192">
            <v>0</v>
          </cell>
          <cell r="F192">
            <v>0</v>
          </cell>
          <cell r="G192">
            <v>0</v>
          </cell>
          <cell r="H192">
            <v>0</v>
          </cell>
        </row>
        <row r="193">
          <cell r="B193" t="str">
            <v>Motel 6</v>
          </cell>
          <cell r="C193">
            <v>12</v>
          </cell>
          <cell r="D193">
            <v>1464</v>
          </cell>
          <cell r="E193">
            <v>0</v>
          </cell>
          <cell r="F193">
            <v>0</v>
          </cell>
          <cell r="G193">
            <v>1</v>
          </cell>
          <cell r="H193">
            <v>54</v>
          </cell>
        </row>
        <row r="195">
          <cell r="B195" t="str">
            <v>ACCOR</v>
          </cell>
          <cell r="C195">
            <v>18</v>
          </cell>
          <cell r="D195">
            <v>2417</v>
          </cell>
          <cell r="E195">
            <v>0</v>
          </cell>
          <cell r="F195">
            <v>0</v>
          </cell>
          <cell r="G195">
            <v>1</v>
          </cell>
          <cell r="H195">
            <v>54</v>
          </cell>
        </row>
        <row r="196">
          <cell r="B196" t="str">
            <v>Best Western Int'l</v>
          </cell>
          <cell r="C196">
            <v>20</v>
          </cell>
          <cell r="D196">
            <v>1408</v>
          </cell>
          <cell r="E196">
            <v>3</v>
          </cell>
          <cell r="F196">
            <v>203</v>
          </cell>
          <cell r="G196">
            <v>2</v>
          </cell>
          <cell r="H196">
            <v>134</v>
          </cell>
        </row>
        <row r="197">
          <cell r="B197" t="str">
            <v>Cendant</v>
          </cell>
          <cell r="C197">
            <v>56</v>
          </cell>
          <cell r="D197">
            <v>4740</v>
          </cell>
          <cell r="E197">
            <v>4</v>
          </cell>
          <cell r="F197">
            <v>261</v>
          </cell>
          <cell r="G197">
            <v>4</v>
          </cell>
          <cell r="H197">
            <v>180</v>
          </cell>
        </row>
        <row r="198">
          <cell r="B198" t="str">
            <v>Choice Hotels</v>
          </cell>
          <cell r="C198">
            <v>36</v>
          </cell>
          <cell r="D198">
            <v>2626</v>
          </cell>
          <cell r="E198">
            <v>2</v>
          </cell>
          <cell r="F198">
            <v>103</v>
          </cell>
          <cell r="G198">
            <v>2</v>
          </cell>
          <cell r="H198">
            <v>125</v>
          </cell>
        </row>
        <row r="199">
          <cell r="B199" t="str">
            <v>Hilton Hotel Corp.</v>
          </cell>
          <cell r="C199">
            <v>32</v>
          </cell>
          <cell r="D199">
            <v>5027</v>
          </cell>
          <cell r="E199">
            <v>4</v>
          </cell>
          <cell r="F199">
            <v>338</v>
          </cell>
          <cell r="G199">
            <v>1</v>
          </cell>
          <cell r="H199">
            <v>91</v>
          </cell>
        </row>
        <row r="200">
          <cell r="B200" t="str">
            <v>La Quinta Inns</v>
          </cell>
          <cell r="C200">
            <v>19</v>
          </cell>
          <cell r="D200">
            <v>2390</v>
          </cell>
          <cell r="E200">
            <v>0</v>
          </cell>
          <cell r="F200">
            <v>0</v>
          </cell>
          <cell r="G200">
            <v>0</v>
          </cell>
          <cell r="H200">
            <v>0</v>
          </cell>
        </row>
        <row r="201">
          <cell r="B201" t="str">
            <v>Marriott Int'l</v>
          </cell>
          <cell r="C201">
            <v>31</v>
          </cell>
          <cell r="D201">
            <v>5507</v>
          </cell>
          <cell r="E201">
            <v>2</v>
          </cell>
          <cell r="F201">
            <v>253</v>
          </cell>
          <cell r="G201">
            <v>2</v>
          </cell>
          <cell r="H201">
            <v>195</v>
          </cell>
        </row>
        <row r="202">
          <cell r="B202" t="str">
            <v>Six Continents Hotels</v>
          </cell>
          <cell r="C202">
            <v>34</v>
          </cell>
          <cell r="D202">
            <v>5864</v>
          </cell>
          <cell r="E202">
            <v>1</v>
          </cell>
          <cell r="F202">
            <v>65</v>
          </cell>
          <cell r="G202">
            <v>5</v>
          </cell>
          <cell r="H202">
            <v>583</v>
          </cell>
        </row>
        <row r="204">
          <cell r="B204" t="str">
            <v>Economy</v>
          </cell>
          <cell r="C204">
            <v>130</v>
          </cell>
          <cell r="D204">
            <v>12360</v>
          </cell>
        </row>
        <row r="205">
          <cell r="B205" t="str">
            <v>Independent</v>
          </cell>
          <cell r="C205">
            <v>48</v>
          </cell>
          <cell r="D205">
            <v>5087</v>
          </cell>
        </row>
        <row r="206">
          <cell r="B206" t="str">
            <v>Midscale w/ F&amp;B</v>
          </cell>
          <cell r="C206">
            <v>46</v>
          </cell>
          <cell r="D206">
            <v>6329</v>
          </cell>
        </row>
        <row r="207">
          <cell r="B207" t="str">
            <v>Midscale w/o F&amp;B</v>
          </cell>
          <cell r="C207">
            <v>103</v>
          </cell>
          <cell r="D207">
            <v>9768</v>
          </cell>
        </row>
        <row r="208">
          <cell r="B208" t="str">
            <v>Upper Upscale</v>
          </cell>
          <cell r="C208">
            <v>29</v>
          </cell>
          <cell r="D208">
            <v>10311</v>
          </cell>
        </row>
        <row r="209">
          <cell r="B209" t="str">
            <v>Upscale</v>
          </cell>
          <cell r="C209">
            <v>40</v>
          </cell>
          <cell r="D209">
            <v>7461</v>
          </cell>
        </row>
        <row r="238">
          <cell r="B238" t="str">
            <v>Best Western</v>
          </cell>
          <cell r="C238">
            <v>45</v>
          </cell>
          <cell r="D238">
            <v>4258</v>
          </cell>
          <cell r="E238">
            <v>2</v>
          </cell>
          <cell r="F238">
            <v>151</v>
          </cell>
          <cell r="G238">
            <v>0</v>
          </cell>
          <cell r="H238">
            <v>0</v>
          </cell>
        </row>
        <row r="239">
          <cell r="B239" t="str">
            <v>Hilton Hotel</v>
          </cell>
          <cell r="C239">
            <v>12</v>
          </cell>
          <cell r="D239">
            <v>5163</v>
          </cell>
          <cell r="E239">
            <v>0</v>
          </cell>
          <cell r="F239">
            <v>0</v>
          </cell>
          <cell r="G239">
            <v>0</v>
          </cell>
          <cell r="H239">
            <v>0</v>
          </cell>
        </row>
        <row r="240">
          <cell r="B240" t="str">
            <v>Holiday Inn</v>
          </cell>
          <cell r="C240">
            <v>15</v>
          </cell>
          <cell r="D240">
            <v>3238</v>
          </cell>
          <cell r="E240">
            <v>0</v>
          </cell>
          <cell r="F240">
            <v>0</v>
          </cell>
          <cell r="G240">
            <v>0</v>
          </cell>
          <cell r="H240">
            <v>0</v>
          </cell>
        </row>
        <row r="241">
          <cell r="B241" t="str">
            <v>Marriott Hotel</v>
          </cell>
          <cell r="C241">
            <v>10</v>
          </cell>
          <cell r="D241">
            <v>4001</v>
          </cell>
          <cell r="E241">
            <v>0</v>
          </cell>
          <cell r="F241">
            <v>0</v>
          </cell>
          <cell r="G241">
            <v>0</v>
          </cell>
          <cell r="H241">
            <v>0</v>
          </cell>
        </row>
        <row r="242">
          <cell r="B242" t="str">
            <v>Motel 6</v>
          </cell>
          <cell r="C242">
            <v>20</v>
          </cell>
          <cell r="D242">
            <v>2191</v>
          </cell>
          <cell r="E242">
            <v>0</v>
          </cell>
          <cell r="F242">
            <v>0</v>
          </cell>
          <cell r="G242">
            <v>0</v>
          </cell>
          <cell r="H242">
            <v>0</v>
          </cell>
        </row>
        <row r="243">
          <cell r="B243" t="str">
            <v>Radisson Hotel</v>
          </cell>
          <cell r="C243">
            <v>8</v>
          </cell>
          <cell r="D243">
            <v>2341</v>
          </cell>
          <cell r="E243">
            <v>0</v>
          </cell>
          <cell r="F243">
            <v>0</v>
          </cell>
          <cell r="G243">
            <v>0</v>
          </cell>
          <cell r="H243">
            <v>0</v>
          </cell>
        </row>
        <row r="244">
          <cell r="B244" t="str">
            <v>Sheraton Hotel</v>
          </cell>
          <cell r="C244">
            <v>8</v>
          </cell>
          <cell r="D244">
            <v>2849</v>
          </cell>
          <cell r="E244">
            <v>0</v>
          </cell>
          <cell r="F244">
            <v>0</v>
          </cell>
          <cell r="G244">
            <v>0</v>
          </cell>
          <cell r="H244">
            <v>0</v>
          </cell>
        </row>
        <row r="245">
          <cell r="B245" t="str">
            <v>Westin  Hotel</v>
          </cell>
          <cell r="C245">
            <v>4</v>
          </cell>
          <cell r="D245">
            <v>3613</v>
          </cell>
          <cell r="E245">
            <v>0</v>
          </cell>
          <cell r="F245">
            <v>0</v>
          </cell>
          <cell r="G245">
            <v>0</v>
          </cell>
          <cell r="H245">
            <v>0</v>
          </cell>
        </row>
        <row r="247">
          <cell r="B247" t="str">
            <v>ACCOR</v>
          </cell>
          <cell r="C247">
            <v>24</v>
          </cell>
          <cell r="D247">
            <v>3043</v>
          </cell>
          <cell r="E247">
            <v>0</v>
          </cell>
          <cell r="F247">
            <v>0</v>
          </cell>
          <cell r="G247">
            <v>0</v>
          </cell>
          <cell r="H247">
            <v>0</v>
          </cell>
        </row>
        <row r="248">
          <cell r="B248" t="str">
            <v>Best Western Int'l</v>
          </cell>
          <cell r="C248">
            <v>45</v>
          </cell>
          <cell r="D248">
            <v>4258</v>
          </cell>
          <cell r="E248">
            <v>2</v>
          </cell>
          <cell r="F248">
            <v>151</v>
          </cell>
          <cell r="G248">
            <v>0</v>
          </cell>
          <cell r="H248">
            <v>0</v>
          </cell>
        </row>
        <row r="249">
          <cell r="B249" t="str">
            <v>Carlson Hospitality</v>
          </cell>
          <cell r="C249">
            <v>11</v>
          </cell>
          <cell r="D249">
            <v>2611</v>
          </cell>
          <cell r="E249">
            <v>0</v>
          </cell>
          <cell r="F249">
            <v>0</v>
          </cell>
          <cell r="G249">
            <v>0</v>
          </cell>
          <cell r="H249">
            <v>0</v>
          </cell>
        </row>
        <row r="250">
          <cell r="B250" t="str">
            <v>Cendant</v>
          </cell>
          <cell r="C250">
            <v>91</v>
          </cell>
          <cell r="D250">
            <v>6840</v>
          </cell>
          <cell r="E250">
            <v>0</v>
          </cell>
          <cell r="F250">
            <v>0</v>
          </cell>
          <cell r="G250">
            <v>1</v>
          </cell>
          <cell r="H250">
            <v>105</v>
          </cell>
        </row>
        <row r="251">
          <cell r="B251" t="str">
            <v>Hilton Hotel Corp.</v>
          </cell>
          <cell r="C251">
            <v>31</v>
          </cell>
          <cell r="D251">
            <v>8874</v>
          </cell>
          <cell r="E251">
            <v>1</v>
          </cell>
          <cell r="F251">
            <v>162</v>
          </cell>
          <cell r="G251">
            <v>0</v>
          </cell>
          <cell r="H251">
            <v>0</v>
          </cell>
        </row>
        <row r="252">
          <cell r="B252" t="str">
            <v>Marriott Int'l</v>
          </cell>
          <cell r="C252">
            <v>40</v>
          </cell>
          <cell r="D252">
            <v>9872</v>
          </cell>
          <cell r="E252">
            <v>2</v>
          </cell>
          <cell r="F252">
            <v>400</v>
          </cell>
          <cell r="G252">
            <v>4</v>
          </cell>
          <cell r="H252">
            <v>548</v>
          </cell>
        </row>
        <row r="253">
          <cell r="B253" t="str">
            <v>Six Continents Hotels</v>
          </cell>
          <cell r="C253">
            <v>31</v>
          </cell>
          <cell r="D253">
            <v>5726</v>
          </cell>
          <cell r="E253">
            <v>0</v>
          </cell>
          <cell r="F253">
            <v>0</v>
          </cell>
          <cell r="G253">
            <v>1</v>
          </cell>
          <cell r="H253">
            <v>80</v>
          </cell>
        </row>
        <row r="254">
          <cell r="B254" t="str">
            <v>Starwood Hotels</v>
          </cell>
          <cell r="C254">
            <v>18</v>
          </cell>
          <cell r="D254">
            <v>8231</v>
          </cell>
          <cell r="E254">
            <v>0</v>
          </cell>
          <cell r="F254">
            <v>0</v>
          </cell>
          <cell r="G254">
            <v>0</v>
          </cell>
          <cell r="H254">
            <v>0</v>
          </cell>
        </row>
        <row r="264">
          <cell r="B264" t="str">
            <v>Best Western</v>
          </cell>
          <cell r="C264">
            <v>7</v>
          </cell>
          <cell r="D264">
            <v>1080</v>
          </cell>
          <cell r="E264">
            <v>0</v>
          </cell>
          <cell r="F264">
            <v>0</v>
          </cell>
          <cell r="G264">
            <v>0</v>
          </cell>
          <cell r="H264">
            <v>0</v>
          </cell>
        </row>
        <row r="265">
          <cell r="B265" t="str">
            <v>Days Inn</v>
          </cell>
          <cell r="C265">
            <v>11</v>
          </cell>
          <cell r="D265">
            <v>1365</v>
          </cell>
          <cell r="E265">
            <v>0</v>
          </cell>
          <cell r="F265">
            <v>0</v>
          </cell>
          <cell r="G265">
            <v>0</v>
          </cell>
          <cell r="H265">
            <v>0</v>
          </cell>
        </row>
        <row r="266">
          <cell r="B266" t="str">
            <v>Hilton Hotel</v>
          </cell>
          <cell r="C266">
            <v>3</v>
          </cell>
          <cell r="D266">
            <v>1721</v>
          </cell>
          <cell r="E266">
            <v>0</v>
          </cell>
          <cell r="F266">
            <v>0</v>
          </cell>
          <cell r="G266">
            <v>0</v>
          </cell>
          <cell r="H266">
            <v>0</v>
          </cell>
        </row>
        <row r="267">
          <cell r="B267" t="str">
            <v>Holiday Inn</v>
          </cell>
          <cell r="C267">
            <v>11</v>
          </cell>
          <cell r="D267">
            <v>1979</v>
          </cell>
          <cell r="E267">
            <v>0</v>
          </cell>
          <cell r="F267">
            <v>0</v>
          </cell>
          <cell r="G267">
            <v>0</v>
          </cell>
          <cell r="H267">
            <v>0</v>
          </cell>
        </row>
        <row r="268">
          <cell r="B268" t="str">
            <v>Marriott Hotel</v>
          </cell>
          <cell r="C268">
            <v>5</v>
          </cell>
          <cell r="D268">
            <v>1811</v>
          </cell>
          <cell r="E268">
            <v>2</v>
          </cell>
          <cell r="F268">
            <v>539</v>
          </cell>
          <cell r="G268">
            <v>0</v>
          </cell>
          <cell r="H268">
            <v>0</v>
          </cell>
        </row>
        <row r="269">
          <cell r="B269" t="str">
            <v>Radisson Hotel</v>
          </cell>
          <cell r="C269">
            <v>3</v>
          </cell>
          <cell r="D269">
            <v>1058</v>
          </cell>
          <cell r="E269">
            <v>0</v>
          </cell>
          <cell r="F269">
            <v>0</v>
          </cell>
          <cell r="G269">
            <v>0</v>
          </cell>
          <cell r="H269">
            <v>0</v>
          </cell>
        </row>
        <row r="270">
          <cell r="B270" t="str">
            <v>Sheraton Hotel</v>
          </cell>
          <cell r="C270">
            <v>2</v>
          </cell>
          <cell r="D270">
            <v>1243</v>
          </cell>
          <cell r="E270">
            <v>0</v>
          </cell>
          <cell r="F270">
            <v>0</v>
          </cell>
          <cell r="G270">
            <v>0</v>
          </cell>
          <cell r="H270">
            <v>0</v>
          </cell>
        </row>
        <row r="271">
          <cell r="B271" t="str">
            <v>Wyndham Hotel</v>
          </cell>
          <cell r="C271">
            <v>4</v>
          </cell>
          <cell r="D271">
            <v>1640</v>
          </cell>
          <cell r="E271">
            <v>0</v>
          </cell>
          <cell r="F271">
            <v>0</v>
          </cell>
          <cell r="G271">
            <v>0</v>
          </cell>
          <cell r="H271">
            <v>0</v>
          </cell>
        </row>
        <row r="273">
          <cell r="B273" t="str">
            <v>Best Western Int'l</v>
          </cell>
          <cell r="C273">
            <v>7</v>
          </cell>
          <cell r="D273">
            <v>1080</v>
          </cell>
          <cell r="E273">
            <v>0</v>
          </cell>
          <cell r="F273">
            <v>0</v>
          </cell>
          <cell r="G273">
            <v>0</v>
          </cell>
          <cell r="H273">
            <v>0</v>
          </cell>
        </row>
        <row r="274">
          <cell r="B274" t="str">
            <v>Carlson Hospitality</v>
          </cell>
          <cell r="C274">
            <v>4</v>
          </cell>
          <cell r="D274">
            <v>1320</v>
          </cell>
          <cell r="E274">
            <v>0</v>
          </cell>
          <cell r="F274">
            <v>0</v>
          </cell>
          <cell r="G274">
            <v>0</v>
          </cell>
          <cell r="H274">
            <v>0</v>
          </cell>
        </row>
        <row r="275">
          <cell r="B275" t="str">
            <v>Cendant</v>
          </cell>
          <cell r="C275">
            <v>35</v>
          </cell>
          <cell r="D275">
            <v>4417</v>
          </cell>
          <cell r="E275">
            <v>0</v>
          </cell>
          <cell r="F275">
            <v>0</v>
          </cell>
          <cell r="G275">
            <v>0</v>
          </cell>
          <cell r="H275">
            <v>0</v>
          </cell>
        </row>
        <row r="276">
          <cell r="B276" t="str">
            <v>Hilton Hotel Corp.</v>
          </cell>
          <cell r="C276">
            <v>16</v>
          </cell>
          <cell r="D276">
            <v>3846</v>
          </cell>
          <cell r="E276">
            <v>3</v>
          </cell>
          <cell r="F276">
            <v>417</v>
          </cell>
          <cell r="G276">
            <v>1</v>
          </cell>
          <cell r="H276">
            <v>131</v>
          </cell>
        </row>
        <row r="277">
          <cell r="B277" t="str">
            <v>Marriott Int'l</v>
          </cell>
          <cell r="C277">
            <v>16</v>
          </cell>
          <cell r="D277">
            <v>3750</v>
          </cell>
          <cell r="E277">
            <v>3</v>
          </cell>
          <cell r="F277">
            <v>679</v>
          </cell>
          <cell r="G277">
            <v>1</v>
          </cell>
          <cell r="H277">
            <v>490</v>
          </cell>
        </row>
        <row r="278">
          <cell r="B278" t="str">
            <v>Six Continents Hotels</v>
          </cell>
          <cell r="C278">
            <v>17</v>
          </cell>
          <cell r="D278">
            <v>3633</v>
          </cell>
          <cell r="E278">
            <v>1</v>
          </cell>
          <cell r="F278">
            <v>150</v>
          </cell>
          <cell r="G278">
            <v>0</v>
          </cell>
          <cell r="H278">
            <v>0</v>
          </cell>
        </row>
        <row r="279">
          <cell r="B279" t="str">
            <v>Starwood Hotels</v>
          </cell>
          <cell r="C279">
            <v>2</v>
          </cell>
          <cell r="D279">
            <v>1243</v>
          </cell>
          <cell r="E279">
            <v>0</v>
          </cell>
          <cell r="F279">
            <v>0</v>
          </cell>
          <cell r="G279">
            <v>0</v>
          </cell>
          <cell r="H279">
            <v>0</v>
          </cell>
        </row>
        <row r="280">
          <cell r="B280" t="str">
            <v>Wyndham Int'l</v>
          </cell>
          <cell r="C280">
            <v>5</v>
          </cell>
          <cell r="D280">
            <v>1797</v>
          </cell>
          <cell r="E280">
            <v>0</v>
          </cell>
          <cell r="F280">
            <v>0</v>
          </cell>
          <cell r="G280">
            <v>0</v>
          </cell>
          <cell r="H280">
            <v>0</v>
          </cell>
        </row>
        <row r="282">
          <cell r="B282" t="str">
            <v>Economy</v>
          </cell>
          <cell r="C282">
            <v>34</v>
          </cell>
          <cell r="D282">
            <v>3647</v>
          </cell>
        </row>
        <row r="283">
          <cell r="B283" t="str">
            <v>Independent</v>
          </cell>
          <cell r="C283">
            <v>146</v>
          </cell>
          <cell r="D283">
            <v>16765</v>
          </cell>
        </row>
        <row r="284">
          <cell r="B284" t="str">
            <v>Midscale w/ F&amp;B</v>
          </cell>
          <cell r="C284">
            <v>34</v>
          </cell>
          <cell r="D284">
            <v>5645</v>
          </cell>
        </row>
        <row r="285">
          <cell r="B285" t="str">
            <v>Midscale w/o F&amp;B</v>
          </cell>
          <cell r="C285">
            <v>27</v>
          </cell>
          <cell r="D285">
            <v>3416</v>
          </cell>
        </row>
        <row r="286">
          <cell r="B286" t="str">
            <v>Upper Upscale</v>
          </cell>
          <cell r="C286">
            <v>26</v>
          </cell>
          <cell r="D286">
            <v>11203</v>
          </cell>
        </row>
        <row r="287">
          <cell r="B287" t="str">
            <v>Upscale</v>
          </cell>
          <cell r="C287">
            <v>20</v>
          </cell>
          <cell r="D287">
            <v>3811</v>
          </cell>
        </row>
        <row r="290">
          <cell r="B290" t="str">
            <v>Best Western</v>
          </cell>
          <cell r="C290">
            <v>14</v>
          </cell>
          <cell r="D290">
            <v>1466</v>
          </cell>
          <cell r="E290">
            <v>0</v>
          </cell>
          <cell r="F290">
            <v>0</v>
          </cell>
          <cell r="G290">
            <v>0</v>
          </cell>
          <cell r="H290">
            <v>0</v>
          </cell>
        </row>
        <row r="291">
          <cell r="B291" t="str">
            <v>Country Inn &amp; Suites</v>
          </cell>
          <cell r="C291">
            <v>14</v>
          </cell>
          <cell r="D291">
            <v>1322</v>
          </cell>
          <cell r="E291">
            <v>0</v>
          </cell>
          <cell r="F291">
            <v>0</v>
          </cell>
          <cell r="G291">
            <v>0</v>
          </cell>
          <cell r="H291">
            <v>0</v>
          </cell>
        </row>
        <row r="292">
          <cell r="B292" t="str">
            <v>Hampton Inn</v>
          </cell>
          <cell r="C292">
            <v>9</v>
          </cell>
          <cell r="D292">
            <v>1039</v>
          </cell>
          <cell r="E292">
            <v>0</v>
          </cell>
          <cell r="F292">
            <v>0</v>
          </cell>
          <cell r="G292">
            <v>0</v>
          </cell>
          <cell r="H292">
            <v>0</v>
          </cell>
        </row>
        <row r="293">
          <cell r="B293" t="str">
            <v>Hilton Hotel</v>
          </cell>
          <cell r="C293">
            <v>4</v>
          </cell>
          <cell r="D293">
            <v>1575</v>
          </cell>
          <cell r="E293">
            <v>0</v>
          </cell>
          <cell r="F293">
            <v>0</v>
          </cell>
          <cell r="G293">
            <v>0</v>
          </cell>
          <cell r="H293">
            <v>0</v>
          </cell>
        </row>
        <row r="294">
          <cell r="B294" t="str">
            <v>Holiday Inn</v>
          </cell>
          <cell r="C294">
            <v>8</v>
          </cell>
          <cell r="D294">
            <v>1540</v>
          </cell>
          <cell r="E294">
            <v>0</v>
          </cell>
          <cell r="F294">
            <v>0</v>
          </cell>
          <cell r="G294">
            <v>0</v>
          </cell>
          <cell r="H294">
            <v>0</v>
          </cell>
        </row>
        <row r="295">
          <cell r="B295" t="str">
            <v>Marriott Hotel</v>
          </cell>
          <cell r="C295">
            <v>2</v>
          </cell>
          <cell r="D295">
            <v>1062</v>
          </cell>
          <cell r="E295">
            <v>0</v>
          </cell>
          <cell r="F295">
            <v>0</v>
          </cell>
          <cell r="G295">
            <v>0</v>
          </cell>
          <cell r="H295">
            <v>0</v>
          </cell>
        </row>
        <row r="296">
          <cell r="B296" t="str">
            <v>Radisson Hotel</v>
          </cell>
          <cell r="C296">
            <v>6</v>
          </cell>
          <cell r="D296">
            <v>2194</v>
          </cell>
          <cell r="E296">
            <v>0</v>
          </cell>
          <cell r="F296">
            <v>0</v>
          </cell>
          <cell r="G296">
            <v>0</v>
          </cell>
          <cell r="H296">
            <v>0</v>
          </cell>
        </row>
        <row r="297">
          <cell r="B297" t="str">
            <v>Super 8</v>
          </cell>
          <cell r="C297">
            <v>22</v>
          </cell>
          <cell r="D297">
            <v>1527</v>
          </cell>
          <cell r="E297">
            <v>0</v>
          </cell>
          <cell r="F297">
            <v>0</v>
          </cell>
          <cell r="G297">
            <v>0</v>
          </cell>
          <cell r="H297">
            <v>0</v>
          </cell>
        </row>
        <row r="299">
          <cell r="B299" t="str">
            <v>ACCOR</v>
          </cell>
          <cell r="C299">
            <v>9</v>
          </cell>
          <cell r="D299">
            <v>1098</v>
          </cell>
          <cell r="E299">
            <v>0</v>
          </cell>
          <cell r="F299">
            <v>0</v>
          </cell>
          <cell r="G299">
            <v>1</v>
          </cell>
          <cell r="H299">
            <v>122</v>
          </cell>
        </row>
        <row r="300">
          <cell r="B300" t="str">
            <v>Best Western Int'l</v>
          </cell>
          <cell r="C300">
            <v>14</v>
          </cell>
          <cell r="D300">
            <v>1466</v>
          </cell>
          <cell r="E300">
            <v>0</v>
          </cell>
          <cell r="F300">
            <v>0</v>
          </cell>
          <cell r="G300">
            <v>0</v>
          </cell>
          <cell r="H300">
            <v>0</v>
          </cell>
        </row>
        <row r="301">
          <cell r="B301" t="str">
            <v>Carlson Hospitality</v>
          </cell>
          <cell r="C301">
            <v>22</v>
          </cell>
          <cell r="D301">
            <v>3857</v>
          </cell>
          <cell r="E301">
            <v>0</v>
          </cell>
          <cell r="F301">
            <v>0</v>
          </cell>
          <cell r="G301">
            <v>0</v>
          </cell>
          <cell r="H301">
            <v>0</v>
          </cell>
        </row>
        <row r="302">
          <cell r="B302" t="str">
            <v>Cendant</v>
          </cell>
          <cell r="C302">
            <v>37</v>
          </cell>
          <cell r="D302">
            <v>3818</v>
          </cell>
          <cell r="E302">
            <v>0</v>
          </cell>
          <cell r="F302">
            <v>0</v>
          </cell>
          <cell r="G302">
            <v>0</v>
          </cell>
          <cell r="H302">
            <v>0</v>
          </cell>
        </row>
        <row r="303">
          <cell r="B303" t="str">
            <v>Choice Hotels</v>
          </cell>
          <cell r="C303">
            <v>16</v>
          </cell>
          <cell r="D303">
            <v>1820</v>
          </cell>
          <cell r="E303">
            <v>1</v>
          </cell>
          <cell r="F303">
            <v>52</v>
          </cell>
          <cell r="G303">
            <v>0</v>
          </cell>
          <cell r="H303">
            <v>0</v>
          </cell>
        </row>
        <row r="304">
          <cell r="B304" t="str">
            <v>Hilton Hotel Corp.</v>
          </cell>
          <cell r="C304">
            <v>24</v>
          </cell>
          <cell r="D304">
            <v>4862</v>
          </cell>
          <cell r="E304">
            <v>1</v>
          </cell>
          <cell r="F304">
            <v>97</v>
          </cell>
          <cell r="G304">
            <v>0</v>
          </cell>
          <cell r="H304">
            <v>0</v>
          </cell>
        </row>
        <row r="305">
          <cell r="B305" t="str">
            <v>Marriott Int'l</v>
          </cell>
          <cell r="C305">
            <v>25</v>
          </cell>
          <cell r="D305">
            <v>3849</v>
          </cell>
          <cell r="E305">
            <v>1</v>
          </cell>
          <cell r="F305">
            <v>131</v>
          </cell>
          <cell r="G305">
            <v>4</v>
          </cell>
          <cell r="H305">
            <v>580</v>
          </cell>
        </row>
        <row r="306">
          <cell r="B306" t="str">
            <v>Six Continents Hotels</v>
          </cell>
          <cell r="C306">
            <v>25</v>
          </cell>
          <cell r="D306">
            <v>3790</v>
          </cell>
          <cell r="E306">
            <v>4</v>
          </cell>
          <cell r="F306">
            <v>345</v>
          </cell>
          <cell r="G306">
            <v>1</v>
          </cell>
          <cell r="H306">
            <v>127</v>
          </cell>
        </row>
        <row r="308">
          <cell r="B308" t="str">
            <v>Economy</v>
          </cell>
          <cell r="C308">
            <v>81</v>
          </cell>
          <cell r="D308">
            <v>6571</v>
          </cell>
        </row>
        <row r="309">
          <cell r="B309" t="str">
            <v>Independent</v>
          </cell>
          <cell r="C309">
            <v>29</v>
          </cell>
          <cell r="D309">
            <v>2745</v>
          </cell>
        </row>
        <row r="310">
          <cell r="B310" t="str">
            <v>Midscale w/ F&amp;B</v>
          </cell>
          <cell r="C310">
            <v>36</v>
          </cell>
          <cell r="D310">
            <v>6090</v>
          </cell>
        </row>
        <row r="311">
          <cell r="B311" t="str">
            <v>Midscale w/o F&amp;B</v>
          </cell>
          <cell r="C311">
            <v>65</v>
          </cell>
          <cell r="D311">
            <v>6727</v>
          </cell>
        </row>
        <row r="312">
          <cell r="B312" t="str">
            <v>Upper Upscale</v>
          </cell>
          <cell r="C312">
            <v>15</v>
          </cell>
          <cell r="D312">
            <v>4946</v>
          </cell>
        </row>
        <row r="313">
          <cell r="B313" t="str">
            <v>Upscale</v>
          </cell>
          <cell r="C313">
            <v>27</v>
          </cell>
          <cell r="D313">
            <v>5471</v>
          </cell>
        </row>
        <row r="316">
          <cell r="B316" t="str">
            <v>Baymont Inn</v>
          </cell>
          <cell r="C316">
            <v>8</v>
          </cell>
          <cell r="D316">
            <v>860</v>
          </cell>
          <cell r="E316">
            <v>0</v>
          </cell>
          <cell r="F316">
            <v>0</v>
          </cell>
          <cell r="G316">
            <v>0</v>
          </cell>
          <cell r="H316">
            <v>0</v>
          </cell>
        </row>
        <row r="317">
          <cell r="B317" t="str">
            <v>Best Western</v>
          </cell>
          <cell r="C317">
            <v>10</v>
          </cell>
          <cell r="D317">
            <v>973</v>
          </cell>
          <cell r="E317">
            <v>0</v>
          </cell>
          <cell r="F317">
            <v>0</v>
          </cell>
          <cell r="G317">
            <v>0</v>
          </cell>
          <cell r="H317">
            <v>0</v>
          </cell>
        </row>
        <row r="318">
          <cell r="B318" t="str">
            <v>Days Inn</v>
          </cell>
          <cell r="C318">
            <v>17</v>
          </cell>
          <cell r="D318">
            <v>1715</v>
          </cell>
          <cell r="E318">
            <v>0</v>
          </cell>
          <cell r="F318">
            <v>0</v>
          </cell>
          <cell r="G318">
            <v>0</v>
          </cell>
          <cell r="H318">
            <v>0</v>
          </cell>
        </row>
        <row r="319">
          <cell r="B319" t="str">
            <v>Hampton Inn</v>
          </cell>
          <cell r="C319">
            <v>10</v>
          </cell>
          <cell r="D319">
            <v>968</v>
          </cell>
          <cell r="E319">
            <v>0</v>
          </cell>
          <cell r="F319">
            <v>0</v>
          </cell>
          <cell r="G319">
            <v>1</v>
          </cell>
          <cell r="H319">
            <v>64</v>
          </cell>
        </row>
        <row r="320">
          <cell r="B320" t="str">
            <v>Holiday Inn</v>
          </cell>
          <cell r="C320">
            <v>6</v>
          </cell>
          <cell r="D320">
            <v>1035</v>
          </cell>
          <cell r="E320">
            <v>0</v>
          </cell>
          <cell r="F320">
            <v>0</v>
          </cell>
          <cell r="G320">
            <v>0</v>
          </cell>
          <cell r="H320">
            <v>0</v>
          </cell>
        </row>
        <row r="321">
          <cell r="B321" t="str">
            <v>Ramada Inn</v>
          </cell>
          <cell r="C321">
            <v>7</v>
          </cell>
          <cell r="D321">
            <v>1182</v>
          </cell>
          <cell r="E321">
            <v>0</v>
          </cell>
          <cell r="F321">
            <v>0</v>
          </cell>
          <cell r="G321">
            <v>0</v>
          </cell>
          <cell r="H321">
            <v>0</v>
          </cell>
        </row>
        <row r="322">
          <cell r="B322" t="str">
            <v>Sheraton Hotel</v>
          </cell>
          <cell r="C322">
            <v>2</v>
          </cell>
          <cell r="D322">
            <v>889</v>
          </cell>
          <cell r="E322">
            <v>0</v>
          </cell>
          <cell r="F322">
            <v>0</v>
          </cell>
          <cell r="G322">
            <v>0</v>
          </cell>
          <cell r="H322">
            <v>0</v>
          </cell>
        </row>
        <row r="323">
          <cell r="B323" t="str">
            <v>Super 8</v>
          </cell>
          <cell r="C323">
            <v>10</v>
          </cell>
          <cell r="D323">
            <v>915</v>
          </cell>
          <cell r="E323">
            <v>0</v>
          </cell>
          <cell r="F323">
            <v>0</v>
          </cell>
          <cell r="G323">
            <v>0</v>
          </cell>
          <cell r="H323">
            <v>0</v>
          </cell>
        </row>
        <row r="325">
          <cell r="B325" t="str">
            <v>Best Western Int'l</v>
          </cell>
          <cell r="C325">
            <v>10</v>
          </cell>
          <cell r="D325">
            <v>973</v>
          </cell>
          <cell r="E325">
            <v>0</v>
          </cell>
          <cell r="F325">
            <v>0</v>
          </cell>
          <cell r="G325">
            <v>0</v>
          </cell>
          <cell r="H325">
            <v>0</v>
          </cell>
        </row>
        <row r="326">
          <cell r="B326" t="str">
            <v>Cendant</v>
          </cell>
          <cell r="C326">
            <v>49</v>
          </cell>
          <cell r="D326">
            <v>5056</v>
          </cell>
          <cell r="E326">
            <v>0</v>
          </cell>
          <cell r="F326">
            <v>0</v>
          </cell>
          <cell r="G326">
            <v>0</v>
          </cell>
          <cell r="H326">
            <v>0</v>
          </cell>
        </row>
        <row r="327">
          <cell r="B327" t="str">
            <v>Choice Hotels</v>
          </cell>
          <cell r="C327">
            <v>36</v>
          </cell>
          <cell r="D327">
            <v>2754</v>
          </cell>
          <cell r="E327">
            <v>3</v>
          </cell>
          <cell r="F327">
            <v>194</v>
          </cell>
          <cell r="G327">
            <v>1</v>
          </cell>
          <cell r="H327">
            <v>80</v>
          </cell>
        </row>
        <row r="328">
          <cell r="B328" t="str">
            <v>Hilton Hotel Corp.</v>
          </cell>
          <cell r="C328">
            <v>25</v>
          </cell>
          <cell r="D328">
            <v>3667</v>
          </cell>
          <cell r="E328">
            <v>2</v>
          </cell>
          <cell r="F328">
            <v>426</v>
          </cell>
          <cell r="G328">
            <v>4</v>
          </cell>
          <cell r="H328">
            <v>629</v>
          </cell>
        </row>
        <row r="329">
          <cell r="B329" t="str">
            <v>Marcus Corp.</v>
          </cell>
          <cell r="C329">
            <v>8</v>
          </cell>
          <cell r="D329">
            <v>860</v>
          </cell>
          <cell r="E329">
            <v>0</v>
          </cell>
          <cell r="F329">
            <v>0</v>
          </cell>
          <cell r="G329">
            <v>0</v>
          </cell>
          <cell r="H329">
            <v>0</v>
          </cell>
        </row>
        <row r="330">
          <cell r="B330" t="str">
            <v>Marriott Int'l</v>
          </cell>
          <cell r="C330">
            <v>15</v>
          </cell>
          <cell r="D330">
            <v>2939</v>
          </cell>
          <cell r="E330">
            <v>3</v>
          </cell>
          <cell r="F330">
            <v>293</v>
          </cell>
          <cell r="G330">
            <v>1</v>
          </cell>
          <cell r="H330">
            <v>93</v>
          </cell>
        </row>
        <row r="331">
          <cell r="B331" t="str">
            <v>Six Continents Hotels</v>
          </cell>
          <cell r="C331">
            <v>15</v>
          </cell>
          <cell r="D331">
            <v>2298</v>
          </cell>
          <cell r="E331">
            <v>0</v>
          </cell>
          <cell r="F331">
            <v>0</v>
          </cell>
          <cell r="G331">
            <v>0</v>
          </cell>
          <cell r="H331">
            <v>0</v>
          </cell>
        </row>
        <row r="332">
          <cell r="B332" t="str">
            <v>Starwood Hotels</v>
          </cell>
          <cell r="C332">
            <v>2</v>
          </cell>
          <cell r="D332">
            <v>889</v>
          </cell>
          <cell r="E332">
            <v>0</v>
          </cell>
          <cell r="F332">
            <v>0</v>
          </cell>
          <cell r="G332">
            <v>0</v>
          </cell>
          <cell r="H332">
            <v>0</v>
          </cell>
        </row>
        <row r="334">
          <cell r="B334" t="str">
            <v>Economy</v>
          </cell>
          <cell r="C334">
            <v>93</v>
          </cell>
          <cell r="D334">
            <v>8730</v>
          </cell>
        </row>
        <row r="335">
          <cell r="B335" t="str">
            <v>Independent</v>
          </cell>
          <cell r="C335">
            <v>45</v>
          </cell>
          <cell r="D335">
            <v>6049</v>
          </cell>
        </row>
        <row r="336">
          <cell r="B336" t="str">
            <v>Midscale w/ F&amp;B</v>
          </cell>
          <cell r="C336">
            <v>34</v>
          </cell>
          <cell r="D336">
            <v>4943</v>
          </cell>
        </row>
        <row r="337">
          <cell r="B337" t="str">
            <v>Midscale w/o F&amp;B</v>
          </cell>
          <cell r="C337">
            <v>65</v>
          </cell>
          <cell r="D337">
            <v>5896</v>
          </cell>
        </row>
        <row r="338">
          <cell r="B338" t="str">
            <v>Upper Upscale</v>
          </cell>
          <cell r="C338">
            <v>14</v>
          </cell>
          <cell r="D338">
            <v>4328</v>
          </cell>
        </row>
        <row r="339">
          <cell r="B339" t="str">
            <v>Upscale</v>
          </cell>
          <cell r="C339">
            <v>19</v>
          </cell>
          <cell r="D339">
            <v>3017</v>
          </cell>
        </row>
        <row r="342">
          <cell r="B342" t="str">
            <v>Best Western</v>
          </cell>
          <cell r="C342">
            <v>13</v>
          </cell>
          <cell r="D342">
            <v>1541</v>
          </cell>
          <cell r="E342">
            <v>2</v>
          </cell>
          <cell r="F342">
            <v>277</v>
          </cell>
          <cell r="G342">
            <v>1</v>
          </cell>
          <cell r="H342">
            <v>63</v>
          </cell>
        </row>
        <row r="343">
          <cell r="B343" t="str">
            <v>Hilton Hotel</v>
          </cell>
          <cell r="C343">
            <v>2</v>
          </cell>
          <cell r="D343">
            <v>1917</v>
          </cell>
          <cell r="E343">
            <v>0</v>
          </cell>
          <cell r="F343">
            <v>0</v>
          </cell>
          <cell r="G343">
            <v>0</v>
          </cell>
          <cell r="H343">
            <v>0</v>
          </cell>
        </row>
        <row r="344">
          <cell r="B344" t="str">
            <v>Holiday Inn</v>
          </cell>
          <cell r="C344">
            <v>8</v>
          </cell>
          <cell r="D344">
            <v>1675</v>
          </cell>
          <cell r="E344">
            <v>0</v>
          </cell>
          <cell r="F344">
            <v>0</v>
          </cell>
          <cell r="G344">
            <v>1</v>
          </cell>
          <cell r="H344">
            <v>98</v>
          </cell>
        </row>
        <row r="345">
          <cell r="B345" t="str">
            <v>Hyatt Hotel</v>
          </cell>
          <cell r="C345">
            <v>1</v>
          </cell>
          <cell r="D345">
            <v>1184</v>
          </cell>
          <cell r="E345">
            <v>0</v>
          </cell>
          <cell r="F345">
            <v>0</v>
          </cell>
          <cell r="G345">
            <v>0</v>
          </cell>
          <cell r="H345">
            <v>0</v>
          </cell>
        </row>
        <row r="346">
          <cell r="B346" t="str">
            <v>La Quinta Inn</v>
          </cell>
          <cell r="C346">
            <v>8</v>
          </cell>
          <cell r="D346">
            <v>1177</v>
          </cell>
          <cell r="E346">
            <v>0</v>
          </cell>
          <cell r="F346">
            <v>0</v>
          </cell>
          <cell r="G346">
            <v>0</v>
          </cell>
          <cell r="H346">
            <v>0</v>
          </cell>
        </row>
        <row r="347">
          <cell r="B347" t="str">
            <v>Marriott Hotel</v>
          </cell>
          <cell r="C347">
            <v>1</v>
          </cell>
          <cell r="D347">
            <v>1290</v>
          </cell>
          <cell r="E347">
            <v>0</v>
          </cell>
          <cell r="F347">
            <v>0</v>
          </cell>
          <cell r="G347">
            <v>0</v>
          </cell>
          <cell r="H347">
            <v>0</v>
          </cell>
        </row>
        <row r="348">
          <cell r="B348" t="str">
            <v>Radisson Hotel</v>
          </cell>
          <cell r="C348">
            <v>3</v>
          </cell>
          <cell r="D348">
            <v>1762</v>
          </cell>
          <cell r="E348">
            <v>0</v>
          </cell>
          <cell r="F348">
            <v>0</v>
          </cell>
          <cell r="G348">
            <v>0</v>
          </cell>
          <cell r="H348">
            <v>0</v>
          </cell>
        </row>
        <row r="349">
          <cell r="B349" t="str">
            <v>Sheraton Hotel</v>
          </cell>
          <cell r="C349">
            <v>1</v>
          </cell>
          <cell r="D349">
            <v>1100</v>
          </cell>
          <cell r="E349">
            <v>0</v>
          </cell>
          <cell r="F349">
            <v>0</v>
          </cell>
          <cell r="G349">
            <v>0</v>
          </cell>
          <cell r="H349">
            <v>0</v>
          </cell>
        </row>
        <row r="351">
          <cell r="B351" t="str">
            <v>Best Western Int'l</v>
          </cell>
          <cell r="C351">
            <v>13</v>
          </cell>
          <cell r="D351">
            <v>1541</v>
          </cell>
          <cell r="E351">
            <v>2</v>
          </cell>
          <cell r="F351">
            <v>277</v>
          </cell>
          <cell r="G351">
            <v>1</v>
          </cell>
          <cell r="H351">
            <v>63</v>
          </cell>
        </row>
        <row r="352">
          <cell r="B352" t="str">
            <v>Carlson Hospitality</v>
          </cell>
          <cell r="C352">
            <v>4</v>
          </cell>
          <cell r="D352">
            <v>1888</v>
          </cell>
          <cell r="E352">
            <v>0</v>
          </cell>
          <cell r="F352">
            <v>0</v>
          </cell>
          <cell r="G352">
            <v>0</v>
          </cell>
          <cell r="H352">
            <v>0</v>
          </cell>
        </row>
        <row r="353">
          <cell r="B353" t="str">
            <v>Hilton Hotel Corp.</v>
          </cell>
          <cell r="C353">
            <v>16</v>
          </cell>
          <cell r="D353">
            <v>4414</v>
          </cell>
          <cell r="E353">
            <v>3</v>
          </cell>
          <cell r="F353">
            <v>696</v>
          </cell>
          <cell r="G353">
            <v>2</v>
          </cell>
          <cell r="H353">
            <v>104</v>
          </cell>
        </row>
        <row r="354">
          <cell r="B354" t="str">
            <v>Hyatt Hotel Corp.</v>
          </cell>
          <cell r="C354">
            <v>1</v>
          </cell>
          <cell r="D354">
            <v>1184</v>
          </cell>
          <cell r="E354">
            <v>0</v>
          </cell>
          <cell r="F354">
            <v>0</v>
          </cell>
          <cell r="G354">
            <v>0</v>
          </cell>
          <cell r="H354">
            <v>0</v>
          </cell>
        </row>
        <row r="355">
          <cell r="B355" t="str">
            <v>La Quinta Inns</v>
          </cell>
          <cell r="C355">
            <v>8</v>
          </cell>
          <cell r="D355">
            <v>1177</v>
          </cell>
          <cell r="E355">
            <v>0</v>
          </cell>
          <cell r="F355">
            <v>0</v>
          </cell>
          <cell r="G355">
            <v>0</v>
          </cell>
          <cell r="H355">
            <v>0</v>
          </cell>
        </row>
        <row r="356">
          <cell r="B356" t="str">
            <v>Marriott Int'l</v>
          </cell>
          <cell r="C356">
            <v>11</v>
          </cell>
          <cell r="D356">
            <v>3117</v>
          </cell>
          <cell r="E356">
            <v>2</v>
          </cell>
          <cell r="F356">
            <v>577</v>
          </cell>
          <cell r="G356">
            <v>1</v>
          </cell>
          <cell r="H356">
            <v>208</v>
          </cell>
        </row>
        <row r="357">
          <cell r="B357" t="str">
            <v>Six Continents Hotels</v>
          </cell>
          <cell r="C357">
            <v>13</v>
          </cell>
          <cell r="D357">
            <v>2840</v>
          </cell>
          <cell r="E357">
            <v>0</v>
          </cell>
          <cell r="F357">
            <v>0</v>
          </cell>
          <cell r="G357">
            <v>1</v>
          </cell>
          <cell r="H357">
            <v>98</v>
          </cell>
        </row>
        <row r="358">
          <cell r="B358" t="str">
            <v>Starwood Hotels</v>
          </cell>
          <cell r="C358">
            <v>4</v>
          </cell>
          <cell r="D358">
            <v>1841</v>
          </cell>
          <cell r="E358">
            <v>0</v>
          </cell>
          <cell r="F358">
            <v>0</v>
          </cell>
          <cell r="G358">
            <v>0</v>
          </cell>
          <cell r="H358">
            <v>0</v>
          </cell>
        </row>
        <row r="360">
          <cell r="B360" t="str">
            <v>Economy</v>
          </cell>
          <cell r="C360">
            <v>27</v>
          </cell>
          <cell r="D360">
            <v>3316</v>
          </cell>
        </row>
        <row r="361">
          <cell r="B361" t="str">
            <v>Independent</v>
          </cell>
          <cell r="C361">
            <v>65</v>
          </cell>
          <cell r="D361">
            <v>6944</v>
          </cell>
        </row>
        <row r="362">
          <cell r="B362" t="str">
            <v>Midscale w/ F&amp;B</v>
          </cell>
          <cell r="C362">
            <v>38</v>
          </cell>
          <cell r="D362">
            <v>5623</v>
          </cell>
        </row>
        <row r="363">
          <cell r="B363" t="str">
            <v>Midscale w/o F&amp;B</v>
          </cell>
          <cell r="C363">
            <v>31</v>
          </cell>
          <cell r="D363">
            <v>3840</v>
          </cell>
        </row>
        <row r="364">
          <cell r="B364" t="str">
            <v>Upper Upscale</v>
          </cell>
          <cell r="C364">
            <v>20</v>
          </cell>
          <cell r="D364">
            <v>10679</v>
          </cell>
        </row>
        <row r="365">
          <cell r="B365" t="str">
            <v>Upscale</v>
          </cell>
          <cell r="C365">
            <v>14</v>
          </cell>
          <cell r="D365">
            <v>3807</v>
          </cell>
        </row>
        <row r="368">
          <cell r="B368" t="str">
            <v>Crowne Plaza</v>
          </cell>
          <cell r="C368">
            <v>4</v>
          </cell>
          <cell r="D368">
            <v>1828</v>
          </cell>
          <cell r="E368">
            <v>0</v>
          </cell>
          <cell r="F368">
            <v>0</v>
          </cell>
          <cell r="G368">
            <v>0</v>
          </cell>
          <cell r="H368">
            <v>0</v>
          </cell>
        </row>
        <row r="369">
          <cell r="B369" t="str">
            <v>Helmsley Hotel</v>
          </cell>
          <cell r="C369">
            <v>5</v>
          </cell>
          <cell r="D369">
            <v>2032</v>
          </cell>
          <cell r="E369">
            <v>0</v>
          </cell>
          <cell r="F369">
            <v>0</v>
          </cell>
          <cell r="G369">
            <v>0</v>
          </cell>
          <cell r="H369">
            <v>0</v>
          </cell>
        </row>
        <row r="370">
          <cell r="B370" t="str">
            <v>Hilton Hotel</v>
          </cell>
          <cell r="C370">
            <v>7</v>
          </cell>
          <cell r="D370">
            <v>4928</v>
          </cell>
          <cell r="E370">
            <v>1</v>
          </cell>
          <cell r="F370">
            <v>444</v>
          </cell>
          <cell r="G370">
            <v>0</v>
          </cell>
          <cell r="H370">
            <v>0</v>
          </cell>
        </row>
        <row r="371">
          <cell r="B371" t="str">
            <v>Holiday Inn</v>
          </cell>
          <cell r="C371">
            <v>9</v>
          </cell>
          <cell r="D371">
            <v>2498</v>
          </cell>
          <cell r="E371">
            <v>0</v>
          </cell>
          <cell r="F371">
            <v>0</v>
          </cell>
          <cell r="G371">
            <v>0</v>
          </cell>
          <cell r="H371">
            <v>0</v>
          </cell>
        </row>
        <row r="372">
          <cell r="B372" t="str">
            <v>Marriott Hotel</v>
          </cell>
          <cell r="C372">
            <v>7</v>
          </cell>
          <cell r="D372">
            <v>4796</v>
          </cell>
          <cell r="E372">
            <v>0</v>
          </cell>
          <cell r="F372">
            <v>0</v>
          </cell>
          <cell r="G372">
            <v>0</v>
          </cell>
          <cell r="H372">
            <v>0</v>
          </cell>
        </row>
        <row r="373">
          <cell r="B373" t="str">
            <v>Omni Hotel</v>
          </cell>
          <cell r="C373">
            <v>2</v>
          </cell>
          <cell r="D373">
            <v>1865</v>
          </cell>
          <cell r="E373">
            <v>0</v>
          </cell>
          <cell r="F373">
            <v>0</v>
          </cell>
          <cell r="G373">
            <v>0</v>
          </cell>
          <cell r="H373">
            <v>0</v>
          </cell>
        </row>
        <row r="374">
          <cell r="B374" t="str">
            <v>Ramada Plaza</v>
          </cell>
          <cell r="C374">
            <v>3</v>
          </cell>
          <cell r="D374">
            <v>2003</v>
          </cell>
          <cell r="E374">
            <v>0</v>
          </cell>
          <cell r="F374">
            <v>0</v>
          </cell>
          <cell r="G374">
            <v>1</v>
          </cell>
          <cell r="H374">
            <v>217</v>
          </cell>
        </row>
        <row r="375">
          <cell r="B375" t="str">
            <v>Sheraton Hotel</v>
          </cell>
          <cell r="C375">
            <v>5</v>
          </cell>
          <cell r="D375">
            <v>2918</v>
          </cell>
          <cell r="E375">
            <v>0</v>
          </cell>
          <cell r="F375">
            <v>0</v>
          </cell>
          <cell r="G375">
            <v>0</v>
          </cell>
          <cell r="H375">
            <v>0</v>
          </cell>
        </row>
        <row r="377">
          <cell r="B377" t="str">
            <v>Cendant</v>
          </cell>
          <cell r="C377">
            <v>12</v>
          </cell>
          <cell r="D377">
            <v>4262</v>
          </cell>
          <cell r="E377">
            <v>0</v>
          </cell>
          <cell r="F377">
            <v>0</v>
          </cell>
          <cell r="G377">
            <v>1</v>
          </cell>
          <cell r="H377">
            <v>217</v>
          </cell>
        </row>
        <row r="378">
          <cell r="B378" t="str">
            <v>Choice Hotels</v>
          </cell>
          <cell r="C378">
            <v>16</v>
          </cell>
          <cell r="D378">
            <v>1919</v>
          </cell>
          <cell r="E378">
            <v>2</v>
          </cell>
          <cell r="F378">
            <v>125</v>
          </cell>
          <cell r="G378">
            <v>1</v>
          </cell>
          <cell r="H378">
            <v>58</v>
          </cell>
        </row>
        <row r="379">
          <cell r="B379" t="str">
            <v>Helmsley Hotels</v>
          </cell>
          <cell r="C379">
            <v>5</v>
          </cell>
          <cell r="D379">
            <v>2032</v>
          </cell>
          <cell r="E379">
            <v>0</v>
          </cell>
          <cell r="F379">
            <v>0</v>
          </cell>
          <cell r="G379">
            <v>0</v>
          </cell>
          <cell r="H379">
            <v>0</v>
          </cell>
        </row>
        <row r="380">
          <cell r="B380" t="str">
            <v>Hilton Hotel Corp.</v>
          </cell>
          <cell r="C380">
            <v>11</v>
          </cell>
          <cell r="D380">
            <v>6155</v>
          </cell>
          <cell r="E380">
            <v>2</v>
          </cell>
          <cell r="F380">
            <v>907</v>
          </cell>
          <cell r="G380">
            <v>1</v>
          </cell>
          <cell r="H380">
            <v>148</v>
          </cell>
        </row>
        <row r="381">
          <cell r="B381" t="str">
            <v>Marriott Int'l</v>
          </cell>
          <cell r="C381">
            <v>19</v>
          </cell>
          <cell r="D381">
            <v>7398</v>
          </cell>
          <cell r="E381">
            <v>1</v>
          </cell>
          <cell r="F381">
            <v>123</v>
          </cell>
          <cell r="G381">
            <v>1</v>
          </cell>
          <cell r="H381">
            <v>166</v>
          </cell>
        </row>
        <row r="382">
          <cell r="B382" t="str">
            <v>Omni Hotels</v>
          </cell>
          <cell r="C382">
            <v>2</v>
          </cell>
          <cell r="D382">
            <v>1865</v>
          </cell>
          <cell r="E382">
            <v>0</v>
          </cell>
          <cell r="F382">
            <v>0</v>
          </cell>
          <cell r="G382">
            <v>0</v>
          </cell>
          <cell r="H382">
            <v>0</v>
          </cell>
        </row>
        <row r="383">
          <cell r="B383" t="str">
            <v>Six Continents Hotels</v>
          </cell>
          <cell r="C383">
            <v>16</v>
          </cell>
          <cell r="D383">
            <v>5299</v>
          </cell>
          <cell r="E383">
            <v>0</v>
          </cell>
          <cell r="F383">
            <v>0</v>
          </cell>
          <cell r="G383">
            <v>1</v>
          </cell>
          <cell r="H383">
            <v>79</v>
          </cell>
        </row>
        <row r="384">
          <cell r="B384" t="str">
            <v>Starwood Hotels</v>
          </cell>
          <cell r="C384">
            <v>11</v>
          </cell>
          <cell r="D384">
            <v>5089</v>
          </cell>
          <cell r="E384">
            <v>1</v>
          </cell>
          <cell r="F384">
            <v>270</v>
          </cell>
          <cell r="G384">
            <v>0</v>
          </cell>
          <cell r="H384">
            <v>0</v>
          </cell>
        </row>
        <row r="386">
          <cell r="B386" t="str">
            <v>Economy</v>
          </cell>
          <cell r="C386">
            <v>8</v>
          </cell>
          <cell r="D386">
            <v>1132</v>
          </cell>
        </row>
        <row r="387">
          <cell r="B387" t="str">
            <v>Independent</v>
          </cell>
          <cell r="C387">
            <v>163</v>
          </cell>
          <cell r="D387">
            <v>29874</v>
          </cell>
        </row>
        <row r="388">
          <cell r="B388" t="str">
            <v>Midscale w/ F&amp;B</v>
          </cell>
          <cell r="C388">
            <v>34</v>
          </cell>
          <cell r="D388">
            <v>8936</v>
          </cell>
        </row>
        <row r="389">
          <cell r="B389" t="str">
            <v>Midscale w/o F&amp;B</v>
          </cell>
          <cell r="C389">
            <v>14</v>
          </cell>
          <cell r="D389">
            <v>1243</v>
          </cell>
        </row>
        <row r="390">
          <cell r="B390" t="str">
            <v>Upper Upscale</v>
          </cell>
          <cell r="C390">
            <v>49</v>
          </cell>
          <cell r="D390">
            <v>26477</v>
          </cell>
        </row>
        <row r="391">
          <cell r="B391" t="str">
            <v>Upscale</v>
          </cell>
          <cell r="C391">
            <v>18</v>
          </cell>
          <cell r="D391">
            <v>5701</v>
          </cell>
        </row>
        <row r="394">
          <cell r="B394" t="str">
            <v>Best Western</v>
          </cell>
          <cell r="C394">
            <v>11</v>
          </cell>
          <cell r="D394">
            <v>1377</v>
          </cell>
          <cell r="E394">
            <v>0</v>
          </cell>
          <cell r="F394">
            <v>0</v>
          </cell>
          <cell r="G394">
            <v>1</v>
          </cell>
          <cell r="H394">
            <v>168</v>
          </cell>
        </row>
        <row r="395">
          <cell r="B395" t="str">
            <v>Comfort Inn</v>
          </cell>
          <cell r="C395">
            <v>15</v>
          </cell>
          <cell r="D395">
            <v>1433</v>
          </cell>
          <cell r="E395">
            <v>1</v>
          </cell>
          <cell r="F395">
            <v>78</v>
          </cell>
          <cell r="G395">
            <v>0</v>
          </cell>
          <cell r="H395">
            <v>0</v>
          </cell>
        </row>
        <row r="396">
          <cell r="B396" t="str">
            <v>Days Inn</v>
          </cell>
          <cell r="C396">
            <v>19</v>
          </cell>
          <cell r="D396">
            <v>2168</v>
          </cell>
          <cell r="E396">
            <v>1</v>
          </cell>
          <cell r="F396">
            <v>65</v>
          </cell>
          <cell r="G396">
            <v>0</v>
          </cell>
          <cell r="H396">
            <v>0</v>
          </cell>
        </row>
        <row r="397">
          <cell r="B397" t="str">
            <v>Econo Lodge</v>
          </cell>
          <cell r="C397">
            <v>20</v>
          </cell>
          <cell r="D397">
            <v>1270</v>
          </cell>
          <cell r="E397">
            <v>0</v>
          </cell>
          <cell r="F397">
            <v>0</v>
          </cell>
          <cell r="G397">
            <v>0</v>
          </cell>
          <cell r="H397">
            <v>0</v>
          </cell>
        </row>
        <row r="398">
          <cell r="B398" t="str">
            <v>Hampton Inn</v>
          </cell>
          <cell r="C398">
            <v>10</v>
          </cell>
          <cell r="D398">
            <v>1119</v>
          </cell>
          <cell r="E398">
            <v>0</v>
          </cell>
          <cell r="F398">
            <v>0</v>
          </cell>
          <cell r="G398">
            <v>0</v>
          </cell>
          <cell r="H398">
            <v>0</v>
          </cell>
        </row>
        <row r="399">
          <cell r="B399" t="str">
            <v>Holiday Inn</v>
          </cell>
          <cell r="C399">
            <v>10</v>
          </cell>
          <cell r="D399">
            <v>1991</v>
          </cell>
          <cell r="E399">
            <v>0</v>
          </cell>
          <cell r="F399">
            <v>0</v>
          </cell>
          <cell r="G399">
            <v>0</v>
          </cell>
          <cell r="H399">
            <v>0</v>
          </cell>
        </row>
        <row r="400">
          <cell r="B400" t="str">
            <v>Quality Inn</v>
          </cell>
          <cell r="C400">
            <v>9</v>
          </cell>
          <cell r="D400">
            <v>1050</v>
          </cell>
          <cell r="E400">
            <v>0</v>
          </cell>
          <cell r="F400">
            <v>0</v>
          </cell>
          <cell r="G400">
            <v>0</v>
          </cell>
          <cell r="H400">
            <v>0</v>
          </cell>
        </row>
        <row r="401">
          <cell r="B401" t="str">
            <v>Ramada Inn</v>
          </cell>
          <cell r="C401">
            <v>6</v>
          </cell>
          <cell r="D401">
            <v>1036</v>
          </cell>
          <cell r="E401">
            <v>0</v>
          </cell>
          <cell r="F401">
            <v>0</v>
          </cell>
          <cell r="G401">
            <v>0</v>
          </cell>
          <cell r="H401">
            <v>0</v>
          </cell>
        </row>
        <row r="403">
          <cell r="B403" t="str">
            <v>ACCOR</v>
          </cell>
          <cell r="C403">
            <v>9</v>
          </cell>
          <cell r="D403">
            <v>1061</v>
          </cell>
          <cell r="E403">
            <v>0</v>
          </cell>
          <cell r="F403">
            <v>0</v>
          </cell>
          <cell r="G403">
            <v>0</v>
          </cell>
          <cell r="H403">
            <v>0</v>
          </cell>
        </row>
        <row r="404">
          <cell r="B404" t="str">
            <v>Best Western Int'l</v>
          </cell>
          <cell r="C404">
            <v>11</v>
          </cell>
          <cell r="D404">
            <v>1377</v>
          </cell>
          <cell r="E404">
            <v>0</v>
          </cell>
          <cell r="F404">
            <v>0</v>
          </cell>
          <cell r="G404">
            <v>1</v>
          </cell>
          <cell r="H404">
            <v>168</v>
          </cell>
        </row>
        <row r="405">
          <cell r="B405" t="str">
            <v>Cendant</v>
          </cell>
          <cell r="C405">
            <v>56</v>
          </cell>
          <cell r="D405">
            <v>5790</v>
          </cell>
          <cell r="E405">
            <v>1</v>
          </cell>
          <cell r="F405">
            <v>65</v>
          </cell>
          <cell r="G405">
            <v>0</v>
          </cell>
          <cell r="H405">
            <v>0</v>
          </cell>
        </row>
        <row r="406">
          <cell r="B406" t="str">
            <v>Choice Hotels</v>
          </cell>
          <cell r="C406">
            <v>56</v>
          </cell>
          <cell r="D406">
            <v>4891</v>
          </cell>
          <cell r="E406">
            <v>1</v>
          </cell>
          <cell r="F406">
            <v>78</v>
          </cell>
          <cell r="G406">
            <v>2</v>
          </cell>
          <cell r="H406">
            <v>234</v>
          </cell>
        </row>
        <row r="407">
          <cell r="B407" t="str">
            <v>Hilton Hotel Corp.</v>
          </cell>
          <cell r="C407">
            <v>17</v>
          </cell>
          <cell r="D407">
            <v>2316</v>
          </cell>
          <cell r="E407">
            <v>1</v>
          </cell>
          <cell r="F407">
            <v>119</v>
          </cell>
          <cell r="G407">
            <v>0</v>
          </cell>
          <cell r="H407">
            <v>0</v>
          </cell>
        </row>
        <row r="408">
          <cell r="B408" t="str">
            <v>Marriott Int'l</v>
          </cell>
          <cell r="C408">
            <v>18</v>
          </cell>
          <cell r="D408">
            <v>2741</v>
          </cell>
          <cell r="E408">
            <v>1</v>
          </cell>
          <cell r="F408">
            <v>120</v>
          </cell>
          <cell r="G408">
            <v>1</v>
          </cell>
          <cell r="H408">
            <v>250</v>
          </cell>
        </row>
        <row r="409">
          <cell r="B409" t="str">
            <v>Six Continents Hotels</v>
          </cell>
          <cell r="C409">
            <v>14</v>
          </cell>
          <cell r="D409">
            <v>2593</v>
          </cell>
          <cell r="E409">
            <v>1</v>
          </cell>
          <cell r="F409">
            <v>147</v>
          </cell>
          <cell r="G409">
            <v>0</v>
          </cell>
          <cell r="H409">
            <v>0</v>
          </cell>
        </row>
        <row r="410">
          <cell r="B410" t="str">
            <v>Starwood Hotels</v>
          </cell>
          <cell r="C410">
            <v>3</v>
          </cell>
          <cell r="D410">
            <v>848</v>
          </cell>
          <cell r="E410">
            <v>0</v>
          </cell>
          <cell r="F410">
            <v>0</v>
          </cell>
          <cell r="G410">
            <v>0</v>
          </cell>
          <cell r="H410">
            <v>0</v>
          </cell>
        </row>
        <row r="412">
          <cell r="B412" t="str">
            <v>Economy</v>
          </cell>
          <cell r="C412">
            <v>92</v>
          </cell>
          <cell r="D412">
            <v>8122</v>
          </cell>
        </row>
        <row r="413">
          <cell r="B413" t="str">
            <v>Independent</v>
          </cell>
          <cell r="C413">
            <v>117</v>
          </cell>
          <cell r="D413">
            <v>10061</v>
          </cell>
        </row>
        <row r="414">
          <cell r="B414" t="str">
            <v>Midscale w/ F&amp;B</v>
          </cell>
          <cell r="C414">
            <v>51</v>
          </cell>
          <cell r="D414">
            <v>7678</v>
          </cell>
        </row>
        <row r="415">
          <cell r="B415" t="str">
            <v>Midscale w/o F&amp;B</v>
          </cell>
          <cell r="C415">
            <v>45</v>
          </cell>
          <cell r="D415">
            <v>4616</v>
          </cell>
        </row>
        <row r="416">
          <cell r="B416" t="str">
            <v>Upper Upscale</v>
          </cell>
          <cell r="C416">
            <v>8</v>
          </cell>
          <cell r="D416">
            <v>2197</v>
          </cell>
        </row>
        <row r="417">
          <cell r="B417" t="str">
            <v>Upscale</v>
          </cell>
          <cell r="C417">
            <v>15</v>
          </cell>
          <cell r="D417">
            <v>2212</v>
          </cell>
        </row>
        <row r="420">
          <cell r="B420" t="str">
            <v>Aston</v>
          </cell>
          <cell r="C420">
            <v>10</v>
          </cell>
          <cell r="D420">
            <v>1635</v>
          </cell>
          <cell r="E420">
            <v>0</v>
          </cell>
          <cell r="F420">
            <v>0</v>
          </cell>
          <cell r="G420">
            <v>0</v>
          </cell>
          <cell r="H420">
            <v>0</v>
          </cell>
        </row>
        <row r="421">
          <cell r="B421" t="str">
            <v>Best Western</v>
          </cell>
          <cell r="C421">
            <v>3</v>
          </cell>
          <cell r="D421">
            <v>1690</v>
          </cell>
          <cell r="E421">
            <v>0</v>
          </cell>
          <cell r="F421">
            <v>0</v>
          </cell>
          <cell r="G421">
            <v>0</v>
          </cell>
          <cell r="H421">
            <v>0</v>
          </cell>
        </row>
        <row r="422">
          <cell r="B422" t="str">
            <v>Hilton Hotel</v>
          </cell>
          <cell r="C422">
            <v>3</v>
          </cell>
          <cell r="D422">
            <v>3483</v>
          </cell>
          <cell r="E422">
            <v>0</v>
          </cell>
          <cell r="F422">
            <v>0</v>
          </cell>
          <cell r="G422">
            <v>1</v>
          </cell>
          <cell r="H422">
            <v>453</v>
          </cell>
        </row>
        <row r="423">
          <cell r="B423" t="str">
            <v>Hyatt Hotel</v>
          </cell>
          <cell r="C423">
            <v>1</v>
          </cell>
          <cell r="D423">
            <v>1230</v>
          </cell>
          <cell r="E423">
            <v>0</v>
          </cell>
          <cell r="F423">
            <v>0</v>
          </cell>
          <cell r="G423">
            <v>0</v>
          </cell>
          <cell r="H423">
            <v>0</v>
          </cell>
        </row>
        <row r="424">
          <cell r="B424" t="str">
            <v>Marriott Hotel</v>
          </cell>
          <cell r="C424">
            <v>2</v>
          </cell>
          <cell r="D424">
            <v>1691</v>
          </cell>
          <cell r="E424">
            <v>0</v>
          </cell>
          <cell r="F424">
            <v>0</v>
          </cell>
          <cell r="G424">
            <v>0</v>
          </cell>
          <cell r="H424">
            <v>0</v>
          </cell>
        </row>
        <row r="425">
          <cell r="B425" t="str">
            <v>Outrigger</v>
          </cell>
          <cell r="C425">
            <v>20</v>
          </cell>
          <cell r="D425">
            <v>8007</v>
          </cell>
          <cell r="E425">
            <v>0</v>
          </cell>
          <cell r="F425">
            <v>0</v>
          </cell>
          <cell r="G425">
            <v>0</v>
          </cell>
          <cell r="H425">
            <v>0</v>
          </cell>
        </row>
        <row r="426">
          <cell r="B426" t="str">
            <v>Renaissance Hotel</v>
          </cell>
          <cell r="C426">
            <v>1</v>
          </cell>
          <cell r="D426">
            <v>783</v>
          </cell>
          <cell r="E426">
            <v>0</v>
          </cell>
          <cell r="F426">
            <v>0</v>
          </cell>
          <cell r="G426">
            <v>0</v>
          </cell>
          <cell r="H426">
            <v>0</v>
          </cell>
        </row>
        <row r="427">
          <cell r="B427" t="str">
            <v>Sheraton Hotel</v>
          </cell>
          <cell r="C427">
            <v>5</v>
          </cell>
          <cell r="D427">
            <v>4366</v>
          </cell>
          <cell r="E427">
            <v>0</v>
          </cell>
          <cell r="F427">
            <v>0</v>
          </cell>
          <cell r="G427">
            <v>0</v>
          </cell>
          <cell r="H427">
            <v>0</v>
          </cell>
        </row>
        <row r="429">
          <cell r="B429" t="str">
            <v>Aston Hotels</v>
          </cell>
          <cell r="C429">
            <v>10</v>
          </cell>
          <cell r="D429">
            <v>1635</v>
          </cell>
          <cell r="E429">
            <v>0</v>
          </cell>
          <cell r="F429">
            <v>0</v>
          </cell>
          <cell r="G429">
            <v>0</v>
          </cell>
          <cell r="H429">
            <v>0</v>
          </cell>
        </row>
        <row r="430">
          <cell r="B430" t="str">
            <v>Best Western Int'l</v>
          </cell>
          <cell r="C430">
            <v>3</v>
          </cell>
          <cell r="D430">
            <v>1690</v>
          </cell>
          <cell r="E430">
            <v>0</v>
          </cell>
          <cell r="F430">
            <v>0</v>
          </cell>
          <cell r="G430">
            <v>0</v>
          </cell>
          <cell r="H430">
            <v>0</v>
          </cell>
        </row>
        <row r="431">
          <cell r="B431" t="str">
            <v>Carlson Hospitality</v>
          </cell>
          <cell r="C431">
            <v>1</v>
          </cell>
          <cell r="D431">
            <v>620</v>
          </cell>
          <cell r="E431">
            <v>0</v>
          </cell>
          <cell r="F431">
            <v>0</v>
          </cell>
          <cell r="G431">
            <v>0</v>
          </cell>
          <cell r="H431">
            <v>0</v>
          </cell>
        </row>
        <row r="432">
          <cell r="B432" t="str">
            <v>Hilton Hotel Corp.</v>
          </cell>
          <cell r="C432">
            <v>4</v>
          </cell>
          <cell r="D432">
            <v>3796</v>
          </cell>
          <cell r="E432">
            <v>0</v>
          </cell>
          <cell r="F432">
            <v>0</v>
          </cell>
          <cell r="G432">
            <v>1</v>
          </cell>
          <cell r="H432">
            <v>453</v>
          </cell>
        </row>
        <row r="433">
          <cell r="B433" t="str">
            <v>Hyatt Hotel Corp.</v>
          </cell>
          <cell r="C433">
            <v>1</v>
          </cell>
          <cell r="D433">
            <v>1230</v>
          </cell>
          <cell r="E433">
            <v>0</v>
          </cell>
          <cell r="F433">
            <v>0</v>
          </cell>
          <cell r="G433">
            <v>0</v>
          </cell>
          <cell r="H433">
            <v>0</v>
          </cell>
        </row>
        <row r="434">
          <cell r="B434" t="str">
            <v>Marriott Int'l</v>
          </cell>
          <cell r="C434">
            <v>3</v>
          </cell>
          <cell r="D434">
            <v>2474</v>
          </cell>
          <cell r="E434">
            <v>0</v>
          </cell>
          <cell r="F434">
            <v>0</v>
          </cell>
          <cell r="G434">
            <v>0</v>
          </cell>
          <cell r="H434">
            <v>0</v>
          </cell>
        </row>
        <row r="435">
          <cell r="B435" t="str">
            <v>Outrigger Hotels</v>
          </cell>
          <cell r="C435">
            <v>20</v>
          </cell>
          <cell r="D435">
            <v>8007</v>
          </cell>
          <cell r="E435">
            <v>0</v>
          </cell>
          <cell r="F435">
            <v>0</v>
          </cell>
          <cell r="G435">
            <v>0</v>
          </cell>
          <cell r="H435">
            <v>0</v>
          </cell>
        </row>
        <row r="436">
          <cell r="B436" t="str">
            <v>Starwood Hotels</v>
          </cell>
          <cell r="C436">
            <v>7</v>
          </cell>
          <cell r="D436">
            <v>4935</v>
          </cell>
          <cell r="E436">
            <v>0</v>
          </cell>
          <cell r="F436">
            <v>0</v>
          </cell>
          <cell r="G436">
            <v>0</v>
          </cell>
          <cell r="H436">
            <v>0</v>
          </cell>
        </row>
        <row r="438">
          <cell r="B438" t="str">
            <v>Economy</v>
          </cell>
          <cell r="C438">
            <v>1</v>
          </cell>
          <cell r="D438">
            <v>48</v>
          </cell>
        </row>
        <row r="439">
          <cell r="B439" t="str">
            <v>Independent</v>
          </cell>
          <cell r="C439">
            <v>52</v>
          </cell>
          <cell r="D439">
            <v>11283</v>
          </cell>
        </row>
        <row r="440">
          <cell r="B440" t="str">
            <v>Midscale w/ F&amp;B</v>
          </cell>
          <cell r="C440">
            <v>27</v>
          </cell>
          <cell r="D440">
            <v>10385</v>
          </cell>
        </row>
        <row r="441">
          <cell r="B441" t="str">
            <v>Midscale w/o F&amp;B</v>
          </cell>
          <cell r="C441">
            <v>1</v>
          </cell>
          <cell r="D441">
            <v>100</v>
          </cell>
        </row>
        <row r="442">
          <cell r="B442" t="str">
            <v>Upper Upscale</v>
          </cell>
          <cell r="C442">
            <v>14</v>
          </cell>
          <cell r="D442">
            <v>12122</v>
          </cell>
        </row>
        <row r="443">
          <cell r="B443" t="str">
            <v>Upscale</v>
          </cell>
          <cell r="C443">
            <v>12</v>
          </cell>
          <cell r="D443">
            <v>2568</v>
          </cell>
        </row>
        <row r="446">
          <cell r="B446" t="str">
            <v>Best Western</v>
          </cell>
          <cell r="C446">
            <v>14</v>
          </cell>
          <cell r="D446">
            <v>2906</v>
          </cell>
          <cell r="E446">
            <v>1</v>
          </cell>
          <cell r="F446">
            <v>95</v>
          </cell>
          <cell r="G446">
            <v>0</v>
          </cell>
          <cell r="H446">
            <v>0</v>
          </cell>
        </row>
        <row r="447">
          <cell r="B447" t="str">
            <v>Days Inn</v>
          </cell>
          <cell r="C447">
            <v>23</v>
          </cell>
          <cell r="D447">
            <v>5520</v>
          </cell>
          <cell r="E447">
            <v>0</v>
          </cell>
          <cell r="F447">
            <v>0</v>
          </cell>
          <cell r="G447">
            <v>0</v>
          </cell>
          <cell r="H447">
            <v>0</v>
          </cell>
        </row>
        <row r="448">
          <cell r="B448" t="str">
            <v>Holiday Inn</v>
          </cell>
          <cell r="C448">
            <v>13</v>
          </cell>
          <cell r="D448">
            <v>4699</v>
          </cell>
          <cell r="E448">
            <v>0</v>
          </cell>
          <cell r="F448">
            <v>0</v>
          </cell>
          <cell r="G448">
            <v>1</v>
          </cell>
          <cell r="H448">
            <v>150</v>
          </cell>
        </row>
        <row r="449">
          <cell r="B449" t="str">
            <v>Marriott Hotel</v>
          </cell>
          <cell r="C449">
            <v>3</v>
          </cell>
          <cell r="D449">
            <v>2777</v>
          </cell>
          <cell r="E449">
            <v>1</v>
          </cell>
          <cell r="F449">
            <v>500</v>
          </cell>
          <cell r="G449">
            <v>0</v>
          </cell>
          <cell r="H449">
            <v>0</v>
          </cell>
        </row>
        <row r="450">
          <cell r="B450" t="str">
            <v>Quality Inn</v>
          </cell>
          <cell r="C450">
            <v>9</v>
          </cell>
          <cell r="D450">
            <v>2889</v>
          </cell>
          <cell r="E450">
            <v>0</v>
          </cell>
          <cell r="F450">
            <v>0</v>
          </cell>
          <cell r="G450">
            <v>0</v>
          </cell>
          <cell r="H450">
            <v>0</v>
          </cell>
        </row>
        <row r="451">
          <cell r="B451" t="str">
            <v>Radisson Hotel</v>
          </cell>
          <cell r="C451">
            <v>7</v>
          </cell>
          <cell r="D451">
            <v>2802</v>
          </cell>
          <cell r="E451">
            <v>0</v>
          </cell>
          <cell r="F451">
            <v>0</v>
          </cell>
          <cell r="G451">
            <v>0</v>
          </cell>
          <cell r="H451">
            <v>0</v>
          </cell>
        </row>
        <row r="452">
          <cell r="B452" t="str">
            <v>Sheraton Hotel</v>
          </cell>
          <cell r="C452">
            <v>7</v>
          </cell>
          <cell r="D452">
            <v>5125</v>
          </cell>
          <cell r="E452">
            <v>0</v>
          </cell>
          <cell r="F452">
            <v>0</v>
          </cell>
          <cell r="G452">
            <v>0</v>
          </cell>
          <cell r="H452">
            <v>0</v>
          </cell>
        </row>
        <row r="453">
          <cell r="B453" t="str">
            <v>Travelodge</v>
          </cell>
          <cell r="C453">
            <v>10</v>
          </cell>
          <cell r="D453">
            <v>2245</v>
          </cell>
          <cell r="E453">
            <v>0</v>
          </cell>
          <cell r="F453">
            <v>0</v>
          </cell>
          <cell r="G453">
            <v>0</v>
          </cell>
          <cell r="H453">
            <v>0</v>
          </cell>
        </row>
        <row r="455">
          <cell r="B455" t="str">
            <v>Best Western Int'l</v>
          </cell>
          <cell r="C455">
            <v>14</v>
          </cell>
          <cell r="D455">
            <v>2906</v>
          </cell>
          <cell r="E455">
            <v>1</v>
          </cell>
          <cell r="F455">
            <v>95</v>
          </cell>
          <cell r="G455">
            <v>0</v>
          </cell>
          <cell r="H455">
            <v>0</v>
          </cell>
        </row>
        <row r="456">
          <cell r="B456" t="str">
            <v>Carlson Hospitality</v>
          </cell>
          <cell r="C456">
            <v>13</v>
          </cell>
          <cell r="D456">
            <v>3590</v>
          </cell>
          <cell r="E456">
            <v>1</v>
          </cell>
          <cell r="F456">
            <v>170</v>
          </cell>
          <cell r="G456">
            <v>1</v>
          </cell>
          <cell r="H456">
            <v>162</v>
          </cell>
        </row>
        <row r="457">
          <cell r="B457" t="str">
            <v>Cendant</v>
          </cell>
          <cell r="C457">
            <v>79</v>
          </cell>
          <cell r="D457">
            <v>16834</v>
          </cell>
          <cell r="E457">
            <v>0</v>
          </cell>
          <cell r="F457">
            <v>0</v>
          </cell>
          <cell r="G457">
            <v>0</v>
          </cell>
          <cell r="H457">
            <v>0</v>
          </cell>
        </row>
        <row r="458">
          <cell r="B458" t="str">
            <v>Choice Hotels</v>
          </cell>
          <cell r="C458">
            <v>39</v>
          </cell>
          <cell r="D458">
            <v>9133</v>
          </cell>
          <cell r="E458">
            <v>2</v>
          </cell>
          <cell r="F458">
            <v>290</v>
          </cell>
          <cell r="G458">
            <v>1</v>
          </cell>
          <cell r="H458">
            <v>74</v>
          </cell>
        </row>
        <row r="459">
          <cell r="B459" t="str">
            <v>Hilton Hotel Corp.</v>
          </cell>
          <cell r="C459">
            <v>34</v>
          </cell>
          <cell r="D459">
            <v>7209</v>
          </cell>
          <cell r="E459">
            <v>3</v>
          </cell>
          <cell r="F459">
            <v>367</v>
          </cell>
          <cell r="G459">
            <v>2</v>
          </cell>
          <cell r="H459">
            <v>355</v>
          </cell>
        </row>
        <row r="460">
          <cell r="B460" t="str">
            <v>Marriott Int'l</v>
          </cell>
          <cell r="C460">
            <v>31</v>
          </cell>
          <cell r="D460">
            <v>9317</v>
          </cell>
          <cell r="E460">
            <v>7</v>
          </cell>
          <cell r="F460">
            <v>1896</v>
          </cell>
          <cell r="G460">
            <v>3</v>
          </cell>
          <cell r="H460">
            <v>526</v>
          </cell>
        </row>
        <row r="461">
          <cell r="B461" t="str">
            <v>Six Continents Hotels</v>
          </cell>
          <cell r="C461">
            <v>22</v>
          </cell>
          <cell r="D461">
            <v>6464</v>
          </cell>
          <cell r="E461">
            <v>0</v>
          </cell>
          <cell r="F461">
            <v>0</v>
          </cell>
          <cell r="G461">
            <v>1</v>
          </cell>
          <cell r="H461">
            <v>150</v>
          </cell>
        </row>
        <row r="462">
          <cell r="B462" t="str">
            <v>Starwood Hotels</v>
          </cell>
          <cell r="C462">
            <v>12</v>
          </cell>
          <cell r="D462">
            <v>6847</v>
          </cell>
          <cell r="E462">
            <v>0</v>
          </cell>
          <cell r="F462">
            <v>0</v>
          </cell>
          <cell r="G462">
            <v>1</v>
          </cell>
          <cell r="H462">
            <v>250</v>
          </cell>
        </row>
        <row r="464">
          <cell r="B464" t="str">
            <v>Economy</v>
          </cell>
          <cell r="C464">
            <v>108</v>
          </cell>
          <cell r="D464">
            <v>17712</v>
          </cell>
        </row>
        <row r="465">
          <cell r="B465" t="str">
            <v>Independent</v>
          </cell>
          <cell r="C465">
            <v>107</v>
          </cell>
          <cell r="D465">
            <v>38613</v>
          </cell>
        </row>
        <row r="466">
          <cell r="B466" t="str">
            <v>Midscale w/ F&amp;B</v>
          </cell>
          <cell r="C466">
            <v>70</v>
          </cell>
          <cell r="D466">
            <v>21015</v>
          </cell>
        </row>
        <row r="467">
          <cell r="B467" t="str">
            <v>Midscale w/o F&amp;B</v>
          </cell>
          <cell r="C467">
            <v>64</v>
          </cell>
          <cell r="D467">
            <v>10147</v>
          </cell>
        </row>
        <row r="468">
          <cell r="B468" t="str">
            <v>Upper Upscale</v>
          </cell>
          <cell r="C468">
            <v>36</v>
          </cell>
          <cell r="D468">
            <v>20481</v>
          </cell>
        </row>
        <row r="469">
          <cell r="B469" t="str">
            <v>Upscale</v>
          </cell>
          <cell r="C469">
            <v>44</v>
          </cell>
          <cell r="D469">
            <v>9494</v>
          </cell>
        </row>
        <row r="472">
          <cell r="B472" t="str">
            <v>Best Western</v>
          </cell>
          <cell r="C472">
            <v>14</v>
          </cell>
          <cell r="D472">
            <v>1617</v>
          </cell>
          <cell r="E472">
            <v>0</v>
          </cell>
          <cell r="F472">
            <v>0</v>
          </cell>
          <cell r="G472">
            <v>0</v>
          </cell>
          <cell r="H472">
            <v>0</v>
          </cell>
        </row>
        <row r="473">
          <cell r="B473" t="str">
            <v>Courtyard by Marriott</v>
          </cell>
          <cell r="C473">
            <v>8</v>
          </cell>
          <cell r="D473">
            <v>1573</v>
          </cell>
          <cell r="E473">
            <v>0</v>
          </cell>
          <cell r="F473">
            <v>0</v>
          </cell>
          <cell r="G473">
            <v>0</v>
          </cell>
          <cell r="H473">
            <v>0</v>
          </cell>
        </row>
        <row r="474">
          <cell r="B474" t="str">
            <v>Hampton Inn</v>
          </cell>
          <cell r="C474">
            <v>12</v>
          </cell>
          <cell r="D474">
            <v>1731</v>
          </cell>
          <cell r="E474">
            <v>0</v>
          </cell>
          <cell r="F474">
            <v>0</v>
          </cell>
          <cell r="G474">
            <v>1</v>
          </cell>
          <cell r="H474">
            <v>250</v>
          </cell>
        </row>
        <row r="475">
          <cell r="B475" t="str">
            <v>Holiday Inn</v>
          </cell>
          <cell r="C475">
            <v>11</v>
          </cell>
          <cell r="D475">
            <v>2467</v>
          </cell>
          <cell r="E475">
            <v>0</v>
          </cell>
          <cell r="F475">
            <v>0</v>
          </cell>
          <cell r="G475">
            <v>0</v>
          </cell>
          <cell r="H475">
            <v>0</v>
          </cell>
        </row>
        <row r="476">
          <cell r="B476" t="str">
            <v>Marriott Hotel</v>
          </cell>
          <cell r="C476">
            <v>3</v>
          </cell>
          <cell r="D476">
            <v>2115</v>
          </cell>
          <cell r="E476">
            <v>0</v>
          </cell>
          <cell r="F476">
            <v>0</v>
          </cell>
          <cell r="G476">
            <v>0</v>
          </cell>
          <cell r="H476">
            <v>0</v>
          </cell>
        </row>
        <row r="477">
          <cell r="B477" t="str">
            <v>Radisson Hotel</v>
          </cell>
          <cell r="C477">
            <v>5</v>
          </cell>
          <cell r="D477">
            <v>1710</v>
          </cell>
          <cell r="E477">
            <v>1</v>
          </cell>
          <cell r="F477">
            <v>250</v>
          </cell>
          <cell r="G477">
            <v>0</v>
          </cell>
          <cell r="H477">
            <v>0</v>
          </cell>
        </row>
        <row r="478">
          <cell r="B478" t="str">
            <v>Sheraton Hotel</v>
          </cell>
          <cell r="C478">
            <v>8</v>
          </cell>
          <cell r="D478">
            <v>1926</v>
          </cell>
          <cell r="E478">
            <v>0</v>
          </cell>
          <cell r="F478">
            <v>0</v>
          </cell>
          <cell r="G478">
            <v>0</v>
          </cell>
          <cell r="H478">
            <v>0</v>
          </cell>
        </row>
        <row r="479">
          <cell r="B479" t="str">
            <v>Wyndham Hotel</v>
          </cell>
          <cell r="C479">
            <v>3</v>
          </cell>
          <cell r="D479">
            <v>1229</v>
          </cell>
          <cell r="E479">
            <v>0</v>
          </cell>
          <cell r="F479">
            <v>0</v>
          </cell>
          <cell r="G479">
            <v>0</v>
          </cell>
          <cell r="H479">
            <v>0</v>
          </cell>
        </row>
        <row r="481">
          <cell r="B481" t="str">
            <v>Best Western Int'l</v>
          </cell>
          <cell r="C481">
            <v>14</v>
          </cell>
          <cell r="D481">
            <v>1617</v>
          </cell>
          <cell r="E481">
            <v>0</v>
          </cell>
          <cell r="F481">
            <v>0</v>
          </cell>
          <cell r="G481">
            <v>0</v>
          </cell>
          <cell r="H481">
            <v>0</v>
          </cell>
        </row>
        <row r="482">
          <cell r="B482" t="str">
            <v>Carlson Hospitality</v>
          </cell>
          <cell r="C482">
            <v>6</v>
          </cell>
          <cell r="D482">
            <v>1735</v>
          </cell>
          <cell r="E482">
            <v>1</v>
          </cell>
          <cell r="F482">
            <v>250</v>
          </cell>
          <cell r="G482">
            <v>0</v>
          </cell>
          <cell r="H482">
            <v>0</v>
          </cell>
        </row>
        <row r="483">
          <cell r="B483" t="str">
            <v>Cendant</v>
          </cell>
          <cell r="C483">
            <v>24</v>
          </cell>
          <cell r="D483">
            <v>2475</v>
          </cell>
          <cell r="E483">
            <v>0</v>
          </cell>
          <cell r="F483">
            <v>0</v>
          </cell>
          <cell r="G483">
            <v>0</v>
          </cell>
          <cell r="H483">
            <v>0</v>
          </cell>
        </row>
        <row r="484">
          <cell r="B484" t="str">
            <v>Hilton Hotel Corp.</v>
          </cell>
          <cell r="C484">
            <v>26</v>
          </cell>
          <cell r="D484">
            <v>5185</v>
          </cell>
          <cell r="E484">
            <v>1</v>
          </cell>
          <cell r="F484">
            <v>279</v>
          </cell>
          <cell r="G484">
            <v>2</v>
          </cell>
          <cell r="H484">
            <v>342</v>
          </cell>
        </row>
        <row r="485">
          <cell r="B485" t="str">
            <v>Marriott Int'l</v>
          </cell>
          <cell r="C485">
            <v>28</v>
          </cell>
          <cell r="D485">
            <v>6010</v>
          </cell>
          <cell r="E485">
            <v>3</v>
          </cell>
          <cell r="F485">
            <v>529</v>
          </cell>
          <cell r="G485">
            <v>2</v>
          </cell>
          <cell r="H485">
            <v>338</v>
          </cell>
        </row>
        <row r="486">
          <cell r="B486" t="str">
            <v>Six Continents Hotels</v>
          </cell>
          <cell r="C486">
            <v>21</v>
          </cell>
          <cell r="D486">
            <v>3999</v>
          </cell>
          <cell r="E486">
            <v>1</v>
          </cell>
          <cell r="F486">
            <v>76</v>
          </cell>
          <cell r="G486">
            <v>1</v>
          </cell>
          <cell r="H486">
            <v>78</v>
          </cell>
        </row>
        <row r="487">
          <cell r="B487" t="str">
            <v>Starwood Hotels</v>
          </cell>
          <cell r="C487">
            <v>10</v>
          </cell>
          <cell r="D487">
            <v>2393</v>
          </cell>
          <cell r="E487">
            <v>0</v>
          </cell>
          <cell r="F487">
            <v>0</v>
          </cell>
          <cell r="G487">
            <v>0</v>
          </cell>
          <cell r="H487">
            <v>0</v>
          </cell>
        </row>
        <row r="488">
          <cell r="B488" t="str">
            <v>Wyndham Int'l</v>
          </cell>
          <cell r="C488">
            <v>6</v>
          </cell>
          <cell r="D488">
            <v>1596</v>
          </cell>
          <cell r="E488">
            <v>1</v>
          </cell>
          <cell r="F488">
            <v>131</v>
          </cell>
          <cell r="G488">
            <v>0</v>
          </cell>
          <cell r="H488">
            <v>0</v>
          </cell>
        </row>
        <row r="490">
          <cell r="B490" t="str">
            <v>Economy</v>
          </cell>
          <cell r="C490">
            <v>59</v>
          </cell>
          <cell r="D490">
            <v>5412</v>
          </cell>
        </row>
        <row r="491">
          <cell r="B491" t="str">
            <v>Independent</v>
          </cell>
          <cell r="C491">
            <v>66</v>
          </cell>
          <cell r="D491">
            <v>5515</v>
          </cell>
        </row>
        <row r="492">
          <cell r="B492" t="str">
            <v>Midscale w/ F&amp;B</v>
          </cell>
          <cell r="C492">
            <v>41</v>
          </cell>
          <cell r="D492">
            <v>6313</v>
          </cell>
        </row>
        <row r="493">
          <cell r="B493" t="str">
            <v>Midscale w/o F&amp;B</v>
          </cell>
          <cell r="C493">
            <v>43</v>
          </cell>
          <cell r="D493">
            <v>4982</v>
          </cell>
        </row>
        <row r="494">
          <cell r="B494" t="str">
            <v>Upper Upscale</v>
          </cell>
          <cell r="C494">
            <v>34</v>
          </cell>
          <cell r="D494">
            <v>10975</v>
          </cell>
        </row>
        <row r="495">
          <cell r="B495" t="str">
            <v>Upscale</v>
          </cell>
          <cell r="C495">
            <v>28</v>
          </cell>
          <cell r="D495">
            <v>6329</v>
          </cell>
        </row>
        <row r="498">
          <cell r="B498" t="str">
            <v>Best Western</v>
          </cell>
          <cell r="C498">
            <v>17</v>
          </cell>
          <cell r="D498">
            <v>1690</v>
          </cell>
          <cell r="E498">
            <v>0</v>
          </cell>
          <cell r="F498">
            <v>0</v>
          </cell>
          <cell r="G498">
            <v>0</v>
          </cell>
          <cell r="H498">
            <v>0</v>
          </cell>
        </row>
        <row r="499">
          <cell r="B499" t="str">
            <v>Courtyard by Marriott</v>
          </cell>
          <cell r="C499">
            <v>8</v>
          </cell>
          <cell r="D499">
            <v>1230</v>
          </cell>
          <cell r="E499">
            <v>1</v>
          </cell>
          <cell r="F499">
            <v>156</v>
          </cell>
          <cell r="G499">
            <v>0</v>
          </cell>
          <cell r="H499">
            <v>0</v>
          </cell>
        </row>
        <row r="500">
          <cell r="B500" t="str">
            <v>Embassy Suites</v>
          </cell>
          <cell r="C500">
            <v>6</v>
          </cell>
          <cell r="D500">
            <v>1453</v>
          </cell>
          <cell r="E500">
            <v>1</v>
          </cell>
          <cell r="F500">
            <v>277</v>
          </cell>
          <cell r="G500">
            <v>0</v>
          </cell>
          <cell r="H500">
            <v>0</v>
          </cell>
        </row>
        <row r="501">
          <cell r="B501" t="str">
            <v>Hampton Inn</v>
          </cell>
          <cell r="C501">
            <v>10</v>
          </cell>
          <cell r="D501">
            <v>1203</v>
          </cell>
          <cell r="E501">
            <v>0</v>
          </cell>
          <cell r="F501">
            <v>0</v>
          </cell>
          <cell r="G501">
            <v>0</v>
          </cell>
          <cell r="H501">
            <v>0</v>
          </cell>
        </row>
        <row r="502">
          <cell r="B502" t="str">
            <v>Hilton Hotel</v>
          </cell>
          <cell r="C502">
            <v>6</v>
          </cell>
          <cell r="D502">
            <v>2047</v>
          </cell>
          <cell r="E502">
            <v>0</v>
          </cell>
          <cell r="F502">
            <v>0</v>
          </cell>
          <cell r="G502">
            <v>0</v>
          </cell>
          <cell r="H502">
            <v>0</v>
          </cell>
        </row>
        <row r="503">
          <cell r="B503" t="str">
            <v>Hyatt Hotel</v>
          </cell>
          <cell r="C503">
            <v>2</v>
          </cell>
          <cell r="D503">
            <v>1205</v>
          </cell>
          <cell r="E503">
            <v>0</v>
          </cell>
          <cell r="F503">
            <v>0</v>
          </cell>
          <cell r="G503">
            <v>0</v>
          </cell>
          <cell r="H503">
            <v>0</v>
          </cell>
        </row>
        <row r="504">
          <cell r="B504" t="str">
            <v>Marriott Hotel</v>
          </cell>
          <cell r="C504">
            <v>5</v>
          </cell>
          <cell r="D504">
            <v>1656</v>
          </cell>
          <cell r="E504">
            <v>0</v>
          </cell>
          <cell r="F504">
            <v>0</v>
          </cell>
          <cell r="G504">
            <v>0</v>
          </cell>
          <cell r="H504">
            <v>0</v>
          </cell>
        </row>
        <row r="505">
          <cell r="B505" t="str">
            <v>Motel 6</v>
          </cell>
          <cell r="C505">
            <v>16</v>
          </cell>
          <cell r="D505">
            <v>2244</v>
          </cell>
          <cell r="E505">
            <v>0</v>
          </cell>
          <cell r="F505">
            <v>0</v>
          </cell>
          <cell r="G505">
            <v>0</v>
          </cell>
          <cell r="H505">
            <v>0</v>
          </cell>
        </row>
        <row r="507">
          <cell r="B507" t="str">
            <v>ACCOR</v>
          </cell>
          <cell r="C507">
            <v>21</v>
          </cell>
          <cell r="D507">
            <v>2867</v>
          </cell>
          <cell r="E507">
            <v>0</v>
          </cell>
          <cell r="F507">
            <v>0</v>
          </cell>
          <cell r="G507">
            <v>0</v>
          </cell>
          <cell r="H507">
            <v>0</v>
          </cell>
        </row>
        <row r="508">
          <cell r="B508" t="str">
            <v>Best Western Int'l</v>
          </cell>
          <cell r="C508">
            <v>17</v>
          </cell>
          <cell r="D508">
            <v>1690</v>
          </cell>
          <cell r="E508">
            <v>0</v>
          </cell>
          <cell r="F508">
            <v>0</v>
          </cell>
          <cell r="G508">
            <v>0</v>
          </cell>
          <cell r="H508">
            <v>0</v>
          </cell>
        </row>
        <row r="509">
          <cell r="B509" t="str">
            <v>Cendant</v>
          </cell>
          <cell r="C509">
            <v>39</v>
          </cell>
          <cell r="D509">
            <v>3947</v>
          </cell>
          <cell r="E509">
            <v>0</v>
          </cell>
          <cell r="F509">
            <v>0</v>
          </cell>
          <cell r="G509">
            <v>0</v>
          </cell>
          <cell r="H509">
            <v>0</v>
          </cell>
        </row>
        <row r="510">
          <cell r="B510" t="str">
            <v>Choice Hotels</v>
          </cell>
          <cell r="C510">
            <v>31</v>
          </cell>
          <cell r="D510">
            <v>3086</v>
          </cell>
          <cell r="E510">
            <v>0</v>
          </cell>
          <cell r="F510">
            <v>0</v>
          </cell>
          <cell r="G510">
            <v>0</v>
          </cell>
          <cell r="H510">
            <v>0</v>
          </cell>
        </row>
        <row r="511">
          <cell r="B511" t="str">
            <v>Hilton Hotel Corp.</v>
          </cell>
          <cell r="C511">
            <v>34</v>
          </cell>
          <cell r="D511">
            <v>6815</v>
          </cell>
          <cell r="E511">
            <v>2</v>
          </cell>
          <cell r="F511">
            <v>387</v>
          </cell>
          <cell r="G511">
            <v>0</v>
          </cell>
          <cell r="H511">
            <v>0</v>
          </cell>
        </row>
        <row r="512">
          <cell r="B512" t="str">
            <v>Hyatt Hotel Corp.</v>
          </cell>
          <cell r="C512">
            <v>2</v>
          </cell>
          <cell r="D512">
            <v>1205</v>
          </cell>
          <cell r="E512">
            <v>0</v>
          </cell>
          <cell r="F512">
            <v>0</v>
          </cell>
          <cell r="G512">
            <v>0</v>
          </cell>
          <cell r="H512">
            <v>0</v>
          </cell>
        </row>
        <row r="513">
          <cell r="B513" t="str">
            <v>Marriott Int'l</v>
          </cell>
          <cell r="C513">
            <v>39</v>
          </cell>
          <cell r="D513">
            <v>6303</v>
          </cell>
          <cell r="E513">
            <v>6</v>
          </cell>
          <cell r="F513">
            <v>937</v>
          </cell>
          <cell r="G513">
            <v>0</v>
          </cell>
          <cell r="H513">
            <v>0</v>
          </cell>
        </row>
        <row r="514">
          <cell r="B514" t="str">
            <v>Six Continents Hotels</v>
          </cell>
          <cell r="C514">
            <v>15</v>
          </cell>
          <cell r="D514">
            <v>2777</v>
          </cell>
          <cell r="E514">
            <v>0</v>
          </cell>
          <cell r="F514">
            <v>0</v>
          </cell>
          <cell r="G514">
            <v>0</v>
          </cell>
          <cell r="H514">
            <v>0</v>
          </cell>
        </row>
        <row r="516">
          <cell r="B516" t="str">
            <v>Economy</v>
          </cell>
          <cell r="C516">
            <v>86</v>
          </cell>
          <cell r="D516">
            <v>9398</v>
          </cell>
        </row>
        <row r="517">
          <cell r="B517" t="str">
            <v>Independent</v>
          </cell>
          <cell r="C517">
            <v>68</v>
          </cell>
          <cell r="D517">
            <v>9836</v>
          </cell>
        </row>
        <row r="518">
          <cell r="B518" t="str">
            <v>Midscale w/ F&amp;B</v>
          </cell>
          <cell r="C518">
            <v>40</v>
          </cell>
          <cell r="D518">
            <v>5667</v>
          </cell>
        </row>
        <row r="519">
          <cell r="B519" t="str">
            <v>Midscale w/o F&amp;B</v>
          </cell>
          <cell r="C519">
            <v>78</v>
          </cell>
          <cell r="D519">
            <v>8721</v>
          </cell>
        </row>
        <row r="520">
          <cell r="B520" t="str">
            <v>Upper Upscale</v>
          </cell>
          <cell r="C520">
            <v>34</v>
          </cell>
          <cell r="D520">
            <v>10983</v>
          </cell>
        </row>
        <row r="521">
          <cell r="B521" t="str">
            <v>Upscale</v>
          </cell>
          <cell r="C521">
            <v>39</v>
          </cell>
          <cell r="D521">
            <v>6338</v>
          </cell>
        </row>
        <row r="524">
          <cell r="B524" t="str">
            <v>Best Western</v>
          </cell>
          <cell r="C524">
            <v>12</v>
          </cell>
          <cell r="D524">
            <v>1176</v>
          </cell>
          <cell r="E524">
            <v>0</v>
          </cell>
          <cell r="F524">
            <v>0</v>
          </cell>
          <cell r="G524">
            <v>0</v>
          </cell>
          <cell r="H524">
            <v>0</v>
          </cell>
        </row>
        <row r="525">
          <cell r="B525" t="str">
            <v>Days Inn</v>
          </cell>
          <cell r="C525">
            <v>11</v>
          </cell>
          <cell r="D525">
            <v>1217</v>
          </cell>
          <cell r="E525">
            <v>0</v>
          </cell>
          <cell r="F525">
            <v>0</v>
          </cell>
          <cell r="G525">
            <v>0</v>
          </cell>
          <cell r="H525">
            <v>0</v>
          </cell>
        </row>
        <row r="526">
          <cell r="B526" t="str">
            <v>Drury Inn</v>
          </cell>
          <cell r="C526">
            <v>12</v>
          </cell>
          <cell r="D526">
            <v>1835</v>
          </cell>
          <cell r="E526">
            <v>1</v>
          </cell>
          <cell r="F526">
            <v>362</v>
          </cell>
          <cell r="G526">
            <v>0</v>
          </cell>
          <cell r="H526">
            <v>0</v>
          </cell>
        </row>
        <row r="527">
          <cell r="B527" t="str">
            <v>Hampton Inn</v>
          </cell>
          <cell r="C527">
            <v>9</v>
          </cell>
          <cell r="D527">
            <v>1073</v>
          </cell>
          <cell r="E527">
            <v>0</v>
          </cell>
          <cell r="F527">
            <v>0</v>
          </cell>
          <cell r="G527">
            <v>1</v>
          </cell>
          <cell r="H527">
            <v>84</v>
          </cell>
        </row>
        <row r="528">
          <cell r="B528" t="str">
            <v>Holiday Inn</v>
          </cell>
          <cell r="C528">
            <v>14</v>
          </cell>
          <cell r="D528">
            <v>3040</v>
          </cell>
          <cell r="E528">
            <v>0</v>
          </cell>
          <cell r="F528">
            <v>0</v>
          </cell>
          <cell r="G528">
            <v>0</v>
          </cell>
          <cell r="H528">
            <v>0</v>
          </cell>
        </row>
        <row r="529">
          <cell r="B529" t="str">
            <v>Marriott Hotel</v>
          </cell>
          <cell r="C529">
            <v>3</v>
          </cell>
          <cell r="D529">
            <v>1573</v>
          </cell>
          <cell r="E529">
            <v>0</v>
          </cell>
          <cell r="F529">
            <v>0</v>
          </cell>
          <cell r="G529">
            <v>0</v>
          </cell>
          <cell r="H529">
            <v>0</v>
          </cell>
        </row>
        <row r="530">
          <cell r="B530" t="str">
            <v>Sheraton Hotel</v>
          </cell>
          <cell r="C530">
            <v>4</v>
          </cell>
          <cell r="D530">
            <v>1050</v>
          </cell>
          <cell r="E530">
            <v>0</v>
          </cell>
          <cell r="F530">
            <v>0</v>
          </cell>
          <cell r="G530">
            <v>1</v>
          </cell>
          <cell r="H530">
            <v>288</v>
          </cell>
        </row>
        <row r="531">
          <cell r="B531" t="str">
            <v>Super 8</v>
          </cell>
          <cell r="C531">
            <v>18</v>
          </cell>
          <cell r="D531">
            <v>1041</v>
          </cell>
          <cell r="E531">
            <v>2</v>
          </cell>
          <cell r="F531">
            <v>89</v>
          </cell>
          <cell r="G531">
            <v>0</v>
          </cell>
          <cell r="H531">
            <v>0</v>
          </cell>
        </row>
        <row r="533">
          <cell r="B533" t="str">
            <v>ACCOR</v>
          </cell>
          <cell r="C533">
            <v>15</v>
          </cell>
          <cell r="D533">
            <v>1659</v>
          </cell>
          <cell r="E533">
            <v>1</v>
          </cell>
          <cell r="F533">
            <v>76</v>
          </cell>
          <cell r="G533">
            <v>0</v>
          </cell>
          <cell r="H533">
            <v>0</v>
          </cell>
        </row>
        <row r="534">
          <cell r="B534" t="str">
            <v>Best Western Int'l</v>
          </cell>
          <cell r="C534">
            <v>12</v>
          </cell>
          <cell r="D534">
            <v>1176</v>
          </cell>
          <cell r="E534">
            <v>0</v>
          </cell>
          <cell r="F534">
            <v>0</v>
          </cell>
          <cell r="G534">
            <v>0</v>
          </cell>
          <cell r="H534">
            <v>0</v>
          </cell>
        </row>
        <row r="535">
          <cell r="B535" t="str">
            <v>Cendant</v>
          </cell>
          <cell r="C535">
            <v>49</v>
          </cell>
          <cell r="D535">
            <v>4267</v>
          </cell>
          <cell r="E535">
            <v>2</v>
          </cell>
          <cell r="F535">
            <v>89</v>
          </cell>
          <cell r="G535">
            <v>0</v>
          </cell>
          <cell r="H535">
            <v>0</v>
          </cell>
        </row>
        <row r="536">
          <cell r="B536" t="str">
            <v>Drury Inns Inc.</v>
          </cell>
          <cell r="C536">
            <v>12</v>
          </cell>
          <cell r="D536">
            <v>1835</v>
          </cell>
          <cell r="E536">
            <v>1</v>
          </cell>
          <cell r="F536">
            <v>362</v>
          </cell>
          <cell r="G536">
            <v>0</v>
          </cell>
          <cell r="H536">
            <v>0</v>
          </cell>
        </row>
        <row r="537">
          <cell r="B537" t="str">
            <v>Hilton Hotel Corp.</v>
          </cell>
          <cell r="C537">
            <v>18</v>
          </cell>
          <cell r="D537">
            <v>2753</v>
          </cell>
          <cell r="E537">
            <v>3</v>
          </cell>
          <cell r="F537">
            <v>440</v>
          </cell>
          <cell r="G537">
            <v>1</v>
          </cell>
          <cell r="H537">
            <v>84</v>
          </cell>
        </row>
        <row r="538">
          <cell r="B538" t="str">
            <v>Marriott Int'l</v>
          </cell>
          <cell r="C538">
            <v>21</v>
          </cell>
          <cell r="D538">
            <v>4078</v>
          </cell>
          <cell r="E538">
            <v>0</v>
          </cell>
          <cell r="F538">
            <v>0</v>
          </cell>
          <cell r="G538">
            <v>0</v>
          </cell>
          <cell r="H538">
            <v>0</v>
          </cell>
        </row>
        <row r="539">
          <cell r="B539" t="str">
            <v>Six Continents Hotels</v>
          </cell>
          <cell r="C539">
            <v>23</v>
          </cell>
          <cell r="D539">
            <v>4265</v>
          </cell>
          <cell r="E539">
            <v>0</v>
          </cell>
          <cell r="F539">
            <v>0</v>
          </cell>
          <cell r="G539">
            <v>0</v>
          </cell>
          <cell r="H539">
            <v>0</v>
          </cell>
        </row>
        <row r="540">
          <cell r="B540" t="str">
            <v>Starwood Hotels</v>
          </cell>
          <cell r="C540">
            <v>7</v>
          </cell>
          <cell r="D540">
            <v>1896</v>
          </cell>
          <cell r="E540">
            <v>0</v>
          </cell>
          <cell r="F540">
            <v>0</v>
          </cell>
          <cell r="G540">
            <v>2</v>
          </cell>
          <cell r="H540">
            <v>545</v>
          </cell>
        </row>
        <row r="542">
          <cell r="B542" t="str">
            <v>Economy</v>
          </cell>
          <cell r="C542">
            <v>81</v>
          </cell>
          <cell r="D542">
            <v>7037</v>
          </cell>
        </row>
        <row r="543">
          <cell r="B543" t="str">
            <v>Independent</v>
          </cell>
          <cell r="C543">
            <v>30</v>
          </cell>
          <cell r="D543">
            <v>3300</v>
          </cell>
        </row>
        <row r="544">
          <cell r="B544" t="str">
            <v>Midscale w/ F&amp;B</v>
          </cell>
          <cell r="C544">
            <v>37</v>
          </cell>
          <cell r="D544">
            <v>6332</v>
          </cell>
        </row>
        <row r="545">
          <cell r="B545" t="str">
            <v>Midscale w/o F&amp;B</v>
          </cell>
          <cell r="C545">
            <v>55</v>
          </cell>
          <cell r="D545">
            <v>5990</v>
          </cell>
        </row>
        <row r="546">
          <cell r="B546" t="str">
            <v>Upper Upscale</v>
          </cell>
          <cell r="C546">
            <v>18</v>
          </cell>
          <cell r="D546">
            <v>5389</v>
          </cell>
        </row>
        <row r="547">
          <cell r="B547" t="str">
            <v>Upscale</v>
          </cell>
          <cell r="C547">
            <v>17</v>
          </cell>
          <cell r="D547">
            <v>3694</v>
          </cell>
        </row>
        <row r="550">
          <cell r="B550" t="str">
            <v>Best Western</v>
          </cell>
          <cell r="C550">
            <v>28</v>
          </cell>
          <cell r="D550">
            <v>2705</v>
          </cell>
          <cell r="E550">
            <v>2</v>
          </cell>
          <cell r="F550">
            <v>159</v>
          </cell>
          <cell r="G550">
            <v>0</v>
          </cell>
          <cell r="H550">
            <v>0</v>
          </cell>
        </row>
        <row r="551">
          <cell r="B551" t="str">
            <v>Days Inn</v>
          </cell>
          <cell r="C551">
            <v>15</v>
          </cell>
          <cell r="D551">
            <v>1505</v>
          </cell>
          <cell r="E551">
            <v>0</v>
          </cell>
          <cell r="F551">
            <v>0</v>
          </cell>
          <cell r="G551">
            <v>0</v>
          </cell>
          <cell r="H551">
            <v>0</v>
          </cell>
        </row>
        <row r="552">
          <cell r="B552" t="str">
            <v>Hilton Hotel</v>
          </cell>
          <cell r="C552">
            <v>7</v>
          </cell>
          <cell r="D552">
            <v>1613</v>
          </cell>
          <cell r="E552">
            <v>1</v>
          </cell>
          <cell r="F552">
            <v>252</v>
          </cell>
          <cell r="G552">
            <v>1</v>
          </cell>
          <cell r="H552">
            <v>30</v>
          </cell>
        </row>
        <row r="553">
          <cell r="B553" t="str">
            <v>Holiday Inn</v>
          </cell>
          <cell r="C553">
            <v>10</v>
          </cell>
          <cell r="D553">
            <v>2506</v>
          </cell>
          <cell r="E553">
            <v>0</v>
          </cell>
          <cell r="F553">
            <v>0</v>
          </cell>
          <cell r="G553">
            <v>0</v>
          </cell>
          <cell r="H553">
            <v>0</v>
          </cell>
        </row>
        <row r="554">
          <cell r="B554" t="str">
            <v>Marriott Hotel</v>
          </cell>
          <cell r="C554">
            <v>5</v>
          </cell>
          <cell r="D554">
            <v>2629</v>
          </cell>
          <cell r="E554">
            <v>0</v>
          </cell>
          <cell r="F554">
            <v>0</v>
          </cell>
          <cell r="G554">
            <v>0</v>
          </cell>
          <cell r="H554">
            <v>0</v>
          </cell>
        </row>
        <row r="555">
          <cell r="B555" t="str">
            <v>Motel 6</v>
          </cell>
          <cell r="C555">
            <v>13</v>
          </cell>
          <cell r="D555">
            <v>1722</v>
          </cell>
          <cell r="E555">
            <v>0</v>
          </cell>
          <cell r="F555">
            <v>0</v>
          </cell>
          <cell r="G555">
            <v>0</v>
          </cell>
          <cell r="H555">
            <v>0</v>
          </cell>
        </row>
        <row r="556">
          <cell r="B556" t="str">
            <v>Radisson Hotel</v>
          </cell>
          <cell r="C556">
            <v>4</v>
          </cell>
          <cell r="D556">
            <v>1018</v>
          </cell>
          <cell r="E556">
            <v>0</v>
          </cell>
          <cell r="F556">
            <v>0</v>
          </cell>
          <cell r="G556">
            <v>0</v>
          </cell>
          <cell r="H556">
            <v>0</v>
          </cell>
        </row>
        <row r="557">
          <cell r="B557" t="str">
            <v>Sheraton Hotel</v>
          </cell>
          <cell r="C557">
            <v>1</v>
          </cell>
          <cell r="D557">
            <v>1044</v>
          </cell>
          <cell r="E557">
            <v>0</v>
          </cell>
          <cell r="F557">
            <v>0</v>
          </cell>
          <cell r="G557">
            <v>0</v>
          </cell>
          <cell r="H557">
            <v>0</v>
          </cell>
        </row>
        <row r="559">
          <cell r="B559" t="str">
            <v>ACCOR</v>
          </cell>
          <cell r="C559">
            <v>13</v>
          </cell>
          <cell r="D559">
            <v>1722</v>
          </cell>
          <cell r="E559">
            <v>0</v>
          </cell>
          <cell r="F559">
            <v>0</v>
          </cell>
          <cell r="G559">
            <v>0</v>
          </cell>
          <cell r="H559">
            <v>0</v>
          </cell>
        </row>
        <row r="560">
          <cell r="B560" t="str">
            <v>Best Western Int'l</v>
          </cell>
          <cell r="C560">
            <v>28</v>
          </cell>
          <cell r="D560">
            <v>2705</v>
          </cell>
          <cell r="E560">
            <v>2</v>
          </cell>
          <cell r="F560">
            <v>159</v>
          </cell>
          <cell r="G560">
            <v>0</v>
          </cell>
          <cell r="H560">
            <v>0</v>
          </cell>
        </row>
        <row r="561">
          <cell r="B561" t="str">
            <v>Carlson Hospitality</v>
          </cell>
          <cell r="C561">
            <v>4</v>
          </cell>
          <cell r="D561">
            <v>1018</v>
          </cell>
          <cell r="E561">
            <v>0</v>
          </cell>
          <cell r="F561">
            <v>0</v>
          </cell>
          <cell r="G561">
            <v>0</v>
          </cell>
          <cell r="H561">
            <v>0</v>
          </cell>
        </row>
        <row r="562">
          <cell r="B562" t="str">
            <v>Cendant</v>
          </cell>
          <cell r="C562">
            <v>64</v>
          </cell>
          <cell r="D562">
            <v>5089</v>
          </cell>
          <cell r="E562">
            <v>0</v>
          </cell>
          <cell r="F562">
            <v>0</v>
          </cell>
          <cell r="G562">
            <v>0</v>
          </cell>
          <cell r="H562">
            <v>0</v>
          </cell>
        </row>
        <row r="563">
          <cell r="B563" t="str">
            <v>Hilton Hotel Corp.</v>
          </cell>
          <cell r="C563">
            <v>20</v>
          </cell>
          <cell r="D563">
            <v>4448</v>
          </cell>
          <cell r="E563">
            <v>3</v>
          </cell>
          <cell r="F563">
            <v>542</v>
          </cell>
          <cell r="G563">
            <v>3</v>
          </cell>
          <cell r="H563">
            <v>277</v>
          </cell>
        </row>
        <row r="564">
          <cell r="B564" t="str">
            <v>Marriott Int'l</v>
          </cell>
          <cell r="C564">
            <v>15</v>
          </cell>
          <cell r="D564">
            <v>4231</v>
          </cell>
          <cell r="E564">
            <v>1</v>
          </cell>
          <cell r="F564">
            <v>145</v>
          </cell>
          <cell r="G564">
            <v>0</v>
          </cell>
          <cell r="H564">
            <v>0</v>
          </cell>
        </row>
        <row r="565">
          <cell r="B565" t="str">
            <v>Six Continents Hotels</v>
          </cell>
          <cell r="C565">
            <v>20</v>
          </cell>
          <cell r="D565">
            <v>3380</v>
          </cell>
          <cell r="E565">
            <v>1</v>
          </cell>
          <cell r="F565">
            <v>80</v>
          </cell>
          <cell r="G565">
            <v>0</v>
          </cell>
          <cell r="H565">
            <v>0</v>
          </cell>
        </row>
        <row r="566">
          <cell r="B566" t="str">
            <v>Starwood Hotels</v>
          </cell>
          <cell r="C566">
            <v>5</v>
          </cell>
          <cell r="D566">
            <v>2274</v>
          </cell>
          <cell r="E566">
            <v>0</v>
          </cell>
          <cell r="F566">
            <v>0</v>
          </cell>
          <cell r="G566">
            <v>0</v>
          </cell>
          <cell r="H566">
            <v>0</v>
          </cell>
        </row>
        <row r="568">
          <cell r="B568" t="str">
            <v>Economy</v>
          </cell>
          <cell r="C568">
            <v>104</v>
          </cell>
          <cell r="D568">
            <v>9029</v>
          </cell>
        </row>
        <row r="569">
          <cell r="B569" t="str">
            <v>Independent</v>
          </cell>
          <cell r="C569">
            <v>185</v>
          </cell>
          <cell r="D569">
            <v>17533</v>
          </cell>
        </row>
        <row r="570">
          <cell r="B570" t="str">
            <v>Midscale w/ F&amp;B</v>
          </cell>
          <cell r="C570">
            <v>57</v>
          </cell>
          <cell r="D570">
            <v>7762</v>
          </cell>
        </row>
        <row r="571">
          <cell r="B571" t="str">
            <v>Midscale w/o F&amp;B</v>
          </cell>
          <cell r="C571">
            <v>27</v>
          </cell>
          <cell r="D571">
            <v>2864</v>
          </cell>
        </row>
        <row r="572">
          <cell r="B572" t="str">
            <v>Upper Upscale</v>
          </cell>
          <cell r="C572">
            <v>24</v>
          </cell>
          <cell r="D572">
            <v>9502</v>
          </cell>
        </row>
        <row r="573">
          <cell r="B573" t="str">
            <v>Upscale</v>
          </cell>
          <cell r="C573">
            <v>23</v>
          </cell>
          <cell r="D573">
            <v>4361</v>
          </cell>
        </row>
        <row r="576">
          <cell r="B576" t="str">
            <v>Best Western</v>
          </cell>
          <cell r="C576">
            <v>16</v>
          </cell>
          <cell r="D576">
            <v>1894</v>
          </cell>
          <cell r="E576">
            <v>0</v>
          </cell>
          <cell r="F576">
            <v>0</v>
          </cell>
          <cell r="G576">
            <v>0</v>
          </cell>
          <cell r="H576">
            <v>0</v>
          </cell>
        </row>
        <row r="577">
          <cell r="B577" t="str">
            <v>Hilton Hotel</v>
          </cell>
          <cell r="C577">
            <v>3</v>
          </cell>
          <cell r="D577">
            <v>2364</v>
          </cell>
          <cell r="E577">
            <v>0</v>
          </cell>
          <cell r="F577">
            <v>0</v>
          </cell>
          <cell r="G577">
            <v>0</v>
          </cell>
          <cell r="H577">
            <v>0</v>
          </cell>
        </row>
        <row r="578">
          <cell r="B578" t="str">
            <v>Holiday Inn</v>
          </cell>
          <cell r="C578">
            <v>6</v>
          </cell>
          <cell r="D578">
            <v>2369</v>
          </cell>
          <cell r="E578">
            <v>0</v>
          </cell>
          <cell r="F578">
            <v>0</v>
          </cell>
          <cell r="G578">
            <v>0</v>
          </cell>
          <cell r="H578">
            <v>0</v>
          </cell>
        </row>
        <row r="579">
          <cell r="B579" t="str">
            <v>Hyatt Hotel</v>
          </cell>
          <cell r="C579">
            <v>5</v>
          </cell>
          <cell r="D579">
            <v>2956</v>
          </cell>
          <cell r="E579">
            <v>0</v>
          </cell>
          <cell r="F579">
            <v>0</v>
          </cell>
          <cell r="G579">
            <v>0</v>
          </cell>
          <cell r="H579">
            <v>0</v>
          </cell>
        </row>
        <row r="580">
          <cell r="B580" t="str">
            <v>Marriott Hotel</v>
          </cell>
          <cell r="C580">
            <v>4</v>
          </cell>
          <cell r="D580">
            <v>2797</v>
          </cell>
          <cell r="E580">
            <v>1</v>
          </cell>
          <cell r="F580">
            <v>163</v>
          </cell>
          <cell r="G580">
            <v>0</v>
          </cell>
          <cell r="H580">
            <v>0</v>
          </cell>
        </row>
        <row r="581">
          <cell r="B581" t="str">
            <v>Renaissance Hotel</v>
          </cell>
          <cell r="C581">
            <v>2</v>
          </cell>
          <cell r="D581">
            <v>1401</v>
          </cell>
          <cell r="E581">
            <v>0</v>
          </cell>
          <cell r="F581">
            <v>0</v>
          </cell>
          <cell r="G581">
            <v>0</v>
          </cell>
          <cell r="H581">
            <v>0</v>
          </cell>
        </row>
        <row r="582">
          <cell r="B582" t="str">
            <v>Sheraton Hotel</v>
          </cell>
          <cell r="C582">
            <v>3</v>
          </cell>
          <cell r="D582">
            <v>1480</v>
          </cell>
          <cell r="E582">
            <v>0</v>
          </cell>
          <cell r="F582">
            <v>0</v>
          </cell>
          <cell r="G582">
            <v>0</v>
          </cell>
          <cell r="H582">
            <v>0</v>
          </cell>
        </row>
        <row r="583">
          <cell r="B583" t="str">
            <v>Westin  Hotel</v>
          </cell>
          <cell r="C583">
            <v>2</v>
          </cell>
          <cell r="D583">
            <v>1577</v>
          </cell>
          <cell r="E583">
            <v>0</v>
          </cell>
          <cell r="F583">
            <v>0</v>
          </cell>
          <cell r="G583">
            <v>0</v>
          </cell>
          <cell r="H583">
            <v>0</v>
          </cell>
        </row>
        <row r="585">
          <cell r="B585" t="str">
            <v>Best Western Int'l</v>
          </cell>
          <cell r="C585">
            <v>16</v>
          </cell>
          <cell r="D585">
            <v>1894</v>
          </cell>
          <cell r="E585">
            <v>0</v>
          </cell>
          <cell r="F585">
            <v>0</v>
          </cell>
          <cell r="G585">
            <v>0</v>
          </cell>
          <cell r="H585">
            <v>0</v>
          </cell>
        </row>
        <row r="586">
          <cell r="B586" t="str">
            <v>Cendant</v>
          </cell>
          <cell r="C586">
            <v>43</v>
          </cell>
          <cell r="D586">
            <v>3326</v>
          </cell>
          <cell r="E586">
            <v>1</v>
          </cell>
          <cell r="F586">
            <v>48</v>
          </cell>
          <cell r="G586">
            <v>0</v>
          </cell>
          <cell r="H586">
            <v>0</v>
          </cell>
        </row>
        <row r="587">
          <cell r="B587" t="str">
            <v>Choice Hotels</v>
          </cell>
          <cell r="C587">
            <v>15</v>
          </cell>
          <cell r="D587">
            <v>1514</v>
          </cell>
          <cell r="E587">
            <v>0</v>
          </cell>
          <cell r="F587">
            <v>0</v>
          </cell>
          <cell r="G587">
            <v>0</v>
          </cell>
          <cell r="H587">
            <v>0</v>
          </cell>
        </row>
        <row r="588">
          <cell r="B588" t="str">
            <v>Hilton Hotel Corp.</v>
          </cell>
          <cell r="C588">
            <v>12</v>
          </cell>
          <cell r="D588">
            <v>4257</v>
          </cell>
          <cell r="E588">
            <v>1</v>
          </cell>
          <cell r="F588">
            <v>132</v>
          </cell>
          <cell r="G588">
            <v>1</v>
          </cell>
          <cell r="H588">
            <v>61</v>
          </cell>
        </row>
        <row r="589">
          <cell r="B589" t="str">
            <v>Hyatt Hotel Corp.</v>
          </cell>
          <cell r="C589">
            <v>5</v>
          </cell>
          <cell r="D589">
            <v>2956</v>
          </cell>
          <cell r="E589">
            <v>0</v>
          </cell>
          <cell r="F589">
            <v>0</v>
          </cell>
          <cell r="G589">
            <v>0</v>
          </cell>
          <cell r="H589">
            <v>0</v>
          </cell>
        </row>
        <row r="590">
          <cell r="B590" t="str">
            <v>Marriott Int'l</v>
          </cell>
          <cell r="C590">
            <v>17</v>
          </cell>
          <cell r="D590">
            <v>6157</v>
          </cell>
          <cell r="E590">
            <v>2</v>
          </cell>
          <cell r="F590">
            <v>361</v>
          </cell>
          <cell r="G590">
            <v>2</v>
          </cell>
          <cell r="H590">
            <v>413</v>
          </cell>
        </row>
        <row r="591">
          <cell r="B591" t="str">
            <v>Six Continents Hotels</v>
          </cell>
          <cell r="C591">
            <v>16</v>
          </cell>
          <cell r="D591">
            <v>4195</v>
          </cell>
          <cell r="E591">
            <v>0</v>
          </cell>
          <cell r="F591">
            <v>0</v>
          </cell>
          <cell r="G591">
            <v>1</v>
          </cell>
          <cell r="H591">
            <v>252</v>
          </cell>
        </row>
        <row r="592">
          <cell r="B592" t="str">
            <v>Starwood Hotels</v>
          </cell>
          <cell r="C592">
            <v>8</v>
          </cell>
          <cell r="D592">
            <v>3815</v>
          </cell>
          <cell r="E592">
            <v>0</v>
          </cell>
          <cell r="F592">
            <v>0</v>
          </cell>
          <cell r="G592">
            <v>1</v>
          </cell>
          <cell r="H592">
            <v>100</v>
          </cell>
        </row>
        <row r="594">
          <cell r="B594" t="str">
            <v>Economy</v>
          </cell>
          <cell r="C594">
            <v>53</v>
          </cell>
          <cell r="D594">
            <v>3464</v>
          </cell>
        </row>
        <row r="595">
          <cell r="B595" t="str">
            <v>Independent</v>
          </cell>
          <cell r="C595">
            <v>197</v>
          </cell>
          <cell r="D595">
            <v>17256</v>
          </cell>
        </row>
        <row r="596">
          <cell r="B596" t="str">
            <v>Midscale w/ F&amp;B</v>
          </cell>
          <cell r="C596">
            <v>37</v>
          </cell>
          <cell r="D596">
            <v>6754</v>
          </cell>
        </row>
        <row r="597">
          <cell r="B597" t="str">
            <v>Midscale w/o F&amp;B</v>
          </cell>
          <cell r="C597">
            <v>15</v>
          </cell>
          <cell r="D597">
            <v>1516</v>
          </cell>
        </row>
        <row r="598">
          <cell r="B598" t="str">
            <v>Upper Upscale</v>
          </cell>
          <cell r="C598">
            <v>33</v>
          </cell>
          <cell r="D598">
            <v>16994</v>
          </cell>
        </row>
        <row r="599">
          <cell r="B599" t="str">
            <v>Upscale</v>
          </cell>
          <cell r="C599">
            <v>19</v>
          </cell>
          <cell r="D599">
            <v>3950</v>
          </cell>
        </row>
        <row r="602">
          <cell r="B602" t="str">
            <v>Best Western</v>
          </cell>
          <cell r="C602">
            <v>21</v>
          </cell>
          <cell r="D602">
            <v>2138</v>
          </cell>
          <cell r="E602">
            <v>0</v>
          </cell>
          <cell r="F602">
            <v>0</v>
          </cell>
          <cell r="G602">
            <v>0</v>
          </cell>
          <cell r="H602">
            <v>0</v>
          </cell>
        </row>
        <row r="603">
          <cell r="B603" t="str">
            <v>Courtyard by Marriott</v>
          </cell>
          <cell r="C603">
            <v>6</v>
          </cell>
          <cell r="D603">
            <v>1086</v>
          </cell>
          <cell r="E603">
            <v>1</v>
          </cell>
          <cell r="F603">
            <v>160</v>
          </cell>
          <cell r="G603">
            <v>0</v>
          </cell>
          <cell r="H603">
            <v>0</v>
          </cell>
        </row>
        <row r="604">
          <cell r="B604" t="str">
            <v>Doubletree Hotel</v>
          </cell>
          <cell r="C604">
            <v>3</v>
          </cell>
          <cell r="D604">
            <v>1411</v>
          </cell>
          <cell r="E604">
            <v>0</v>
          </cell>
          <cell r="F604">
            <v>0</v>
          </cell>
          <cell r="G604">
            <v>0</v>
          </cell>
          <cell r="H604">
            <v>0</v>
          </cell>
        </row>
        <row r="605">
          <cell r="B605" t="str">
            <v>Holiday Inn</v>
          </cell>
          <cell r="C605">
            <v>6</v>
          </cell>
          <cell r="D605">
            <v>1243</v>
          </cell>
          <cell r="E605">
            <v>0</v>
          </cell>
          <cell r="F605">
            <v>0</v>
          </cell>
          <cell r="G605">
            <v>1</v>
          </cell>
          <cell r="H605">
            <v>200</v>
          </cell>
        </row>
        <row r="606">
          <cell r="B606" t="str">
            <v>Residence Inn</v>
          </cell>
          <cell r="C606">
            <v>6</v>
          </cell>
          <cell r="D606">
            <v>918</v>
          </cell>
          <cell r="E606">
            <v>0</v>
          </cell>
          <cell r="F606">
            <v>0</v>
          </cell>
          <cell r="G606">
            <v>0</v>
          </cell>
          <cell r="H606">
            <v>0</v>
          </cell>
        </row>
        <row r="607">
          <cell r="B607" t="str">
            <v>Sheraton Hotel</v>
          </cell>
          <cell r="C607">
            <v>2</v>
          </cell>
          <cell r="D607">
            <v>1680</v>
          </cell>
          <cell r="E607">
            <v>0</v>
          </cell>
          <cell r="F607">
            <v>0</v>
          </cell>
          <cell r="G607">
            <v>0</v>
          </cell>
          <cell r="H607">
            <v>0</v>
          </cell>
        </row>
        <row r="608">
          <cell r="B608" t="str">
            <v>Travelodge</v>
          </cell>
          <cell r="C608">
            <v>14</v>
          </cell>
          <cell r="D608">
            <v>958</v>
          </cell>
          <cell r="E608">
            <v>1</v>
          </cell>
          <cell r="F608">
            <v>50</v>
          </cell>
          <cell r="G608">
            <v>0</v>
          </cell>
          <cell r="H608">
            <v>0</v>
          </cell>
        </row>
        <row r="609">
          <cell r="B609" t="str">
            <v>WestCoast</v>
          </cell>
          <cell r="C609">
            <v>7</v>
          </cell>
          <cell r="D609">
            <v>1221</v>
          </cell>
          <cell r="E609">
            <v>0</v>
          </cell>
          <cell r="F609">
            <v>0</v>
          </cell>
          <cell r="G609">
            <v>0</v>
          </cell>
          <cell r="H609">
            <v>0</v>
          </cell>
        </row>
        <row r="611">
          <cell r="B611" t="str">
            <v>Best Western Int'l</v>
          </cell>
          <cell r="C611">
            <v>21</v>
          </cell>
          <cell r="D611">
            <v>2138</v>
          </cell>
          <cell r="E611">
            <v>0</v>
          </cell>
          <cell r="F611">
            <v>0</v>
          </cell>
          <cell r="G611">
            <v>0</v>
          </cell>
          <cell r="H611">
            <v>0</v>
          </cell>
        </row>
        <row r="612">
          <cell r="B612" t="str">
            <v>Cendant</v>
          </cell>
          <cell r="C612">
            <v>36</v>
          </cell>
          <cell r="D612">
            <v>2955</v>
          </cell>
          <cell r="E612">
            <v>1</v>
          </cell>
          <cell r="F612">
            <v>50</v>
          </cell>
          <cell r="G612">
            <v>1</v>
          </cell>
          <cell r="H612">
            <v>156</v>
          </cell>
        </row>
        <row r="613">
          <cell r="B613" t="str">
            <v>Choice Hotels</v>
          </cell>
          <cell r="C613">
            <v>15</v>
          </cell>
          <cell r="D613">
            <v>1508</v>
          </cell>
          <cell r="E613">
            <v>0</v>
          </cell>
          <cell r="F613">
            <v>0</v>
          </cell>
          <cell r="G613">
            <v>0</v>
          </cell>
          <cell r="H613">
            <v>0</v>
          </cell>
        </row>
        <row r="614">
          <cell r="B614" t="str">
            <v>Hilton Hotel Corp.</v>
          </cell>
          <cell r="C614">
            <v>19</v>
          </cell>
          <cell r="D614">
            <v>4265</v>
          </cell>
          <cell r="E614">
            <v>1</v>
          </cell>
          <cell r="F614">
            <v>131</v>
          </cell>
          <cell r="G614">
            <v>1</v>
          </cell>
          <cell r="H614">
            <v>265</v>
          </cell>
        </row>
        <row r="615">
          <cell r="B615" t="str">
            <v>Marriott Int'l</v>
          </cell>
          <cell r="C615">
            <v>21</v>
          </cell>
          <cell r="D615">
            <v>3833</v>
          </cell>
          <cell r="E615">
            <v>3</v>
          </cell>
          <cell r="F615">
            <v>409</v>
          </cell>
          <cell r="G615">
            <v>0</v>
          </cell>
          <cell r="H615">
            <v>0</v>
          </cell>
        </row>
        <row r="616">
          <cell r="B616" t="str">
            <v>Six Continents Hotels</v>
          </cell>
          <cell r="C616">
            <v>13</v>
          </cell>
          <cell r="D616">
            <v>2126</v>
          </cell>
          <cell r="E616">
            <v>1</v>
          </cell>
          <cell r="F616">
            <v>80</v>
          </cell>
          <cell r="G616">
            <v>1</v>
          </cell>
          <cell r="H616">
            <v>200</v>
          </cell>
        </row>
        <row r="617">
          <cell r="B617" t="str">
            <v>Starwood Hotels</v>
          </cell>
          <cell r="C617">
            <v>4</v>
          </cell>
          <cell r="D617">
            <v>2971</v>
          </cell>
          <cell r="E617">
            <v>0</v>
          </cell>
          <cell r="F617">
            <v>0</v>
          </cell>
          <cell r="G617">
            <v>0</v>
          </cell>
          <cell r="H617">
            <v>0</v>
          </cell>
        </row>
        <row r="618">
          <cell r="B618" t="str">
            <v>WestCoast Hotels</v>
          </cell>
          <cell r="C618">
            <v>7</v>
          </cell>
          <cell r="D618">
            <v>1221</v>
          </cell>
          <cell r="E618">
            <v>0</v>
          </cell>
          <cell r="F618">
            <v>0</v>
          </cell>
          <cell r="G618">
            <v>0</v>
          </cell>
          <cell r="H618">
            <v>0</v>
          </cell>
        </row>
        <row r="620">
          <cell r="B620" t="str">
            <v>Economy</v>
          </cell>
          <cell r="C620">
            <v>61</v>
          </cell>
          <cell r="D620">
            <v>5262</v>
          </cell>
        </row>
        <row r="621">
          <cell r="B621" t="str">
            <v>Independent</v>
          </cell>
          <cell r="C621">
            <v>111</v>
          </cell>
          <cell r="D621">
            <v>7718</v>
          </cell>
        </row>
        <row r="622">
          <cell r="B622" t="str">
            <v>Midscale w/ F&amp;B</v>
          </cell>
          <cell r="C622">
            <v>42</v>
          </cell>
          <cell r="D622">
            <v>5706</v>
          </cell>
        </row>
        <row r="623">
          <cell r="B623" t="str">
            <v>Midscale w/o F&amp;B</v>
          </cell>
          <cell r="C623">
            <v>30</v>
          </cell>
          <cell r="D623">
            <v>3484</v>
          </cell>
        </row>
        <row r="624">
          <cell r="B624" t="str">
            <v>Upper Upscale</v>
          </cell>
          <cell r="C624">
            <v>18</v>
          </cell>
          <cell r="D624">
            <v>7123</v>
          </cell>
        </row>
        <row r="625">
          <cell r="B625" t="str">
            <v>Upscale</v>
          </cell>
          <cell r="C625">
            <v>27</v>
          </cell>
          <cell r="D625">
            <v>5529</v>
          </cell>
        </row>
        <row r="628">
          <cell r="B628" t="str">
            <v>Best Western</v>
          </cell>
          <cell r="C628">
            <v>17</v>
          </cell>
          <cell r="D628">
            <v>1742</v>
          </cell>
          <cell r="E628">
            <v>0</v>
          </cell>
          <cell r="F628">
            <v>0</v>
          </cell>
          <cell r="G628">
            <v>0</v>
          </cell>
          <cell r="H628">
            <v>0</v>
          </cell>
        </row>
        <row r="629">
          <cell r="B629" t="str">
            <v>Days Inn</v>
          </cell>
          <cell r="C629">
            <v>16</v>
          </cell>
          <cell r="D629">
            <v>2361</v>
          </cell>
          <cell r="E629">
            <v>0</v>
          </cell>
          <cell r="F629">
            <v>0</v>
          </cell>
          <cell r="G629">
            <v>0</v>
          </cell>
          <cell r="H629">
            <v>0</v>
          </cell>
        </row>
        <row r="630">
          <cell r="B630" t="str">
            <v>Hampton Inn</v>
          </cell>
          <cell r="C630">
            <v>10</v>
          </cell>
          <cell r="D630">
            <v>1019</v>
          </cell>
          <cell r="E630">
            <v>1</v>
          </cell>
          <cell r="F630">
            <v>130</v>
          </cell>
          <cell r="G630">
            <v>1</v>
          </cell>
          <cell r="H630">
            <v>86</v>
          </cell>
        </row>
        <row r="631">
          <cell r="B631" t="str">
            <v>Hilton Hotel</v>
          </cell>
          <cell r="C631">
            <v>4</v>
          </cell>
          <cell r="D631">
            <v>1121</v>
          </cell>
          <cell r="E631">
            <v>0</v>
          </cell>
          <cell r="F631">
            <v>0</v>
          </cell>
          <cell r="G631">
            <v>0</v>
          </cell>
          <cell r="H631">
            <v>0</v>
          </cell>
        </row>
        <row r="632">
          <cell r="B632" t="str">
            <v>Holiday Inn</v>
          </cell>
          <cell r="C632">
            <v>8</v>
          </cell>
          <cell r="D632">
            <v>1524</v>
          </cell>
          <cell r="E632">
            <v>0</v>
          </cell>
          <cell r="F632">
            <v>0</v>
          </cell>
          <cell r="G632">
            <v>0</v>
          </cell>
          <cell r="H632">
            <v>0</v>
          </cell>
        </row>
        <row r="633">
          <cell r="B633" t="str">
            <v>Marriott Hotel</v>
          </cell>
          <cell r="C633">
            <v>3</v>
          </cell>
          <cell r="D633">
            <v>1312</v>
          </cell>
          <cell r="E633">
            <v>1</v>
          </cell>
          <cell r="F633">
            <v>717</v>
          </cell>
          <cell r="G633">
            <v>0</v>
          </cell>
          <cell r="H633">
            <v>0</v>
          </cell>
        </row>
        <row r="634">
          <cell r="B634" t="str">
            <v>Ramada Inn</v>
          </cell>
          <cell r="C634">
            <v>9</v>
          </cell>
          <cell r="D634">
            <v>1605</v>
          </cell>
          <cell r="E634">
            <v>0</v>
          </cell>
          <cell r="F634">
            <v>0</v>
          </cell>
          <cell r="G634">
            <v>0</v>
          </cell>
          <cell r="H634">
            <v>0</v>
          </cell>
        </row>
        <row r="635">
          <cell r="B635" t="str">
            <v>Sheraton Hotel</v>
          </cell>
          <cell r="C635">
            <v>3</v>
          </cell>
          <cell r="D635">
            <v>974</v>
          </cell>
          <cell r="E635">
            <v>0</v>
          </cell>
          <cell r="F635">
            <v>0</v>
          </cell>
          <cell r="G635">
            <v>0</v>
          </cell>
          <cell r="H635">
            <v>0</v>
          </cell>
        </row>
        <row r="637">
          <cell r="B637" t="str">
            <v>Best Western Int'l</v>
          </cell>
          <cell r="C637">
            <v>17</v>
          </cell>
          <cell r="D637">
            <v>1742</v>
          </cell>
          <cell r="E637">
            <v>0</v>
          </cell>
          <cell r="F637">
            <v>0</v>
          </cell>
          <cell r="G637">
            <v>0</v>
          </cell>
          <cell r="H637">
            <v>0</v>
          </cell>
        </row>
        <row r="638">
          <cell r="B638" t="str">
            <v>Cendant</v>
          </cell>
          <cell r="C638">
            <v>52</v>
          </cell>
          <cell r="D638">
            <v>6605</v>
          </cell>
          <cell r="E638">
            <v>0</v>
          </cell>
          <cell r="F638">
            <v>0</v>
          </cell>
          <cell r="G638">
            <v>0</v>
          </cell>
          <cell r="H638">
            <v>0</v>
          </cell>
        </row>
        <row r="639">
          <cell r="B639" t="str">
            <v>Choice Hotels</v>
          </cell>
          <cell r="C639">
            <v>22</v>
          </cell>
          <cell r="D639">
            <v>2093</v>
          </cell>
          <cell r="E639">
            <v>0</v>
          </cell>
          <cell r="F639">
            <v>0</v>
          </cell>
          <cell r="G639">
            <v>0</v>
          </cell>
          <cell r="H639">
            <v>0</v>
          </cell>
        </row>
        <row r="640">
          <cell r="B640" t="str">
            <v>Hilton Hotel Corp.</v>
          </cell>
          <cell r="C640">
            <v>23</v>
          </cell>
          <cell r="D640">
            <v>3920</v>
          </cell>
          <cell r="E640">
            <v>2</v>
          </cell>
          <cell r="F640">
            <v>280</v>
          </cell>
          <cell r="G640">
            <v>1</v>
          </cell>
          <cell r="H640">
            <v>86</v>
          </cell>
        </row>
        <row r="641">
          <cell r="B641" t="str">
            <v>Hyatt Hotel Corp.</v>
          </cell>
          <cell r="C641">
            <v>2</v>
          </cell>
          <cell r="D641">
            <v>966</v>
          </cell>
          <cell r="E641">
            <v>0</v>
          </cell>
          <cell r="F641">
            <v>0</v>
          </cell>
          <cell r="G641">
            <v>0</v>
          </cell>
          <cell r="H641">
            <v>0</v>
          </cell>
        </row>
        <row r="642">
          <cell r="B642" t="str">
            <v>Marriott Int'l</v>
          </cell>
          <cell r="C642">
            <v>20</v>
          </cell>
          <cell r="D642">
            <v>3375</v>
          </cell>
          <cell r="E642">
            <v>2</v>
          </cell>
          <cell r="F642">
            <v>826</v>
          </cell>
          <cell r="G642">
            <v>0</v>
          </cell>
          <cell r="H642">
            <v>0</v>
          </cell>
        </row>
        <row r="643">
          <cell r="B643" t="str">
            <v>Six Continents Hotels</v>
          </cell>
          <cell r="C643">
            <v>23</v>
          </cell>
          <cell r="D643">
            <v>3808</v>
          </cell>
          <cell r="E643">
            <v>1</v>
          </cell>
          <cell r="F643">
            <v>70</v>
          </cell>
          <cell r="G643">
            <v>1</v>
          </cell>
          <cell r="H643">
            <v>82</v>
          </cell>
        </row>
        <row r="644">
          <cell r="B644" t="str">
            <v>Starwood Hotels</v>
          </cell>
          <cell r="C644">
            <v>5</v>
          </cell>
          <cell r="D644">
            <v>1923</v>
          </cell>
          <cell r="E644">
            <v>0</v>
          </cell>
          <cell r="F644">
            <v>0</v>
          </cell>
          <cell r="G644">
            <v>0</v>
          </cell>
          <cell r="H644">
            <v>0</v>
          </cell>
        </row>
        <row r="646">
          <cell r="B646" t="str">
            <v>Economy</v>
          </cell>
          <cell r="C646">
            <v>66</v>
          </cell>
          <cell r="D646">
            <v>7385</v>
          </cell>
        </row>
        <row r="647">
          <cell r="B647" t="str">
            <v>Independent</v>
          </cell>
          <cell r="C647">
            <v>136</v>
          </cell>
          <cell r="D647">
            <v>10495</v>
          </cell>
        </row>
        <row r="648">
          <cell r="B648" t="str">
            <v>Midscale w/ F&amp;B</v>
          </cell>
          <cell r="C648">
            <v>46</v>
          </cell>
          <cell r="D648">
            <v>6553</v>
          </cell>
        </row>
        <row r="649">
          <cell r="B649" t="str">
            <v>Midscale w/o F&amp;B</v>
          </cell>
          <cell r="C649">
            <v>53</v>
          </cell>
          <cell r="D649">
            <v>5149</v>
          </cell>
        </row>
        <row r="650">
          <cell r="B650" t="str">
            <v>Upper Upscale</v>
          </cell>
          <cell r="C650">
            <v>20</v>
          </cell>
          <cell r="D650">
            <v>7013</v>
          </cell>
        </row>
        <row r="651">
          <cell r="B651" t="str">
            <v>Upscale</v>
          </cell>
          <cell r="C651">
            <v>27</v>
          </cell>
          <cell r="D651">
            <v>4391</v>
          </cell>
        </row>
        <row r="654">
          <cell r="B654" t="str">
            <v>Best Western</v>
          </cell>
          <cell r="C654">
            <v>24</v>
          </cell>
          <cell r="D654">
            <v>3460</v>
          </cell>
          <cell r="E654">
            <v>0</v>
          </cell>
          <cell r="F654">
            <v>0</v>
          </cell>
          <cell r="G654">
            <v>0</v>
          </cell>
          <cell r="H654">
            <v>0</v>
          </cell>
        </row>
        <row r="655">
          <cell r="B655" t="str">
            <v>Comfort Inn</v>
          </cell>
          <cell r="C655">
            <v>18</v>
          </cell>
          <cell r="D655">
            <v>2353</v>
          </cell>
          <cell r="E655">
            <v>0</v>
          </cell>
          <cell r="F655">
            <v>0</v>
          </cell>
          <cell r="G655">
            <v>0</v>
          </cell>
          <cell r="H655">
            <v>0</v>
          </cell>
        </row>
        <row r="656">
          <cell r="B656" t="str">
            <v>Courtyard by Marriott</v>
          </cell>
          <cell r="C656">
            <v>18</v>
          </cell>
          <cell r="D656">
            <v>2973</v>
          </cell>
          <cell r="E656">
            <v>1</v>
          </cell>
          <cell r="F656">
            <v>229</v>
          </cell>
          <cell r="G656">
            <v>1</v>
          </cell>
          <cell r="H656">
            <v>157</v>
          </cell>
        </row>
        <row r="657">
          <cell r="B657" t="str">
            <v>Days Inn</v>
          </cell>
          <cell r="C657">
            <v>19</v>
          </cell>
          <cell r="D657">
            <v>2707</v>
          </cell>
          <cell r="E657">
            <v>0</v>
          </cell>
          <cell r="F657">
            <v>0</v>
          </cell>
          <cell r="G657">
            <v>0</v>
          </cell>
          <cell r="H657">
            <v>0</v>
          </cell>
        </row>
        <row r="658">
          <cell r="B658" t="str">
            <v>Hilton Hotel</v>
          </cell>
          <cell r="C658">
            <v>10</v>
          </cell>
          <cell r="D658">
            <v>4247</v>
          </cell>
          <cell r="E658">
            <v>1</v>
          </cell>
          <cell r="F658">
            <v>241</v>
          </cell>
          <cell r="G658">
            <v>0</v>
          </cell>
          <cell r="H658">
            <v>0</v>
          </cell>
        </row>
        <row r="659">
          <cell r="B659" t="str">
            <v>Holiday Inn</v>
          </cell>
          <cell r="C659">
            <v>22</v>
          </cell>
          <cell r="D659">
            <v>5347</v>
          </cell>
          <cell r="E659">
            <v>0</v>
          </cell>
          <cell r="F659">
            <v>0</v>
          </cell>
          <cell r="G659">
            <v>0</v>
          </cell>
          <cell r="H659">
            <v>0</v>
          </cell>
        </row>
        <row r="660">
          <cell r="B660" t="str">
            <v>Hyatt Hotel</v>
          </cell>
          <cell r="C660">
            <v>9</v>
          </cell>
          <cell r="D660">
            <v>4465</v>
          </cell>
          <cell r="E660">
            <v>0</v>
          </cell>
          <cell r="F660">
            <v>0</v>
          </cell>
          <cell r="G660">
            <v>0</v>
          </cell>
          <cell r="H660">
            <v>0</v>
          </cell>
        </row>
        <row r="661">
          <cell r="B661" t="str">
            <v>Marriott Hotel</v>
          </cell>
          <cell r="C661">
            <v>18</v>
          </cell>
          <cell r="D661">
            <v>8007</v>
          </cell>
          <cell r="E661">
            <v>0</v>
          </cell>
          <cell r="F661">
            <v>0</v>
          </cell>
          <cell r="G661">
            <v>0</v>
          </cell>
          <cell r="H661">
            <v>0</v>
          </cell>
        </row>
        <row r="663">
          <cell r="B663" t="str">
            <v>Best Western Int'l</v>
          </cell>
          <cell r="C663">
            <v>24</v>
          </cell>
          <cell r="D663">
            <v>3460</v>
          </cell>
          <cell r="E663">
            <v>0</v>
          </cell>
          <cell r="F663">
            <v>0</v>
          </cell>
          <cell r="G663">
            <v>0</v>
          </cell>
          <cell r="H663">
            <v>0</v>
          </cell>
        </row>
        <row r="664">
          <cell r="B664" t="str">
            <v>Cendant</v>
          </cell>
          <cell r="C664">
            <v>48</v>
          </cell>
          <cell r="D664">
            <v>5584</v>
          </cell>
          <cell r="E664">
            <v>0</v>
          </cell>
          <cell r="F664">
            <v>0</v>
          </cell>
          <cell r="G664">
            <v>0</v>
          </cell>
          <cell r="H664">
            <v>0</v>
          </cell>
        </row>
        <row r="665">
          <cell r="B665" t="str">
            <v>Choice Hotels</v>
          </cell>
          <cell r="C665">
            <v>50</v>
          </cell>
          <cell r="D665">
            <v>5730</v>
          </cell>
          <cell r="E665">
            <v>3</v>
          </cell>
          <cell r="F665">
            <v>225</v>
          </cell>
          <cell r="G665">
            <v>4</v>
          </cell>
          <cell r="H665">
            <v>354</v>
          </cell>
        </row>
        <row r="666">
          <cell r="B666" t="str">
            <v>Hilton Hotel Corp.</v>
          </cell>
          <cell r="C666">
            <v>45</v>
          </cell>
          <cell r="D666">
            <v>10478</v>
          </cell>
          <cell r="E666">
            <v>7</v>
          </cell>
          <cell r="F666">
            <v>1036</v>
          </cell>
          <cell r="G666">
            <v>2</v>
          </cell>
          <cell r="H666">
            <v>255</v>
          </cell>
        </row>
        <row r="667">
          <cell r="B667" t="str">
            <v>Hyatt Hotel Corp.</v>
          </cell>
          <cell r="C667">
            <v>9</v>
          </cell>
          <cell r="D667">
            <v>4465</v>
          </cell>
          <cell r="E667">
            <v>0</v>
          </cell>
          <cell r="F667">
            <v>0</v>
          </cell>
          <cell r="G667">
            <v>0</v>
          </cell>
          <cell r="H667">
            <v>0</v>
          </cell>
        </row>
        <row r="668">
          <cell r="B668" t="str">
            <v>Marriott Int'l</v>
          </cell>
          <cell r="C668">
            <v>67</v>
          </cell>
          <cell r="D668">
            <v>16919</v>
          </cell>
          <cell r="E668">
            <v>6</v>
          </cell>
          <cell r="F668">
            <v>1093</v>
          </cell>
          <cell r="G668">
            <v>3</v>
          </cell>
          <cell r="H668">
            <v>364</v>
          </cell>
        </row>
        <row r="669">
          <cell r="B669" t="str">
            <v>Six Continents Hotels</v>
          </cell>
          <cell r="C669">
            <v>34</v>
          </cell>
          <cell r="D669">
            <v>7746</v>
          </cell>
          <cell r="E669">
            <v>0</v>
          </cell>
          <cell r="F669">
            <v>0</v>
          </cell>
          <cell r="G669">
            <v>0</v>
          </cell>
          <cell r="H669">
            <v>0</v>
          </cell>
        </row>
        <row r="670">
          <cell r="B670" t="str">
            <v>Starwood Hotels</v>
          </cell>
          <cell r="C670">
            <v>12</v>
          </cell>
          <cell r="D670">
            <v>3164</v>
          </cell>
          <cell r="E670">
            <v>1</v>
          </cell>
          <cell r="F670">
            <v>265</v>
          </cell>
          <cell r="G670">
            <v>0</v>
          </cell>
          <cell r="H670">
            <v>0</v>
          </cell>
        </row>
        <row r="672">
          <cell r="B672" t="str">
            <v>Economy</v>
          </cell>
          <cell r="C672">
            <v>85</v>
          </cell>
          <cell r="D672">
            <v>9299</v>
          </cell>
        </row>
        <row r="673">
          <cell r="B673" t="str">
            <v>Independent</v>
          </cell>
          <cell r="C673">
            <v>102</v>
          </cell>
          <cell r="D673">
            <v>12718</v>
          </cell>
        </row>
        <row r="674">
          <cell r="B674" t="str">
            <v>Midscale w/ F&amp;B</v>
          </cell>
          <cell r="C674">
            <v>71</v>
          </cell>
          <cell r="D674">
            <v>13073</v>
          </cell>
        </row>
        <row r="675">
          <cell r="B675" t="str">
            <v>Midscale w/o F&amp;B</v>
          </cell>
          <cell r="C675">
            <v>75</v>
          </cell>
          <cell r="D675">
            <v>8568</v>
          </cell>
        </row>
        <row r="676">
          <cell r="B676" t="str">
            <v>Upper Upscale</v>
          </cell>
          <cell r="C676">
            <v>68</v>
          </cell>
          <cell r="D676">
            <v>26123</v>
          </cell>
        </row>
        <row r="677">
          <cell r="B677" t="str">
            <v>Upscale</v>
          </cell>
          <cell r="C677">
            <v>49</v>
          </cell>
          <cell r="D677">
            <v>9357</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ld qtr pivots"/>
      <sheetName val="pivots"/>
      <sheetName val="brand lookup"/>
      <sheetName val="Chain Summ"/>
      <sheetName val="bar charts"/>
      <sheetName val="top company summary"/>
      <sheetName val="By Brand pt chg"/>
      <sheetName val="By Brand"/>
      <sheetName val="By Company pt chg"/>
      <sheetName val="By Company"/>
      <sheetName val="By Company-year"/>
      <sheetName val="monthly opens"/>
      <sheetName val="Est Opens 2004+ no"/>
      <sheetName val="Est Opens 2004+ with"/>
      <sheetName val="by market"/>
      <sheetName val="mkt est year"/>
      <sheetName val="export 1q"/>
      <sheetName val="By Brand % chg"/>
      <sheetName val="By Company % chg"/>
      <sheetName val="export 1q 1st pass"/>
      <sheetName val="top 25 chain"/>
      <sheetName val="TOP COMPANIES"/>
    </sheetNames>
    <sheetDataSet>
      <sheetData sheetId="0" refreshError="1"/>
      <sheetData sheetId="1" refreshError="1"/>
      <sheetData sheetId="2" refreshError="1">
        <row r="8">
          <cell r="C8" t="str">
            <v>Adam's Mark</v>
          </cell>
          <cell r="D8">
            <v>1</v>
          </cell>
          <cell r="E8">
            <v>0</v>
          </cell>
          <cell r="F8">
            <v>0</v>
          </cell>
          <cell r="G8">
            <v>0</v>
          </cell>
          <cell r="H8">
            <v>1</v>
          </cell>
          <cell r="I8">
            <v>306</v>
          </cell>
          <cell r="J8">
            <v>0</v>
          </cell>
          <cell r="K8">
            <v>0</v>
          </cell>
          <cell r="L8">
            <v>0</v>
          </cell>
          <cell r="M8">
            <v>539</v>
          </cell>
          <cell r="N8" t="str">
            <v>Adam's Mark</v>
          </cell>
          <cell r="O8">
            <v>1</v>
          </cell>
          <cell r="P8">
            <v>1</v>
          </cell>
          <cell r="Q8">
            <v>0</v>
          </cell>
          <cell r="R8">
            <v>1</v>
          </cell>
          <cell r="S8">
            <v>1</v>
          </cell>
          <cell r="T8">
            <v>966</v>
          </cell>
          <cell r="U8">
            <v>306</v>
          </cell>
          <cell r="V8">
            <v>0</v>
          </cell>
          <cell r="W8">
            <v>306</v>
          </cell>
          <cell r="X8">
            <v>539</v>
          </cell>
          <cell r="Y8">
            <v>0</v>
          </cell>
          <cell r="Z8">
            <v>-1</v>
          </cell>
          <cell r="AA8">
            <v>0</v>
          </cell>
          <cell r="AB8">
            <v>-1</v>
          </cell>
          <cell r="AC8">
            <v>0</v>
          </cell>
          <cell r="AD8">
            <v>-660</v>
          </cell>
          <cell r="AE8">
            <v>-306</v>
          </cell>
          <cell r="AF8">
            <v>0</v>
          </cell>
          <cell r="AG8">
            <v>-306</v>
          </cell>
          <cell r="AH8">
            <v>0</v>
          </cell>
          <cell r="AI8">
            <v>0</v>
          </cell>
          <cell r="AJ8" t="str">
            <v>-na-</v>
          </cell>
          <cell r="AK8">
            <v>0</v>
          </cell>
          <cell r="AL8" t="str">
            <v>-na-</v>
          </cell>
          <cell r="AM8">
            <v>0</v>
          </cell>
          <cell r="AN8">
            <v>-0.68322981366459623</v>
          </cell>
          <cell r="AO8" t="str">
            <v>-na-</v>
          </cell>
          <cell r="AP8">
            <v>0</v>
          </cell>
          <cell r="AQ8" t="str">
            <v>-na-</v>
          </cell>
          <cell r="AR8">
            <v>0</v>
          </cell>
          <cell r="AS8">
            <v>1</v>
          </cell>
          <cell r="AT8">
            <v>966</v>
          </cell>
          <cell r="AU8">
            <v>1</v>
          </cell>
          <cell r="AV8">
            <v>306</v>
          </cell>
          <cell r="AW8">
            <v>0</v>
          </cell>
          <cell r="AX8">
            <v>0</v>
          </cell>
          <cell r="AY8">
            <v>0</v>
          </cell>
          <cell r="AZ8">
            <v>0</v>
          </cell>
          <cell r="BA8">
            <v>1</v>
          </cell>
          <cell r="BB8">
            <v>539</v>
          </cell>
        </row>
        <row r="9">
          <cell r="C9" t="str">
            <v>Americinn</v>
          </cell>
          <cell r="D9">
            <v>7</v>
          </cell>
          <cell r="E9">
            <v>9</v>
          </cell>
          <cell r="F9">
            <v>4</v>
          </cell>
          <cell r="G9">
            <v>13</v>
          </cell>
          <cell r="H9">
            <v>3</v>
          </cell>
          <cell r="I9">
            <v>442</v>
          </cell>
          <cell r="J9">
            <v>568</v>
          </cell>
          <cell r="K9">
            <v>176</v>
          </cell>
          <cell r="L9">
            <v>744</v>
          </cell>
          <cell r="M9">
            <v>166</v>
          </cell>
          <cell r="N9" t="str">
            <v>Americinn</v>
          </cell>
          <cell r="O9">
            <v>8</v>
          </cell>
          <cell r="P9">
            <v>6</v>
          </cell>
          <cell r="Q9">
            <v>5</v>
          </cell>
          <cell r="R9">
            <v>11</v>
          </cell>
          <cell r="S9">
            <v>3</v>
          </cell>
          <cell r="T9">
            <v>447</v>
          </cell>
          <cell r="U9">
            <v>390</v>
          </cell>
          <cell r="V9">
            <v>334</v>
          </cell>
          <cell r="W9">
            <v>724</v>
          </cell>
          <cell r="X9">
            <v>166</v>
          </cell>
          <cell r="Y9">
            <v>-1</v>
          </cell>
          <cell r="Z9">
            <v>3</v>
          </cell>
          <cell r="AA9">
            <v>-1</v>
          </cell>
          <cell r="AB9">
            <v>2</v>
          </cell>
          <cell r="AC9">
            <v>0</v>
          </cell>
          <cell r="AD9">
            <v>-5</v>
          </cell>
          <cell r="AE9">
            <v>178</v>
          </cell>
          <cell r="AF9">
            <v>-158</v>
          </cell>
          <cell r="AG9">
            <v>20</v>
          </cell>
          <cell r="AH9">
            <v>0</v>
          </cell>
          <cell r="AI9">
            <v>-0.125</v>
          </cell>
          <cell r="AJ9">
            <v>0.5</v>
          </cell>
          <cell r="AK9">
            <v>-0.19999999999999996</v>
          </cell>
          <cell r="AL9">
            <v>0.18181818181818188</v>
          </cell>
          <cell r="AM9">
            <v>0</v>
          </cell>
          <cell r="AN9">
            <v>-1.1185682326621871E-2</v>
          </cell>
          <cell r="AO9">
            <v>0.45641025641025634</v>
          </cell>
          <cell r="AP9">
            <v>-0.47305389221556882</v>
          </cell>
          <cell r="AQ9">
            <v>2.7624309392265234E-2</v>
          </cell>
          <cell r="AR9">
            <v>0</v>
          </cell>
          <cell r="AS9">
            <v>8</v>
          </cell>
          <cell r="AT9">
            <v>447</v>
          </cell>
          <cell r="AU9">
            <v>1</v>
          </cell>
          <cell r="AV9">
            <v>103</v>
          </cell>
          <cell r="AW9">
            <v>9</v>
          </cell>
          <cell r="AX9">
            <v>536</v>
          </cell>
          <cell r="AY9">
            <v>4</v>
          </cell>
          <cell r="AZ9">
            <v>208</v>
          </cell>
          <cell r="BA9">
            <v>3</v>
          </cell>
          <cell r="BB9">
            <v>166</v>
          </cell>
        </row>
        <row r="10">
          <cell r="C10" t="str">
            <v>AmeriHost Inn</v>
          </cell>
          <cell r="D10">
            <v>6</v>
          </cell>
          <cell r="E10">
            <v>5</v>
          </cell>
          <cell r="F10">
            <v>11</v>
          </cell>
          <cell r="G10">
            <v>16</v>
          </cell>
          <cell r="H10">
            <v>31</v>
          </cell>
          <cell r="I10">
            <v>405</v>
          </cell>
          <cell r="J10">
            <v>402</v>
          </cell>
          <cell r="K10">
            <v>980</v>
          </cell>
          <cell r="L10">
            <v>1382</v>
          </cell>
          <cell r="M10">
            <v>3536</v>
          </cell>
          <cell r="N10" t="str">
            <v>AmeriHost Inn</v>
          </cell>
          <cell r="O10">
            <v>3</v>
          </cell>
          <cell r="P10">
            <v>6</v>
          </cell>
          <cell r="Q10">
            <v>9</v>
          </cell>
          <cell r="R10">
            <v>15</v>
          </cell>
          <cell r="S10">
            <v>18</v>
          </cell>
          <cell r="T10">
            <v>188</v>
          </cell>
          <cell r="U10">
            <v>435</v>
          </cell>
          <cell r="V10">
            <v>727</v>
          </cell>
          <cell r="W10">
            <v>1162</v>
          </cell>
          <cell r="X10">
            <v>1739</v>
          </cell>
          <cell r="Y10">
            <v>3</v>
          </cell>
          <cell r="Z10">
            <v>-1</v>
          </cell>
          <cell r="AA10">
            <v>2</v>
          </cell>
          <cell r="AB10">
            <v>1</v>
          </cell>
          <cell r="AC10">
            <v>13</v>
          </cell>
          <cell r="AD10">
            <v>217</v>
          </cell>
          <cell r="AE10">
            <v>-33</v>
          </cell>
          <cell r="AF10">
            <v>253</v>
          </cell>
          <cell r="AG10">
            <v>220</v>
          </cell>
          <cell r="AH10">
            <v>1797</v>
          </cell>
          <cell r="AI10">
            <v>1</v>
          </cell>
          <cell r="AJ10">
            <v>-0.16666666666666663</v>
          </cell>
          <cell r="AK10">
            <v>0.22222222222222232</v>
          </cell>
          <cell r="AL10">
            <v>6.6666666666666652E-2</v>
          </cell>
          <cell r="AM10">
            <v>0.72222222222222232</v>
          </cell>
          <cell r="AN10">
            <v>1.1542553191489362</v>
          </cell>
          <cell r="AO10">
            <v>-7.5862068965517282E-2</v>
          </cell>
          <cell r="AP10">
            <v>0.34800550206327374</v>
          </cell>
          <cell r="AQ10">
            <v>0.18932874354561102</v>
          </cell>
          <cell r="AR10">
            <v>1.0333525014376077</v>
          </cell>
          <cell r="AS10">
            <v>3</v>
          </cell>
          <cell r="AT10">
            <v>188</v>
          </cell>
          <cell r="AU10">
            <v>3</v>
          </cell>
          <cell r="AV10">
            <v>217</v>
          </cell>
          <cell r="AW10">
            <v>6</v>
          </cell>
          <cell r="AX10">
            <v>474</v>
          </cell>
          <cell r="AY10">
            <v>8</v>
          </cell>
          <cell r="AZ10">
            <v>668</v>
          </cell>
          <cell r="BA10">
            <v>33</v>
          </cell>
          <cell r="BB10">
            <v>3776</v>
          </cell>
        </row>
        <row r="11">
          <cell r="C11" t="str">
            <v>AmeriSuites</v>
          </cell>
          <cell r="D11">
            <v>8</v>
          </cell>
          <cell r="E11">
            <v>6</v>
          </cell>
          <cell r="F11">
            <v>4</v>
          </cell>
          <cell r="G11">
            <v>10</v>
          </cell>
          <cell r="H11">
            <v>7</v>
          </cell>
          <cell r="I11">
            <v>1010</v>
          </cell>
          <cell r="J11">
            <v>720</v>
          </cell>
          <cell r="K11">
            <v>544</v>
          </cell>
          <cell r="L11">
            <v>1264</v>
          </cell>
          <cell r="M11">
            <v>897</v>
          </cell>
          <cell r="N11" t="str">
            <v>AmeriSuites</v>
          </cell>
          <cell r="O11">
            <v>6</v>
          </cell>
          <cell r="P11">
            <v>8</v>
          </cell>
          <cell r="Q11">
            <v>4</v>
          </cell>
          <cell r="R11">
            <v>12</v>
          </cell>
          <cell r="S11">
            <v>8</v>
          </cell>
          <cell r="T11">
            <v>782</v>
          </cell>
          <cell r="U11">
            <v>949</v>
          </cell>
          <cell r="V11">
            <v>416</v>
          </cell>
          <cell r="W11">
            <v>1365</v>
          </cell>
          <cell r="X11">
            <v>1145</v>
          </cell>
          <cell r="Y11">
            <v>2</v>
          </cell>
          <cell r="Z11">
            <v>-2</v>
          </cell>
          <cell r="AA11">
            <v>0</v>
          </cell>
          <cell r="AB11">
            <v>-2</v>
          </cell>
          <cell r="AC11">
            <v>-1</v>
          </cell>
          <cell r="AD11">
            <v>228</v>
          </cell>
          <cell r="AE11">
            <v>-229</v>
          </cell>
          <cell r="AF11">
            <v>128</v>
          </cell>
          <cell r="AG11">
            <v>-101</v>
          </cell>
          <cell r="AH11">
            <v>-248</v>
          </cell>
          <cell r="AI11">
            <v>0.33333333333333326</v>
          </cell>
          <cell r="AJ11">
            <v>-0.25</v>
          </cell>
          <cell r="AK11">
            <v>0</v>
          </cell>
          <cell r="AL11">
            <v>-0.16666666666666663</v>
          </cell>
          <cell r="AM11">
            <v>-0.125</v>
          </cell>
          <cell r="AN11">
            <v>0.29156010230179019</v>
          </cell>
          <cell r="AO11">
            <v>-0.24130663856691259</v>
          </cell>
          <cell r="AP11">
            <v>0.30769230769230771</v>
          </cell>
          <cell r="AQ11">
            <v>-7.3992673992673952E-2</v>
          </cell>
          <cell r="AR11">
            <v>-0.21659388646288213</v>
          </cell>
          <cell r="AS11">
            <v>6</v>
          </cell>
          <cell r="AT11">
            <v>782</v>
          </cell>
          <cell r="AU11">
            <v>2</v>
          </cell>
          <cell r="AV11">
            <v>228</v>
          </cell>
          <cell r="AW11">
            <v>6</v>
          </cell>
          <cell r="AX11">
            <v>720</v>
          </cell>
          <cell r="AY11">
            <v>3</v>
          </cell>
          <cell r="AZ11">
            <v>350</v>
          </cell>
          <cell r="BA11">
            <v>8</v>
          </cell>
          <cell r="BB11">
            <v>1091</v>
          </cell>
        </row>
        <row r="12">
          <cell r="C12" t="str">
            <v>Aston</v>
          </cell>
          <cell r="N12" t="str">
            <v>Aston</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row>
        <row r="13">
          <cell r="C13" t="str">
            <v>Baymont Inn</v>
          </cell>
          <cell r="D13">
            <v>8</v>
          </cell>
          <cell r="E13">
            <v>2</v>
          </cell>
          <cell r="F13">
            <v>10</v>
          </cell>
          <cell r="G13">
            <v>12</v>
          </cell>
          <cell r="H13">
            <v>2</v>
          </cell>
          <cell r="I13">
            <v>628</v>
          </cell>
          <cell r="J13">
            <v>155</v>
          </cell>
          <cell r="K13">
            <v>790</v>
          </cell>
          <cell r="L13">
            <v>945</v>
          </cell>
          <cell r="M13">
            <v>353</v>
          </cell>
          <cell r="N13" t="str">
            <v>Baymont Inn</v>
          </cell>
          <cell r="O13">
            <v>13</v>
          </cell>
          <cell r="P13">
            <v>1</v>
          </cell>
          <cell r="Q13">
            <v>13</v>
          </cell>
          <cell r="R13">
            <v>14</v>
          </cell>
          <cell r="S13">
            <v>3</v>
          </cell>
          <cell r="T13">
            <v>1010</v>
          </cell>
          <cell r="U13">
            <v>103</v>
          </cell>
          <cell r="V13">
            <v>962</v>
          </cell>
          <cell r="W13">
            <v>1065</v>
          </cell>
          <cell r="X13">
            <v>473</v>
          </cell>
          <cell r="Y13">
            <v>-5</v>
          </cell>
          <cell r="Z13">
            <v>1</v>
          </cell>
          <cell r="AA13">
            <v>-3</v>
          </cell>
          <cell r="AB13">
            <v>-2</v>
          </cell>
          <cell r="AC13">
            <v>-1</v>
          </cell>
          <cell r="AD13">
            <v>-382</v>
          </cell>
          <cell r="AE13">
            <v>52</v>
          </cell>
          <cell r="AF13">
            <v>-172</v>
          </cell>
          <cell r="AG13">
            <v>-120</v>
          </cell>
          <cell r="AH13">
            <v>-120</v>
          </cell>
          <cell r="AI13">
            <v>-0.38461538461538458</v>
          </cell>
          <cell r="AJ13">
            <v>1</v>
          </cell>
          <cell r="AK13">
            <v>-0.23076923076923073</v>
          </cell>
          <cell r="AL13">
            <v>-0.1428571428571429</v>
          </cell>
          <cell r="AM13">
            <v>-0.33333333333333337</v>
          </cell>
          <cell r="AN13">
            <v>-0.37821782178217822</v>
          </cell>
          <cell r="AO13">
            <v>0.50485436893203883</v>
          </cell>
          <cell r="AP13">
            <v>-0.1787941787941788</v>
          </cell>
          <cell r="AQ13">
            <v>-0.11267605633802813</v>
          </cell>
          <cell r="AR13">
            <v>-0.2536997885835095</v>
          </cell>
          <cell r="AS13">
            <v>13</v>
          </cell>
          <cell r="AT13">
            <v>1010</v>
          </cell>
          <cell r="AU13">
            <v>0</v>
          </cell>
          <cell r="AV13">
            <v>0</v>
          </cell>
          <cell r="AW13">
            <v>2</v>
          </cell>
          <cell r="AX13">
            <v>122</v>
          </cell>
          <cell r="AY13">
            <v>10</v>
          </cell>
          <cell r="AZ13">
            <v>823</v>
          </cell>
          <cell r="BA13">
            <v>2</v>
          </cell>
          <cell r="BB13">
            <v>353</v>
          </cell>
        </row>
        <row r="14">
          <cell r="C14" t="str">
            <v xml:space="preserve">Best Inn </v>
          </cell>
          <cell r="D14">
            <v>2</v>
          </cell>
          <cell r="E14">
            <v>2</v>
          </cell>
          <cell r="F14">
            <v>2</v>
          </cell>
          <cell r="G14">
            <v>4</v>
          </cell>
          <cell r="H14">
            <v>1</v>
          </cell>
          <cell r="I14">
            <v>77</v>
          </cell>
          <cell r="J14">
            <v>135</v>
          </cell>
          <cell r="K14">
            <v>145</v>
          </cell>
          <cell r="L14">
            <v>280</v>
          </cell>
          <cell r="M14">
            <v>40</v>
          </cell>
          <cell r="N14" t="str">
            <v xml:space="preserve">Best Inn </v>
          </cell>
          <cell r="O14">
            <v>4</v>
          </cell>
          <cell r="P14">
            <v>1</v>
          </cell>
          <cell r="Q14">
            <v>3</v>
          </cell>
          <cell r="R14">
            <v>4</v>
          </cell>
          <cell r="S14">
            <v>1</v>
          </cell>
          <cell r="T14">
            <v>230</v>
          </cell>
          <cell r="U14">
            <v>29</v>
          </cell>
          <cell r="V14">
            <v>251</v>
          </cell>
          <cell r="W14">
            <v>280</v>
          </cell>
          <cell r="X14">
            <v>40</v>
          </cell>
          <cell r="Y14">
            <v>-2</v>
          </cell>
          <cell r="Z14">
            <v>1</v>
          </cell>
          <cell r="AA14">
            <v>-1</v>
          </cell>
          <cell r="AB14">
            <v>0</v>
          </cell>
          <cell r="AC14">
            <v>0</v>
          </cell>
          <cell r="AD14">
            <v>-153</v>
          </cell>
          <cell r="AE14">
            <v>106</v>
          </cell>
          <cell r="AF14">
            <v>-106</v>
          </cell>
          <cell r="AG14">
            <v>0</v>
          </cell>
          <cell r="AH14">
            <v>0</v>
          </cell>
          <cell r="AI14">
            <v>-0.5</v>
          </cell>
          <cell r="AJ14">
            <v>1</v>
          </cell>
          <cell r="AK14">
            <v>-0.33333333333333337</v>
          </cell>
          <cell r="AL14">
            <v>0</v>
          </cell>
          <cell r="AM14">
            <v>0</v>
          </cell>
          <cell r="AN14">
            <v>-0.66521739130434776</v>
          </cell>
          <cell r="AO14">
            <v>3.6551724137931032</v>
          </cell>
          <cell r="AP14">
            <v>-0.42231075697211151</v>
          </cell>
          <cell r="AQ14">
            <v>0</v>
          </cell>
          <cell r="AR14">
            <v>0</v>
          </cell>
          <cell r="AS14">
            <v>4</v>
          </cell>
          <cell r="AT14">
            <v>230</v>
          </cell>
          <cell r="AU14">
            <v>0</v>
          </cell>
          <cell r="AV14">
            <v>0</v>
          </cell>
          <cell r="AW14">
            <v>2</v>
          </cell>
          <cell r="AX14">
            <v>135</v>
          </cell>
          <cell r="AY14">
            <v>2</v>
          </cell>
          <cell r="AZ14">
            <v>145</v>
          </cell>
          <cell r="BA14">
            <v>1</v>
          </cell>
          <cell r="BB14">
            <v>40</v>
          </cell>
        </row>
        <row r="15">
          <cell r="C15" t="str">
            <v>Best Western</v>
          </cell>
          <cell r="D15">
            <v>43</v>
          </cell>
          <cell r="E15">
            <v>20</v>
          </cell>
          <cell r="F15">
            <v>13</v>
          </cell>
          <cell r="G15">
            <v>33</v>
          </cell>
          <cell r="H15">
            <v>18</v>
          </cell>
          <cell r="I15">
            <v>2623</v>
          </cell>
          <cell r="J15">
            <v>1228</v>
          </cell>
          <cell r="K15">
            <v>905</v>
          </cell>
          <cell r="L15">
            <v>2133</v>
          </cell>
          <cell r="M15">
            <v>1097</v>
          </cell>
          <cell r="N15" t="str">
            <v>Best Western</v>
          </cell>
          <cell r="O15">
            <v>48</v>
          </cell>
          <cell r="P15">
            <v>27</v>
          </cell>
          <cell r="Q15">
            <v>11</v>
          </cell>
          <cell r="R15">
            <v>38</v>
          </cell>
          <cell r="S15">
            <v>11</v>
          </cell>
          <cell r="T15">
            <v>2833</v>
          </cell>
          <cell r="U15">
            <v>1679</v>
          </cell>
          <cell r="V15">
            <v>779</v>
          </cell>
          <cell r="W15">
            <v>2458</v>
          </cell>
          <cell r="X15">
            <v>708</v>
          </cell>
          <cell r="Y15">
            <v>-5</v>
          </cell>
          <cell r="Z15">
            <v>-7</v>
          </cell>
          <cell r="AA15">
            <v>2</v>
          </cell>
          <cell r="AB15">
            <v>-5</v>
          </cell>
          <cell r="AC15">
            <v>7</v>
          </cell>
          <cell r="AD15">
            <v>-210</v>
          </cell>
          <cell r="AE15">
            <v>-451</v>
          </cell>
          <cell r="AF15">
            <v>126</v>
          </cell>
          <cell r="AG15">
            <v>-325</v>
          </cell>
          <cell r="AH15">
            <v>389</v>
          </cell>
          <cell r="AI15">
            <v>-0.10416666666666663</v>
          </cell>
          <cell r="AJ15">
            <v>-0.2592592592592593</v>
          </cell>
          <cell r="AK15">
            <v>0.18181818181818188</v>
          </cell>
          <cell r="AL15">
            <v>-0.13157894736842102</v>
          </cell>
          <cell r="AM15">
            <v>0.63636363636363646</v>
          </cell>
          <cell r="AN15">
            <v>-7.4126367807977434E-2</v>
          </cell>
          <cell r="AO15">
            <v>-0.26861226920786185</v>
          </cell>
          <cell r="AP15">
            <v>0.16174582798459558</v>
          </cell>
          <cell r="AQ15">
            <v>-0.13222131814483318</v>
          </cell>
          <cell r="AR15">
            <v>0.54943502824858759</v>
          </cell>
          <cell r="AS15">
            <v>49</v>
          </cell>
          <cell r="AT15">
            <v>2923</v>
          </cell>
          <cell r="AU15">
            <v>10</v>
          </cell>
          <cell r="AV15">
            <v>645</v>
          </cell>
          <cell r="AW15">
            <v>21</v>
          </cell>
          <cell r="AX15">
            <v>1256</v>
          </cell>
          <cell r="AY15">
            <v>11</v>
          </cell>
          <cell r="AZ15">
            <v>777</v>
          </cell>
          <cell r="BA15">
            <v>19</v>
          </cell>
          <cell r="BB15">
            <v>1197</v>
          </cell>
        </row>
        <row r="16">
          <cell r="C16" t="str">
            <v>Bradford Homesuites</v>
          </cell>
          <cell r="D16">
            <v>0</v>
          </cell>
          <cell r="E16">
            <v>0</v>
          </cell>
          <cell r="F16">
            <v>0</v>
          </cell>
          <cell r="G16">
            <v>0</v>
          </cell>
          <cell r="H16">
            <v>1</v>
          </cell>
          <cell r="I16">
            <v>0</v>
          </cell>
          <cell r="J16">
            <v>0</v>
          </cell>
          <cell r="K16">
            <v>0</v>
          </cell>
          <cell r="L16">
            <v>0</v>
          </cell>
          <cell r="M16">
            <v>80</v>
          </cell>
          <cell r="N16" t="str">
            <v>Bradford Homesuites</v>
          </cell>
          <cell r="O16">
            <v>0</v>
          </cell>
          <cell r="P16">
            <v>0</v>
          </cell>
          <cell r="Q16">
            <v>0</v>
          </cell>
          <cell r="R16">
            <v>0</v>
          </cell>
          <cell r="S16">
            <v>1</v>
          </cell>
          <cell r="T16">
            <v>0</v>
          </cell>
          <cell r="U16">
            <v>0</v>
          </cell>
          <cell r="V16">
            <v>0</v>
          </cell>
          <cell r="W16">
            <v>0</v>
          </cell>
          <cell r="X16">
            <v>80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1</v>
          </cell>
          <cell r="BB16">
            <v>80</v>
          </cell>
        </row>
        <row r="17">
          <cell r="C17" t="str">
            <v>Budget Host</v>
          </cell>
          <cell r="D17">
            <v>2</v>
          </cell>
          <cell r="E17">
            <v>0</v>
          </cell>
          <cell r="F17">
            <v>0</v>
          </cell>
          <cell r="G17">
            <v>0</v>
          </cell>
          <cell r="H17">
            <v>0</v>
          </cell>
          <cell r="I17">
            <v>51</v>
          </cell>
          <cell r="J17">
            <v>0</v>
          </cell>
          <cell r="K17">
            <v>0</v>
          </cell>
          <cell r="L17">
            <v>0</v>
          </cell>
          <cell r="M17">
            <v>0</v>
          </cell>
          <cell r="N17" t="str">
            <v>Budget Host</v>
          </cell>
          <cell r="O17">
            <v>1</v>
          </cell>
          <cell r="P17">
            <v>0</v>
          </cell>
          <cell r="Q17">
            <v>0</v>
          </cell>
          <cell r="R17">
            <v>0</v>
          </cell>
          <cell r="S17">
            <v>0</v>
          </cell>
          <cell r="T17">
            <v>29</v>
          </cell>
          <cell r="U17">
            <v>0</v>
          </cell>
          <cell r="V17">
            <v>0</v>
          </cell>
          <cell r="W17">
            <v>0</v>
          </cell>
          <cell r="X17">
            <v>0</v>
          </cell>
          <cell r="Y17">
            <v>1</v>
          </cell>
          <cell r="Z17">
            <v>0</v>
          </cell>
          <cell r="AA17">
            <v>0</v>
          </cell>
          <cell r="AB17">
            <v>0</v>
          </cell>
          <cell r="AC17">
            <v>0</v>
          </cell>
          <cell r="AD17">
            <v>22</v>
          </cell>
          <cell r="AE17">
            <v>0</v>
          </cell>
          <cell r="AF17">
            <v>0</v>
          </cell>
          <cell r="AG17">
            <v>0</v>
          </cell>
          <cell r="AH17">
            <v>0</v>
          </cell>
          <cell r="AI17">
            <v>1</v>
          </cell>
          <cell r="AJ17">
            <v>0</v>
          </cell>
          <cell r="AK17">
            <v>0</v>
          </cell>
          <cell r="AL17">
            <v>0</v>
          </cell>
          <cell r="AM17">
            <v>0</v>
          </cell>
          <cell r="AN17">
            <v>0.75862068965517238</v>
          </cell>
          <cell r="AO17">
            <v>0</v>
          </cell>
          <cell r="AP17">
            <v>0</v>
          </cell>
          <cell r="AQ17">
            <v>0</v>
          </cell>
          <cell r="AR17">
            <v>0</v>
          </cell>
          <cell r="AS17">
            <v>2</v>
          </cell>
          <cell r="AT17">
            <v>51</v>
          </cell>
          <cell r="AU17">
            <v>0</v>
          </cell>
          <cell r="AV17">
            <v>0</v>
          </cell>
          <cell r="AW17">
            <v>0</v>
          </cell>
          <cell r="AX17">
            <v>0</v>
          </cell>
          <cell r="AY17">
            <v>0</v>
          </cell>
          <cell r="AZ17">
            <v>0</v>
          </cell>
          <cell r="BA17">
            <v>0</v>
          </cell>
          <cell r="BB17">
            <v>0</v>
          </cell>
        </row>
        <row r="18">
          <cell r="C18" t="str">
            <v>Budget Suites of America</v>
          </cell>
          <cell r="N18" t="str">
            <v>Budget Suites of America</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row>
        <row r="19">
          <cell r="C19" t="str">
            <v>Cambridge Suites</v>
          </cell>
          <cell r="D19">
            <v>0</v>
          </cell>
          <cell r="E19">
            <v>0</v>
          </cell>
          <cell r="F19">
            <v>1</v>
          </cell>
          <cell r="G19">
            <v>1</v>
          </cell>
          <cell r="H19">
            <v>0</v>
          </cell>
          <cell r="I19">
            <v>0</v>
          </cell>
          <cell r="J19">
            <v>0</v>
          </cell>
          <cell r="K19">
            <v>100</v>
          </cell>
          <cell r="L19">
            <v>100</v>
          </cell>
          <cell r="M19">
            <v>0</v>
          </cell>
          <cell r="N19" t="str">
            <v>Cambridge Suites</v>
          </cell>
          <cell r="O19">
            <v>0</v>
          </cell>
          <cell r="P19">
            <v>0</v>
          </cell>
          <cell r="Q19">
            <v>1</v>
          </cell>
          <cell r="R19">
            <v>1</v>
          </cell>
          <cell r="S19">
            <v>0</v>
          </cell>
          <cell r="T19">
            <v>0</v>
          </cell>
          <cell r="U19">
            <v>0</v>
          </cell>
          <cell r="V19">
            <v>100</v>
          </cell>
          <cell r="W19">
            <v>100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1</v>
          </cell>
          <cell r="AZ19">
            <v>100</v>
          </cell>
          <cell r="BA19">
            <v>0</v>
          </cell>
          <cell r="BB19">
            <v>0</v>
          </cell>
        </row>
        <row r="20">
          <cell r="C20" t="str">
            <v>Candlewood Hotel</v>
          </cell>
          <cell r="D20">
            <v>9</v>
          </cell>
          <cell r="E20">
            <v>2</v>
          </cell>
          <cell r="F20">
            <v>20</v>
          </cell>
          <cell r="G20">
            <v>22</v>
          </cell>
          <cell r="H20">
            <v>2</v>
          </cell>
          <cell r="I20">
            <v>958</v>
          </cell>
          <cell r="J20">
            <v>176</v>
          </cell>
          <cell r="K20">
            <v>1928</v>
          </cell>
          <cell r="L20">
            <v>2104</v>
          </cell>
          <cell r="M20">
            <v>180</v>
          </cell>
          <cell r="N20" t="str">
            <v>Candlewood Suites</v>
          </cell>
          <cell r="O20">
            <v>12</v>
          </cell>
          <cell r="P20">
            <v>3</v>
          </cell>
          <cell r="Q20">
            <v>18</v>
          </cell>
          <cell r="R20">
            <v>21</v>
          </cell>
          <cell r="S20">
            <v>5</v>
          </cell>
          <cell r="T20">
            <v>1412</v>
          </cell>
          <cell r="U20">
            <v>276</v>
          </cell>
          <cell r="V20">
            <v>1671</v>
          </cell>
          <cell r="W20">
            <v>1947</v>
          </cell>
          <cell r="X20">
            <v>440</v>
          </cell>
          <cell r="Y20">
            <v>-3</v>
          </cell>
          <cell r="Z20">
            <v>-1</v>
          </cell>
          <cell r="AA20">
            <v>2</v>
          </cell>
          <cell r="AB20">
            <v>1</v>
          </cell>
          <cell r="AC20">
            <v>-3</v>
          </cell>
          <cell r="AD20">
            <v>-454</v>
          </cell>
          <cell r="AE20">
            <v>-100</v>
          </cell>
          <cell r="AF20">
            <v>257</v>
          </cell>
          <cell r="AG20">
            <v>157</v>
          </cell>
          <cell r="AH20">
            <v>-260</v>
          </cell>
          <cell r="AI20">
            <v>-0.25</v>
          </cell>
          <cell r="AJ20">
            <v>-0.33333333333333337</v>
          </cell>
          <cell r="AK20">
            <v>0.11111111111111116</v>
          </cell>
          <cell r="AL20">
            <v>4.7619047619047672E-2</v>
          </cell>
          <cell r="AM20">
            <v>-0.6</v>
          </cell>
          <cell r="AN20">
            <v>-0.32152974504249288</v>
          </cell>
          <cell r="AO20">
            <v>-0.3623188405797102</v>
          </cell>
          <cell r="AP20">
            <v>0.15380011968880902</v>
          </cell>
          <cell r="AQ20">
            <v>8.0636877247046712E-2</v>
          </cell>
          <cell r="AR20">
            <v>-0.59090909090909083</v>
          </cell>
          <cell r="AS20">
            <v>12</v>
          </cell>
          <cell r="AT20">
            <v>1412</v>
          </cell>
          <cell r="AU20">
            <v>1</v>
          </cell>
          <cell r="AV20">
            <v>100</v>
          </cell>
          <cell r="AW20">
            <v>2</v>
          </cell>
          <cell r="AX20">
            <v>176</v>
          </cell>
          <cell r="AY20">
            <v>18</v>
          </cell>
          <cell r="AZ20">
            <v>1728</v>
          </cell>
          <cell r="BA20">
            <v>4</v>
          </cell>
          <cell r="BB20">
            <v>380</v>
          </cell>
        </row>
        <row r="21">
          <cell r="C21" t="str">
            <v>Casino</v>
          </cell>
          <cell r="D21">
            <v>7</v>
          </cell>
          <cell r="E21">
            <v>12</v>
          </cell>
          <cell r="F21">
            <v>6</v>
          </cell>
          <cell r="G21">
            <v>18</v>
          </cell>
          <cell r="H21">
            <v>7</v>
          </cell>
          <cell r="I21">
            <v>3400</v>
          </cell>
          <cell r="J21">
            <v>6589</v>
          </cell>
          <cell r="K21">
            <v>4907</v>
          </cell>
          <cell r="L21">
            <v>11496</v>
          </cell>
          <cell r="M21">
            <v>4804</v>
          </cell>
          <cell r="N21" t="str">
            <v>Casino</v>
          </cell>
          <cell r="O21">
            <v>8</v>
          </cell>
          <cell r="P21">
            <v>12</v>
          </cell>
          <cell r="Q21">
            <v>6</v>
          </cell>
          <cell r="R21">
            <v>18</v>
          </cell>
          <cell r="S21">
            <v>5</v>
          </cell>
          <cell r="T21">
            <v>3154</v>
          </cell>
          <cell r="U21">
            <v>7396</v>
          </cell>
          <cell r="V21">
            <v>4905</v>
          </cell>
          <cell r="W21">
            <v>12301</v>
          </cell>
          <cell r="X21">
            <v>2210</v>
          </cell>
          <cell r="Y21">
            <v>-1</v>
          </cell>
          <cell r="Z21">
            <v>0</v>
          </cell>
          <cell r="AA21">
            <v>0</v>
          </cell>
          <cell r="AB21">
            <v>0</v>
          </cell>
          <cell r="AC21">
            <v>2</v>
          </cell>
          <cell r="AD21">
            <v>246</v>
          </cell>
          <cell r="AE21">
            <v>-807</v>
          </cell>
          <cell r="AF21">
            <v>2</v>
          </cell>
          <cell r="AG21">
            <v>-805</v>
          </cell>
          <cell r="AH21">
            <v>2594</v>
          </cell>
          <cell r="AI21">
            <v>-0.125</v>
          </cell>
          <cell r="AJ21">
            <v>0</v>
          </cell>
          <cell r="AK21">
            <v>0</v>
          </cell>
          <cell r="AL21">
            <v>0</v>
          </cell>
          <cell r="AM21">
            <v>0.39999999999999991</v>
          </cell>
          <cell r="AN21">
            <v>7.7996195307545868E-2</v>
          </cell>
          <cell r="AO21">
            <v>-0.10911303407247164</v>
          </cell>
          <cell r="AP21">
            <v>4.0774719673808413E-4</v>
          </cell>
          <cell r="AQ21">
            <v>-6.5441833997236021E-2</v>
          </cell>
          <cell r="AR21">
            <v>1.1737556561085971</v>
          </cell>
          <cell r="AS21">
            <v>8</v>
          </cell>
          <cell r="AT21">
            <v>3154</v>
          </cell>
          <cell r="AU21">
            <v>2</v>
          </cell>
          <cell r="AV21">
            <v>1009</v>
          </cell>
          <cell r="AW21">
            <v>10</v>
          </cell>
          <cell r="AX21">
            <v>4188</v>
          </cell>
          <cell r="AY21">
            <v>3</v>
          </cell>
          <cell r="AZ21">
            <v>2651</v>
          </cell>
          <cell r="BA21">
            <v>12</v>
          </cell>
          <cell r="BB21">
            <v>9461</v>
          </cell>
        </row>
        <row r="22">
          <cell r="C22" t="str">
            <v>Clarion</v>
          </cell>
          <cell r="D22">
            <v>4</v>
          </cell>
          <cell r="E22">
            <v>1</v>
          </cell>
          <cell r="F22">
            <v>0</v>
          </cell>
          <cell r="G22">
            <v>1</v>
          </cell>
          <cell r="H22">
            <v>0</v>
          </cell>
          <cell r="I22">
            <v>295</v>
          </cell>
          <cell r="J22">
            <v>57</v>
          </cell>
          <cell r="K22">
            <v>0</v>
          </cell>
          <cell r="L22">
            <v>57</v>
          </cell>
          <cell r="M22">
            <v>0</v>
          </cell>
          <cell r="N22" t="str">
            <v>Clarion</v>
          </cell>
          <cell r="O22">
            <v>6</v>
          </cell>
          <cell r="P22">
            <v>1</v>
          </cell>
          <cell r="Q22">
            <v>0</v>
          </cell>
          <cell r="R22">
            <v>1</v>
          </cell>
          <cell r="S22">
            <v>1</v>
          </cell>
          <cell r="T22">
            <v>526</v>
          </cell>
          <cell r="U22">
            <v>57</v>
          </cell>
          <cell r="V22">
            <v>0</v>
          </cell>
          <cell r="W22">
            <v>57</v>
          </cell>
          <cell r="X22">
            <v>60</v>
          </cell>
          <cell r="Y22">
            <v>-2</v>
          </cell>
          <cell r="Z22">
            <v>0</v>
          </cell>
          <cell r="AA22">
            <v>0</v>
          </cell>
          <cell r="AB22">
            <v>0</v>
          </cell>
          <cell r="AC22">
            <v>-1</v>
          </cell>
          <cell r="AD22">
            <v>-231</v>
          </cell>
          <cell r="AE22">
            <v>0</v>
          </cell>
          <cell r="AF22">
            <v>0</v>
          </cell>
          <cell r="AG22">
            <v>0</v>
          </cell>
          <cell r="AH22">
            <v>-60</v>
          </cell>
          <cell r="AI22">
            <v>-0.33333333333333337</v>
          </cell>
          <cell r="AJ22">
            <v>0</v>
          </cell>
          <cell r="AK22">
            <v>0</v>
          </cell>
          <cell r="AL22">
            <v>0</v>
          </cell>
          <cell r="AM22" t="str">
            <v>-na-</v>
          </cell>
          <cell r="AN22">
            <v>-0.43916349809885935</v>
          </cell>
          <cell r="AO22">
            <v>0</v>
          </cell>
          <cell r="AP22">
            <v>0</v>
          </cell>
          <cell r="AQ22">
            <v>0</v>
          </cell>
          <cell r="AR22" t="str">
            <v>-na-</v>
          </cell>
          <cell r="AS22">
            <v>6</v>
          </cell>
          <cell r="AT22">
            <v>526</v>
          </cell>
          <cell r="AU22">
            <v>0</v>
          </cell>
          <cell r="AV22">
            <v>0</v>
          </cell>
          <cell r="AW22">
            <v>1</v>
          </cell>
          <cell r="AX22">
            <v>57</v>
          </cell>
          <cell r="AY22">
            <v>0</v>
          </cell>
          <cell r="AZ22">
            <v>0</v>
          </cell>
          <cell r="BA22">
            <v>0</v>
          </cell>
          <cell r="BB22">
            <v>0</v>
          </cell>
        </row>
        <row r="23">
          <cell r="C23" t="str">
            <v>Club Hotel by Doubletree</v>
          </cell>
          <cell r="D23">
            <v>1</v>
          </cell>
          <cell r="E23">
            <v>0</v>
          </cell>
          <cell r="F23">
            <v>0</v>
          </cell>
          <cell r="G23">
            <v>0</v>
          </cell>
          <cell r="H23">
            <v>0</v>
          </cell>
          <cell r="I23">
            <v>110</v>
          </cell>
          <cell r="J23">
            <v>0</v>
          </cell>
          <cell r="K23">
            <v>0</v>
          </cell>
          <cell r="L23">
            <v>0</v>
          </cell>
          <cell r="M23">
            <v>0</v>
          </cell>
          <cell r="N23" t="str">
            <v>Club Hotel by Doubletree</v>
          </cell>
          <cell r="O23">
            <v>1</v>
          </cell>
          <cell r="P23">
            <v>0</v>
          </cell>
          <cell r="Q23">
            <v>0</v>
          </cell>
          <cell r="R23">
            <v>0</v>
          </cell>
          <cell r="S23">
            <v>1</v>
          </cell>
          <cell r="T23">
            <v>110</v>
          </cell>
          <cell r="U23">
            <v>0</v>
          </cell>
          <cell r="V23">
            <v>0</v>
          </cell>
          <cell r="W23">
            <v>0</v>
          </cell>
          <cell r="X23">
            <v>106</v>
          </cell>
          <cell r="Y23">
            <v>0</v>
          </cell>
          <cell r="Z23">
            <v>0</v>
          </cell>
          <cell r="AA23">
            <v>0</v>
          </cell>
          <cell r="AB23">
            <v>0</v>
          </cell>
          <cell r="AC23">
            <v>-1</v>
          </cell>
          <cell r="AD23">
            <v>0</v>
          </cell>
          <cell r="AE23">
            <v>0</v>
          </cell>
          <cell r="AF23">
            <v>0</v>
          </cell>
          <cell r="AG23">
            <v>0</v>
          </cell>
          <cell r="AH23">
            <v>-106</v>
          </cell>
          <cell r="AI23">
            <v>0</v>
          </cell>
          <cell r="AJ23">
            <v>0</v>
          </cell>
          <cell r="AK23">
            <v>0</v>
          </cell>
          <cell r="AL23">
            <v>0</v>
          </cell>
          <cell r="AM23" t="str">
            <v>-na-</v>
          </cell>
          <cell r="AN23">
            <v>0</v>
          </cell>
          <cell r="AO23">
            <v>0</v>
          </cell>
          <cell r="AP23">
            <v>0</v>
          </cell>
          <cell r="AQ23">
            <v>0</v>
          </cell>
          <cell r="AR23" t="str">
            <v>-na-</v>
          </cell>
          <cell r="AS23">
            <v>1</v>
          </cell>
          <cell r="AT23">
            <v>110</v>
          </cell>
          <cell r="AU23">
            <v>0</v>
          </cell>
          <cell r="AV23">
            <v>0</v>
          </cell>
          <cell r="AW23">
            <v>0</v>
          </cell>
          <cell r="AX23">
            <v>0</v>
          </cell>
          <cell r="AY23">
            <v>0</v>
          </cell>
          <cell r="AZ23">
            <v>0</v>
          </cell>
          <cell r="BA23">
            <v>0</v>
          </cell>
          <cell r="BB23">
            <v>0</v>
          </cell>
        </row>
        <row r="24">
          <cell r="C24" t="str">
            <v>ClubHouse Inn</v>
          </cell>
          <cell r="N24" t="str">
            <v>ClubHouse Inn</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row>
        <row r="25">
          <cell r="C25" t="str">
            <v>Comfort Inn</v>
          </cell>
          <cell r="D25">
            <v>29</v>
          </cell>
          <cell r="E25">
            <v>16</v>
          </cell>
          <cell r="F25">
            <v>8</v>
          </cell>
          <cell r="G25">
            <v>24</v>
          </cell>
          <cell r="H25">
            <v>6</v>
          </cell>
          <cell r="I25">
            <v>1982</v>
          </cell>
          <cell r="J25">
            <v>1118</v>
          </cell>
          <cell r="K25">
            <v>619</v>
          </cell>
          <cell r="L25">
            <v>1737</v>
          </cell>
          <cell r="M25">
            <v>370</v>
          </cell>
          <cell r="N25" t="str">
            <v>Comfort Inn</v>
          </cell>
          <cell r="O25">
            <v>30</v>
          </cell>
          <cell r="P25">
            <v>19</v>
          </cell>
          <cell r="Q25">
            <v>7</v>
          </cell>
          <cell r="R25">
            <v>26</v>
          </cell>
          <cell r="S25">
            <v>8</v>
          </cell>
          <cell r="T25">
            <v>1943</v>
          </cell>
          <cell r="U25">
            <v>1317</v>
          </cell>
          <cell r="V25">
            <v>526</v>
          </cell>
          <cell r="W25">
            <v>1843</v>
          </cell>
          <cell r="X25">
            <v>530</v>
          </cell>
          <cell r="Y25">
            <v>-1</v>
          </cell>
          <cell r="Z25">
            <v>-3</v>
          </cell>
          <cell r="AA25">
            <v>1</v>
          </cell>
          <cell r="AB25">
            <v>-2</v>
          </cell>
          <cell r="AC25">
            <v>-2</v>
          </cell>
          <cell r="AD25">
            <v>39</v>
          </cell>
          <cell r="AE25">
            <v>-199</v>
          </cell>
          <cell r="AF25">
            <v>93</v>
          </cell>
          <cell r="AG25">
            <v>-106</v>
          </cell>
          <cell r="AH25">
            <v>-160</v>
          </cell>
          <cell r="AI25">
            <v>-3.3333333333333326E-2</v>
          </cell>
          <cell r="AJ25">
            <v>-0.15789473684210531</v>
          </cell>
          <cell r="AK25">
            <v>0.14285714285714279</v>
          </cell>
          <cell r="AL25">
            <v>-7.6923076923076872E-2</v>
          </cell>
          <cell r="AM25">
            <v>-0.25</v>
          </cell>
          <cell r="AN25">
            <v>2.0072053525476141E-2</v>
          </cell>
          <cell r="AO25">
            <v>-0.15110098709187547</v>
          </cell>
          <cell r="AP25">
            <v>0.17680608365019013</v>
          </cell>
          <cell r="AQ25">
            <v>-5.7514921323928325E-2</v>
          </cell>
          <cell r="AR25">
            <v>-0.30188679245283023</v>
          </cell>
          <cell r="AS25">
            <v>30</v>
          </cell>
          <cell r="AT25">
            <v>1943</v>
          </cell>
          <cell r="AU25">
            <v>4</v>
          </cell>
          <cell r="AV25">
            <v>348</v>
          </cell>
          <cell r="AW25">
            <v>16</v>
          </cell>
          <cell r="AX25">
            <v>1100</v>
          </cell>
          <cell r="AY25">
            <v>5</v>
          </cell>
          <cell r="AZ25">
            <v>387</v>
          </cell>
          <cell r="BA25">
            <v>9</v>
          </cell>
          <cell r="BB25">
            <v>620</v>
          </cell>
        </row>
        <row r="26">
          <cell r="C26" t="str">
            <v>Comfort Suites</v>
          </cell>
          <cell r="D26">
            <v>35</v>
          </cell>
          <cell r="E26">
            <v>22</v>
          </cell>
          <cell r="F26">
            <v>21</v>
          </cell>
          <cell r="G26">
            <v>43</v>
          </cell>
          <cell r="H26">
            <v>19</v>
          </cell>
          <cell r="I26">
            <v>2805</v>
          </cell>
          <cell r="J26">
            <v>1643</v>
          </cell>
          <cell r="K26">
            <v>1618</v>
          </cell>
          <cell r="L26">
            <v>3261</v>
          </cell>
          <cell r="M26">
            <v>1486</v>
          </cell>
          <cell r="N26" t="str">
            <v>Comfort Suites</v>
          </cell>
          <cell r="O26">
            <v>33</v>
          </cell>
          <cell r="P26">
            <v>23</v>
          </cell>
          <cell r="Q26">
            <v>21</v>
          </cell>
          <cell r="R26">
            <v>44</v>
          </cell>
          <cell r="S26">
            <v>20</v>
          </cell>
          <cell r="T26">
            <v>2659</v>
          </cell>
          <cell r="U26">
            <v>1720</v>
          </cell>
          <cell r="V26">
            <v>1610</v>
          </cell>
          <cell r="W26">
            <v>3330</v>
          </cell>
          <cell r="X26">
            <v>1709</v>
          </cell>
          <cell r="Y26">
            <v>2</v>
          </cell>
          <cell r="Z26">
            <v>-1</v>
          </cell>
          <cell r="AA26">
            <v>0</v>
          </cell>
          <cell r="AB26">
            <v>-1</v>
          </cell>
          <cell r="AC26">
            <v>-1</v>
          </cell>
          <cell r="AD26">
            <v>146</v>
          </cell>
          <cell r="AE26">
            <v>-77</v>
          </cell>
          <cell r="AF26">
            <v>8</v>
          </cell>
          <cell r="AG26">
            <v>-69</v>
          </cell>
          <cell r="AH26">
            <v>-223</v>
          </cell>
          <cell r="AI26">
            <v>6.0606060606060552E-2</v>
          </cell>
          <cell r="AJ26">
            <v>-4.3478260869565188E-2</v>
          </cell>
          <cell r="AK26">
            <v>0</v>
          </cell>
          <cell r="AL26">
            <v>-2.2727272727272707E-2</v>
          </cell>
          <cell r="AM26">
            <v>-5.0000000000000044E-2</v>
          </cell>
          <cell r="AN26">
            <v>5.4907860097781036E-2</v>
          </cell>
          <cell r="AO26">
            <v>-4.4767441860465107E-2</v>
          </cell>
          <cell r="AP26">
            <v>4.9689440993789802E-3</v>
          </cell>
          <cell r="AQ26">
            <v>-2.0720720720720731E-2</v>
          </cell>
          <cell r="AR26">
            <v>-0.13048566413107077</v>
          </cell>
          <cell r="AS26">
            <v>32</v>
          </cell>
          <cell r="AT26">
            <v>2593</v>
          </cell>
          <cell r="AU26">
            <v>9</v>
          </cell>
          <cell r="AV26">
            <v>625</v>
          </cell>
          <cell r="AW26">
            <v>17</v>
          </cell>
          <cell r="AX26">
            <v>1290</v>
          </cell>
          <cell r="AY26">
            <v>25</v>
          </cell>
          <cell r="AZ26">
            <v>1870</v>
          </cell>
          <cell r="BA26">
            <v>20</v>
          </cell>
          <cell r="BB26">
            <v>1587</v>
          </cell>
        </row>
        <row r="27">
          <cell r="C27" t="str">
            <v>Country Hearth Inn</v>
          </cell>
          <cell r="D27">
            <v>3</v>
          </cell>
          <cell r="E27">
            <v>1</v>
          </cell>
          <cell r="F27">
            <v>0</v>
          </cell>
          <cell r="G27">
            <v>1</v>
          </cell>
          <cell r="H27">
            <v>0</v>
          </cell>
          <cell r="I27">
            <v>121</v>
          </cell>
          <cell r="J27">
            <v>100</v>
          </cell>
          <cell r="K27">
            <v>0</v>
          </cell>
          <cell r="L27">
            <v>100</v>
          </cell>
          <cell r="M27">
            <v>0</v>
          </cell>
          <cell r="N27" t="str">
            <v>Country Hearth Inn</v>
          </cell>
          <cell r="O27">
            <v>6</v>
          </cell>
          <cell r="P27">
            <v>1</v>
          </cell>
          <cell r="Q27">
            <v>0</v>
          </cell>
          <cell r="R27">
            <v>1</v>
          </cell>
          <cell r="S27">
            <v>0</v>
          </cell>
          <cell r="T27">
            <v>241</v>
          </cell>
          <cell r="U27">
            <v>100</v>
          </cell>
          <cell r="V27">
            <v>0</v>
          </cell>
          <cell r="W27">
            <v>100</v>
          </cell>
          <cell r="X27">
            <v>0</v>
          </cell>
          <cell r="Y27">
            <v>-3</v>
          </cell>
          <cell r="Z27">
            <v>0</v>
          </cell>
          <cell r="AA27">
            <v>0</v>
          </cell>
          <cell r="AB27">
            <v>0</v>
          </cell>
          <cell r="AC27">
            <v>0</v>
          </cell>
          <cell r="AD27">
            <v>-120</v>
          </cell>
          <cell r="AE27">
            <v>0</v>
          </cell>
          <cell r="AF27">
            <v>0</v>
          </cell>
          <cell r="AG27">
            <v>0</v>
          </cell>
          <cell r="AH27">
            <v>0</v>
          </cell>
          <cell r="AI27">
            <v>-0.5</v>
          </cell>
          <cell r="AJ27">
            <v>0</v>
          </cell>
          <cell r="AK27">
            <v>0</v>
          </cell>
          <cell r="AL27">
            <v>0</v>
          </cell>
          <cell r="AM27">
            <v>0</v>
          </cell>
          <cell r="AN27">
            <v>-0.49792531120331951</v>
          </cell>
          <cell r="AO27">
            <v>0</v>
          </cell>
          <cell r="AP27">
            <v>0</v>
          </cell>
          <cell r="AQ27">
            <v>0</v>
          </cell>
          <cell r="AR27">
            <v>0</v>
          </cell>
          <cell r="AS27">
            <v>6</v>
          </cell>
          <cell r="AT27">
            <v>241</v>
          </cell>
          <cell r="AU27">
            <v>0</v>
          </cell>
          <cell r="AV27">
            <v>0</v>
          </cell>
          <cell r="AW27">
            <v>1</v>
          </cell>
          <cell r="AX27">
            <v>100</v>
          </cell>
          <cell r="AY27">
            <v>0</v>
          </cell>
          <cell r="AZ27">
            <v>0</v>
          </cell>
          <cell r="BA27">
            <v>0</v>
          </cell>
          <cell r="BB27">
            <v>0</v>
          </cell>
        </row>
        <row r="28">
          <cell r="C28" t="str">
            <v>Country Inn &amp; Suites</v>
          </cell>
          <cell r="D28">
            <v>40</v>
          </cell>
          <cell r="E28">
            <v>18</v>
          </cell>
          <cell r="F28">
            <v>32</v>
          </cell>
          <cell r="G28">
            <v>50</v>
          </cell>
          <cell r="H28">
            <v>2</v>
          </cell>
          <cell r="I28">
            <v>3090</v>
          </cell>
          <cell r="J28">
            <v>1576</v>
          </cell>
          <cell r="K28">
            <v>2560</v>
          </cell>
          <cell r="L28">
            <v>4136</v>
          </cell>
          <cell r="M28">
            <v>200</v>
          </cell>
          <cell r="N28" t="str">
            <v>Country Inn &amp; Suites</v>
          </cell>
          <cell r="O28">
            <v>46</v>
          </cell>
          <cell r="P28">
            <v>20</v>
          </cell>
          <cell r="Q28">
            <v>33</v>
          </cell>
          <cell r="R28">
            <v>53</v>
          </cell>
          <cell r="S28">
            <v>0</v>
          </cell>
          <cell r="T28">
            <v>3529</v>
          </cell>
          <cell r="U28">
            <v>1657</v>
          </cell>
          <cell r="V28">
            <v>2730</v>
          </cell>
          <cell r="W28">
            <v>4387</v>
          </cell>
          <cell r="X28">
            <v>0</v>
          </cell>
          <cell r="Y28">
            <v>-6</v>
          </cell>
          <cell r="Z28">
            <v>-2</v>
          </cell>
          <cell r="AA28">
            <v>-1</v>
          </cell>
          <cell r="AB28">
            <v>-3</v>
          </cell>
          <cell r="AC28">
            <v>2</v>
          </cell>
          <cell r="AD28">
            <v>-439</v>
          </cell>
          <cell r="AE28">
            <v>-81</v>
          </cell>
          <cell r="AF28">
            <v>-170</v>
          </cell>
          <cell r="AG28">
            <v>-251</v>
          </cell>
          <cell r="AH28">
            <v>200</v>
          </cell>
          <cell r="AI28">
            <v>-0.13043478260869568</v>
          </cell>
          <cell r="AJ28">
            <v>-9.9999999999999978E-2</v>
          </cell>
          <cell r="AK28">
            <v>-3.0303030303030276E-2</v>
          </cell>
          <cell r="AL28">
            <v>-5.6603773584905648E-2</v>
          </cell>
          <cell r="AM28" t="str">
            <v>-na-</v>
          </cell>
          <cell r="AN28">
            <v>-0.12439784641541518</v>
          </cell>
          <cell r="AO28">
            <v>-4.8883524441762249E-2</v>
          </cell>
          <cell r="AP28">
            <v>-6.2271062271062272E-2</v>
          </cell>
          <cell r="AQ28">
            <v>-5.7214497378618612E-2</v>
          </cell>
          <cell r="AR28" t="str">
            <v>-na-</v>
          </cell>
          <cell r="AS28">
            <v>46</v>
          </cell>
          <cell r="AT28">
            <v>3529</v>
          </cell>
          <cell r="AU28">
            <v>5</v>
          </cell>
          <cell r="AV28">
            <v>355</v>
          </cell>
          <cell r="AW28">
            <v>17</v>
          </cell>
          <cell r="AX28">
            <v>1366</v>
          </cell>
          <cell r="AY28">
            <v>26</v>
          </cell>
          <cell r="AZ28">
            <v>1988</v>
          </cell>
          <cell r="BA28">
            <v>9</v>
          </cell>
          <cell r="BB28">
            <v>982</v>
          </cell>
        </row>
        <row r="29">
          <cell r="C29" t="str">
            <v>Courtyard by Marriott</v>
          </cell>
          <cell r="D29">
            <v>27</v>
          </cell>
          <cell r="E29">
            <v>29</v>
          </cell>
          <cell r="F29">
            <v>35</v>
          </cell>
          <cell r="G29">
            <v>64</v>
          </cell>
          <cell r="H29">
            <v>22</v>
          </cell>
          <cell r="I29">
            <v>4034</v>
          </cell>
          <cell r="J29">
            <v>4012</v>
          </cell>
          <cell r="K29">
            <v>4723</v>
          </cell>
          <cell r="L29">
            <v>8735</v>
          </cell>
          <cell r="M29">
            <v>3378</v>
          </cell>
          <cell r="N29" t="str">
            <v>Courtyard by Marriott</v>
          </cell>
          <cell r="O29">
            <v>28</v>
          </cell>
          <cell r="P29">
            <v>32</v>
          </cell>
          <cell r="Q29">
            <v>47</v>
          </cell>
          <cell r="R29">
            <v>79</v>
          </cell>
          <cell r="S29">
            <v>23</v>
          </cell>
          <cell r="T29">
            <v>4375</v>
          </cell>
          <cell r="U29">
            <v>4557</v>
          </cell>
          <cell r="V29">
            <v>6050</v>
          </cell>
          <cell r="W29">
            <v>10607</v>
          </cell>
          <cell r="X29">
            <v>4197</v>
          </cell>
          <cell r="Y29">
            <v>-1</v>
          </cell>
          <cell r="Z29">
            <v>-3</v>
          </cell>
          <cell r="AA29">
            <v>-12</v>
          </cell>
          <cell r="AB29">
            <v>-15</v>
          </cell>
          <cell r="AC29">
            <v>-1</v>
          </cell>
          <cell r="AD29">
            <v>-341</v>
          </cell>
          <cell r="AE29">
            <v>-545</v>
          </cell>
          <cell r="AF29">
            <v>-1327</v>
          </cell>
          <cell r="AG29">
            <v>-1872</v>
          </cell>
          <cell r="AH29">
            <v>-819</v>
          </cell>
          <cell r="AI29">
            <v>-3.5714285714285698E-2</v>
          </cell>
          <cell r="AJ29">
            <v>-9.375E-2</v>
          </cell>
          <cell r="AK29">
            <v>-0.25531914893617025</v>
          </cell>
          <cell r="AL29">
            <v>-0.189873417721519</v>
          </cell>
          <cell r="AM29">
            <v>-4.3478260869565188E-2</v>
          </cell>
          <cell r="AN29">
            <v>-7.7942857142857092E-2</v>
          </cell>
          <cell r="AO29">
            <v>-0.119596225587009</v>
          </cell>
          <cell r="AP29">
            <v>-0.21933884297520656</v>
          </cell>
          <cell r="AQ29">
            <v>-0.17648722541717732</v>
          </cell>
          <cell r="AR29">
            <v>-0.19513938527519659</v>
          </cell>
          <cell r="AS29">
            <v>28</v>
          </cell>
          <cell r="AT29">
            <v>4375</v>
          </cell>
          <cell r="AU29">
            <v>7</v>
          </cell>
          <cell r="AV29">
            <v>1015</v>
          </cell>
          <cell r="AW29">
            <v>20</v>
          </cell>
          <cell r="AX29">
            <v>2781</v>
          </cell>
          <cell r="AY29">
            <v>25</v>
          </cell>
          <cell r="AZ29">
            <v>3207</v>
          </cell>
          <cell r="BA29">
            <v>41</v>
          </cell>
          <cell r="BB29">
            <v>6125</v>
          </cell>
        </row>
        <row r="30">
          <cell r="C30" t="str">
            <v>Crossland Economy Studios</v>
          </cell>
          <cell r="N30" t="str">
            <v>Crossland Economy Studios</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row>
        <row r="31">
          <cell r="C31" t="str">
            <v>Crowne Plaza</v>
          </cell>
          <cell r="D31">
            <v>4</v>
          </cell>
          <cell r="E31">
            <v>4</v>
          </cell>
          <cell r="F31">
            <v>2</v>
          </cell>
          <cell r="G31">
            <v>6</v>
          </cell>
          <cell r="H31">
            <v>0</v>
          </cell>
          <cell r="I31">
            <v>840</v>
          </cell>
          <cell r="J31">
            <v>1433</v>
          </cell>
          <cell r="K31">
            <v>325</v>
          </cell>
          <cell r="L31">
            <v>1758</v>
          </cell>
          <cell r="M31">
            <v>0</v>
          </cell>
          <cell r="N31" t="str">
            <v>Crowne Plaza</v>
          </cell>
          <cell r="O31">
            <v>3</v>
          </cell>
          <cell r="P31">
            <v>5</v>
          </cell>
          <cell r="Q31">
            <v>2</v>
          </cell>
          <cell r="R31">
            <v>7</v>
          </cell>
          <cell r="S31">
            <v>0</v>
          </cell>
          <cell r="T31">
            <v>703</v>
          </cell>
          <cell r="U31">
            <v>1570</v>
          </cell>
          <cell r="V31">
            <v>325</v>
          </cell>
          <cell r="W31">
            <v>1895</v>
          </cell>
          <cell r="X31">
            <v>0</v>
          </cell>
          <cell r="Y31">
            <v>1</v>
          </cell>
          <cell r="Z31">
            <v>-1</v>
          </cell>
          <cell r="AA31">
            <v>0</v>
          </cell>
          <cell r="AB31">
            <v>-1</v>
          </cell>
          <cell r="AC31">
            <v>0</v>
          </cell>
          <cell r="AD31">
            <v>137</v>
          </cell>
          <cell r="AE31">
            <v>-137</v>
          </cell>
          <cell r="AF31">
            <v>0</v>
          </cell>
          <cell r="AG31">
            <v>-137</v>
          </cell>
          <cell r="AH31">
            <v>0</v>
          </cell>
          <cell r="AI31">
            <v>0.33333333333333326</v>
          </cell>
          <cell r="AJ31">
            <v>-0.19999999999999996</v>
          </cell>
          <cell r="AK31">
            <v>0</v>
          </cell>
          <cell r="AL31">
            <v>-0.1428571428571429</v>
          </cell>
          <cell r="AM31">
            <v>0</v>
          </cell>
          <cell r="AN31">
            <v>0.19487908961593181</v>
          </cell>
          <cell r="AO31">
            <v>-8.7261146496815267E-2</v>
          </cell>
          <cell r="AP31">
            <v>0</v>
          </cell>
          <cell r="AQ31">
            <v>-7.2295514511873327E-2</v>
          </cell>
          <cell r="AR31">
            <v>0</v>
          </cell>
          <cell r="AS31">
            <v>3</v>
          </cell>
          <cell r="AT31">
            <v>703</v>
          </cell>
          <cell r="AU31">
            <v>1</v>
          </cell>
          <cell r="AV31">
            <v>137</v>
          </cell>
          <cell r="AW31">
            <v>4</v>
          </cell>
          <cell r="AX31">
            <v>1433</v>
          </cell>
          <cell r="AY31">
            <v>1</v>
          </cell>
          <cell r="AZ31">
            <v>125</v>
          </cell>
          <cell r="BA31">
            <v>1</v>
          </cell>
          <cell r="BB31">
            <v>200</v>
          </cell>
        </row>
        <row r="32">
          <cell r="C32" t="str">
            <v>Days Inn</v>
          </cell>
          <cell r="D32">
            <v>11</v>
          </cell>
          <cell r="E32">
            <v>4</v>
          </cell>
          <cell r="F32">
            <v>8</v>
          </cell>
          <cell r="G32">
            <v>12</v>
          </cell>
          <cell r="H32">
            <v>21</v>
          </cell>
          <cell r="I32">
            <v>548</v>
          </cell>
          <cell r="J32">
            <v>296</v>
          </cell>
          <cell r="K32">
            <v>508</v>
          </cell>
          <cell r="L32">
            <v>804</v>
          </cell>
          <cell r="M32">
            <v>2255</v>
          </cell>
          <cell r="N32" t="str">
            <v>Days Inn</v>
          </cell>
          <cell r="O32">
            <v>13</v>
          </cell>
          <cell r="P32">
            <v>4</v>
          </cell>
          <cell r="Q32">
            <v>9</v>
          </cell>
          <cell r="R32">
            <v>13</v>
          </cell>
          <cell r="S32">
            <v>20</v>
          </cell>
          <cell r="T32">
            <v>606</v>
          </cell>
          <cell r="U32">
            <v>267</v>
          </cell>
          <cell r="V32">
            <v>602</v>
          </cell>
          <cell r="W32">
            <v>869</v>
          </cell>
          <cell r="X32">
            <v>2344</v>
          </cell>
          <cell r="Y32">
            <v>-2</v>
          </cell>
          <cell r="Z32">
            <v>0</v>
          </cell>
          <cell r="AA32">
            <v>-1</v>
          </cell>
          <cell r="AB32">
            <v>-1</v>
          </cell>
          <cell r="AC32">
            <v>1</v>
          </cell>
          <cell r="AD32">
            <v>-58</v>
          </cell>
          <cell r="AE32">
            <v>29</v>
          </cell>
          <cell r="AF32">
            <v>-94</v>
          </cell>
          <cell r="AG32">
            <v>-65</v>
          </cell>
          <cell r="AH32">
            <v>-89</v>
          </cell>
          <cell r="AI32">
            <v>-0.15384615384615385</v>
          </cell>
          <cell r="AJ32">
            <v>0</v>
          </cell>
          <cell r="AK32">
            <v>-0.11111111111111116</v>
          </cell>
          <cell r="AL32">
            <v>-7.6923076923076872E-2</v>
          </cell>
          <cell r="AM32">
            <v>5.0000000000000044E-2</v>
          </cell>
          <cell r="AN32">
            <v>-9.5709570957095758E-2</v>
          </cell>
          <cell r="AO32">
            <v>0.10861423220973787</v>
          </cell>
          <cell r="AP32">
            <v>-0.15614617940199338</v>
          </cell>
          <cell r="AQ32">
            <v>-7.4798619102416586E-2</v>
          </cell>
          <cell r="AR32">
            <v>-3.7969283276450549E-2</v>
          </cell>
          <cell r="AS32">
            <v>13</v>
          </cell>
          <cell r="AT32">
            <v>606</v>
          </cell>
          <cell r="AU32">
            <v>1</v>
          </cell>
          <cell r="AV32">
            <v>62</v>
          </cell>
          <cell r="AW32">
            <v>3</v>
          </cell>
          <cell r="AX32">
            <v>194</v>
          </cell>
          <cell r="AY32">
            <v>5</v>
          </cell>
          <cell r="AZ32">
            <v>400</v>
          </cell>
          <cell r="BA32">
            <v>25</v>
          </cell>
          <cell r="BB32">
            <v>2465</v>
          </cell>
        </row>
        <row r="33">
          <cell r="C33" t="str">
            <v>Doubletree Hotel</v>
          </cell>
          <cell r="D33">
            <v>2</v>
          </cell>
          <cell r="E33">
            <v>0</v>
          </cell>
          <cell r="F33">
            <v>3</v>
          </cell>
          <cell r="G33">
            <v>3</v>
          </cell>
          <cell r="H33">
            <v>0</v>
          </cell>
          <cell r="I33">
            <v>401</v>
          </cell>
          <cell r="J33">
            <v>0</v>
          </cell>
          <cell r="K33">
            <v>1754</v>
          </cell>
          <cell r="L33">
            <v>1754</v>
          </cell>
          <cell r="M33">
            <v>0</v>
          </cell>
          <cell r="N33" t="str">
            <v>Doubletree Hotel</v>
          </cell>
          <cell r="O33">
            <v>2</v>
          </cell>
          <cell r="P33">
            <v>2</v>
          </cell>
          <cell r="Q33">
            <v>4</v>
          </cell>
          <cell r="R33">
            <v>6</v>
          </cell>
          <cell r="S33">
            <v>0</v>
          </cell>
          <cell r="T33">
            <v>549</v>
          </cell>
          <cell r="U33">
            <v>501</v>
          </cell>
          <cell r="V33">
            <v>1973</v>
          </cell>
          <cell r="W33">
            <v>2474</v>
          </cell>
          <cell r="X33">
            <v>0</v>
          </cell>
          <cell r="Y33">
            <v>0</v>
          </cell>
          <cell r="Z33">
            <v>-2</v>
          </cell>
          <cell r="AA33">
            <v>-1</v>
          </cell>
          <cell r="AB33">
            <v>-3</v>
          </cell>
          <cell r="AC33">
            <v>0</v>
          </cell>
          <cell r="AD33">
            <v>-148</v>
          </cell>
          <cell r="AE33">
            <v>-501</v>
          </cell>
          <cell r="AF33">
            <v>-219</v>
          </cell>
          <cell r="AG33">
            <v>-720</v>
          </cell>
          <cell r="AH33">
            <v>0</v>
          </cell>
          <cell r="AI33">
            <v>0</v>
          </cell>
          <cell r="AJ33" t="str">
            <v>-na-</v>
          </cell>
          <cell r="AK33">
            <v>-0.25</v>
          </cell>
          <cell r="AL33">
            <v>-0.5</v>
          </cell>
          <cell r="AM33">
            <v>0</v>
          </cell>
          <cell r="AN33">
            <v>-0.26958105646630237</v>
          </cell>
          <cell r="AO33" t="str">
            <v>-na-</v>
          </cell>
          <cell r="AP33">
            <v>-0.11099847947288388</v>
          </cell>
          <cell r="AQ33">
            <v>-0.29102667744543254</v>
          </cell>
          <cell r="AR33">
            <v>0</v>
          </cell>
          <cell r="AS33">
            <v>2</v>
          </cell>
          <cell r="AT33">
            <v>549</v>
          </cell>
          <cell r="AU33">
            <v>1</v>
          </cell>
          <cell r="AV33">
            <v>256</v>
          </cell>
          <cell r="AW33">
            <v>0</v>
          </cell>
          <cell r="AX33">
            <v>0</v>
          </cell>
          <cell r="AY33">
            <v>0</v>
          </cell>
          <cell r="AZ33">
            <v>0</v>
          </cell>
          <cell r="BA33">
            <v>3</v>
          </cell>
          <cell r="BB33">
            <v>1754</v>
          </cell>
        </row>
        <row r="34">
          <cell r="C34" t="str">
            <v>Drury Inn</v>
          </cell>
          <cell r="D34">
            <v>3</v>
          </cell>
          <cell r="E34">
            <v>5</v>
          </cell>
          <cell r="F34">
            <v>4</v>
          </cell>
          <cell r="G34">
            <v>9</v>
          </cell>
          <cell r="H34">
            <v>2</v>
          </cell>
          <cell r="I34">
            <v>384</v>
          </cell>
          <cell r="J34">
            <v>887</v>
          </cell>
          <cell r="K34">
            <v>512</v>
          </cell>
          <cell r="L34">
            <v>1399</v>
          </cell>
          <cell r="M34">
            <v>283</v>
          </cell>
          <cell r="N34" t="str">
            <v>Drury Inn</v>
          </cell>
          <cell r="O34">
            <v>4</v>
          </cell>
          <cell r="P34">
            <v>4</v>
          </cell>
          <cell r="Q34">
            <v>5</v>
          </cell>
          <cell r="R34">
            <v>9</v>
          </cell>
          <cell r="S34">
            <v>1</v>
          </cell>
          <cell r="T34">
            <v>544</v>
          </cell>
          <cell r="U34">
            <v>720</v>
          </cell>
          <cell r="V34">
            <v>750</v>
          </cell>
          <cell r="W34">
            <v>1470</v>
          </cell>
          <cell r="X34">
            <v>149</v>
          </cell>
          <cell r="Y34">
            <v>-1</v>
          </cell>
          <cell r="Z34">
            <v>1</v>
          </cell>
          <cell r="AA34">
            <v>-1</v>
          </cell>
          <cell r="AB34">
            <v>0</v>
          </cell>
          <cell r="AC34">
            <v>1</v>
          </cell>
          <cell r="AD34">
            <v>-160</v>
          </cell>
          <cell r="AE34">
            <v>167</v>
          </cell>
          <cell r="AF34">
            <v>-238</v>
          </cell>
          <cell r="AG34">
            <v>-71</v>
          </cell>
          <cell r="AH34">
            <v>134</v>
          </cell>
          <cell r="AI34">
            <v>-0.25</v>
          </cell>
          <cell r="AJ34">
            <v>0.25</v>
          </cell>
          <cell r="AK34">
            <v>-0.19999999999999996</v>
          </cell>
          <cell r="AL34">
            <v>0</v>
          </cell>
          <cell r="AM34">
            <v>1</v>
          </cell>
          <cell r="AN34">
            <v>-0.29411764705882348</v>
          </cell>
          <cell r="AO34">
            <v>0.23194444444444451</v>
          </cell>
          <cell r="AP34">
            <v>-0.31733333333333336</v>
          </cell>
          <cell r="AQ34">
            <v>-4.8299319727891143E-2</v>
          </cell>
          <cell r="AR34">
            <v>0.89932885906040272</v>
          </cell>
          <cell r="AS34">
            <v>4</v>
          </cell>
          <cell r="AT34">
            <v>544</v>
          </cell>
          <cell r="AU34">
            <v>0</v>
          </cell>
          <cell r="AV34">
            <v>0</v>
          </cell>
          <cell r="AW34">
            <v>3</v>
          </cell>
          <cell r="AX34">
            <v>534</v>
          </cell>
          <cell r="AY34">
            <v>3</v>
          </cell>
          <cell r="AZ34">
            <v>416</v>
          </cell>
          <cell r="BA34">
            <v>5</v>
          </cell>
          <cell r="BB34">
            <v>732</v>
          </cell>
        </row>
        <row r="35">
          <cell r="C35" t="str">
            <v>Econo Lodge</v>
          </cell>
          <cell r="D35">
            <v>4</v>
          </cell>
          <cell r="E35">
            <v>1</v>
          </cell>
          <cell r="F35">
            <v>1</v>
          </cell>
          <cell r="G35">
            <v>2</v>
          </cell>
          <cell r="H35">
            <v>4</v>
          </cell>
          <cell r="I35">
            <v>201</v>
          </cell>
          <cell r="J35">
            <v>35</v>
          </cell>
          <cell r="K35">
            <v>42</v>
          </cell>
          <cell r="L35">
            <v>77</v>
          </cell>
          <cell r="M35">
            <v>180</v>
          </cell>
          <cell r="N35" t="str">
            <v>Econo Lodge</v>
          </cell>
          <cell r="O35">
            <v>3</v>
          </cell>
          <cell r="P35">
            <v>2</v>
          </cell>
          <cell r="Q35">
            <v>1</v>
          </cell>
          <cell r="R35">
            <v>3</v>
          </cell>
          <cell r="S35">
            <v>4</v>
          </cell>
          <cell r="T35">
            <v>155</v>
          </cell>
          <cell r="U35">
            <v>85</v>
          </cell>
          <cell r="V35">
            <v>42</v>
          </cell>
          <cell r="W35">
            <v>127</v>
          </cell>
          <cell r="X35">
            <v>180</v>
          </cell>
          <cell r="Y35">
            <v>1</v>
          </cell>
          <cell r="Z35">
            <v>-1</v>
          </cell>
          <cell r="AA35">
            <v>0</v>
          </cell>
          <cell r="AB35">
            <v>-1</v>
          </cell>
          <cell r="AC35">
            <v>0</v>
          </cell>
          <cell r="AD35">
            <v>46</v>
          </cell>
          <cell r="AE35">
            <v>-50</v>
          </cell>
          <cell r="AF35">
            <v>0</v>
          </cell>
          <cell r="AG35">
            <v>-50</v>
          </cell>
          <cell r="AH35">
            <v>0</v>
          </cell>
          <cell r="AI35">
            <v>0.33333333333333326</v>
          </cell>
          <cell r="AJ35">
            <v>-0.5</v>
          </cell>
          <cell r="AK35">
            <v>0</v>
          </cell>
          <cell r="AL35">
            <v>-0.33333333333333337</v>
          </cell>
          <cell r="AM35">
            <v>0</v>
          </cell>
          <cell r="AN35">
            <v>0.29677419354838719</v>
          </cell>
          <cell r="AO35">
            <v>-0.58823529411764708</v>
          </cell>
          <cell r="AP35">
            <v>0</v>
          </cell>
          <cell r="AQ35">
            <v>-0.39370078740157477</v>
          </cell>
          <cell r="AR35">
            <v>0</v>
          </cell>
          <cell r="AS35">
            <v>3</v>
          </cell>
          <cell r="AT35">
            <v>155</v>
          </cell>
          <cell r="AU35">
            <v>2</v>
          </cell>
          <cell r="AV35">
            <v>82</v>
          </cell>
          <cell r="AW35">
            <v>1</v>
          </cell>
          <cell r="AX35">
            <v>35</v>
          </cell>
          <cell r="AY35">
            <v>1</v>
          </cell>
          <cell r="AZ35">
            <v>42</v>
          </cell>
          <cell r="BA35">
            <v>4</v>
          </cell>
          <cell r="BB35">
            <v>180</v>
          </cell>
        </row>
        <row r="36">
          <cell r="C36" t="str">
            <v>Embassy Suites</v>
          </cell>
          <cell r="D36">
            <v>6</v>
          </cell>
          <cell r="E36">
            <v>5</v>
          </cell>
          <cell r="F36">
            <v>14</v>
          </cell>
          <cell r="G36">
            <v>19</v>
          </cell>
          <cell r="H36">
            <v>2</v>
          </cell>
          <cell r="I36">
            <v>1707</v>
          </cell>
          <cell r="J36">
            <v>1093</v>
          </cell>
          <cell r="K36">
            <v>3088</v>
          </cell>
          <cell r="L36">
            <v>4181</v>
          </cell>
          <cell r="M36">
            <v>449</v>
          </cell>
          <cell r="N36" t="str">
            <v>Embassy Suites</v>
          </cell>
          <cell r="O36">
            <v>7</v>
          </cell>
          <cell r="P36">
            <v>5</v>
          </cell>
          <cell r="Q36">
            <v>12</v>
          </cell>
          <cell r="R36">
            <v>17</v>
          </cell>
          <cell r="S36">
            <v>8</v>
          </cell>
          <cell r="T36">
            <v>1862</v>
          </cell>
          <cell r="U36">
            <v>1093</v>
          </cell>
          <cell r="V36">
            <v>2705</v>
          </cell>
          <cell r="W36">
            <v>3798</v>
          </cell>
          <cell r="X36">
            <v>1699</v>
          </cell>
          <cell r="Y36">
            <v>-1</v>
          </cell>
          <cell r="Z36">
            <v>0</v>
          </cell>
          <cell r="AA36">
            <v>2</v>
          </cell>
          <cell r="AB36">
            <v>2</v>
          </cell>
          <cell r="AC36">
            <v>-6</v>
          </cell>
          <cell r="AD36">
            <v>-155</v>
          </cell>
          <cell r="AE36">
            <v>0</v>
          </cell>
          <cell r="AF36">
            <v>383</v>
          </cell>
          <cell r="AG36">
            <v>383</v>
          </cell>
          <cell r="AH36">
            <v>-1250</v>
          </cell>
          <cell r="AI36">
            <v>-0.1428571428571429</v>
          </cell>
          <cell r="AJ36">
            <v>0</v>
          </cell>
          <cell r="AK36">
            <v>0.16666666666666674</v>
          </cell>
          <cell r="AL36">
            <v>0.11764705882352944</v>
          </cell>
          <cell r="AM36">
            <v>-0.75</v>
          </cell>
          <cell r="AN36">
            <v>-8.324382384532758E-2</v>
          </cell>
          <cell r="AO36">
            <v>0</v>
          </cell>
          <cell r="AP36">
            <v>0.14158964879852132</v>
          </cell>
          <cell r="AQ36">
            <v>0.10084254870984721</v>
          </cell>
          <cell r="AR36">
            <v>-0.73572689817539727</v>
          </cell>
          <cell r="AS36">
            <v>7</v>
          </cell>
          <cell r="AT36">
            <v>1862</v>
          </cell>
          <cell r="AU36">
            <v>0</v>
          </cell>
          <cell r="AV36">
            <v>0</v>
          </cell>
          <cell r="AW36">
            <v>2</v>
          </cell>
          <cell r="AX36">
            <v>398</v>
          </cell>
          <cell r="AY36">
            <v>4</v>
          </cell>
          <cell r="AZ36">
            <v>845</v>
          </cell>
          <cell r="BA36">
            <v>15</v>
          </cell>
          <cell r="BB36">
            <v>3387</v>
          </cell>
        </row>
        <row r="37">
          <cell r="C37" t="str">
            <v>Extended Stay America</v>
          </cell>
          <cell r="D37">
            <v>41</v>
          </cell>
          <cell r="E37">
            <v>8</v>
          </cell>
          <cell r="F37">
            <v>12</v>
          </cell>
          <cell r="G37">
            <v>20</v>
          </cell>
          <cell r="H37">
            <v>0</v>
          </cell>
          <cell r="I37">
            <v>4367</v>
          </cell>
          <cell r="J37">
            <v>912</v>
          </cell>
          <cell r="K37">
            <v>1332</v>
          </cell>
          <cell r="L37">
            <v>2244</v>
          </cell>
          <cell r="M37">
            <v>0</v>
          </cell>
          <cell r="N37" t="str">
            <v>Extended Stay America</v>
          </cell>
          <cell r="O37">
            <v>34</v>
          </cell>
          <cell r="P37">
            <v>22</v>
          </cell>
          <cell r="Q37">
            <v>11</v>
          </cell>
          <cell r="R37">
            <v>33</v>
          </cell>
          <cell r="S37">
            <v>0</v>
          </cell>
          <cell r="T37">
            <v>3639</v>
          </cell>
          <cell r="U37">
            <v>2431</v>
          </cell>
          <cell r="V37">
            <v>1220</v>
          </cell>
          <cell r="W37">
            <v>3651</v>
          </cell>
          <cell r="X37">
            <v>0</v>
          </cell>
          <cell r="Y37">
            <v>7</v>
          </cell>
          <cell r="Z37">
            <v>-14</v>
          </cell>
          <cell r="AA37">
            <v>1</v>
          </cell>
          <cell r="AB37">
            <v>-13</v>
          </cell>
          <cell r="AC37">
            <v>0</v>
          </cell>
          <cell r="AD37">
            <v>728</v>
          </cell>
          <cell r="AE37">
            <v>-1519</v>
          </cell>
          <cell r="AF37">
            <v>112</v>
          </cell>
          <cell r="AG37">
            <v>-1407</v>
          </cell>
          <cell r="AH37">
            <v>0</v>
          </cell>
          <cell r="AI37">
            <v>0.20588235294117641</v>
          </cell>
          <cell r="AJ37">
            <v>-0.63636363636363635</v>
          </cell>
          <cell r="AK37">
            <v>9.0909090909090828E-2</v>
          </cell>
          <cell r="AL37">
            <v>-0.39393939393939392</v>
          </cell>
          <cell r="AM37">
            <v>0</v>
          </cell>
          <cell r="AN37">
            <v>0.20005496015388835</v>
          </cell>
          <cell r="AO37">
            <v>-0.62484574249280134</v>
          </cell>
          <cell r="AP37">
            <v>9.1803278688524559E-2</v>
          </cell>
          <cell r="AQ37">
            <v>-0.38537387017255542</v>
          </cell>
          <cell r="AR37">
            <v>0</v>
          </cell>
          <cell r="AS37">
            <v>34</v>
          </cell>
          <cell r="AT37">
            <v>3639</v>
          </cell>
          <cell r="AU37">
            <v>14</v>
          </cell>
          <cell r="AV37">
            <v>1547</v>
          </cell>
          <cell r="AW37">
            <v>8</v>
          </cell>
          <cell r="AX37">
            <v>912</v>
          </cell>
          <cell r="AY37">
            <v>5</v>
          </cell>
          <cell r="AZ37">
            <v>556</v>
          </cell>
          <cell r="BA37">
            <v>7</v>
          </cell>
          <cell r="BB37">
            <v>776</v>
          </cell>
        </row>
        <row r="38">
          <cell r="C38" t="str">
            <v>Fairfield Inn</v>
          </cell>
          <cell r="D38">
            <v>21</v>
          </cell>
          <cell r="E38">
            <v>19</v>
          </cell>
          <cell r="F38">
            <v>18</v>
          </cell>
          <cell r="G38">
            <v>37</v>
          </cell>
          <cell r="H38">
            <v>12</v>
          </cell>
          <cell r="I38">
            <v>1961</v>
          </cell>
          <cell r="J38">
            <v>1782</v>
          </cell>
          <cell r="K38">
            <v>1696</v>
          </cell>
          <cell r="L38">
            <v>3478</v>
          </cell>
          <cell r="M38">
            <v>1064</v>
          </cell>
          <cell r="N38" t="str">
            <v>Fairfield Inn</v>
          </cell>
          <cell r="O38">
            <v>21</v>
          </cell>
          <cell r="P38">
            <v>22</v>
          </cell>
          <cell r="Q38">
            <v>21</v>
          </cell>
          <cell r="R38">
            <v>43</v>
          </cell>
          <cell r="S38">
            <v>9</v>
          </cell>
          <cell r="T38">
            <v>2064</v>
          </cell>
          <cell r="U38">
            <v>1991</v>
          </cell>
          <cell r="V38">
            <v>1966</v>
          </cell>
          <cell r="W38">
            <v>3957</v>
          </cell>
          <cell r="X38">
            <v>732</v>
          </cell>
          <cell r="Y38">
            <v>0</v>
          </cell>
          <cell r="Z38">
            <v>-3</v>
          </cell>
          <cell r="AA38">
            <v>-3</v>
          </cell>
          <cell r="AB38">
            <v>-6</v>
          </cell>
          <cell r="AC38">
            <v>3</v>
          </cell>
          <cell r="AD38">
            <v>-103</v>
          </cell>
          <cell r="AE38">
            <v>-209</v>
          </cell>
          <cell r="AF38">
            <v>-270</v>
          </cell>
          <cell r="AG38">
            <v>-479</v>
          </cell>
          <cell r="AH38">
            <v>332</v>
          </cell>
          <cell r="AI38">
            <v>0</v>
          </cell>
          <cell r="AJ38">
            <v>-0.13636363636363635</v>
          </cell>
          <cell r="AK38">
            <v>-0.1428571428571429</v>
          </cell>
          <cell r="AL38">
            <v>-0.13953488372093026</v>
          </cell>
          <cell r="AM38">
            <v>0.33333333333333326</v>
          </cell>
          <cell r="AN38">
            <v>-4.9903100775193776E-2</v>
          </cell>
          <cell r="AO38">
            <v>-0.10497237569060769</v>
          </cell>
          <cell r="AP38">
            <v>-0.13733468972533058</v>
          </cell>
          <cell r="AQ38">
            <v>-0.12105130149102861</v>
          </cell>
          <cell r="AR38">
            <v>0.45355191256830607</v>
          </cell>
          <cell r="AS38">
            <v>21</v>
          </cell>
          <cell r="AT38">
            <v>2064</v>
          </cell>
          <cell r="AU38">
            <v>5</v>
          </cell>
          <cell r="AV38">
            <v>383</v>
          </cell>
          <cell r="AW38">
            <v>19</v>
          </cell>
          <cell r="AX38">
            <v>1765</v>
          </cell>
          <cell r="AY38">
            <v>15</v>
          </cell>
          <cell r="AZ38">
            <v>1426</v>
          </cell>
          <cell r="BA38">
            <v>15</v>
          </cell>
          <cell r="BB38">
            <v>1351</v>
          </cell>
        </row>
        <row r="39">
          <cell r="C39" t="str">
            <v>Fairmont Hotel</v>
          </cell>
          <cell r="D39">
            <v>1</v>
          </cell>
          <cell r="E39">
            <v>0</v>
          </cell>
          <cell r="F39">
            <v>0</v>
          </cell>
          <cell r="G39">
            <v>0</v>
          </cell>
          <cell r="H39">
            <v>0</v>
          </cell>
          <cell r="I39">
            <v>264</v>
          </cell>
          <cell r="J39">
            <v>0</v>
          </cell>
          <cell r="K39">
            <v>0</v>
          </cell>
          <cell r="L39">
            <v>0</v>
          </cell>
          <cell r="M39">
            <v>0</v>
          </cell>
          <cell r="N39" t="str">
            <v>Fairmont Hotel</v>
          </cell>
          <cell r="O39">
            <v>0</v>
          </cell>
          <cell r="P39">
            <v>1</v>
          </cell>
          <cell r="Q39">
            <v>0</v>
          </cell>
          <cell r="R39">
            <v>1</v>
          </cell>
          <cell r="S39">
            <v>0</v>
          </cell>
          <cell r="T39">
            <v>0</v>
          </cell>
          <cell r="U39">
            <v>264</v>
          </cell>
          <cell r="V39">
            <v>0</v>
          </cell>
          <cell r="W39">
            <v>264</v>
          </cell>
          <cell r="X39">
            <v>0</v>
          </cell>
          <cell r="Y39">
            <v>1</v>
          </cell>
          <cell r="Z39">
            <v>-1</v>
          </cell>
          <cell r="AA39">
            <v>0</v>
          </cell>
          <cell r="AB39">
            <v>-1</v>
          </cell>
          <cell r="AC39">
            <v>0</v>
          </cell>
          <cell r="AD39">
            <v>264</v>
          </cell>
          <cell r="AE39">
            <v>-264</v>
          </cell>
          <cell r="AF39">
            <v>0</v>
          </cell>
          <cell r="AG39">
            <v>-264</v>
          </cell>
          <cell r="AH39">
            <v>0</v>
          </cell>
          <cell r="AI39" t="str">
            <v>-na-</v>
          </cell>
          <cell r="AJ39" t="str">
            <v>-na-</v>
          </cell>
          <cell r="AK39">
            <v>0</v>
          </cell>
          <cell r="AL39" t="str">
            <v>-na-</v>
          </cell>
          <cell r="AM39">
            <v>0</v>
          </cell>
          <cell r="AN39" t="str">
            <v>-na-</v>
          </cell>
          <cell r="AO39" t="str">
            <v>-na-</v>
          </cell>
          <cell r="AP39">
            <v>0</v>
          </cell>
          <cell r="AQ39" t="str">
            <v>-na-</v>
          </cell>
          <cell r="AR39">
            <v>0</v>
          </cell>
          <cell r="AS39">
            <v>0</v>
          </cell>
          <cell r="AT39">
            <v>0</v>
          </cell>
          <cell r="AU39">
            <v>1</v>
          </cell>
          <cell r="AV39">
            <v>264</v>
          </cell>
          <cell r="AW39">
            <v>0</v>
          </cell>
          <cell r="AX39">
            <v>0</v>
          </cell>
          <cell r="AY39">
            <v>0</v>
          </cell>
          <cell r="AZ39">
            <v>0</v>
          </cell>
          <cell r="BA39">
            <v>0</v>
          </cell>
          <cell r="BB39">
            <v>0</v>
          </cell>
        </row>
        <row r="40">
          <cell r="C40" t="str">
            <v>Family Inns of America</v>
          </cell>
          <cell r="D40">
            <v>0</v>
          </cell>
          <cell r="E40">
            <v>1</v>
          </cell>
          <cell r="F40">
            <v>0</v>
          </cell>
          <cell r="G40">
            <v>1</v>
          </cell>
          <cell r="H40">
            <v>0</v>
          </cell>
          <cell r="I40">
            <v>0</v>
          </cell>
          <cell r="J40">
            <v>150</v>
          </cell>
          <cell r="K40">
            <v>0</v>
          </cell>
          <cell r="L40">
            <v>150</v>
          </cell>
          <cell r="M40">
            <v>0</v>
          </cell>
          <cell r="N40" t="str">
            <v>Family Inns of America</v>
          </cell>
          <cell r="O40">
            <v>0</v>
          </cell>
          <cell r="P40">
            <v>0</v>
          </cell>
          <cell r="Q40">
            <v>0</v>
          </cell>
          <cell r="R40">
            <v>0</v>
          </cell>
          <cell r="S40">
            <v>0</v>
          </cell>
          <cell r="T40">
            <v>0</v>
          </cell>
          <cell r="U40">
            <v>0</v>
          </cell>
          <cell r="V40">
            <v>0</v>
          </cell>
          <cell r="W40">
            <v>0</v>
          </cell>
          <cell r="X40">
            <v>0</v>
          </cell>
          <cell r="Y40">
            <v>0</v>
          </cell>
          <cell r="Z40">
            <v>1</v>
          </cell>
          <cell r="AA40">
            <v>0</v>
          </cell>
          <cell r="AB40">
            <v>1</v>
          </cell>
          <cell r="AC40">
            <v>0</v>
          </cell>
          <cell r="AD40">
            <v>0</v>
          </cell>
          <cell r="AE40">
            <v>150</v>
          </cell>
          <cell r="AF40">
            <v>0</v>
          </cell>
          <cell r="AG40">
            <v>150</v>
          </cell>
          <cell r="AH40">
            <v>0</v>
          </cell>
          <cell r="AI40">
            <v>0</v>
          </cell>
          <cell r="AJ40" t="str">
            <v>-na-</v>
          </cell>
          <cell r="AK40">
            <v>0</v>
          </cell>
          <cell r="AL40" t="str">
            <v>-na-</v>
          </cell>
          <cell r="AM40">
            <v>0</v>
          </cell>
          <cell r="AN40">
            <v>0</v>
          </cell>
          <cell r="AO40" t="str">
            <v>-na-</v>
          </cell>
          <cell r="AP40">
            <v>0</v>
          </cell>
          <cell r="AQ40" t="str">
            <v>-na-</v>
          </cell>
          <cell r="AR40">
            <v>0</v>
          </cell>
          <cell r="AS40">
            <v>0</v>
          </cell>
          <cell r="AT40">
            <v>0</v>
          </cell>
          <cell r="AU40">
            <v>0</v>
          </cell>
          <cell r="AV40">
            <v>0</v>
          </cell>
          <cell r="AW40">
            <v>1</v>
          </cell>
          <cell r="AX40">
            <v>150</v>
          </cell>
          <cell r="AY40">
            <v>0</v>
          </cell>
          <cell r="AZ40">
            <v>0</v>
          </cell>
          <cell r="BA40">
            <v>0</v>
          </cell>
          <cell r="BB40">
            <v>0</v>
          </cell>
        </row>
        <row r="41">
          <cell r="C41" t="str">
            <v>Four Points Hotel</v>
          </cell>
          <cell r="D41">
            <v>3</v>
          </cell>
          <cell r="E41">
            <v>2</v>
          </cell>
          <cell r="F41">
            <v>3</v>
          </cell>
          <cell r="G41">
            <v>5</v>
          </cell>
          <cell r="H41">
            <v>0</v>
          </cell>
          <cell r="I41">
            <v>391</v>
          </cell>
          <cell r="J41">
            <v>283</v>
          </cell>
          <cell r="K41">
            <v>300</v>
          </cell>
          <cell r="L41">
            <v>583</v>
          </cell>
          <cell r="M41">
            <v>0</v>
          </cell>
          <cell r="N41" t="str">
            <v>Four Points Hotel</v>
          </cell>
          <cell r="O41">
            <v>2</v>
          </cell>
          <cell r="P41">
            <v>2</v>
          </cell>
          <cell r="Q41">
            <v>2</v>
          </cell>
          <cell r="R41">
            <v>4</v>
          </cell>
          <cell r="S41">
            <v>0</v>
          </cell>
          <cell r="T41">
            <v>268</v>
          </cell>
          <cell r="U41">
            <v>249</v>
          </cell>
          <cell r="V41">
            <v>200</v>
          </cell>
          <cell r="W41">
            <v>449</v>
          </cell>
          <cell r="X41">
            <v>0</v>
          </cell>
          <cell r="Y41">
            <v>1</v>
          </cell>
          <cell r="Z41">
            <v>0</v>
          </cell>
          <cell r="AA41">
            <v>1</v>
          </cell>
          <cell r="AB41">
            <v>1</v>
          </cell>
          <cell r="AC41">
            <v>0</v>
          </cell>
          <cell r="AD41">
            <v>123</v>
          </cell>
          <cell r="AE41">
            <v>34</v>
          </cell>
          <cell r="AF41">
            <v>100</v>
          </cell>
          <cell r="AG41">
            <v>134</v>
          </cell>
          <cell r="AH41">
            <v>0</v>
          </cell>
          <cell r="AI41">
            <v>0.5</v>
          </cell>
          <cell r="AJ41">
            <v>0</v>
          </cell>
          <cell r="AK41">
            <v>0.5</v>
          </cell>
          <cell r="AL41">
            <v>0.25</v>
          </cell>
          <cell r="AM41">
            <v>0</v>
          </cell>
          <cell r="AN41">
            <v>0.45895522388059695</v>
          </cell>
          <cell r="AO41">
            <v>0.13654618473895574</v>
          </cell>
          <cell r="AP41">
            <v>0.5</v>
          </cell>
          <cell r="AQ41">
            <v>0.2984409799554566</v>
          </cell>
          <cell r="AR41">
            <v>0</v>
          </cell>
          <cell r="AS41">
            <v>2</v>
          </cell>
          <cell r="AT41">
            <v>268</v>
          </cell>
          <cell r="AU41">
            <v>1</v>
          </cell>
          <cell r="AV41">
            <v>123</v>
          </cell>
          <cell r="AW41">
            <v>1</v>
          </cell>
          <cell r="AX41">
            <v>125</v>
          </cell>
          <cell r="AY41">
            <v>4</v>
          </cell>
          <cell r="AZ41">
            <v>458</v>
          </cell>
          <cell r="BA41">
            <v>0</v>
          </cell>
          <cell r="BB41">
            <v>0</v>
          </cell>
        </row>
        <row r="42">
          <cell r="C42" t="str">
            <v>Four Seasons</v>
          </cell>
          <cell r="D42">
            <v>1</v>
          </cell>
          <cell r="E42">
            <v>2</v>
          </cell>
          <cell r="F42">
            <v>0</v>
          </cell>
          <cell r="G42">
            <v>2</v>
          </cell>
          <cell r="H42">
            <v>0</v>
          </cell>
          <cell r="I42">
            <v>277</v>
          </cell>
          <cell r="J42">
            <v>347</v>
          </cell>
          <cell r="K42">
            <v>0</v>
          </cell>
          <cell r="L42">
            <v>347</v>
          </cell>
          <cell r="M42">
            <v>0</v>
          </cell>
          <cell r="N42" t="str">
            <v>Four Seasons</v>
          </cell>
          <cell r="O42">
            <v>1</v>
          </cell>
          <cell r="P42">
            <v>2</v>
          </cell>
          <cell r="Q42">
            <v>0</v>
          </cell>
          <cell r="R42">
            <v>2</v>
          </cell>
          <cell r="S42">
            <v>0</v>
          </cell>
          <cell r="T42">
            <v>277</v>
          </cell>
          <cell r="U42">
            <v>347</v>
          </cell>
          <cell r="V42">
            <v>0</v>
          </cell>
          <cell r="W42">
            <v>347</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1</v>
          </cell>
          <cell r="AT42">
            <v>277</v>
          </cell>
          <cell r="AU42">
            <v>0</v>
          </cell>
          <cell r="AV42">
            <v>0</v>
          </cell>
          <cell r="AW42">
            <v>1</v>
          </cell>
          <cell r="AX42">
            <v>222</v>
          </cell>
          <cell r="AY42">
            <v>1</v>
          </cell>
          <cell r="AZ42">
            <v>125</v>
          </cell>
          <cell r="BA42">
            <v>0</v>
          </cell>
          <cell r="BB42">
            <v>0</v>
          </cell>
        </row>
        <row r="43">
          <cell r="C43" t="str">
            <v>Friendship Inn</v>
          </cell>
          <cell r="N43" t="str">
            <v>Friendship Inn</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row>
        <row r="44">
          <cell r="C44" t="str">
            <v>GuestHouse Inns</v>
          </cell>
          <cell r="D44">
            <v>2</v>
          </cell>
          <cell r="E44">
            <v>0</v>
          </cell>
          <cell r="F44">
            <v>0</v>
          </cell>
          <cell r="G44">
            <v>0</v>
          </cell>
          <cell r="H44">
            <v>0</v>
          </cell>
          <cell r="I44">
            <v>81</v>
          </cell>
          <cell r="J44">
            <v>0</v>
          </cell>
          <cell r="K44">
            <v>0</v>
          </cell>
          <cell r="L44">
            <v>0</v>
          </cell>
          <cell r="M44">
            <v>0</v>
          </cell>
          <cell r="N44" t="str">
            <v>GuestHouse Inn</v>
          </cell>
          <cell r="O44">
            <v>6</v>
          </cell>
          <cell r="P44">
            <v>0</v>
          </cell>
          <cell r="Q44">
            <v>0</v>
          </cell>
          <cell r="R44">
            <v>0</v>
          </cell>
          <cell r="S44">
            <v>0</v>
          </cell>
          <cell r="T44">
            <v>252</v>
          </cell>
          <cell r="U44">
            <v>0</v>
          </cell>
          <cell r="V44">
            <v>0</v>
          </cell>
          <cell r="W44">
            <v>0</v>
          </cell>
          <cell r="X44">
            <v>0</v>
          </cell>
          <cell r="Y44">
            <v>-4</v>
          </cell>
          <cell r="Z44">
            <v>0</v>
          </cell>
          <cell r="AA44">
            <v>0</v>
          </cell>
          <cell r="AB44">
            <v>0</v>
          </cell>
          <cell r="AC44">
            <v>0</v>
          </cell>
          <cell r="AD44">
            <v>-171</v>
          </cell>
          <cell r="AE44">
            <v>0</v>
          </cell>
          <cell r="AF44">
            <v>0</v>
          </cell>
          <cell r="AG44">
            <v>0</v>
          </cell>
          <cell r="AH44">
            <v>0</v>
          </cell>
          <cell r="AI44">
            <v>-0.66666666666666674</v>
          </cell>
          <cell r="AJ44">
            <v>0</v>
          </cell>
          <cell r="AK44">
            <v>0</v>
          </cell>
          <cell r="AL44">
            <v>0</v>
          </cell>
          <cell r="AM44">
            <v>0</v>
          </cell>
          <cell r="AN44">
            <v>-0.6785714285714286</v>
          </cell>
          <cell r="AO44">
            <v>0</v>
          </cell>
          <cell r="AP44">
            <v>0</v>
          </cell>
          <cell r="AQ44">
            <v>0</v>
          </cell>
          <cell r="AR44">
            <v>0</v>
          </cell>
          <cell r="AS44">
            <v>6</v>
          </cell>
          <cell r="AT44">
            <v>252</v>
          </cell>
          <cell r="AU44">
            <v>0</v>
          </cell>
          <cell r="AV44">
            <v>0</v>
          </cell>
          <cell r="AW44">
            <v>0</v>
          </cell>
          <cell r="AX44">
            <v>0</v>
          </cell>
          <cell r="AY44">
            <v>0</v>
          </cell>
          <cell r="AZ44">
            <v>0</v>
          </cell>
          <cell r="BA44">
            <v>0</v>
          </cell>
          <cell r="BB44">
            <v>0</v>
          </cell>
        </row>
        <row r="45">
          <cell r="C45" t="str">
            <v>Hampton Inn</v>
          </cell>
          <cell r="D45">
            <v>58</v>
          </cell>
          <cell r="E45">
            <v>34</v>
          </cell>
          <cell r="F45">
            <v>36</v>
          </cell>
          <cell r="G45">
            <v>70</v>
          </cell>
          <cell r="H45">
            <v>5</v>
          </cell>
          <cell r="I45">
            <v>4845</v>
          </cell>
          <cell r="J45">
            <v>2851</v>
          </cell>
          <cell r="K45">
            <v>3016</v>
          </cell>
          <cell r="L45">
            <v>5867</v>
          </cell>
          <cell r="M45">
            <v>390</v>
          </cell>
          <cell r="N45" t="str">
            <v>Hampton Inn</v>
          </cell>
          <cell r="O45">
            <v>65</v>
          </cell>
          <cell r="P45">
            <v>39</v>
          </cell>
          <cell r="Q45">
            <v>28</v>
          </cell>
          <cell r="R45">
            <v>67</v>
          </cell>
          <cell r="S45">
            <v>6</v>
          </cell>
          <cell r="T45">
            <v>5509</v>
          </cell>
          <cell r="U45">
            <v>3247</v>
          </cell>
          <cell r="V45">
            <v>2450</v>
          </cell>
          <cell r="W45">
            <v>5697</v>
          </cell>
          <cell r="X45">
            <v>439</v>
          </cell>
          <cell r="Y45">
            <v>-7</v>
          </cell>
          <cell r="Z45">
            <v>-5</v>
          </cell>
          <cell r="AA45">
            <v>8</v>
          </cell>
          <cell r="AB45">
            <v>3</v>
          </cell>
          <cell r="AC45">
            <v>-1</v>
          </cell>
          <cell r="AD45">
            <v>-664</v>
          </cell>
          <cell r="AE45">
            <v>-396</v>
          </cell>
          <cell r="AF45">
            <v>566</v>
          </cell>
          <cell r="AG45">
            <v>170</v>
          </cell>
          <cell r="AH45">
            <v>-49</v>
          </cell>
          <cell r="AI45">
            <v>-0.10769230769230764</v>
          </cell>
          <cell r="AJ45">
            <v>-0.12820512820512819</v>
          </cell>
          <cell r="AK45">
            <v>0.28571428571428581</v>
          </cell>
          <cell r="AL45">
            <v>4.4776119402984982E-2</v>
          </cell>
          <cell r="AM45">
            <v>-0.16666666666666663</v>
          </cell>
          <cell r="AN45">
            <v>-0.12053004174986381</v>
          </cell>
          <cell r="AO45">
            <v>-0.12195873113643363</v>
          </cell>
          <cell r="AP45">
            <v>0.23102040816326541</v>
          </cell>
          <cell r="AQ45">
            <v>2.9840266807091398E-2</v>
          </cell>
          <cell r="AR45">
            <v>-0.11161731207289294</v>
          </cell>
          <cell r="AS45">
            <v>65</v>
          </cell>
          <cell r="AT45">
            <v>5509</v>
          </cell>
          <cell r="AU45">
            <v>10</v>
          </cell>
          <cell r="AV45">
            <v>911</v>
          </cell>
          <cell r="AW45">
            <v>33</v>
          </cell>
          <cell r="AX45">
            <v>2701</v>
          </cell>
          <cell r="AY45">
            <v>28</v>
          </cell>
          <cell r="AZ45">
            <v>2267</v>
          </cell>
          <cell r="BA45">
            <v>14</v>
          </cell>
          <cell r="BB45">
            <v>1289</v>
          </cell>
        </row>
        <row r="46">
          <cell r="C46" t="str">
            <v>Hampton Inn &amp; Suites</v>
          </cell>
          <cell r="D46">
            <v>16</v>
          </cell>
          <cell r="E46">
            <v>29</v>
          </cell>
          <cell r="F46">
            <v>39</v>
          </cell>
          <cell r="G46">
            <v>68</v>
          </cell>
          <cell r="H46">
            <v>2</v>
          </cell>
          <cell r="I46">
            <v>1437</v>
          </cell>
          <cell r="J46">
            <v>2772</v>
          </cell>
          <cell r="K46">
            <v>3762</v>
          </cell>
          <cell r="L46">
            <v>6534</v>
          </cell>
          <cell r="M46">
            <v>235</v>
          </cell>
          <cell r="N46" t="str">
            <v>Hampton Inn &amp; Suites</v>
          </cell>
          <cell r="O46">
            <v>14</v>
          </cell>
          <cell r="P46">
            <v>25</v>
          </cell>
          <cell r="Q46">
            <v>39</v>
          </cell>
          <cell r="R46">
            <v>64</v>
          </cell>
          <cell r="S46">
            <v>7</v>
          </cell>
          <cell r="T46">
            <v>1330</v>
          </cell>
          <cell r="U46">
            <v>2450</v>
          </cell>
          <cell r="V46">
            <v>3820</v>
          </cell>
          <cell r="W46">
            <v>6270</v>
          </cell>
          <cell r="X46">
            <v>739</v>
          </cell>
          <cell r="Y46">
            <v>2</v>
          </cell>
          <cell r="Z46">
            <v>4</v>
          </cell>
          <cell r="AA46">
            <v>0</v>
          </cell>
          <cell r="AB46">
            <v>4</v>
          </cell>
          <cell r="AC46">
            <v>-5</v>
          </cell>
          <cell r="AD46">
            <v>107</v>
          </cell>
          <cell r="AE46">
            <v>322</v>
          </cell>
          <cell r="AF46">
            <v>-58</v>
          </cell>
          <cell r="AG46">
            <v>264</v>
          </cell>
          <cell r="AH46">
            <v>-504</v>
          </cell>
          <cell r="AI46">
            <v>0.14285714285714279</v>
          </cell>
          <cell r="AJ46">
            <v>0.15999999999999992</v>
          </cell>
          <cell r="AK46">
            <v>0</v>
          </cell>
          <cell r="AL46">
            <v>6.25E-2</v>
          </cell>
          <cell r="AM46">
            <v>-0.7142857142857143</v>
          </cell>
          <cell r="AN46">
            <v>8.0451127819548773E-2</v>
          </cell>
          <cell r="AO46">
            <v>0.13142857142857145</v>
          </cell>
          <cell r="AP46">
            <v>-1.5183246073298462E-2</v>
          </cell>
          <cell r="AQ46">
            <v>4.2105263157894646E-2</v>
          </cell>
          <cell r="AR46">
            <v>-0.68200270635994586</v>
          </cell>
          <cell r="AS46">
            <v>14</v>
          </cell>
          <cell r="AT46">
            <v>1330</v>
          </cell>
          <cell r="AU46">
            <v>5</v>
          </cell>
          <cell r="AV46">
            <v>383</v>
          </cell>
          <cell r="AW46">
            <v>22</v>
          </cell>
          <cell r="AX46">
            <v>2127</v>
          </cell>
          <cell r="AY46">
            <v>41</v>
          </cell>
          <cell r="AZ46">
            <v>3868</v>
          </cell>
          <cell r="BA46">
            <v>7</v>
          </cell>
          <cell r="BB46">
            <v>774</v>
          </cell>
        </row>
        <row r="47">
          <cell r="C47" t="str">
            <v>Hawthorn Suites</v>
          </cell>
          <cell r="D47">
            <v>11</v>
          </cell>
          <cell r="E47">
            <v>3</v>
          </cell>
          <cell r="F47">
            <v>18</v>
          </cell>
          <cell r="G47">
            <v>21</v>
          </cell>
          <cell r="H47">
            <v>17</v>
          </cell>
          <cell r="I47">
            <v>914</v>
          </cell>
          <cell r="J47">
            <v>240</v>
          </cell>
          <cell r="K47">
            <v>1503</v>
          </cell>
          <cell r="L47">
            <v>1743</v>
          </cell>
          <cell r="M47">
            <v>1349</v>
          </cell>
          <cell r="N47" t="str">
            <v>Hawthorn Suites</v>
          </cell>
          <cell r="O47">
            <v>8</v>
          </cell>
          <cell r="P47">
            <v>6</v>
          </cell>
          <cell r="Q47">
            <v>24</v>
          </cell>
          <cell r="R47">
            <v>30</v>
          </cell>
          <cell r="S47">
            <v>15</v>
          </cell>
          <cell r="T47">
            <v>691</v>
          </cell>
          <cell r="U47">
            <v>477</v>
          </cell>
          <cell r="V47">
            <v>2252</v>
          </cell>
          <cell r="W47">
            <v>2729</v>
          </cell>
          <cell r="X47">
            <v>1174</v>
          </cell>
          <cell r="Y47">
            <v>3</v>
          </cell>
          <cell r="Z47">
            <v>-3</v>
          </cell>
          <cell r="AA47">
            <v>-6</v>
          </cell>
          <cell r="AB47">
            <v>-9</v>
          </cell>
          <cell r="AC47">
            <v>2</v>
          </cell>
          <cell r="AD47">
            <v>223</v>
          </cell>
          <cell r="AE47">
            <v>-237</v>
          </cell>
          <cell r="AF47">
            <v>-749</v>
          </cell>
          <cell r="AG47">
            <v>-986</v>
          </cell>
          <cell r="AH47">
            <v>175</v>
          </cell>
          <cell r="AI47">
            <v>0.375</v>
          </cell>
          <cell r="AJ47">
            <v>-0.5</v>
          </cell>
          <cell r="AK47">
            <v>-0.25</v>
          </cell>
          <cell r="AL47">
            <v>-0.30000000000000004</v>
          </cell>
          <cell r="AM47">
            <v>0.1333333333333333</v>
          </cell>
          <cell r="AN47">
            <v>0.32272069464544129</v>
          </cell>
          <cell r="AO47">
            <v>-0.49685534591194969</v>
          </cell>
          <cell r="AP47">
            <v>-0.33259325044404975</v>
          </cell>
          <cell r="AQ47">
            <v>-0.36130450714547457</v>
          </cell>
          <cell r="AR47">
            <v>0.14906303236797269</v>
          </cell>
          <cell r="AS47">
            <v>8</v>
          </cell>
          <cell r="AT47">
            <v>691</v>
          </cell>
          <cell r="AU47">
            <v>3</v>
          </cell>
          <cell r="AV47">
            <v>223</v>
          </cell>
          <cell r="AW47">
            <v>1</v>
          </cell>
          <cell r="AX47">
            <v>90</v>
          </cell>
          <cell r="AY47">
            <v>14</v>
          </cell>
          <cell r="AZ47">
            <v>1033</v>
          </cell>
          <cell r="BA47">
            <v>23</v>
          </cell>
          <cell r="BB47">
            <v>1969</v>
          </cell>
        </row>
        <row r="48">
          <cell r="C48" t="str">
            <v>Hawthorn Suites LTD.</v>
          </cell>
          <cell r="D48">
            <v>8</v>
          </cell>
          <cell r="E48">
            <v>7</v>
          </cell>
          <cell r="F48">
            <v>3</v>
          </cell>
          <cell r="G48">
            <v>10</v>
          </cell>
          <cell r="H48">
            <v>11</v>
          </cell>
          <cell r="I48">
            <v>525</v>
          </cell>
          <cell r="J48">
            <v>504</v>
          </cell>
          <cell r="K48">
            <v>232</v>
          </cell>
          <cell r="L48">
            <v>736</v>
          </cell>
          <cell r="M48">
            <v>990</v>
          </cell>
          <cell r="N48" t="str">
            <v>Hawthorn Suites LTD.</v>
          </cell>
          <cell r="O48">
            <v>9</v>
          </cell>
          <cell r="P48">
            <v>8</v>
          </cell>
          <cell r="Q48">
            <v>7</v>
          </cell>
          <cell r="R48">
            <v>15</v>
          </cell>
          <cell r="S48">
            <v>2</v>
          </cell>
          <cell r="T48">
            <v>614</v>
          </cell>
          <cell r="U48">
            <v>554</v>
          </cell>
          <cell r="V48">
            <v>594</v>
          </cell>
          <cell r="W48">
            <v>1148</v>
          </cell>
          <cell r="X48">
            <v>182</v>
          </cell>
          <cell r="Y48">
            <v>-1</v>
          </cell>
          <cell r="Z48">
            <v>-1</v>
          </cell>
          <cell r="AA48">
            <v>-4</v>
          </cell>
          <cell r="AB48">
            <v>-5</v>
          </cell>
          <cell r="AC48">
            <v>9</v>
          </cell>
          <cell r="AD48">
            <v>-89</v>
          </cell>
          <cell r="AE48">
            <v>-50</v>
          </cell>
          <cell r="AF48">
            <v>-362</v>
          </cell>
          <cell r="AG48">
            <v>-412</v>
          </cell>
          <cell r="AH48">
            <v>808</v>
          </cell>
          <cell r="AI48">
            <v>-0.11111111111111116</v>
          </cell>
          <cell r="AJ48">
            <v>-0.125</v>
          </cell>
          <cell r="AK48">
            <v>-0.5714285714285714</v>
          </cell>
          <cell r="AL48">
            <v>-0.33333333333333337</v>
          </cell>
          <cell r="AM48">
            <v>4.5</v>
          </cell>
          <cell r="AN48">
            <v>-0.14495114006514653</v>
          </cell>
          <cell r="AO48">
            <v>-9.0252707581227387E-2</v>
          </cell>
          <cell r="AP48">
            <v>-0.60942760942760943</v>
          </cell>
          <cell r="AQ48">
            <v>-0.35888501742160284</v>
          </cell>
          <cell r="AR48">
            <v>4.4395604395604398</v>
          </cell>
          <cell r="AS48">
            <v>9</v>
          </cell>
          <cell r="AT48">
            <v>614</v>
          </cell>
          <cell r="AU48">
            <v>1</v>
          </cell>
          <cell r="AV48">
            <v>50</v>
          </cell>
          <cell r="AW48">
            <v>7</v>
          </cell>
          <cell r="AX48">
            <v>504</v>
          </cell>
          <cell r="AY48">
            <v>2</v>
          </cell>
          <cell r="AZ48">
            <v>150</v>
          </cell>
          <cell r="BA48">
            <v>12</v>
          </cell>
          <cell r="BB48">
            <v>1072</v>
          </cell>
        </row>
        <row r="49">
          <cell r="C49" t="str">
            <v>Hearthside Inn</v>
          </cell>
          <cell r="D49">
            <v>0</v>
          </cell>
          <cell r="E49">
            <v>1</v>
          </cell>
          <cell r="F49">
            <v>1</v>
          </cell>
          <cell r="G49">
            <v>2</v>
          </cell>
          <cell r="H49">
            <v>0</v>
          </cell>
          <cell r="I49">
            <v>0</v>
          </cell>
          <cell r="J49">
            <v>150</v>
          </cell>
          <cell r="K49">
            <v>63</v>
          </cell>
          <cell r="L49">
            <v>213</v>
          </cell>
          <cell r="M49">
            <v>0</v>
          </cell>
          <cell r="N49" t="str">
            <v>Hearthside Inn</v>
          </cell>
          <cell r="O49">
            <v>0</v>
          </cell>
          <cell r="P49">
            <v>0</v>
          </cell>
          <cell r="Q49">
            <v>2</v>
          </cell>
          <cell r="R49">
            <v>2</v>
          </cell>
          <cell r="S49">
            <v>0</v>
          </cell>
          <cell r="T49">
            <v>0</v>
          </cell>
          <cell r="U49">
            <v>0</v>
          </cell>
          <cell r="V49">
            <v>213</v>
          </cell>
          <cell r="W49">
            <v>213</v>
          </cell>
          <cell r="X49">
            <v>0</v>
          </cell>
          <cell r="Y49">
            <v>0</v>
          </cell>
          <cell r="Z49">
            <v>1</v>
          </cell>
          <cell r="AA49">
            <v>-1</v>
          </cell>
          <cell r="AB49">
            <v>0</v>
          </cell>
          <cell r="AC49">
            <v>0</v>
          </cell>
          <cell r="AD49">
            <v>0</v>
          </cell>
          <cell r="AE49">
            <v>150</v>
          </cell>
          <cell r="AF49">
            <v>-150</v>
          </cell>
          <cell r="AG49">
            <v>0</v>
          </cell>
          <cell r="AH49">
            <v>0</v>
          </cell>
          <cell r="AI49">
            <v>0</v>
          </cell>
          <cell r="AJ49" t="str">
            <v>-na-</v>
          </cell>
          <cell r="AK49">
            <v>-0.5</v>
          </cell>
          <cell r="AL49">
            <v>0</v>
          </cell>
          <cell r="AM49">
            <v>0</v>
          </cell>
          <cell r="AN49">
            <v>0</v>
          </cell>
          <cell r="AO49" t="str">
            <v>-na-</v>
          </cell>
          <cell r="AP49">
            <v>-0.70422535211267601</v>
          </cell>
          <cell r="AQ49">
            <v>0</v>
          </cell>
          <cell r="AR49">
            <v>0</v>
          </cell>
          <cell r="AS49">
            <v>0</v>
          </cell>
          <cell r="AT49">
            <v>0</v>
          </cell>
          <cell r="AU49">
            <v>0</v>
          </cell>
          <cell r="AV49">
            <v>0</v>
          </cell>
          <cell r="AW49">
            <v>1</v>
          </cell>
          <cell r="AX49">
            <v>150</v>
          </cell>
          <cell r="AY49">
            <v>1</v>
          </cell>
          <cell r="AZ49">
            <v>63</v>
          </cell>
          <cell r="BA49">
            <v>0</v>
          </cell>
          <cell r="BB49">
            <v>0</v>
          </cell>
        </row>
        <row r="50">
          <cell r="C50" t="str">
            <v>Helmsley Hotel</v>
          </cell>
          <cell r="N50" t="str">
            <v>Helmsley Hotel</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row>
        <row r="51">
          <cell r="C51" t="str">
            <v>Hilton Garden Inn</v>
          </cell>
          <cell r="D51">
            <v>33</v>
          </cell>
          <cell r="E51">
            <v>33</v>
          </cell>
          <cell r="F51">
            <v>62</v>
          </cell>
          <cell r="G51">
            <v>95</v>
          </cell>
          <cell r="H51">
            <v>4</v>
          </cell>
          <cell r="I51">
            <v>4520</v>
          </cell>
          <cell r="J51">
            <v>4243</v>
          </cell>
          <cell r="K51">
            <v>7676</v>
          </cell>
          <cell r="L51">
            <v>11919</v>
          </cell>
          <cell r="M51">
            <v>652</v>
          </cell>
          <cell r="N51" t="str">
            <v>Hilton Garden Inn</v>
          </cell>
          <cell r="O51">
            <v>33</v>
          </cell>
          <cell r="P51">
            <v>37</v>
          </cell>
          <cell r="Q51">
            <v>58</v>
          </cell>
          <cell r="R51">
            <v>95</v>
          </cell>
          <cell r="S51">
            <v>9</v>
          </cell>
          <cell r="T51">
            <v>4315</v>
          </cell>
          <cell r="U51">
            <v>4906</v>
          </cell>
          <cell r="V51">
            <v>7270</v>
          </cell>
          <cell r="W51">
            <v>12176</v>
          </cell>
          <cell r="X51">
            <v>1150</v>
          </cell>
          <cell r="Y51">
            <v>0</v>
          </cell>
          <cell r="Z51">
            <v>-4</v>
          </cell>
          <cell r="AA51">
            <v>4</v>
          </cell>
          <cell r="AB51">
            <v>0</v>
          </cell>
          <cell r="AC51">
            <v>-5</v>
          </cell>
          <cell r="AD51">
            <v>205</v>
          </cell>
          <cell r="AE51">
            <v>-663</v>
          </cell>
          <cell r="AF51">
            <v>406</v>
          </cell>
          <cell r="AG51">
            <v>-257</v>
          </cell>
          <cell r="AH51">
            <v>-498</v>
          </cell>
          <cell r="AI51">
            <v>0</v>
          </cell>
          <cell r="AJ51">
            <v>-0.10810810810810811</v>
          </cell>
          <cell r="AK51">
            <v>6.8965517241379226E-2</v>
          </cell>
          <cell r="AL51">
            <v>0</v>
          </cell>
          <cell r="AM51">
            <v>-0.55555555555555558</v>
          </cell>
          <cell r="AN51">
            <v>4.7508690614136651E-2</v>
          </cell>
          <cell r="AO51">
            <v>-0.13514064410925397</v>
          </cell>
          <cell r="AP51">
            <v>5.5845942228335721E-2</v>
          </cell>
          <cell r="AQ51">
            <v>-2.1107095926412578E-2</v>
          </cell>
          <cell r="AR51">
            <v>-0.43304347826086953</v>
          </cell>
          <cell r="AS51">
            <v>33</v>
          </cell>
          <cell r="AT51">
            <v>4315</v>
          </cell>
          <cell r="AU51">
            <v>6</v>
          </cell>
          <cell r="AV51">
            <v>997</v>
          </cell>
          <cell r="AW51">
            <v>30</v>
          </cell>
          <cell r="AX51">
            <v>3790</v>
          </cell>
          <cell r="AY51">
            <v>40</v>
          </cell>
          <cell r="AZ51">
            <v>4742</v>
          </cell>
          <cell r="BA51">
            <v>29</v>
          </cell>
          <cell r="BB51">
            <v>4039</v>
          </cell>
        </row>
        <row r="52">
          <cell r="C52" t="str">
            <v>Hilton Hotel</v>
          </cell>
          <cell r="D52">
            <v>2</v>
          </cell>
          <cell r="E52">
            <v>5</v>
          </cell>
          <cell r="F52">
            <v>10</v>
          </cell>
          <cell r="G52">
            <v>15</v>
          </cell>
          <cell r="H52">
            <v>3</v>
          </cell>
          <cell r="I52">
            <v>483</v>
          </cell>
          <cell r="J52">
            <v>2760</v>
          </cell>
          <cell r="K52">
            <v>3806</v>
          </cell>
          <cell r="L52">
            <v>6566</v>
          </cell>
          <cell r="M52">
            <v>850</v>
          </cell>
          <cell r="N52" t="str">
            <v>Hilton Hotel</v>
          </cell>
          <cell r="O52">
            <v>6</v>
          </cell>
          <cell r="P52">
            <v>5</v>
          </cell>
          <cell r="Q52">
            <v>7</v>
          </cell>
          <cell r="R52">
            <v>12</v>
          </cell>
          <cell r="S52">
            <v>4</v>
          </cell>
          <cell r="T52">
            <v>1504</v>
          </cell>
          <cell r="U52">
            <v>2760</v>
          </cell>
          <cell r="V52">
            <v>1985</v>
          </cell>
          <cell r="W52">
            <v>4745</v>
          </cell>
          <cell r="X52">
            <v>2221</v>
          </cell>
          <cell r="Y52">
            <v>-4</v>
          </cell>
          <cell r="Z52">
            <v>0</v>
          </cell>
          <cell r="AA52">
            <v>3</v>
          </cell>
          <cell r="AB52">
            <v>3</v>
          </cell>
          <cell r="AC52">
            <v>-1</v>
          </cell>
          <cell r="AD52">
            <v>-1021</v>
          </cell>
          <cell r="AE52">
            <v>0</v>
          </cell>
          <cell r="AF52">
            <v>1821</v>
          </cell>
          <cell r="AG52">
            <v>1821</v>
          </cell>
          <cell r="AH52">
            <v>-1371</v>
          </cell>
          <cell r="AI52">
            <v>-0.66666666666666674</v>
          </cell>
          <cell r="AJ52">
            <v>0</v>
          </cell>
          <cell r="AK52">
            <v>0.4285714285714286</v>
          </cell>
          <cell r="AL52">
            <v>0.25</v>
          </cell>
          <cell r="AM52">
            <v>-0.25</v>
          </cell>
          <cell r="AN52">
            <v>-0.67885638297872342</v>
          </cell>
          <cell r="AO52">
            <v>0</v>
          </cell>
          <cell r="AP52">
            <v>0.91738035264483631</v>
          </cell>
          <cell r="AQ52">
            <v>0.38377239199157009</v>
          </cell>
          <cell r="AR52">
            <v>-0.61728950923007653</v>
          </cell>
          <cell r="AS52">
            <v>6</v>
          </cell>
          <cell r="AT52">
            <v>1504</v>
          </cell>
          <cell r="AU52">
            <v>0</v>
          </cell>
          <cell r="AV52">
            <v>0</v>
          </cell>
          <cell r="AW52">
            <v>3</v>
          </cell>
          <cell r="AX52">
            <v>760</v>
          </cell>
          <cell r="AY52">
            <v>0</v>
          </cell>
          <cell r="AZ52">
            <v>0</v>
          </cell>
          <cell r="BA52">
            <v>15</v>
          </cell>
          <cell r="BB52">
            <v>6656</v>
          </cell>
        </row>
        <row r="53">
          <cell r="C53" t="str">
            <v>Holiday Inn</v>
          </cell>
          <cell r="D53">
            <v>8</v>
          </cell>
          <cell r="E53">
            <v>4</v>
          </cell>
          <cell r="F53">
            <v>12</v>
          </cell>
          <cell r="G53">
            <v>16</v>
          </cell>
          <cell r="H53">
            <v>3</v>
          </cell>
          <cell r="I53">
            <v>1208</v>
          </cell>
          <cell r="J53">
            <v>353</v>
          </cell>
          <cell r="K53">
            <v>1314</v>
          </cell>
          <cell r="L53">
            <v>1667</v>
          </cell>
          <cell r="M53">
            <v>335</v>
          </cell>
          <cell r="N53" t="str">
            <v>Holiday Inn</v>
          </cell>
          <cell r="O53">
            <v>7</v>
          </cell>
          <cell r="P53">
            <v>4</v>
          </cell>
          <cell r="Q53">
            <v>15</v>
          </cell>
          <cell r="R53">
            <v>19</v>
          </cell>
          <cell r="S53">
            <v>2</v>
          </cell>
          <cell r="T53">
            <v>1087</v>
          </cell>
          <cell r="U53">
            <v>392</v>
          </cell>
          <cell r="V53">
            <v>1623</v>
          </cell>
          <cell r="W53">
            <v>2015</v>
          </cell>
          <cell r="X53">
            <v>183</v>
          </cell>
          <cell r="Y53">
            <v>1</v>
          </cell>
          <cell r="Z53">
            <v>0</v>
          </cell>
          <cell r="AA53">
            <v>-3</v>
          </cell>
          <cell r="AB53">
            <v>-3</v>
          </cell>
          <cell r="AC53">
            <v>1</v>
          </cell>
          <cell r="AD53">
            <v>121</v>
          </cell>
          <cell r="AE53">
            <v>-39</v>
          </cell>
          <cell r="AF53">
            <v>-309</v>
          </cell>
          <cell r="AG53">
            <v>-348</v>
          </cell>
          <cell r="AH53">
            <v>152</v>
          </cell>
          <cell r="AI53">
            <v>0.14285714285714279</v>
          </cell>
          <cell r="AJ53">
            <v>0</v>
          </cell>
          <cell r="AK53">
            <v>-0.19999999999999996</v>
          </cell>
          <cell r="AL53">
            <v>-0.15789473684210531</v>
          </cell>
          <cell r="AM53">
            <v>0.5</v>
          </cell>
          <cell r="AN53">
            <v>0.1113155473781049</v>
          </cell>
          <cell r="AO53">
            <v>-9.9489795918367374E-2</v>
          </cell>
          <cell r="AP53">
            <v>-0.19038817005545283</v>
          </cell>
          <cell r="AQ53">
            <v>-0.17270471464019854</v>
          </cell>
          <cell r="AR53">
            <v>0.8306010928961749</v>
          </cell>
          <cell r="AS53">
            <v>7</v>
          </cell>
          <cell r="AT53">
            <v>1087</v>
          </cell>
          <cell r="AU53">
            <v>1</v>
          </cell>
          <cell r="AV53">
            <v>121</v>
          </cell>
          <cell r="AW53">
            <v>4</v>
          </cell>
          <cell r="AX53">
            <v>353</v>
          </cell>
          <cell r="AY53">
            <v>11</v>
          </cell>
          <cell r="AZ53">
            <v>1233</v>
          </cell>
          <cell r="BA53">
            <v>4</v>
          </cell>
          <cell r="BB53">
            <v>416</v>
          </cell>
        </row>
        <row r="54">
          <cell r="C54" t="str">
            <v>Holiday Inn Express</v>
          </cell>
          <cell r="D54">
            <v>100</v>
          </cell>
          <cell r="E54">
            <v>79</v>
          </cell>
          <cell r="F54">
            <v>110</v>
          </cell>
          <cell r="G54">
            <v>189</v>
          </cell>
          <cell r="H54">
            <v>9</v>
          </cell>
          <cell r="I54">
            <v>7395</v>
          </cell>
          <cell r="J54">
            <v>6415</v>
          </cell>
          <cell r="K54">
            <v>8827</v>
          </cell>
          <cell r="L54">
            <v>15242</v>
          </cell>
          <cell r="M54">
            <v>800</v>
          </cell>
          <cell r="N54" t="str">
            <v>Holiday Inn Express</v>
          </cell>
          <cell r="O54">
            <v>118</v>
          </cell>
          <cell r="P54">
            <v>72</v>
          </cell>
          <cell r="Q54">
            <v>113</v>
          </cell>
          <cell r="R54">
            <v>185</v>
          </cell>
          <cell r="S54">
            <v>10</v>
          </cell>
          <cell r="T54">
            <v>9008</v>
          </cell>
          <cell r="U54">
            <v>5714</v>
          </cell>
          <cell r="V54">
            <v>9040</v>
          </cell>
          <cell r="W54">
            <v>14754</v>
          </cell>
          <cell r="X54">
            <v>1014</v>
          </cell>
          <cell r="Y54">
            <v>-18</v>
          </cell>
          <cell r="Z54">
            <v>7</v>
          </cell>
          <cell r="AA54">
            <v>-3</v>
          </cell>
          <cell r="AB54">
            <v>4</v>
          </cell>
          <cell r="AC54">
            <v>-1</v>
          </cell>
          <cell r="AD54">
            <v>-1613</v>
          </cell>
          <cell r="AE54">
            <v>701</v>
          </cell>
          <cell r="AF54">
            <v>-213</v>
          </cell>
          <cell r="AG54">
            <v>488</v>
          </cell>
          <cell r="AH54">
            <v>-214</v>
          </cell>
          <cell r="AI54">
            <v>-0.15254237288135597</v>
          </cell>
          <cell r="AJ54">
            <v>9.7222222222222321E-2</v>
          </cell>
          <cell r="AK54">
            <v>-2.6548672566371723E-2</v>
          </cell>
          <cell r="AL54">
            <v>2.1621621621621623E-2</v>
          </cell>
          <cell r="AM54">
            <v>-9.9999999999999978E-2</v>
          </cell>
          <cell r="AN54">
            <v>-0.17906305506216691</v>
          </cell>
          <cell r="AO54">
            <v>0.12268113405670289</v>
          </cell>
          <cell r="AP54">
            <v>-2.3561946902654896E-2</v>
          </cell>
          <cell r="AQ54">
            <v>3.3075776060729201E-2</v>
          </cell>
          <cell r="AR54">
            <v>-0.21104536489151871</v>
          </cell>
          <cell r="AS54">
            <v>119</v>
          </cell>
          <cell r="AT54">
            <v>9070</v>
          </cell>
          <cell r="AU54">
            <v>12</v>
          </cell>
          <cell r="AV54">
            <v>849</v>
          </cell>
          <cell r="AW54">
            <v>84</v>
          </cell>
          <cell r="AX54">
            <v>6683</v>
          </cell>
          <cell r="AY54">
            <v>96</v>
          </cell>
          <cell r="AZ54">
            <v>7786</v>
          </cell>
          <cell r="BA54">
            <v>18</v>
          </cell>
          <cell r="BB54">
            <v>1573</v>
          </cell>
        </row>
        <row r="55">
          <cell r="C55" t="str">
            <v>Holiday Inn Select</v>
          </cell>
          <cell r="D55">
            <v>0</v>
          </cell>
          <cell r="E55">
            <v>4</v>
          </cell>
          <cell r="F55">
            <v>2</v>
          </cell>
          <cell r="G55">
            <v>6</v>
          </cell>
          <cell r="H55">
            <v>1</v>
          </cell>
          <cell r="I55">
            <v>0</v>
          </cell>
          <cell r="J55">
            <v>723</v>
          </cell>
          <cell r="K55">
            <v>502</v>
          </cell>
          <cell r="L55">
            <v>1225</v>
          </cell>
          <cell r="M55">
            <v>118</v>
          </cell>
          <cell r="N55" t="str">
            <v>Holiday Inn Select</v>
          </cell>
          <cell r="O55">
            <v>0</v>
          </cell>
          <cell r="P55">
            <v>4</v>
          </cell>
          <cell r="Q55">
            <v>3</v>
          </cell>
          <cell r="R55">
            <v>7</v>
          </cell>
          <cell r="S55">
            <v>0</v>
          </cell>
          <cell r="T55">
            <v>0</v>
          </cell>
          <cell r="U55">
            <v>721</v>
          </cell>
          <cell r="V55">
            <v>630</v>
          </cell>
          <cell r="W55">
            <v>1351</v>
          </cell>
          <cell r="X55">
            <v>0</v>
          </cell>
          <cell r="Y55">
            <v>0</v>
          </cell>
          <cell r="Z55">
            <v>0</v>
          </cell>
          <cell r="AA55">
            <v>-1</v>
          </cell>
          <cell r="AB55">
            <v>-1</v>
          </cell>
          <cell r="AC55">
            <v>1</v>
          </cell>
          <cell r="AD55">
            <v>0</v>
          </cell>
          <cell r="AE55">
            <v>2</v>
          </cell>
          <cell r="AF55">
            <v>-128</v>
          </cell>
          <cell r="AG55">
            <v>-126</v>
          </cell>
          <cell r="AH55">
            <v>118</v>
          </cell>
          <cell r="AI55">
            <v>0</v>
          </cell>
          <cell r="AJ55">
            <v>0</v>
          </cell>
          <cell r="AK55">
            <v>-0.33333333333333337</v>
          </cell>
          <cell r="AL55">
            <v>-0.1428571428571429</v>
          </cell>
          <cell r="AM55" t="str">
            <v>-na-</v>
          </cell>
          <cell r="AN55">
            <v>0</v>
          </cell>
          <cell r="AO55">
            <v>2.7739251040221902E-3</v>
          </cell>
          <cell r="AP55">
            <v>-0.20317460317460323</v>
          </cell>
          <cell r="AQ55">
            <v>-9.3264248704663211E-2</v>
          </cell>
          <cell r="AR55" t="str">
            <v>-na-</v>
          </cell>
          <cell r="AS55">
            <v>0</v>
          </cell>
          <cell r="AT55">
            <v>0</v>
          </cell>
          <cell r="AU55">
            <v>0</v>
          </cell>
          <cell r="AV55">
            <v>0</v>
          </cell>
          <cell r="AW55">
            <v>3</v>
          </cell>
          <cell r="AX55">
            <v>575</v>
          </cell>
          <cell r="AY55">
            <v>1</v>
          </cell>
          <cell r="AZ55">
            <v>148</v>
          </cell>
          <cell r="BA55">
            <v>3</v>
          </cell>
          <cell r="BB55">
            <v>620</v>
          </cell>
        </row>
        <row r="56">
          <cell r="C56" t="str">
            <v>Homestead Studio Suites</v>
          </cell>
          <cell r="N56" t="str">
            <v>Homestead Studio Suites</v>
          </cell>
          <cell r="O56">
            <v>1</v>
          </cell>
          <cell r="P56">
            <v>0</v>
          </cell>
          <cell r="Q56">
            <v>0</v>
          </cell>
          <cell r="R56">
            <v>0</v>
          </cell>
          <cell r="S56">
            <v>0</v>
          </cell>
          <cell r="T56">
            <v>40</v>
          </cell>
          <cell r="U56">
            <v>0</v>
          </cell>
          <cell r="V56">
            <v>0</v>
          </cell>
          <cell r="W56">
            <v>0</v>
          </cell>
          <cell r="X56">
            <v>0</v>
          </cell>
          <cell r="Y56">
            <v>-1</v>
          </cell>
          <cell r="Z56">
            <v>0</v>
          </cell>
          <cell r="AA56">
            <v>0</v>
          </cell>
          <cell r="AB56">
            <v>0</v>
          </cell>
          <cell r="AC56">
            <v>0</v>
          </cell>
          <cell r="AD56">
            <v>-40</v>
          </cell>
          <cell r="AE56">
            <v>0</v>
          </cell>
          <cell r="AF56">
            <v>0</v>
          </cell>
          <cell r="AG56">
            <v>0</v>
          </cell>
          <cell r="AH56">
            <v>0</v>
          </cell>
          <cell r="AI56" t="str">
            <v>-na-</v>
          </cell>
          <cell r="AJ56">
            <v>0</v>
          </cell>
          <cell r="AK56">
            <v>0</v>
          </cell>
          <cell r="AL56">
            <v>0</v>
          </cell>
          <cell r="AM56">
            <v>0</v>
          </cell>
          <cell r="AN56" t="str">
            <v>-na-</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row>
        <row r="57">
          <cell r="C57" t="str">
            <v>Homewood Suites by Hilton</v>
          </cell>
          <cell r="D57">
            <v>12</v>
          </cell>
          <cell r="E57">
            <v>10</v>
          </cell>
          <cell r="F57">
            <v>25</v>
          </cell>
          <cell r="G57">
            <v>35</v>
          </cell>
          <cell r="H57">
            <v>2</v>
          </cell>
          <cell r="I57">
            <v>1317</v>
          </cell>
          <cell r="J57">
            <v>1255</v>
          </cell>
          <cell r="K57">
            <v>2876</v>
          </cell>
          <cell r="L57">
            <v>4131</v>
          </cell>
          <cell r="M57">
            <v>263</v>
          </cell>
          <cell r="N57" t="str">
            <v>Homewood Suites by Hilton</v>
          </cell>
          <cell r="O57">
            <v>11</v>
          </cell>
          <cell r="P57">
            <v>11</v>
          </cell>
          <cell r="Q57">
            <v>24</v>
          </cell>
          <cell r="R57">
            <v>35</v>
          </cell>
          <cell r="S57">
            <v>1</v>
          </cell>
          <cell r="T57">
            <v>1129</v>
          </cell>
          <cell r="U57">
            <v>1427</v>
          </cell>
          <cell r="V57">
            <v>2809</v>
          </cell>
          <cell r="W57">
            <v>4236</v>
          </cell>
          <cell r="X57">
            <v>179</v>
          </cell>
          <cell r="Y57">
            <v>1</v>
          </cell>
          <cell r="Z57">
            <v>-1</v>
          </cell>
          <cell r="AA57">
            <v>1</v>
          </cell>
          <cell r="AB57">
            <v>0</v>
          </cell>
          <cell r="AC57">
            <v>1</v>
          </cell>
          <cell r="AD57">
            <v>188</v>
          </cell>
          <cell r="AE57">
            <v>-172</v>
          </cell>
          <cell r="AF57">
            <v>67</v>
          </cell>
          <cell r="AG57">
            <v>-105</v>
          </cell>
          <cell r="AH57">
            <v>84</v>
          </cell>
          <cell r="AI57">
            <v>9.0909090909090828E-2</v>
          </cell>
          <cell r="AJ57">
            <v>-9.0909090909090939E-2</v>
          </cell>
          <cell r="AK57">
            <v>4.1666666666666741E-2</v>
          </cell>
          <cell r="AL57">
            <v>0</v>
          </cell>
          <cell r="AM57">
            <v>1</v>
          </cell>
          <cell r="AN57">
            <v>0.16651904340124002</v>
          </cell>
          <cell r="AO57">
            <v>-0.12053258584442883</v>
          </cell>
          <cell r="AP57">
            <v>2.3851904592381734E-2</v>
          </cell>
          <cell r="AQ57">
            <v>-2.4787535410764838E-2</v>
          </cell>
          <cell r="AR57">
            <v>0.46927374301675973</v>
          </cell>
          <cell r="AS57">
            <v>11</v>
          </cell>
          <cell r="AT57">
            <v>1129</v>
          </cell>
          <cell r="AU57">
            <v>3</v>
          </cell>
          <cell r="AV57">
            <v>428</v>
          </cell>
          <cell r="AW57">
            <v>7</v>
          </cell>
          <cell r="AX57">
            <v>830</v>
          </cell>
          <cell r="AY57">
            <v>22</v>
          </cell>
          <cell r="AZ57">
            <v>2507</v>
          </cell>
          <cell r="BA57">
            <v>8</v>
          </cell>
          <cell r="BB57">
            <v>1057</v>
          </cell>
        </row>
        <row r="58">
          <cell r="C58" t="str">
            <v>Hotel Sofitel</v>
          </cell>
          <cell r="D58">
            <v>0</v>
          </cell>
          <cell r="E58">
            <v>2</v>
          </cell>
          <cell r="F58">
            <v>1</v>
          </cell>
          <cell r="G58">
            <v>3</v>
          </cell>
          <cell r="H58">
            <v>0</v>
          </cell>
          <cell r="I58">
            <v>0</v>
          </cell>
          <cell r="J58">
            <v>637</v>
          </cell>
          <cell r="K58">
            <v>400</v>
          </cell>
          <cell r="L58">
            <v>1037</v>
          </cell>
          <cell r="M58">
            <v>0</v>
          </cell>
          <cell r="N58" t="str">
            <v>Hotel Sofitel</v>
          </cell>
          <cell r="O58">
            <v>0</v>
          </cell>
          <cell r="P58">
            <v>2</v>
          </cell>
          <cell r="Q58">
            <v>1</v>
          </cell>
          <cell r="R58">
            <v>3</v>
          </cell>
          <cell r="S58">
            <v>0</v>
          </cell>
          <cell r="T58">
            <v>0</v>
          </cell>
          <cell r="U58">
            <v>649</v>
          </cell>
          <cell r="V58">
            <v>400</v>
          </cell>
          <cell r="W58">
            <v>1049</v>
          </cell>
          <cell r="X58">
            <v>0</v>
          </cell>
          <cell r="Y58">
            <v>0</v>
          </cell>
          <cell r="Z58">
            <v>0</v>
          </cell>
          <cell r="AA58">
            <v>0</v>
          </cell>
          <cell r="AB58">
            <v>0</v>
          </cell>
          <cell r="AC58">
            <v>0</v>
          </cell>
          <cell r="AD58">
            <v>0</v>
          </cell>
          <cell r="AE58">
            <v>-12</v>
          </cell>
          <cell r="AF58">
            <v>0</v>
          </cell>
          <cell r="AG58">
            <v>-12</v>
          </cell>
          <cell r="AH58">
            <v>0</v>
          </cell>
          <cell r="AI58">
            <v>0</v>
          </cell>
          <cell r="AJ58">
            <v>0</v>
          </cell>
          <cell r="AK58">
            <v>0</v>
          </cell>
          <cell r="AL58">
            <v>0</v>
          </cell>
          <cell r="AM58">
            <v>0</v>
          </cell>
          <cell r="AN58">
            <v>0</v>
          </cell>
          <cell r="AO58">
            <v>-1.8489984591679498E-2</v>
          </cell>
          <cell r="AP58">
            <v>0</v>
          </cell>
          <cell r="AQ58">
            <v>-1.1439466158245981E-2</v>
          </cell>
          <cell r="AR58">
            <v>0</v>
          </cell>
          <cell r="AS58">
            <v>0</v>
          </cell>
          <cell r="AT58">
            <v>0</v>
          </cell>
          <cell r="AU58">
            <v>0</v>
          </cell>
          <cell r="AV58">
            <v>0</v>
          </cell>
          <cell r="AW58">
            <v>2</v>
          </cell>
          <cell r="AX58">
            <v>637</v>
          </cell>
          <cell r="AY58">
            <v>0</v>
          </cell>
          <cell r="AZ58">
            <v>0</v>
          </cell>
          <cell r="BA58">
            <v>1</v>
          </cell>
          <cell r="BB58">
            <v>400</v>
          </cell>
        </row>
        <row r="59">
          <cell r="C59" t="str">
            <v>Howard Johnson</v>
          </cell>
          <cell r="D59">
            <v>4</v>
          </cell>
          <cell r="E59">
            <v>0</v>
          </cell>
          <cell r="F59">
            <v>0</v>
          </cell>
          <cell r="G59">
            <v>0</v>
          </cell>
          <cell r="H59">
            <v>14</v>
          </cell>
          <cell r="I59">
            <v>426</v>
          </cell>
          <cell r="J59">
            <v>0</v>
          </cell>
          <cell r="K59">
            <v>0</v>
          </cell>
          <cell r="L59">
            <v>0</v>
          </cell>
          <cell r="M59">
            <v>2128</v>
          </cell>
          <cell r="N59" t="str">
            <v>Howard Johnson</v>
          </cell>
          <cell r="O59">
            <v>1</v>
          </cell>
          <cell r="P59">
            <v>2</v>
          </cell>
          <cell r="Q59">
            <v>0</v>
          </cell>
          <cell r="R59">
            <v>2</v>
          </cell>
          <cell r="S59">
            <v>9</v>
          </cell>
          <cell r="T59">
            <v>34</v>
          </cell>
          <cell r="U59">
            <v>189</v>
          </cell>
          <cell r="V59">
            <v>0</v>
          </cell>
          <cell r="W59">
            <v>189</v>
          </cell>
          <cell r="X59">
            <v>1359</v>
          </cell>
          <cell r="Y59">
            <v>3</v>
          </cell>
          <cell r="Z59">
            <v>-2</v>
          </cell>
          <cell r="AA59">
            <v>0</v>
          </cell>
          <cell r="AB59">
            <v>-2</v>
          </cell>
          <cell r="AC59">
            <v>5</v>
          </cell>
          <cell r="AD59">
            <v>392</v>
          </cell>
          <cell r="AE59">
            <v>-189</v>
          </cell>
          <cell r="AF59">
            <v>0</v>
          </cell>
          <cell r="AG59">
            <v>-189</v>
          </cell>
          <cell r="AH59">
            <v>769</v>
          </cell>
          <cell r="AI59">
            <v>3</v>
          </cell>
          <cell r="AJ59" t="str">
            <v>-na-</v>
          </cell>
          <cell r="AK59">
            <v>0</v>
          </cell>
          <cell r="AL59" t="str">
            <v>-na-</v>
          </cell>
          <cell r="AM59">
            <v>0.55555555555555558</v>
          </cell>
          <cell r="AN59">
            <v>11.529411764705882</v>
          </cell>
          <cell r="AO59" t="str">
            <v>-na-</v>
          </cell>
          <cell r="AP59">
            <v>0</v>
          </cell>
          <cell r="AQ59" t="str">
            <v>-na-</v>
          </cell>
          <cell r="AR59">
            <v>0.5658572479764532</v>
          </cell>
          <cell r="AS59">
            <v>1</v>
          </cell>
          <cell r="AT59">
            <v>34</v>
          </cell>
          <cell r="AU59">
            <v>3</v>
          </cell>
          <cell r="AV59">
            <v>392</v>
          </cell>
          <cell r="AW59">
            <v>0</v>
          </cell>
          <cell r="AX59">
            <v>0</v>
          </cell>
          <cell r="AY59">
            <v>0</v>
          </cell>
          <cell r="AZ59">
            <v>0</v>
          </cell>
          <cell r="BA59">
            <v>14</v>
          </cell>
          <cell r="BB59">
            <v>2128</v>
          </cell>
        </row>
        <row r="60">
          <cell r="C60" t="str">
            <v>Howard Johnson Express Inn</v>
          </cell>
          <cell r="D60">
            <v>6</v>
          </cell>
          <cell r="E60">
            <v>3</v>
          </cell>
          <cell r="F60">
            <v>2</v>
          </cell>
          <cell r="G60">
            <v>5</v>
          </cell>
          <cell r="H60">
            <v>15</v>
          </cell>
          <cell r="I60">
            <v>350</v>
          </cell>
          <cell r="J60">
            <v>250</v>
          </cell>
          <cell r="K60">
            <v>86</v>
          </cell>
          <cell r="L60">
            <v>336</v>
          </cell>
          <cell r="M60">
            <v>1810</v>
          </cell>
          <cell r="N60" t="str">
            <v>Howard Johnson Express Inn</v>
          </cell>
          <cell r="O60">
            <v>5</v>
          </cell>
          <cell r="P60">
            <v>4</v>
          </cell>
          <cell r="Q60">
            <v>2</v>
          </cell>
          <cell r="R60">
            <v>6</v>
          </cell>
          <cell r="S60">
            <v>7</v>
          </cell>
          <cell r="T60">
            <v>272</v>
          </cell>
          <cell r="U60">
            <v>344</v>
          </cell>
          <cell r="V60">
            <v>86</v>
          </cell>
          <cell r="W60">
            <v>430</v>
          </cell>
          <cell r="X60">
            <v>554</v>
          </cell>
          <cell r="Y60">
            <v>1</v>
          </cell>
          <cell r="Z60">
            <v>-1</v>
          </cell>
          <cell r="AA60">
            <v>0</v>
          </cell>
          <cell r="AB60">
            <v>-1</v>
          </cell>
          <cell r="AC60">
            <v>8</v>
          </cell>
          <cell r="AD60">
            <v>78</v>
          </cell>
          <cell r="AE60">
            <v>-94</v>
          </cell>
          <cell r="AF60">
            <v>0</v>
          </cell>
          <cell r="AG60">
            <v>-94</v>
          </cell>
          <cell r="AH60">
            <v>1256</v>
          </cell>
          <cell r="AI60">
            <v>0.19999999999999996</v>
          </cell>
          <cell r="AJ60">
            <v>-0.25</v>
          </cell>
          <cell r="AK60">
            <v>0</v>
          </cell>
          <cell r="AL60">
            <v>-0.16666666666666663</v>
          </cell>
          <cell r="AM60">
            <v>1.1428571428571428</v>
          </cell>
          <cell r="AN60">
            <v>0.28676470588235303</v>
          </cell>
          <cell r="AO60">
            <v>-0.27325581395348841</v>
          </cell>
          <cell r="AP60">
            <v>0</v>
          </cell>
          <cell r="AQ60">
            <v>-0.21860465116279071</v>
          </cell>
          <cell r="AR60">
            <v>2.267148014440433</v>
          </cell>
          <cell r="AS60">
            <v>5</v>
          </cell>
          <cell r="AT60">
            <v>272</v>
          </cell>
          <cell r="AU60">
            <v>2</v>
          </cell>
          <cell r="AV60">
            <v>143</v>
          </cell>
          <cell r="AW60">
            <v>3</v>
          </cell>
          <cell r="AX60">
            <v>250</v>
          </cell>
          <cell r="AY60">
            <v>1</v>
          </cell>
          <cell r="AZ60">
            <v>36</v>
          </cell>
          <cell r="BA60">
            <v>16</v>
          </cell>
          <cell r="BB60">
            <v>1860</v>
          </cell>
        </row>
        <row r="61">
          <cell r="C61" t="str">
            <v>Hyatt Hotel</v>
          </cell>
          <cell r="D61">
            <v>4</v>
          </cell>
          <cell r="E61">
            <v>5</v>
          </cell>
          <cell r="F61">
            <v>3</v>
          </cell>
          <cell r="G61">
            <v>8</v>
          </cell>
          <cell r="H61">
            <v>2</v>
          </cell>
          <cell r="I61">
            <v>1432</v>
          </cell>
          <cell r="J61">
            <v>2319</v>
          </cell>
          <cell r="K61">
            <v>1986</v>
          </cell>
          <cell r="L61">
            <v>4305</v>
          </cell>
          <cell r="M61">
            <v>2011</v>
          </cell>
          <cell r="N61" t="str">
            <v>Hyatt Hotel</v>
          </cell>
          <cell r="O61">
            <v>5</v>
          </cell>
          <cell r="P61">
            <v>5</v>
          </cell>
          <cell r="Q61">
            <v>3</v>
          </cell>
          <cell r="R61">
            <v>8</v>
          </cell>
          <cell r="S61">
            <v>2</v>
          </cell>
          <cell r="T61">
            <v>1782</v>
          </cell>
          <cell r="U61">
            <v>2319</v>
          </cell>
          <cell r="V61">
            <v>1986</v>
          </cell>
          <cell r="W61">
            <v>4305</v>
          </cell>
          <cell r="X61">
            <v>2011</v>
          </cell>
          <cell r="Y61">
            <v>-1</v>
          </cell>
          <cell r="Z61">
            <v>0</v>
          </cell>
          <cell r="AA61">
            <v>0</v>
          </cell>
          <cell r="AB61">
            <v>0</v>
          </cell>
          <cell r="AC61">
            <v>0</v>
          </cell>
          <cell r="AD61">
            <v>-350</v>
          </cell>
          <cell r="AE61">
            <v>0</v>
          </cell>
          <cell r="AF61">
            <v>0</v>
          </cell>
          <cell r="AG61">
            <v>0</v>
          </cell>
          <cell r="AH61">
            <v>0</v>
          </cell>
          <cell r="AI61">
            <v>-0.19999999999999996</v>
          </cell>
          <cell r="AJ61">
            <v>0</v>
          </cell>
          <cell r="AK61">
            <v>0</v>
          </cell>
          <cell r="AL61">
            <v>0</v>
          </cell>
          <cell r="AM61">
            <v>0</v>
          </cell>
          <cell r="AN61">
            <v>-0.19640852974186307</v>
          </cell>
          <cell r="AO61">
            <v>0</v>
          </cell>
          <cell r="AP61">
            <v>0</v>
          </cell>
          <cell r="AQ61">
            <v>0</v>
          </cell>
          <cell r="AR61">
            <v>0</v>
          </cell>
          <cell r="AS61">
            <v>5</v>
          </cell>
          <cell r="AT61">
            <v>1782</v>
          </cell>
          <cell r="AU61">
            <v>0</v>
          </cell>
          <cell r="AV61">
            <v>0</v>
          </cell>
          <cell r="AW61">
            <v>2</v>
          </cell>
          <cell r="AX61">
            <v>750</v>
          </cell>
          <cell r="AY61">
            <v>2</v>
          </cell>
          <cell r="AZ61">
            <v>1269</v>
          </cell>
          <cell r="BA61">
            <v>6</v>
          </cell>
          <cell r="BB61">
            <v>4297</v>
          </cell>
        </row>
        <row r="62">
          <cell r="C62" t="str">
            <v>Inter-Continental</v>
          </cell>
          <cell r="D62">
            <v>0</v>
          </cell>
          <cell r="E62">
            <v>1</v>
          </cell>
          <cell r="F62">
            <v>3</v>
          </cell>
          <cell r="G62">
            <v>4</v>
          </cell>
          <cell r="H62">
            <v>2</v>
          </cell>
          <cell r="I62">
            <v>0</v>
          </cell>
          <cell r="J62">
            <v>300</v>
          </cell>
          <cell r="K62">
            <v>1110</v>
          </cell>
          <cell r="L62">
            <v>1410</v>
          </cell>
          <cell r="M62">
            <v>1379</v>
          </cell>
          <cell r="N62" t="str">
            <v>Inter-Continental</v>
          </cell>
          <cell r="O62">
            <v>0</v>
          </cell>
          <cell r="P62">
            <v>1</v>
          </cell>
          <cell r="Q62">
            <v>2</v>
          </cell>
          <cell r="R62">
            <v>3</v>
          </cell>
          <cell r="S62">
            <v>1</v>
          </cell>
          <cell r="T62">
            <v>0</v>
          </cell>
          <cell r="U62">
            <v>300</v>
          </cell>
          <cell r="V62">
            <v>538</v>
          </cell>
          <cell r="W62">
            <v>838</v>
          </cell>
          <cell r="X62">
            <v>425</v>
          </cell>
          <cell r="Y62">
            <v>0</v>
          </cell>
          <cell r="Z62">
            <v>0</v>
          </cell>
          <cell r="AA62">
            <v>1</v>
          </cell>
          <cell r="AB62">
            <v>1</v>
          </cell>
          <cell r="AC62">
            <v>1</v>
          </cell>
          <cell r="AD62">
            <v>0</v>
          </cell>
          <cell r="AE62">
            <v>0</v>
          </cell>
          <cell r="AF62">
            <v>572</v>
          </cell>
          <cell r="AG62">
            <v>572</v>
          </cell>
          <cell r="AH62">
            <v>954</v>
          </cell>
          <cell r="AI62">
            <v>0</v>
          </cell>
          <cell r="AJ62">
            <v>0</v>
          </cell>
          <cell r="AK62">
            <v>0.5</v>
          </cell>
          <cell r="AL62">
            <v>0.33333333333333326</v>
          </cell>
          <cell r="AM62">
            <v>1</v>
          </cell>
          <cell r="AN62">
            <v>0</v>
          </cell>
          <cell r="AO62">
            <v>0</v>
          </cell>
          <cell r="AP62">
            <v>1.0631970260223049</v>
          </cell>
          <cell r="AQ62">
            <v>0.68257756563245819</v>
          </cell>
          <cell r="AR62">
            <v>2.2447058823529411</v>
          </cell>
          <cell r="AS62">
            <v>0</v>
          </cell>
          <cell r="AT62">
            <v>0</v>
          </cell>
          <cell r="AU62">
            <v>0</v>
          </cell>
          <cell r="AV62">
            <v>0</v>
          </cell>
          <cell r="AW62">
            <v>1</v>
          </cell>
          <cell r="AX62">
            <v>300</v>
          </cell>
          <cell r="AY62">
            <v>1</v>
          </cell>
          <cell r="AZ62">
            <v>118</v>
          </cell>
          <cell r="BA62">
            <v>4</v>
          </cell>
          <cell r="BB62">
            <v>2371</v>
          </cell>
        </row>
        <row r="63">
          <cell r="C63" t="str">
            <v>Intown Suites</v>
          </cell>
          <cell r="D63">
            <v>10</v>
          </cell>
          <cell r="E63">
            <v>0</v>
          </cell>
          <cell r="F63">
            <v>4</v>
          </cell>
          <cell r="G63">
            <v>4</v>
          </cell>
          <cell r="H63">
            <v>1</v>
          </cell>
          <cell r="I63">
            <v>1211</v>
          </cell>
          <cell r="J63">
            <v>0</v>
          </cell>
          <cell r="K63">
            <v>484</v>
          </cell>
          <cell r="L63">
            <v>484</v>
          </cell>
          <cell r="M63">
            <v>121</v>
          </cell>
          <cell r="N63" t="str">
            <v>Intown Suites</v>
          </cell>
          <cell r="O63">
            <v>12</v>
          </cell>
          <cell r="P63">
            <v>0</v>
          </cell>
          <cell r="Q63">
            <v>4</v>
          </cell>
          <cell r="R63">
            <v>4</v>
          </cell>
          <cell r="S63">
            <v>1</v>
          </cell>
          <cell r="T63">
            <v>1453</v>
          </cell>
          <cell r="U63">
            <v>0</v>
          </cell>
          <cell r="V63">
            <v>484</v>
          </cell>
          <cell r="W63">
            <v>484</v>
          </cell>
          <cell r="X63">
            <v>121</v>
          </cell>
          <cell r="Y63">
            <v>-2</v>
          </cell>
          <cell r="Z63">
            <v>0</v>
          </cell>
          <cell r="AA63">
            <v>0</v>
          </cell>
          <cell r="AB63">
            <v>0</v>
          </cell>
          <cell r="AC63">
            <v>0</v>
          </cell>
          <cell r="AD63">
            <v>-242</v>
          </cell>
          <cell r="AE63">
            <v>0</v>
          </cell>
          <cell r="AF63">
            <v>0</v>
          </cell>
          <cell r="AG63">
            <v>0</v>
          </cell>
          <cell r="AH63">
            <v>0</v>
          </cell>
          <cell r="AI63">
            <v>-0.16666666666666663</v>
          </cell>
          <cell r="AJ63">
            <v>0</v>
          </cell>
          <cell r="AK63">
            <v>0</v>
          </cell>
          <cell r="AL63">
            <v>0</v>
          </cell>
          <cell r="AM63">
            <v>0</v>
          </cell>
          <cell r="AN63">
            <v>-0.16655196145905027</v>
          </cell>
          <cell r="AO63">
            <v>0</v>
          </cell>
          <cell r="AP63">
            <v>0</v>
          </cell>
          <cell r="AQ63">
            <v>0</v>
          </cell>
          <cell r="AR63">
            <v>0</v>
          </cell>
          <cell r="AS63">
            <v>12</v>
          </cell>
          <cell r="AT63">
            <v>1453</v>
          </cell>
          <cell r="AU63">
            <v>0</v>
          </cell>
          <cell r="AV63">
            <v>0</v>
          </cell>
          <cell r="AW63">
            <v>0</v>
          </cell>
          <cell r="AX63">
            <v>0</v>
          </cell>
          <cell r="AY63">
            <v>2</v>
          </cell>
          <cell r="AZ63">
            <v>242</v>
          </cell>
          <cell r="BA63">
            <v>3</v>
          </cell>
          <cell r="BB63">
            <v>363</v>
          </cell>
        </row>
        <row r="64">
          <cell r="C64" t="str">
            <v>Jameson Inn</v>
          </cell>
          <cell r="D64">
            <v>13</v>
          </cell>
          <cell r="E64">
            <v>2</v>
          </cell>
          <cell r="F64">
            <v>0</v>
          </cell>
          <cell r="G64">
            <v>2</v>
          </cell>
          <cell r="H64">
            <v>0</v>
          </cell>
          <cell r="I64">
            <v>549</v>
          </cell>
          <cell r="J64">
            <v>88</v>
          </cell>
          <cell r="K64">
            <v>0</v>
          </cell>
          <cell r="L64">
            <v>88</v>
          </cell>
          <cell r="M64">
            <v>0</v>
          </cell>
          <cell r="N64" t="str">
            <v>Jameson Inn</v>
          </cell>
          <cell r="O64">
            <v>11</v>
          </cell>
          <cell r="P64">
            <v>4</v>
          </cell>
          <cell r="Q64">
            <v>0</v>
          </cell>
          <cell r="R64">
            <v>4</v>
          </cell>
          <cell r="S64">
            <v>0</v>
          </cell>
          <cell r="T64">
            <v>467</v>
          </cell>
          <cell r="U64">
            <v>128</v>
          </cell>
          <cell r="V64">
            <v>0</v>
          </cell>
          <cell r="W64">
            <v>128</v>
          </cell>
          <cell r="X64">
            <v>0</v>
          </cell>
          <cell r="Y64">
            <v>2</v>
          </cell>
          <cell r="Z64">
            <v>-2</v>
          </cell>
          <cell r="AA64">
            <v>0</v>
          </cell>
          <cell r="AB64">
            <v>-2</v>
          </cell>
          <cell r="AC64">
            <v>0</v>
          </cell>
          <cell r="AD64">
            <v>82</v>
          </cell>
          <cell r="AE64">
            <v>-40</v>
          </cell>
          <cell r="AF64">
            <v>0</v>
          </cell>
          <cell r="AG64">
            <v>-40</v>
          </cell>
          <cell r="AH64">
            <v>0</v>
          </cell>
          <cell r="AI64">
            <v>0.18181818181818188</v>
          </cell>
          <cell r="AJ64">
            <v>-0.5</v>
          </cell>
          <cell r="AK64">
            <v>0</v>
          </cell>
          <cell r="AL64">
            <v>-0.5</v>
          </cell>
          <cell r="AM64">
            <v>0</v>
          </cell>
          <cell r="AN64">
            <v>0.17558886509635974</v>
          </cell>
          <cell r="AO64">
            <v>-0.3125</v>
          </cell>
          <cell r="AP64">
            <v>0</v>
          </cell>
          <cell r="AQ64">
            <v>-0.3125</v>
          </cell>
          <cell r="AR64">
            <v>0</v>
          </cell>
          <cell r="AS64">
            <v>11</v>
          </cell>
          <cell r="AT64">
            <v>467</v>
          </cell>
          <cell r="AU64">
            <v>2</v>
          </cell>
          <cell r="AV64">
            <v>82</v>
          </cell>
          <cell r="AW64">
            <v>2</v>
          </cell>
          <cell r="AX64">
            <v>88</v>
          </cell>
          <cell r="AY64">
            <v>0</v>
          </cell>
          <cell r="AZ64">
            <v>0</v>
          </cell>
          <cell r="BA64">
            <v>0</v>
          </cell>
          <cell r="BB64">
            <v>0</v>
          </cell>
        </row>
        <row r="65">
          <cell r="C65" t="str">
            <v>Key West Inn</v>
          </cell>
          <cell r="D65">
            <v>1</v>
          </cell>
          <cell r="E65">
            <v>0</v>
          </cell>
          <cell r="F65">
            <v>0</v>
          </cell>
          <cell r="G65">
            <v>0</v>
          </cell>
          <cell r="H65">
            <v>0</v>
          </cell>
          <cell r="I65">
            <v>44</v>
          </cell>
          <cell r="J65">
            <v>0</v>
          </cell>
          <cell r="K65">
            <v>0</v>
          </cell>
          <cell r="L65">
            <v>0</v>
          </cell>
          <cell r="M65">
            <v>0</v>
          </cell>
          <cell r="N65" t="str">
            <v>Key West Inn</v>
          </cell>
          <cell r="O65">
            <v>1</v>
          </cell>
          <cell r="P65">
            <v>0</v>
          </cell>
          <cell r="Q65">
            <v>0</v>
          </cell>
          <cell r="R65">
            <v>0</v>
          </cell>
          <cell r="S65">
            <v>0</v>
          </cell>
          <cell r="T65">
            <v>44</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1</v>
          </cell>
          <cell r="AT65">
            <v>44</v>
          </cell>
          <cell r="AU65">
            <v>0</v>
          </cell>
          <cell r="AV65">
            <v>0</v>
          </cell>
          <cell r="AW65">
            <v>0</v>
          </cell>
          <cell r="AX65">
            <v>0</v>
          </cell>
          <cell r="AY65">
            <v>0</v>
          </cell>
          <cell r="AZ65">
            <v>0</v>
          </cell>
          <cell r="BA65">
            <v>0</v>
          </cell>
          <cell r="BB65">
            <v>0</v>
          </cell>
        </row>
        <row r="66">
          <cell r="C66" t="str">
            <v>Knights Inn</v>
          </cell>
          <cell r="D66">
            <v>0</v>
          </cell>
          <cell r="E66">
            <v>0</v>
          </cell>
          <cell r="F66">
            <v>3</v>
          </cell>
          <cell r="G66">
            <v>3</v>
          </cell>
          <cell r="H66">
            <v>5</v>
          </cell>
          <cell r="I66">
            <v>0</v>
          </cell>
          <cell r="J66">
            <v>0</v>
          </cell>
          <cell r="K66">
            <v>140</v>
          </cell>
          <cell r="L66">
            <v>140</v>
          </cell>
          <cell r="M66">
            <v>425</v>
          </cell>
          <cell r="N66" t="str">
            <v>Knights Inn</v>
          </cell>
          <cell r="O66">
            <v>0</v>
          </cell>
          <cell r="P66">
            <v>0</v>
          </cell>
          <cell r="Q66">
            <v>3</v>
          </cell>
          <cell r="R66">
            <v>3</v>
          </cell>
          <cell r="S66">
            <v>4</v>
          </cell>
          <cell r="T66">
            <v>0</v>
          </cell>
          <cell r="U66">
            <v>0</v>
          </cell>
          <cell r="V66">
            <v>140</v>
          </cell>
          <cell r="W66">
            <v>140</v>
          </cell>
          <cell r="X66">
            <v>250</v>
          </cell>
          <cell r="Y66">
            <v>0</v>
          </cell>
          <cell r="Z66">
            <v>0</v>
          </cell>
          <cell r="AA66">
            <v>0</v>
          </cell>
          <cell r="AB66">
            <v>0</v>
          </cell>
          <cell r="AC66">
            <v>1</v>
          </cell>
          <cell r="AD66">
            <v>0</v>
          </cell>
          <cell r="AE66">
            <v>0</v>
          </cell>
          <cell r="AF66">
            <v>0</v>
          </cell>
          <cell r="AG66">
            <v>0</v>
          </cell>
          <cell r="AH66">
            <v>175</v>
          </cell>
          <cell r="AI66">
            <v>0</v>
          </cell>
          <cell r="AJ66">
            <v>0</v>
          </cell>
          <cell r="AK66">
            <v>0</v>
          </cell>
          <cell r="AL66">
            <v>0</v>
          </cell>
          <cell r="AM66">
            <v>0.25</v>
          </cell>
          <cell r="AN66">
            <v>0</v>
          </cell>
          <cell r="AO66">
            <v>0</v>
          </cell>
          <cell r="AP66">
            <v>0</v>
          </cell>
          <cell r="AQ66">
            <v>0</v>
          </cell>
          <cell r="AR66">
            <v>0.7</v>
          </cell>
          <cell r="AS66">
            <v>0</v>
          </cell>
          <cell r="AT66">
            <v>0</v>
          </cell>
          <cell r="AU66">
            <v>0</v>
          </cell>
          <cell r="AV66">
            <v>0</v>
          </cell>
          <cell r="AW66">
            <v>0</v>
          </cell>
          <cell r="AX66">
            <v>0</v>
          </cell>
          <cell r="AY66">
            <v>1</v>
          </cell>
          <cell r="AZ66">
            <v>50</v>
          </cell>
          <cell r="BA66">
            <v>7</v>
          </cell>
          <cell r="BB66">
            <v>515</v>
          </cell>
        </row>
        <row r="67">
          <cell r="C67" t="str">
            <v>La Quinta</v>
          </cell>
          <cell r="D67">
            <v>2</v>
          </cell>
          <cell r="E67">
            <v>5</v>
          </cell>
          <cell r="F67">
            <v>10</v>
          </cell>
          <cell r="G67">
            <v>15</v>
          </cell>
          <cell r="H67">
            <v>8</v>
          </cell>
          <cell r="I67">
            <v>199</v>
          </cell>
          <cell r="J67">
            <v>436</v>
          </cell>
          <cell r="K67">
            <v>955</v>
          </cell>
          <cell r="L67">
            <v>1391</v>
          </cell>
          <cell r="M67">
            <v>494</v>
          </cell>
          <cell r="N67" t="str">
            <v>La Quinta Inn</v>
          </cell>
          <cell r="O67">
            <v>2</v>
          </cell>
          <cell r="P67">
            <v>5</v>
          </cell>
          <cell r="Q67">
            <v>11</v>
          </cell>
          <cell r="R67">
            <v>16</v>
          </cell>
          <cell r="S67">
            <v>4</v>
          </cell>
          <cell r="T67">
            <v>199</v>
          </cell>
          <cell r="U67">
            <v>436</v>
          </cell>
          <cell r="V67">
            <v>1140</v>
          </cell>
          <cell r="W67">
            <v>1576</v>
          </cell>
          <cell r="X67">
            <v>253</v>
          </cell>
          <cell r="Y67">
            <v>0</v>
          </cell>
          <cell r="Z67">
            <v>0</v>
          </cell>
          <cell r="AA67">
            <v>-1</v>
          </cell>
          <cell r="AB67">
            <v>-1</v>
          </cell>
          <cell r="AC67">
            <v>4</v>
          </cell>
          <cell r="AD67">
            <v>0</v>
          </cell>
          <cell r="AE67">
            <v>0</v>
          </cell>
          <cell r="AF67">
            <v>-185</v>
          </cell>
          <cell r="AG67">
            <v>-185</v>
          </cell>
          <cell r="AH67">
            <v>241</v>
          </cell>
          <cell r="AI67">
            <v>0</v>
          </cell>
          <cell r="AJ67">
            <v>0</v>
          </cell>
          <cell r="AK67">
            <v>-9.0909090909090939E-2</v>
          </cell>
          <cell r="AL67">
            <v>-6.25E-2</v>
          </cell>
          <cell r="AM67">
            <v>1</v>
          </cell>
          <cell r="AN67">
            <v>0</v>
          </cell>
          <cell r="AO67">
            <v>0</v>
          </cell>
          <cell r="AP67">
            <v>-0.16228070175438591</v>
          </cell>
          <cell r="AQ67">
            <v>-0.11738578680203049</v>
          </cell>
          <cell r="AR67">
            <v>0.95256916996047436</v>
          </cell>
          <cell r="AS67">
            <v>2</v>
          </cell>
          <cell r="AT67">
            <v>199</v>
          </cell>
          <cell r="AU67">
            <v>0</v>
          </cell>
          <cell r="AV67">
            <v>0</v>
          </cell>
          <cell r="AW67">
            <v>9</v>
          </cell>
          <cell r="AX67">
            <v>686</v>
          </cell>
          <cell r="AY67">
            <v>5</v>
          </cell>
          <cell r="AZ67">
            <v>430</v>
          </cell>
          <cell r="BA67">
            <v>9</v>
          </cell>
          <cell r="BB67">
            <v>769</v>
          </cell>
        </row>
        <row r="68">
          <cell r="C68" t="str">
            <v>La Quinta Inn &amp; Suites</v>
          </cell>
          <cell r="N68" t="str">
            <v>La Quinta Inn &amp; Suites</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row>
        <row r="69">
          <cell r="C69" t="str">
            <v>Little America</v>
          </cell>
          <cell r="N69" t="str">
            <v>Little America</v>
          </cell>
          <cell r="O69">
            <v>1</v>
          </cell>
          <cell r="P69">
            <v>0</v>
          </cell>
          <cell r="Q69">
            <v>0</v>
          </cell>
          <cell r="R69">
            <v>0</v>
          </cell>
          <cell r="S69">
            <v>0</v>
          </cell>
          <cell r="T69">
            <v>775</v>
          </cell>
          <cell r="U69">
            <v>0</v>
          </cell>
          <cell r="V69">
            <v>0</v>
          </cell>
          <cell r="W69">
            <v>0</v>
          </cell>
          <cell r="X69">
            <v>0</v>
          </cell>
          <cell r="Y69">
            <v>-1</v>
          </cell>
          <cell r="Z69">
            <v>0</v>
          </cell>
          <cell r="AA69">
            <v>0</v>
          </cell>
          <cell r="AB69">
            <v>0</v>
          </cell>
          <cell r="AC69">
            <v>0</v>
          </cell>
          <cell r="AD69">
            <v>-775</v>
          </cell>
          <cell r="AE69">
            <v>0</v>
          </cell>
          <cell r="AF69">
            <v>0</v>
          </cell>
          <cell r="AG69">
            <v>0</v>
          </cell>
          <cell r="AH69">
            <v>0</v>
          </cell>
          <cell r="AI69" t="str">
            <v>-na-</v>
          </cell>
          <cell r="AJ69">
            <v>0</v>
          </cell>
          <cell r="AK69">
            <v>0</v>
          </cell>
          <cell r="AL69">
            <v>0</v>
          </cell>
          <cell r="AM69">
            <v>0</v>
          </cell>
          <cell r="AN69" t="str">
            <v>-na-</v>
          </cell>
          <cell r="AO69">
            <v>0</v>
          </cell>
          <cell r="AP69">
            <v>0</v>
          </cell>
          <cell r="AQ69">
            <v>0</v>
          </cell>
          <cell r="AR69">
            <v>0</v>
          </cell>
          <cell r="AS69">
            <v>1</v>
          </cell>
          <cell r="AT69">
            <v>775</v>
          </cell>
          <cell r="AU69">
            <v>0</v>
          </cell>
          <cell r="AV69">
            <v>0</v>
          </cell>
          <cell r="AW69">
            <v>0</v>
          </cell>
          <cell r="AX69">
            <v>0</v>
          </cell>
          <cell r="AY69">
            <v>0</v>
          </cell>
          <cell r="AZ69">
            <v>0</v>
          </cell>
          <cell r="BA69">
            <v>0</v>
          </cell>
          <cell r="BB69">
            <v>0</v>
          </cell>
        </row>
        <row r="70">
          <cell r="C70" t="str">
            <v>Loews Hotel</v>
          </cell>
          <cell r="D70">
            <v>0</v>
          </cell>
          <cell r="E70">
            <v>1</v>
          </cell>
          <cell r="F70">
            <v>1</v>
          </cell>
          <cell r="G70">
            <v>2</v>
          </cell>
          <cell r="H70">
            <v>0</v>
          </cell>
          <cell r="I70">
            <v>0</v>
          </cell>
          <cell r="J70">
            <v>1000</v>
          </cell>
          <cell r="K70">
            <v>390</v>
          </cell>
          <cell r="L70">
            <v>1390</v>
          </cell>
          <cell r="M70">
            <v>0</v>
          </cell>
          <cell r="N70" t="str">
            <v>Loews Hotel</v>
          </cell>
          <cell r="O70">
            <v>1</v>
          </cell>
          <cell r="P70">
            <v>1</v>
          </cell>
          <cell r="Q70">
            <v>1</v>
          </cell>
          <cell r="R70">
            <v>2</v>
          </cell>
          <cell r="S70">
            <v>0</v>
          </cell>
          <cell r="T70">
            <v>650</v>
          </cell>
          <cell r="U70">
            <v>1000</v>
          </cell>
          <cell r="V70">
            <v>390</v>
          </cell>
          <cell r="W70">
            <v>1390</v>
          </cell>
          <cell r="X70">
            <v>0</v>
          </cell>
          <cell r="Y70">
            <v>-1</v>
          </cell>
          <cell r="Z70">
            <v>0</v>
          </cell>
          <cell r="AA70">
            <v>0</v>
          </cell>
          <cell r="AB70">
            <v>0</v>
          </cell>
          <cell r="AC70">
            <v>0</v>
          </cell>
          <cell r="AD70">
            <v>-650</v>
          </cell>
          <cell r="AE70">
            <v>0</v>
          </cell>
          <cell r="AF70">
            <v>0</v>
          </cell>
          <cell r="AG70">
            <v>0</v>
          </cell>
          <cell r="AH70">
            <v>0</v>
          </cell>
          <cell r="AI70" t="str">
            <v>-na-</v>
          </cell>
          <cell r="AJ70">
            <v>0</v>
          </cell>
          <cell r="AK70">
            <v>0</v>
          </cell>
          <cell r="AL70">
            <v>0</v>
          </cell>
          <cell r="AM70">
            <v>0</v>
          </cell>
          <cell r="AN70" t="str">
            <v>-na-</v>
          </cell>
          <cell r="AO70">
            <v>0</v>
          </cell>
          <cell r="AP70">
            <v>0</v>
          </cell>
          <cell r="AQ70">
            <v>0</v>
          </cell>
          <cell r="AR70">
            <v>0</v>
          </cell>
          <cell r="AS70">
            <v>1</v>
          </cell>
          <cell r="AT70">
            <v>650</v>
          </cell>
          <cell r="AU70">
            <v>0</v>
          </cell>
          <cell r="AV70">
            <v>0</v>
          </cell>
          <cell r="AW70">
            <v>0</v>
          </cell>
          <cell r="AX70">
            <v>0</v>
          </cell>
          <cell r="AY70">
            <v>0</v>
          </cell>
          <cell r="AZ70">
            <v>0</v>
          </cell>
          <cell r="BA70">
            <v>2</v>
          </cell>
          <cell r="BB70">
            <v>1390</v>
          </cell>
        </row>
        <row r="71">
          <cell r="C71" t="str">
            <v>MainStay Suites</v>
          </cell>
          <cell r="D71">
            <v>6</v>
          </cell>
          <cell r="E71">
            <v>1</v>
          </cell>
          <cell r="F71">
            <v>2</v>
          </cell>
          <cell r="G71">
            <v>3</v>
          </cell>
          <cell r="H71">
            <v>2</v>
          </cell>
          <cell r="I71">
            <v>384</v>
          </cell>
          <cell r="J71">
            <v>77</v>
          </cell>
          <cell r="K71">
            <v>174</v>
          </cell>
          <cell r="L71">
            <v>251</v>
          </cell>
          <cell r="M71">
            <v>164</v>
          </cell>
          <cell r="N71" t="str">
            <v>MainStay Suites</v>
          </cell>
          <cell r="O71">
            <v>5</v>
          </cell>
          <cell r="P71">
            <v>3</v>
          </cell>
          <cell r="Q71">
            <v>3</v>
          </cell>
          <cell r="R71">
            <v>6</v>
          </cell>
          <cell r="S71">
            <v>1</v>
          </cell>
          <cell r="T71">
            <v>323</v>
          </cell>
          <cell r="U71">
            <v>218</v>
          </cell>
          <cell r="V71">
            <v>248</v>
          </cell>
          <cell r="W71">
            <v>466</v>
          </cell>
          <cell r="X71">
            <v>90</v>
          </cell>
          <cell r="Y71">
            <v>1</v>
          </cell>
          <cell r="Z71">
            <v>-2</v>
          </cell>
          <cell r="AA71">
            <v>-1</v>
          </cell>
          <cell r="AB71">
            <v>-3</v>
          </cell>
          <cell r="AC71">
            <v>1</v>
          </cell>
          <cell r="AD71">
            <v>61</v>
          </cell>
          <cell r="AE71">
            <v>-141</v>
          </cell>
          <cell r="AF71">
            <v>-74</v>
          </cell>
          <cell r="AG71">
            <v>-215</v>
          </cell>
          <cell r="AH71">
            <v>74</v>
          </cell>
          <cell r="AI71">
            <v>0.19999999999999996</v>
          </cell>
          <cell r="AJ71">
            <v>-0.66666666666666674</v>
          </cell>
          <cell r="AK71">
            <v>-0.33333333333333337</v>
          </cell>
          <cell r="AL71">
            <v>-0.5</v>
          </cell>
          <cell r="AM71">
            <v>1</v>
          </cell>
          <cell r="AN71">
            <v>0.18885448916408665</v>
          </cell>
          <cell r="AO71">
            <v>-0.64678899082568808</v>
          </cell>
          <cell r="AP71">
            <v>-0.29838709677419351</v>
          </cell>
          <cell r="AQ71">
            <v>-0.46137339055793991</v>
          </cell>
          <cell r="AR71">
            <v>0.82222222222222219</v>
          </cell>
          <cell r="AS71">
            <v>5</v>
          </cell>
          <cell r="AT71">
            <v>323</v>
          </cell>
          <cell r="AU71">
            <v>2</v>
          </cell>
          <cell r="AV71">
            <v>137</v>
          </cell>
          <cell r="AW71">
            <v>1</v>
          </cell>
          <cell r="AX71">
            <v>77</v>
          </cell>
          <cell r="AY71">
            <v>2</v>
          </cell>
          <cell r="AZ71">
            <v>174</v>
          </cell>
          <cell r="BA71">
            <v>2</v>
          </cell>
          <cell r="BB71">
            <v>164</v>
          </cell>
        </row>
        <row r="72">
          <cell r="C72" t="str">
            <v>Marriott Hotel</v>
          </cell>
          <cell r="D72">
            <v>10</v>
          </cell>
          <cell r="E72">
            <v>17</v>
          </cell>
          <cell r="F72">
            <v>10</v>
          </cell>
          <cell r="G72">
            <v>27</v>
          </cell>
          <cell r="H72">
            <v>11</v>
          </cell>
          <cell r="I72">
            <v>2743</v>
          </cell>
          <cell r="J72">
            <v>6541</v>
          </cell>
          <cell r="K72">
            <v>3093</v>
          </cell>
          <cell r="L72">
            <v>9634</v>
          </cell>
          <cell r="M72">
            <v>4324</v>
          </cell>
          <cell r="N72" t="str">
            <v>Marriott Hotel</v>
          </cell>
          <cell r="O72">
            <v>10</v>
          </cell>
          <cell r="P72">
            <v>17</v>
          </cell>
          <cell r="Q72">
            <v>10</v>
          </cell>
          <cell r="R72">
            <v>27</v>
          </cell>
          <cell r="S72">
            <v>11</v>
          </cell>
          <cell r="T72">
            <v>3529</v>
          </cell>
          <cell r="U72">
            <v>6469</v>
          </cell>
          <cell r="V72">
            <v>3053</v>
          </cell>
          <cell r="W72">
            <v>9522</v>
          </cell>
          <cell r="X72">
            <v>4197</v>
          </cell>
          <cell r="Y72">
            <v>0</v>
          </cell>
          <cell r="Z72">
            <v>0</v>
          </cell>
          <cell r="AA72">
            <v>0</v>
          </cell>
          <cell r="AB72">
            <v>0</v>
          </cell>
          <cell r="AC72">
            <v>0</v>
          </cell>
          <cell r="AD72">
            <v>-786</v>
          </cell>
          <cell r="AE72">
            <v>72</v>
          </cell>
          <cell r="AF72">
            <v>40</v>
          </cell>
          <cell r="AG72">
            <v>112</v>
          </cell>
          <cell r="AH72">
            <v>127</v>
          </cell>
          <cell r="AI72">
            <v>0</v>
          </cell>
          <cell r="AJ72">
            <v>0</v>
          </cell>
          <cell r="AK72">
            <v>0</v>
          </cell>
          <cell r="AL72">
            <v>0</v>
          </cell>
          <cell r="AM72">
            <v>0</v>
          </cell>
          <cell r="AN72">
            <v>-0.22272598469821481</v>
          </cell>
          <cell r="AO72">
            <v>1.1130004637502022E-2</v>
          </cell>
          <cell r="AP72">
            <v>1.3101867016049873E-2</v>
          </cell>
          <cell r="AQ72">
            <v>1.1762234824616691E-2</v>
          </cell>
          <cell r="AR72">
            <v>3.0259709316178274E-2</v>
          </cell>
          <cell r="AS72">
            <v>10</v>
          </cell>
          <cell r="AT72">
            <v>3529</v>
          </cell>
          <cell r="AU72">
            <v>2</v>
          </cell>
          <cell r="AV72">
            <v>579</v>
          </cell>
          <cell r="AW72">
            <v>7</v>
          </cell>
          <cell r="AX72">
            <v>1885</v>
          </cell>
          <cell r="AY72">
            <v>8</v>
          </cell>
          <cell r="AZ72">
            <v>3406</v>
          </cell>
          <cell r="BA72">
            <v>23</v>
          </cell>
          <cell r="BB72">
            <v>8667</v>
          </cell>
        </row>
        <row r="73">
          <cell r="C73" t="str">
            <v>Meridien Hotel</v>
          </cell>
          <cell r="D73">
            <v>1</v>
          </cell>
          <cell r="E73">
            <v>1</v>
          </cell>
          <cell r="F73">
            <v>0</v>
          </cell>
          <cell r="G73">
            <v>1</v>
          </cell>
          <cell r="H73">
            <v>0</v>
          </cell>
          <cell r="I73">
            <v>311</v>
          </cell>
          <cell r="J73">
            <v>256</v>
          </cell>
          <cell r="K73">
            <v>0</v>
          </cell>
          <cell r="L73">
            <v>256</v>
          </cell>
          <cell r="M73">
            <v>0</v>
          </cell>
          <cell r="N73" t="str">
            <v>Meridien Hotel</v>
          </cell>
          <cell r="O73">
            <v>1</v>
          </cell>
          <cell r="P73">
            <v>0</v>
          </cell>
          <cell r="Q73">
            <v>0</v>
          </cell>
          <cell r="R73">
            <v>0</v>
          </cell>
          <cell r="S73">
            <v>0</v>
          </cell>
          <cell r="T73">
            <v>311</v>
          </cell>
          <cell r="U73">
            <v>0</v>
          </cell>
          <cell r="V73">
            <v>0</v>
          </cell>
          <cell r="W73">
            <v>0</v>
          </cell>
          <cell r="X73">
            <v>0</v>
          </cell>
          <cell r="Y73">
            <v>0</v>
          </cell>
          <cell r="Z73">
            <v>1</v>
          </cell>
          <cell r="AA73">
            <v>0</v>
          </cell>
          <cell r="AB73">
            <v>1</v>
          </cell>
          <cell r="AC73">
            <v>0</v>
          </cell>
          <cell r="AD73">
            <v>0</v>
          </cell>
          <cell r="AE73">
            <v>256</v>
          </cell>
          <cell r="AF73">
            <v>0</v>
          </cell>
          <cell r="AG73">
            <v>256</v>
          </cell>
          <cell r="AH73">
            <v>0</v>
          </cell>
          <cell r="AI73">
            <v>0</v>
          </cell>
          <cell r="AJ73" t="str">
            <v>-na-</v>
          </cell>
          <cell r="AK73">
            <v>0</v>
          </cell>
          <cell r="AL73" t="str">
            <v>-na-</v>
          </cell>
          <cell r="AM73">
            <v>0</v>
          </cell>
          <cell r="AN73">
            <v>0</v>
          </cell>
          <cell r="AO73" t="str">
            <v>-na-</v>
          </cell>
          <cell r="AP73">
            <v>0</v>
          </cell>
          <cell r="AQ73" t="str">
            <v>-na-</v>
          </cell>
          <cell r="AR73">
            <v>0</v>
          </cell>
          <cell r="AS73">
            <v>1</v>
          </cell>
          <cell r="AT73">
            <v>311</v>
          </cell>
          <cell r="AU73">
            <v>0</v>
          </cell>
          <cell r="AV73">
            <v>0</v>
          </cell>
          <cell r="AW73">
            <v>1</v>
          </cell>
          <cell r="AX73">
            <v>256</v>
          </cell>
          <cell r="AY73">
            <v>0</v>
          </cell>
          <cell r="AZ73">
            <v>0</v>
          </cell>
          <cell r="BA73">
            <v>0</v>
          </cell>
          <cell r="BB73">
            <v>0</v>
          </cell>
        </row>
        <row r="74">
          <cell r="C74" t="str">
            <v>Microtel Inn</v>
          </cell>
          <cell r="D74">
            <v>33</v>
          </cell>
          <cell r="E74">
            <v>11</v>
          </cell>
          <cell r="F74">
            <v>42</v>
          </cell>
          <cell r="G74">
            <v>53</v>
          </cell>
          <cell r="H74">
            <v>48</v>
          </cell>
          <cell r="I74">
            <v>2162</v>
          </cell>
          <cell r="J74">
            <v>696</v>
          </cell>
          <cell r="K74">
            <v>3108</v>
          </cell>
          <cell r="L74">
            <v>3804</v>
          </cell>
          <cell r="M74">
            <v>3247</v>
          </cell>
          <cell r="N74" t="str">
            <v>Microtel Inn</v>
          </cell>
          <cell r="O74">
            <v>41</v>
          </cell>
          <cell r="P74">
            <v>11</v>
          </cell>
          <cell r="Q74">
            <v>49</v>
          </cell>
          <cell r="R74">
            <v>60</v>
          </cell>
          <cell r="S74">
            <v>60</v>
          </cell>
          <cell r="T74">
            <v>2674</v>
          </cell>
          <cell r="U74">
            <v>725</v>
          </cell>
          <cell r="V74">
            <v>3482</v>
          </cell>
          <cell r="W74">
            <v>4207</v>
          </cell>
          <cell r="X74">
            <v>4281</v>
          </cell>
          <cell r="Y74">
            <v>-8</v>
          </cell>
          <cell r="Z74">
            <v>0</v>
          </cell>
          <cell r="AA74">
            <v>-7</v>
          </cell>
          <cell r="AB74">
            <v>-7</v>
          </cell>
          <cell r="AC74">
            <v>-12</v>
          </cell>
          <cell r="AD74">
            <v>-512</v>
          </cell>
          <cell r="AE74">
            <v>-29</v>
          </cell>
          <cell r="AF74">
            <v>-374</v>
          </cell>
          <cell r="AG74">
            <v>-403</v>
          </cell>
          <cell r="AH74">
            <v>-1034</v>
          </cell>
          <cell r="AI74">
            <v>-0.19512195121951215</v>
          </cell>
          <cell r="AJ74">
            <v>0</v>
          </cell>
          <cell r="AK74">
            <v>-0.1428571428571429</v>
          </cell>
          <cell r="AL74">
            <v>-0.1166666666666667</v>
          </cell>
          <cell r="AM74">
            <v>-0.19999999999999996</v>
          </cell>
          <cell r="AN74">
            <v>-0.19147344801795063</v>
          </cell>
          <cell r="AO74">
            <v>-4.0000000000000036E-2</v>
          </cell>
          <cell r="AP74">
            <v>-0.10740953475014359</v>
          </cell>
          <cell r="AQ74">
            <v>-9.5792726408367002E-2</v>
          </cell>
          <cell r="AR74">
            <v>-0.24153235225414627</v>
          </cell>
          <cell r="AS74">
            <v>41</v>
          </cell>
          <cell r="AT74">
            <v>2674</v>
          </cell>
          <cell r="AU74">
            <v>4</v>
          </cell>
          <cell r="AV74">
            <v>308</v>
          </cell>
          <cell r="AW74">
            <v>13</v>
          </cell>
          <cell r="AX74">
            <v>821</v>
          </cell>
          <cell r="AY74">
            <v>30</v>
          </cell>
          <cell r="AZ74">
            <v>2025</v>
          </cell>
          <cell r="BA74">
            <v>58</v>
          </cell>
          <cell r="BB74">
            <v>4205</v>
          </cell>
        </row>
        <row r="75">
          <cell r="C75" t="str">
            <v>Motel 6</v>
          </cell>
          <cell r="D75">
            <v>12</v>
          </cell>
          <cell r="E75">
            <v>1</v>
          </cell>
          <cell r="F75">
            <v>2</v>
          </cell>
          <cell r="G75">
            <v>3</v>
          </cell>
          <cell r="H75">
            <v>0</v>
          </cell>
          <cell r="I75">
            <v>599</v>
          </cell>
          <cell r="J75">
            <v>63</v>
          </cell>
          <cell r="K75">
            <v>214</v>
          </cell>
          <cell r="L75">
            <v>277</v>
          </cell>
          <cell r="M75">
            <v>0</v>
          </cell>
          <cell r="N75" t="str">
            <v>Motel 6</v>
          </cell>
          <cell r="O75">
            <v>13</v>
          </cell>
          <cell r="P75">
            <v>1</v>
          </cell>
          <cell r="Q75">
            <v>1</v>
          </cell>
          <cell r="R75">
            <v>2</v>
          </cell>
          <cell r="S75">
            <v>0</v>
          </cell>
          <cell r="T75">
            <v>721</v>
          </cell>
          <cell r="U75">
            <v>63</v>
          </cell>
          <cell r="V75">
            <v>149</v>
          </cell>
          <cell r="W75">
            <v>212</v>
          </cell>
          <cell r="X75">
            <v>0</v>
          </cell>
          <cell r="Y75">
            <v>-1</v>
          </cell>
          <cell r="Z75">
            <v>0</v>
          </cell>
          <cell r="AA75">
            <v>1</v>
          </cell>
          <cell r="AB75">
            <v>1</v>
          </cell>
          <cell r="AC75">
            <v>0</v>
          </cell>
          <cell r="AD75">
            <v>-122</v>
          </cell>
          <cell r="AE75">
            <v>0</v>
          </cell>
          <cell r="AF75">
            <v>65</v>
          </cell>
          <cell r="AG75">
            <v>65</v>
          </cell>
          <cell r="AH75">
            <v>0</v>
          </cell>
          <cell r="AI75">
            <v>-7.6923076923076872E-2</v>
          </cell>
          <cell r="AJ75">
            <v>0</v>
          </cell>
          <cell r="AK75">
            <v>1</v>
          </cell>
          <cell r="AL75">
            <v>0.5</v>
          </cell>
          <cell r="AM75">
            <v>0</v>
          </cell>
          <cell r="AN75">
            <v>-0.16920943134535371</v>
          </cell>
          <cell r="AO75">
            <v>0</v>
          </cell>
          <cell r="AP75">
            <v>0.43624161073825496</v>
          </cell>
          <cell r="AQ75">
            <v>0.30660377358490565</v>
          </cell>
          <cell r="AR75">
            <v>0</v>
          </cell>
          <cell r="AS75">
            <v>13</v>
          </cell>
          <cell r="AT75">
            <v>721</v>
          </cell>
          <cell r="AU75">
            <v>0</v>
          </cell>
          <cell r="AV75">
            <v>0</v>
          </cell>
          <cell r="AW75">
            <v>1</v>
          </cell>
          <cell r="AX75">
            <v>63</v>
          </cell>
          <cell r="AY75">
            <v>2</v>
          </cell>
          <cell r="AZ75">
            <v>214</v>
          </cell>
          <cell r="BA75">
            <v>0</v>
          </cell>
          <cell r="BB75">
            <v>0</v>
          </cell>
        </row>
        <row r="76">
          <cell r="C76" t="str">
            <v>Omni Hotel</v>
          </cell>
          <cell r="D76">
            <v>1</v>
          </cell>
          <cell r="E76">
            <v>1</v>
          </cell>
          <cell r="F76">
            <v>1</v>
          </cell>
          <cell r="G76">
            <v>2</v>
          </cell>
          <cell r="H76">
            <v>0</v>
          </cell>
          <cell r="I76">
            <v>362</v>
          </cell>
          <cell r="J76">
            <v>593</v>
          </cell>
          <cell r="K76">
            <v>732</v>
          </cell>
          <cell r="L76">
            <v>1325</v>
          </cell>
          <cell r="M76">
            <v>0</v>
          </cell>
          <cell r="N76" t="str">
            <v>Omni Hotel</v>
          </cell>
          <cell r="O76">
            <v>0</v>
          </cell>
          <cell r="P76">
            <v>1</v>
          </cell>
          <cell r="Q76">
            <v>2</v>
          </cell>
          <cell r="R76">
            <v>3</v>
          </cell>
          <cell r="S76">
            <v>0</v>
          </cell>
          <cell r="T76">
            <v>0</v>
          </cell>
          <cell r="U76">
            <v>362</v>
          </cell>
          <cell r="V76">
            <v>1325</v>
          </cell>
          <cell r="W76">
            <v>1687</v>
          </cell>
          <cell r="X76">
            <v>0</v>
          </cell>
          <cell r="Y76">
            <v>1</v>
          </cell>
          <cell r="Z76">
            <v>0</v>
          </cell>
          <cell r="AA76">
            <v>-1</v>
          </cell>
          <cell r="AB76">
            <v>-1</v>
          </cell>
          <cell r="AC76">
            <v>0</v>
          </cell>
          <cell r="AD76">
            <v>362</v>
          </cell>
          <cell r="AE76">
            <v>231</v>
          </cell>
          <cell r="AF76">
            <v>-593</v>
          </cell>
          <cell r="AG76">
            <v>-362</v>
          </cell>
          <cell r="AH76">
            <v>0</v>
          </cell>
          <cell r="AI76" t="str">
            <v>-na-</v>
          </cell>
          <cell r="AJ76">
            <v>0</v>
          </cell>
          <cell r="AK76">
            <v>-0.5</v>
          </cell>
          <cell r="AL76">
            <v>-0.33333333333333337</v>
          </cell>
          <cell r="AM76">
            <v>0</v>
          </cell>
          <cell r="AN76" t="str">
            <v>-na-</v>
          </cell>
          <cell r="AO76">
            <v>0.63812154696132595</v>
          </cell>
          <cell r="AP76">
            <v>-0.4475471698113207</v>
          </cell>
          <cell r="AQ76">
            <v>-0.2145820983995258</v>
          </cell>
          <cell r="AR76">
            <v>0</v>
          </cell>
          <cell r="AS76">
            <v>0</v>
          </cell>
          <cell r="AT76">
            <v>0</v>
          </cell>
          <cell r="AU76">
            <v>1</v>
          </cell>
          <cell r="AV76">
            <v>362</v>
          </cell>
          <cell r="AW76">
            <v>0</v>
          </cell>
          <cell r="AX76">
            <v>0</v>
          </cell>
          <cell r="AY76">
            <v>0</v>
          </cell>
          <cell r="AZ76">
            <v>0</v>
          </cell>
          <cell r="BA76">
            <v>2</v>
          </cell>
          <cell r="BB76">
            <v>1325</v>
          </cell>
        </row>
        <row r="77">
          <cell r="C77" t="str">
            <v>Outrigger</v>
          </cell>
          <cell r="N77" t="str">
            <v>Outrigger</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row>
        <row r="78">
          <cell r="C78" t="str">
            <v>Park Inn</v>
          </cell>
          <cell r="D78">
            <v>1</v>
          </cell>
          <cell r="E78">
            <v>0</v>
          </cell>
          <cell r="F78">
            <v>0</v>
          </cell>
          <cell r="G78">
            <v>0</v>
          </cell>
          <cell r="H78">
            <v>0</v>
          </cell>
          <cell r="I78">
            <v>62</v>
          </cell>
          <cell r="J78">
            <v>0</v>
          </cell>
          <cell r="K78">
            <v>0</v>
          </cell>
          <cell r="L78">
            <v>0</v>
          </cell>
          <cell r="M78">
            <v>0</v>
          </cell>
          <cell r="N78" t="str">
            <v>Park Inn</v>
          </cell>
          <cell r="O78">
            <v>1</v>
          </cell>
          <cell r="P78">
            <v>0</v>
          </cell>
          <cell r="Q78">
            <v>0</v>
          </cell>
          <cell r="R78">
            <v>0</v>
          </cell>
          <cell r="S78">
            <v>0</v>
          </cell>
          <cell r="T78">
            <v>62</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1</v>
          </cell>
          <cell r="AT78">
            <v>62</v>
          </cell>
          <cell r="AU78">
            <v>0</v>
          </cell>
          <cell r="AV78">
            <v>0</v>
          </cell>
          <cell r="AW78">
            <v>0</v>
          </cell>
          <cell r="AX78">
            <v>0</v>
          </cell>
          <cell r="AY78">
            <v>0</v>
          </cell>
          <cell r="AZ78">
            <v>0</v>
          </cell>
          <cell r="BA78">
            <v>0</v>
          </cell>
          <cell r="BB78">
            <v>0</v>
          </cell>
        </row>
        <row r="79">
          <cell r="C79" t="str">
            <v>Quality Inn</v>
          </cell>
          <cell r="D79">
            <v>4</v>
          </cell>
          <cell r="E79">
            <v>6</v>
          </cell>
          <cell r="F79">
            <v>7</v>
          </cell>
          <cell r="G79">
            <v>13</v>
          </cell>
          <cell r="H79">
            <v>10</v>
          </cell>
          <cell r="I79">
            <v>307</v>
          </cell>
          <cell r="J79">
            <v>401</v>
          </cell>
          <cell r="K79">
            <v>618</v>
          </cell>
          <cell r="L79">
            <v>1019</v>
          </cell>
          <cell r="M79">
            <v>707</v>
          </cell>
          <cell r="N79" t="str">
            <v>Quality Inn</v>
          </cell>
          <cell r="O79">
            <v>5</v>
          </cell>
          <cell r="P79">
            <v>7</v>
          </cell>
          <cell r="Q79">
            <v>5</v>
          </cell>
          <cell r="R79">
            <v>12</v>
          </cell>
          <cell r="S79">
            <v>13</v>
          </cell>
          <cell r="T79">
            <v>373</v>
          </cell>
          <cell r="U79">
            <v>441</v>
          </cell>
          <cell r="V79">
            <v>440</v>
          </cell>
          <cell r="W79">
            <v>881</v>
          </cell>
          <cell r="X79">
            <v>946</v>
          </cell>
          <cell r="Y79">
            <v>-1</v>
          </cell>
          <cell r="Z79">
            <v>-1</v>
          </cell>
          <cell r="AA79">
            <v>2</v>
          </cell>
          <cell r="AB79">
            <v>1</v>
          </cell>
          <cell r="AC79">
            <v>-3</v>
          </cell>
          <cell r="AD79">
            <v>-66</v>
          </cell>
          <cell r="AE79">
            <v>-40</v>
          </cell>
          <cell r="AF79">
            <v>178</v>
          </cell>
          <cell r="AG79">
            <v>138</v>
          </cell>
          <cell r="AH79">
            <v>-239</v>
          </cell>
          <cell r="AI79">
            <v>-0.19999999999999996</v>
          </cell>
          <cell r="AJ79">
            <v>-0.1428571428571429</v>
          </cell>
          <cell r="AK79">
            <v>0.39999999999999991</v>
          </cell>
          <cell r="AL79">
            <v>8.3333333333333259E-2</v>
          </cell>
          <cell r="AM79">
            <v>-0.23076923076923073</v>
          </cell>
          <cell r="AN79">
            <v>-0.17694369973190349</v>
          </cell>
          <cell r="AO79">
            <v>-9.0702947845805015E-2</v>
          </cell>
          <cell r="AP79">
            <v>0.40454545454545454</v>
          </cell>
          <cell r="AQ79">
            <v>0.15664018161180482</v>
          </cell>
          <cell r="AR79">
            <v>-0.2526427061310782</v>
          </cell>
          <cell r="AS79">
            <v>5</v>
          </cell>
          <cell r="AT79">
            <v>373</v>
          </cell>
          <cell r="AU79">
            <v>2</v>
          </cell>
          <cell r="AV79">
            <v>145</v>
          </cell>
          <cell r="AW79">
            <v>6</v>
          </cell>
          <cell r="AX79">
            <v>401</v>
          </cell>
          <cell r="AY79">
            <v>5</v>
          </cell>
          <cell r="AZ79">
            <v>382</v>
          </cell>
          <cell r="BA79">
            <v>12</v>
          </cell>
          <cell r="BB79">
            <v>943</v>
          </cell>
        </row>
        <row r="80">
          <cell r="C80" t="str">
            <v>Quality Suites</v>
          </cell>
          <cell r="D80">
            <v>6</v>
          </cell>
          <cell r="E80">
            <v>1</v>
          </cell>
          <cell r="F80">
            <v>0</v>
          </cell>
          <cell r="G80">
            <v>1</v>
          </cell>
          <cell r="H80">
            <v>2</v>
          </cell>
          <cell r="I80">
            <v>455</v>
          </cell>
          <cell r="J80">
            <v>72</v>
          </cell>
          <cell r="K80">
            <v>0</v>
          </cell>
          <cell r="L80">
            <v>72</v>
          </cell>
          <cell r="M80">
            <v>144</v>
          </cell>
          <cell r="N80" t="str">
            <v>Quality Suites</v>
          </cell>
          <cell r="O80">
            <v>4</v>
          </cell>
          <cell r="P80">
            <v>2</v>
          </cell>
          <cell r="Q80">
            <v>0</v>
          </cell>
          <cell r="R80">
            <v>2</v>
          </cell>
          <cell r="S80">
            <v>1</v>
          </cell>
          <cell r="T80">
            <v>330</v>
          </cell>
          <cell r="U80">
            <v>137</v>
          </cell>
          <cell r="V80">
            <v>0</v>
          </cell>
          <cell r="W80">
            <v>137</v>
          </cell>
          <cell r="X80">
            <v>90</v>
          </cell>
          <cell r="Y80">
            <v>2</v>
          </cell>
          <cell r="Z80">
            <v>-1</v>
          </cell>
          <cell r="AA80">
            <v>0</v>
          </cell>
          <cell r="AB80">
            <v>-1</v>
          </cell>
          <cell r="AC80">
            <v>1</v>
          </cell>
          <cell r="AD80">
            <v>125</v>
          </cell>
          <cell r="AE80">
            <v>-65</v>
          </cell>
          <cell r="AF80">
            <v>0</v>
          </cell>
          <cell r="AG80">
            <v>-65</v>
          </cell>
          <cell r="AH80">
            <v>54</v>
          </cell>
          <cell r="AI80">
            <v>0.5</v>
          </cell>
          <cell r="AJ80">
            <v>-0.5</v>
          </cell>
          <cell r="AK80">
            <v>0</v>
          </cell>
          <cell r="AL80">
            <v>-0.5</v>
          </cell>
          <cell r="AM80">
            <v>1</v>
          </cell>
          <cell r="AN80">
            <v>0.3787878787878789</v>
          </cell>
          <cell r="AO80">
            <v>-0.47445255474452552</v>
          </cell>
          <cell r="AP80">
            <v>0</v>
          </cell>
          <cell r="AQ80">
            <v>-0.47445255474452552</v>
          </cell>
          <cell r="AR80">
            <v>0.60000000000000009</v>
          </cell>
          <cell r="AS80">
            <v>4</v>
          </cell>
          <cell r="AT80">
            <v>330</v>
          </cell>
          <cell r="AU80">
            <v>2</v>
          </cell>
          <cell r="AV80">
            <v>125</v>
          </cell>
          <cell r="AW80">
            <v>1</v>
          </cell>
          <cell r="AX80">
            <v>72</v>
          </cell>
          <cell r="AY80">
            <v>0</v>
          </cell>
          <cell r="AZ80">
            <v>0</v>
          </cell>
          <cell r="BA80">
            <v>2</v>
          </cell>
          <cell r="BB80">
            <v>144</v>
          </cell>
        </row>
        <row r="81">
          <cell r="C81" t="str">
            <v>Radisson Hotel</v>
          </cell>
          <cell r="D81">
            <v>3</v>
          </cell>
          <cell r="E81">
            <v>3</v>
          </cell>
          <cell r="F81">
            <v>2</v>
          </cell>
          <cell r="G81">
            <v>5</v>
          </cell>
          <cell r="H81">
            <v>2</v>
          </cell>
          <cell r="I81">
            <v>582</v>
          </cell>
          <cell r="J81">
            <v>768</v>
          </cell>
          <cell r="K81">
            <v>496</v>
          </cell>
          <cell r="L81">
            <v>1264</v>
          </cell>
          <cell r="M81">
            <v>260</v>
          </cell>
          <cell r="N81" t="str">
            <v>Radisson Hotel</v>
          </cell>
          <cell r="O81">
            <v>2</v>
          </cell>
          <cell r="P81">
            <v>5</v>
          </cell>
          <cell r="Q81">
            <v>2</v>
          </cell>
          <cell r="R81">
            <v>7</v>
          </cell>
          <cell r="S81">
            <v>2</v>
          </cell>
          <cell r="T81">
            <v>324</v>
          </cell>
          <cell r="U81">
            <v>1146</v>
          </cell>
          <cell r="V81">
            <v>496</v>
          </cell>
          <cell r="W81">
            <v>1642</v>
          </cell>
          <cell r="X81">
            <v>260</v>
          </cell>
          <cell r="Y81">
            <v>1</v>
          </cell>
          <cell r="Z81">
            <v>-2</v>
          </cell>
          <cell r="AA81">
            <v>0</v>
          </cell>
          <cell r="AB81">
            <v>-2</v>
          </cell>
          <cell r="AC81">
            <v>0</v>
          </cell>
          <cell r="AD81">
            <v>258</v>
          </cell>
          <cell r="AE81">
            <v>-378</v>
          </cell>
          <cell r="AF81">
            <v>0</v>
          </cell>
          <cell r="AG81">
            <v>-378</v>
          </cell>
          <cell r="AH81">
            <v>0</v>
          </cell>
          <cell r="AI81">
            <v>0.5</v>
          </cell>
          <cell r="AJ81">
            <v>-0.4</v>
          </cell>
          <cell r="AK81">
            <v>0</v>
          </cell>
          <cell r="AL81">
            <v>-0.2857142857142857</v>
          </cell>
          <cell r="AM81">
            <v>0</v>
          </cell>
          <cell r="AN81">
            <v>0.79629629629629628</v>
          </cell>
          <cell r="AO81">
            <v>-0.32984293193717273</v>
          </cell>
          <cell r="AP81">
            <v>0</v>
          </cell>
          <cell r="AQ81">
            <v>-0.23020706455542017</v>
          </cell>
          <cell r="AR81">
            <v>0</v>
          </cell>
          <cell r="AS81">
            <v>2</v>
          </cell>
          <cell r="AT81">
            <v>324</v>
          </cell>
          <cell r="AU81">
            <v>2</v>
          </cell>
          <cell r="AV81">
            <v>377</v>
          </cell>
          <cell r="AW81">
            <v>1</v>
          </cell>
          <cell r="AX81">
            <v>156</v>
          </cell>
          <cell r="AY81">
            <v>2</v>
          </cell>
          <cell r="AZ81">
            <v>612</v>
          </cell>
          <cell r="BA81">
            <v>4</v>
          </cell>
          <cell r="BB81">
            <v>756</v>
          </cell>
        </row>
        <row r="82">
          <cell r="C82" t="str">
            <v>Ramada</v>
          </cell>
          <cell r="D82">
            <v>2</v>
          </cell>
          <cell r="E82">
            <v>3</v>
          </cell>
          <cell r="F82">
            <v>1</v>
          </cell>
          <cell r="G82">
            <v>4</v>
          </cell>
          <cell r="H82">
            <v>5</v>
          </cell>
          <cell r="I82">
            <v>333</v>
          </cell>
          <cell r="J82">
            <v>448</v>
          </cell>
          <cell r="K82">
            <v>150</v>
          </cell>
          <cell r="L82">
            <v>598</v>
          </cell>
          <cell r="M82">
            <v>957</v>
          </cell>
          <cell r="N82" t="str">
            <v>Ramada Inn</v>
          </cell>
          <cell r="O82">
            <v>3</v>
          </cell>
          <cell r="P82">
            <v>3</v>
          </cell>
          <cell r="Q82">
            <v>1</v>
          </cell>
          <cell r="R82">
            <v>4</v>
          </cell>
          <cell r="S82">
            <v>6</v>
          </cell>
          <cell r="T82">
            <v>478</v>
          </cell>
          <cell r="U82">
            <v>352</v>
          </cell>
          <cell r="V82">
            <v>150</v>
          </cell>
          <cell r="W82">
            <v>502</v>
          </cell>
          <cell r="X82">
            <v>1223</v>
          </cell>
          <cell r="Y82">
            <v>-1</v>
          </cell>
          <cell r="Z82">
            <v>0</v>
          </cell>
          <cell r="AA82">
            <v>0</v>
          </cell>
          <cell r="AB82">
            <v>0</v>
          </cell>
          <cell r="AC82">
            <v>-1</v>
          </cell>
          <cell r="AD82">
            <v>-145</v>
          </cell>
          <cell r="AE82">
            <v>96</v>
          </cell>
          <cell r="AF82">
            <v>0</v>
          </cell>
          <cell r="AG82">
            <v>96</v>
          </cell>
          <cell r="AH82">
            <v>-266</v>
          </cell>
          <cell r="AI82">
            <v>-0.33333333333333337</v>
          </cell>
          <cell r="AJ82">
            <v>0</v>
          </cell>
          <cell r="AK82">
            <v>0</v>
          </cell>
          <cell r="AL82">
            <v>0</v>
          </cell>
          <cell r="AM82">
            <v>-0.16666666666666663</v>
          </cell>
          <cell r="AN82">
            <v>-0.30334728033472802</v>
          </cell>
          <cell r="AO82">
            <v>0.27272727272727271</v>
          </cell>
          <cell r="AP82">
            <v>0</v>
          </cell>
          <cell r="AQ82">
            <v>0.19123505976095623</v>
          </cell>
          <cell r="AR82">
            <v>-0.21749795584627962</v>
          </cell>
          <cell r="AS82">
            <v>3</v>
          </cell>
          <cell r="AT82">
            <v>478</v>
          </cell>
          <cell r="AU82">
            <v>1</v>
          </cell>
          <cell r="AV82">
            <v>116</v>
          </cell>
          <cell r="AW82">
            <v>2</v>
          </cell>
          <cell r="AX82">
            <v>234</v>
          </cell>
          <cell r="AY82">
            <v>2</v>
          </cell>
          <cell r="AZ82">
            <v>364</v>
          </cell>
          <cell r="BA82">
            <v>5</v>
          </cell>
          <cell r="BB82">
            <v>957</v>
          </cell>
        </row>
        <row r="83">
          <cell r="C83" t="str">
            <v>Ramada Limited</v>
          </cell>
          <cell r="D83">
            <v>6</v>
          </cell>
          <cell r="E83">
            <v>0</v>
          </cell>
          <cell r="F83">
            <v>1</v>
          </cell>
          <cell r="G83">
            <v>1</v>
          </cell>
          <cell r="H83">
            <v>7</v>
          </cell>
          <cell r="I83">
            <v>347</v>
          </cell>
          <cell r="J83">
            <v>0</v>
          </cell>
          <cell r="K83">
            <v>95</v>
          </cell>
          <cell r="L83">
            <v>95</v>
          </cell>
          <cell r="M83">
            <v>810</v>
          </cell>
          <cell r="N83" t="str">
            <v>Ramada Limited</v>
          </cell>
          <cell r="O83">
            <v>8</v>
          </cell>
          <cell r="P83">
            <v>1</v>
          </cell>
          <cell r="Q83">
            <v>2</v>
          </cell>
          <cell r="R83">
            <v>3</v>
          </cell>
          <cell r="S83">
            <v>7</v>
          </cell>
          <cell r="T83">
            <v>458</v>
          </cell>
          <cell r="U83">
            <v>60</v>
          </cell>
          <cell r="V83">
            <v>157</v>
          </cell>
          <cell r="W83">
            <v>217</v>
          </cell>
          <cell r="X83">
            <v>940</v>
          </cell>
          <cell r="Y83">
            <v>-2</v>
          </cell>
          <cell r="Z83">
            <v>-1</v>
          </cell>
          <cell r="AA83">
            <v>-1</v>
          </cell>
          <cell r="AB83">
            <v>-2</v>
          </cell>
          <cell r="AC83">
            <v>0</v>
          </cell>
          <cell r="AD83">
            <v>-111</v>
          </cell>
          <cell r="AE83">
            <v>-60</v>
          </cell>
          <cell r="AF83">
            <v>-62</v>
          </cell>
          <cell r="AG83">
            <v>-122</v>
          </cell>
          <cell r="AH83">
            <v>-130</v>
          </cell>
          <cell r="AI83">
            <v>-0.25</v>
          </cell>
          <cell r="AJ83" t="str">
            <v>-na-</v>
          </cell>
          <cell r="AK83">
            <v>-0.5</v>
          </cell>
          <cell r="AL83">
            <v>-0.66666666666666674</v>
          </cell>
          <cell r="AM83">
            <v>0</v>
          </cell>
          <cell r="AN83">
            <v>-0.24235807860262004</v>
          </cell>
          <cell r="AO83" t="str">
            <v>-na-</v>
          </cell>
          <cell r="AP83">
            <v>-0.39490445859872614</v>
          </cell>
          <cell r="AQ83">
            <v>-0.56221198156682028</v>
          </cell>
          <cell r="AR83">
            <v>-0.13829787234042556</v>
          </cell>
          <cell r="AS83">
            <v>8</v>
          </cell>
          <cell r="AT83">
            <v>458</v>
          </cell>
          <cell r="AU83">
            <v>1</v>
          </cell>
          <cell r="AV83">
            <v>56</v>
          </cell>
          <cell r="AW83">
            <v>0</v>
          </cell>
          <cell r="AX83">
            <v>0</v>
          </cell>
          <cell r="AY83">
            <v>1</v>
          </cell>
          <cell r="AZ83">
            <v>95</v>
          </cell>
          <cell r="BA83">
            <v>7</v>
          </cell>
          <cell r="BB83">
            <v>810</v>
          </cell>
        </row>
        <row r="84">
          <cell r="C84" t="str">
            <v>Red Carpet Inn</v>
          </cell>
          <cell r="D84">
            <v>1</v>
          </cell>
          <cell r="E84">
            <v>0</v>
          </cell>
          <cell r="F84">
            <v>0</v>
          </cell>
          <cell r="G84">
            <v>0</v>
          </cell>
          <cell r="H84">
            <v>0</v>
          </cell>
          <cell r="I84">
            <v>28</v>
          </cell>
          <cell r="J84">
            <v>0</v>
          </cell>
          <cell r="K84">
            <v>0</v>
          </cell>
          <cell r="L84">
            <v>0</v>
          </cell>
          <cell r="M84">
            <v>0</v>
          </cell>
          <cell r="N84" t="str">
            <v>Red Carpet Inn</v>
          </cell>
          <cell r="O84">
            <v>1</v>
          </cell>
          <cell r="P84">
            <v>0</v>
          </cell>
          <cell r="Q84">
            <v>0</v>
          </cell>
          <cell r="R84">
            <v>0</v>
          </cell>
          <cell r="S84">
            <v>0</v>
          </cell>
          <cell r="T84">
            <v>28</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1</v>
          </cell>
          <cell r="AT84">
            <v>28</v>
          </cell>
          <cell r="AU84">
            <v>0</v>
          </cell>
          <cell r="AV84">
            <v>0</v>
          </cell>
          <cell r="AW84">
            <v>0</v>
          </cell>
          <cell r="AX84">
            <v>0</v>
          </cell>
          <cell r="AY84">
            <v>0</v>
          </cell>
          <cell r="AZ84">
            <v>0</v>
          </cell>
          <cell r="BA84">
            <v>0</v>
          </cell>
          <cell r="BB84">
            <v>0</v>
          </cell>
        </row>
        <row r="85">
          <cell r="C85" t="str">
            <v>Red Lion</v>
          </cell>
          <cell r="N85" t="str">
            <v>Red Lion</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row>
        <row r="86">
          <cell r="C86" t="str">
            <v>Red Roof Inn</v>
          </cell>
          <cell r="D86">
            <v>8</v>
          </cell>
          <cell r="E86">
            <v>3</v>
          </cell>
          <cell r="F86">
            <v>0</v>
          </cell>
          <cell r="G86">
            <v>3</v>
          </cell>
          <cell r="H86">
            <v>1</v>
          </cell>
          <cell r="I86">
            <v>597</v>
          </cell>
          <cell r="J86">
            <v>350</v>
          </cell>
          <cell r="K86">
            <v>0</v>
          </cell>
          <cell r="L86">
            <v>350</v>
          </cell>
          <cell r="M86">
            <v>100</v>
          </cell>
          <cell r="N86" t="str">
            <v>Red Roof Inn</v>
          </cell>
          <cell r="O86">
            <v>9</v>
          </cell>
          <cell r="P86">
            <v>4</v>
          </cell>
          <cell r="Q86">
            <v>0</v>
          </cell>
          <cell r="R86">
            <v>4</v>
          </cell>
          <cell r="S86">
            <v>1</v>
          </cell>
          <cell r="T86">
            <v>612</v>
          </cell>
          <cell r="U86">
            <v>436</v>
          </cell>
          <cell r="V86">
            <v>0</v>
          </cell>
          <cell r="W86">
            <v>436</v>
          </cell>
          <cell r="X86">
            <v>100</v>
          </cell>
          <cell r="Y86">
            <v>-1</v>
          </cell>
          <cell r="Z86">
            <v>-1</v>
          </cell>
          <cell r="AA86">
            <v>0</v>
          </cell>
          <cell r="AB86">
            <v>-1</v>
          </cell>
          <cell r="AC86">
            <v>0</v>
          </cell>
          <cell r="AD86">
            <v>-15</v>
          </cell>
          <cell r="AE86">
            <v>-86</v>
          </cell>
          <cell r="AF86">
            <v>0</v>
          </cell>
          <cell r="AG86">
            <v>-86</v>
          </cell>
          <cell r="AH86">
            <v>0</v>
          </cell>
          <cell r="AI86">
            <v>-0.11111111111111116</v>
          </cell>
          <cell r="AJ86">
            <v>-0.25</v>
          </cell>
          <cell r="AK86">
            <v>0</v>
          </cell>
          <cell r="AL86">
            <v>-0.25</v>
          </cell>
          <cell r="AM86">
            <v>0</v>
          </cell>
          <cell r="AN86">
            <v>-2.4509803921568651E-2</v>
          </cell>
          <cell r="AO86">
            <v>-0.19724770642201839</v>
          </cell>
          <cell r="AP86">
            <v>0</v>
          </cell>
          <cell r="AQ86">
            <v>-0.19724770642201839</v>
          </cell>
          <cell r="AR86">
            <v>0</v>
          </cell>
          <cell r="AS86">
            <v>9</v>
          </cell>
          <cell r="AT86">
            <v>612</v>
          </cell>
          <cell r="AU86">
            <v>1</v>
          </cell>
          <cell r="AV86">
            <v>86</v>
          </cell>
          <cell r="AW86">
            <v>3</v>
          </cell>
          <cell r="AX86">
            <v>350</v>
          </cell>
          <cell r="AY86">
            <v>0</v>
          </cell>
          <cell r="AZ86">
            <v>0</v>
          </cell>
          <cell r="BA86">
            <v>1</v>
          </cell>
          <cell r="BB86">
            <v>100</v>
          </cell>
        </row>
        <row r="87">
          <cell r="C87" t="str">
            <v>Renaissance Hotel</v>
          </cell>
          <cell r="D87">
            <v>4</v>
          </cell>
          <cell r="E87">
            <v>7</v>
          </cell>
          <cell r="F87">
            <v>5</v>
          </cell>
          <cell r="G87">
            <v>12</v>
          </cell>
          <cell r="H87">
            <v>2</v>
          </cell>
          <cell r="I87">
            <v>1090</v>
          </cell>
          <cell r="J87">
            <v>2399</v>
          </cell>
          <cell r="K87">
            <v>1372</v>
          </cell>
          <cell r="L87">
            <v>3771</v>
          </cell>
          <cell r="M87">
            <v>730</v>
          </cell>
          <cell r="N87" t="str">
            <v>Renaissance Hotel</v>
          </cell>
          <cell r="O87">
            <v>8</v>
          </cell>
          <cell r="P87">
            <v>8</v>
          </cell>
          <cell r="Q87">
            <v>3</v>
          </cell>
          <cell r="R87">
            <v>11</v>
          </cell>
          <cell r="S87">
            <v>0</v>
          </cell>
          <cell r="T87">
            <v>1988</v>
          </cell>
          <cell r="U87">
            <v>2653</v>
          </cell>
          <cell r="V87">
            <v>731</v>
          </cell>
          <cell r="W87">
            <v>3384</v>
          </cell>
          <cell r="X87">
            <v>0</v>
          </cell>
          <cell r="Y87">
            <v>-4</v>
          </cell>
          <cell r="Z87">
            <v>-1</v>
          </cell>
          <cell r="AA87">
            <v>2</v>
          </cell>
          <cell r="AB87">
            <v>1</v>
          </cell>
          <cell r="AC87">
            <v>2</v>
          </cell>
          <cell r="AD87">
            <v>-898</v>
          </cell>
          <cell r="AE87">
            <v>-254</v>
          </cell>
          <cell r="AF87">
            <v>641</v>
          </cell>
          <cell r="AG87">
            <v>387</v>
          </cell>
          <cell r="AH87">
            <v>730</v>
          </cell>
          <cell r="AI87">
            <v>-0.5</v>
          </cell>
          <cell r="AJ87">
            <v>-0.125</v>
          </cell>
          <cell r="AK87">
            <v>0.66666666666666674</v>
          </cell>
          <cell r="AL87">
            <v>9.0909090909090828E-2</v>
          </cell>
          <cell r="AM87" t="str">
            <v>-na-</v>
          </cell>
          <cell r="AN87">
            <v>-0.45171026156941652</v>
          </cell>
          <cell r="AO87">
            <v>-9.5740670938560091E-2</v>
          </cell>
          <cell r="AP87">
            <v>0.87688098495212041</v>
          </cell>
          <cell r="AQ87">
            <v>0.1143617021276595</v>
          </cell>
          <cell r="AR87" t="str">
            <v>-na-</v>
          </cell>
          <cell r="AS87">
            <v>8</v>
          </cell>
          <cell r="AT87">
            <v>1988</v>
          </cell>
          <cell r="AU87">
            <v>0</v>
          </cell>
          <cell r="AV87">
            <v>0</v>
          </cell>
          <cell r="AW87">
            <v>5</v>
          </cell>
          <cell r="AX87">
            <v>1182</v>
          </cell>
          <cell r="AY87">
            <v>2</v>
          </cell>
          <cell r="AZ87">
            <v>1217</v>
          </cell>
          <cell r="BA87">
            <v>7</v>
          </cell>
          <cell r="BB87">
            <v>2102</v>
          </cell>
        </row>
        <row r="88">
          <cell r="C88" t="str">
            <v>Residence Inn</v>
          </cell>
          <cell r="D88">
            <v>30</v>
          </cell>
          <cell r="E88">
            <v>35</v>
          </cell>
          <cell r="F88">
            <v>33</v>
          </cell>
          <cell r="G88">
            <v>68</v>
          </cell>
          <cell r="H88">
            <v>17</v>
          </cell>
          <cell r="I88">
            <v>3941</v>
          </cell>
          <cell r="J88">
            <v>4436</v>
          </cell>
          <cell r="K88">
            <v>3914</v>
          </cell>
          <cell r="L88">
            <v>8350</v>
          </cell>
          <cell r="M88">
            <v>2924</v>
          </cell>
          <cell r="N88" t="str">
            <v>Residence Inn</v>
          </cell>
          <cell r="O88">
            <v>35</v>
          </cell>
          <cell r="P88">
            <v>35</v>
          </cell>
          <cell r="Q88">
            <v>29</v>
          </cell>
          <cell r="R88">
            <v>64</v>
          </cell>
          <cell r="S88">
            <v>22</v>
          </cell>
          <cell r="T88">
            <v>4283</v>
          </cell>
          <cell r="U88">
            <v>4742</v>
          </cell>
          <cell r="V88">
            <v>3520</v>
          </cell>
          <cell r="W88">
            <v>8262</v>
          </cell>
          <cell r="X88">
            <v>3612</v>
          </cell>
          <cell r="Y88">
            <v>-5</v>
          </cell>
          <cell r="Z88">
            <v>0</v>
          </cell>
          <cell r="AA88">
            <v>4</v>
          </cell>
          <cell r="AB88">
            <v>4</v>
          </cell>
          <cell r="AC88">
            <v>-5</v>
          </cell>
          <cell r="AD88">
            <v>-342</v>
          </cell>
          <cell r="AE88">
            <v>-306</v>
          </cell>
          <cell r="AF88">
            <v>394</v>
          </cell>
          <cell r="AG88">
            <v>88</v>
          </cell>
          <cell r="AH88">
            <v>-688</v>
          </cell>
          <cell r="AI88">
            <v>-0.1428571428571429</v>
          </cell>
          <cell r="AJ88">
            <v>0</v>
          </cell>
          <cell r="AK88">
            <v>0.13793103448275867</v>
          </cell>
          <cell r="AL88">
            <v>6.25E-2</v>
          </cell>
          <cell r="AM88">
            <v>-0.22727272727272729</v>
          </cell>
          <cell r="AN88">
            <v>-7.9850572028951627E-2</v>
          </cell>
          <cell r="AO88">
            <v>-6.4529734289329399E-2</v>
          </cell>
          <cell r="AP88">
            <v>0.11193181818181808</v>
          </cell>
          <cell r="AQ88">
            <v>1.0651174049866929E-2</v>
          </cell>
          <cell r="AR88">
            <v>-0.19047619047619047</v>
          </cell>
          <cell r="AS88">
            <v>34</v>
          </cell>
          <cell r="AT88">
            <v>4169</v>
          </cell>
          <cell r="AU88">
            <v>4</v>
          </cell>
          <cell r="AV88">
            <v>707</v>
          </cell>
          <cell r="AW88">
            <v>30</v>
          </cell>
          <cell r="AX88">
            <v>3674</v>
          </cell>
          <cell r="AY88">
            <v>19</v>
          </cell>
          <cell r="AZ88">
            <v>2169</v>
          </cell>
          <cell r="BA88">
            <v>36</v>
          </cell>
          <cell r="BB88">
            <v>5431</v>
          </cell>
        </row>
        <row r="89">
          <cell r="C89" t="str">
            <v>Ritz-Carlton</v>
          </cell>
          <cell r="D89">
            <v>5</v>
          </cell>
          <cell r="E89">
            <v>7</v>
          </cell>
          <cell r="F89">
            <v>0</v>
          </cell>
          <cell r="G89">
            <v>7</v>
          </cell>
          <cell r="H89">
            <v>1</v>
          </cell>
          <cell r="I89">
            <v>1545</v>
          </cell>
          <cell r="J89">
            <v>2027</v>
          </cell>
          <cell r="K89">
            <v>0</v>
          </cell>
          <cell r="L89">
            <v>2027</v>
          </cell>
          <cell r="M89">
            <v>225</v>
          </cell>
          <cell r="N89" t="str">
            <v>Ritz-Carlton</v>
          </cell>
          <cell r="O89">
            <v>4</v>
          </cell>
          <cell r="P89">
            <v>8</v>
          </cell>
          <cell r="Q89">
            <v>0</v>
          </cell>
          <cell r="R89">
            <v>8</v>
          </cell>
          <cell r="S89">
            <v>2</v>
          </cell>
          <cell r="T89">
            <v>1213</v>
          </cell>
          <cell r="U89">
            <v>2242</v>
          </cell>
          <cell r="V89">
            <v>0</v>
          </cell>
          <cell r="W89">
            <v>2242</v>
          </cell>
          <cell r="X89">
            <v>533</v>
          </cell>
          <cell r="Y89">
            <v>1</v>
          </cell>
          <cell r="Z89">
            <v>-1</v>
          </cell>
          <cell r="AA89">
            <v>0</v>
          </cell>
          <cell r="AB89">
            <v>-1</v>
          </cell>
          <cell r="AC89">
            <v>-1</v>
          </cell>
          <cell r="AD89">
            <v>332</v>
          </cell>
          <cell r="AE89">
            <v>-215</v>
          </cell>
          <cell r="AF89">
            <v>0</v>
          </cell>
          <cell r="AG89">
            <v>-215</v>
          </cell>
          <cell r="AH89">
            <v>-308</v>
          </cell>
          <cell r="AI89">
            <v>0.25</v>
          </cell>
          <cell r="AJ89">
            <v>-0.125</v>
          </cell>
          <cell r="AK89">
            <v>0</v>
          </cell>
          <cell r="AL89">
            <v>-0.125</v>
          </cell>
          <cell r="AM89">
            <v>-0.5</v>
          </cell>
          <cell r="AN89">
            <v>0.27370156636438581</v>
          </cell>
          <cell r="AO89">
            <v>-9.5896520963425491E-2</v>
          </cell>
          <cell r="AP89">
            <v>0</v>
          </cell>
          <cell r="AQ89">
            <v>-9.5896520963425491E-2</v>
          </cell>
          <cell r="AR89">
            <v>-0.57786116322701686</v>
          </cell>
          <cell r="AS89">
            <v>4</v>
          </cell>
          <cell r="AT89">
            <v>1213</v>
          </cell>
          <cell r="AU89">
            <v>2</v>
          </cell>
          <cell r="AV89">
            <v>593</v>
          </cell>
          <cell r="AW89">
            <v>6</v>
          </cell>
          <cell r="AX89">
            <v>1443</v>
          </cell>
          <cell r="AY89">
            <v>1</v>
          </cell>
          <cell r="AZ89">
            <v>584</v>
          </cell>
          <cell r="BA89">
            <v>1</v>
          </cell>
          <cell r="BB89">
            <v>225</v>
          </cell>
        </row>
        <row r="90">
          <cell r="C90" t="str">
            <v>Rodeway Inn</v>
          </cell>
          <cell r="D90">
            <v>2</v>
          </cell>
          <cell r="E90">
            <v>0</v>
          </cell>
          <cell r="F90">
            <v>0</v>
          </cell>
          <cell r="G90">
            <v>0</v>
          </cell>
          <cell r="H90">
            <v>0</v>
          </cell>
          <cell r="I90">
            <v>191</v>
          </cell>
          <cell r="J90">
            <v>0</v>
          </cell>
          <cell r="K90">
            <v>0</v>
          </cell>
          <cell r="L90">
            <v>0</v>
          </cell>
          <cell r="M90">
            <v>0</v>
          </cell>
          <cell r="N90" t="str">
            <v>Rodeway Inn</v>
          </cell>
          <cell r="O90">
            <v>0</v>
          </cell>
          <cell r="P90">
            <v>1</v>
          </cell>
          <cell r="Q90">
            <v>0</v>
          </cell>
          <cell r="R90">
            <v>1</v>
          </cell>
          <cell r="S90">
            <v>0</v>
          </cell>
          <cell r="T90">
            <v>0</v>
          </cell>
          <cell r="U90">
            <v>62</v>
          </cell>
          <cell r="V90">
            <v>0</v>
          </cell>
          <cell r="W90">
            <v>62</v>
          </cell>
          <cell r="X90">
            <v>0</v>
          </cell>
          <cell r="Y90">
            <v>2</v>
          </cell>
          <cell r="Z90">
            <v>-1</v>
          </cell>
          <cell r="AA90">
            <v>0</v>
          </cell>
          <cell r="AB90">
            <v>-1</v>
          </cell>
          <cell r="AC90">
            <v>0</v>
          </cell>
          <cell r="AD90">
            <v>191</v>
          </cell>
          <cell r="AE90">
            <v>-62</v>
          </cell>
          <cell r="AF90">
            <v>0</v>
          </cell>
          <cell r="AG90">
            <v>-62</v>
          </cell>
          <cell r="AH90">
            <v>0</v>
          </cell>
          <cell r="AI90" t="str">
            <v>-na-</v>
          </cell>
          <cell r="AJ90" t="str">
            <v>-na-</v>
          </cell>
          <cell r="AK90">
            <v>0</v>
          </cell>
          <cell r="AL90" t="str">
            <v>-na-</v>
          </cell>
          <cell r="AM90">
            <v>0</v>
          </cell>
          <cell r="AN90" t="str">
            <v>-na-</v>
          </cell>
          <cell r="AO90" t="str">
            <v>-na-</v>
          </cell>
          <cell r="AP90">
            <v>0</v>
          </cell>
          <cell r="AQ90" t="str">
            <v>-na-</v>
          </cell>
          <cell r="AR90">
            <v>0</v>
          </cell>
          <cell r="AS90">
            <v>0</v>
          </cell>
          <cell r="AT90">
            <v>0</v>
          </cell>
          <cell r="AU90">
            <v>2</v>
          </cell>
          <cell r="AV90">
            <v>191</v>
          </cell>
          <cell r="AW90">
            <v>0</v>
          </cell>
          <cell r="AX90">
            <v>0</v>
          </cell>
          <cell r="AY90">
            <v>0</v>
          </cell>
          <cell r="AZ90">
            <v>0</v>
          </cell>
          <cell r="BA90">
            <v>0</v>
          </cell>
          <cell r="BB90">
            <v>0</v>
          </cell>
        </row>
        <row r="91">
          <cell r="C91" t="str">
            <v>Scottish Inn</v>
          </cell>
          <cell r="D91">
            <v>0</v>
          </cell>
          <cell r="E91">
            <v>2</v>
          </cell>
          <cell r="F91">
            <v>0</v>
          </cell>
          <cell r="G91">
            <v>2</v>
          </cell>
          <cell r="H91">
            <v>0</v>
          </cell>
          <cell r="I91">
            <v>0</v>
          </cell>
          <cell r="J91">
            <v>56</v>
          </cell>
          <cell r="K91">
            <v>0</v>
          </cell>
          <cell r="L91">
            <v>56</v>
          </cell>
          <cell r="M91">
            <v>0</v>
          </cell>
          <cell r="N91" t="str">
            <v>Scottish Inn</v>
          </cell>
          <cell r="O91">
            <v>1</v>
          </cell>
          <cell r="P91">
            <v>1</v>
          </cell>
          <cell r="Q91">
            <v>0</v>
          </cell>
          <cell r="R91">
            <v>1</v>
          </cell>
          <cell r="S91">
            <v>0</v>
          </cell>
          <cell r="T91">
            <v>33</v>
          </cell>
          <cell r="U91">
            <v>36</v>
          </cell>
          <cell r="V91">
            <v>0</v>
          </cell>
          <cell r="W91">
            <v>36</v>
          </cell>
          <cell r="X91">
            <v>0</v>
          </cell>
          <cell r="Y91">
            <v>-1</v>
          </cell>
          <cell r="Z91">
            <v>1</v>
          </cell>
          <cell r="AA91">
            <v>0</v>
          </cell>
          <cell r="AB91">
            <v>1</v>
          </cell>
          <cell r="AC91">
            <v>0</v>
          </cell>
          <cell r="AD91">
            <v>-33</v>
          </cell>
          <cell r="AE91">
            <v>20</v>
          </cell>
          <cell r="AF91">
            <v>0</v>
          </cell>
          <cell r="AG91">
            <v>20</v>
          </cell>
          <cell r="AH91">
            <v>0</v>
          </cell>
          <cell r="AI91" t="str">
            <v>-na-</v>
          </cell>
          <cell r="AJ91">
            <v>1</v>
          </cell>
          <cell r="AK91">
            <v>0</v>
          </cell>
          <cell r="AL91">
            <v>1</v>
          </cell>
          <cell r="AM91">
            <v>0</v>
          </cell>
          <cell r="AN91" t="str">
            <v>-na-</v>
          </cell>
          <cell r="AO91">
            <v>0.55555555555555558</v>
          </cell>
          <cell r="AP91">
            <v>0</v>
          </cell>
          <cell r="AQ91">
            <v>0.55555555555555558</v>
          </cell>
          <cell r="AR91">
            <v>0</v>
          </cell>
          <cell r="AS91">
            <v>1</v>
          </cell>
          <cell r="AT91">
            <v>33</v>
          </cell>
          <cell r="AU91">
            <v>0</v>
          </cell>
          <cell r="AV91">
            <v>0</v>
          </cell>
          <cell r="AW91">
            <v>2</v>
          </cell>
          <cell r="AX91">
            <v>56</v>
          </cell>
          <cell r="AY91">
            <v>0</v>
          </cell>
          <cell r="AZ91">
            <v>0</v>
          </cell>
          <cell r="BA91">
            <v>0</v>
          </cell>
          <cell r="BB91">
            <v>0</v>
          </cell>
        </row>
        <row r="92">
          <cell r="C92" t="str">
            <v>Sheraton Hotel</v>
          </cell>
          <cell r="D92">
            <v>3</v>
          </cell>
          <cell r="E92">
            <v>3</v>
          </cell>
          <cell r="F92">
            <v>0</v>
          </cell>
          <cell r="G92">
            <v>3</v>
          </cell>
          <cell r="H92">
            <v>2</v>
          </cell>
          <cell r="I92">
            <v>895</v>
          </cell>
          <cell r="J92">
            <v>1096</v>
          </cell>
          <cell r="K92">
            <v>0</v>
          </cell>
          <cell r="L92">
            <v>1096</v>
          </cell>
          <cell r="M92">
            <v>396</v>
          </cell>
          <cell r="N92" t="str">
            <v>Sheraton Hotel</v>
          </cell>
          <cell r="O92">
            <v>4</v>
          </cell>
          <cell r="P92">
            <v>3</v>
          </cell>
          <cell r="Q92">
            <v>0</v>
          </cell>
          <cell r="R92">
            <v>3</v>
          </cell>
          <cell r="S92">
            <v>0</v>
          </cell>
          <cell r="T92">
            <v>1195</v>
          </cell>
          <cell r="U92">
            <v>1096</v>
          </cell>
          <cell r="V92">
            <v>0</v>
          </cell>
          <cell r="W92">
            <v>1096</v>
          </cell>
          <cell r="X92">
            <v>0</v>
          </cell>
          <cell r="Y92">
            <v>-1</v>
          </cell>
          <cell r="Z92">
            <v>0</v>
          </cell>
          <cell r="AA92">
            <v>0</v>
          </cell>
          <cell r="AB92">
            <v>0</v>
          </cell>
          <cell r="AC92">
            <v>2</v>
          </cell>
          <cell r="AD92">
            <v>-300</v>
          </cell>
          <cell r="AE92">
            <v>0</v>
          </cell>
          <cell r="AF92">
            <v>0</v>
          </cell>
          <cell r="AG92">
            <v>0</v>
          </cell>
          <cell r="AH92">
            <v>396</v>
          </cell>
          <cell r="AI92">
            <v>-0.25</v>
          </cell>
          <cell r="AJ92">
            <v>0</v>
          </cell>
          <cell r="AK92">
            <v>0</v>
          </cell>
          <cell r="AL92">
            <v>0</v>
          </cell>
          <cell r="AM92" t="str">
            <v>-na-</v>
          </cell>
          <cell r="AN92">
            <v>-0.2510460251046025</v>
          </cell>
          <cell r="AO92">
            <v>0</v>
          </cell>
          <cell r="AP92">
            <v>0</v>
          </cell>
          <cell r="AQ92">
            <v>0</v>
          </cell>
          <cell r="AR92" t="str">
            <v>-na-</v>
          </cell>
          <cell r="AS92">
            <v>4</v>
          </cell>
          <cell r="AT92">
            <v>1195</v>
          </cell>
          <cell r="AU92">
            <v>0</v>
          </cell>
          <cell r="AV92">
            <v>0</v>
          </cell>
          <cell r="AW92">
            <v>2</v>
          </cell>
          <cell r="AX92">
            <v>683</v>
          </cell>
          <cell r="AY92">
            <v>1</v>
          </cell>
          <cell r="AZ92">
            <v>413</v>
          </cell>
          <cell r="BA92">
            <v>2</v>
          </cell>
          <cell r="BB92">
            <v>396</v>
          </cell>
        </row>
        <row r="93">
          <cell r="C93" t="str">
            <v>Sheraton Inn</v>
          </cell>
          <cell r="D93">
            <v>0</v>
          </cell>
          <cell r="E93">
            <v>0</v>
          </cell>
          <cell r="F93">
            <v>1</v>
          </cell>
          <cell r="G93">
            <v>1</v>
          </cell>
          <cell r="H93">
            <v>0</v>
          </cell>
          <cell r="I93">
            <v>0</v>
          </cell>
          <cell r="J93">
            <v>0</v>
          </cell>
          <cell r="K93">
            <v>80</v>
          </cell>
          <cell r="L93">
            <v>80</v>
          </cell>
          <cell r="M93">
            <v>0</v>
          </cell>
          <cell r="N93" t="str">
            <v>Sheraton Inn</v>
          </cell>
          <cell r="O93">
            <v>0</v>
          </cell>
          <cell r="P93">
            <v>0</v>
          </cell>
          <cell r="Q93">
            <v>1</v>
          </cell>
          <cell r="R93">
            <v>1</v>
          </cell>
          <cell r="S93">
            <v>0</v>
          </cell>
          <cell r="T93">
            <v>0</v>
          </cell>
          <cell r="U93">
            <v>0</v>
          </cell>
          <cell r="V93">
            <v>80</v>
          </cell>
          <cell r="W93">
            <v>80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1</v>
          </cell>
          <cell r="AZ93">
            <v>80</v>
          </cell>
          <cell r="BA93">
            <v>0</v>
          </cell>
          <cell r="BB93">
            <v>0</v>
          </cell>
        </row>
        <row r="94">
          <cell r="C94" t="str">
            <v>Shoney's Inn</v>
          </cell>
          <cell r="D94">
            <v>0</v>
          </cell>
          <cell r="E94">
            <v>1</v>
          </cell>
          <cell r="F94">
            <v>0</v>
          </cell>
          <cell r="G94">
            <v>1</v>
          </cell>
          <cell r="H94">
            <v>0</v>
          </cell>
          <cell r="I94">
            <v>0</v>
          </cell>
          <cell r="J94">
            <v>38</v>
          </cell>
          <cell r="K94">
            <v>0</v>
          </cell>
          <cell r="L94">
            <v>38</v>
          </cell>
          <cell r="M94">
            <v>0</v>
          </cell>
          <cell r="N94" t="str">
            <v>Shoney's Inn</v>
          </cell>
          <cell r="O94">
            <v>0</v>
          </cell>
          <cell r="P94">
            <v>1</v>
          </cell>
          <cell r="Q94">
            <v>0</v>
          </cell>
          <cell r="R94">
            <v>1</v>
          </cell>
          <cell r="S94">
            <v>0</v>
          </cell>
          <cell r="T94">
            <v>0</v>
          </cell>
          <cell r="U94">
            <v>38</v>
          </cell>
          <cell r="V94">
            <v>0</v>
          </cell>
          <cell r="W94">
            <v>38</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1</v>
          </cell>
          <cell r="AX94">
            <v>38</v>
          </cell>
          <cell r="AY94">
            <v>0</v>
          </cell>
          <cell r="AZ94">
            <v>0</v>
          </cell>
          <cell r="BA94">
            <v>0</v>
          </cell>
          <cell r="BB94">
            <v>0</v>
          </cell>
        </row>
        <row r="95">
          <cell r="C95" t="str">
            <v>Sleep Inn</v>
          </cell>
          <cell r="D95">
            <v>26</v>
          </cell>
          <cell r="E95">
            <v>16</v>
          </cell>
          <cell r="F95">
            <v>17</v>
          </cell>
          <cell r="G95">
            <v>33</v>
          </cell>
          <cell r="H95">
            <v>10</v>
          </cell>
          <cell r="I95">
            <v>1895</v>
          </cell>
          <cell r="J95">
            <v>1130</v>
          </cell>
          <cell r="K95">
            <v>1230</v>
          </cell>
          <cell r="L95">
            <v>2360</v>
          </cell>
          <cell r="M95">
            <v>648</v>
          </cell>
          <cell r="N95" t="str">
            <v>Sleep Inn</v>
          </cell>
          <cell r="O95">
            <v>24</v>
          </cell>
          <cell r="P95">
            <v>15</v>
          </cell>
          <cell r="Q95">
            <v>15</v>
          </cell>
          <cell r="R95">
            <v>30</v>
          </cell>
          <cell r="S95">
            <v>17</v>
          </cell>
          <cell r="T95">
            <v>1799</v>
          </cell>
          <cell r="U95">
            <v>1040</v>
          </cell>
          <cell r="V95">
            <v>1058</v>
          </cell>
          <cell r="W95">
            <v>2098</v>
          </cell>
          <cell r="X95">
            <v>1179</v>
          </cell>
          <cell r="Y95">
            <v>2</v>
          </cell>
          <cell r="Z95">
            <v>1</v>
          </cell>
          <cell r="AA95">
            <v>2</v>
          </cell>
          <cell r="AB95">
            <v>3</v>
          </cell>
          <cell r="AC95">
            <v>-7</v>
          </cell>
          <cell r="AD95">
            <v>96</v>
          </cell>
          <cell r="AE95">
            <v>90</v>
          </cell>
          <cell r="AF95">
            <v>172</v>
          </cell>
          <cell r="AG95">
            <v>262</v>
          </cell>
          <cell r="AH95">
            <v>-531</v>
          </cell>
          <cell r="AI95">
            <v>8.3333333333333259E-2</v>
          </cell>
          <cell r="AJ95">
            <v>6.6666666666666652E-2</v>
          </cell>
          <cell r="AK95">
            <v>0.1333333333333333</v>
          </cell>
          <cell r="AL95">
            <v>0.10000000000000009</v>
          </cell>
          <cell r="AM95">
            <v>-0.41176470588235292</v>
          </cell>
          <cell r="AN95">
            <v>5.3362979433018376E-2</v>
          </cell>
          <cell r="AO95">
            <v>8.6538461538461453E-2</v>
          </cell>
          <cell r="AP95">
            <v>0.16257088846880907</v>
          </cell>
          <cell r="AQ95">
            <v>0.12488083889418489</v>
          </cell>
          <cell r="AR95">
            <v>-0.45038167938931295</v>
          </cell>
          <cell r="AS95">
            <v>24</v>
          </cell>
          <cell r="AT95">
            <v>1799</v>
          </cell>
          <cell r="AU95">
            <v>6</v>
          </cell>
          <cell r="AV95">
            <v>423</v>
          </cell>
          <cell r="AW95">
            <v>15</v>
          </cell>
          <cell r="AX95">
            <v>1040</v>
          </cell>
          <cell r="AY95">
            <v>17</v>
          </cell>
          <cell r="AZ95">
            <v>1209</v>
          </cell>
          <cell r="BA95">
            <v>11</v>
          </cell>
          <cell r="BB95">
            <v>759</v>
          </cell>
        </row>
        <row r="96">
          <cell r="C96" t="str">
            <v>SpringHill Suites</v>
          </cell>
          <cell r="D96">
            <v>22</v>
          </cell>
          <cell r="E96">
            <v>12</v>
          </cell>
          <cell r="F96">
            <v>12</v>
          </cell>
          <cell r="G96">
            <v>24</v>
          </cell>
          <cell r="H96">
            <v>16</v>
          </cell>
          <cell r="I96">
            <v>2830</v>
          </cell>
          <cell r="J96">
            <v>1347</v>
          </cell>
          <cell r="K96">
            <v>1442</v>
          </cell>
          <cell r="L96">
            <v>2789</v>
          </cell>
          <cell r="M96">
            <v>2290</v>
          </cell>
          <cell r="N96" t="str">
            <v>SpringHill Suites</v>
          </cell>
          <cell r="O96">
            <v>23</v>
          </cell>
          <cell r="P96">
            <v>17</v>
          </cell>
          <cell r="Q96">
            <v>14</v>
          </cell>
          <cell r="R96">
            <v>31</v>
          </cell>
          <cell r="S96">
            <v>14</v>
          </cell>
          <cell r="T96">
            <v>2940</v>
          </cell>
          <cell r="U96">
            <v>1962</v>
          </cell>
          <cell r="V96">
            <v>1912</v>
          </cell>
          <cell r="W96">
            <v>3874</v>
          </cell>
          <cell r="X96">
            <v>1999</v>
          </cell>
          <cell r="Y96">
            <v>-1</v>
          </cell>
          <cell r="Z96">
            <v>-5</v>
          </cell>
          <cell r="AA96">
            <v>-2</v>
          </cell>
          <cell r="AB96">
            <v>-7</v>
          </cell>
          <cell r="AC96">
            <v>2</v>
          </cell>
          <cell r="AD96">
            <v>-110</v>
          </cell>
          <cell r="AE96">
            <v>-615</v>
          </cell>
          <cell r="AF96">
            <v>-470</v>
          </cell>
          <cell r="AG96">
            <v>-1085</v>
          </cell>
          <cell r="AH96">
            <v>291</v>
          </cell>
          <cell r="AI96">
            <v>-4.3478260869565188E-2</v>
          </cell>
          <cell r="AJ96">
            <v>-0.29411764705882348</v>
          </cell>
          <cell r="AK96">
            <v>-0.1428571428571429</v>
          </cell>
          <cell r="AL96">
            <v>-0.22580645161290325</v>
          </cell>
          <cell r="AM96">
            <v>0.14285714285714279</v>
          </cell>
          <cell r="AN96">
            <v>-3.7414965986394599E-2</v>
          </cell>
          <cell r="AO96">
            <v>-0.31345565749235471</v>
          </cell>
          <cell r="AP96">
            <v>-0.24581589958159</v>
          </cell>
          <cell r="AQ96">
            <v>-0.28007227671657198</v>
          </cell>
          <cell r="AR96">
            <v>0.1455727863931966</v>
          </cell>
          <cell r="AS96">
            <v>23</v>
          </cell>
          <cell r="AT96">
            <v>2940</v>
          </cell>
          <cell r="AU96">
            <v>4</v>
          </cell>
          <cell r="AV96">
            <v>484</v>
          </cell>
          <cell r="AW96">
            <v>11</v>
          </cell>
          <cell r="AX96">
            <v>1210</v>
          </cell>
          <cell r="AY96">
            <v>5</v>
          </cell>
          <cell r="AZ96">
            <v>557</v>
          </cell>
          <cell r="BA96">
            <v>24</v>
          </cell>
          <cell r="BB96">
            <v>3312</v>
          </cell>
        </row>
        <row r="97">
          <cell r="C97" t="str">
            <v>St. Regis</v>
          </cell>
          <cell r="D97">
            <v>1</v>
          </cell>
          <cell r="E97">
            <v>2</v>
          </cell>
          <cell r="F97">
            <v>0</v>
          </cell>
          <cell r="G97">
            <v>2</v>
          </cell>
          <cell r="H97">
            <v>0</v>
          </cell>
          <cell r="I97">
            <v>400</v>
          </cell>
          <cell r="J97">
            <v>503</v>
          </cell>
          <cell r="K97">
            <v>0</v>
          </cell>
          <cell r="L97">
            <v>503</v>
          </cell>
          <cell r="M97">
            <v>0</v>
          </cell>
          <cell r="N97" t="str">
            <v>St. Regis</v>
          </cell>
          <cell r="O97">
            <v>1</v>
          </cell>
          <cell r="P97">
            <v>1</v>
          </cell>
          <cell r="Q97">
            <v>1</v>
          </cell>
          <cell r="R97">
            <v>2</v>
          </cell>
          <cell r="S97">
            <v>0</v>
          </cell>
          <cell r="T97">
            <v>400</v>
          </cell>
          <cell r="U97">
            <v>269</v>
          </cell>
          <cell r="V97">
            <v>234</v>
          </cell>
          <cell r="W97">
            <v>503</v>
          </cell>
          <cell r="X97">
            <v>0</v>
          </cell>
          <cell r="Y97">
            <v>0</v>
          </cell>
          <cell r="Z97">
            <v>1</v>
          </cell>
          <cell r="AA97">
            <v>-1</v>
          </cell>
          <cell r="AB97">
            <v>0</v>
          </cell>
          <cell r="AC97">
            <v>0</v>
          </cell>
          <cell r="AD97">
            <v>0</v>
          </cell>
          <cell r="AE97">
            <v>234</v>
          </cell>
          <cell r="AF97">
            <v>-234</v>
          </cell>
          <cell r="AG97">
            <v>0</v>
          </cell>
          <cell r="AH97">
            <v>0</v>
          </cell>
          <cell r="AI97">
            <v>0</v>
          </cell>
          <cell r="AJ97">
            <v>1</v>
          </cell>
          <cell r="AK97" t="str">
            <v>-na-</v>
          </cell>
          <cell r="AL97">
            <v>0</v>
          </cell>
          <cell r="AM97">
            <v>0</v>
          </cell>
          <cell r="AN97">
            <v>0</v>
          </cell>
          <cell r="AO97">
            <v>0.86988847583643114</v>
          </cell>
          <cell r="AP97" t="str">
            <v>-na-</v>
          </cell>
          <cell r="AQ97">
            <v>0</v>
          </cell>
          <cell r="AR97">
            <v>0</v>
          </cell>
          <cell r="AS97">
            <v>1</v>
          </cell>
          <cell r="AT97">
            <v>400</v>
          </cell>
          <cell r="AU97">
            <v>0</v>
          </cell>
          <cell r="AV97">
            <v>0</v>
          </cell>
          <cell r="AW97">
            <v>0</v>
          </cell>
          <cell r="AX97">
            <v>0</v>
          </cell>
          <cell r="AY97">
            <v>1</v>
          </cell>
          <cell r="AZ97">
            <v>269</v>
          </cell>
          <cell r="BA97">
            <v>1</v>
          </cell>
          <cell r="BB97">
            <v>234</v>
          </cell>
        </row>
        <row r="98">
          <cell r="C98" t="str">
            <v>Staybridge Suites</v>
          </cell>
          <cell r="D98">
            <v>15</v>
          </cell>
          <cell r="E98">
            <v>6</v>
          </cell>
          <cell r="F98">
            <v>14</v>
          </cell>
          <cell r="G98">
            <v>20</v>
          </cell>
          <cell r="H98">
            <v>2</v>
          </cell>
          <cell r="I98">
            <v>1684</v>
          </cell>
          <cell r="J98">
            <v>593</v>
          </cell>
          <cell r="K98">
            <v>1682</v>
          </cell>
          <cell r="L98">
            <v>2275</v>
          </cell>
          <cell r="M98">
            <v>201</v>
          </cell>
          <cell r="N98" t="str">
            <v>Staybridge Suites</v>
          </cell>
          <cell r="O98">
            <v>16</v>
          </cell>
          <cell r="P98">
            <v>11</v>
          </cell>
          <cell r="Q98">
            <v>17</v>
          </cell>
          <cell r="R98">
            <v>28</v>
          </cell>
          <cell r="S98">
            <v>2</v>
          </cell>
          <cell r="T98">
            <v>1748</v>
          </cell>
          <cell r="U98">
            <v>1170</v>
          </cell>
          <cell r="V98">
            <v>1981</v>
          </cell>
          <cell r="W98">
            <v>3151</v>
          </cell>
          <cell r="X98">
            <v>212</v>
          </cell>
          <cell r="Y98">
            <v>-1</v>
          </cell>
          <cell r="Z98">
            <v>-5</v>
          </cell>
          <cell r="AA98">
            <v>-3</v>
          </cell>
          <cell r="AB98">
            <v>-8</v>
          </cell>
          <cell r="AC98">
            <v>0</v>
          </cell>
          <cell r="AD98">
            <v>-64</v>
          </cell>
          <cell r="AE98">
            <v>-577</v>
          </cell>
          <cell r="AF98">
            <v>-299</v>
          </cell>
          <cell r="AG98">
            <v>-876</v>
          </cell>
          <cell r="AH98">
            <v>-11</v>
          </cell>
          <cell r="AI98">
            <v>-6.25E-2</v>
          </cell>
          <cell r="AJ98">
            <v>-0.45454545454545459</v>
          </cell>
          <cell r="AK98">
            <v>-0.17647058823529416</v>
          </cell>
          <cell r="AL98">
            <v>-0.2857142857142857</v>
          </cell>
          <cell r="AM98">
            <v>0</v>
          </cell>
          <cell r="AN98">
            <v>-3.6613272311212808E-2</v>
          </cell>
          <cell r="AO98">
            <v>-0.49316239316239319</v>
          </cell>
          <cell r="AP98">
            <v>-0.1509338717819283</v>
          </cell>
          <cell r="AQ98">
            <v>-0.27800698191050455</v>
          </cell>
          <cell r="AR98">
            <v>-5.1886792452830233E-2</v>
          </cell>
          <cell r="AS98">
            <v>16</v>
          </cell>
          <cell r="AT98">
            <v>1748</v>
          </cell>
          <cell r="AU98">
            <v>5</v>
          </cell>
          <cell r="AV98">
            <v>575</v>
          </cell>
          <cell r="AW98">
            <v>6</v>
          </cell>
          <cell r="AX98">
            <v>593</v>
          </cell>
          <cell r="AY98">
            <v>12</v>
          </cell>
          <cell r="AZ98">
            <v>1397</v>
          </cell>
          <cell r="BA98">
            <v>4</v>
          </cell>
          <cell r="BB98">
            <v>486</v>
          </cell>
        </row>
        <row r="99">
          <cell r="C99" t="str">
            <v>Studio 6</v>
          </cell>
          <cell r="D99">
            <v>1</v>
          </cell>
          <cell r="E99">
            <v>2</v>
          </cell>
          <cell r="F99">
            <v>0</v>
          </cell>
          <cell r="G99">
            <v>2</v>
          </cell>
          <cell r="H99">
            <v>0</v>
          </cell>
          <cell r="I99">
            <v>61</v>
          </cell>
          <cell r="J99">
            <v>244</v>
          </cell>
          <cell r="K99">
            <v>0</v>
          </cell>
          <cell r="L99">
            <v>244</v>
          </cell>
          <cell r="M99">
            <v>0</v>
          </cell>
          <cell r="N99" t="str">
            <v>Studio 6</v>
          </cell>
          <cell r="O99">
            <v>1</v>
          </cell>
          <cell r="P99">
            <v>1</v>
          </cell>
          <cell r="Q99">
            <v>1</v>
          </cell>
          <cell r="R99">
            <v>2</v>
          </cell>
          <cell r="S99">
            <v>0</v>
          </cell>
          <cell r="T99">
            <v>61</v>
          </cell>
          <cell r="U99">
            <v>124</v>
          </cell>
          <cell r="V99">
            <v>120</v>
          </cell>
          <cell r="W99">
            <v>244</v>
          </cell>
          <cell r="X99">
            <v>0</v>
          </cell>
          <cell r="Y99">
            <v>0</v>
          </cell>
          <cell r="Z99">
            <v>1</v>
          </cell>
          <cell r="AA99">
            <v>-1</v>
          </cell>
          <cell r="AB99">
            <v>0</v>
          </cell>
          <cell r="AC99">
            <v>0</v>
          </cell>
          <cell r="AD99">
            <v>0</v>
          </cell>
          <cell r="AE99">
            <v>120</v>
          </cell>
          <cell r="AF99">
            <v>-120</v>
          </cell>
          <cell r="AG99">
            <v>0</v>
          </cell>
          <cell r="AH99">
            <v>0</v>
          </cell>
          <cell r="AI99">
            <v>0</v>
          </cell>
          <cell r="AJ99">
            <v>1</v>
          </cell>
          <cell r="AK99" t="str">
            <v>-na-</v>
          </cell>
          <cell r="AL99">
            <v>0</v>
          </cell>
          <cell r="AM99">
            <v>0</v>
          </cell>
          <cell r="AN99">
            <v>0</v>
          </cell>
          <cell r="AO99">
            <v>0.967741935483871</v>
          </cell>
          <cell r="AP99" t="str">
            <v>-na-</v>
          </cell>
          <cell r="AQ99">
            <v>0</v>
          </cell>
          <cell r="AR99">
            <v>0</v>
          </cell>
          <cell r="AS99">
            <v>1</v>
          </cell>
          <cell r="AT99">
            <v>61</v>
          </cell>
          <cell r="AU99">
            <v>0</v>
          </cell>
          <cell r="AV99">
            <v>0</v>
          </cell>
          <cell r="AW99">
            <v>2</v>
          </cell>
          <cell r="AX99">
            <v>244</v>
          </cell>
          <cell r="AY99">
            <v>0</v>
          </cell>
          <cell r="AZ99">
            <v>0</v>
          </cell>
          <cell r="BA99">
            <v>0</v>
          </cell>
          <cell r="BB99">
            <v>0</v>
          </cell>
        </row>
        <row r="100">
          <cell r="C100" t="str">
            <v>StudioPlus Hotel</v>
          </cell>
          <cell r="D100">
            <v>1</v>
          </cell>
          <cell r="E100">
            <v>0</v>
          </cell>
          <cell r="F100">
            <v>0</v>
          </cell>
          <cell r="G100">
            <v>0</v>
          </cell>
          <cell r="H100">
            <v>0</v>
          </cell>
          <cell r="I100">
            <v>98</v>
          </cell>
          <cell r="J100">
            <v>0</v>
          </cell>
          <cell r="K100">
            <v>0</v>
          </cell>
          <cell r="L100">
            <v>0</v>
          </cell>
          <cell r="M100">
            <v>0</v>
          </cell>
          <cell r="N100" t="str">
            <v>StudioPlus Hotel</v>
          </cell>
          <cell r="O100">
            <v>2</v>
          </cell>
          <cell r="P100">
            <v>1</v>
          </cell>
          <cell r="Q100">
            <v>0</v>
          </cell>
          <cell r="R100">
            <v>1</v>
          </cell>
          <cell r="S100">
            <v>0</v>
          </cell>
          <cell r="T100">
            <v>184</v>
          </cell>
          <cell r="U100">
            <v>98</v>
          </cell>
          <cell r="V100">
            <v>0</v>
          </cell>
          <cell r="W100">
            <v>98</v>
          </cell>
          <cell r="X100">
            <v>0</v>
          </cell>
          <cell r="Y100">
            <v>-1</v>
          </cell>
          <cell r="Z100">
            <v>-1</v>
          </cell>
          <cell r="AA100">
            <v>0</v>
          </cell>
          <cell r="AB100">
            <v>-1</v>
          </cell>
          <cell r="AC100">
            <v>0</v>
          </cell>
          <cell r="AD100">
            <v>-86</v>
          </cell>
          <cell r="AE100">
            <v>-98</v>
          </cell>
          <cell r="AF100">
            <v>0</v>
          </cell>
          <cell r="AG100">
            <v>-98</v>
          </cell>
          <cell r="AH100">
            <v>0</v>
          </cell>
          <cell r="AI100">
            <v>-0.5</v>
          </cell>
          <cell r="AJ100" t="str">
            <v>-na-</v>
          </cell>
          <cell r="AK100">
            <v>0</v>
          </cell>
          <cell r="AL100" t="str">
            <v>-na-</v>
          </cell>
          <cell r="AM100">
            <v>0</v>
          </cell>
          <cell r="AN100">
            <v>-0.46739130434782605</v>
          </cell>
          <cell r="AO100" t="str">
            <v>-na-</v>
          </cell>
          <cell r="AP100">
            <v>0</v>
          </cell>
          <cell r="AQ100" t="str">
            <v>-na-</v>
          </cell>
          <cell r="AR100">
            <v>0</v>
          </cell>
          <cell r="AS100">
            <v>2</v>
          </cell>
          <cell r="AT100">
            <v>184</v>
          </cell>
          <cell r="AU100">
            <v>1</v>
          </cell>
          <cell r="AV100">
            <v>98</v>
          </cell>
          <cell r="AW100">
            <v>0</v>
          </cell>
          <cell r="AX100">
            <v>0</v>
          </cell>
          <cell r="AY100">
            <v>0</v>
          </cell>
          <cell r="AZ100">
            <v>0</v>
          </cell>
          <cell r="BA100">
            <v>0</v>
          </cell>
          <cell r="BB100">
            <v>0</v>
          </cell>
        </row>
        <row r="101">
          <cell r="C101" t="str">
            <v>Suburban Lodge</v>
          </cell>
          <cell r="D101">
            <v>4</v>
          </cell>
          <cell r="E101">
            <v>0</v>
          </cell>
          <cell r="F101">
            <v>0</v>
          </cell>
          <cell r="G101">
            <v>0</v>
          </cell>
          <cell r="H101">
            <v>0</v>
          </cell>
          <cell r="I101">
            <v>466</v>
          </cell>
          <cell r="J101">
            <v>0</v>
          </cell>
          <cell r="K101">
            <v>0</v>
          </cell>
          <cell r="L101">
            <v>0</v>
          </cell>
          <cell r="M101">
            <v>0</v>
          </cell>
          <cell r="N101" t="str">
            <v>Suburban Lodge</v>
          </cell>
          <cell r="O101">
            <v>9</v>
          </cell>
          <cell r="P101">
            <v>0</v>
          </cell>
          <cell r="Q101">
            <v>1</v>
          </cell>
          <cell r="R101">
            <v>1</v>
          </cell>
          <cell r="S101">
            <v>0</v>
          </cell>
          <cell r="T101">
            <v>1179</v>
          </cell>
          <cell r="U101">
            <v>0</v>
          </cell>
          <cell r="V101">
            <v>130</v>
          </cell>
          <cell r="W101">
            <v>130</v>
          </cell>
          <cell r="X101">
            <v>0</v>
          </cell>
          <cell r="Y101">
            <v>-5</v>
          </cell>
          <cell r="Z101">
            <v>0</v>
          </cell>
          <cell r="AA101">
            <v>-1</v>
          </cell>
          <cell r="AB101">
            <v>-1</v>
          </cell>
          <cell r="AC101">
            <v>0</v>
          </cell>
          <cell r="AD101">
            <v>-713</v>
          </cell>
          <cell r="AE101">
            <v>0</v>
          </cell>
          <cell r="AF101">
            <v>-130</v>
          </cell>
          <cell r="AG101">
            <v>-130</v>
          </cell>
          <cell r="AH101">
            <v>0</v>
          </cell>
          <cell r="AI101">
            <v>-0.55555555555555558</v>
          </cell>
          <cell r="AJ101">
            <v>0</v>
          </cell>
          <cell r="AK101" t="str">
            <v>-na-</v>
          </cell>
          <cell r="AL101" t="str">
            <v>-na-</v>
          </cell>
          <cell r="AM101">
            <v>0</v>
          </cell>
          <cell r="AN101">
            <v>-0.60474978795589485</v>
          </cell>
          <cell r="AO101">
            <v>0</v>
          </cell>
          <cell r="AP101" t="str">
            <v>-na-</v>
          </cell>
          <cell r="AQ101" t="str">
            <v>-na-</v>
          </cell>
          <cell r="AR101">
            <v>0</v>
          </cell>
          <cell r="AS101">
            <v>9</v>
          </cell>
          <cell r="AT101">
            <v>1179</v>
          </cell>
          <cell r="AU101">
            <v>0</v>
          </cell>
          <cell r="AV101">
            <v>0</v>
          </cell>
          <cell r="AW101">
            <v>0</v>
          </cell>
          <cell r="AX101">
            <v>0</v>
          </cell>
          <cell r="AY101">
            <v>0</v>
          </cell>
          <cell r="AZ101">
            <v>0</v>
          </cell>
          <cell r="BA101">
            <v>0</v>
          </cell>
          <cell r="BB101">
            <v>0</v>
          </cell>
        </row>
        <row r="102">
          <cell r="C102" t="str">
            <v>Summerfield Suites</v>
          </cell>
          <cell r="D102">
            <v>0</v>
          </cell>
          <cell r="E102">
            <v>1</v>
          </cell>
          <cell r="F102">
            <v>0</v>
          </cell>
          <cell r="G102">
            <v>1</v>
          </cell>
          <cell r="H102">
            <v>0</v>
          </cell>
          <cell r="I102">
            <v>0</v>
          </cell>
          <cell r="J102">
            <v>142</v>
          </cell>
          <cell r="K102">
            <v>0</v>
          </cell>
          <cell r="L102">
            <v>142</v>
          </cell>
          <cell r="M102">
            <v>0</v>
          </cell>
          <cell r="N102" t="str">
            <v>Summerfield Suites by Wyndham</v>
          </cell>
          <cell r="O102">
            <v>0</v>
          </cell>
          <cell r="P102">
            <v>0</v>
          </cell>
          <cell r="Q102">
            <v>0</v>
          </cell>
          <cell r="R102">
            <v>0</v>
          </cell>
          <cell r="S102">
            <v>0</v>
          </cell>
          <cell r="T102">
            <v>0</v>
          </cell>
          <cell r="U102">
            <v>0</v>
          </cell>
          <cell r="V102">
            <v>0</v>
          </cell>
          <cell r="W102">
            <v>0</v>
          </cell>
          <cell r="X102">
            <v>0</v>
          </cell>
          <cell r="Y102">
            <v>0</v>
          </cell>
          <cell r="Z102">
            <v>1</v>
          </cell>
          <cell r="AA102">
            <v>0</v>
          </cell>
          <cell r="AB102">
            <v>1</v>
          </cell>
          <cell r="AC102">
            <v>0</v>
          </cell>
          <cell r="AD102">
            <v>0</v>
          </cell>
          <cell r="AE102">
            <v>142</v>
          </cell>
          <cell r="AF102">
            <v>0</v>
          </cell>
          <cell r="AG102">
            <v>142</v>
          </cell>
          <cell r="AH102">
            <v>0</v>
          </cell>
          <cell r="AI102">
            <v>0</v>
          </cell>
          <cell r="AJ102" t="str">
            <v>-na-</v>
          </cell>
          <cell r="AK102">
            <v>0</v>
          </cell>
          <cell r="AL102" t="str">
            <v>-na-</v>
          </cell>
          <cell r="AM102">
            <v>0</v>
          </cell>
          <cell r="AN102">
            <v>0</v>
          </cell>
          <cell r="AO102" t="str">
            <v>-na-</v>
          </cell>
          <cell r="AP102">
            <v>0</v>
          </cell>
          <cell r="AQ102" t="str">
            <v>-na-</v>
          </cell>
          <cell r="AR102">
            <v>0</v>
          </cell>
          <cell r="AS102">
            <v>0</v>
          </cell>
          <cell r="AT102">
            <v>0</v>
          </cell>
          <cell r="AU102">
            <v>0</v>
          </cell>
          <cell r="AV102">
            <v>0</v>
          </cell>
          <cell r="AW102">
            <v>1</v>
          </cell>
          <cell r="AX102">
            <v>142</v>
          </cell>
          <cell r="AY102">
            <v>0</v>
          </cell>
          <cell r="AZ102">
            <v>0</v>
          </cell>
          <cell r="BA102">
            <v>0</v>
          </cell>
          <cell r="BB102">
            <v>0</v>
          </cell>
        </row>
        <row r="103">
          <cell r="C103" t="str">
            <v>Sun Suites</v>
          </cell>
          <cell r="D103">
            <v>1</v>
          </cell>
          <cell r="E103">
            <v>0</v>
          </cell>
          <cell r="F103">
            <v>0</v>
          </cell>
          <cell r="G103">
            <v>0</v>
          </cell>
          <cell r="H103">
            <v>0</v>
          </cell>
          <cell r="I103">
            <v>132</v>
          </cell>
          <cell r="J103">
            <v>0</v>
          </cell>
          <cell r="K103">
            <v>0</v>
          </cell>
          <cell r="L103">
            <v>0</v>
          </cell>
          <cell r="M103">
            <v>0</v>
          </cell>
          <cell r="N103" t="str">
            <v>Sun Suites</v>
          </cell>
          <cell r="O103">
            <v>1</v>
          </cell>
          <cell r="P103">
            <v>0</v>
          </cell>
          <cell r="Q103">
            <v>0</v>
          </cell>
          <cell r="R103">
            <v>0</v>
          </cell>
          <cell r="S103">
            <v>0</v>
          </cell>
          <cell r="T103">
            <v>132</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1</v>
          </cell>
          <cell r="AT103">
            <v>132</v>
          </cell>
          <cell r="AU103">
            <v>0</v>
          </cell>
          <cell r="AV103">
            <v>0</v>
          </cell>
          <cell r="AW103">
            <v>0</v>
          </cell>
          <cell r="AX103">
            <v>0</v>
          </cell>
          <cell r="AY103">
            <v>0</v>
          </cell>
          <cell r="AZ103">
            <v>0</v>
          </cell>
          <cell r="BA103">
            <v>0</v>
          </cell>
          <cell r="BB103">
            <v>0</v>
          </cell>
        </row>
        <row r="104">
          <cell r="C104" t="str">
            <v>Sunspree Resorts</v>
          </cell>
          <cell r="N104" t="str">
            <v>Sunspree Resorts</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row>
        <row r="105">
          <cell r="C105" t="str">
            <v>Super 8</v>
          </cell>
          <cell r="D105">
            <v>44</v>
          </cell>
          <cell r="E105">
            <v>18</v>
          </cell>
          <cell r="F105">
            <v>20</v>
          </cell>
          <cell r="G105">
            <v>38</v>
          </cell>
          <cell r="H105">
            <v>39</v>
          </cell>
          <cell r="I105">
            <v>2215</v>
          </cell>
          <cell r="J105">
            <v>1056</v>
          </cell>
          <cell r="K105">
            <v>1433</v>
          </cell>
          <cell r="L105">
            <v>2489</v>
          </cell>
          <cell r="M105">
            <v>3214</v>
          </cell>
          <cell r="N105" t="str">
            <v>Super 8</v>
          </cell>
          <cell r="O105">
            <v>41</v>
          </cell>
          <cell r="P105">
            <v>22</v>
          </cell>
          <cell r="Q105">
            <v>25</v>
          </cell>
          <cell r="R105">
            <v>47</v>
          </cell>
          <cell r="S105">
            <v>42</v>
          </cell>
          <cell r="T105">
            <v>1981</v>
          </cell>
          <cell r="U105">
            <v>1275</v>
          </cell>
          <cell r="V105">
            <v>1736</v>
          </cell>
          <cell r="W105">
            <v>3011</v>
          </cell>
          <cell r="X105">
            <v>3476</v>
          </cell>
          <cell r="Y105">
            <v>3</v>
          </cell>
          <cell r="Z105">
            <v>-4</v>
          </cell>
          <cell r="AA105">
            <v>-5</v>
          </cell>
          <cell r="AB105">
            <v>-9</v>
          </cell>
          <cell r="AC105">
            <v>-3</v>
          </cell>
          <cell r="AD105">
            <v>234</v>
          </cell>
          <cell r="AE105">
            <v>-219</v>
          </cell>
          <cell r="AF105">
            <v>-303</v>
          </cell>
          <cell r="AG105">
            <v>-522</v>
          </cell>
          <cell r="AH105">
            <v>-262</v>
          </cell>
          <cell r="AI105">
            <v>7.3170731707317138E-2</v>
          </cell>
          <cell r="AJ105">
            <v>-0.18181818181818177</v>
          </cell>
          <cell r="AK105">
            <v>-0.19999999999999996</v>
          </cell>
          <cell r="AL105">
            <v>-0.19148936170212771</v>
          </cell>
          <cell r="AM105">
            <v>-7.1428571428571397E-2</v>
          </cell>
          <cell r="AN105">
            <v>0.11812216052498736</v>
          </cell>
          <cell r="AO105">
            <v>-0.17176470588235293</v>
          </cell>
          <cell r="AP105">
            <v>-0.17453917050691248</v>
          </cell>
          <cell r="AQ105">
            <v>-0.17336433078711389</v>
          </cell>
          <cell r="AR105">
            <v>-7.5373993095512071E-2</v>
          </cell>
          <cell r="AS105">
            <v>42</v>
          </cell>
          <cell r="AT105">
            <v>2033</v>
          </cell>
          <cell r="AU105">
            <v>7</v>
          </cell>
          <cell r="AV105">
            <v>390</v>
          </cell>
          <cell r="AW105">
            <v>16</v>
          </cell>
          <cell r="AX105">
            <v>907</v>
          </cell>
          <cell r="AY105">
            <v>19</v>
          </cell>
          <cell r="AZ105">
            <v>1332</v>
          </cell>
          <cell r="BA105">
            <v>42</v>
          </cell>
          <cell r="BB105">
            <v>3464</v>
          </cell>
        </row>
        <row r="106">
          <cell r="C106" t="str">
            <v>Susse Chalet</v>
          </cell>
          <cell r="N106" t="str">
            <v>Susse Chalet</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row>
        <row r="107">
          <cell r="C107" t="str">
            <v>ThriftLodge</v>
          </cell>
          <cell r="N107" t="str">
            <v>ThriftLodge</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row>
        <row r="108">
          <cell r="C108" t="str">
            <v>TownePlace Suites</v>
          </cell>
          <cell r="D108">
            <v>7</v>
          </cell>
          <cell r="E108">
            <v>2</v>
          </cell>
          <cell r="F108">
            <v>4</v>
          </cell>
          <cell r="G108">
            <v>6</v>
          </cell>
          <cell r="H108">
            <v>3</v>
          </cell>
          <cell r="I108">
            <v>772</v>
          </cell>
          <cell r="J108">
            <v>200</v>
          </cell>
          <cell r="K108">
            <v>411</v>
          </cell>
          <cell r="L108">
            <v>611</v>
          </cell>
          <cell r="M108">
            <v>308</v>
          </cell>
          <cell r="N108" t="str">
            <v>TownePlace Suites</v>
          </cell>
          <cell r="O108">
            <v>12</v>
          </cell>
          <cell r="P108">
            <v>2</v>
          </cell>
          <cell r="Q108">
            <v>6</v>
          </cell>
          <cell r="R108">
            <v>8</v>
          </cell>
          <cell r="S108">
            <v>1</v>
          </cell>
          <cell r="T108">
            <v>1311</v>
          </cell>
          <cell r="U108">
            <v>200</v>
          </cell>
          <cell r="V108">
            <v>621</v>
          </cell>
          <cell r="W108">
            <v>821</v>
          </cell>
          <cell r="X108">
            <v>98</v>
          </cell>
          <cell r="Y108">
            <v>-5</v>
          </cell>
          <cell r="Z108">
            <v>0</v>
          </cell>
          <cell r="AA108">
            <v>-2</v>
          </cell>
          <cell r="AB108">
            <v>-2</v>
          </cell>
          <cell r="AC108">
            <v>2</v>
          </cell>
          <cell r="AD108">
            <v>-539</v>
          </cell>
          <cell r="AE108">
            <v>0</v>
          </cell>
          <cell r="AF108">
            <v>-210</v>
          </cell>
          <cell r="AG108">
            <v>-210</v>
          </cell>
          <cell r="AH108">
            <v>210</v>
          </cell>
          <cell r="AI108">
            <v>-0.41666666666666663</v>
          </cell>
          <cell r="AJ108">
            <v>0</v>
          </cell>
          <cell r="AK108">
            <v>-0.33333333333333337</v>
          </cell>
          <cell r="AL108">
            <v>-0.25</v>
          </cell>
          <cell r="AM108">
            <v>2</v>
          </cell>
          <cell r="AN108">
            <v>-0.41113653699466057</v>
          </cell>
          <cell r="AO108">
            <v>0</v>
          </cell>
          <cell r="AP108">
            <v>-0.33816425120772942</v>
          </cell>
          <cell r="AQ108">
            <v>-0.25578562728380028</v>
          </cell>
          <cell r="AR108">
            <v>2.1428571428571428</v>
          </cell>
          <cell r="AS108">
            <v>12</v>
          </cell>
          <cell r="AT108">
            <v>1311</v>
          </cell>
          <cell r="AU108">
            <v>0</v>
          </cell>
          <cell r="AV108">
            <v>0</v>
          </cell>
          <cell r="AW108">
            <v>2</v>
          </cell>
          <cell r="AX108">
            <v>200</v>
          </cell>
          <cell r="AY108">
            <v>3</v>
          </cell>
          <cell r="AZ108">
            <v>262</v>
          </cell>
          <cell r="BA108">
            <v>4</v>
          </cell>
          <cell r="BB108">
            <v>457</v>
          </cell>
        </row>
        <row r="109">
          <cell r="C109" t="str">
            <v>Travelodge</v>
          </cell>
          <cell r="D109">
            <v>2</v>
          </cell>
          <cell r="E109">
            <v>0</v>
          </cell>
          <cell r="F109">
            <v>4</v>
          </cell>
          <cell r="G109">
            <v>4</v>
          </cell>
          <cell r="H109">
            <v>13</v>
          </cell>
          <cell r="I109">
            <v>110</v>
          </cell>
          <cell r="J109">
            <v>0</v>
          </cell>
          <cell r="K109">
            <v>499</v>
          </cell>
          <cell r="L109">
            <v>499</v>
          </cell>
          <cell r="M109">
            <v>2048</v>
          </cell>
          <cell r="N109" t="str">
            <v>Travelodge</v>
          </cell>
          <cell r="O109">
            <v>5</v>
          </cell>
          <cell r="P109">
            <v>0</v>
          </cell>
          <cell r="Q109">
            <v>5</v>
          </cell>
          <cell r="R109">
            <v>5</v>
          </cell>
          <cell r="S109">
            <v>12</v>
          </cell>
          <cell r="T109">
            <v>348</v>
          </cell>
          <cell r="U109">
            <v>0</v>
          </cell>
          <cell r="V109">
            <v>573</v>
          </cell>
          <cell r="W109">
            <v>573</v>
          </cell>
          <cell r="X109">
            <v>1597</v>
          </cell>
          <cell r="Y109">
            <v>-3</v>
          </cell>
          <cell r="Z109">
            <v>0</v>
          </cell>
          <cell r="AA109">
            <v>-1</v>
          </cell>
          <cell r="AB109">
            <v>-1</v>
          </cell>
          <cell r="AC109">
            <v>1</v>
          </cell>
          <cell r="AD109">
            <v>-238</v>
          </cell>
          <cell r="AE109">
            <v>0</v>
          </cell>
          <cell r="AF109">
            <v>-74</v>
          </cell>
          <cell r="AG109">
            <v>-74</v>
          </cell>
          <cell r="AH109">
            <v>451</v>
          </cell>
          <cell r="AI109">
            <v>-0.6</v>
          </cell>
          <cell r="AJ109">
            <v>0</v>
          </cell>
          <cell r="AK109">
            <v>-0.19999999999999996</v>
          </cell>
          <cell r="AL109">
            <v>-0.19999999999999996</v>
          </cell>
          <cell r="AM109">
            <v>8.3333333333333259E-2</v>
          </cell>
          <cell r="AN109">
            <v>-0.68390804597701149</v>
          </cell>
          <cell r="AO109">
            <v>0</v>
          </cell>
          <cell r="AP109">
            <v>-0.12914485165794065</v>
          </cell>
          <cell r="AQ109">
            <v>-0.12914485165794065</v>
          </cell>
          <cell r="AR109">
            <v>0.28240450845334997</v>
          </cell>
          <cell r="AS109">
            <v>5</v>
          </cell>
          <cell r="AT109">
            <v>348</v>
          </cell>
          <cell r="AU109">
            <v>0</v>
          </cell>
          <cell r="AV109">
            <v>0</v>
          </cell>
          <cell r="AW109">
            <v>0</v>
          </cell>
          <cell r="AX109">
            <v>0</v>
          </cell>
          <cell r="AY109">
            <v>3</v>
          </cell>
          <cell r="AZ109">
            <v>229</v>
          </cell>
          <cell r="BA109">
            <v>14</v>
          </cell>
          <cell r="BB109">
            <v>2318</v>
          </cell>
        </row>
        <row r="110">
          <cell r="C110" t="str">
            <v>Villager Lodge</v>
          </cell>
          <cell r="D110">
            <v>1</v>
          </cell>
          <cell r="E110">
            <v>0</v>
          </cell>
          <cell r="F110">
            <v>3</v>
          </cell>
          <cell r="G110">
            <v>3</v>
          </cell>
          <cell r="H110">
            <v>39</v>
          </cell>
          <cell r="I110">
            <v>150</v>
          </cell>
          <cell r="J110">
            <v>0</v>
          </cell>
          <cell r="K110">
            <v>372</v>
          </cell>
          <cell r="L110">
            <v>372</v>
          </cell>
          <cell r="M110">
            <v>5410</v>
          </cell>
          <cell r="N110" t="str">
            <v>Villager Lodge</v>
          </cell>
          <cell r="O110">
            <v>1</v>
          </cell>
          <cell r="P110">
            <v>0</v>
          </cell>
          <cell r="Q110">
            <v>3</v>
          </cell>
          <cell r="R110">
            <v>3</v>
          </cell>
          <cell r="S110">
            <v>32</v>
          </cell>
          <cell r="T110">
            <v>150</v>
          </cell>
          <cell r="U110">
            <v>0</v>
          </cell>
          <cell r="V110">
            <v>372</v>
          </cell>
          <cell r="W110">
            <v>372</v>
          </cell>
          <cell r="X110">
            <v>4353</v>
          </cell>
          <cell r="Y110">
            <v>0</v>
          </cell>
          <cell r="Z110">
            <v>0</v>
          </cell>
          <cell r="AA110">
            <v>0</v>
          </cell>
          <cell r="AB110">
            <v>0</v>
          </cell>
          <cell r="AC110">
            <v>7</v>
          </cell>
          <cell r="AD110">
            <v>0</v>
          </cell>
          <cell r="AE110">
            <v>0</v>
          </cell>
          <cell r="AF110">
            <v>0</v>
          </cell>
          <cell r="AG110">
            <v>0</v>
          </cell>
          <cell r="AH110">
            <v>1057</v>
          </cell>
          <cell r="AI110">
            <v>0</v>
          </cell>
          <cell r="AJ110">
            <v>0</v>
          </cell>
          <cell r="AK110">
            <v>0</v>
          </cell>
          <cell r="AL110">
            <v>0</v>
          </cell>
          <cell r="AM110">
            <v>0.21875</v>
          </cell>
          <cell r="AN110">
            <v>0</v>
          </cell>
          <cell r="AO110">
            <v>0</v>
          </cell>
          <cell r="AP110">
            <v>0</v>
          </cell>
          <cell r="AQ110">
            <v>0</v>
          </cell>
          <cell r="AR110">
            <v>0.24282104295887885</v>
          </cell>
          <cell r="AS110">
            <v>1</v>
          </cell>
          <cell r="AT110">
            <v>150</v>
          </cell>
          <cell r="AU110">
            <v>0</v>
          </cell>
          <cell r="AV110">
            <v>0</v>
          </cell>
          <cell r="AW110">
            <v>0</v>
          </cell>
          <cell r="AX110">
            <v>0</v>
          </cell>
          <cell r="AY110">
            <v>1</v>
          </cell>
          <cell r="AZ110">
            <v>80</v>
          </cell>
          <cell r="BA110">
            <v>41</v>
          </cell>
          <cell r="BB110">
            <v>5702</v>
          </cell>
        </row>
        <row r="111">
          <cell r="C111" t="str">
            <v>W Hotel</v>
          </cell>
          <cell r="D111">
            <v>1</v>
          </cell>
          <cell r="E111">
            <v>1</v>
          </cell>
          <cell r="F111">
            <v>2</v>
          </cell>
          <cell r="G111">
            <v>3</v>
          </cell>
          <cell r="H111">
            <v>0</v>
          </cell>
          <cell r="I111">
            <v>509</v>
          </cell>
          <cell r="J111">
            <v>261</v>
          </cell>
          <cell r="K111">
            <v>660</v>
          </cell>
          <cell r="L111">
            <v>921</v>
          </cell>
          <cell r="M111">
            <v>0</v>
          </cell>
          <cell r="N111" t="str">
            <v>W Hotel</v>
          </cell>
          <cell r="O111">
            <v>1</v>
          </cell>
          <cell r="P111">
            <v>1</v>
          </cell>
          <cell r="Q111">
            <v>0</v>
          </cell>
          <cell r="R111">
            <v>1</v>
          </cell>
          <cell r="S111">
            <v>2</v>
          </cell>
          <cell r="T111">
            <v>509</v>
          </cell>
          <cell r="U111">
            <v>263</v>
          </cell>
          <cell r="V111">
            <v>0</v>
          </cell>
          <cell r="W111">
            <v>263</v>
          </cell>
          <cell r="X111">
            <v>700</v>
          </cell>
          <cell r="Y111">
            <v>0</v>
          </cell>
          <cell r="Z111">
            <v>0</v>
          </cell>
          <cell r="AA111">
            <v>2</v>
          </cell>
          <cell r="AB111">
            <v>2</v>
          </cell>
          <cell r="AC111">
            <v>-2</v>
          </cell>
          <cell r="AD111">
            <v>0</v>
          </cell>
          <cell r="AE111">
            <v>-2</v>
          </cell>
          <cell r="AF111">
            <v>660</v>
          </cell>
          <cell r="AG111">
            <v>658</v>
          </cell>
          <cell r="AH111">
            <v>-700</v>
          </cell>
          <cell r="AI111">
            <v>0</v>
          </cell>
          <cell r="AJ111">
            <v>0</v>
          </cell>
          <cell r="AK111" t="str">
            <v>-na-</v>
          </cell>
          <cell r="AL111">
            <v>2</v>
          </cell>
          <cell r="AM111" t="str">
            <v>-na-</v>
          </cell>
          <cell r="AN111">
            <v>0</v>
          </cell>
          <cell r="AO111">
            <v>-7.6045627376425395E-3</v>
          </cell>
          <cell r="AP111" t="str">
            <v>-na-</v>
          </cell>
          <cell r="AQ111">
            <v>2.5019011406844105</v>
          </cell>
          <cell r="AR111" t="str">
            <v>-na-</v>
          </cell>
          <cell r="AS111">
            <v>1</v>
          </cell>
          <cell r="AT111">
            <v>509</v>
          </cell>
          <cell r="AU111">
            <v>0</v>
          </cell>
          <cell r="AV111">
            <v>0</v>
          </cell>
          <cell r="AW111">
            <v>1</v>
          </cell>
          <cell r="AX111">
            <v>261</v>
          </cell>
          <cell r="AY111">
            <v>0</v>
          </cell>
          <cell r="AZ111">
            <v>0</v>
          </cell>
          <cell r="BA111">
            <v>2</v>
          </cell>
          <cell r="BB111">
            <v>660</v>
          </cell>
        </row>
        <row r="112">
          <cell r="C112" t="str">
            <v>Wellesley Inn</v>
          </cell>
          <cell r="D112">
            <v>0</v>
          </cell>
          <cell r="E112">
            <v>0</v>
          </cell>
          <cell r="F112">
            <v>0</v>
          </cell>
          <cell r="G112">
            <v>0</v>
          </cell>
          <cell r="H112">
            <v>1</v>
          </cell>
          <cell r="I112">
            <v>0</v>
          </cell>
          <cell r="J112">
            <v>0</v>
          </cell>
          <cell r="K112">
            <v>0</v>
          </cell>
          <cell r="L112">
            <v>0</v>
          </cell>
          <cell r="M112">
            <v>75</v>
          </cell>
          <cell r="N112" t="str">
            <v>Wellesley Inn &amp; Suites</v>
          </cell>
          <cell r="O112">
            <v>1</v>
          </cell>
          <cell r="P112">
            <v>0</v>
          </cell>
          <cell r="Q112">
            <v>0</v>
          </cell>
          <cell r="R112">
            <v>0</v>
          </cell>
          <cell r="S112">
            <v>1</v>
          </cell>
          <cell r="T112">
            <v>65</v>
          </cell>
          <cell r="U112">
            <v>0</v>
          </cell>
          <cell r="V112">
            <v>0</v>
          </cell>
          <cell r="W112">
            <v>0</v>
          </cell>
          <cell r="X112">
            <v>75</v>
          </cell>
          <cell r="Y112">
            <v>-1</v>
          </cell>
          <cell r="Z112">
            <v>0</v>
          </cell>
          <cell r="AA112">
            <v>0</v>
          </cell>
          <cell r="AB112">
            <v>0</v>
          </cell>
          <cell r="AC112">
            <v>0</v>
          </cell>
          <cell r="AD112">
            <v>-65</v>
          </cell>
          <cell r="AE112">
            <v>0</v>
          </cell>
          <cell r="AF112">
            <v>0</v>
          </cell>
          <cell r="AG112">
            <v>0</v>
          </cell>
          <cell r="AH112">
            <v>0</v>
          </cell>
          <cell r="AI112" t="str">
            <v>-na-</v>
          </cell>
          <cell r="AJ112">
            <v>0</v>
          </cell>
          <cell r="AK112">
            <v>0</v>
          </cell>
          <cell r="AL112">
            <v>0</v>
          </cell>
          <cell r="AM112">
            <v>0</v>
          </cell>
          <cell r="AN112" t="str">
            <v>-na-</v>
          </cell>
          <cell r="AO112">
            <v>0</v>
          </cell>
          <cell r="AP112">
            <v>0</v>
          </cell>
          <cell r="AQ112">
            <v>0</v>
          </cell>
          <cell r="AR112">
            <v>0</v>
          </cell>
          <cell r="AS112">
            <v>1</v>
          </cell>
          <cell r="AT112">
            <v>65</v>
          </cell>
          <cell r="AU112">
            <v>0</v>
          </cell>
          <cell r="AV112">
            <v>0</v>
          </cell>
          <cell r="AW112">
            <v>1</v>
          </cell>
          <cell r="AX112">
            <v>261</v>
          </cell>
          <cell r="AY112">
            <v>0</v>
          </cell>
          <cell r="AZ112">
            <v>0</v>
          </cell>
          <cell r="BA112">
            <v>2</v>
          </cell>
          <cell r="BB112">
            <v>660</v>
          </cell>
        </row>
        <row r="113">
          <cell r="C113" t="str">
            <v>WestCoast</v>
          </cell>
          <cell r="N113" t="str">
            <v>WestCoast</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row>
        <row r="114">
          <cell r="C114" t="str">
            <v>Westin Hotel</v>
          </cell>
          <cell r="D114">
            <v>3</v>
          </cell>
          <cell r="E114">
            <v>5</v>
          </cell>
          <cell r="F114">
            <v>2</v>
          </cell>
          <cell r="G114">
            <v>7</v>
          </cell>
          <cell r="H114">
            <v>0</v>
          </cell>
          <cell r="I114">
            <v>1534</v>
          </cell>
          <cell r="J114">
            <v>3024</v>
          </cell>
          <cell r="K114">
            <v>825</v>
          </cell>
          <cell r="L114">
            <v>3849</v>
          </cell>
          <cell r="M114">
            <v>0</v>
          </cell>
          <cell r="N114" t="str">
            <v>Westin Hotel</v>
          </cell>
          <cell r="O114">
            <v>3</v>
          </cell>
          <cell r="P114">
            <v>6</v>
          </cell>
          <cell r="Q114">
            <v>2</v>
          </cell>
          <cell r="R114">
            <v>8</v>
          </cell>
          <cell r="S114">
            <v>0</v>
          </cell>
          <cell r="T114">
            <v>793</v>
          </cell>
          <cell r="U114">
            <v>4022</v>
          </cell>
          <cell r="V114">
            <v>825</v>
          </cell>
          <cell r="W114">
            <v>4847</v>
          </cell>
          <cell r="X114">
            <v>0</v>
          </cell>
          <cell r="Y114">
            <v>0</v>
          </cell>
          <cell r="Z114">
            <v>-1</v>
          </cell>
          <cell r="AA114">
            <v>0</v>
          </cell>
          <cell r="AB114">
            <v>-1</v>
          </cell>
          <cell r="AC114">
            <v>0</v>
          </cell>
          <cell r="AD114">
            <v>741</v>
          </cell>
          <cell r="AE114">
            <v>-998</v>
          </cell>
          <cell r="AF114">
            <v>0</v>
          </cell>
          <cell r="AG114">
            <v>-998</v>
          </cell>
          <cell r="AH114">
            <v>0</v>
          </cell>
          <cell r="AI114">
            <v>0</v>
          </cell>
          <cell r="AJ114">
            <v>-0.16666666666666663</v>
          </cell>
          <cell r="AK114">
            <v>0</v>
          </cell>
          <cell r="AL114">
            <v>-0.125</v>
          </cell>
          <cell r="AM114">
            <v>0</v>
          </cell>
          <cell r="AN114">
            <v>0.93442622950819665</v>
          </cell>
          <cell r="AO114">
            <v>-0.24813525609149678</v>
          </cell>
          <cell r="AP114">
            <v>0</v>
          </cell>
          <cell r="AQ114">
            <v>-0.20590055704559518</v>
          </cell>
          <cell r="AR114">
            <v>0</v>
          </cell>
          <cell r="AS114">
            <v>3</v>
          </cell>
          <cell r="AT114">
            <v>793</v>
          </cell>
          <cell r="AU114">
            <v>1</v>
          </cell>
          <cell r="AV114">
            <v>998</v>
          </cell>
          <cell r="AW114">
            <v>0</v>
          </cell>
          <cell r="AX114">
            <v>0</v>
          </cell>
          <cell r="AY114">
            <v>5</v>
          </cell>
          <cell r="AZ114">
            <v>3024</v>
          </cell>
          <cell r="BA114">
            <v>2</v>
          </cell>
          <cell r="BB114">
            <v>825</v>
          </cell>
        </row>
        <row r="115">
          <cell r="C115" t="str">
            <v>Wingate Inn</v>
          </cell>
          <cell r="D115">
            <v>15</v>
          </cell>
          <cell r="E115">
            <v>14</v>
          </cell>
          <cell r="F115">
            <v>12</v>
          </cell>
          <cell r="G115">
            <v>26</v>
          </cell>
          <cell r="H115">
            <v>76</v>
          </cell>
          <cell r="I115">
            <v>1430</v>
          </cell>
          <cell r="J115">
            <v>1386</v>
          </cell>
          <cell r="K115">
            <v>1181</v>
          </cell>
          <cell r="L115">
            <v>2567</v>
          </cell>
          <cell r="M115">
            <v>8699</v>
          </cell>
          <cell r="N115" t="str">
            <v>Wingate Inn</v>
          </cell>
          <cell r="O115">
            <v>16</v>
          </cell>
          <cell r="P115">
            <v>14</v>
          </cell>
          <cell r="Q115">
            <v>11</v>
          </cell>
          <cell r="R115">
            <v>25</v>
          </cell>
          <cell r="S115">
            <v>74</v>
          </cell>
          <cell r="T115">
            <v>1480</v>
          </cell>
          <cell r="U115">
            <v>1380</v>
          </cell>
          <cell r="V115">
            <v>1087</v>
          </cell>
          <cell r="W115">
            <v>2467</v>
          </cell>
          <cell r="X115">
            <v>7964</v>
          </cell>
          <cell r="Y115">
            <v>-1</v>
          </cell>
          <cell r="Z115">
            <v>0</v>
          </cell>
          <cell r="AA115">
            <v>1</v>
          </cell>
          <cell r="AB115">
            <v>1</v>
          </cell>
          <cell r="AC115">
            <v>2</v>
          </cell>
          <cell r="AD115">
            <v>-50</v>
          </cell>
          <cell r="AE115">
            <v>6</v>
          </cell>
          <cell r="AF115">
            <v>94</v>
          </cell>
          <cell r="AG115">
            <v>100</v>
          </cell>
          <cell r="AH115">
            <v>735</v>
          </cell>
          <cell r="AI115">
            <v>-6.25E-2</v>
          </cell>
          <cell r="AJ115">
            <v>0</v>
          </cell>
          <cell r="AK115">
            <v>9.0909090909090828E-2</v>
          </cell>
          <cell r="AL115">
            <v>4.0000000000000036E-2</v>
          </cell>
          <cell r="AM115">
            <v>2.7027027027026973E-2</v>
          </cell>
          <cell r="AN115">
            <v>-3.3783783783783772E-2</v>
          </cell>
          <cell r="AO115">
            <v>4.3478260869564966E-3</v>
          </cell>
          <cell r="AP115">
            <v>8.6476540938362545E-2</v>
          </cell>
          <cell r="AQ115">
            <v>4.053506282934749E-2</v>
          </cell>
          <cell r="AR115">
            <v>9.2290306378704168E-2</v>
          </cell>
          <cell r="AS115">
            <v>16</v>
          </cell>
          <cell r="AT115">
            <v>1480</v>
          </cell>
          <cell r="AU115">
            <v>2</v>
          </cell>
          <cell r="AV115">
            <v>207</v>
          </cell>
          <cell r="AW115">
            <v>13</v>
          </cell>
          <cell r="AX115">
            <v>1286</v>
          </cell>
          <cell r="AY115">
            <v>11</v>
          </cell>
          <cell r="AZ115">
            <v>1023</v>
          </cell>
          <cell r="BA115">
            <v>78</v>
          </cell>
          <cell r="BB115">
            <v>8957</v>
          </cell>
        </row>
        <row r="116">
          <cell r="C116" t="str">
            <v>Woodfin Suites</v>
          </cell>
          <cell r="D116">
            <v>0</v>
          </cell>
          <cell r="E116">
            <v>0</v>
          </cell>
          <cell r="F116">
            <v>1</v>
          </cell>
          <cell r="G116">
            <v>1</v>
          </cell>
          <cell r="H116">
            <v>0</v>
          </cell>
          <cell r="I116">
            <v>0</v>
          </cell>
          <cell r="J116">
            <v>0</v>
          </cell>
          <cell r="K116">
            <v>162</v>
          </cell>
          <cell r="L116">
            <v>162</v>
          </cell>
          <cell r="M116">
            <v>0</v>
          </cell>
          <cell r="N116" t="str">
            <v>Woodfin Suites</v>
          </cell>
          <cell r="O116">
            <v>0</v>
          </cell>
          <cell r="P116">
            <v>0</v>
          </cell>
          <cell r="Q116">
            <v>1</v>
          </cell>
          <cell r="R116">
            <v>1</v>
          </cell>
          <cell r="S116">
            <v>0</v>
          </cell>
          <cell r="T116">
            <v>0</v>
          </cell>
          <cell r="U116">
            <v>0</v>
          </cell>
          <cell r="V116">
            <v>162</v>
          </cell>
          <cell r="W116">
            <v>162</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1</v>
          </cell>
          <cell r="BB116">
            <v>162</v>
          </cell>
        </row>
        <row r="117">
          <cell r="C117" t="str">
            <v xml:space="preserve">Wyndham Garden </v>
          </cell>
          <cell r="N117" t="str">
            <v xml:space="preserve">Wyndham Garden </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row>
        <row r="118">
          <cell r="C118" t="str">
            <v>Wyndham Historic Hotel</v>
          </cell>
          <cell r="N118" t="str">
            <v>Wyndham Historic Hotel</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row>
        <row r="119">
          <cell r="C119" t="str">
            <v>Wyndham Hotel</v>
          </cell>
          <cell r="D119">
            <v>1</v>
          </cell>
          <cell r="E119">
            <v>1</v>
          </cell>
          <cell r="F119">
            <v>1</v>
          </cell>
          <cell r="G119">
            <v>2</v>
          </cell>
          <cell r="H119">
            <v>0</v>
          </cell>
          <cell r="I119">
            <v>396</v>
          </cell>
          <cell r="J119">
            <v>182</v>
          </cell>
          <cell r="K119">
            <v>200</v>
          </cell>
          <cell r="L119">
            <v>382</v>
          </cell>
          <cell r="M119">
            <v>0</v>
          </cell>
          <cell r="N119" t="str">
            <v>Wyndham Hotel</v>
          </cell>
          <cell r="O119">
            <v>2</v>
          </cell>
          <cell r="P119">
            <v>1</v>
          </cell>
          <cell r="Q119">
            <v>0</v>
          </cell>
          <cell r="R119">
            <v>1</v>
          </cell>
          <cell r="S119">
            <v>0</v>
          </cell>
          <cell r="T119">
            <v>576</v>
          </cell>
          <cell r="U119">
            <v>182</v>
          </cell>
          <cell r="V119">
            <v>0</v>
          </cell>
          <cell r="W119">
            <v>182</v>
          </cell>
          <cell r="X119">
            <v>0</v>
          </cell>
          <cell r="Y119">
            <v>-1</v>
          </cell>
          <cell r="Z119">
            <v>0</v>
          </cell>
          <cell r="AA119">
            <v>1</v>
          </cell>
          <cell r="AB119">
            <v>1</v>
          </cell>
          <cell r="AC119">
            <v>0</v>
          </cell>
          <cell r="AD119">
            <v>-180</v>
          </cell>
          <cell r="AE119">
            <v>0</v>
          </cell>
          <cell r="AF119">
            <v>200</v>
          </cell>
          <cell r="AG119">
            <v>200</v>
          </cell>
          <cell r="AH119">
            <v>0</v>
          </cell>
          <cell r="AI119">
            <v>-0.5</v>
          </cell>
          <cell r="AJ119">
            <v>0</v>
          </cell>
          <cell r="AK119" t="str">
            <v>-na-</v>
          </cell>
          <cell r="AL119">
            <v>1</v>
          </cell>
          <cell r="AM119">
            <v>0</v>
          </cell>
          <cell r="AN119">
            <v>-0.3125</v>
          </cell>
          <cell r="AO119">
            <v>0</v>
          </cell>
          <cell r="AP119" t="str">
            <v>-na-</v>
          </cell>
          <cell r="AQ119">
            <v>1.098901098901099</v>
          </cell>
          <cell r="AR119">
            <v>0</v>
          </cell>
          <cell r="AS119">
            <v>2</v>
          </cell>
          <cell r="AT119">
            <v>576</v>
          </cell>
          <cell r="AU119">
            <v>0</v>
          </cell>
          <cell r="AV119">
            <v>0</v>
          </cell>
          <cell r="AW119">
            <v>1</v>
          </cell>
          <cell r="AX119">
            <v>182</v>
          </cell>
          <cell r="AY119">
            <v>1</v>
          </cell>
          <cell r="AZ119">
            <v>200</v>
          </cell>
          <cell r="BA119">
            <v>0</v>
          </cell>
          <cell r="BB119">
            <v>0</v>
          </cell>
        </row>
        <row r="120">
          <cell r="C120" t="str">
            <v>Wyndham Luxury</v>
          </cell>
          <cell r="N120" t="str">
            <v>Wyndham Luxury</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1</v>
          </cell>
          <cell r="AX120">
            <v>182</v>
          </cell>
          <cell r="AY120">
            <v>1</v>
          </cell>
          <cell r="AZ120">
            <v>200</v>
          </cell>
          <cell r="BA120">
            <v>0</v>
          </cell>
          <cell r="BB120">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p Cos Ex 5C"/>
      <sheetName val="Top Cos no supply"/>
      <sheetName val="top cos 2Q"/>
      <sheetName val="Sheet1"/>
      <sheetName val="4Q Top Cos"/>
      <sheetName val="4Q Top Cos (2)"/>
      <sheetName val="lookup"/>
      <sheetName val="chain census"/>
      <sheetName val="new pivots"/>
      <sheetName val="old pivots"/>
    </sheetNames>
    <sheetDataSet>
      <sheetData sheetId="0" refreshError="1"/>
      <sheetData sheetId="1" refreshError="1"/>
      <sheetData sheetId="2" refreshError="1"/>
      <sheetData sheetId="3" refreshError="1"/>
      <sheetData sheetId="4" refreshError="1"/>
      <sheetData sheetId="5" refreshError="1"/>
      <sheetData sheetId="6" refreshError="1">
        <row r="9">
          <cell r="AW9" t="str">
            <v>Adam's Mark</v>
          </cell>
          <cell r="AX9">
            <v>22</v>
          </cell>
          <cell r="AY9">
            <v>12003</v>
          </cell>
          <cell r="AZ9">
            <v>1</v>
          </cell>
          <cell r="BA9">
            <v>966</v>
          </cell>
          <cell r="BB9">
            <v>1</v>
          </cell>
          <cell r="BC9">
            <v>306</v>
          </cell>
          <cell r="BD9">
            <v>1</v>
          </cell>
          <cell r="BE9">
            <v>1594</v>
          </cell>
          <cell r="BF9">
            <v>2</v>
          </cell>
          <cell r="BG9">
            <v>1900</v>
          </cell>
          <cell r="BH9">
            <v>1</v>
          </cell>
          <cell r="BI9">
            <v>539</v>
          </cell>
          <cell r="BJ9">
            <v>0</v>
          </cell>
          <cell r="BK9">
            <v>0</v>
          </cell>
          <cell r="BL9">
            <v>1</v>
          </cell>
          <cell r="BM9">
            <v>966</v>
          </cell>
          <cell r="BN9">
            <v>0</v>
          </cell>
          <cell r="BO9">
            <v>0</v>
          </cell>
          <cell r="BP9">
            <v>1</v>
          </cell>
          <cell r="BQ9">
            <v>1594</v>
          </cell>
          <cell r="BR9">
            <v>1</v>
          </cell>
          <cell r="BS9">
            <v>539</v>
          </cell>
          <cell r="BT9">
            <v>0</v>
          </cell>
          <cell r="BU9">
            <v>0</v>
          </cell>
          <cell r="BV9">
            <v>0</v>
          </cell>
          <cell r="BW9">
            <v>0</v>
          </cell>
          <cell r="BX9">
            <v>0</v>
          </cell>
          <cell r="BY9">
            <v>0</v>
          </cell>
        </row>
        <row r="10">
          <cell r="AW10" t="str">
            <v>Americinn</v>
          </cell>
          <cell r="AX10">
            <v>161</v>
          </cell>
          <cell r="AY10">
            <v>8243</v>
          </cell>
          <cell r="AZ10">
            <v>10</v>
          </cell>
          <cell r="BA10">
            <v>579</v>
          </cell>
          <cell r="BB10">
            <v>4</v>
          </cell>
          <cell r="BC10">
            <v>295</v>
          </cell>
          <cell r="BD10">
            <v>6</v>
          </cell>
          <cell r="BE10">
            <v>384</v>
          </cell>
          <cell r="BF10">
            <v>10</v>
          </cell>
          <cell r="BG10">
            <v>679</v>
          </cell>
          <cell r="BH10">
            <v>2</v>
          </cell>
          <cell r="BI10">
            <v>94</v>
          </cell>
          <cell r="BJ10">
            <v>3</v>
          </cell>
          <cell r="BK10">
            <v>164</v>
          </cell>
          <cell r="BL10">
            <v>8</v>
          </cell>
          <cell r="BM10">
            <v>447</v>
          </cell>
          <cell r="BN10">
            <v>3</v>
          </cell>
          <cell r="BO10">
            <v>146</v>
          </cell>
          <cell r="BP10">
            <v>0</v>
          </cell>
          <cell r="BQ10">
            <v>0</v>
          </cell>
          <cell r="BR10">
            <v>0</v>
          </cell>
          <cell r="BS10">
            <v>0</v>
          </cell>
          <cell r="BT10">
            <v>0</v>
          </cell>
          <cell r="BU10">
            <v>0</v>
          </cell>
          <cell r="BV10">
            <v>0</v>
          </cell>
          <cell r="BW10">
            <v>0</v>
          </cell>
          <cell r="BX10">
            <v>0</v>
          </cell>
          <cell r="BY10">
            <v>0</v>
          </cell>
        </row>
        <row r="11">
          <cell r="AW11" t="str">
            <v>AmeriHost Inn</v>
          </cell>
          <cell r="AX11">
            <v>84</v>
          </cell>
          <cell r="AY11">
            <v>5703</v>
          </cell>
          <cell r="AZ11">
            <v>3</v>
          </cell>
          <cell r="BA11">
            <v>188</v>
          </cell>
          <cell r="BB11">
            <v>6</v>
          </cell>
          <cell r="BC11">
            <v>405</v>
          </cell>
          <cell r="BD11">
            <v>21</v>
          </cell>
          <cell r="BE11">
            <v>1696</v>
          </cell>
          <cell r="BF11">
            <v>27</v>
          </cell>
          <cell r="BG11">
            <v>2101</v>
          </cell>
          <cell r="BH11">
            <v>8</v>
          </cell>
          <cell r="BI11">
            <v>712</v>
          </cell>
          <cell r="BJ11">
            <v>3</v>
          </cell>
          <cell r="BK11">
            <v>188</v>
          </cell>
          <cell r="BL11">
            <v>3</v>
          </cell>
          <cell r="BM11">
            <v>188</v>
          </cell>
          <cell r="BN11">
            <v>14</v>
          </cell>
          <cell r="BO11">
            <v>1214</v>
          </cell>
          <cell r="BP11">
            <v>4</v>
          </cell>
          <cell r="BQ11">
            <v>360</v>
          </cell>
          <cell r="BR11">
            <v>0</v>
          </cell>
          <cell r="BS11">
            <v>0</v>
          </cell>
          <cell r="BT11">
            <v>0</v>
          </cell>
          <cell r="BU11">
            <v>0</v>
          </cell>
          <cell r="BV11">
            <v>0</v>
          </cell>
          <cell r="BW11">
            <v>0</v>
          </cell>
          <cell r="BX11">
            <v>0</v>
          </cell>
          <cell r="BY11">
            <v>0</v>
          </cell>
        </row>
        <row r="12">
          <cell r="AW12" t="str">
            <v>AmeriSuites</v>
          </cell>
          <cell r="AX12">
            <v>135</v>
          </cell>
          <cell r="AY12">
            <v>17181</v>
          </cell>
          <cell r="AZ12">
            <v>5</v>
          </cell>
          <cell r="BA12">
            <v>688</v>
          </cell>
          <cell r="BB12">
            <v>11</v>
          </cell>
          <cell r="BC12">
            <v>1315</v>
          </cell>
          <cell r="BD12">
            <v>9</v>
          </cell>
          <cell r="BE12">
            <v>1124</v>
          </cell>
          <cell r="BF12">
            <v>20</v>
          </cell>
          <cell r="BG12">
            <v>2439</v>
          </cell>
          <cell r="BH12">
            <v>19</v>
          </cell>
          <cell r="BI12">
            <v>2155</v>
          </cell>
          <cell r="BJ12">
            <v>5</v>
          </cell>
          <cell r="BK12">
            <v>702</v>
          </cell>
          <cell r="BL12">
            <v>6</v>
          </cell>
          <cell r="BM12">
            <v>782</v>
          </cell>
          <cell r="BN12">
            <v>15</v>
          </cell>
          <cell r="BO12">
            <v>1727</v>
          </cell>
          <cell r="BP12">
            <v>9</v>
          </cell>
          <cell r="BQ12">
            <v>1225</v>
          </cell>
          <cell r="BR12">
            <v>0</v>
          </cell>
          <cell r="BS12">
            <v>0</v>
          </cell>
          <cell r="BT12">
            <v>0</v>
          </cell>
          <cell r="BU12">
            <v>0</v>
          </cell>
          <cell r="BV12">
            <v>0</v>
          </cell>
          <cell r="BW12">
            <v>0</v>
          </cell>
          <cell r="BX12">
            <v>0</v>
          </cell>
          <cell r="BY12">
            <v>0</v>
          </cell>
        </row>
        <row r="13">
          <cell r="AW13" t="str">
            <v>Ameritel Inn</v>
          </cell>
          <cell r="AX13">
            <v>135</v>
          </cell>
          <cell r="AY13">
            <v>17181</v>
          </cell>
          <cell r="AZ13">
            <v>1</v>
          </cell>
          <cell r="BA13">
            <v>125</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row>
        <row r="14">
          <cell r="AW14" t="str">
            <v>Aston</v>
          </cell>
          <cell r="AX14">
            <v>38</v>
          </cell>
          <cell r="AY14">
            <v>5730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row>
        <row r="15">
          <cell r="AW15" t="str">
            <v>Baymont Inn</v>
          </cell>
          <cell r="AX15">
            <v>38</v>
          </cell>
          <cell r="AY15">
            <v>5730</v>
          </cell>
          <cell r="AZ15">
            <v>15</v>
          </cell>
          <cell r="BA15">
            <v>1198</v>
          </cell>
          <cell r="BB15">
            <v>2</v>
          </cell>
          <cell r="BC15">
            <v>139</v>
          </cell>
          <cell r="BD15">
            <v>11</v>
          </cell>
          <cell r="BE15">
            <v>893</v>
          </cell>
          <cell r="BF15">
            <v>13</v>
          </cell>
          <cell r="BG15">
            <v>1032</v>
          </cell>
          <cell r="BH15">
            <v>5</v>
          </cell>
          <cell r="BI15">
            <v>668</v>
          </cell>
          <cell r="BJ15">
            <v>5</v>
          </cell>
          <cell r="BK15">
            <v>432</v>
          </cell>
          <cell r="BL15">
            <v>13</v>
          </cell>
          <cell r="BM15">
            <v>1010</v>
          </cell>
          <cell r="BN15">
            <v>3</v>
          </cell>
          <cell r="BO15">
            <v>304</v>
          </cell>
          <cell r="BP15">
            <v>4</v>
          </cell>
          <cell r="BQ15">
            <v>418</v>
          </cell>
          <cell r="BR15">
            <v>1</v>
          </cell>
          <cell r="BS15">
            <v>250</v>
          </cell>
          <cell r="BT15">
            <v>0</v>
          </cell>
          <cell r="BU15">
            <v>0</v>
          </cell>
          <cell r="BV15">
            <v>0</v>
          </cell>
          <cell r="BW15">
            <v>0</v>
          </cell>
          <cell r="BX15">
            <v>0</v>
          </cell>
          <cell r="BY15">
            <v>0</v>
          </cell>
        </row>
        <row r="16">
          <cell r="AW16" t="str">
            <v xml:space="preserve">Best Inn </v>
          </cell>
          <cell r="AX16">
            <v>150</v>
          </cell>
          <cell r="AY16">
            <v>11911</v>
          </cell>
          <cell r="AZ16">
            <v>4</v>
          </cell>
          <cell r="BA16">
            <v>230</v>
          </cell>
          <cell r="BB16">
            <v>1</v>
          </cell>
          <cell r="BC16">
            <v>29</v>
          </cell>
          <cell r="BD16">
            <v>3</v>
          </cell>
          <cell r="BE16">
            <v>162</v>
          </cell>
          <cell r="BF16">
            <v>4</v>
          </cell>
          <cell r="BG16">
            <v>191</v>
          </cell>
          <cell r="BH16">
            <v>0</v>
          </cell>
          <cell r="BI16">
            <v>0</v>
          </cell>
          <cell r="BJ16">
            <v>0</v>
          </cell>
          <cell r="BK16">
            <v>0</v>
          </cell>
          <cell r="BL16">
            <v>4</v>
          </cell>
          <cell r="BM16">
            <v>230</v>
          </cell>
          <cell r="BN16">
            <v>1</v>
          </cell>
          <cell r="BO16">
            <v>40</v>
          </cell>
          <cell r="BP16">
            <v>0</v>
          </cell>
          <cell r="BQ16">
            <v>0</v>
          </cell>
          <cell r="BR16">
            <v>0</v>
          </cell>
          <cell r="BS16">
            <v>0</v>
          </cell>
          <cell r="BT16">
            <v>0</v>
          </cell>
          <cell r="BU16">
            <v>0</v>
          </cell>
          <cell r="BV16">
            <v>0</v>
          </cell>
          <cell r="BW16">
            <v>0</v>
          </cell>
          <cell r="BX16">
            <v>0</v>
          </cell>
          <cell r="BY16">
            <v>0</v>
          </cell>
        </row>
        <row r="17">
          <cell r="AW17" t="str">
            <v>Best Western</v>
          </cell>
          <cell r="AX17">
            <v>2113</v>
          </cell>
          <cell r="AY17">
            <v>187845</v>
          </cell>
          <cell r="AZ17">
            <v>58</v>
          </cell>
          <cell r="BA17">
            <v>3536</v>
          </cell>
          <cell r="BB17">
            <v>22</v>
          </cell>
          <cell r="BC17">
            <v>1378</v>
          </cell>
          <cell r="BD17">
            <v>12</v>
          </cell>
          <cell r="BE17">
            <v>862</v>
          </cell>
          <cell r="BF17">
            <v>34</v>
          </cell>
          <cell r="BG17">
            <v>2240</v>
          </cell>
          <cell r="BH17">
            <v>24</v>
          </cell>
          <cell r="BI17">
            <v>1469</v>
          </cell>
          <cell r="BJ17">
            <v>18</v>
          </cell>
          <cell r="BK17">
            <v>1026</v>
          </cell>
          <cell r="BL17">
            <v>48</v>
          </cell>
          <cell r="BM17">
            <v>2833</v>
          </cell>
          <cell r="BN17">
            <v>24</v>
          </cell>
          <cell r="BO17">
            <v>1507</v>
          </cell>
          <cell r="BP17">
            <v>8</v>
          </cell>
          <cell r="BQ17">
            <v>557</v>
          </cell>
          <cell r="BR17">
            <v>0</v>
          </cell>
          <cell r="BS17">
            <v>0</v>
          </cell>
          <cell r="BT17">
            <v>0</v>
          </cell>
          <cell r="BU17">
            <v>0</v>
          </cell>
          <cell r="BV17">
            <v>0</v>
          </cell>
          <cell r="BW17">
            <v>0</v>
          </cell>
          <cell r="BX17">
            <v>0</v>
          </cell>
          <cell r="BY17">
            <v>0</v>
          </cell>
        </row>
        <row r="18">
          <cell r="AW18" t="str">
            <v>Bradford Homesuites</v>
          </cell>
          <cell r="AX18">
            <v>9</v>
          </cell>
          <cell r="AY18">
            <v>1223</v>
          </cell>
          <cell r="AZ18">
            <v>0</v>
          </cell>
          <cell r="BA18">
            <v>0</v>
          </cell>
          <cell r="BB18">
            <v>0</v>
          </cell>
          <cell r="BC18">
            <v>0</v>
          </cell>
          <cell r="BD18">
            <v>0</v>
          </cell>
          <cell r="BE18">
            <v>0</v>
          </cell>
          <cell r="BF18">
            <v>0</v>
          </cell>
          <cell r="BG18">
            <v>0</v>
          </cell>
          <cell r="BH18">
            <v>1</v>
          </cell>
          <cell r="BI18">
            <v>80</v>
          </cell>
          <cell r="BJ18">
            <v>0</v>
          </cell>
          <cell r="BK18">
            <v>0</v>
          </cell>
          <cell r="BL18">
            <v>0</v>
          </cell>
          <cell r="BM18">
            <v>0</v>
          </cell>
          <cell r="BN18">
            <v>0</v>
          </cell>
          <cell r="BO18">
            <v>0</v>
          </cell>
          <cell r="BP18">
            <v>1</v>
          </cell>
          <cell r="BQ18">
            <v>80</v>
          </cell>
          <cell r="BR18">
            <v>0</v>
          </cell>
          <cell r="BS18">
            <v>0</v>
          </cell>
          <cell r="BT18">
            <v>0</v>
          </cell>
          <cell r="BU18">
            <v>0</v>
          </cell>
          <cell r="BV18">
            <v>0</v>
          </cell>
          <cell r="BW18">
            <v>0</v>
          </cell>
          <cell r="BX18">
            <v>0</v>
          </cell>
          <cell r="BY18">
            <v>0</v>
          </cell>
        </row>
        <row r="19">
          <cell r="AW19" t="str">
            <v>Budget Host</v>
          </cell>
          <cell r="AX19">
            <v>9</v>
          </cell>
          <cell r="AY19">
            <v>1223</v>
          </cell>
          <cell r="AZ19">
            <v>1</v>
          </cell>
          <cell r="BA19">
            <v>29</v>
          </cell>
          <cell r="BB19">
            <v>0</v>
          </cell>
          <cell r="BC19">
            <v>0</v>
          </cell>
          <cell r="BD19">
            <v>0</v>
          </cell>
          <cell r="BE19">
            <v>0</v>
          </cell>
          <cell r="BF19">
            <v>0</v>
          </cell>
          <cell r="BG19">
            <v>0</v>
          </cell>
          <cell r="BH19">
            <v>1</v>
          </cell>
          <cell r="BI19">
            <v>120</v>
          </cell>
          <cell r="BJ19">
            <v>1</v>
          </cell>
          <cell r="BK19">
            <v>29</v>
          </cell>
          <cell r="BL19">
            <v>1</v>
          </cell>
          <cell r="BM19">
            <v>29</v>
          </cell>
          <cell r="BN19">
            <v>0</v>
          </cell>
          <cell r="BO19">
            <v>0</v>
          </cell>
          <cell r="BP19">
            <v>1</v>
          </cell>
          <cell r="BQ19">
            <v>120</v>
          </cell>
          <cell r="BR19">
            <v>0</v>
          </cell>
          <cell r="BS19">
            <v>0</v>
          </cell>
          <cell r="BT19">
            <v>0</v>
          </cell>
          <cell r="BU19">
            <v>0</v>
          </cell>
          <cell r="BV19">
            <v>0</v>
          </cell>
          <cell r="BW19">
            <v>0</v>
          </cell>
          <cell r="BX19">
            <v>0</v>
          </cell>
          <cell r="BY19">
            <v>0</v>
          </cell>
        </row>
        <row r="20">
          <cell r="AW20" t="str">
            <v>Budget Suites of America</v>
          </cell>
          <cell r="AX20">
            <v>173</v>
          </cell>
          <cell r="AY20">
            <v>6821</v>
          </cell>
          <cell r="AZ20">
            <v>1</v>
          </cell>
          <cell r="BA20">
            <v>424</v>
          </cell>
          <cell r="BB20">
            <v>0</v>
          </cell>
          <cell r="BC20">
            <v>0</v>
          </cell>
          <cell r="BD20">
            <v>1</v>
          </cell>
          <cell r="BE20">
            <v>360</v>
          </cell>
          <cell r="BF20">
            <v>1</v>
          </cell>
          <cell r="BG20">
            <v>360</v>
          </cell>
          <cell r="BH20">
            <v>0</v>
          </cell>
          <cell r="BI20">
            <v>0</v>
          </cell>
          <cell r="BJ20">
            <v>0</v>
          </cell>
          <cell r="BK20">
            <v>0</v>
          </cell>
          <cell r="BL20">
            <v>0</v>
          </cell>
          <cell r="BM20">
            <v>0</v>
          </cell>
          <cell r="BN20">
            <v>1</v>
          </cell>
          <cell r="BO20">
            <v>360</v>
          </cell>
          <cell r="BP20">
            <v>0</v>
          </cell>
          <cell r="BQ20">
            <v>0</v>
          </cell>
          <cell r="BR20">
            <v>0</v>
          </cell>
          <cell r="BS20">
            <v>0</v>
          </cell>
          <cell r="BT20">
            <v>0</v>
          </cell>
          <cell r="BU20">
            <v>0</v>
          </cell>
          <cell r="BV20">
            <v>0</v>
          </cell>
          <cell r="BW20">
            <v>0</v>
          </cell>
          <cell r="BX20">
            <v>0</v>
          </cell>
          <cell r="BY20">
            <v>0</v>
          </cell>
        </row>
        <row r="21">
          <cell r="AW21" t="str">
            <v>Candlewood Suites</v>
          </cell>
          <cell r="AX21">
            <v>94</v>
          </cell>
          <cell r="AY21">
            <v>1839</v>
          </cell>
          <cell r="AZ21">
            <v>14</v>
          </cell>
          <cell r="BA21">
            <v>1649</v>
          </cell>
          <cell r="BB21">
            <v>3</v>
          </cell>
          <cell r="BC21">
            <v>303</v>
          </cell>
          <cell r="BD21">
            <v>17</v>
          </cell>
          <cell r="BE21">
            <v>1735</v>
          </cell>
          <cell r="BF21">
            <v>20</v>
          </cell>
          <cell r="BG21">
            <v>2038</v>
          </cell>
          <cell r="BH21">
            <v>9</v>
          </cell>
          <cell r="BI21">
            <v>732</v>
          </cell>
          <cell r="BJ21">
            <v>0</v>
          </cell>
          <cell r="BK21">
            <v>0</v>
          </cell>
          <cell r="BL21">
            <v>0</v>
          </cell>
          <cell r="BM21">
            <v>0</v>
          </cell>
          <cell r="BN21">
            <v>7</v>
          </cell>
          <cell r="BO21">
            <v>665</v>
          </cell>
          <cell r="BP21">
            <v>5</v>
          </cell>
          <cell r="BQ21">
            <v>422</v>
          </cell>
          <cell r="BR21">
            <v>0</v>
          </cell>
          <cell r="BS21">
            <v>0</v>
          </cell>
          <cell r="BT21">
            <v>0</v>
          </cell>
          <cell r="BU21">
            <v>0</v>
          </cell>
          <cell r="BV21">
            <v>0</v>
          </cell>
          <cell r="BW21">
            <v>0</v>
          </cell>
          <cell r="BX21">
            <v>0</v>
          </cell>
          <cell r="BY21">
            <v>0</v>
          </cell>
        </row>
        <row r="22">
          <cell r="AW22" t="str">
            <v>Clarion</v>
          </cell>
          <cell r="AX22">
            <v>116</v>
          </cell>
          <cell r="AY22">
            <v>10996</v>
          </cell>
          <cell r="AZ22">
            <v>4</v>
          </cell>
          <cell r="BA22">
            <v>367</v>
          </cell>
          <cell r="BB22">
            <v>3</v>
          </cell>
          <cell r="BC22">
            <v>216</v>
          </cell>
          <cell r="BD22">
            <v>0</v>
          </cell>
          <cell r="BE22">
            <v>0</v>
          </cell>
          <cell r="BF22">
            <v>3</v>
          </cell>
          <cell r="BG22">
            <v>216</v>
          </cell>
          <cell r="BH22">
            <v>1</v>
          </cell>
          <cell r="BI22">
            <v>60</v>
          </cell>
          <cell r="BJ22">
            <v>5</v>
          </cell>
          <cell r="BK22">
            <v>595</v>
          </cell>
          <cell r="BL22">
            <v>12</v>
          </cell>
          <cell r="BM22">
            <v>1412</v>
          </cell>
          <cell r="BN22">
            <v>1</v>
          </cell>
          <cell r="BO22">
            <v>60</v>
          </cell>
          <cell r="BP22">
            <v>0</v>
          </cell>
          <cell r="BQ22">
            <v>0</v>
          </cell>
          <cell r="BR22">
            <v>0</v>
          </cell>
          <cell r="BS22">
            <v>0</v>
          </cell>
          <cell r="BT22">
            <v>0</v>
          </cell>
          <cell r="BU22">
            <v>0</v>
          </cell>
          <cell r="BV22">
            <v>0</v>
          </cell>
          <cell r="BW22">
            <v>0</v>
          </cell>
          <cell r="BX22">
            <v>0</v>
          </cell>
          <cell r="BY22">
            <v>0</v>
          </cell>
        </row>
        <row r="23">
          <cell r="AW23" t="str">
            <v>Club Hotel by Doubletree</v>
          </cell>
          <cell r="AX23">
            <v>24</v>
          </cell>
          <cell r="AY23">
            <v>17868</v>
          </cell>
          <cell r="AZ23">
            <v>0</v>
          </cell>
          <cell r="BA23">
            <v>0</v>
          </cell>
          <cell r="BB23">
            <v>2</v>
          </cell>
          <cell r="BC23">
            <v>219</v>
          </cell>
          <cell r="BD23">
            <v>1</v>
          </cell>
          <cell r="BE23">
            <v>106</v>
          </cell>
          <cell r="BF23">
            <v>3</v>
          </cell>
          <cell r="BG23">
            <v>325</v>
          </cell>
          <cell r="BH23">
            <v>1</v>
          </cell>
          <cell r="BI23">
            <v>150</v>
          </cell>
          <cell r="BJ23">
            <v>2</v>
          </cell>
          <cell r="BK23">
            <v>159</v>
          </cell>
          <cell r="BL23">
            <v>6</v>
          </cell>
          <cell r="BM23">
            <v>526</v>
          </cell>
          <cell r="BN23">
            <v>0</v>
          </cell>
          <cell r="BO23">
            <v>0</v>
          </cell>
          <cell r="BP23">
            <v>1</v>
          </cell>
          <cell r="BQ23">
            <v>150</v>
          </cell>
          <cell r="BR23">
            <v>0</v>
          </cell>
          <cell r="BS23">
            <v>0</v>
          </cell>
          <cell r="BT23">
            <v>0</v>
          </cell>
          <cell r="BU23">
            <v>0</v>
          </cell>
          <cell r="BV23">
            <v>0</v>
          </cell>
          <cell r="BW23">
            <v>0</v>
          </cell>
          <cell r="BX23">
            <v>0</v>
          </cell>
          <cell r="BY23">
            <v>0</v>
          </cell>
        </row>
        <row r="24">
          <cell r="AW24" t="str">
            <v>ClubHouse Inn</v>
          </cell>
          <cell r="AX24">
            <v>2</v>
          </cell>
          <cell r="AY24">
            <v>4837</v>
          </cell>
          <cell r="AZ24">
            <v>0</v>
          </cell>
          <cell r="BA24">
            <v>0</v>
          </cell>
          <cell r="BB24">
            <v>0</v>
          </cell>
          <cell r="BC24">
            <v>0</v>
          </cell>
          <cell r="BD24">
            <v>0</v>
          </cell>
          <cell r="BE24">
            <v>0</v>
          </cell>
          <cell r="BF24">
            <v>0</v>
          </cell>
          <cell r="BG24">
            <v>0</v>
          </cell>
          <cell r="BH24">
            <v>0</v>
          </cell>
          <cell r="BI24">
            <v>0</v>
          </cell>
          <cell r="BJ24">
            <v>1</v>
          </cell>
          <cell r="BK24">
            <v>110</v>
          </cell>
          <cell r="BL24">
            <v>1</v>
          </cell>
          <cell r="BM24">
            <v>110</v>
          </cell>
          <cell r="BN24">
            <v>0</v>
          </cell>
          <cell r="BO24">
            <v>0</v>
          </cell>
          <cell r="BP24">
            <v>0</v>
          </cell>
          <cell r="BQ24">
            <v>0</v>
          </cell>
          <cell r="BR24">
            <v>0</v>
          </cell>
          <cell r="BS24">
            <v>0</v>
          </cell>
          <cell r="BT24">
            <v>0</v>
          </cell>
          <cell r="BU24">
            <v>0</v>
          </cell>
          <cell r="BV24">
            <v>0</v>
          </cell>
          <cell r="BW24">
            <v>0</v>
          </cell>
          <cell r="BX24">
            <v>0</v>
          </cell>
          <cell r="BY24">
            <v>0</v>
          </cell>
        </row>
        <row r="25">
          <cell r="AW25" t="str">
            <v>Comfort Inn</v>
          </cell>
          <cell r="AX25">
            <v>1317</v>
          </cell>
          <cell r="AY25">
            <v>972</v>
          </cell>
          <cell r="AZ25">
            <v>35</v>
          </cell>
          <cell r="BA25">
            <v>2251</v>
          </cell>
          <cell r="BB25">
            <v>21</v>
          </cell>
          <cell r="BC25">
            <v>1455</v>
          </cell>
          <cell r="BD25">
            <v>12</v>
          </cell>
          <cell r="BE25">
            <v>831</v>
          </cell>
          <cell r="BF25">
            <v>33</v>
          </cell>
          <cell r="BG25">
            <v>2286</v>
          </cell>
          <cell r="BH25">
            <v>4</v>
          </cell>
          <cell r="BI25">
            <v>293</v>
          </cell>
          <cell r="BJ25">
            <v>0</v>
          </cell>
          <cell r="BK25">
            <v>0</v>
          </cell>
          <cell r="BL25">
            <v>0</v>
          </cell>
          <cell r="BM25">
            <v>0</v>
          </cell>
          <cell r="BN25">
            <v>3</v>
          </cell>
          <cell r="BO25">
            <v>213</v>
          </cell>
          <cell r="BP25">
            <v>1</v>
          </cell>
          <cell r="BQ25">
            <v>100</v>
          </cell>
          <cell r="BR25">
            <v>1</v>
          </cell>
          <cell r="BS25">
            <v>60</v>
          </cell>
          <cell r="BT25">
            <v>0</v>
          </cell>
          <cell r="BU25">
            <v>0</v>
          </cell>
          <cell r="BV25">
            <v>0</v>
          </cell>
          <cell r="BW25">
            <v>0</v>
          </cell>
          <cell r="BX25">
            <v>0</v>
          </cell>
          <cell r="BY25">
            <v>0</v>
          </cell>
        </row>
        <row r="26">
          <cell r="AW26" t="str">
            <v>Comfort Suites</v>
          </cell>
          <cell r="AX26">
            <v>301</v>
          </cell>
          <cell r="AY26">
            <v>103409</v>
          </cell>
          <cell r="AZ26">
            <v>38</v>
          </cell>
          <cell r="BA26">
            <v>2946</v>
          </cell>
          <cell r="BB26">
            <v>19</v>
          </cell>
          <cell r="BC26">
            <v>1470</v>
          </cell>
          <cell r="BD26">
            <v>32</v>
          </cell>
          <cell r="BE26">
            <v>2448</v>
          </cell>
          <cell r="BF26">
            <v>51</v>
          </cell>
          <cell r="BG26">
            <v>3918</v>
          </cell>
          <cell r="BH26">
            <v>9</v>
          </cell>
          <cell r="BI26">
            <v>805</v>
          </cell>
          <cell r="BJ26">
            <v>16</v>
          </cell>
          <cell r="BK26">
            <v>1038</v>
          </cell>
          <cell r="BL26">
            <v>30</v>
          </cell>
          <cell r="BM26">
            <v>1943</v>
          </cell>
          <cell r="BN26">
            <v>15</v>
          </cell>
          <cell r="BO26">
            <v>1285</v>
          </cell>
          <cell r="BP26">
            <v>1</v>
          </cell>
          <cell r="BQ26">
            <v>129</v>
          </cell>
          <cell r="BR26">
            <v>1</v>
          </cell>
          <cell r="BS26">
            <v>103</v>
          </cell>
          <cell r="BT26">
            <v>0</v>
          </cell>
          <cell r="BU26">
            <v>0</v>
          </cell>
          <cell r="BV26">
            <v>0</v>
          </cell>
          <cell r="BW26">
            <v>0</v>
          </cell>
          <cell r="BX26">
            <v>0</v>
          </cell>
          <cell r="BY26">
            <v>0</v>
          </cell>
        </row>
        <row r="27">
          <cell r="AW27" t="str">
            <v>Country Hearth Inn</v>
          </cell>
          <cell r="AX27">
            <v>58</v>
          </cell>
          <cell r="AY27">
            <v>23873</v>
          </cell>
          <cell r="AZ27">
            <v>8</v>
          </cell>
          <cell r="BA27">
            <v>349</v>
          </cell>
          <cell r="BB27">
            <v>1</v>
          </cell>
          <cell r="BC27">
            <v>100</v>
          </cell>
          <cell r="BD27">
            <v>0</v>
          </cell>
          <cell r="BE27">
            <v>0</v>
          </cell>
          <cell r="BF27">
            <v>1</v>
          </cell>
          <cell r="BG27">
            <v>100</v>
          </cell>
          <cell r="BH27">
            <v>7</v>
          </cell>
          <cell r="BI27">
            <v>349</v>
          </cell>
          <cell r="BJ27">
            <v>21</v>
          </cell>
          <cell r="BK27">
            <v>1750</v>
          </cell>
          <cell r="BL27">
            <v>33</v>
          </cell>
          <cell r="BM27">
            <v>2659</v>
          </cell>
          <cell r="BN27">
            <v>7</v>
          </cell>
          <cell r="BO27">
            <v>349</v>
          </cell>
          <cell r="BP27">
            <v>0</v>
          </cell>
          <cell r="BQ27">
            <v>0</v>
          </cell>
          <cell r="BR27">
            <v>0</v>
          </cell>
          <cell r="BS27">
            <v>0</v>
          </cell>
          <cell r="BT27">
            <v>0</v>
          </cell>
          <cell r="BU27">
            <v>0</v>
          </cell>
          <cell r="BV27">
            <v>0</v>
          </cell>
          <cell r="BW27">
            <v>0</v>
          </cell>
          <cell r="BX27">
            <v>0</v>
          </cell>
          <cell r="BY27">
            <v>0</v>
          </cell>
        </row>
        <row r="28">
          <cell r="AW28" t="str">
            <v>Country Inn &amp; Suites</v>
          </cell>
          <cell r="AX28">
            <v>240</v>
          </cell>
          <cell r="AY28">
            <v>3562</v>
          </cell>
          <cell r="AZ28">
            <v>48</v>
          </cell>
          <cell r="BA28">
            <v>3669</v>
          </cell>
          <cell r="BB28">
            <v>24</v>
          </cell>
          <cell r="BC28">
            <v>1995</v>
          </cell>
          <cell r="BD28">
            <v>40</v>
          </cell>
          <cell r="BE28">
            <v>3304</v>
          </cell>
          <cell r="BF28">
            <v>64</v>
          </cell>
          <cell r="BG28">
            <v>5299</v>
          </cell>
          <cell r="BH28">
            <v>0</v>
          </cell>
          <cell r="BI28">
            <v>0</v>
          </cell>
          <cell r="BJ28">
            <v>0</v>
          </cell>
          <cell r="BK28">
            <v>0</v>
          </cell>
          <cell r="BL28">
            <v>6</v>
          </cell>
          <cell r="BM28">
            <v>241</v>
          </cell>
          <cell r="BN28">
            <v>14</v>
          </cell>
          <cell r="BO28">
            <v>1413</v>
          </cell>
          <cell r="BP28">
            <v>3</v>
          </cell>
          <cell r="BQ28">
            <v>352</v>
          </cell>
          <cell r="BR28">
            <v>0</v>
          </cell>
          <cell r="BS28">
            <v>0</v>
          </cell>
          <cell r="BT28">
            <v>0</v>
          </cell>
          <cell r="BU28">
            <v>0</v>
          </cell>
          <cell r="BV28">
            <v>0</v>
          </cell>
          <cell r="BW28">
            <v>0</v>
          </cell>
          <cell r="BX28">
            <v>0</v>
          </cell>
          <cell r="BY28">
            <v>0</v>
          </cell>
        </row>
        <row r="29">
          <cell r="AW29" t="str">
            <v>Courtyard by Marriott</v>
          </cell>
          <cell r="AX29">
            <v>503</v>
          </cell>
          <cell r="AY29">
            <v>18377</v>
          </cell>
          <cell r="AZ29">
            <v>36</v>
          </cell>
          <cell r="BA29">
            <v>5528</v>
          </cell>
          <cell r="BB29">
            <v>32</v>
          </cell>
          <cell r="BC29">
            <v>4834</v>
          </cell>
          <cell r="BD29">
            <v>49</v>
          </cell>
          <cell r="BE29">
            <v>6508</v>
          </cell>
          <cell r="BF29">
            <v>81</v>
          </cell>
          <cell r="BG29">
            <v>11342</v>
          </cell>
          <cell r="BH29">
            <v>25</v>
          </cell>
          <cell r="BI29">
            <v>4300</v>
          </cell>
          <cell r="BJ29">
            <v>21</v>
          </cell>
          <cell r="BK29">
            <v>1635</v>
          </cell>
          <cell r="BL29">
            <v>46</v>
          </cell>
          <cell r="BM29">
            <v>3529</v>
          </cell>
          <cell r="BN29">
            <v>39</v>
          </cell>
          <cell r="BO29">
            <v>5086</v>
          </cell>
          <cell r="BP29">
            <v>29</v>
          </cell>
          <cell r="BQ29">
            <v>5001</v>
          </cell>
          <cell r="BR29">
            <v>0</v>
          </cell>
          <cell r="BS29">
            <v>0</v>
          </cell>
          <cell r="BT29">
            <v>0</v>
          </cell>
          <cell r="BU29">
            <v>0</v>
          </cell>
          <cell r="BV29">
            <v>0</v>
          </cell>
          <cell r="BW29">
            <v>0</v>
          </cell>
          <cell r="BX29">
            <v>0</v>
          </cell>
          <cell r="BY29">
            <v>0</v>
          </cell>
        </row>
        <row r="30">
          <cell r="AW30" t="str">
            <v>Crossland Economy Studios</v>
          </cell>
          <cell r="AX30">
            <v>503</v>
          </cell>
          <cell r="AY30">
            <v>69979</v>
          </cell>
          <cell r="AZ30">
            <v>0</v>
          </cell>
          <cell r="BA30">
            <v>0</v>
          </cell>
          <cell r="BB30">
            <v>0</v>
          </cell>
          <cell r="BC30">
            <v>0</v>
          </cell>
          <cell r="BD30">
            <v>0</v>
          </cell>
          <cell r="BE30">
            <v>0</v>
          </cell>
          <cell r="BF30">
            <v>0</v>
          </cell>
          <cell r="BG30">
            <v>0</v>
          </cell>
          <cell r="BH30">
            <v>0</v>
          </cell>
          <cell r="BI30">
            <v>0</v>
          </cell>
          <cell r="BJ30">
            <v>12</v>
          </cell>
          <cell r="BK30">
            <v>1916</v>
          </cell>
          <cell r="BL30">
            <v>28</v>
          </cell>
          <cell r="BM30">
            <v>4375</v>
          </cell>
          <cell r="BN30">
            <v>0</v>
          </cell>
          <cell r="BO30">
            <v>0</v>
          </cell>
          <cell r="BP30">
            <v>0</v>
          </cell>
          <cell r="BQ30">
            <v>0</v>
          </cell>
          <cell r="BR30">
            <v>0</v>
          </cell>
          <cell r="BS30">
            <v>0</v>
          </cell>
          <cell r="BT30">
            <v>0</v>
          </cell>
          <cell r="BU30">
            <v>0</v>
          </cell>
          <cell r="BV30">
            <v>0</v>
          </cell>
          <cell r="BW30">
            <v>0</v>
          </cell>
          <cell r="BX30">
            <v>0</v>
          </cell>
          <cell r="BY30">
            <v>0</v>
          </cell>
        </row>
        <row r="31">
          <cell r="AW31" t="str">
            <v>Crowne Plaza</v>
          </cell>
          <cell r="AX31">
            <v>39</v>
          </cell>
          <cell r="AY31">
            <v>5068</v>
          </cell>
          <cell r="AZ31">
            <v>2</v>
          </cell>
          <cell r="BA31">
            <v>643</v>
          </cell>
          <cell r="BB31">
            <v>7</v>
          </cell>
          <cell r="BC31">
            <v>2007</v>
          </cell>
          <cell r="BD31">
            <v>2</v>
          </cell>
          <cell r="BE31">
            <v>325</v>
          </cell>
          <cell r="BF31">
            <v>9</v>
          </cell>
          <cell r="BG31">
            <v>2332</v>
          </cell>
          <cell r="BH31">
            <v>1</v>
          </cell>
          <cell r="BI31">
            <v>303</v>
          </cell>
          <cell r="BJ31">
            <v>0</v>
          </cell>
          <cell r="BK31">
            <v>0</v>
          </cell>
          <cell r="BL31">
            <v>0</v>
          </cell>
          <cell r="BM31">
            <v>0</v>
          </cell>
          <cell r="BN31">
            <v>1</v>
          </cell>
          <cell r="BO31">
            <v>125</v>
          </cell>
          <cell r="BP31">
            <v>2</v>
          </cell>
          <cell r="BQ31">
            <v>503</v>
          </cell>
          <cell r="BR31">
            <v>0</v>
          </cell>
          <cell r="BS31">
            <v>0</v>
          </cell>
          <cell r="BT31">
            <v>0</v>
          </cell>
          <cell r="BU31">
            <v>0</v>
          </cell>
          <cell r="BV31">
            <v>0</v>
          </cell>
          <cell r="BW31">
            <v>0</v>
          </cell>
          <cell r="BX31">
            <v>0</v>
          </cell>
          <cell r="BY31">
            <v>0</v>
          </cell>
        </row>
        <row r="32">
          <cell r="AW32" t="str">
            <v>Days Inn</v>
          </cell>
          <cell r="AX32">
            <v>77</v>
          </cell>
          <cell r="AY32">
            <v>23725</v>
          </cell>
          <cell r="AZ32">
            <v>16</v>
          </cell>
          <cell r="BA32">
            <v>739</v>
          </cell>
          <cell r="BB32">
            <v>4</v>
          </cell>
          <cell r="BC32">
            <v>218</v>
          </cell>
          <cell r="BD32">
            <v>20</v>
          </cell>
          <cell r="BE32">
            <v>1860</v>
          </cell>
          <cell r="BF32">
            <v>24</v>
          </cell>
          <cell r="BG32">
            <v>2078</v>
          </cell>
          <cell r="BH32">
            <v>19</v>
          </cell>
          <cell r="BI32">
            <v>2458</v>
          </cell>
          <cell r="BJ32">
            <v>3</v>
          </cell>
          <cell r="BK32">
            <v>703</v>
          </cell>
          <cell r="BL32">
            <v>3</v>
          </cell>
          <cell r="BM32">
            <v>703</v>
          </cell>
          <cell r="BN32">
            <v>18</v>
          </cell>
          <cell r="BO32">
            <v>1436</v>
          </cell>
          <cell r="BP32">
            <v>11</v>
          </cell>
          <cell r="BQ32">
            <v>2147</v>
          </cell>
          <cell r="BR32">
            <v>0</v>
          </cell>
          <cell r="BS32">
            <v>0</v>
          </cell>
          <cell r="BT32">
            <v>0</v>
          </cell>
          <cell r="BU32">
            <v>0</v>
          </cell>
          <cell r="BV32">
            <v>0</v>
          </cell>
          <cell r="BW32">
            <v>0</v>
          </cell>
          <cell r="BX32">
            <v>0</v>
          </cell>
          <cell r="BY32">
            <v>0</v>
          </cell>
        </row>
        <row r="33">
          <cell r="AW33" t="str">
            <v>Doubletree Guest Suites</v>
          </cell>
          <cell r="AX33">
            <v>1815</v>
          </cell>
          <cell r="AY33">
            <v>154069</v>
          </cell>
          <cell r="AZ33">
            <v>0</v>
          </cell>
          <cell r="BA33">
            <v>0</v>
          </cell>
          <cell r="BB33">
            <v>0</v>
          </cell>
          <cell r="BC33">
            <v>0</v>
          </cell>
          <cell r="BD33">
            <v>1</v>
          </cell>
          <cell r="BE33">
            <v>253</v>
          </cell>
          <cell r="BF33">
            <v>1</v>
          </cell>
          <cell r="BG33">
            <v>253</v>
          </cell>
          <cell r="BH33">
            <v>0</v>
          </cell>
          <cell r="BI33">
            <v>0</v>
          </cell>
          <cell r="BJ33">
            <v>8</v>
          </cell>
          <cell r="BK33">
            <v>385</v>
          </cell>
          <cell r="BL33">
            <v>13</v>
          </cell>
          <cell r="BM33">
            <v>606</v>
          </cell>
          <cell r="BN33">
            <v>1</v>
          </cell>
          <cell r="BO33">
            <v>253</v>
          </cell>
          <cell r="BP33">
            <v>0</v>
          </cell>
          <cell r="BQ33">
            <v>0</v>
          </cell>
          <cell r="BR33">
            <v>0</v>
          </cell>
          <cell r="BS33">
            <v>0</v>
          </cell>
          <cell r="BT33">
            <v>0</v>
          </cell>
          <cell r="BU33">
            <v>0</v>
          </cell>
          <cell r="BV33">
            <v>0</v>
          </cell>
          <cell r="BW33">
            <v>0</v>
          </cell>
          <cell r="BX33">
            <v>0</v>
          </cell>
          <cell r="BY33">
            <v>0</v>
          </cell>
        </row>
        <row r="34">
          <cell r="AW34" t="str">
            <v>Doubletree Hotel</v>
          </cell>
          <cell r="AX34">
            <v>35</v>
          </cell>
          <cell r="AY34">
            <v>7588</v>
          </cell>
          <cell r="AZ34">
            <v>2</v>
          </cell>
          <cell r="BA34">
            <v>549</v>
          </cell>
          <cell r="BB34">
            <v>2</v>
          </cell>
          <cell r="BC34">
            <v>501</v>
          </cell>
          <cell r="BD34">
            <v>4</v>
          </cell>
          <cell r="BE34">
            <v>1840</v>
          </cell>
          <cell r="BF34">
            <v>6</v>
          </cell>
          <cell r="BG34">
            <v>2341</v>
          </cell>
          <cell r="BH34">
            <v>0</v>
          </cell>
          <cell r="BI34">
            <v>0</v>
          </cell>
          <cell r="BJ34">
            <v>0</v>
          </cell>
          <cell r="BK34">
            <v>0</v>
          </cell>
          <cell r="BL34">
            <v>0</v>
          </cell>
          <cell r="BM34">
            <v>0</v>
          </cell>
          <cell r="BN34">
            <v>2</v>
          </cell>
          <cell r="BO34">
            <v>420</v>
          </cell>
          <cell r="BP34">
            <v>1</v>
          </cell>
          <cell r="BQ34">
            <v>220</v>
          </cell>
          <cell r="BR34">
            <v>1</v>
          </cell>
          <cell r="BS34">
            <v>1200</v>
          </cell>
          <cell r="BT34">
            <v>0</v>
          </cell>
          <cell r="BU34">
            <v>0</v>
          </cell>
          <cell r="BV34">
            <v>0</v>
          </cell>
          <cell r="BW34">
            <v>0</v>
          </cell>
          <cell r="BX34">
            <v>0</v>
          </cell>
          <cell r="BY34">
            <v>0</v>
          </cell>
        </row>
        <row r="35">
          <cell r="AW35" t="str">
            <v>Drury Inn</v>
          </cell>
          <cell r="AX35">
            <v>95</v>
          </cell>
          <cell r="AY35">
            <v>28879</v>
          </cell>
          <cell r="AZ35">
            <v>4</v>
          </cell>
          <cell r="BA35">
            <v>561</v>
          </cell>
          <cell r="BB35">
            <v>5</v>
          </cell>
          <cell r="BC35">
            <v>873</v>
          </cell>
          <cell r="BD35">
            <v>3</v>
          </cell>
          <cell r="BE35">
            <v>423</v>
          </cell>
          <cell r="BF35">
            <v>8</v>
          </cell>
          <cell r="BG35">
            <v>1296</v>
          </cell>
          <cell r="BH35">
            <v>1</v>
          </cell>
          <cell r="BI35">
            <v>160</v>
          </cell>
          <cell r="BJ35">
            <v>0</v>
          </cell>
          <cell r="BK35">
            <v>0</v>
          </cell>
          <cell r="BL35">
            <v>2</v>
          </cell>
          <cell r="BM35">
            <v>549</v>
          </cell>
          <cell r="BN35">
            <v>2</v>
          </cell>
          <cell r="BO35">
            <v>320</v>
          </cell>
          <cell r="BP35">
            <v>3</v>
          </cell>
          <cell r="BQ35">
            <v>449</v>
          </cell>
          <cell r="BR35">
            <v>0</v>
          </cell>
          <cell r="BS35">
            <v>0</v>
          </cell>
          <cell r="BT35">
            <v>0</v>
          </cell>
          <cell r="BU35">
            <v>0</v>
          </cell>
          <cell r="BV35">
            <v>0</v>
          </cell>
          <cell r="BW35">
            <v>0</v>
          </cell>
          <cell r="BX35">
            <v>0</v>
          </cell>
          <cell r="BY35">
            <v>0</v>
          </cell>
        </row>
        <row r="36">
          <cell r="AW36" t="str">
            <v>Econo Lodge</v>
          </cell>
          <cell r="AX36">
            <v>73</v>
          </cell>
          <cell r="AY36">
            <v>9428</v>
          </cell>
          <cell r="AZ36">
            <v>5</v>
          </cell>
          <cell r="BA36">
            <v>231</v>
          </cell>
          <cell r="BB36">
            <v>1</v>
          </cell>
          <cell r="BC36">
            <v>50</v>
          </cell>
          <cell r="BD36">
            <v>4</v>
          </cell>
          <cell r="BE36">
            <v>170</v>
          </cell>
          <cell r="BF36">
            <v>5</v>
          </cell>
          <cell r="BG36">
            <v>220</v>
          </cell>
          <cell r="BH36">
            <v>1</v>
          </cell>
          <cell r="BI36">
            <v>51</v>
          </cell>
          <cell r="BJ36">
            <v>2</v>
          </cell>
          <cell r="BK36">
            <v>243</v>
          </cell>
          <cell r="BL36">
            <v>4</v>
          </cell>
          <cell r="BM36">
            <v>544</v>
          </cell>
          <cell r="BN36">
            <v>2</v>
          </cell>
          <cell r="BO36">
            <v>86</v>
          </cell>
          <cell r="BP36">
            <v>0</v>
          </cell>
          <cell r="BQ36">
            <v>0</v>
          </cell>
          <cell r="BR36">
            <v>0</v>
          </cell>
          <cell r="BS36">
            <v>0</v>
          </cell>
          <cell r="BT36">
            <v>0</v>
          </cell>
          <cell r="BU36">
            <v>0</v>
          </cell>
          <cell r="BV36">
            <v>0</v>
          </cell>
          <cell r="BW36">
            <v>0</v>
          </cell>
          <cell r="BX36">
            <v>0</v>
          </cell>
          <cell r="BY36">
            <v>0</v>
          </cell>
        </row>
        <row r="37">
          <cell r="AW37" t="str">
            <v>Embassy Suites</v>
          </cell>
          <cell r="AX37">
            <v>73</v>
          </cell>
          <cell r="AY37">
            <v>9428</v>
          </cell>
          <cell r="AZ37">
            <v>6</v>
          </cell>
          <cell r="BA37">
            <v>1383</v>
          </cell>
          <cell r="BB37">
            <v>7</v>
          </cell>
          <cell r="BC37">
            <v>1743</v>
          </cell>
          <cell r="BD37">
            <v>13</v>
          </cell>
          <cell r="BE37">
            <v>2991</v>
          </cell>
          <cell r="BF37">
            <v>20</v>
          </cell>
          <cell r="BG37">
            <v>4734</v>
          </cell>
          <cell r="BH37">
            <v>7</v>
          </cell>
          <cell r="BI37">
            <v>1560</v>
          </cell>
          <cell r="BJ37">
            <v>0</v>
          </cell>
          <cell r="BK37">
            <v>0</v>
          </cell>
          <cell r="BL37">
            <v>3</v>
          </cell>
          <cell r="BM37">
            <v>155</v>
          </cell>
          <cell r="BN37">
            <v>8</v>
          </cell>
          <cell r="BO37">
            <v>1490</v>
          </cell>
          <cell r="BP37">
            <v>12</v>
          </cell>
          <cell r="BQ37">
            <v>3069</v>
          </cell>
          <cell r="BR37">
            <v>2</v>
          </cell>
          <cell r="BS37">
            <v>517</v>
          </cell>
          <cell r="BT37">
            <v>0</v>
          </cell>
          <cell r="BU37">
            <v>0</v>
          </cell>
          <cell r="BV37">
            <v>0</v>
          </cell>
          <cell r="BW37">
            <v>0</v>
          </cell>
          <cell r="BX37">
            <v>0</v>
          </cell>
          <cell r="BY37">
            <v>0</v>
          </cell>
        </row>
        <row r="38">
          <cell r="AW38" t="str">
            <v>Extended Stay America</v>
          </cell>
          <cell r="AX38">
            <v>166</v>
          </cell>
          <cell r="AY38">
            <v>40480</v>
          </cell>
          <cell r="AZ38">
            <v>28</v>
          </cell>
          <cell r="BA38">
            <v>3116</v>
          </cell>
          <cell r="BB38">
            <v>33</v>
          </cell>
          <cell r="BC38">
            <v>3539</v>
          </cell>
          <cell r="BD38">
            <v>14</v>
          </cell>
          <cell r="BE38">
            <v>1521</v>
          </cell>
          <cell r="BF38">
            <v>47</v>
          </cell>
          <cell r="BG38">
            <v>5060</v>
          </cell>
          <cell r="BH38">
            <v>0</v>
          </cell>
          <cell r="BI38">
            <v>0</v>
          </cell>
          <cell r="BJ38">
            <v>3</v>
          </cell>
          <cell r="BK38">
            <v>796</v>
          </cell>
          <cell r="BL38">
            <v>7</v>
          </cell>
          <cell r="BM38">
            <v>1862</v>
          </cell>
          <cell r="BN38">
            <v>9</v>
          </cell>
          <cell r="BO38">
            <v>1004</v>
          </cell>
          <cell r="BP38">
            <v>0</v>
          </cell>
          <cell r="BQ38">
            <v>0</v>
          </cell>
          <cell r="BR38">
            <v>0</v>
          </cell>
          <cell r="BS38">
            <v>0</v>
          </cell>
          <cell r="BT38">
            <v>0</v>
          </cell>
          <cell r="BU38">
            <v>0</v>
          </cell>
          <cell r="BV38">
            <v>0</v>
          </cell>
          <cell r="BW38">
            <v>0</v>
          </cell>
          <cell r="BX38">
            <v>0</v>
          </cell>
          <cell r="BY38">
            <v>0</v>
          </cell>
        </row>
        <row r="39">
          <cell r="AW39" t="str">
            <v>Fairfield Inn</v>
          </cell>
          <cell r="AX39">
            <v>277</v>
          </cell>
          <cell r="AY39">
            <v>30947</v>
          </cell>
          <cell r="AZ39">
            <v>21</v>
          </cell>
          <cell r="BA39">
            <v>2234</v>
          </cell>
          <cell r="BB39">
            <v>21</v>
          </cell>
          <cell r="BC39">
            <v>1974</v>
          </cell>
          <cell r="BD39">
            <v>25</v>
          </cell>
          <cell r="BE39">
            <v>2286</v>
          </cell>
          <cell r="BF39">
            <v>46</v>
          </cell>
          <cell r="BG39">
            <v>4260</v>
          </cell>
          <cell r="BH39">
            <v>9</v>
          </cell>
          <cell r="BI39">
            <v>803</v>
          </cell>
          <cell r="BJ39">
            <v>21</v>
          </cell>
          <cell r="BK39">
            <v>2208</v>
          </cell>
          <cell r="BL39">
            <v>34</v>
          </cell>
          <cell r="BM39">
            <v>3639</v>
          </cell>
          <cell r="BN39">
            <v>27</v>
          </cell>
          <cell r="BO39">
            <v>2455</v>
          </cell>
          <cell r="BP39">
            <v>2</v>
          </cell>
          <cell r="BQ39">
            <v>215</v>
          </cell>
          <cell r="BR39">
            <v>0</v>
          </cell>
          <cell r="BS39">
            <v>0</v>
          </cell>
          <cell r="BT39">
            <v>0</v>
          </cell>
          <cell r="BU39">
            <v>0</v>
          </cell>
          <cell r="BV39">
            <v>0</v>
          </cell>
          <cell r="BW39">
            <v>0</v>
          </cell>
          <cell r="BX39">
            <v>0</v>
          </cell>
          <cell r="BY39">
            <v>0</v>
          </cell>
        </row>
        <row r="40">
          <cell r="AW40" t="str">
            <v>Fairmont Hotel</v>
          </cell>
          <cell r="AX40">
            <v>473</v>
          </cell>
          <cell r="AY40">
            <v>45337</v>
          </cell>
          <cell r="AZ40">
            <v>0</v>
          </cell>
          <cell r="BA40">
            <v>0</v>
          </cell>
          <cell r="BB40">
            <v>1</v>
          </cell>
          <cell r="BC40">
            <v>264</v>
          </cell>
          <cell r="BD40">
            <v>0</v>
          </cell>
          <cell r="BE40">
            <v>0</v>
          </cell>
          <cell r="BF40">
            <v>1</v>
          </cell>
          <cell r="BG40">
            <v>264</v>
          </cell>
          <cell r="BH40">
            <v>0</v>
          </cell>
          <cell r="BI40">
            <v>0</v>
          </cell>
          <cell r="BJ40">
            <v>12</v>
          </cell>
          <cell r="BK40">
            <v>1253</v>
          </cell>
          <cell r="BL40">
            <v>21</v>
          </cell>
          <cell r="BM40">
            <v>2064</v>
          </cell>
          <cell r="BN40">
            <v>0</v>
          </cell>
          <cell r="BO40">
            <v>0</v>
          </cell>
          <cell r="BP40">
            <v>0</v>
          </cell>
          <cell r="BQ40">
            <v>0</v>
          </cell>
          <cell r="BR40">
            <v>0</v>
          </cell>
          <cell r="BS40">
            <v>0</v>
          </cell>
          <cell r="BT40">
            <v>0</v>
          </cell>
          <cell r="BU40">
            <v>0</v>
          </cell>
          <cell r="BV40">
            <v>0</v>
          </cell>
          <cell r="BW40">
            <v>0</v>
          </cell>
          <cell r="BX40">
            <v>0</v>
          </cell>
          <cell r="BY40">
            <v>0</v>
          </cell>
        </row>
        <row r="41">
          <cell r="AW41" t="str">
            <v>Four Points Hotel</v>
          </cell>
          <cell r="AX41">
            <v>10</v>
          </cell>
          <cell r="AY41">
            <v>5576</v>
          </cell>
          <cell r="AZ41">
            <v>2</v>
          </cell>
          <cell r="BA41">
            <v>268</v>
          </cell>
          <cell r="BB41">
            <v>1</v>
          </cell>
          <cell r="BC41">
            <v>124</v>
          </cell>
          <cell r="BD41">
            <v>2</v>
          </cell>
          <cell r="BE41">
            <v>315</v>
          </cell>
          <cell r="BF41">
            <v>3</v>
          </cell>
          <cell r="BG41">
            <v>439</v>
          </cell>
          <cell r="BH41">
            <v>1</v>
          </cell>
          <cell r="BI41">
            <v>100</v>
          </cell>
          <cell r="BJ41">
            <v>0</v>
          </cell>
          <cell r="BK41">
            <v>0</v>
          </cell>
          <cell r="BL41">
            <v>0</v>
          </cell>
          <cell r="BM41">
            <v>0</v>
          </cell>
          <cell r="BN41">
            <v>2</v>
          </cell>
          <cell r="BO41">
            <v>315</v>
          </cell>
          <cell r="BP41">
            <v>1</v>
          </cell>
          <cell r="BQ41">
            <v>100</v>
          </cell>
          <cell r="BR41">
            <v>0</v>
          </cell>
          <cell r="BS41">
            <v>0</v>
          </cell>
          <cell r="BT41">
            <v>0</v>
          </cell>
          <cell r="BU41">
            <v>0</v>
          </cell>
          <cell r="BV41">
            <v>0</v>
          </cell>
          <cell r="BW41">
            <v>0</v>
          </cell>
          <cell r="BX41">
            <v>0</v>
          </cell>
          <cell r="BY41">
            <v>0</v>
          </cell>
        </row>
        <row r="42">
          <cell r="AW42" t="str">
            <v>Four Seasons</v>
          </cell>
          <cell r="AX42">
            <v>108</v>
          </cell>
          <cell r="AY42">
            <v>21093</v>
          </cell>
          <cell r="AZ42">
            <v>0</v>
          </cell>
          <cell r="BA42">
            <v>0</v>
          </cell>
          <cell r="BB42">
            <v>3</v>
          </cell>
          <cell r="BC42">
            <v>624</v>
          </cell>
          <cell r="BD42">
            <v>0</v>
          </cell>
          <cell r="BE42">
            <v>0</v>
          </cell>
          <cell r="BF42">
            <v>3</v>
          </cell>
          <cell r="BG42">
            <v>624</v>
          </cell>
          <cell r="BH42">
            <v>0</v>
          </cell>
          <cell r="BI42">
            <v>0</v>
          </cell>
          <cell r="BJ42">
            <v>2</v>
          </cell>
          <cell r="BK42">
            <v>268</v>
          </cell>
          <cell r="BL42">
            <v>2</v>
          </cell>
          <cell r="BM42">
            <v>268</v>
          </cell>
          <cell r="BN42">
            <v>1</v>
          </cell>
          <cell r="BO42">
            <v>125</v>
          </cell>
          <cell r="BP42">
            <v>0</v>
          </cell>
          <cell r="BQ42">
            <v>0</v>
          </cell>
          <cell r="BR42">
            <v>0</v>
          </cell>
          <cell r="BS42">
            <v>0</v>
          </cell>
          <cell r="BT42">
            <v>0</v>
          </cell>
          <cell r="BU42">
            <v>0</v>
          </cell>
          <cell r="BV42">
            <v>0</v>
          </cell>
          <cell r="BW42">
            <v>0</v>
          </cell>
          <cell r="BX42">
            <v>0</v>
          </cell>
          <cell r="BY42">
            <v>0</v>
          </cell>
        </row>
        <row r="43">
          <cell r="AW43" t="str">
            <v>Friendship Inn</v>
          </cell>
          <cell r="AX43">
            <v>23</v>
          </cell>
          <cell r="AY43">
            <v>7208</v>
          </cell>
          <cell r="AZ43">
            <v>0</v>
          </cell>
          <cell r="BA43">
            <v>0</v>
          </cell>
          <cell r="BB43">
            <v>0</v>
          </cell>
          <cell r="BC43">
            <v>0</v>
          </cell>
          <cell r="BD43">
            <v>0</v>
          </cell>
          <cell r="BE43">
            <v>0</v>
          </cell>
          <cell r="BF43">
            <v>0</v>
          </cell>
          <cell r="BG43">
            <v>0</v>
          </cell>
          <cell r="BH43">
            <v>0</v>
          </cell>
          <cell r="BI43">
            <v>0</v>
          </cell>
          <cell r="BJ43">
            <v>1</v>
          </cell>
          <cell r="BK43">
            <v>277</v>
          </cell>
          <cell r="BL43">
            <v>1</v>
          </cell>
          <cell r="BM43">
            <v>277</v>
          </cell>
          <cell r="BN43">
            <v>0</v>
          </cell>
          <cell r="BO43">
            <v>0</v>
          </cell>
          <cell r="BP43">
            <v>0</v>
          </cell>
          <cell r="BQ43">
            <v>0</v>
          </cell>
          <cell r="BR43">
            <v>0</v>
          </cell>
          <cell r="BS43">
            <v>0</v>
          </cell>
          <cell r="BT43">
            <v>0</v>
          </cell>
          <cell r="BU43">
            <v>0</v>
          </cell>
          <cell r="BV43">
            <v>0</v>
          </cell>
          <cell r="BW43">
            <v>0</v>
          </cell>
          <cell r="BX43">
            <v>0</v>
          </cell>
          <cell r="BY43">
            <v>0</v>
          </cell>
        </row>
        <row r="44">
          <cell r="AW44" t="str">
            <v>GuestHouse Inn</v>
          </cell>
          <cell r="AX44">
            <v>7</v>
          </cell>
          <cell r="AY44">
            <v>210</v>
          </cell>
          <cell r="AZ44">
            <v>7</v>
          </cell>
          <cell r="BA44">
            <v>317</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row>
        <row r="45">
          <cell r="AW45" t="str">
            <v>Hampton Inn</v>
          </cell>
          <cell r="AX45">
            <v>6</v>
          </cell>
          <cell r="AY45">
            <v>267</v>
          </cell>
          <cell r="AZ45">
            <v>70</v>
          </cell>
          <cell r="BA45">
            <v>5934</v>
          </cell>
          <cell r="BB45">
            <v>41</v>
          </cell>
          <cell r="BC45">
            <v>3466</v>
          </cell>
          <cell r="BD45">
            <v>33</v>
          </cell>
          <cell r="BE45">
            <v>2784</v>
          </cell>
          <cell r="BF45">
            <v>74</v>
          </cell>
          <cell r="BG45">
            <v>6250</v>
          </cell>
          <cell r="BH45">
            <v>1</v>
          </cell>
          <cell r="BI45">
            <v>72</v>
          </cell>
          <cell r="BJ45">
            <v>1</v>
          </cell>
          <cell r="BK45">
            <v>39</v>
          </cell>
          <cell r="BL45">
            <v>6</v>
          </cell>
          <cell r="BM45">
            <v>252</v>
          </cell>
          <cell r="BN45">
            <v>10</v>
          </cell>
          <cell r="BO45">
            <v>862</v>
          </cell>
          <cell r="BP45">
            <v>1</v>
          </cell>
          <cell r="BQ45">
            <v>220</v>
          </cell>
          <cell r="BR45">
            <v>0</v>
          </cell>
          <cell r="BS45">
            <v>0</v>
          </cell>
          <cell r="BT45">
            <v>0</v>
          </cell>
          <cell r="BU45">
            <v>0</v>
          </cell>
          <cell r="BV45">
            <v>0</v>
          </cell>
          <cell r="BW45">
            <v>0</v>
          </cell>
          <cell r="BX45">
            <v>0</v>
          </cell>
          <cell r="BY45">
            <v>0</v>
          </cell>
        </row>
        <row r="46">
          <cell r="AW46" t="str">
            <v>Hampton Inn &amp; Suites</v>
          </cell>
          <cell r="AX46">
            <v>1020</v>
          </cell>
          <cell r="AY46">
            <v>102635</v>
          </cell>
          <cell r="AZ46">
            <v>17</v>
          </cell>
          <cell r="BA46">
            <v>1788</v>
          </cell>
          <cell r="BB46">
            <v>20</v>
          </cell>
          <cell r="BC46">
            <v>1970</v>
          </cell>
          <cell r="BD46">
            <v>43</v>
          </cell>
          <cell r="BE46">
            <v>4239</v>
          </cell>
          <cell r="BF46">
            <v>63</v>
          </cell>
          <cell r="BG46">
            <v>6209</v>
          </cell>
          <cell r="BH46">
            <v>6</v>
          </cell>
          <cell r="BI46">
            <v>559</v>
          </cell>
          <cell r="BJ46">
            <v>30</v>
          </cell>
          <cell r="BK46">
            <v>2715</v>
          </cell>
          <cell r="BL46">
            <v>65</v>
          </cell>
          <cell r="BM46">
            <v>5509</v>
          </cell>
          <cell r="BN46">
            <v>19</v>
          </cell>
          <cell r="BO46">
            <v>1956</v>
          </cell>
          <cell r="BP46">
            <v>5</v>
          </cell>
          <cell r="BQ46">
            <v>479</v>
          </cell>
          <cell r="BR46">
            <v>0</v>
          </cell>
          <cell r="BS46">
            <v>0</v>
          </cell>
          <cell r="BT46">
            <v>0</v>
          </cell>
          <cell r="BU46">
            <v>0</v>
          </cell>
          <cell r="BV46">
            <v>0</v>
          </cell>
          <cell r="BW46">
            <v>0</v>
          </cell>
          <cell r="BX46">
            <v>0</v>
          </cell>
          <cell r="BY46">
            <v>0</v>
          </cell>
        </row>
        <row r="47">
          <cell r="AW47" t="str">
            <v>Hawthorn Suites</v>
          </cell>
          <cell r="AX47">
            <v>103</v>
          </cell>
          <cell r="AY47">
            <v>12213</v>
          </cell>
          <cell r="AZ47">
            <v>14</v>
          </cell>
          <cell r="BA47">
            <v>1152</v>
          </cell>
          <cell r="BB47">
            <v>5</v>
          </cell>
          <cell r="BC47">
            <v>371</v>
          </cell>
          <cell r="BD47">
            <v>8</v>
          </cell>
          <cell r="BE47">
            <v>747</v>
          </cell>
          <cell r="BF47">
            <v>13</v>
          </cell>
          <cell r="BG47">
            <v>1118</v>
          </cell>
          <cell r="BH47">
            <v>37</v>
          </cell>
          <cell r="BI47">
            <v>3197</v>
          </cell>
          <cell r="BJ47">
            <v>6</v>
          </cell>
          <cell r="BK47">
            <v>582</v>
          </cell>
          <cell r="BL47">
            <v>14</v>
          </cell>
          <cell r="BM47">
            <v>1330</v>
          </cell>
          <cell r="BN47">
            <v>24</v>
          </cell>
          <cell r="BO47">
            <v>1890</v>
          </cell>
          <cell r="BP47">
            <v>16</v>
          </cell>
          <cell r="BQ47">
            <v>1634</v>
          </cell>
          <cell r="BR47">
            <v>0</v>
          </cell>
          <cell r="BS47">
            <v>0</v>
          </cell>
          <cell r="BT47">
            <v>0</v>
          </cell>
          <cell r="BU47">
            <v>0</v>
          </cell>
          <cell r="BV47">
            <v>0</v>
          </cell>
          <cell r="BW47">
            <v>0</v>
          </cell>
          <cell r="BX47">
            <v>0</v>
          </cell>
          <cell r="BY47">
            <v>0</v>
          </cell>
        </row>
        <row r="48">
          <cell r="AW48" t="str">
            <v>Hawthorn Suites LTD.</v>
          </cell>
          <cell r="AX48">
            <v>115</v>
          </cell>
          <cell r="AY48">
            <v>11793</v>
          </cell>
          <cell r="AZ48">
            <v>10</v>
          </cell>
          <cell r="BA48">
            <v>718</v>
          </cell>
          <cell r="BB48">
            <v>9</v>
          </cell>
          <cell r="BC48">
            <v>630</v>
          </cell>
          <cell r="BD48">
            <v>8</v>
          </cell>
          <cell r="BE48">
            <v>674</v>
          </cell>
          <cell r="BF48">
            <v>17</v>
          </cell>
          <cell r="BG48">
            <v>1304</v>
          </cell>
          <cell r="BH48">
            <v>7</v>
          </cell>
          <cell r="BI48">
            <v>602</v>
          </cell>
          <cell r="BJ48">
            <v>3</v>
          </cell>
          <cell r="BK48">
            <v>271</v>
          </cell>
          <cell r="BL48">
            <v>8</v>
          </cell>
          <cell r="BM48">
            <v>691</v>
          </cell>
          <cell r="BN48">
            <v>4</v>
          </cell>
          <cell r="BO48">
            <v>312</v>
          </cell>
          <cell r="BP48">
            <v>3</v>
          </cell>
          <cell r="BQ48">
            <v>310</v>
          </cell>
          <cell r="BR48">
            <v>0</v>
          </cell>
          <cell r="BS48">
            <v>0</v>
          </cell>
          <cell r="BT48">
            <v>0</v>
          </cell>
          <cell r="BU48">
            <v>0</v>
          </cell>
          <cell r="BV48">
            <v>0</v>
          </cell>
          <cell r="BW48">
            <v>0</v>
          </cell>
          <cell r="BX48">
            <v>0</v>
          </cell>
          <cell r="BY48">
            <v>0</v>
          </cell>
        </row>
        <row r="49">
          <cell r="AW49" t="str">
            <v>Hearthside Inn</v>
          </cell>
          <cell r="AX49">
            <v>41</v>
          </cell>
          <cell r="AY49">
            <v>2995</v>
          </cell>
          <cell r="AZ49">
            <v>0</v>
          </cell>
          <cell r="BA49">
            <v>0</v>
          </cell>
          <cell r="BB49">
            <v>0</v>
          </cell>
          <cell r="BC49">
            <v>0</v>
          </cell>
          <cell r="BD49">
            <v>0</v>
          </cell>
          <cell r="BE49">
            <v>0</v>
          </cell>
          <cell r="BF49">
            <v>0</v>
          </cell>
          <cell r="BG49">
            <v>0</v>
          </cell>
          <cell r="BH49">
            <v>2</v>
          </cell>
          <cell r="BI49">
            <v>293</v>
          </cell>
          <cell r="BJ49">
            <v>3</v>
          </cell>
          <cell r="BK49">
            <v>186</v>
          </cell>
          <cell r="BL49">
            <v>9</v>
          </cell>
          <cell r="BM49">
            <v>614</v>
          </cell>
          <cell r="BN49">
            <v>1</v>
          </cell>
          <cell r="BO49">
            <v>148</v>
          </cell>
          <cell r="BP49">
            <v>1</v>
          </cell>
          <cell r="BQ49">
            <v>145</v>
          </cell>
          <cell r="BR49">
            <v>0</v>
          </cell>
          <cell r="BS49">
            <v>0</v>
          </cell>
          <cell r="BT49">
            <v>0</v>
          </cell>
          <cell r="BU49">
            <v>0</v>
          </cell>
          <cell r="BV49">
            <v>0</v>
          </cell>
          <cell r="BW49">
            <v>0</v>
          </cell>
          <cell r="BX49">
            <v>0</v>
          </cell>
          <cell r="BY49">
            <v>0</v>
          </cell>
        </row>
        <row r="50">
          <cell r="AW50" t="str">
            <v>Helmsley Hotel</v>
          </cell>
          <cell r="AX50">
            <v>41</v>
          </cell>
          <cell r="AY50">
            <v>2995</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row>
        <row r="51">
          <cell r="AW51" t="str">
            <v>Hilton Garden Inn</v>
          </cell>
          <cell r="AX51">
            <v>6</v>
          </cell>
          <cell r="AY51">
            <v>2203</v>
          </cell>
          <cell r="AZ51">
            <v>30</v>
          </cell>
          <cell r="BA51">
            <v>4033</v>
          </cell>
          <cell r="BB51">
            <v>40</v>
          </cell>
          <cell r="BC51">
            <v>5435</v>
          </cell>
          <cell r="BD51">
            <v>60</v>
          </cell>
          <cell r="BE51">
            <v>7724</v>
          </cell>
          <cell r="BF51">
            <v>100</v>
          </cell>
          <cell r="BG51">
            <v>13159</v>
          </cell>
          <cell r="BH51">
            <v>6</v>
          </cell>
          <cell r="BI51">
            <v>831</v>
          </cell>
          <cell r="BJ51">
            <v>0</v>
          </cell>
          <cell r="BK51">
            <v>0</v>
          </cell>
          <cell r="BL51">
            <v>0</v>
          </cell>
          <cell r="BM51">
            <v>0</v>
          </cell>
          <cell r="BN51">
            <v>42</v>
          </cell>
          <cell r="BO51">
            <v>5200</v>
          </cell>
          <cell r="BP51">
            <v>9</v>
          </cell>
          <cell r="BQ51">
            <v>1731</v>
          </cell>
          <cell r="BR51">
            <v>0</v>
          </cell>
          <cell r="BS51">
            <v>0</v>
          </cell>
          <cell r="BT51">
            <v>0</v>
          </cell>
          <cell r="BU51">
            <v>0</v>
          </cell>
          <cell r="BV51">
            <v>0</v>
          </cell>
          <cell r="BW51">
            <v>0</v>
          </cell>
          <cell r="BX51">
            <v>0</v>
          </cell>
          <cell r="BY51">
            <v>0</v>
          </cell>
        </row>
        <row r="52">
          <cell r="AW52" t="str">
            <v>Hilton Hotel</v>
          </cell>
          <cell r="AX52">
            <v>111</v>
          </cell>
          <cell r="AY52">
            <v>15468</v>
          </cell>
          <cell r="AZ52">
            <v>9</v>
          </cell>
          <cell r="BA52">
            <v>2245</v>
          </cell>
          <cell r="BB52">
            <v>5</v>
          </cell>
          <cell r="BC52">
            <v>2760</v>
          </cell>
          <cell r="BD52">
            <v>5</v>
          </cell>
          <cell r="BE52">
            <v>2520</v>
          </cell>
          <cell r="BF52">
            <v>10</v>
          </cell>
          <cell r="BG52">
            <v>5280</v>
          </cell>
          <cell r="BH52">
            <v>4</v>
          </cell>
          <cell r="BI52">
            <v>1012</v>
          </cell>
          <cell r="BJ52">
            <v>20</v>
          </cell>
          <cell r="BK52">
            <v>2615</v>
          </cell>
          <cell r="BL52">
            <v>33</v>
          </cell>
          <cell r="BM52">
            <v>4315</v>
          </cell>
          <cell r="BN52">
            <v>3</v>
          </cell>
          <cell r="BO52">
            <v>720</v>
          </cell>
          <cell r="BP52">
            <v>7</v>
          </cell>
          <cell r="BQ52">
            <v>3412</v>
          </cell>
          <cell r="BR52">
            <v>1</v>
          </cell>
          <cell r="BS52">
            <v>1400</v>
          </cell>
          <cell r="BT52">
            <v>0</v>
          </cell>
          <cell r="BU52">
            <v>0</v>
          </cell>
          <cell r="BV52">
            <v>0</v>
          </cell>
          <cell r="BW52">
            <v>0</v>
          </cell>
          <cell r="BX52">
            <v>0</v>
          </cell>
          <cell r="BY52">
            <v>0</v>
          </cell>
        </row>
        <row r="53">
          <cell r="AW53" t="str">
            <v>HoJo Inn</v>
          </cell>
          <cell r="AX53">
            <v>227</v>
          </cell>
          <cell r="AY53">
            <v>94640</v>
          </cell>
          <cell r="AZ53">
            <v>0</v>
          </cell>
          <cell r="BA53">
            <v>0</v>
          </cell>
          <cell r="BB53">
            <v>0</v>
          </cell>
          <cell r="BC53">
            <v>0</v>
          </cell>
          <cell r="BD53">
            <v>0</v>
          </cell>
          <cell r="BE53">
            <v>0</v>
          </cell>
          <cell r="BF53">
            <v>0</v>
          </cell>
          <cell r="BG53">
            <v>0</v>
          </cell>
          <cell r="BH53">
            <v>0</v>
          </cell>
          <cell r="BI53">
            <v>0</v>
          </cell>
          <cell r="BJ53">
            <v>1</v>
          </cell>
          <cell r="BK53">
            <v>453</v>
          </cell>
          <cell r="BL53">
            <v>6</v>
          </cell>
          <cell r="BM53">
            <v>1504</v>
          </cell>
          <cell r="BN53">
            <v>0</v>
          </cell>
          <cell r="BO53">
            <v>0</v>
          </cell>
          <cell r="BP53">
            <v>0</v>
          </cell>
          <cell r="BQ53">
            <v>0</v>
          </cell>
          <cell r="BR53">
            <v>0</v>
          </cell>
          <cell r="BS53">
            <v>0</v>
          </cell>
          <cell r="BT53">
            <v>0</v>
          </cell>
          <cell r="BU53">
            <v>0</v>
          </cell>
          <cell r="BV53">
            <v>0</v>
          </cell>
          <cell r="BW53">
            <v>0</v>
          </cell>
          <cell r="BX53">
            <v>0</v>
          </cell>
          <cell r="BY53">
            <v>0</v>
          </cell>
        </row>
        <row r="54">
          <cell r="AW54" t="str">
            <v>Holiday Inn</v>
          </cell>
          <cell r="AX54">
            <v>161</v>
          </cell>
          <cell r="AY54">
            <v>42495</v>
          </cell>
          <cell r="AZ54">
            <v>7</v>
          </cell>
          <cell r="BA54">
            <v>960</v>
          </cell>
          <cell r="BB54">
            <v>4</v>
          </cell>
          <cell r="BC54">
            <v>590</v>
          </cell>
          <cell r="BD54">
            <v>21</v>
          </cell>
          <cell r="BE54">
            <v>2476</v>
          </cell>
          <cell r="BF54">
            <v>25</v>
          </cell>
          <cell r="BG54">
            <v>3066</v>
          </cell>
          <cell r="BH54">
            <v>1</v>
          </cell>
          <cell r="BI54">
            <v>120</v>
          </cell>
          <cell r="BJ54">
            <v>0</v>
          </cell>
          <cell r="BK54">
            <v>0</v>
          </cell>
          <cell r="BL54">
            <v>0</v>
          </cell>
          <cell r="BM54">
            <v>0</v>
          </cell>
          <cell r="BN54">
            <v>13</v>
          </cell>
          <cell r="BO54">
            <v>1468</v>
          </cell>
          <cell r="BP54">
            <v>0</v>
          </cell>
          <cell r="BQ54">
            <v>0</v>
          </cell>
          <cell r="BR54">
            <v>0</v>
          </cell>
          <cell r="BS54">
            <v>0</v>
          </cell>
          <cell r="BT54">
            <v>0</v>
          </cell>
          <cell r="BU54">
            <v>0</v>
          </cell>
          <cell r="BV54">
            <v>0</v>
          </cell>
          <cell r="BW54">
            <v>0</v>
          </cell>
          <cell r="BX54">
            <v>0</v>
          </cell>
          <cell r="BY54">
            <v>0</v>
          </cell>
        </row>
        <row r="55">
          <cell r="AW55" t="str">
            <v>Holiday Inn Express</v>
          </cell>
          <cell r="AX55">
            <v>968</v>
          </cell>
          <cell r="AY55">
            <v>182601</v>
          </cell>
          <cell r="AZ55">
            <v>111</v>
          </cell>
          <cell r="BA55">
            <v>8710</v>
          </cell>
          <cell r="BB55">
            <v>76</v>
          </cell>
          <cell r="BC55">
            <v>6027</v>
          </cell>
          <cell r="BD55">
            <v>119</v>
          </cell>
          <cell r="BE55">
            <v>9428</v>
          </cell>
          <cell r="BF55">
            <v>195</v>
          </cell>
          <cell r="BG55">
            <v>15455</v>
          </cell>
          <cell r="BH55">
            <v>26</v>
          </cell>
          <cell r="BI55">
            <v>2244</v>
          </cell>
          <cell r="BJ55">
            <v>5</v>
          </cell>
          <cell r="BK55">
            <v>789</v>
          </cell>
          <cell r="BL55">
            <v>7</v>
          </cell>
          <cell r="BM55">
            <v>1087</v>
          </cell>
          <cell r="BN55">
            <v>61</v>
          </cell>
          <cell r="BO55">
            <v>5094</v>
          </cell>
          <cell r="BP55">
            <v>5</v>
          </cell>
          <cell r="BQ55">
            <v>501</v>
          </cell>
          <cell r="BR55">
            <v>0</v>
          </cell>
          <cell r="BS55">
            <v>0</v>
          </cell>
          <cell r="BT55">
            <v>0</v>
          </cell>
          <cell r="BU55">
            <v>0</v>
          </cell>
          <cell r="BV55">
            <v>0</v>
          </cell>
          <cell r="BW55">
            <v>0</v>
          </cell>
          <cell r="BX55">
            <v>0</v>
          </cell>
          <cell r="BY55">
            <v>0</v>
          </cell>
        </row>
        <row r="56">
          <cell r="AW56" t="str">
            <v>Holiday Inn Express &amp; Suites</v>
          </cell>
          <cell r="AX56">
            <v>1113</v>
          </cell>
          <cell r="AY56">
            <v>87196</v>
          </cell>
          <cell r="AZ56">
            <v>0</v>
          </cell>
          <cell r="BA56">
            <v>0</v>
          </cell>
          <cell r="BB56">
            <v>0</v>
          </cell>
          <cell r="BC56">
            <v>0</v>
          </cell>
          <cell r="BD56">
            <v>0</v>
          </cell>
          <cell r="BE56">
            <v>0</v>
          </cell>
          <cell r="BF56">
            <v>0</v>
          </cell>
          <cell r="BG56">
            <v>0</v>
          </cell>
          <cell r="BH56">
            <v>0</v>
          </cell>
          <cell r="BI56">
            <v>0</v>
          </cell>
          <cell r="BJ56">
            <v>57</v>
          </cell>
          <cell r="BK56">
            <v>4174</v>
          </cell>
          <cell r="BL56">
            <v>118</v>
          </cell>
          <cell r="BM56">
            <v>9008</v>
          </cell>
          <cell r="BN56">
            <v>0</v>
          </cell>
          <cell r="BO56">
            <v>0</v>
          </cell>
          <cell r="BP56">
            <v>0</v>
          </cell>
          <cell r="BQ56">
            <v>0</v>
          </cell>
          <cell r="BR56">
            <v>0</v>
          </cell>
          <cell r="BS56">
            <v>0</v>
          </cell>
          <cell r="BT56">
            <v>0</v>
          </cell>
          <cell r="BU56">
            <v>0</v>
          </cell>
          <cell r="BV56">
            <v>0</v>
          </cell>
          <cell r="BW56">
            <v>0</v>
          </cell>
          <cell r="BX56">
            <v>0</v>
          </cell>
          <cell r="BY56">
            <v>0</v>
          </cell>
        </row>
        <row r="57">
          <cell r="AW57" t="str">
            <v>Holiday Inn Select</v>
          </cell>
          <cell r="AX57">
            <v>1113</v>
          </cell>
          <cell r="AY57">
            <v>87196</v>
          </cell>
          <cell r="AZ57">
            <v>2</v>
          </cell>
          <cell r="BA57">
            <v>349</v>
          </cell>
          <cell r="BB57">
            <v>3</v>
          </cell>
          <cell r="BC57">
            <v>573</v>
          </cell>
          <cell r="BD57">
            <v>3</v>
          </cell>
          <cell r="BE57">
            <v>652</v>
          </cell>
          <cell r="BF57">
            <v>6</v>
          </cell>
          <cell r="BG57">
            <v>1225</v>
          </cell>
          <cell r="BH57">
            <v>0</v>
          </cell>
          <cell r="BI57">
            <v>0</v>
          </cell>
          <cell r="BJ57">
            <v>0</v>
          </cell>
          <cell r="BK57">
            <v>0</v>
          </cell>
          <cell r="BL57">
            <v>0</v>
          </cell>
          <cell r="BM57">
            <v>0</v>
          </cell>
          <cell r="BN57">
            <v>2</v>
          </cell>
          <cell r="BO57">
            <v>502</v>
          </cell>
          <cell r="BP57">
            <v>0</v>
          </cell>
          <cell r="BQ57">
            <v>0</v>
          </cell>
          <cell r="BR57">
            <v>0</v>
          </cell>
          <cell r="BS57">
            <v>0</v>
          </cell>
          <cell r="BT57">
            <v>0</v>
          </cell>
          <cell r="BU57">
            <v>0</v>
          </cell>
          <cell r="BV57">
            <v>0</v>
          </cell>
          <cell r="BW57">
            <v>0</v>
          </cell>
          <cell r="BX57">
            <v>0</v>
          </cell>
          <cell r="BY57">
            <v>0</v>
          </cell>
        </row>
        <row r="58">
          <cell r="AW58" t="str">
            <v>Homestead Village</v>
          </cell>
          <cell r="AX58">
            <v>75</v>
          </cell>
          <cell r="AY58">
            <v>19547</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row>
        <row r="59">
          <cell r="AW59" t="str">
            <v>HomeTown Suites</v>
          </cell>
          <cell r="AX59">
            <v>135</v>
          </cell>
          <cell r="AY59">
            <v>17988</v>
          </cell>
          <cell r="AZ59">
            <v>1</v>
          </cell>
          <cell r="BA59">
            <v>69</v>
          </cell>
          <cell r="BB59">
            <v>0</v>
          </cell>
          <cell r="BC59">
            <v>0</v>
          </cell>
          <cell r="BD59">
            <v>0</v>
          </cell>
          <cell r="BE59">
            <v>0</v>
          </cell>
          <cell r="BF59">
            <v>0</v>
          </cell>
          <cell r="BG59">
            <v>0</v>
          </cell>
          <cell r="BH59">
            <v>0</v>
          </cell>
          <cell r="BI59">
            <v>0</v>
          </cell>
          <cell r="BJ59">
            <v>1</v>
          </cell>
          <cell r="BK59">
            <v>40</v>
          </cell>
          <cell r="BL59">
            <v>1</v>
          </cell>
          <cell r="BM59">
            <v>40</v>
          </cell>
          <cell r="BN59">
            <v>0</v>
          </cell>
          <cell r="BO59">
            <v>0</v>
          </cell>
          <cell r="BP59">
            <v>0</v>
          </cell>
          <cell r="BQ59">
            <v>0</v>
          </cell>
          <cell r="BR59">
            <v>0</v>
          </cell>
          <cell r="BS59">
            <v>0</v>
          </cell>
          <cell r="BT59">
            <v>0</v>
          </cell>
          <cell r="BU59">
            <v>0</v>
          </cell>
          <cell r="BV59">
            <v>0</v>
          </cell>
          <cell r="BW59">
            <v>0</v>
          </cell>
          <cell r="BX59">
            <v>0</v>
          </cell>
          <cell r="BY59">
            <v>0</v>
          </cell>
        </row>
        <row r="60">
          <cell r="AW60" t="str">
            <v>Homewood Suites by Hilton</v>
          </cell>
          <cell r="AX60">
            <v>135</v>
          </cell>
          <cell r="AY60">
            <v>17988</v>
          </cell>
          <cell r="AZ60">
            <v>14</v>
          </cell>
          <cell r="BA60">
            <v>1599</v>
          </cell>
          <cell r="BB60">
            <v>10</v>
          </cell>
          <cell r="BC60">
            <v>1323</v>
          </cell>
          <cell r="BD60">
            <v>23</v>
          </cell>
          <cell r="BE60">
            <v>2740</v>
          </cell>
          <cell r="BF60">
            <v>33</v>
          </cell>
          <cell r="BG60">
            <v>4063</v>
          </cell>
          <cell r="BH60">
            <v>2</v>
          </cell>
          <cell r="BI60">
            <v>288</v>
          </cell>
          <cell r="BJ60">
            <v>0</v>
          </cell>
          <cell r="BK60">
            <v>0</v>
          </cell>
          <cell r="BL60">
            <v>0</v>
          </cell>
          <cell r="BM60">
            <v>0</v>
          </cell>
          <cell r="BN60">
            <v>16</v>
          </cell>
          <cell r="BO60">
            <v>1956</v>
          </cell>
          <cell r="BP60">
            <v>2</v>
          </cell>
          <cell r="BQ60">
            <v>373</v>
          </cell>
          <cell r="BR60">
            <v>0</v>
          </cell>
          <cell r="BS60">
            <v>0</v>
          </cell>
          <cell r="BT60">
            <v>0</v>
          </cell>
          <cell r="BU60">
            <v>0</v>
          </cell>
          <cell r="BV60">
            <v>0</v>
          </cell>
          <cell r="BW60">
            <v>0</v>
          </cell>
          <cell r="BX60">
            <v>0</v>
          </cell>
          <cell r="BY60">
            <v>0</v>
          </cell>
        </row>
        <row r="61">
          <cell r="AW61" t="str">
            <v>Hotel Sofitel</v>
          </cell>
          <cell r="AX61">
            <v>5</v>
          </cell>
          <cell r="AY61">
            <v>393</v>
          </cell>
          <cell r="AZ61">
            <v>0</v>
          </cell>
          <cell r="BA61">
            <v>0</v>
          </cell>
          <cell r="BB61">
            <v>2</v>
          </cell>
          <cell r="BC61">
            <v>649</v>
          </cell>
          <cell r="BD61">
            <v>1</v>
          </cell>
          <cell r="BE61">
            <v>400</v>
          </cell>
          <cell r="BF61">
            <v>3</v>
          </cell>
          <cell r="BG61">
            <v>1049</v>
          </cell>
          <cell r="BH61">
            <v>0</v>
          </cell>
          <cell r="BI61">
            <v>0</v>
          </cell>
          <cell r="BJ61">
            <v>0</v>
          </cell>
          <cell r="BK61">
            <v>0</v>
          </cell>
          <cell r="BL61">
            <v>0</v>
          </cell>
          <cell r="BM61">
            <v>0</v>
          </cell>
          <cell r="BN61">
            <v>0</v>
          </cell>
          <cell r="BO61">
            <v>0</v>
          </cell>
          <cell r="BP61">
            <v>1</v>
          </cell>
          <cell r="BQ61">
            <v>400</v>
          </cell>
          <cell r="BR61">
            <v>0</v>
          </cell>
          <cell r="BS61">
            <v>0</v>
          </cell>
          <cell r="BT61">
            <v>0</v>
          </cell>
          <cell r="BU61">
            <v>0</v>
          </cell>
          <cell r="BV61">
            <v>0</v>
          </cell>
          <cell r="BW61">
            <v>0</v>
          </cell>
          <cell r="BX61">
            <v>0</v>
          </cell>
          <cell r="BY61">
            <v>0</v>
          </cell>
        </row>
        <row r="62">
          <cell r="AW62" t="str">
            <v>Howard Johnson</v>
          </cell>
          <cell r="AX62">
            <v>104</v>
          </cell>
          <cell r="AY62">
            <v>11673</v>
          </cell>
          <cell r="AZ62">
            <v>5</v>
          </cell>
          <cell r="BA62">
            <v>265</v>
          </cell>
          <cell r="BB62">
            <v>5</v>
          </cell>
          <cell r="BC62">
            <v>415</v>
          </cell>
          <cell r="BD62">
            <v>8</v>
          </cell>
          <cell r="BE62">
            <v>677</v>
          </cell>
          <cell r="BF62">
            <v>13</v>
          </cell>
          <cell r="BG62">
            <v>1092</v>
          </cell>
          <cell r="BH62">
            <v>2</v>
          </cell>
          <cell r="BI62">
            <v>174</v>
          </cell>
          <cell r="BJ62">
            <v>8</v>
          </cell>
          <cell r="BK62">
            <v>794</v>
          </cell>
          <cell r="BL62">
            <v>11</v>
          </cell>
          <cell r="BM62">
            <v>1129</v>
          </cell>
          <cell r="BN62">
            <v>2</v>
          </cell>
          <cell r="BO62">
            <v>274</v>
          </cell>
          <cell r="BP62">
            <v>1</v>
          </cell>
          <cell r="BQ62">
            <v>100</v>
          </cell>
          <cell r="BR62">
            <v>0</v>
          </cell>
          <cell r="BS62">
            <v>0</v>
          </cell>
          <cell r="BT62">
            <v>0</v>
          </cell>
          <cell r="BU62">
            <v>0</v>
          </cell>
          <cell r="BV62">
            <v>0</v>
          </cell>
          <cell r="BW62">
            <v>0</v>
          </cell>
          <cell r="BX62">
            <v>0</v>
          </cell>
          <cell r="BY62">
            <v>0</v>
          </cell>
        </row>
        <row r="63">
          <cell r="AW63" t="str">
            <v>Howard Johnson Express Inn</v>
          </cell>
          <cell r="AX63">
            <v>9</v>
          </cell>
          <cell r="AY63">
            <v>2777</v>
          </cell>
          <cell r="AZ63">
            <v>4</v>
          </cell>
          <cell r="BA63">
            <v>311</v>
          </cell>
          <cell r="BB63">
            <v>2</v>
          </cell>
          <cell r="BC63">
            <v>189</v>
          </cell>
          <cell r="BD63">
            <v>2</v>
          </cell>
          <cell r="BE63">
            <v>360</v>
          </cell>
          <cell r="BF63">
            <v>4</v>
          </cell>
          <cell r="BG63">
            <v>549</v>
          </cell>
          <cell r="BH63">
            <v>9</v>
          </cell>
          <cell r="BI63">
            <v>1604</v>
          </cell>
          <cell r="BJ63">
            <v>0</v>
          </cell>
          <cell r="BK63">
            <v>0</v>
          </cell>
          <cell r="BL63">
            <v>0</v>
          </cell>
          <cell r="BM63">
            <v>0</v>
          </cell>
          <cell r="BN63">
            <v>3</v>
          </cell>
          <cell r="BO63">
            <v>335</v>
          </cell>
          <cell r="BP63">
            <v>7</v>
          </cell>
          <cell r="BQ63">
            <v>1519</v>
          </cell>
          <cell r="BR63">
            <v>0</v>
          </cell>
          <cell r="BS63">
            <v>0</v>
          </cell>
          <cell r="BT63">
            <v>0</v>
          </cell>
          <cell r="BU63">
            <v>0</v>
          </cell>
          <cell r="BV63">
            <v>0</v>
          </cell>
          <cell r="BW63">
            <v>0</v>
          </cell>
          <cell r="BX63">
            <v>0</v>
          </cell>
          <cell r="BY63">
            <v>0</v>
          </cell>
        </row>
        <row r="64">
          <cell r="AW64" t="str">
            <v>Howard Johnson Inn</v>
          </cell>
          <cell r="AX64">
            <v>9</v>
          </cell>
          <cell r="AY64">
            <v>2777</v>
          </cell>
          <cell r="AZ64">
            <v>0</v>
          </cell>
          <cell r="BA64">
            <v>0</v>
          </cell>
          <cell r="BB64">
            <v>0</v>
          </cell>
          <cell r="BC64">
            <v>0</v>
          </cell>
          <cell r="BD64">
            <v>0</v>
          </cell>
          <cell r="BE64">
            <v>0</v>
          </cell>
          <cell r="BF64">
            <v>0</v>
          </cell>
          <cell r="BG64">
            <v>0</v>
          </cell>
          <cell r="BH64">
            <v>0</v>
          </cell>
          <cell r="BI64">
            <v>0</v>
          </cell>
          <cell r="BJ64">
            <v>0</v>
          </cell>
          <cell r="BK64">
            <v>0</v>
          </cell>
          <cell r="BL64">
            <v>1</v>
          </cell>
          <cell r="BM64">
            <v>34</v>
          </cell>
          <cell r="BN64">
            <v>0</v>
          </cell>
          <cell r="BO64">
            <v>0</v>
          </cell>
          <cell r="BP64">
            <v>0</v>
          </cell>
          <cell r="BQ64">
            <v>0</v>
          </cell>
          <cell r="BR64">
            <v>0</v>
          </cell>
          <cell r="BS64">
            <v>0</v>
          </cell>
          <cell r="BT64">
            <v>0</v>
          </cell>
          <cell r="BU64">
            <v>0</v>
          </cell>
          <cell r="BV64">
            <v>0</v>
          </cell>
          <cell r="BW64">
            <v>0</v>
          </cell>
          <cell r="BX64">
            <v>0</v>
          </cell>
          <cell r="BY64">
            <v>0</v>
          </cell>
        </row>
        <row r="65">
          <cell r="AW65" t="str">
            <v>Howard Johnson Lodge</v>
          </cell>
          <cell r="AX65">
            <v>182</v>
          </cell>
          <cell r="AY65">
            <v>12343</v>
          </cell>
          <cell r="AZ65">
            <v>0</v>
          </cell>
          <cell r="BA65">
            <v>0</v>
          </cell>
          <cell r="BB65">
            <v>0</v>
          </cell>
          <cell r="BC65">
            <v>0</v>
          </cell>
          <cell r="BD65">
            <v>0</v>
          </cell>
          <cell r="BE65">
            <v>0</v>
          </cell>
          <cell r="BF65">
            <v>0</v>
          </cell>
          <cell r="BG65">
            <v>0</v>
          </cell>
          <cell r="BH65">
            <v>0</v>
          </cell>
          <cell r="BI65">
            <v>0</v>
          </cell>
          <cell r="BJ65">
            <v>3</v>
          </cell>
          <cell r="BK65">
            <v>166</v>
          </cell>
          <cell r="BL65">
            <v>5</v>
          </cell>
          <cell r="BM65">
            <v>272</v>
          </cell>
          <cell r="BN65">
            <v>0</v>
          </cell>
          <cell r="BO65">
            <v>0</v>
          </cell>
          <cell r="BP65">
            <v>0</v>
          </cell>
          <cell r="BQ65">
            <v>0</v>
          </cell>
          <cell r="BR65">
            <v>0</v>
          </cell>
          <cell r="BS65">
            <v>0</v>
          </cell>
          <cell r="BT65">
            <v>0</v>
          </cell>
          <cell r="BU65">
            <v>0</v>
          </cell>
          <cell r="BV65">
            <v>0</v>
          </cell>
          <cell r="BW65">
            <v>0</v>
          </cell>
          <cell r="BX65">
            <v>0</v>
          </cell>
          <cell r="BY65">
            <v>0</v>
          </cell>
        </row>
        <row r="66">
          <cell r="AW66" t="str">
            <v>Howard Johnson Plaza</v>
          </cell>
          <cell r="AX66">
            <v>244</v>
          </cell>
          <cell r="AY66">
            <v>29374</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row>
        <row r="67">
          <cell r="AW67" t="str">
            <v>Hyatt Hotel</v>
          </cell>
          <cell r="AX67">
            <v>244</v>
          </cell>
          <cell r="AY67">
            <v>29374</v>
          </cell>
          <cell r="AZ67">
            <v>6</v>
          </cell>
          <cell r="BA67">
            <v>2132</v>
          </cell>
          <cell r="BB67">
            <v>5</v>
          </cell>
          <cell r="BC67">
            <v>2319</v>
          </cell>
          <cell r="BD67">
            <v>3</v>
          </cell>
          <cell r="BE67">
            <v>1986</v>
          </cell>
          <cell r="BF67">
            <v>8</v>
          </cell>
          <cell r="BG67">
            <v>4305</v>
          </cell>
          <cell r="BH67">
            <v>2</v>
          </cell>
          <cell r="BI67">
            <v>2011</v>
          </cell>
          <cell r="BJ67">
            <v>0</v>
          </cell>
          <cell r="BK67">
            <v>0</v>
          </cell>
          <cell r="BL67">
            <v>0</v>
          </cell>
          <cell r="BM67">
            <v>0</v>
          </cell>
          <cell r="BN67">
            <v>1</v>
          </cell>
          <cell r="BO67">
            <v>519</v>
          </cell>
          <cell r="BP67">
            <v>2</v>
          </cell>
          <cell r="BQ67">
            <v>986</v>
          </cell>
          <cell r="BR67">
            <v>2</v>
          </cell>
          <cell r="BS67">
            <v>1800</v>
          </cell>
          <cell r="BT67">
            <v>2</v>
          </cell>
          <cell r="BU67">
            <v>1750</v>
          </cell>
          <cell r="BV67">
            <v>0</v>
          </cell>
          <cell r="BW67">
            <v>0</v>
          </cell>
          <cell r="BX67">
            <v>1</v>
          </cell>
          <cell r="BY67">
            <v>511</v>
          </cell>
        </row>
        <row r="68">
          <cell r="AW68" t="str">
            <v>Inter-Continental</v>
          </cell>
          <cell r="AX68">
            <v>244</v>
          </cell>
          <cell r="AY68">
            <v>29374</v>
          </cell>
          <cell r="AZ68">
            <v>0</v>
          </cell>
          <cell r="BA68">
            <v>0</v>
          </cell>
          <cell r="BB68">
            <v>1</v>
          </cell>
          <cell r="BC68">
            <v>300</v>
          </cell>
          <cell r="BD68">
            <v>0</v>
          </cell>
          <cell r="BE68">
            <v>0</v>
          </cell>
          <cell r="BF68">
            <v>1</v>
          </cell>
          <cell r="BG68">
            <v>300</v>
          </cell>
          <cell r="BH68">
            <v>1</v>
          </cell>
          <cell r="BI68">
            <v>425</v>
          </cell>
          <cell r="BJ68">
            <v>0</v>
          </cell>
          <cell r="BK68">
            <v>0</v>
          </cell>
          <cell r="BL68">
            <v>0</v>
          </cell>
          <cell r="BM68">
            <v>0</v>
          </cell>
          <cell r="BN68">
            <v>1</v>
          </cell>
          <cell r="BO68">
            <v>300</v>
          </cell>
          <cell r="BP68">
            <v>1</v>
          </cell>
          <cell r="BQ68">
            <v>425</v>
          </cell>
          <cell r="BR68">
            <v>0</v>
          </cell>
          <cell r="BS68">
            <v>0</v>
          </cell>
          <cell r="BT68">
            <v>0</v>
          </cell>
          <cell r="BU68">
            <v>0</v>
          </cell>
          <cell r="BV68">
            <v>0</v>
          </cell>
          <cell r="BW68">
            <v>0</v>
          </cell>
          <cell r="BX68">
            <v>0</v>
          </cell>
          <cell r="BY68">
            <v>0</v>
          </cell>
        </row>
        <row r="69">
          <cell r="AW69" t="str">
            <v>Intown Suites</v>
          </cell>
          <cell r="AX69">
            <v>244</v>
          </cell>
          <cell r="AY69">
            <v>29374</v>
          </cell>
          <cell r="AZ69">
            <v>13</v>
          </cell>
          <cell r="BA69">
            <v>1575</v>
          </cell>
          <cell r="BB69">
            <v>2</v>
          </cell>
          <cell r="BC69">
            <v>241</v>
          </cell>
          <cell r="BD69">
            <v>5</v>
          </cell>
          <cell r="BE69">
            <v>605</v>
          </cell>
          <cell r="BF69">
            <v>7</v>
          </cell>
          <cell r="BG69">
            <v>846</v>
          </cell>
          <cell r="BH69">
            <v>1</v>
          </cell>
          <cell r="BI69">
            <v>121</v>
          </cell>
          <cell r="BJ69">
            <v>0</v>
          </cell>
          <cell r="BK69">
            <v>0</v>
          </cell>
          <cell r="BL69">
            <v>0</v>
          </cell>
          <cell r="BM69">
            <v>0</v>
          </cell>
          <cell r="BN69">
            <v>5</v>
          </cell>
          <cell r="BO69">
            <v>605</v>
          </cell>
          <cell r="BP69">
            <v>0</v>
          </cell>
          <cell r="BQ69">
            <v>0</v>
          </cell>
          <cell r="BR69">
            <v>1</v>
          </cell>
          <cell r="BS69">
            <v>121</v>
          </cell>
          <cell r="BT69">
            <v>0</v>
          </cell>
          <cell r="BU69">
            <v>0</v>
          </cell>
          <cell r="BV69">
            <v>0</v>
          </cell>
          <cell r="BW69">
            <v>0</v>
          </cell>
          <cell r="BX69">
            <v>0</v>
          </cell>
          <cell r="BY69">
            <v>0</v>
          </cell>
        </row>
        <row r="70">
          <cell r="AW70" t="str">
            <v>Jameson Inn</v>
          </cell>
          <cell r="AX70">
            <v>116</v>
          </cell>
          <cell r="AY70">
            <v>56290</v>
          </cell>
          <cell r="AZ70">
            <v>15</v>
          </cell>
          <cell r="BA70">
            <v>798</v>
          </cell>
          <cell r="BB70">
            <v>2</v>
          </cell>
          <cell r="BC70">
            <v>88</v>
          </cell>
          <cell r="BD70">
            <v>5</v>
          </cell>
          <cell r="BE70">
            <v>148</v>
          </cell>
          <cell r="BF70">
            <v>7</v>
          </cell>
          <cell r="BG70">
            <v>236</v>
          </cell>
          <cell r="BH70">
            <v>0</v>
          </cell>
          <cell r="BI70">
            <v>0</v>
          </cell>
          <cell r="BJ70">
            <v>1</v>
          </cell>
          <cell r="BK70">
            <v>293</v>
          </cell>
          <cell r="BL70">
            <v>5</v>
          </cell>
          <cell r="BM70">
            <v>1782</v>
          </cell>
          <cell r="BN70">
            <v>0</v>
          </cell>
          <cell r="BO70">
            <v>0</v>
          </cell>
          <cell r="BP70">
            <v>0</v>
          </cell>
          <cell r="BQ70">
            <v>0</v>
          </cell>
          <cell r="BR70">
            <v>0</v>
          </cell>
          <cell r="BS70">
            <v>0</v>
          </cell>
          <cell r="BT70">
            <v>0</v>
          </cell>
          <cell r="BU70">
            <v>0</v>
          </cell>
          <cell r="BV70">
            <v>0</v>
          </cell>
          <cell r="BW70">
            <v>0</v>
          </cell>
          <cell r="BX70">
            <v>0</v>
          </cell>
          <cell r="BY70">
            <v>0</v>
          </cell>
        </row>
        <row r="71">
          <cell r="AW71" t="str">
            <v>Key West Inn</v>
          </cell>
          <cell r="AX71">
            <v>12</v>
          </cell>
          <cell r="AY71">
            <v>4811</v>
          </cell>
          <cell r="AZ71">
            <v>0</v>
          </cell>
          <cell r="BA71">
            <v>0</v>
          </cell>
          <cell r="BB71">
            <v>1</v>
          </cell>
          <cell r="BC71">
            <v>44</v>
          </cell>
          <cell r="BD71">
            <v>0</v>
          </cell>
          <cell r="BE71">
            <v>0</v>
          </cell>
          <cell r="BF71">
            <v>1</v>
          </cell>
          <cell r="BG71">
            <v>44</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row>
        <row r="72">
          <cell r="AW72" t="str">
            <v>Knights Inn</v>
          </cell>
          <cell r="AX72">
            <v>11</v>
          </cell>
          <cell r="AY72">
            <v>554</v>
          </cell>
          <cell r="AZ72">
            <v>0</v>
          </cell>
          <cell r="BA72">
            <v>0</v>
          </cell>
          <cell r="BB72">
            <v>0</v>
          </cell>
          <cell r="BC72">
            <v>0</v>
          </cell>
          <cell r="BD72">
            <v>3</v>
          </cell>
          <cell r="BE72">
            <v>190</v>
          </cell>
          <cell r="BF72">
            <v>3</v>
          </cell>
          <cell r="BG72">
            <v>190</v>
          </cell>
          <cell r="BH72">
            <v>7</v>
          </cell>
          <cell r="BI72">
            <v>410</v>
          </cell>
          <cell r="BJ72">
            <v>5</v>
          </cell>
          <cell r="BK72">
            <v>604</v>
          </cell>
          <cell r="BL72">
            <v>12</v>
          </cell>
          <cell r="BM72">
            <v>1453</v>
          </cell>
          <cell r="BN72">
            <v>7</v>
          </cell>
          <cell r="BO72">
            <v>460</v>
          </cell>
          <cell r="BP72">
            <v>1</v>
          </cell>
          <cell r="BQ72">
            <v>50</v>
          </cell>
          <cell r="BR72">
            <v>0</v>
          </cell>
          <cell r="BS72">
            <v>0</v>
          </cell>
          <cell r="BT72">
            <v>0</v>
          </cell>
          <cell r="BU72">
            <v>0</v>
          </cell>
          <cell r="BV72">
            <v>0</v>
          </cell>
          <cell r="BW72">
            <v>0</v>
          </cell>
          <cell r="BX72">
            <v>0</v>
          </cell>
          <cell r="BY72">
            <v>0</v>
          </cell>
        </row>
        <row r="73">
          <cell r="AW73" t="str">
            <v>La Quinta Inn</v>
          </cell>
          <cell r="AX73">
            <v>108</v>
          </cell>
          <cell r="AY73">
            <v>5382</v>
          </cell>
          <cell r="AZ73">
            <v>1</v>
          </cell>
          <cell r="BA73">
            <v>72</v>
          </cell>
          <cell r="BB73">
            <v>4</v>
          </cell>
          <cell r="BC73">
            <v>440</v>
          </cell>
          <cell r="BD73">
            <v>14</v>
          </cell>
          <cell r="BE73">
            <v>1395</v>
          </cell>
          <cell r="BF73">
            <v>18</v>
          </cell>
          <cell r="BG73">
            <v>1835</v>
          </cell>
          <cell r="BH73">
            <v>0</v>
          </cell>
          <cell r="BI73">
            <v>0</v>
          </cell>
          <cell r="BJ73">
            <v>7</v>
          </cell>
          <cell r="BK73">
            <v>391</v>
          </cell>
          <cell r="BL73">
            <v>11</v>
          </cell>
          <cell r="BM73">
            <v>467</v>
          </cell>
          <cell r="BN73">
            <v>2</v>
          </cell>
          <cell r="BO73">
            <v>329</v>
          </cell>
          <cell r="BP73">
            <v>2</v>
          </cell>
          <cell r="BQ73">
            <v>445</v>
          </cell>
          <cell r="BR73">
            <v>0</v>
          </cell>
          <cell r="BS73">
            <v>0</v>
          </cell>
          <cell r="BT73">
            <v>0</v>
          </cell>
          <cell r="BU73">
            <v>0</v>
          </cell>
          <cell r="BV73">
            <v>0</v>
          </cell>
          <cell r="BW73">
            <v>0</v>
          </cell>
          <cell r="BX73">
            <v>0</v>
          </cell>
          <cell r="BY73">
            <v>0</v>
          </cell>
        </row>
        <row r="74">
          <cell r="AW74" t="str">
            <v xml:space="preserve">Le Meridien </v>
          </cell>
          <cell r="AX74">
            <v>17</v>
          </cell>
          <cell r="AY74">
            <v>845</v>
          </cell>
          <cell r="AZ74">
            <v>1</v>
          </cell>
          <cell r="BA74">
            <v>311</v>
          </cell>
          <cell r="BB74">
            <v>0</v>
          </cell>
          <cell r="BC74">
            <v>0</v>
          </cell>
          <cell r="BD74">
            <v>0</v>
          </cell>
          <cell r="BE74">
            <v>0</v>
          </cell>
          <cell r="BF74">
            <v>0</v>
          </cell>
          <cell r="BG74">
            <v>0</v>
          </cell>
          <cell r="BH74">
            <v>0</v>
          </cell>
          <cell r="BI74">
            <v>0</v>
          </cell>
          <cell r="BJ74">
            <v>1</v>
          </cell>
          <cell r="BK74">
            <v>44</v>
          </cell>
          <cell r="BL74">
            <v>1</v>
          </cell>
          <cell r="BM74">
            <v>44</v>
          </cell>
          <cell r="BN74">
            <v>0</v>
          </cell>
          <cell r="BO74">
            <v>0</v>
          </cell>
          <cell r="BP74">
            <v>0</v>
          </cell>
          <cell r="BQ74">
            <v>0</v>
          </cell>
          <cell r="BR74">
            <v>0</v>
          </cell>
          <cell r="BS74">
            <v>0</v>
          </cell>
          <cell r="BT74">
            <v>0</v>
          </cell>
          <cell r="BU74">
            <v>0</v>
          </cell>
          <cell r="BV74">
            <v>0</v>
          </cell>
          <cell r="BW74">
            <v>0</v>
          </cell>
          <cell r="BX74">
            <v>0</v>
          </cell>
          <cell r="BY74">
            <v>0</v>
          </cell>
        </row>
        <row r="75">
          <cell r="AW75" t="str">
            <v>Little America</v>
          </cell>
          <cell r="AX75">
            <v>234</v>
          </cell>
          <cell r="AY75">
            <v>18800</v>
          </cell>
          <cell r="AZ75">
            <v>1</v>
          </cell>
          <cell r="BA75">
            <v>775</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row>
        <row r="76">
          <cell r="AW76" t="str">
            <v>Loews Hotel</v>
          </cell>
          <cell r="AX76">
            <v>300</v>
          </cell>
          <cell r="AY76">
            <v>38839</v>
          </cell>
          <cell r="AZ76">
            <v>1</v>
          </cell>
          <cell r="BA76">
            <v>650</v>
          </cell>
          <cell r="BB76">
            <v>1</v>
          </cell>
          <cell r="BC76">
            <v>1000</v>
          </cell>
          <cell r="BD76">
            <v>1</v>
          </cell>
          <cell r="BE76">
            <v>390</v>
          </cell>
          <cell r="BF76">
            <v>2</v>
          </cell>
          <cell r="BG76">
            <v>1390</v>
          </cell>
          <cell r="BH76">
            <v>0</v>
          </cell>
          <cell r="BI76">
            <v>0</v>
          </cell>
          <cell r="BJ76">
            <v>1</v>
          </cell>
          <cell r="BK76">
            <v>127</v>
          </cell>
          <cell r="BL76">
            <v>2</v>
          </cell>
          <cell r="BM76">
            <v>199</v>
          </cell>
          <cell r="BN76">
            <v>1</v>
          </cell>
          <cell r="BO76">
            <v>1000</v>
          </cell>
          <cell r="BP76">
            <v>1</v>
          </cell>
          <cell r="BQ76">
            <v>390</v>
          </cell>
          <cell r="BR76">
            <v>0</v>
          </cell>
          <cell r="BS76">
            <v>0</v>
          </cell>
          <cell r="BT76">
            <v>0</v>
          </cell>
          <cell r="BU76">
            <v>0</v>
          </cell>
          <cell r="BV76">
            <v>0</v>
          </cell>
          <cell r="BW76">
            <v>0</v>
          </cell>
          <cell r="BX76">
            <v>0</v>
          </cell>
          <cell r="BY76">
            <v>0</v>
          </cell>
        </row>
        <row r="77">
          <cell r="AW77" t="str">
            <v>MainStay Suites</v>
          </cell>
          <cell r="AX77">
            <v>5</v>
          </cell>
          <cell r="AY77">
            <v>2217</v>
          </cell>
          <cell r="AZ77">
            <v>5</v>
          </cell>
          <cell r="BA77">
            <v>323</v>
          </cell>
          <cell r="BB77">
            <v>2</v>
          </cell>
          <cell r="BC77">
            <v>141</v>
          </cell>
          <cell r="BD77">
            <v>6</v>
          </cell>
          <cell r="BE77">
            <v>458</v>
          </cell>
          <cell r="BF77">
            <v>8</v>
          </cell>
          <cell r="BG77">
            <v>599</v>
          </cell>
          <cell r="BH77">
            <v>2</v>
          </cell>
          <cell r="BI77">
            <v>170</v>
          </cell>
          <cell r="BJ77">
            <v>1</v>
          </cell>
          <cell r="BK77">
            <v>311</v>
          </cell>
          <cell r="BL77">
            <v>1</v>
          </cell>
          <cell r="BM77">
            <v>311</v>
          </cell>
          <cell r="BN77">
            <v>3</v>
          </cell>
          <cell r="BO77">
            <v>214</v>
          </cell>
          <cell r="BP77">
            <v>1</v>
          </cell>
          <cell r="BQ77">
            <v>84</v>
          </cell>
          <cell r="BR77">
            <v>1</v>
          </cell>
          <cell r="BS77">
            <v>90</v>
          </cell>
          <cell r="BT77">
            <v>0</v>
          </cell>
          <cell r="BU77">
            <v>0</v>
          </cell>
          <cell r="BV77">
            <v>0</v>
          </cell>
          <cell r="BW77">
            <v>0</v>
          </cell>
          <cell r="BX77">
            <v>0</v>
          </cell>
          <cell r="BY77">
            <v>0</v>
          </cell>
        </row>
        <row r="78">
          <cell r="AW78" t="str">
            <v>Marriott Hotel</v>
          </cell>
          <cell r="AX78">
            <v>5</v>
          </cell>
          <cell r="AY78">
            <v>2053</v>
          </cell>
          <cell r="AZ78">
            <v>11</v>
          </cell>
          <cell r="BA78">
            <v>4035</v>
          </cell>
          <cell r="BB78">
            <v>19</v>
          </cell>
          <cell r="BC78">
            <v>6862</v>
          </cell>
          <cell r="BD78">
            <v>11</v>
          </cell>
          <cell r="BE78">
            <v>3511</v>
          </cell>
          <cell r="BF78">
            <v>30</v>
          </cell>
          <cell r="BG78">
            <v>10373</v>
          </cell>
          <cell r="BH78">
            <v>8</v>
          </cell>
          <cell r="BI78">
            <v>3047</v>
          </cell>
          <cell r="BJ78">
            <v>0</v>
          </cell>
          <cell r="BK78">
            <v>0</v>
          </cell>
          <cell r="BL78">
            <v>1</v>
          </cell>
          <cell r="BM78">
            <v>775</v>
          </cell>
          <cell r="BN78">
            <v>15</v>
          </cell>
          <cell r="BO78">
            <v>5767</v>
          </cell>
          <cell r="BP78">
            <v>13</v>
          </cell>
          <cell r="BQ78">
            <v>4566</v>
          </cell>
          <cell r="BR78">
            <v>2</v>
          </cell>
          <cell r="BS78">
            <v>1075</v>
          </cell>
          <cell r="BT78">
            <v>0</v>
          </cell>
          <cell r="BU78">
            <v>0</v>
          </cell>
          <cell r="BV78">
            <v>0</v>
          </cell>
          <cell r="BW78">
            <v>0</v>
          </cell>
          <cell r="BX78">
            <v>0</v>
          </cell>
          <cell r="BY78">
            <v>0</v>
          </cell>
        </row>
        <row r="79">
          <cell r="AW79" t="str">
            <v>Microtel Inn</v>
          </cell>
          <cell r="AX79">
            <v>14</v>
          </cell>
          <cell r="AY79">
            <v>5971</v>
          </cell>
          <cell r="AZ79">
            <v>40</v>
          </cell>
          <cell r="BA79">
            <v>2599</v>
          </cell>
          <cell r="BB79">
            <v>13</v>
          </cell>
          <cell r="BC79">
            <v>950</v>
          </cell>
          <cell r="BD79">
            <v>41</v>
          </cell>
          <cell r="BE79">
            <v>2820</v>
          </cell>
          <cell r="BF79">
            <v>54</v>
          </cell>
          <cell r="BG79">
            <v>3770</v>
          </cell>
          <cell r="BH79">
            <v>79</v>
          </cell>
          <cell r="BI79">
            <v>5611</v>
          </cell>
          <cell r="BJ79">
            <v>0</v>
          </cell>
          <cell r="BK79">
            <v>0</v>
          </cell>
          <cell r="BL79">
            <v>1</v>
          </cell>
          <cell r="BM79">
            <v>650</v>
          </cell>
          <cell r="BN79">
            <v>76</v>
          </cell>
          <cell r="BO79">
            <v>5124</v>
          </cell>
          <cell r="BP79">
            <v>22</v>
          </cell>
          <cell r="BQ79">
            <v>1950</v>
          </cell>
          <cell r="BR79">
            <v>0</v>
          </cell>
          <cell r="BS79">
            <v>0</v>
          </cell>
          <cell r="BT79">
            <v>0</v>
          </cell>
          <cell r="BU79">
            <v>0</v>
          </cell>
          <cell r="BV79">
            <v>0</v>
          </cell>
          <cell r="BW79">
            <v>0</v>
          </cell>
          <cell r="BX79">
            <v>0</v>
          </cell>
          <cell r="BY79">
            <v>0</v>
          </cell>
        </row>
        <row r="80">
          <cell r="AW80" t="str">
            <v>Motel 6</v>
          </cell>
          <cell r="AX80">
            <v>39</v>
          </cell>
          <cell r="AY80">
            <v>3411</v>
          </cell>
          <cell r="AZ80">
            <v>13</v>
          </cell>
          <cell r="BA80">
            <v>771</v>
          </cell>
          <cell r="BB80">
            <v>1</v>
          </cell>
          <cell r="BC80">
            <v>63</v>
          </cell>
          <cell r="BD80">
            <v>0</v>
          </cell>
          <cell r="BE80">
            <v>0</v>
          </cell>
          <cell r="BF80">
            <v>1</v>
          </cell>
          <cell r="BG80">
            <v>63</v>
          </cell>
          <cell r="BH80">
            <v>0</v>
          </cell>
          <cell r="BI80">
            <v>0</v>
          </cell>
          <cell r="BJ80">
            <v>2</v>
          </cell>
          <cell r="BK80">
            <v>127</v>
          </cell>
          <cell r="BL80">
            <v>5</v>
          </cell>
          <cell r="BM80">
            <v>323</v>
          </cell>
          <cell r="BN80">
            <v>0</v>
          </cell>
          <cell r="BO80">
            <v>0</v>
          </cell>
          <cell r="BP80">
            <v>0</v>
          </cell>
          <cell r="BQ80">
            <v>0</v>
          </cell>
          <cell r="BR80">
            <v>0</v>
          </cell>
          <cell r="BS80">
            <v>0</v>
          </cell>
          <cell r="BT80">
            <v>0</v>
          </cell>
          <cell r="BU80">
            <v>0</v>
          </cell>
          <cell r="BV80">
            <v>0</v>
          </cell>
          <cell r="BW80">
            <v>0</v>
          </cell>
          <cell r="BX80">
            <v>0</v>
          </cell>
          <cell r="BY80">
            <v>0</v>
          </cell>
        </row>
        <row r="81">
          <cell r="AW81" t="str">
            <v>Omni Hotel</v>
          </cell>
          <cell r="AX81">
            <v>281</v>
          </cell>
          <cell r="AY81">
            <v>115140</v>
          </cell>
          <cell r="AZ81">
            <v>0</v>
          </cell>
          <cell r="BA81">
            <v>0</v>
          </cell>
          <cell r="BB81">
            <v>1</v>
          </cell>
          <cell r="BC81">
            <v>362</v>
          </cell>
          <cell r="BD81">
            <v>2</v>
          </cell>
          <cell r="BE81">
            <v>1325</v>
          </cell>
          <cell r="BF81">
            <v>3</v>
          </cell>
          <cell r="BG81">
            <v>1687</v>
          </cell>
          <cell r="BH81">
            <v>0</v>
          </cell>
          <cell r="BI81">
            <v>0</v>
          </cell>
          <cell r="BJ81">
            <v>7</v>
          </cell>
          <cell r="BK81">
            <v>1965</v>
          </cell>
          <cell r="BL81">
            <v>10</v>
          </cell>
          <cell r="BM81">
            <v>3529</v>
          </cell>
          <cell r="BN81">
            <v>0</v>
          </cell>
          <cell r="BO81">
            <v>0</v>
          </cell>
          <cell r="BP81">
            <v>2</v>
          </cell>
          <cell r="BQ81">
            <v>1325</v>
          </cell>
          <cell r="BR81">
            <v>0</v>
          </cell>
          <cell r="BS81">
            <v>0</v>
          </cell>
          <cell r="BT81">
            <v>0</v>
          </cell>
          <cell r="BU81">
            <v>0</v>
          </cell>
          <cell r="BV81">
            <v>0</v>
          </cell>
          <cell r="BW81">
            <v>0</v>
          </cell>
          <cell r="BX81">
            <v>0</v>
          </cell>
          <cell r="BY81">
            <v>0</v>
          </cell>
        </row>
        <row r="82">
          <cell r="AW82" t="str">
            <v>Outrigger</v>
          </cell>
          <cell r="AX82">
            <v>240</v>
          </cell>
          <cell r="AY82">
            <v>17407</v>
          </cell>
          <cell r="AZ82">
            <v>0</v>
          </cell>
          <cell r="BA82">
            <v>0</v>
          </cell>
          <cell r="BB82">
            <v>0</v>
          </cell>
          <cell r="BC82">
            <v>0</v>
          </cell>
          <cell r="BD82">
            <v>0</v>
          </cell>
          <cell r="BE82">
            <v>0</v>
          </cell>
          <cell r="BF82">
            <v>0</v>
          </cell>
          <cell r="BG82">
            <v>0</v>
          </cell>
          <cell r="BH82">
            <v>0</v>
          </cell>
          <cell r="BI82">
            <v>0</v>
          </cell>
          <cell r="BJ82">
            <v>20</v>
          </cell>
          <cell r="BK82">
            <v>1261</v>
          </cell>
          <cell r="BL82">
            <v>41</v>
          </cell>
          <cell r="BM82">
            <v>2674</v>
          </cell>
          <cell r="BN82">
            <v>0</v>
          </cell>
          <cell r="BO82">
            <v>0</v>
          </cell>
          <cell r="BP82">
            <v>0</v>
          </cell>
          <cell r="BQ82">
            <v>0</v>
          </cell>
          <cell r="BR82">
            <v>0</v>
          </cell>
          <cell r="BS82">
            <v>0</v>
          </cell>
          <cell r="BT82">
            <v>0</v>
          </cell>
          <cell r="BU82">
            <v>0</v>
          </cell>
          <cell r="BV82">
            <v>0</v>
          </cell>
          <cell r="BW82">
            <v>0</v>
          </cell>
          <cell r="BX82">
            <v>0</v>
          </cell>
          <cell r="BY82">
            <v>0</v>
          </cell>
        </row>
        <row r="83">
          <cell r="AW83" t="str">
            <v>Park Inn</v>
          </cell>
          <cell r="AX83">
            <v>803</v>
          </cell>
          <cell r="AY83">
            <v>85048</v>
          </cell>
          <cell r="AZ83">
            <v>1</v>
          </cell>
          <cell r="BA83">
            <v>62</v>
          </cell>
          <cell r="BB83">
            <v>0</v>
          </cell>
          <cell r="BC83">
            <v>0</v>
          </cell>
          <cell r="BD83">
            <v>0</v>
          </cell>
          <cell r="BE83">
            <v>0</v>
          </cell>
          <cell r="BF83">
            <v>0</v>
          </cell>
          <cell r="BG83">
            <v>0</v>
          </cell>
          <cell r="BH83">
            <v>0</v>
          </cell>
          <cell r="BI83">
            <v>0</v>
          </cell>
          <cell r="BJ83">
            <v>8</v>
          </cell>
          <cell r="BK83">
            <v>403</v>
          </cell>
          <cell r="BL83">
            <v>13</v>
          </cell>
          <cell r="BM83">
            <v>721</v>
          </cell>
          <cell r="BN83">
            <v>0</v>
          </cell>
          <cell r="BO83">
            <v>0</v>
          </cell>
          <cell r="BP83">
            <v>0</v>
          </cell>
          <cell r="BQ83">
            <v>0</v>
          </cell>
          <cell r="BR83">
            <v>0</v>
          </cell>
          <cell r="BS83">
            <v>0</v>
          </cell>
          <cell r="BT83">
            <v>0</v>
          </cell>
          <cell r="BU83">
            <v>0</v>
          </cell>
          <cell r="BV83">
            <v>0</v>
          </cell>
          <cell r="BW83">
            <v>0</v>
          </cell>
          <cell r="BX83">
            <v>0</v>
          </cell>
          <cell r="BY83">
            <v>0</v>
          </cell>
        </row>
        <row r="84">
          <cell r="AW84" t="str">
            <v>Quality Inn</v>
          </cell>
          <cell r="AX84">
            <v>34</v>
          </cell>
          <cell r="AY84">
            <v>11826</v>
          </cell>
          <cell r="AZ84">
            <v>6</v>
          </cell>
          <cell r="BA84">
            <v>410</v>
          </cell>
          <cell r="BB84">
            <v>9</v>
          </cell>
          <cell r="BC84">
            <v>600</v>
          </cell>
          <cell r="BD84">
            <v>4</v>
          </cell>
          <cell r="BE84">
            <v>403</v>
          </cell>
          <cell r="BF84">
            <v>13</v>
          </cell>
          <cell r="BG84">
            <v>1003</v>
          </cell>
          <cell r="BH84">
            <v>6</v>
          </cell>
          <cell r="BI84">
            <v>460</v>
          </cell>
          <cell r="BJ84">
            <v>0</v>
          </cell>
          <cell r="BK84">
            <v>0</v>
          </cell>
          <cell r="BL84">
            <v>0</v>
          </cell>
          <cell r="BM84">
            <v>0</v>
          </cell>
          <cell r="BN84">
            <v>9</v>
          </cell>
          <cell r="BO84">
            <v>793</v>
          </cell>
          <cell r="BP84">
            <v>0</v>
          </cell>
          <cell r="BQ84">
            <v>0</v>
          </cell>
          <cell r="BR84">
            <v>0</v>
          </cell>
          <cell r="BS84">
            <v>0</v>
          </cell>
          <cell r="BT84">
            <v>0</v>
          </cell>
          <cell r="BU84">
            <v>0</v>
          </cell>
          <cell r="BV84">
            <v>0</v>
          </cell>
          <cell r="BW84">
            <v>0</v>
          </cell>
          <cell r="BX84">
            <v>0</v>
          </cell>
          <cell r="BY84">
            <v>0</v>
          </cell>
        </row>
        <row r="85">
          <cell r="AW85" t="str">
            <v>Quality Suites</v>
          </cell>
          <cell r="AX85">
            <v>11</v>
          </cell>
          <cell r="AY85">
            <v>3791</v>
          </cell>
          <cell r="AZ85">
            <v>4</v>
          </cell>
          <cell r="BA85">
            <v>335</v>
          </cell>
          <cell r="BB85">
            <v>4</v>
          </cell>
          <cell r="BC85">
            <v>297</v>
          </cell>
          <cell r="BD85">
            <v>0</v>
          </cell>
          <cell r="BE85">
            <v>0</v>
          </cell>
          <cell r="BF85">
            <v>4</v>
          </cell>
          <cell r="BG85">
            <v>297</v>
          </cell>
          <cell r="BH85">
            <v>1</v>
          </cell>
          <cell r="BI85">
            <v>90</v>
          </cell>
          <cell r="BJ85">
            <v>0</v>
          </cell>
          <cell r="BK85">
            <v>0</v>
          </cell>
          <cell r="BL85">
            <v>0</v>
          </cell>
          <cell r="BM85">
            <v>0</v>
          </cell>
          <cell r="BN85">
            <v>1</v>
          </cell>
          <cell r="BO85">
            <v>90</v>
          </cell>
          <cell r="BP85">
            <v>0</v>
          </cell>
          <cell r="BQ85">
            <v>0</v>
          </cell>
          <cell r="BR85">
            <v>0</v>
          </cell>
          <cell r="BS85">
            <v>0</v>
          </cell>
          <cell r="BT85">
            <v>0</v>
          </cell>
          <cell r="BU85">
            <v>0</v>
          </cell>
          <cell r="BV85">
            <v>0</v>
          </cell>
          <cell r="BW85">
            <v>0</v>
          </cell>
          <cell r="BX85">
            <v>0</v>
          </cell>
          <cell r="BY85">
            <v>0</v>
          </cell>
        </row>
        <row r="86">
          <cell r="AW86" t="str">
            <v>Radisson Hotel</v>
          </cell>
          <cell r="AX86">
            <v>24</v>
          </cell>
          <cell r="AY86">
            <v>2284</v>
          </cell>
          <cell r="AZ86">
            <v>1</v>
          </cell>
          <cell r="BA86">
            <v>119</v>
          </cell>
          <cell r="BB86">
            <v>4</v>
          </cell>
          <cell r="BC86">
            <v>914</v>
          </cell>
          <cell r="BD86">
            <v>2</v>
          </cell>
          <cell r="BE86">
            <v>496</v>
          </cell>
          <cell r="BF86">
            <v>6</v>
          </cell>
          <cell r="BG86">
            <v>1410</v>
          </cell>
          <cell r="BH86">
            <v>5</v>
          </cell>
          <cell r="BI86">
            <v>981</v>
          </cell>
          <cell r="BJ86">
            <v>0</v>
          </cell>
          <cell r="BK86">
            <v>0</v>
          </cell>
          <cell r="BL86">
            <v>1</v>
          </cell>
          <cell r="BM86">
            <v>62</v>
          </cell>
          <cell r="BN86">
            <v>1</v>
          </cell>
          <cell r="BO86">
            <v>402</v>
          </cell>
          <cell r="BP86">
            <v>7</v>
          </cell>
          <cell r="BQ86">
            <v>1477</v>
          </cell>
          <cell r="BR86">
            <v>0</v>
          </cell>
          <cell r="BS86">
            <v>0</v>
          </cell>
          <cell r="BT86">
            <v>0</v>
          </cell>
          <cell r="BU86">
            <v>0</v>
          </cell>
          <cell r="BV86">
            <v>0</v>
          </cell>
          <cell r="BW86">
            <v>0</v>
          </cell>
          <cell r="BX86">
            <v>0</v>
          </cell>
          <cell r="BY86">
            <v>0</v>
          </cell>
        </row>
        <row r="87">
          <cell r="AW87" t="str">
            <v>Ramada Inn</v>
          </cell>
          <cell r="AX87">
            <v>411</v>
          </cell>
          <cell r="AY87">
            <v>46768</v>
          </cell>
          <cell r="AZ87">
            <v>3</v>
          </cell>
          <cell r="BA87">
            <v>478</v>
          </cell>
          <cell r="BB87">
            <v>3</v>
          </cell>
          <cell r="BC87">
            <v>352</v>
          </cell>
          <cell r="BD87">
            <v>3</v>
          </cell>
          <cell r="BE87">
            <v>540</v>
          </cell>
          <cell r="BF87">
            <v>6</v>
          </cell>
          <cell r="BG87">
            <v>892</v>
          </cell>
          <cell r="BH87">
            <v>4</v>
          </cell>
          <cell r="BI87">
            <v>898</v>
          </cell>
          <cell r="BJ87">
            <v>1</v>
          </cell>
          <cell r="BK87">
            <v>84</v>
          </cell>
          <cell r="BL87">
            <v>5</v>
          </cell>
          <cell r="BM87">
            <v>373</v>
          </cell>
          <cell r="BN87">
            <v>5</v>
          </cell>
          <cell r="BO87">
            <v>770</v>
          </cell>
          <cell r="BP87">
            <v>3</v>
          </cell>
          <cell r="BQ87">
            <v>798</v>
          </cell>
          <cell r="BR87">
            <v>0</v>
          </cell>
          <cell r="BS87">
            <v>0</v>
          </cell>
          <cell r="BT87">
            <v>0</v>
          </cell>
          <cell r="BU87">
            <v>0</v>
          </cell>
          <cell r="BV87">
            <v>0</v>
          </cell>
          <cell r="BW87">
            <v>0</v>
          </cell>
          <cell r="BX87">
            <v>0</v>
          </cell>
          <cell r="BY87">
            <v>0</v>
          </cell>
        </row>
        <row r="88">
          <cell r="AW88" t="str">
            <v>Ramada Limited</v>
          </cell>
          <cell r="AX88">
            <v>41</v>
          </cell>
          <cell r="AY88">
            <v>4492</v>
          </cell>
          <cell r="AZ88">
            <v>9</v>
          </cell>
          <cell r="BA88">
            <v>530</v>
          </cell>
          <cell r="BB88">
            <v>3</v>
          </cell>
          <cell r="BC88">
            <v>220</v>
          </cell>
          <cell r="BD88">
            <v>4</v>
          </cell>
          <cell r="BE88">
            <v>363</v>
          </cell>
          <cell r="BF88">
            <v>7</v>
          </cell>
          <cell r="BG88">
            <v>583</v>
          </cell>
          <cell r="BH88">
            <v>5</v>
          </cell>
          <cell r="BI88">
            <v>730</v>
          </cell>
          <cell r="BJ88">
            <v>2</v>
          </cell>
          <cell r="BK88">
            <v>213</v>
          </cell>
          <cell r="BL88">
            <v>4</v>
          </cell>
          <cell r="BM88">
            <v>330</v>
          </cell>
          <cell r="BN88">
            <v>4</v>
          </cell>
          <cell r="BO88">
            <v>318</v>
          </cell>
          <cell r="BP88">
            <v>3</v>
          </cell>
          <cell r="BQ88">
            <v>620</v>
          </cell>
          <cell r="BR88">
            <v>0</v>
          </cell>
          <cell r="BS88">
            <v>0</v>
          </cell>
          <cell r="BT88">
            <v>0</v>
          </cell>
          <cell r="BU88">
            <v>0</v>
          </cell>
          <cell r="BV88">
            <v>0</v>
          </cell>
          <cell r="BW88">
            <v>0</v>
          </cell>
          <cell r="BX88">
            <v>0</v>
          </cell>
          <cell r="BY88">
            <v>0</v>
          </cell>
        </row>
        <row r="89">
          <cell r="AW89" t="str">
            <v>Ramada Plaza</v>
          </cell>
          <cell r="AX89">
            <v>242</v>
          </cell>
          <cell r="AY89">
            <v>58705</v>
          </cell>
          <cell r="AZ89">
            <v>0</v>
          </cell>
          <cell r="BA89">
            <v>0</v>
          </cell>
          <cell r="BB89">
            <v>0</v>
          </cell>
          <cell r="BC89">
            <v>0</v>
          </cell>
          <cell r="BD89">
            <v>0</v>
          </cell>
          <cell r="BE89">
            <v>0</v>
          </cell>
          <cell r="BF89">
            <v>0</v>
          </cell>
          <cell r="BG89">
            <v>0</v>
          </cell>
          <cell r="BH89">
            <v>0</v>
          </cell>
          <cell r="BI89">
            <v>0</v>
          </cell>
          <cell r="BJ89">
            <v>1</v>
          </cell>
          <cell r="BK89">
            <v>205</v>
          </cell>
          <cell r="BL89">
            <v>2</v>
          </cell>
          <cell r="BM89">
            <v>324</v>
          </cell>
          <cell r="BN89">
            <v>0</v>
          </cell>
          <cell r="BO89">
            <v>0</v>
          </cell>
          <cell r="BP89">
            <v>0</v>
          </cell>
          <cell r="BQ89">
            <v>0</v>
          </cell>
          <cell r="BR89">
            <v>0</v>
          </cell>
          <cell r="BS89">
            <v>0</v>
          </cell>
          <cell r="BT89">
            <v>0</v>
          </cell>
          <cell r="BU89">
            <v>0</v>
          </cell>
          <cell r="BV89">
            <v>0</v>
          </cell>
          <cell r="BW89">
            <v>0</v>
          </cell>
          <cell r="BX89">
            <v>0</v>
          </cell>
          <cell r="BY89">
            <v>0</v>
          </cell>
        </row>
        <row r="90">
          <cell r="AW90" t="str">
            <v>Red Lion</v>
          </cell>
          <cell r="AX90">
            <v>632</v>
          </cell>
          <cell r="AY90">
            <v>95809</v>
          </cell>
          <cell r="AZ90">
            <v>0</v>
          </cell>
          <cell r="BA90">
            <v>0</v>
          </cell>
          <cell r="BB90">
            <v>0</v>
          </cell>
          <cell r="BC90">
            <v>0</v>
          </cell>
          <cell r="BD90">
            <v>0</v>
          </cell>
          <cell r="BE90">
            <v>0</v>
          </cell>
          <cell r="BF90">
            <v>0</v>
          </cell>
          <cell r="BG90">
            <v>0</v>
          </cell>
          <cell r="BH90">
            <v>0</v>
          </cell>
          <cell r="BI90">
            <v>0</v>
          </cell>
          <cell r="BJ90">
            <v>0</v>
          </cell>
          <cell r="BK90">
            <v>0</v>
          </cell>
          <cell r="BL90">
            <v>3</v>
          </cell>
          <cell r="BM90">
            <v>478</v>
          </cell>
          <cell r="BN90">
            <v>0</v>
          </cell>
          <cell r="BO90">
            <v>0</v>
          </cell>
          <cell r="BP90">
            <v>0</v>
          </cell>
          <cell r="BQ90">
            <v>0</v>
          </cell>
          <cell r="BR90">
            <v>0</v>
          </cell>
          <cell r="BS90">
            <v>0</v>
          </cell>
          <cell r="BT90">
            <v>0</v>
          </cell>
          <cell r="BU90">
            <v>0</v>
          </cell>
          <cell r="BV90">
            <v>0</v>
          </cell>
          <cell r="BW90">
            <v>0</v>
          </cell>
          <cell r="BX90">
            <v>0</v>
          </cell>
          <cell r="BY90">
            <v>0</v>
          </cell>
        </row>
        <row r="91">
          <cell r="AW91" t="str">
            <v>Red Roof Inn</v>
          </cell>
          <cell r="AX91">
            <v>378</v>
          </cell>
          <cell r="AY91">
            <v>27863</v>
          </cell>
          <cell r="AZ91">
            <v>11</v>
          </cell>
          <cell r="BA91">
            <v>697</v>
          </cell>
          <cell r="BB91">
            <v>4</v>
          </cell>
          <cell r="BC91">
            <v>430</v>
          </cell>
          <cell r="BD91">
            <v>0</v>
          </cell>
          <cell r="BE91">
            <v>0</v>
          </cell>
          <cell r="BF91">
            <v>4</v>
          </cell>
          <cell r="BG91">
            <v>430</v>
          </cell>
          <cell r="BH91">
            <v>1</v>
          </cell>
          <cell r="BI91">
            <v>100</v>
          </cell>
          <cell r="BJ91">
            <v>3</v>
          </cell>
          <cell r="BK91">
            <v>163</v>
          </cell>
          <cell r="BL91">
            <v>8</v>
          </cell>
          <cell r="BM91">
            <v>458</v>
          </cell>
          <cell r="BN91">
            <v>1</v>
          </cell>
          <cell r="BO91">
            <v>163</v>
          </cell>
          <cell r="BP91">
            <v>1</v>
          </cell>
          <cell r="BQ91">
            <v>100</v>
          </cell>
          <cell r="BR91">
            <v>0</v>
          </cell>
          <cell r="BS91">
            <v>0</v>
          </cell>
          <cell r="BT91">
            <v>0</v>
          </cell>
          <cell r="BU91">
            <v>0</v>
          </cell>
          <cell r="BV91">
            <v>0</v>
          </cell>
          <cell r="BW91">
            <v>0</v>
          </cell>
          <cell r="BX91">
            <v>0</v>
          </cell>
          <cell r="BY91">
            <v>0</v>
          </cell>
        </row>
        <row r="92">
          <cell r="AW92" t="str">
            <v>Renaissance Hotel</v>
          </cell>
          <cell r="AX92">
            <v>378</v>
          </cell>
          <cell r="AY92">
            <v>27863</v>
          </cell>
          <cell r="AZ92">
            <v>6</v>
          </cell>
          <cell r="BA92">
            <v>1468</v>
          </cell>
          <cell r="BB92">
            <v>10</v>
          </cell>
          <cell r="BC92">
            <v>3168</v>
          </cell>
          <cell r="BD92">
            <v>5</v>
          </cell>
          <cell r="BE92">
            <v>1315</v>
          </cell>
          <cell r="BF92">
            <v>15</v>
          </cell>
          <cell r="BG92">
            <v>4483</v>
          </cell>
          <cell r="BH92">
            <v>1</v>
          </cell>
          <cell r="BI92">
            <v>211</v>
          </cell>
          <cell r="BJ92">
            <v>0</v>
          </cell>
          <cell r="BK92">
            <v>0</v>
          </cell>
          <cell r="BL92">
            <v>0</v>
          </cell>
          <cell r="BM92">
            <v>0</v>
          </cell>
          <cell r="BN92">
            <v>4</v>
          </cell>
          <cell r="BO92">
            <v>933</v>
          </cell>
          <cell r="BP92">
            <v>5</v>
          </cell>
          <cell r="BQ92">
            <v>2059</v>
          </cell>
          <cell r="BR92">
            <v>0</v>
          </cell>
          <cell r="BS92">
            <v>0</v>
          </cell>
          <cell r="BT92">
            <v>0</v>
          </cell>
          <cell r="BU92">
            <v>0</v>
          </cell>
          <cell r="BV92">
            <v>0</v>
          </cell>
          <cell r="BW92">
            <v>0</v>
          </cell>
          <cell r="BX92">
            <v>0</v>
          </cell>
          <cell r="BY92">
            <v>0</v>
          </cell>
        </row>
        <row r="93">
          <cell r="AW93" t="str">
            <v>Residence Inn</v>
          </cell>
          <cell r="AX93">
            <v>94</v>
          </cell>
          <cell r="AY93">
            <v>6289</v>
          </cell>
          <cell r="AZ93">
            <v>33</v>
          </cell>
          <cell r="BA93">
            <v>3907</v>
          </cell>
          <cell r="BB93">
            <v>35</v>
          </cell>
          <cell r="BC93">
            <v>4754</v>
          </cell>
          <cell r="BD93">
            <v>34</v>
          </cell>
          <cell r="BE93">
            <v>4328</v>
          </cell>
          <cell r="BF93">
            <v>69</v>
          </cell>
          <cell r="BG93">
            <v>9082</v>
          </cell>
          <cell r="BH93">
            <v>19</v>
          </cell>
          <cell r="BI93">
            <v>2980</v>
          </cell>
          <cell r="BJ93">
            <v>1</v>
          </cell>
          <cell r="BK93">
            <v>28</v>
          </cell>
          <cell r="BL93">
            <v>1</v>
          </cell>
          <cell r="BM93">
            <v>28</v>
          </cell>
          <cell r="BN93">
            <v>19</v>
          </cell>
          <cell r="BO93">
            <v>2436</v>
          </cell>
          <cell r="BP93">
            <v>22</v>
          </cell>
          <cell r="BQ93">
            <v>3638</v>
          </cell>
          <cell r="BR93">
            <v>1</v>
          </cell>
          <cell r="BS93">
            <v>208</v>
          </cell>
          <cell r="BT93">
            <v>0</v>
          </cell>
          <cell r="BU93">
            <v>0</v>
          </cell>
          <cell r="BV93">
            <v>0</v>
          </cell>
          <cell r="BW93">
            <v>0</v>
          </cell>
          <cell r="BX93">
            <v>0</v>
          </cell>
          <cell r="BY93">
            <v>0</v>
          </cell>
        </row>
        <row r="94">
          <cell r="AW94" t="str">
            <v>Ritz-Carlton</v>
          </cell>
          <cell r="AX94">
            <v>41</v>
          </cell>
          <cell r="AY94">
            <v>6334</v>
          </cell>
          <cell r="AZ94">
            <v>5</v>
          </cell>
          <cell r="BA94">
            <v>1696</v>
          </cell>
          <cell r="BB94">
            <v>10</v>
          </cell>
          <cell r="BC94">
            <v>2887</v>
          </cell>
          <cell r="BD94">
            <v>0</v>
          </cell>
          <cell r="BE94">
            <v>0</v>
          </cell>
          <cell r="BF94">
            <v>10</v>
          </cell>
          <cell r="BG94">
            <v>2887</v>
          </cell>
          <cell r="BH94">
            <v>1</v>
          </cell>
          <cell r="BI94">
            <v>308</v>
          </cell>
          <cell r="BJ94">
            <v>0</v>
          </cell>
          <cell r="BK94">
            <v>0</v>
          </cell>
          <cell r="BL94">
            <v>0</v>
          </cell>
          <cell r="BM94">
            <v>0</v>
          </cell>
          <cell r="BN94">
            <v>2</v>
          </cell>
          <cell r="BO94">
            <v>934</v>
          </cell>
          <cell r="BP94">
            <v>1</v>
          </cell>
          <cell r="BQ94">
            <v>308</v>
          </cell>
          <cell r="BR94">
            <v>0</v>
          </cell>
          <cell r="BS94">
            <v>0</v>
          </cell>
          <cell r="BT94">
            <v>0</v>
          </cell>
          <cell r="BU94">
            <v>0</v>
          </cell>
          <cell r="BV94">
            <v>0</v>
          </cell>
          <cell r="BW94">
            <v>0</v>
          </cell>
          <cell r="BX94">
            <v>0</v>
          </cell>
          <cell r="BY94">
            <v>0</v>
          </cell>
        </row>
        <row r="95">
          <cell r="AW95" t="str">
            <v>Rodeway Inn</v>
          </cell>
          <cell r="AX95">
            <v>357</v>
          </cell>
          <cell r="AY95">
            <v>39677</v>
          </cell>
          <cell r="AZ95">
            <v>0</v>
          </cell>
          <cell r="BA95">
            <v>0</v>
          </cell>
          <cell r="BB95">
            <v>1</v>
          </cell>
          <cell r="BC95">
            <v>62</v>
          </cell>
          <cell r="BD95">
            <v>0</v>
          </cell>
          <cell r="BE95">
            <v>0</v>
          </cell>
          <cell r="BF95">
            <v>1</v>
          </cell>
          <cell r="BG95">
            <v>62</v>
          </cell>
          <cell r="BH95">
            <v>0</v>
          </cell>
          <cell r="BI95">
            <v>0</v>
          </cell>
          <cell r="BJ95">
            <v>4</v>
          </cell>
          <cell r="BK95">
            <v>334</v>
          </cell>
          <cell r="BL95">
            <v>9</v>
          </cell>
          <cell r="BM95">
            <v>612</v>
          </cell>
          <cell r="BN95">
            <v>0</v>
          </cell>
          <cell r="BO95">
            <v>0</v>
          </cell>
          <cell r="BP95">
            <v>0</v>
          </cell>
          <cell r="BQ95">
            <v>0</v>
          </cell>
          <cell r="BR95">
            <v>0</v>
          </cell>
          <cell r="BS95">
            <v>0</v>
          </cell>
          <cell r="BT95">
            <v>0</v>
          </cell>
          <cell r="BU95">
            <v>0</v>
          </cell>
          <cell r="BV95">
            <v>0</v>
          </cell>
          <cell r="BW95">
            <v>0</v>
          </cell>
          <cell r="BX95">
            <v>0</v>
          </cell>
          <cell r="BY95">
            <v>0</v>
          </cell>
        </row>
        <row r="96">
          <cell r="AW96" t="str">
            <v>Scottish Inn</v>
          </cell>
          <cell r="AX96">
            <v>53</v>
          </cell>
          <cell r="AY96">
            <v>20933</v>
          </cell>
          <cell r="AZ96">
            <v>2</v>
          </cell>
          <cell r="BA96">
            <v>53</v>
          </cell>
          <cell r="BB96">
            <v>1</v>
          </cell>
          <cell r="BC96">
            <v>36</v>
          </cell>
          <cell r="BD96">
            <v>0</v>
          </cell>
          <cell r="BE96">
            <v>0</v>
          </cell>
          <cell r="BF96">
            <v>1</v>
          </cell>
          <cell r="BG96">
            <v>36</v>
          </cell>
          <cell r="BH96">
            <v>0</v>
          </cell>
          <cell r="BI96">
            <v>0</v>
          </cell>
          <cell r="BJ96">
            <v>4</v>
          </cell>
          <cell r="BK96">
            <v>1090</v>
          </cell>
          <cell r="BL96">
            <v>8</v>
          </cell>
          <cell r="BM96">
            <v>1988</v>
          </cell>
          <cell r="BN96">
            <v>0</v>
          </cell>
          <cell r="BO96">
            <v>0</v>
          </cell>
          <cell r="BP96">
            <v>0</v>
          </cell>
          <cell r="BQ96">
            <v>0</v>
          </cell>
          <cell r="BR96">
            <v>0</v>
          </cell>
          <cell r="BS96">
            <v>0</v>
          </cell>
          <cell r="BT96">
            <v>0</v>
          </cell>
          <cell r="BU96">
            <v>0</v>
          </cell>
          <cell r="BV96">
            <v>0</v>
          </cell>
          <cell r="BW96">
            <v>0</v>
          </cell>
          <cell r="BX96">
            <v>0</v>
          </cell>
          <cell r="BY96">
            <v>0</v>
          </cell>
        </row>
        <row r="97">
          <cell r="AW97" t="str">
            <v>Sheraton Hotel</v>
          </cell>
          <cell r="AX97">
            <v>372</v>
          </cell>
          <cell r="AY97">
            <v>43118</v>
          </cell>
          <cell r="AZ97">
            <v>3</v>
          </cell>
          <cell r="BA97">
            <v>1091</v>
          </cell>
          <cell r="BB97">
            <v>4</v>
          </cell>
          <cell r="BC97">
            <v>1200</v>
          </cell>
          <cell r="BD97">
            <v>0</v>
          </cell>
          <cell r="BE97">
            <v>0</v>
          </cell>
          <cell r="BF97">
            <v>4</v>
          </cell>
          <cell r="BG97">
            <v>1200</v>
          </cell>
          <cell r="BH97">
            <v>0</v>
          </cell>
          <cell r="BI97">
            <v>0</v>
          </cell>
          <cell r="BJ97">
            <v>18</v>
          </cell>
          <cell r="BK97">
            <v>2350</v>
          </cell>
          <cell r="BL97">
            <v>35</v>
          </cell>
          <cell r="BM97">
            <v>4283</v>
          </cell>
          <cell r="BN97">
            <v>2</v>
          </cell>
          <cell r="BO97">
            <v>913</v>
          </cell>
          <cell r="BP97">
            <v>0</v>
          </cell>
          <cell r="BQ97">
            <v>0</v>
          </cell>
          <cell r="BR97">
            <v>0</v>
          </cell>
          <cell r="BS97">
            <v>0</v>
          </cell>
          <cell r="BT97">
            <v>0</v>
          </cell>
          <cell r="BU97">
            <v>0</v>
          </cell>
          <cell r="BV97">
            <v>0</v>
          </cell>
          <cell r="BW97">
            <v>0</v>
          </cell>
          <cell r="BX97">
            <v>0</v>
          </cell>
          <cell r="BY97">
            <v>0</v>
          </cell>
        </row>
        <row r="98">
          <cell r="AW98" t="str">
            <v>Sheraton Inn</v>
          </cell>
          <cell r="AX98">
            <v>24</v>
          </cell>
          <cell r="AY98">
            <v>8542</v>
          </cell>
          <cell r="AZ98">
            <v>0</v>
          </cell>
          <cell r="BA98">
            <v>0</v>
          </cell>
          <cell r="BB98">
            <v>0</v>
          </cell>
          <cell r="BC98">
            <v>0</v>
          </cell>
          <cell r="BD98">
            <v>1</v>
          </cell>
          <cell r="BE98">
            <v>80</v>
          </cell>
          <cell r="BF98">
            <v>1</v>
          </cell>
          <cell r="BG98">
            <v>80</v>
          </cell>
          <cell r="BH98">
            <v>0</v>
          </cell>
          <cell r="BI98">
            <v>0</v>
          </cell>
          <cell r="BJ98">
            <v>1</v>
          </cell>
          <cell r="BK98">
            <v>269</v>
          </cell>
          <cell r="BL98">
            <v>4</v>
          </cell>
          <cell r="BM98">
            <v>1213</v>
          </cell>
          <cell r="BN98">
            <v>1</v>
          </cell>
          <cell r="BO98">
            <v>80</v>
          </cell>
          <cell r="BP98">
            <v>0</v>
          </cell>
          <cell r="BQ98">
            <v>0</v>
          </cell>
          <cell r="BR98">
            <v>0</v>
          </cell>
          <cell r="BS98">
            <v>0</v>
          </cell>
          <cell r="BT98">
            <v>0</v>
          </cell>
          <cell r="BU98">
            <v>0</v>
          </cell>
          <cell r="BV98">
            <v>0</v>
          </cell>
          <cell r="BW98">
            <v>0</v>
          </cell>
          <cell r="BX98">
            <v>0</v>
          </cell>
          <cell r="BY98">
            <v>0</v>
          </cell>
        </row>
        <row r="99">
          <cell r="AW99" t="str">
            <v>Shoney's Inn</v>
          </cell>
          <cell r="AX99">
            <v>150</v>
          </cell>
          <cell r="AY99">
            <v>9892</v>
          </cell>
          <cell r="AZ99">
            <v>0</v>
          </cell>
          <cell r="BA99">
            <v>0</v>
          </cell>
          <cell r="BB99">
            <v>0</v>
          </cell>
          <cell r="BC99">
            <v>0</v>
          </cell>
          <cell r="BD99">
            <v>1</v>
          </cell>
          <cell r="BE99">
            <v>38</v>
          </cell>
          <cell r="BF99">
            <v>1</v>
          </cell>
          <cell r="BG99">
            <v>38</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0</v>
          </cell>
          <cell r="BY99">
            <v>0</v>
          </cell>
        </row>
        <row r="100">
          <cell r="AW100" t="str">
            <v>Sleep Inn</v>
          </cell>
          <cell r="AX100">
            <v>122</v>
          </cell>
          <cell r="AY100">
            <v>5924</v>
          </cell>
          <cell r="AZ100">
            <v>26</v>
          </cell>
          <cell r="BA100">
            <v>1952</v>
          </cell>
          <cell r="BB100">
            <v>16</v>
          </cell>
          <cell r="BC100">
            <v>1142</v>
          </cell>
          <cell r="BD100">
            <v>21</v>
          </cell>
          <cell r="BE100">
            <v>1507</v>
          </cell>
          <cell r="BF100">
            <v>37</v>
          </cell>
          <cell r="BG100">
            <v>2649</v>
          </cell>
          <cell r="BH100">
            <v>11</v>
          </cell>
          <cell r="BI100">
            <v>754</v>
          </cell>
          <cell r="BJ100">
            <v>0</v>
          </cell>
          <cell r="BK100">
            <v>0</v>
          </cell>
          <cell r="BL100">
            <v>1</v>
          </cell>
          <cell r="BM100">
            <v>33</v>
          </cell>
          <cell r="BN100">
            <v>16</v>
          </cell>
          <cell r="BO100">
            <v>1144</v>
          </cell>
          <cell r="BP100">
            <v>0</v>
          </cell>
          <cell r="BQ100">
            <v>0</v>
          </cell>
          <cell r="BR100">
            <v>0</v>
          </cell>
          <cell r="BS100">
            <v>0</v>
          </cell>
          <cell r="BT100">
            <v>0</v>
          </cell>
          <cell r="BU100">
            <v>0</v>
          </cell>
          <cell r="BV100">
            <v>0</v>
          </cell>
          <cell r="BW100">
            <v>0</v>
          </cell>
          <cell r="BX100">
            <v>0</v>
          </cell>
          <cell r="BY100">
            <v>0</v>
          </cell>
        </row>
        <row r="101">
          <cell r="AW101" t="str">
            <v>SpringHill Suites</v>
          </cell>
          <cell r="AX101">
            <v>187</v>
          </cell>
          <cell r="AY101">
            <v>67786</v>
          </cell>
          <cell r="AZ101">
            <v>25</v>
          </cell>
          <cell r="BA101">
            <v>3337</v>
          </cell>
          <cell r="BB101">
            <v>20</v>
          </cell>
          <cell r="BC101">
            <v>2529</v>
          </cell>
          <cell r="BD101">
            <v>20</v>
          </cell>
          <cell r="BE101">
            <v>2648</v>
          </cell>
          <cell r="BF101">
            <v>40</v>
          </cell>
          <cell r="BG101">
            <v>5177</v>
          </cell>
          <cell r="BH101">
            <v>11</v>
          </cell>
          <cell r="BI101">
            <v>1706</v>
          </cell>
          <cell r="BJ101">
            <v>2</v>
          </cell>
          <cell r="BK101">
            <v>607</v>
          </cell>
          <cell r="BL101">
            <v>4</v>
          </cell>
          <cell r="BM101">
            <v>1195</v>
          </cell>
          <cell r="BN101">
            <v>8</v>
          </cell>
          <cell r="BO101">
            <v>819</v>
          </cell>
          <cell r="BP101">
            <v>20</v>
          </cell>
          <cell r="BQ101">
            <v>3233</v>
          </cell>
          <cell r="BR101">
            <v>0</v>
          </cell>
          <cell r="BS101">
            <v>0</v>
          </cell>
          <cell r="BT101">
            <v>0</v>
          </cell>
          <cell r="BU101">
            <v>0</v>
          </cell>
          <cell r="BV101">
            <v>0</v>
          </cell>
          <cell r="BW101">
            <v>0</v>
          </cell>
          <cell r="BX101">
            <v>0</v>
          </cell>
          <cell r="BY101">
            <v>0</v>
          </cell>
        </row>
        <row r="102">
          <cell r="AW102" t="str">
            <v>St. Regis</v>
          </cell>
          <cell r="AX102">
            <v>7</v>
          </cell>
          <cell r="AY102">
            <v>1417</v>
          </cell>
          <cell r="AZ102">
            <v>1</v>
          </cell>
          <cell r="BA102">
            <v>400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cell r="BT102">
            <v>0</v>
          </cell>
          <cell r="BU102">
            <v>0</v>
          </cell>
          <cell r="BV102">
            <v>0</v>
          </cell>
          <cell r="BW102">
            <v>0</v>
          </cell>
          <cell r="BX102">
            <v>0</v>
          </cell>
          <cell r="BY102">
            <v>0</v>
          </cell>
        </row>
        <row r="103">
          <cell r="AW103" t="str">
            <v>Staybridge Suites</v>
          </cell>
          <cell r="AX103">
            <v>74</v>
          </cell>
          <cell r="AY103">
            <v>6958</v>
          </cell>
          <cell r="AZ103">
            <v>16</v>
          </cell>
          <cell r="BA103">
            <v>1764</v>
          </cell>
          <cell r="BB103">
            <v>12</v>
          </cell>
          <cell r="BC103">
            <v>1288</v>
          </cell>
          <cell r="BD103">
            <v>14</v>
          </cell>
          <cell r="BE103">
            <v>1597</v>
          </cell>
          <cell r="BF103">
            <v>26</v>
          </cell>
          <cell r="BG103">
            <v>2885</v>
          </cell>
          <cell r="BH103">
            <v>9</v>
          </cell>
          <cell r="BI103">
            <v>1011</v>
          </cell>
          <cell r="BJ103">
            <v>0</v>
          </cell>
          <cell r="BK103">
            <v>0</v>
          </cell>
          <cell r="BL103">
            <v>0</v>
          </cell>
          <cell r="BM103">
            <v>0</v>
          </cell>
          <cell r="BN103">
            <v>12</v>
          </cell>
          <cell r="BO103">
            <v>1320</v>
          </cell>
          <cell r="BP103">
            <v>5</v>
          </cell>
          <cell r="BQ103">
            <v>634</v>
          </cell>
          <cell r="BR103">
            <v>0</v>
          </cell>
          <cell r="BS103">
            <v>0</v>
          </cell>
          <cell r="BT103">
            <v>0</v>
          </cell>
          <cell r="BU103">
            <v>0</v>
          </cell>
          <cell r="BV103">
            <v>0</v>
          </cell>
          <cell r="BW103">
            <v>0</v>
          </cell>
          <cell r="BX103">
            <v>0</v>
          </cell>
          <cell r="BY103">
            <v>0</v>
          </cell>
        </row>
        <row r="104">
          <cell r="AW104" t="str">
            <v>Studio 6</v>
          </cell>
          <cell r="AX104">
            <v>280</v>
          </cell>
          <cell r="AY104">
            <v>21607</v>
          </cell>
          <cell r="AZ104">
            <v>0</v>
          </cell>
          <cell r="BA104">
            <v>0</v>
          </cell>
          <cell r="BB104">
            <v>2</v>
          </cell>
          <cell r="BC104">
            <v>185</v>
          </cell>
          <cell r="BD104">
            <v>0</v>
          </cell>
          <cell r="BE104">
            <v>0</v>
          </cell>
          <cell r="BF104">
            <v>2</v>
          </cell>
          <cell r="BG104">
            <v>185</v>
          </cell>
          <cell r="BH104">
            <v>0</v>
          </cell>
          <cell r="BI104">
            <v>0</v>
          </cell>
          <cell r="BJ104">
            <v>16</v>
          </cell>
          <cell r="BK104">
            <v>1196</v>
          </cell>
          <cell r="BL104">
            <v>24</v>
          </cell>
          <cell r="BM104">
            <v>1799</v>
          </cell>
          <cell r="BN104">
            <v>0</v>
          </cell>
          <cell r="BO104">
            <v>0</v>
          </cell>
          <cell r="BP104">
            <v>0</v>
          </cell>
          <cell r="BQ104">
            <v>0</v>
          </cell>
          <cell r="BR104">
            <v>0</v>
          </cell>
          <cell r="BS104">
            <v>0</v>
          </cell>
          <cell r="BT104">
            <v>0</v>
          </cell>
          <cell r="BU104">
            <v>0</v>
          </cell>
          <cell r="BV104">
            <v>0</v>
          </cell>
          <cell r="BW104">
            <v>0</v>
          </cell>
          <cell r="BX104">
            <v>0</v>
          </cell>
          <cell r="BY104">
            <v>0</v>
          </cell>
        </row>
        <row r="105">
          <cell r="AW105" t="str">
            <v>StudioPlus Hotel</v>
          </cell>
          <cell r="AX105">
            <v>81</v>
          </cell>
          <cell r="AY105">
            <v>9065</v>
          </cell>
          <cell r="AZ105">
            <v>2</v>
          </cell>
          <cell r="BA105">
            <v>184</v>
          </cell>
          <cell r="BB105">
            <v>1</v>
          </cell>
          <cell r="BC105">
            <v>98</v>
          </cell>
          <cell r="BD105">
            <v>0</v>
          </cell>
          <cell r="BE105">
            <v>0</v>
          </cell>
          <cell r="BF105">
            <v>1</v>
          </cell>
          <cell r="BG105">
            <v>98</v>
          </cell>
          <cell r="BH105">
            <v>0</v>
          </cell>
          <cell r="BI105">
            <v>0</v>
          </cell>
          <cell r="BJ105">
            <v>8</v>
          </cell>
          <cell r="BK105">
            <v>1061</v>
          </cell>
          <cell r="BL105">
            <v>23</v>
          </cell>
          <cell r="BM105">
            <v>2940</v>
          </cell>
          <cell r="BN105">
            <v>0</v>
          </cell>
          <cell r="BO105">
            <v>0</v>
          </cell>
          <cell r="BP105">
            <v>0</v>
          </cell>
          <cell r="BQ105">
            <v>0</v>
          </cell>
          <cell r="BR105">
            <v>0</v>
          </cell>
          <cell r="BS105">
            <v>0</v>
          </cell>
          <cell r="BT105">
            <v>0</v>
          </cell>
          <cell r="BU105">
            <v>0</v>
          </cell>
          <cell r="BV105">
            <v>0</v>
          </cell>
          <cell r="BW105">
            <v>0</v>
          </cell>
          <cell r="BX105">
            <v>0</v>
          </cell>
          <cell r="BY105">
            <v>0</v>
          </cell>
        </row>
        <row r="106">
          <cell r="AW106" t="str">
            <v>Suburban Lodge</v>
          </cell>
          <cell r="AX106">
            <v>15</v>
          </cell>
          <cell r="AY106">
            <v>5137</v>
          </cell>
          <cell r="AZ106">
            <v>11</v>
          </cell>
          <cell r="BA106">
            <v>1387</v>
          </cell>
          <cell r="BB106">
            <v>0</v>
          </cell>
          <cell r="BC106">
            <v>0</v>
          </cell>
          <cell r="BD106">
            <v>2</v>
          </cell>
          <cell r="BE106">
            <v>280</v>
          </cell>
          <cell r="BF106">
            <v>2</v>
          </cell>
          <cell r="BG106">
            <v>280</v>
          </cell>
          <cell r="BH106">
            <v>0</v>
          </cell>
          <cell r="BI106">
            <v>0</v>
          </cell>
          <cell r="BJ106">
            <v>0</v>
          </cell>
          <cell r="BK106">
            <v>0</v>
          </cell>
          <cell r="BL106">
            <v>1</v>
          </cell>
          <cell r="BM106">
            <v>400</v>
          </cell>
          <cell r="BN106">
            <v>1</v>
          </cell>
          <cell r="BO106">
            <v>130</v>
          </cell>
          <cell r="BP106">
            <v>1</v>
          </cell>
          <cell r="BQ106">
            <v>150</v>
          </cell>
          <cell r="BR106">
            <v>0</v>
          </cell>
          <cell r="BS106">
            <v>0</v>
          </cell>
          <cell r="BT106">
            <v>0</v>
          </cell>
          <cell r="BU106">
            <v>0</v>
          </cell>
          <cell r="BV106">
            <v>0</v>
          </cell>
          <cell r="BW106">
            <v>0</v>
          </cell>
          <cell r="BX106">
            <v>0</v>
          </cell>
          <cell r="BY106">
            <v>0</v>
          </cell>
        </row>
        <row r="107">
          <cell r="AW107" t="str">
            <v>Summerfield Suites by Wyndham</v>
          </cell>
          <cell r="AX107">
            <v>36</v>
          </cell>
          <cell r="AY107">
            <v>4116</v>
          </cell>
          <cell r="AZ107">
            <v>0</v>
          </cell>
          <cell r="BA107">
            <v>0</v>
          </cell>
          <cell r="BB107">
            <v>0</v>
          </cell>
          <cell r="BC107">
            <v>0</v>
          </cell>
          <cell r="BD107">
            <v>0</v>
          </cell>
          <cell r="BE107">
            <v>0</v>
          </cell>
          <cell r="BF107">
            <v>0</v>
          </cell>
          <cell r="BG107">
            <v>0</v>
          </cell>
          <cell r="BH107">
            <v>0</v>
          </cell>
          <cell r="BI107">
            <v>0</v>
          </cell>
          <cell r="BJ107">
            <v>7</v>
          </cell>
          <cell r="BK107">
            <v>739</v>
          </cell>
          <cell r="BL107">
            <v>16</v>
          </cell>
          <cell r="BM107">
            <v>1748</v>
          </cell>
          <cell r="BN107">
            <v>0</v>
          </cell>
          <cell r="BO107">
            <v>0</v>
          </cell>
          <cell r="BP107">
            <v>0</v>
          </cell>
          <cell r="BQ107">
            <v>0</v>
          </cell>
          <cell r="BR107">
            <v>0</v>
          </cell>
          <cell r="BS107">
            <v>0</v>
          </cell>
          <cell r="BT107">
            <v>0</v>
          </cell>
          <cell r="BU107">
            <v>0</v>
          </cell>
          <cell r="BV107">
            <v>0</v>
          </cell>
          <cell r="BW107">
            <v>0</v>
          </cell>
          <cell r="BX107">
            <v>0</v>
          </cell>
          <cell r="BY107">
            <v>0</v>
          </cell>
        </row>
        <row r="108">
          <cell r="AW108" t="str">
            <v>Sun Suites</v>
          </cell>
          <cell r="AX108">
            <v>11</v>
          </cell>
          <cell r="AY108">
            <v>1253</v>
          </cell>
          <cell r="AZ108">
            <v>0</v>
          </cell>
          <cell r="BA108">
            <v>0</v>
          </cell>
          <cell r="BB108">
            <v>1</v>
          </cell>
          <cell r="BC108">
            <v>132</v>
          </cell>
          <cell r="BD108">
            <v>0</v>
          </cell>
          <cell r="BE108">
            <v>0</v>
          </cell>
          <cell r="BF108">
            <v>1</v>
          </cell>
          <cell r="BG108">
            <v>132</v>
          </cell>
          <cell r="BH108">
            <v>0</v>
          </cell>
          <cell r="BI108">
            <v>0</v>
          </cell>
          <cell r="BJ108">
            <v>1</v>
          </cell>
          <cell r="BK108">
            <v>61</v>
          </cell>
          <cell r="BL108">
            <v>1</v>
          </cell>
          <cell r="BM108">
            <v>61</v>
          </cell>
          <cell r="BN108">
            <v>0</v>
          </cell>
          <cell r="BO108">
            <v>0</v>
          </cell>
          <cell r="BP108">
            <v>0</v>
          </cell>
          <cell r="BQ108">
            <v>0</v>
          </cell>
          <cell r="BR108">
            <v>0</v>
          </cell>
          <cell r="BS108">
            <v>0</v>
          </cell>
          <cell r="BT108">
            <v>0</v>
          </cell>
          <cell r="BU108">
            <v>0</v>
          </cell>
          <cell r="BV108">
            <v>0</v>
          </cell>
          <cell r="BW108">
            <v>0</v>
          </cell>
          <cell r="BX108">
            <v>0</v>
          </cell>
          <cell r="BY108">
            <v>0</v>
          </cell>
        </row>
        <row r="109">
          <cell r="AW109" t="str">
            <v>Sunspree Resorts</v>
          </cell>
          <cell r="AX109">
            <v>95</v>
          </cell>
          <cell r="AY109">
            <v>7624</v>
          </cell>
          <cell r="AZ109">
            <v>0</v>
          </cell>
          <cell r="BA109">
            <v>0</v>
          </cell>
          <cell r="BB109">
            <v>0</v>
          </cell>
          <cell r="BC109">
            <v>0</v>
          </cell>
          <cell r="BD109">
            <v>0</v>
          </cell>
          <cell r="BE109">
            <v>0</v>
          </cell>
          <cell r="BF109">
            <v>0</v>
          </cell>
          <cell r="BG109">
            <v>0</v>
          </cell>
          <cell r="BH109">
            <v>0</v>
          </cell>
          <cell r="BI109">
            <v>0</v>
          </cell>
          <cell r="BJ109">
            <v>0</v>
          </cell>
          <cell r="BK109">
            <v>0</v>
          </cell>
          <cell r="BL109">
            <v>2</v>
          </cell>
          <cell r="BM109">
            <v>184</v>
          </cell>
          <cell r="BN109">
            <v>0</v>
          </cell>
          <cell r="BO109">
            <v>0</v>
          </cell>
          <cell r="BP109">
            <v>0</v>
          </cell>
          <cell r="BQ109">
            <v>0</v>
          </cell>
          <cell r="BR109">
            <v>0</v>
          </cell>
          <cell r="BS109">
            <v>0</v>
          </cell>
          <cell r="BT109">
            <v>0</v>
          </cell>
          <cell r="BU109">
            <v>0</v>
          </cell>
          <cell r="BV109">
            <v>0</v>
          </cell>
          <cell r="BW109">
            <v>0</v>
          </cell>
          <cell r="BX109">
            <v>0</v>
          </cell>
          <cell r="BY109">
            <v>0</v>
          </cell>
        </row>
        <row r="110">
          <cell r="AW110" t="str">
            <v>Super 8</v>
          </cell>
          <cell r="AX110">
            <v>122</v>
          </cell>
          <cell r="AY110">
            <v>16340</v>
          </cell>
          <cell r="AZ110">
            <v>41</v>
          </cell>
          <cell r="BA110">
            <v>1985</v>
          </cell>
          <cell r="BB110">
            <v>23</v>
          </cell>
          <cell r="BC110">
            <v>1320</v>
          </cell>
          <cell r="BD110">
            <v>53</v>
          </cell>
          <cell r="BE110">
            <v>3997</v>
          </cell>
          <cell r="BF110">
            <v>76</v>
          </cell>
          <cell r="BG110">
            <v>5317</v>
          </cell>
          <cell r="BH110">
            <v>29</v>
          </cell>
          <cell r="BI110">
            <v>2121</v>
          </cell>
          <cell r="BJ110">
            <v>1</v>
          </cell>
          <cell r="BK110">
            <v>137</v>
          </cell>
          <cell r="BL110">
            <v>9</v>
          </cell>
          <cell r="BM110">
            <v>1179</v>
          </cell>
          <cell r="BN110">
            <v>36</v>
          </cell>
          <cell r="BO110">
            <v>2632</v>
          </cell>
          <cell r="BP110">
            <v>3</v>
          </cell>
          <cell r="BQ110">
            <v>427</v>
          </cell>
          <cell r="BR110">
            <v>0</v>
          </cell>
          <cell r="BS110">
            <v>0</v>
          </cell>
          <cell r="BT110">
            <v>0</v>
          </cell>
          <cell r="BU110">
            <v>0</v>
          </cell>
          <cell r="BV110">
            <v>0</v>
          </cell>
          <cell r="BW110">
            <v>0</v>
          </cell>
          <cell r="BX110">
            <v>0</v>
          </cell>
          <cell r="BY110">
            <v>0</v>
          </cell>
        </row>
        <row r="111">
          <cell r="AW111" t="str">
            <v>Susse Chalet</v>
          </cell>
          <cell r="AX111">
            <v>38</v>
          </cell>
          <cell r="AY111">
            <v>5101</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cell r="BT111">
            <v>0</v>
          </cell>
          <cell r="BU111">
            <v>0</v>
          </cell>
          <cell r="BV111">
            <v>0</v>
          </cell>
          <cell r="BW111">
            <v>0</v>
          </cell>
          <cell r="BX111">
            <v>0</v>
          </cell>
          <cell r="BY111">
            <v>0</v>
          </cell>
        </row>
        <row r="112">
          <cell r="AW112" t="str">
            <v>ThriftLodge</v>
          </cell>
          <cell r="AX112">
            <v>27</v>
          </cell>
          <cell r="AY112">
            <v>3297</v>
          </cell>
          <cell r="AZ112">
            <v>0</v>
          </cell>
          <cell r="BA112">
            <v>0</v>
          </cell>
          <cell r="BB112">
            <v>0</v>
          </cell>
          <cell r="BC112">
            <v>0</v>
          </cell>
          <cell r="BD112">
            <v>0</v>
          </cell>
          <cell r="BE112">
            <v>0</v>
          </cell>
          <cell r="BF112">
            <v>0</v>
          </cell>
          <cell r="BG112">
            <v>0</v>
          </cell>
          <cell r="BH112">
            <v>0</v>
          </cell>
          <cell r="BI112">
            <v>0</v>
          </cell>
          <cell r="BJ112">
            <v>1</v>
          </cell>
          <cell r="BK112">
            <v>132</v>
          </cell>
          <cell r="BL112">
            <v>1</v>
          </cell>
          <cell r="BM112">
            <v>132</v>
          </cell>
          <cell r="BN112">
            <v>0</v>
          </cell>
          <cell r="BO112">
            <v>0</v>
          </cell>
          <cell r="BP112">
            <v>0</v>
          </cell>
          <cell r="BQ112">
            <v>0</v>
          </cell>
          <cell r="BR112">
            <v>0</v>
          </cell>
          <cell r="BS112">
            <v>0</v>
          </cell>
          <cell r="BT112">
            <v>0</v>
          </cell>
          <cell r="BU112">
            <v>0</v>
          </cell>
          <cell r="BV112">
            <v>0</v>
          </cell>
          <cell r="BW112">
            <v>0</v>
          </cell>
          <cell r="BX112">
            <v>0</v>
          </cell>
          <cell r="BY112">
            <v>0</v>
          </cell>
        </row>
        <row r="113">
          <cell r="AW113" t="str">
            <v>TownePlace Suites</v>
          </cell>
          <cell r="AX113">
            <v>19</v>
          </cell>
          <cell r="AY113">
            <v>4242</v>
          </cell>
          <cell r="AZ113">
            <v>15</v>
          </cell>
          <cell r="BA113">
            <v>1677</v>
          </cell>
          <cell r="BB113">
            <v>3</v>
          </cell>
          <cell r="BC113">
            <v>317</v>
          </cell>
          <cell r="BD113">
            <v>4</v>
          </cell>
          <cell r="BE113">
            <v>418</v>
          </cell>
          <cell r="BF113">
            <v>7</v>
          </cell>
          <cell r="BG113">
            <v>735</v>
          </cell>
          <cell r="BH113">
            <v>4</v>
          </cell>
          <cell r="BI113">
            <v>403</v>
          </cell>
          <cell r="BJ113">
            <v>0</v>
          </cell>
          <cell r="BK113">
            <v>0</v>
          </cell>
          <cell r="BL113">
            <v>0</v>
          </cell>
          <cell r="BM113">
            <v>0</v>
          </cell>
          <cell r="BN113">
            <v>6</v>
          </cell>
          <cell r="BO113">
            <v>562</v>
          </cell>
          <cell r="BP113">
            <v>2</v>
          </cell>
          <cell r="BQ113">
            <v>259</v>
          </cell>
          <cell r="BR113">
            <v>0</v>
          </cell>
          <cell r="BS113">
            <v>0</v>
          </cell>
          <cell r="BT113">
            <v>0</v>
          </cell>
          <cell r="BU113">
            <v>0</v>
          </cell>
          <cell r="BV113">
            <v>0</v>
          </cell>
          <cell r="BW113">
            <v>0</v>
          </cell>
          <cell r="BX113">
            <v>0</v>
          </cell>
          <cell r="BY113">
            <v>0</v>
          </cell>
        </row>
        <row r="114">
          <cell r="AW114" t="str">
            <v>Travelodge</v>
          </cell>
          <cell r="AX114">
            <v>1944</v>
          </cell>
          <cell r="AY114">
            <v>117792</v>
          </cell>
          <cell r="AZ114">
            <v>5</v>
          </cell>
          <cell r="BA114">
            <v>348</v>
          </cell>
          <cell r="BB114">
            <v>0</v>
          </cell>
          <cell r="BC114">
            <v>0</v>
          </cell>
          <cell r="BD114">
            <v>12</v>
          </cell>
          <cell r="BE114">
            <v>1026</v>
          </cell>
          <cell r="BF114">
            <v>12</v>
          </cell>
          <cell r="BG114">
            <v>1026</v>
          </cell>
          <cell r="BH114">
            <v>15</v>
          </cell>
          <cell r="BI114">
            <v>1797</v>
          </cell>
          <cell r="BJ114">
            <v>28</v>
          </cell>
          <cell r="BK114">
            <v>1404</v>
          </cell>
          <cell r="BL114">
            <v>41</v>
          </cell>
          <cell r="BM114">
            <v>1981</v>
          </cell>
          <cell r="BN114">
            <v>13</v>
          </cell>
          <cell r="BO114">
            <v>1174</v>
          </cell>
          <cell r="BP114">
            <v>6</v>
          </cell>
          <cell r="BQ114">
            <v>934</v>
          </cell>
          <cell r="BR114">
            <v>0</v>
          </cell>
          <cell r="BS114">
            <v>0</v>
          </cell>
          <cell r="BT114">
            <v>0</v>
          </cell>
          <cell r="BU114">
            <v>0</v>
          </cell>
          <cell r="BV114">
            <v>0</v>
          </cell>
          <cell r="BW114">
            <v>0</v>
          </cell>
          <cell r="BX114">
            <v>0</v>
          </cell>
          <cell r="BY114">
            <v>0</v>
          </cell>
        </row>
        <row r="115">
          <cell r="AW115" t="str">
            <v>Villager Lodge</v>
          </cell>
          <cell r="AX115">
            <v>30</v>
          </cell>
          <cell r="AY115">
            <v>3425</v>
          </cell>
          <cell r="AZ115">
            <v>1</v>
          </cell>
          <cell r="BA115">
            <v>150</v>
          </cell>
          <cell r="BB115">
            <v>0</v>
          </cell>
          <cell r="BC115">
            <v>0</v>
          </cell>
          <cell r="BD115">
            <v>7</v>
          </cell>
          <cell r="BE115">
            <v>857</v>
          </cell>
          <cell r="BF115">
            <v>7</v>
          </cell>
          <cell r="BG115">
            <v>857</v>
          </cell>
          <cell r="BH115">
            <v>33</v>
          </cell>
          <cell r="BI115">
            <v>4344</v>
          </cell>
          <cell r="BJ115">
            <v>0</v>
          </cell>
          <cell r="BK115">
            <v>0</v>
          </cell>
          <cell r="BL115">
            <v>0</v>
          </cell>
          <cell r="BM115">
            <v>0</v>
          </cell>
          <cell r="BN115">
            <v>23</v>
          </cell>
          <cell r="BO115">
            <v>2804</v>
          </cell>
          <cell r="BP115">
            <v>12</v>
          </cell>
          <cell r="BQ115">
            <v>1990</v>
          </cell>
          <cell r="BR115">
            <v>0</v>
          </cell>
          <cell r="BS115">
            <v>0</v>
          </cell>
          <cell r="BT115">
            <v>0</v>
          </cell>
          <cell r="BU115">
            <v>0</v>
          </cell>
          <cell r="BV115">
            <v>0</v>
          </cell>
          <cell r="BW115">
            <v>0</v>
          </cell>
          <cell r="BX115">
            <v>0</v>
          </cell>
          <cell r="BY115">
            <v>0</v>
          </cell>
        </row>
        <row r="116">
          <cell r="AW116" t="str">
            <v>W Hotel</v>
          </cell>
          <cell r="AX116">
            <v>15</v>
          </cell>
          <cell r="AY116">
            <v>753</v>
          </cell>
          <cell r="AZ116">
            <v>1</v>
          </cell>
          <cell r="BA116">
            <v>270</v>
          </cell>
          <cell r="BB116">
            <v>2</v>
          </cell>
          <cell r="BC116">
            <v>774</v>
          </cell>
          <cell r="BD116">
            <v>1</v>
          </cell>
          <cell r="BE116">
            <v>350</v>
          </cell>
          <cell r="BF116">
            <v>3</v>
          </cell>
          <cell r="BG116">
            <v>1124</v>
          </cell>
          <cell r="BH116">
            <v>0</v>
          </cell>
          <cell r="BI116">
            <v>0</v>
          </cell>
          <cell r="BJ116">
            <v>0</v>
          </cell>
          <cell r="BK116">
            <v>0</v>
          </cell>
          <cell r="BL116">
            <v>0</v>
          </cell>
          <cell r="BM116">
            <v>0</v>
          </cell>
          <cell r="BN116">
            <v>1</v>
          </cell>
          <cell r="BO116">
            <v>263</v>
          </cell>
          <cell r="BP116">
            <v>1</v>
          </cell>
          <cell r="BQ116">
            <v>350</v>
          </cell>
          <cell r="BR116">
            <v>0</v>
          </cell>
          <cell r="BS116">
            <v>0</v>
          </cell>
          <cell r="BT116">
            <v>0</v>
          </cell>
          <cell r="BU116">
            <v>0</v>
          </cell>
          <cell r="BV116">
            <v>0</v>
          </cell>
          <cell r="BW116">
            <v>0</v>
          </cell>
          <cell r="BX116">
            <v>0</v>
          </cell>
          <cell r="BY116">
            <v>0</v>
          </cell>
        </row>
        <row r="117">
          <cell r="AW117" t="str">
            <v>Wellesley Inn &amp; Suites</v>
          </cell>
          <cell r="AX117">
            <v>95</v>
          </cell>
          <cell r="AY117">
            <v>9707</v>
          </cell>
          <cell r="AZ117">
            <v>1</v>
          </cell>
          <cell r="BA117">
            <v>65</v>
          </cell>
          <cell r="BB117">
            <v>0</v>
          </cell>
          <cell r="BC117">
            <v>0</v>
          </cell>
          <cell r="BD117">
            <v>1</v>
          </cell>
          <cell r="BE117">
            <v>65</v>
          </cell>
          <cell r="BF117">
            <v>1</v>
          </cell>
          <cell r="BG117">
            <v>65</v>
          </cell>
          <cell r="BH117">
            <v>1</v>
          </cell>
          <cell r="BI117">
            <v>75</v>
          </cell>
          <cell r="BJ117">
            <v>4</v>
          </cell>
          <cell r="BK117">
            <v>494</v>
          </cell>
          <cell r="BL117">
            <v>12</v>
          </cell>
          <cell r="BM117">
            <v>1311</v>
          </cell>
          <cell r="BN117">
            <v>1</v>
          </cell>
          <cell r="BO117">
            <v>75</v>
          </cell>
          <cell r="BP117">
            <v>0</v>
          </cell>
          <cell r="BQ117">
            <v>0</v>
          </cell>
          <cell r="BR117">
            <v>0</v>
          </cell>
          <cell r="BS117">
            <v>0</v>
          </cell>
          <cell r="BT117">
            <v>0</v>
          </cell>
          <cell r="BU117">
            <v>0</v>
          </cell>
          <cell r="BV117">
            <v>0</v>
          </cell>
          <cell r="BW117">
            <v>0</v>
          </cell>
          <cell r="BX117">
            <v>0</v>
          </cell>
          <cell r="BY117">
            <v>0</v>
          </cell>
        </row>
        <row r="118">
          <cell r="AW118" t="str">
            <v>Westcoast</v>
          </cell>
          <cell r="AX118">
            <v>481</v>
          </cell>
          <cell r="AY118">
            <v>37691</v>
          </cell>
          <cell r="AZ118">
            <v>0</v>
          </cell>
          <cell r="BA118">
            <v>0</v>
          </cell>
          <cell r="BB118">
            <v>0</v>
          </cell>
          <cell r="BC118">
            <v>0</v>
          </cell>
          <cell r="BD118">
            <v>0</v>
          </cell>
          <cell r="BE118">
            <v>0</v>
          </cell>
          <cell r="BF118">
            <v>0</v>
          </cell>
          <cell r="BG118">
            <v>0</v>
          </cell>
          <cell r="BH118">
            <v>1</v>
          </cell>
          <cell r="BI118">
            <v>100</v>
          </cell>
          <cell r="BJ118">
            <v>2</v>
          </cell>
          <cell r="BK118">
            <v>110</v>
          </cell>
          <cell r="BL118">
            <v>5</v>
          </cell>
          <cell r="BM118">
            <v>348</v>
          </cell>
          <cell r="BN118">
            <v>0</v>
          </cell>
          <cell r="BO118">
            <v>0</v>
          </cell>
          <cell r="BP118">
            <v>1</v>
          </cell>
          <cell r="BQ118">
            <v>100</v>
          </cell>
          <cell r="BR118">
            <v>0</v>
          </cell>
          <cell r="BS118">
            <v>0</v>
          </cell>
          <cell r="BT118">
            <v>0</v>
          </cell>
          <cell r="BU118">
            <v>0</v>
          </cell>
          <cell r="BV118">
            <v>0</v>
          </cell>
          <cell r="BW118">
            <v>0</v>
          </cell>
          <cell r="BX118">
            <v>0</v>
          </cell>
          <cell r="BY118">
            <v>0</v>
          </cell>
        </row>
        <row r="119">
          <cell r="AW119" t="str">
            <v>Westin Hotel</v>
          </cell>
          <cell r="AX119">
            <v>127</v>
          </cell>
          <cell r="AY119">
            <v>11633</v>
          </cell>
          <cell r="AZ119">
            <v>3</v>
          </cell>
          <cell r="BA119">
            <v>707</v>
          </cell>
          <cell r="BB119">
            <v>7</v>
          </cell>
          <cell r="BC119">
            <v>4310</v>
          </cell>
          <cell r="BD119">
            <v>2</v>
          </cell>
          <cell r="BE119">
            <v>1025</v>
          </cell>
          <cell r="BF119">
            <v>9</v>
          </cell>
          <cell r="BG119">
            <v>5335</v>
          </cell>
          <cell r="BH119">
            <v>0</v>
          </cell>
          <cell r="BI119">
            <v>0</v>
          </cell>
          <cell r="BJ119">
            <v>0</v>
          </cell>
          <cell r="BK119">
            <v>0</v>
          </cell>
          <cell r="BL119">
            <v>1</v>
          </cell>
          <cell r="BM119">
            <v>150</v>
          </cell>
          <cell r="BN119">
            <v>4</v>
          </cell>
          <cell r="BO119">
            <v>2161</v>
          </cell>
          <cell r="BP119">
            <v>2</v>
          </cell>
          <cell r="BQ119">
            <v>1025</v>
          </cell>
          <cell r="BR119">
            <v>0</v>
          </cell>
          <cell r="BS119">
            <v>0</v>
          </cell>
          <cell r="BT119">
            <v>0</v>
          </cell>
          <cell r="BU119">
            <v>0</v>
          </cell>
          <cell r="BV119">
            <v>0</v>
          </cell>
          <cell r="BW119">
            <v>0</v>
          </cell>
          <cell r="BX119">
            <v>0</v>
          </cell>
          <cell r="BY119">
            <v>0</v>
          </cell>
        </row>
        <row r="120">
          <cell r="AW120" t="str">
            <v>Wingate Inn</v>
          </cell>
          <cell r="AX120">
            <v>13</v>
          </cell>
          <cell r="AY120">
            <v>3817</v>
          </cell>
          <cell r="AZ120">
            <v>19</v>
          </cell>
          <cell r="BA120">
            <v>1773</v>
          </cell>
          <cell r="BB120">
            <v>14</v>
          </cell>
          <cell r="BC120">
            <v>1359</v>
          </cell>
          <cell r="BD120">
            <v>15</v>
          </cell>
          <cell r="BE120">
            <v>1621</v>
          </cell>
          <cell r="BF120">
            <v>29</v>
          </cell>
          <cell r="BG120">
            <v>2980</v>
          </cell>
          <cell r="BH120">
            <v>85</v>
          </cell>
          <cell r="BI120">
            <v>9414</v>
          </cell>
          <cell r="BJ120">
            <v>1</v>
          </cell>
          <cell r="BK120">
            <v>509</v>
          </cell>
          <cell r="BL120">
            <v>1</v>
          </cell>
          <cell r="BM120">
            <v>509</v>
          </cell>
          <cell r="BN120">
            <v>76</v>
          </cell>
          <cell r="BO120">
            <v>7888</v>
          </cell>
          <cell r="BP120">
            <v>21</v>
          </cell>
          <cell r="BQ120">
            <v>2847</v>
          </cell>
          <cell r="BR120">
            <v>0</v>
          </cell>
          <cell r="BS120">
            <v>0</v>
          </cell>
          <cell r="BT120">
            <v>0</v>
          </cell>
          <cell r="BU120">
            <v>0</v>
          </cell>
          <cell r="BV120">
            <v>0</v>
          </cell>
          <cell r="BW120">
            <v>0</v>
          </cell>
          <cell r="BX120">
            <v>0</v>
          </cell>
          <cell r="BY120">
            <v>0</v>
          </cell>
        </row>
        <row r="121">
          <cell r="AW121" t="str">
            <v>Woodfield Suites</v>
          </cell>
          <cell r="AX121">
            <v>39</v>
          </cell>
          <cell r="AY121">
            <v>4776</v>
          </cell>
          <cell r="AZ121">
            <v>0</v>
          </cell>
          <cell r="BA121">
            <v>0</v>
          </cell>
          <cell r="BB121">
            <v>0</v>
          </cell>
          <cell r="BC121">
            <v>0</v>
          </cell>
          <cell r="BD121">
            <v>0</v>
          </cell>
          <cell r="BE121">
            <v>0</v>
          </cell>
          <cell r="BF121">
            <v>0</v>
          </cell>
          <cell r="BG121">
            <v>0</v>
          </cell>
          <cell r="BH121">
            <v>0</v>
          </cell>
          <cell r="BI121">
            <v>0</v>
          </cell>
          <cell r="BJ121">
            <v>0</v>
          </cell>
          <cell r="BK121">
            <v>0</v>
          </cell>
          <cell r="BL121">
            <v>1</v>
          </cell>
          <cell r="BM121">
            <v>65</v>
          </cell>
          <cell r="BN121">
            <v>0</v>
          </cell>
          <cell r="BO121">
            <v>0</v>
          </cell>
          <cell r="BP121">
            <v>0</v>
          </cell>
          <cell r="BQ121">
            <v>0</v>
          </cell>
          <cell r="BR121">
            <v>0</v>
          </cell>
          <cell r="BS121">
            <v>0</v>
          </cell>
          <cell r="BT121">
            <v>0</v>
          </cell>
          <cell r="BU121">
            <v>0</v>
          </cell>
          <cell r="BV121">
            <v>0</v>
          </cell>
          <cell r="BW121">
            <v>0</v>
          </cell>
          <cell r="BX121">
            <v>0</v>
          </cell>
          <cell r="BY121">
            <v>0</v>
          </cell>
        </row>
        <row r="122">
          <cell r="AW122" t="str">
            <v>Woodfin Suites</v>
          </cell>
          <cell r="AX122">
            <v>24</v>
          </cell>
          <cell r="AY122">
            <v>5256</v>
          </cell>
          <cell r="AZ122">
            <v>1</v>
          </cell>
          <cell r="BA122">
            <v>202</v>
          </cell>
          <cell r="BB122">
            <v>0</v>
          </cell>
          <cell r="BC122">
            <v>0</v>
          </cell>
          <cell r="BD122">
            <v>1</v>
          </cell>
          <cell r="BE122">
            <v>162</v>
          </cell>
          <cell r="BF122">
            <v>1</v>
          </cell>
          <cell r="BG122">
            <v>162</v>
          </cell>
          <cell r="BH122">
            <v>1</v>
          </cell>
          <cell r="BI122">
            <v>288</v>
          </cell>
          <cell r="BJ122">
            <v>0</v>
          </cell>
          <cell r="BK122">
            <v>0</v>
          </cell>
          <cell r="BL122">
            <v>0</v>
          </cell>
          <cell r="BM122">
            <v>0</v>
          </cell>
          <cell r="BN122">
            <v>1</v>
          </cell>
          <cell r="BO122">
            <v>162</v>
          </cell>
          <cell r="BP122">
            <v>1</v>
          </cell>
          <cell r="BQ122">
            <v>288</v>
          </cell>
          <cell r="BR122">
            <v>0</v>
          </cell>
          <cell r="BS122">
            <v>0</v>
          </cell>
          <cell r="BT122">
            <v>0</v>
          </cell>
          <cell r="BU122">
            <v>0</v>
          </cell>
          <cell r="BV122">
            <v>0</v>
          </cell>
          <cell r="BW122">
            <v>0</v>
          </cell>
          <cell r="BX122">
            <v>0</v>
          </cell>
          <cell r="BY122">
            <v>0</v>
          </cell>
        </row>
        <row r="123">
          <cell r="AW123" t="str">
            <v xml:space="preserve">Wyndham Garden </v>
          </cell>
          <cell r="AX123">
            <v>57</v>
          </cell>
          <cell r="AY123">
            <v>27930</v>
          </cell>
          <cell r="AZ123">
            <v>0</v>
          </cell>
          <cell r="BA123">
            <v>0</v>
          </cell>
          <cell r="BB123">
            <v>0</v>
          </cell>
          <cell r="BC123">
            <v>0</v>
          </cell>
          <cell r="BD123">
            <v>0</v>
          </cell>
          <cell r="BE123">
            <v>0</v>
          </cell>
          <cell r="BF123">
            <v>0</v>
          </cell>
          <cell r="BG123">
            <v>0</v>
          </cell>
          <cell r="BH123">
            <v>0</v>
          </cell>
          <cell r="BI123">
            <v>0</v>
          </cell>
          <cell r="BJ123">
            <v>2</v>
          </cell>
          <cell r="BK123">
            <v>536</v>
          </cell>
          <cell r="BL123">
            <v>3</v>
          </cell>
          <cell r="BM123">
            <v>793</v>
          </cell>
          <cell r="BN123">
            <v>0</v>
          </cell>
          <cell r="BO123">
            <v>0</v>
          </cell>
          <cell r="BP123">
            <v>0</v>
          </cell>
          <cell r="BQ123">
            <v>0</v>
          </cell>
          <cell r="BR123">
            <v>0</v>
          </cell>
          <cell r="BS123">
            <v>0</v>
          </cell>
          <cell r="BT123">
            <v>0</v>
          </cell>
          <cell r="BU123">
            <v>0</v>
          </cell>
          <cell r="BV123">
            <v>0</v>
          </cell>
          <cell r="BW123">
            <v>0</v>
          </cell>
          <cell r="BX123">
            <v>0</v>
          </cell>
          <cell r="BY123">
            <v>0</v>
          </cell>
        </row>
        <row r="124">
          <cell r="AW124" t="str">
            <v>Wyndham Historic Hotel</v>
          </cell>
          <cell r="AX124">
            <v>107</v>
          </cell>
          <cell r="AY124">
            <v>10010</v>
          </cell>
          <cell r="AZ124">
            <v>0</v>
          </cell>
          <cell r="BA124">
            <v>0</v>
          </cell>
          <cell r="BB124">
            <v>0</v>
          </cell>
          <cell r="BC124">
            <v>0</v>
          </cell>
          <cell r="BD124">
            <v>0</v>
          </cell>
          <cell r="BE124">
            <v>0</v>
          </cell>
          <cell r="BF124">
            <v>0</v>
          </cell>
          <cell r="BG124">
            <v>0</v>
          </cell>
          <cell r="BH124">
            <v>0</v>
          </cell>
          <cell r="BI124">
            <v>0</v>
          </cell>
          <cell r="BJ124">
            <v>9</v>
          </cell>
          <cell r="BK124">
            <v>837</v>
          </cell>
          <cell r="BL124">
            <v>16</v>
          </cell>
          <cell r="BM124">
            <v>1480</v>
          </cell>
          <cell r="BN124">
            <v>0</v>
          </cell>
          <cell r="BO124">
            <v>0</v>
          </cell>
          <cell r="BP124">
            <v>0</v>
          </cell>
          <cell r="BQ124">
            <v>0</v>
          </cell>
          <cell r="BR124">
            <v>0</v>
          </cell>
          <cell r="BS124">
            <v>0</v>
          </cell>
          <cell r="BT124">
            <v>0</v>
          </cell>
          <cell r="BU124">
            <v>0</v>
          </cell>
          <cell r="BV124">
            <v>0</v>
          </cell>
          <cell r="BW124">
            <v>0</v>
          </cell>
          <cell r="BX124">
            <v>0</v>
          </cell>
          <cell r="BY124">
            <v>0</v>
          </cell>
        </row>
        <row r="125">
          <cell r="AW125" t="str">
            <v>Wyndham Hotel</v>
          </cell>
          <cell r="AX125">
            <v>7</v>
          </cell>
          <cell r="AY125">
            <v>889</v>
          </cell>
          <cell r="AZ125">
            <v>1</v>
          </cell>
          <cell r="BA125">
            <v>180</v>
          </cell>
          <cell r="BB125">
            <v>2</v>
          </cell>
          <cell r="BC125">
            <v>589</v>
          </cell>
          <cell r="BD125">
            <v>0</v>
          </cell>
          <cell r="BE125">
            <v>0</v>
          </cell>
          <cell r="BF125">
            <v>2</v>
          </cell>
          <cell r="BG125">
            <v>589</v>
          </cell>
          <cell r="BH125">
            <v>0</v>
          </cell>
          <cell r="BI125">
            <v>0</v>
          </cell>
          <cell r="BJ125">
            <v>0</v>
          </cell>
          <cell r="BK125">
            <v>0</v>
          </cell>
          <cell r="BL125">
            <v>0</v>
          </cell>
          <cell r="BM125">
            <v>0</v>
          </cell>
          <cell r="BN125">
            <v>0</v>
          </cell>
          <cell r="BO125">
            <v>0</v>
          </cell>
          <cell r="BP125">
            <v>0</v>
          </cell>
          <cell r="BQ125">
            <v>0</v>
          </cell>
          <cell r="BR125">
            <v>0</v>
          </cell>
          <cell r="BS125">
            <v>0</v>
          </cell>
          <cell r="BT125">
            <v>0</v>
          </cell>
          <cell r="BU125">
            <v>0</v>
          </cell>
          <cell r="BV125">
            <v>0</v>
          </cell>
          <cell r="BW125">
            <v>0</v>
          </cell>
          <cell r="BX125">
            <v>0</v>
          </cell>
          <cell r="BY125">
            <v>0</v>
          </cell>
        </row>
        <row r="126">
          <cell r="AW126" t="str">
            <v>Wyndham Luxury</v>
          </cell>
          <cell r="AX126">
            <v>8</v>
          </cell>
          <cell r="AY126">
            <v>1096</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0</v>
          </cell>
        </row>
      </sheetData>
      <sheetData sheetId="7" refreshError="1"/>
      <sheetData sheetId="8" refreshError="1"/>
      <sheetData sheetId="9"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p 10 cos."/>
      <sheetName val="brand lookup"/>
      <sheetName val="Anaheim Mkt Share ExII"/>
      <sheetName val="Atlanta Mkt Share ExII"/>
      <sheetName val="Boston Mkt Share ExII"/>
      <sheetName val="Chicago Mkt Share ExII"/>
      <sheetName val="Dallas Mkt Share ExII"/>
      <sheetName val="Denver Mkt Share ExII"/>
      <sheetName val="Detroit Mkt Share ExII"/>
      <sheetName val="Houston Mkt Share ExII"/>
      <sheetName val="Las Vegas Mkt Share ExII"/>
      <sheetName val="Los Angeles Mkt Share ExII"/>
      <sheetName val="Miami Mkt Share ExII"/>
      <sheetName val="Minneapolis Mkt Share ExII"/>
      <sheetName val="Nashville Mkt Share ExII"/>
      <sheetName val="New Orleans Mkt Share ExII"/>
      <sheetName val="New York Mkt Share ExII"/>
      <sheetName val="Oahu Mkt Share ExII"/>
      <sheetName val="Orlando Mkt Share ExII"/>
      <sheetName val="Philadelphia Mkt Share ExII"/>
      <sheetName val="Phoenix Mkt Share ExII"/>
      <sheetName val="Saint Louis Mkt Share ExII"/>
      <sheetName val="San Diego Mkt Share ExII"/>
      <sheetName val="San Francisco Mkt Share ExII"/>
      <sheetName val="Seattle Mkt Share ExII"/>
      <sheetName val="Tampa Mkt Share ExII"/>
      <sheetName val="Washington Mkt Share ExII"/>
      <sheetName val="census lookups"/>
      <sheetName val="lookups"/>
      <sheetName val="3q pivots"/>
      <sheetName val="Marriott Ex III"/>
      <sheetName val="BY MSA ExIII"/>
      <sheetName val="COURTYARD Ex III"/>
      <sheetName val="FAIRFIELD Ex III"/>
      <sheetName val="MARRIOTT HRS Ex III"/>
      <sheetName val="RENAISSANCE HRS Ex III"/>
      <sheetName val="RESIDENCE Ex III"/>
      <sheetName val="RITZ Ex III"/>
      <sheetName val="SPRINGHILL Ex III"/>
      <sheetName val="TOWNEPLACE Ex III"/>
      <sheetName val="top cos ExIV"/>
      <sheetName val="Mkt Ranks ExV"/>
      <sheetName val="Mkt OpStats Rank ExVII"/>
      <sheetName val="Mkt Op Stats ExVII"/>
      <sheetName val="Brand Census ConI"/>
      <sheetName val="Mkt Census ConII"/>
      <sheetName val="Brand Op Stats ConII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row r="228">
          <cell r="B228" t="str">
            <v>Anaheim, CA</v>
          </cell>
          <cell r="C228">
            <v>0</v>
          </cell>
          <cell r="D228">
            <v>0</v>
          </cell>
          <cell r="E228">
            <v>0</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0</v>
          </cell>
          <cell r="AC228">
            <v>0</v>
          </cell>
          <cell r="AD228">
            <v>0</v>
          </cell>
          <cell r="AE228">
            <v>1</v>
          </cell>
          <cell r="AF228">
            <v>140</v>
          </cell>
          <cell r="AG228">
            <v>0</v>
          </cell>
          <cell r="AH228">
            <v>0</v>
          </cell>
          <cell r="AI228">
            <v>6</v>
          </cell>
          <cell r="AJ228">
            <v>907</v>
          </cell>
          <cell r="AK228">
            <v>6</v>
          </cell>
          <cell r="AL228">
            <v>907</v>
          </cell>
          <cell r="AM228">
            <v>5</v>
          </cell>
          <cell r="AN228">
            <v>1051</v>
          </cell>
          <cell r="AO228">
            <v>5</v>
          </cell>
          <cell r="AP228">
            <v>1051</v>
          </cell>
          <cell r="AQ228">
            <v>8</v>
          </cell>
          <cell r="AR228">
            <v>3511</v>
          </cell>
          <cell r="AS228">
            <v>8</v>
          </cell>
          <cell r="AT228">
            <v>3511</v>
          </cell>
          <cell r="AU228">
            <v>0</v>
          </cell>
          <cell r="AV228">
            <v>0</v>
          </cell>
          <cell r="AW228">
            <v>0</v>
          </cell>
          <cell r="AX228">
            <v>0</v>
          </cell>
          <cell r="AY228">
            <v>6</v>
          </cell>
          <cell r="AZ228">
            <v>794</v>
          </cell>
          <cell r="BA228">
            <v>6</v>
          </cell>
          <cell r="BB228">
            <v>794</v>
          </cell>
          <cell r="BC228">
            <v>1</v>
          </cell>
          <cell r="BD228">
            <v>393</v>
          </cell>
          <cell r="BE228">
            <v>1</v>
          </cell>
          <cell r="BF228">
            <v>393</v>
          </cell>
          <cell r="BG228">
            <v>0</v>
          </cell>
          <cell r="BH228">
            <v>0</v>
          </cell>
          <cell r="BI228">
            <v>0</v>
          </cell>
          <cell r="BJ228">
            <v>0</v>
          </cell>
          <cell r="BK228">
            <v>0</v>
          </cell>
          <cell r="BL228">
            <v>0</v>
          </cell>
          <cell r="BM228">
            <v>1</v>
          </cell>
          <cell r="BN228">
            <v>140</v>
          </cell>
          <cell r="BO228">
            <v>6</v>
          </cell>
          <cell r="BP228">
            <v>907</v>
          </cell>
          <cell r="BQ228">
            <v>5</v>
          </cell>
          <cell r="BR228">
            <v>1051</v>
          </cell>
          <cell r="BS228">
            <v>8</v>
          </cell>
          <cell r="BT228">
            <v>3511</v>
          </cell>
          <cell r="BU228">
            <v>0</v>
          </cell>
          <cell r="BV228">
            <v>0</v>
          </cell>
          <cell r="BW228">
            <v>6</v>
          </cell>
          <cell r="BX228">
            <v>794</v>
          </cell>
          <cell r="BY228">
            <v>1</v>
          </cell>
          <cell r="BZ228">
            <v>393</v>
          </cell>
          <cell r="CA228">
            <v>0</v>
          </cell>
          <cell r="CB228">
            <v>0</v>
          </cell>
          <cell r="CC228">
            <v>1</v>
          </cell>
          <cell r="CD228">
            <v>140</v>
          </cell>
          <cell r="CE228">
            <v>27</v>
          </cell>
          <cell r="CF228">
            <v>6796</v>
          </cell>
        </row>
        <row r="229">
          <cell r="B229" t="str">
            <v>Atlanta, GA</v>
          </cell>
          <cell r="C229">
            <v>2</v>
          </cell>
          <cell r="D229">
            <v>156</v>
          </cell>
          <cell r="E229">
            <v>1</v>
          </cell>
          <cell r="F229">
            <v>154</v>
          </cell>
          <cell r="G229">
            <v>0</v>
          </cell>
          <cell r="H229">
            <v>0</v>
          </cell>
          <cell r="I229">
            <v>0</v>
          </cell>
          <cell r="J229">
            <v>0</v>
          </cell>
          <cell r="K229">
            <v>0</v>
          </cell>
          <cell r="L229">
            <v>0</v>
          </cell>
          <cell r="M229">
            <v>1</v>
          </cell>
          <cell r="N229">
            <v>318</v>
          </cell>
          <cell r="O229">
            <v>0</v>
          </cell>
          <cell r="P229">
            <v>0</v>
          </cell>
          <cell r="Q229">
            <v>0</v>
          </cell>
          <cell r="R229">
            <v>0</v>
          </cell>
          <cell r="S229">
            <v>1</v>
          </cell>
          <cell r="T229">
            <v>120</v>
          </cell>
          <cell r="U229">
            <v>0</v>
          </cell>
          <cell r="V229">
            <v>0</v>
          </cell>
          <cell r="W229">
            <v>0</v>
          </cell>
          <cell r="X229">
            <v>0</v>
          </cell>
          <cell r="Y229">
            <v>0</v>
          </cell>
          <cell r="Z229">
            <v>0</v>
          </cell>
          <cell r="AA229">
            <v>1</v>
          </cell>
          <cell r="AB229">
            <v>82</v>
          </cell>
          <cell r="AC229">
            <v>3</v>
          </cell>
          <cell r="AD229">
            <v>251</v>
          </cell>
          <cell r="AE229">
            <v>0</v>
          </cell>
          <cell r="AF229">
            <v>0</v>
          </cell>
          <cell r="AG229">
            <v>1</v>
          </cell>
          <cell r="AH229">
            <v>83</v>
          </cell>
          <cell r="AI229">
            <v>18</v>
          </cell>
          <cell r="AJ229">
            <v>2749</v>
          </cell>
          <cell r="AK229">
            <v>20</v>
          </cell>
          <cell r="AL229">
            <v>2905</v>
          </cell>
          <cell r="AM229">
            <v>15</v>
          </cell>
          <cell r="AN229">
            <v>1933</v>
          </cell>
          <cell r="AO229">
            <v>15</v>
          </cell>
          <cell r="AP229">
            <v>1933</v>
          </cell>
          <cell r="AQ229">
            <v>10</v>
          </cell>
          <cell r="AR229">
            <v>4918</v>
          </cell>
          <cell r="AS229">
            <v>10</v>
          </cell>
          <cell r="AT229">
            <v>4918</v>
          </cell>
          <cell r="AU229">
            <v>4</v>
          </cell>
          <cell r="AV229">
            <v>1702</v>
          </cell>
          <cell r="AW229">
            <v>4</v>
          </cell>
          <cell r="AX229">
            <v>1702</v>
          </cell>
          <cell r="AY229">
            <v>12</v>
          </cell>
          <cell r="AZ229">
            <v>1534</v>
          </cell>
          <cell r="BA229">
            <v>13</v>
          </cell>
          <cell r="BB229">
            <v>1654</v>
          </cell>
          <cell r="BC229">
            <v>2</v>
          </cell>
          <cell r="BD229">
            <v>1000</v>
          </cell>
          <cell r="BE229">
            <v>2</v>
          </cell>
          <cell r="BF229">
            <v>1000</v>
          </cell>
          <cell r="BG229">
            <v>0</v>
          </cell>
          <cell r="BH229">
            <v>0</v>
          </cell>
          <cell r="BI229">
            <v>1</v>
          </cell>
          <cell r="BJ229">
            <v>82</v>
          </cell>
          <cell r="BK229">
            <v>3</v>
          </cell>
          <cell r="BL229">
            <v>282</v>
          </cell>
          <cell r="BM229">
            <v>3</v>
          </cell>
          <cell r="BN229">
            <v>282</v>
          </cell>
          <cell r="BO229">
            <v>21</v>
          </cell>
          <cell r="BP229">
            <v>3059</v>
          </cell>
          <cell r="BQ229">
            <v>15</v>
          </cell>
          <cell r="BR229">
            <v>1933</v>
          </cell>
          <cell r="BS229">
            <v>11</v>
          </cell>
          <cell r="BT229">
            <v>5236</v>
          </cell>
          <cell r="BU229">
            <v>4</v>
          </cell>
          <cell r="BV229">
            <v>1702</v>
          </cell>
          <cell r="BW229">
            <v>13</v>
          </cell>
          <cell r="BX229">
            <v>1654</v>
          </cell>
          <cell r="BY229">
            <v>2</v>
          </cell>
          <cell r="BZ229">
            <v>1000</v>
          </cell>
          <cell r="CA229">
            <v>4</v>
          </cell>
          <cell r="CB229">
            <v>333</v>
          </cell>
          <cell r="CC229">
            <v>4</v>
          </cell>
          <cell r="CD229">
            <v>365</v>
          </cell>
          <cell r="CE229">
            <v>74</v>
          </cell>
          <cell r="CF229">
            <v>15282</v>
          </cell>
        </row>
        <row r="230">
          <cell r="B230" t="str">
            <v>Boston, MA</v>
          </cell>
          <cell r="C230">
            <v>0</v>
          </cell>
          <cell r="D230">
            <v>0</v>
          </cell>
          <cell r="E230">
            <v>1</v>
          </cell>
          <cell r="F230">
            <v>154</v>
          </cell>
          <cell r="G230">
            <v>0</v>
          </cell>
          <cell r="H230">
            <v>0</v>
          </cell>
          <cell r="I230">
            <v>0</v>
          </cell>
          <cell r="J230">
            <v>0</v>
          </cell>
          <cell r="K230">
            <v>0</v>
          </cell>
          <cell r="L230">
            <v>0</v>
          </cell>
          <cell r="M230">
            <v>0</v>
          </cell>
          <cell r="N230">
            <v>0</v>
          </cell>
          <cell r="O230">
            <v>0</v>
          </cell>
          <cell r="P230">
            <v>0</v>
          </cell>
          <cell r="Q230">
            <v>0</v>
          </cell>
          <cell r="R230">
            <v>0</v>
          </cell>
          <cell r="S230">
            <v>1</v>
          </cell>
          <cell r="T230">
            <v>209</v>
          </cell>
          <cell r="U230">
            <v>0</v>
          </cell>
          <cell r="V230">
            <v>0</v>
          </cell>
          <cell r="W230">
            <v>0</v>
          </cell>
          <cell r="X230">
            <v>0</v>
          </cell>
          <cell r="Y230">
            <v>0</v>
          </cell>
          <cell r="Z230">
            <v>0</v>
          </cell>
          <cell r="AA230">
            <v>0</v>
          </cell>
          <cell r="AB230">
            <v>0</v>
          </cell>
          <cell r="AC230">
            <v>0</v>
          </cell>
          <cell r="AD230">
            <v>0</v>
          </cell>
          <cell r="AE230">
            <v>2</v>
          </cell>
          <cell r="AF230">
            <v>222</v>
          </cell>
          <cell r="AG230">
            <v>0</v>
          </cell>
          <cell r="AH230">
            <v>0</v>
          </cell>
          <cell r="AI230">
            <v>7</v>
          </cell>
          <cell r="AJ230">
            <v>957</v>
          </cell>
          <cell r="AK230">
            <v>7</v>
          </cell>
          <cell r="AL230">
            <v>957</v>
          </cell>
          <cell r="AM230">
            <v>0</v>
          </cell>
          <cell r="AN230">
            <v>0</v>
          </cell>
          <cell r="AO230">
            <v>0</v>
          </cell>
          <cell r="AP230">
            <v>0</v>
          </cell>
          <cell r="AQ230">
            <v>6</v>
          </cell>
          <cell r="AR230">
            <v>2940</v>
          </cell>
          <cell r="AS230">
            <v>6</v>
          </cell>
          <cell r="AT230">
            <v>2940</v>
          </cell>
          <cell r="AU230">
            <v>1</v>
          </cell>
          <cell r="AV230">
            <v>286</v>
          </cell>
          <cell r="AW230">
            <v>1</v>
          </cell>
          <cell r="AX230">
            <v>286</v>
          </cell>
          <cell r="AY230">
            <v>4</v>
          </cell>
          <cell r="AZ230">
            <v>415</v>
          </cell>
          <cell r="BA230">
            <v>5</v>
          </cell>
          <cell r="BB230">
            <v>624</v>
          </cell>
          <cell r="BC230">
            <v>1</v>
          </cell>
          <cell r="BD230">
            <v>275</v>
          </cell>
          <cell r="BE230">
            <v>1</v>
          </cell>
          <cell r="BF230">
            <v>275</v>
          </cell>
          <cell r="BG230">
            <v>0</v>
          </cell>
          <cell r="BH230">
            <v>0</v>
          </cell>
          <cell r="BI230">
            <v>0</v>
          </cell>
          <cell r="BJ230">
            <v>0</v>
          </cell>
          <cell r="BK230">
            <v>0</v>
          </cell>
          <cell r="BL230">
            <v>0</v>
          </cell>
          <cell r="BM230">
            <v>2</v>
          </cell>
          <cell r="BN230">
            <v>222</v>
          </cell>
          <cell r="BO230">
            <v>8</v>
          </cell>
          <cell r="BP230">
            <v>1111</v>
          </cell>
          <cell r="BQ230">
            <v>0</v>
          </cell>
          <cell r="BR230">
            <v>0</v>
          </cell>
          <cell r="BS230">
            <v>6</v>
          </cell>
          <cell r="BT230">
            <v>2940</v>
          </cell>
          <cell r="BU230">
            <v>1</v>
          </cell>
          <cell r="BV230">
            <v>286</v>
          </cell>
          <cell r="BW230">
            <v>5</v>
          </cell>
          <cell r="BX230">
            <v>624</v>
          </cell>
          <cell r="BY230">
            <v>1</v>
          </cell>
          <cell r="BZ230">
            <v>275</v>
          </cell>
          <cell r="CA230">
            <v>0</v>
          </cell>
          <cell r="CB230">
            <v>0</v>
          </cell>
          <cell r="CC230">
            <v>2</v>
          </cell>
          <cell r="CD230">
            <v>222</v>
          </cell>
          <cell r="CE230">
            <v>23</v>
          </cell>
          <cell r="CF230">
            <v>5458</v>
          </cell>
        </row>
        <row r="231">
          <cell r="B231" t="str">
            <v>Chicago, IL</v>
          </cell>
          <cell r="C231">
            <v>0</v>
          </cell>
          <cell r="D231">
            <v>0</v>
          </cell>
          <cell r="E231">
            <v>0</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v>
          </cell>
          <cell r="Y231">
            <v>0</v>
          </cell>
          <cell r="Z231">
            <v>0</v>
          </cell>
          <cell r="AA231">
            <v>0</v>
          </cell>
          <cell r="AB231">
            <v>0</v>
          </cell>
          <cell r="AC231">
            <v>0</v>
          </cell>
          <cell r="AD231">
            <v>0</v>
          </cell>
          <cell r="AE231">
            <v>0</v>
          </cell>
          <cell r="AF231">
            <v>0</v>
          </cell>
          <cell r="AG231">
            <v>0</v>
          </cell>
          <cell r="AH231">
            <v>0</v>
          </cell>
          <cell r="AI231">
            <v>10</v>
          </cell>
          <cell r="AJ231">
            <v>1716</v>
          </cell>
          <cell r="AK231">
            <v>10</v>
          </cell>
          <cell r="AL231">
            <v>1716</v>
          </cell>
          <cell r="AM231">
            <v>6</v>
          </cell>
          <cell r="AN231">
            <v>685</v>
          </cell>
          <cell r="AO231">
            <v>6</v>
          </cell>
          <cell r="AP231">
            <v>685</v>
          </cell>
          <cell r="AQ231">
            <v>6</v>
          </cell>
          <cell r="AR231">
            <v>2695</v>
          </cell>
          <cell r="AS231">
            <v>6</v>
          </cell>
          <cell r="AT231">
            <v>2695</v>
          </cell>
          <cell r="AU231">
            <v>2</v>
          </cell>
          <cell r="AV231">
            <v>719</v>
          </cell>
          <cell r="AW231">
            <v>2</v>
          </cell>
          <cell r="AX231">
            <v>719</v>
          </cell>
          <cell r="AY231">
            <v>4</v>
          </cell>
          <cell r="AZ231">
            <v>728</v>
          </cell>
          <cell r="BA231">
            <v>4</v>
          </cell>
          <cell r="BB231">
            <v>728</v>
          </cell>
          <cell r="BC231">
            <v>1</v>
          </cell>
          <cell r="BD231">
            <v>435</v>
          </cell>
          <cell r="BE231">
            <v>1</v>
          </cell>
          <cell r="BF231">
            <v>435</v>
          </cell>
          <cell r="BG231">
            <v>0</v>
          </cell>
          <cell r="BH231">
            <v>0</v>
          </cell>
          <cell r="BI231">
            <v>0</v>
          </cell>
          <cell r="BJ231">
            <v>0</v>
          </cell>
          <cell r="BK231">
            <v>0</v>
          </cell>
          <cell r="BL231">
            <v>0</v>
          </cell>
          <cell r="BM231">
            <v>0</v>
          </cell>
          <cell r="BN231">
            <v>0</v>
          </cell>
          <cell r="BO231">
            <v>10</v>
          </cell>
          <cell r="BP231">
            <v>1716</v>
          </cell>
          <cell r="BQ231">
            <v>6</v>
          </cell>
          <cell r="BR231">
            <v>685</v>
          </cell>
          <cell r="BS231">
            <v>6</v>
          </cell>
          <cell r="BT231">
            <v>2695</v>
          </cell>
          <cell r="BU231">
            <v>2</v>
          </cell>
          <cell r="BV231">
            <v>719</v>
          </cell>
          <cell r="BW231">
            <v>4</v>
          </cell>
          <cell r="BX231">
            <v>728</v>
          </cell>
          <cell r="BY231">
            <v>1</v>
          </cell>
          <cell r="BZ231">
            <v>435</v>
          </cell>
          <cell r="CA231">
            <v>0</v>
          </cell>
          <cell r="CB231">
            <v>0</v>
          </cell>
          <cell r="CC231">
            <v>0</v>
          </cell>
          <cell r="CD231">
            <v>0</v>
          </cell>
          <cell r="CE231">
            <v>29</v>
          </cell>
          <cell r="CF231">
            <v>6978</v>
          </cell>
        </row>
        <row r="232">
          <cell r="B232" t="str">
            <v>Dallas, TX</v>
          </cell>
          <cell r="C232">
            <v>1</v>
          </cell>
          <cell r="D232">
            <v>123</v>
          </cell>
          <cell r="E232">
            <v>1</v>
          </cell>
          <cell r="F232">
            <v>176</v>
          </cell>
          <cell r="G232">
            <v>1</v>
          </cell>
          <cell r="H232">
            <v>107</v>
          </cell>
          <cell r="I232">
            <v>0</v>
          </cell>
          <cell r="J232">
            <v>0</v>
          </cell>
          <cell r="K232">
            <v>0</v>
          </cell>
          <cell r="L232">
            <v>0</v>
          </cell>
          <cell r="M232">
            <v>1</v>
          </cell>
          <cell r="N232">
            <v>364</v>
          </cell>
          <cell r="O232">
            <v>0</v>
          </cell>
          <cell r="P232">
            <v>0</v>
          </cell>
          <cell r="Q232">
            <v>0</v>
          </cell>
          <cell r="R232">
            <v>0</v>
          </cell>
          <cell r="S232">
            <v>0</v>
          </cell>
          <cell r="T232">
            <v>0</v>
          </cell>
          <cell r="U232">
            <v>0</v>
          </cell>
          <cell r="V232">
            <v>0</v>
          </cell>
          <cell r="W232">
            <v>0</v>
          </cell>
          <cell r="X232">
            <v>0</v>
          </cell>
          <cell r="Y232">
            <v>0</v>
          </cell>
          <cell r="Z232">
            <v>0</v>
          </cell>
          <cell r="AA232">
            <v>0</v>
          </cell>
          <cell r="AB232">
            <v>0</v>
          </cell>
          <cell r="AC232">
            <v>0</v>
          </cell>
          <cell r="AD232">
            <v>0</v>
          </cell>
          <cell r="AE232">
            <v>0</v>
          </cell>
          <cell r="AF232">
            <v>0</v>
          </cell>
          <cell r="AG232">
            <v>1</v>
          </cell>
          <cell r="AH232">
            <v>106</v>
          </cell>
          <cell r="AI232">
            <v>11</v>
          </cell>
          <cell r="AJ232">
            <v>1647</v>
          </cell>
          <cell r="AK232">
            <v>12</v>
          </cell>
          <cell r="AL232">
            <v>1770</v>
          </cell>
          <cell r="AM232">
            <v>7</v>
          </cell>
          <cell r="AN232">
            <v>830</v>
          </cell>
          <cell r="AO232">
            <v>8</v>
          </cell>
          <cell r="AP232">
            <v>937</v>
          </cell>
          <cell r="AQ232">
            <v>5</v>
          </cell>
          <cell r="AR232">
            <v>1923</v>
          </cell>
          <cell r="AS232">
            <v>5</v>
          </cell>
          <cell r="AT232">
            <v>1923</v>
          </cell>
          <cell r="AU232">
            <v>2</v>
          </cell>
          <cell r="AV232">
            <v>838</v>
          </cell>
          <cell r="AW232">
            <v>2</v>
          </cell>
          <cell r="AX232">
            <v>838</v>
          </cell>
          <cell r="AY232">
            <v>8</v>
          </cell>
          <cell r="AZ232">
            <v>903</v>
          </cell>
          <cell r="BA232">
            <v>8</v>
          </cell>
          <cell r="BB232">
            <v>903</v>
          </cell>
          <cell r="BC232">
            <v>0</v>
          </cell>
          <cell r="BD232">
            <v>0</v>
          </cell>
          <cell r="BE232">
            <v>0</v>
          </cell>
          <cell r="BF232">
            <v>0</v>
          </cell>
          <cell r="BG232">
            <v>0</v>
          </cell>
          <cell r="BH232">
            <v>0</v>
          </cell>
          <cell r="BI232">
            <v>0</v>
          </cell>
          <cell r="BJ232">
            <v>0</v>
          </cell>
          <cell r="BK232">
            <v>1</v>
          </cell>
          <cell r="BL232">
            <v>136</v>
          </cell>
          <cell r="BM232">
            <v>1</v>
          </cell>
          <cell r="BN232">
            <v>136</v>
          </cell>
          <cell r="BO232">
            <v>13</v>
          </cell>
          <cell r="BP232">
            <v>1946</v>
          </cell>
          <cell r="BQ232">
            <v>8</v>
          </cell>
          <cell r="BR232">
            <v>937</v>
          </cell>
          <cell r="BS232">
            <v>6</v>
          </cell>
          <cell r="BT232">
            <v>2287</v>
          </cell>
          <cell r="BU232">
            <v>2</v>
          </cell>
          <cell r="BV232">
            <v>838</v>
          </cell>
          <cell r="BW232">
            <v>8</v>
          </cell>
          <cell r="BX232">
            <v>903</v>
          </cell>
          <cell r="BY232">
            <v>0</v>
          </cell>
          <cell r="BZ232">
            <v>0</v>
          </cell>
          <cell r="CA232">
            <v>0</v>
          </cell>
          <cell r="CB232">
            <v>0</v>
          </cell>
          <cell r="CC232">
            <v>2</v>
          </cell>
          <cell r="CD232">
            <v>242</v>
          </cell>
          <cell r="CE232">
            <v>39</v>
          </cell>
          <cell r="CF232">
            <v>7153</v>
          </cell>
        </row>
        <row r="233">
          <cell r="B233" t="str">
            <v>Denver, CO</v>
          </cell>
          <cell r="C233">
            <v>1</v>
          </cell>
          <cell r="D233">
            <v>90</v>
          </cell>
          <cell r="E233">
            <v>0</v>
          </cell>
          <cell r="F233">
            <v>0</v>
          </cell>
          <cell r="G233">
            <v>1</v>
          </cell>
          <cell r="H233">
            <v>80</v>
          </cell>
          <cell r="I233">
            <v>1</v>
          </cell>
          <cell r="J233">
            <v>82</v>
          </cell>
          <cell r="K233">
            <v>0</v>
          </cell>
          <cell r="L233">
            <v>0</v>
          </cell>
          <cell r="M233">
            <v>0</v>
          </cell>
          <cell r="N233">
            <v>0</v>
          </cell>
          <cell r="O233">
            <v>0</v>
          </cell>
          <cell r="P233">
            <v>0</v>
          </cell>
          <cell r="Q233">
            <v>0</v>
          </cell>
          <cell r="R233">
            <v>0</v>
          </cell>
          <cell r="S233">
            <v>1</v>
          </cell>
          <cell r="T233">
            <v>94</v>
          </cell>
          <cell r="U233">
            <v>1</v>
          </cell>
          <cell r="V233">
            <v>112</v>
          </cell>
          <cell r="W233">
            <v>0</v>
          </cell>
          <cell r="X233">
            <v>0</v>
          </cell>
          <cell r="Y233">
            <v>0</v>
          </cell>
          <cell r="Z233">
            <v>0</v>
          </cell>
          <cell r="AA233">
            <v>0</v>
          </cell>
          <cell r="AB233">
            <v>0</v>
          </cell>
          <cell r="AC233">
            <v>0</v>
          </cell>
          <cell r="AD233">
            <v>0</v>
          </cell>
          <cell r="AE233">
            <v>2</v>
          </cell>
          <cell r="AF233">
            <v>220</v>
          </cell>
          <cell r="AG233">
            <v>2</v>
          </cell>
          <cell r="AH233">
            <v>196</v>
          </cell>
          <cell r="AI233">
            <v>4</v>
          </cell>
          <cell r="AJ233">
            <v>701</v>
          </cell>
          <cell r="AK233">
            <v>5</v>
          </cell>
          <cell r="AL233">
            <v>791</v>
          </cell>
          <cell r="AM233">
            <v>5</v>
          </cell>
          <cell r="AN233">
            <v>626</v>
          </cell>
          <cell r="AO233">
            <v>6</v>
          </cell>
          <cell r="AP233">
            <v>706</v>
          </cell>
          <cell r="AQ233">
            <v>5</v>
          </cell>
          <cell r="AR233">
            <v>2381</v>
          </cell>
          <cell r="AS233">
            <v>5</v>
          </cell>
          <cell r="AT233">
            <v>2381</v>
          </cell>
          <cell r="AU233">
            <v>1</v>
          </cell>
          <cell r="AV233">
            <v>400</v>
          </cell>
          <cell r="AW233">
            <v>1</v>
          </cell>
          <cell r="AX233">
            <v>400</v>
          </cell>
          <cell r="AY233">
            <v>4</v>
          </cell>
          <cell r="AZ233">
            <v>503</v>
          </cell>
          <cell r="BA233">
            <v>5</v>
          </cell>
          <cell r="BB233">
            <v>597</v>
          </cell>
          <cell r="BC233">
            <v>0</v>
          </cell>
          <cell r="BD233">
            <v>0</v>
          </cell>
          <cell r="BE233">
            <v>0</v>
          </cell>
          <cell r="BF233">
            <v>0</v>
          </cell>
          <cell r="BG233">
            <v>0</v>
          </cell>
          <cell r="BH233">
            <v>0</v>
          </cell>
          <cell r="BI233">
            <v>0</v>
          </cell>
          <cell r="BJ233">
            <v>0</v>
          </cell>
          <cell r="BK233">
            <v>0</v>
          </cell>
          <cell r="BL233">
            <v>0</v>
          </cell>
          <cell r="BM233">
            <v>2</v>
          </cell>
          <cell r="BN233">
            <v>220</v>
          </cell>
          <cell r="BO233">
            <v>5</v>
          </cell>
          <cell r="BP233">
            <v>791</v>
          </cell>
          <cell r="BQ233">
            <v>7</v>
          </cell>
          <cell r="BR233">
            <v>788</v>
          </cell>
          <cell r="BS233">
            <v>5</v>
          </cell>
          <cell r="BT233">
            <v>2381</v>
          </cell>
          <cell r="BU233">
            <v>1</v>
          </cell>
          <cell r="BV233">
            <v>400</v>
          </cell>
          <cell r="BW233">
            <v>6</v>
          </cell>
          <cell r="BX233">
            <v>709</v>
          </cell>
          <cell r="BY233">
            <v>0</v>
          </cell>
          <cell r="BZ233">
            <v>0</v>
          </cell>
          <cell r="CA233">
            <v>0</v>
          </cell>
          <cell r="CB233">
            <v>0</v>
          </cell>
          <cell r="CC233">
            <v>4</v>
          </cell>
          <cell r="CD233">
            <v>416</v>
          </cell>
          <cell r="CE233">
            <v>28</v>
          </cell>
          <cell r="CF233">
            <v>5485</v>
          </cell>
        </row>
        <row r="234">
          <cell r="B234" t="str">
            <v>Detroit, MI</v>
          </cell>
          <cell r="C234">
            <v>1</v>
          </cell>
          <cell r="D234">
            <v>123</v>
          </cell>
          <cell r="E234">
            <v>0</v>
          </cell>
          <cell r="F234">
            <v>0</v>
          </cell>
          <cell r="G234">
            <v>1</v>
          </cell>
          <cell r="H234">
            <v>103</v>
          </cell>
          <cell r="I234">
            <v>1</v>
          </cell>
          <cell r="J234">
            <v>72</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v>
          </cell>
          <cell r="Y234">
            <v>0</v>
          </cell>
          <cell r="Z234">
            <v>0</v>
          </cell>
          <cell r="AA234">
            <v>0</v>
          </cell>
          <cell r="AB234">
            <v>0</v>
          </cell>
          <cell r="AC234">
            <v>0</v>
          </cell>
          <cell r="AD234">
            <v>0</v>
          </cell>
          <cell r="AE234">
            <v>1</v>
          </cell>
          <cell r="AF234">
            <v>95</v>
          </cell>
          <cell r="AG234">
            <v>1</v>
          </cell>
          <cell r="AH234">
            <v>94</v>
          </cell>
          <cell r="AI234">
            <v>11</v>
          </cell>
          <cell r="AJ234">
            <v>1580</v>
          </cell>
          <cell r="AK234">
            <v>12</v>
          </cell>
          <cell r="AL234">
            <v>1703</v>
          </cell>
          <cell r="AM234">
            <v>7</v>
          </cell>
          <cell r="AN234">
            <v>820</v>
          </cell>
          <cell r="AO234">
            <v>8</v>
          </cell>
          <cell r="AP234">
            <v>923</v>
          </cell>
          <cell r="AQ234">
            <v>7</v>
          </cell>
          <cell r="AR234">
            <v>1717</v>
          </cell>
          <cell r="AS234">
            <v>7</v>
          </cell>
          <cell r="AT234">
            <v>1717</v>
          </cell>
          <cell r="AU234">
            <v>1</v>
          </cell>
          <cell r="AV234">
            <v>1306</v>
          </cell>
          <cell r="AW234">
            <v>1</v>
          </cell>
          <cell r="AX234">
            <v>1306</v>
          </cell>
          <cell r="AY234">
            <v>7</v>
          </cell>
          <cell r="AZ234">
            <v>879</v>
          </cell>
          <cell r="BA234">
            <v>7</v>
          </cell>
          <cell r="BB234">
            <v>879</v>
          </cell>
          <cell r="BC234">
            <v>2</v>
          </cell>
          <cell r="BD234">
            <v>616</v>
          </cell>
          <cell r="BE234">
            <v>2</v>
          </cell>
          <cell r="BF234">
            <v>616</v>
          </cell>
          <cell r="BG234">
            <v>0</v>
          </cell>
          <cell r="BH234">
            <v>0</v>
          </cell>
          <cell r="BI234">
            <v>0</v>
          </cell>
          <cell r="BJ234">
            <v>0</v>
          </cell>
          <cell r="BK234">
            <v>1</v>
          </cell>
          <cell r="BL234">
            <v>95</v>
          </cell>
          <cell r="BM234">
            <v>2</v>
          </cell>
          <cell r="BN234">
            <v>190</v>
          </cell>
          <cell r="BO234">
            <v>12</v>
          </cell>
          <cell r="BP234">
            <v>1703</v>
          </cell>
          <cell r="BQ234">
            <v>9</v>
          </cell>
          <cell r="BR234">
            <v>995</v>
          </cell>
          <cell r="BS234">
            <v>7</v>
          </cell>
          <cell r="BT234">
            <v>1717</v>
          </cell>
          <cell r="BU234">
            <v>1</v>
          </cell>
          <cell r="BV234">
            <v>1306</v>
          </cell>
          <cell r="BW234">
            <v>7</v>
          </cell>
          <cell r="BX234">
            <v>879</v>
          </cell>
          <cell r="BY234">
            <v>2</v>
          </cell>
          <cell r="BZ234">
            <v>616</v>
          </cell>
          <cell r="CA234">
            <v>0</v>
          </cell>
          <cell r="CB234">
            <v>0</v>
          </cell>
          <cell r="CC234">
            <v>3</v>
          </cell>
          <cell r="CD234">
            <v>284</v>
          </cell>
          <cell r="CE234">
            <v>41</v>
          </cell>
          <cell r="CF234">
            <v>7500</v>
          </cell>
        </row>
        <row r="235">
          <cell r="B235" t="str">
            <v>Houston, TX</v>
          </cell>
          <cell r="C235">
            <v>1</v>
          </cell>
          <cell r="D235">
            <v>153</v>
          </cell>
          <cell r="E235">
            <v>0</v>
          </cell>
          <cell r="F235">
            <v>0</v>
          </cell>
          <cell r="G235">
            <v>0</v>
          </cell>
          <cell r="H235">
            <v>0</v>
          </cell>
          <cell r="I235">
            <v>0</v>
          </cell>
          <cell r="J235">
            <v>0</v>
          </cell>
          <cell r="K235">
            <v>0</v>
          </cell>
          <cell r="L235">
            <v>0</v>
          </cell>
          <cell r="M235">
            <v>0</v>
          </cell>
          <cell r="N235">
            <v>0</v>
          </cell>
          <cell r="O235">
            <v>0</v>
          </cell>
          <cell r="P235">
            <v>0</v>
          </cell>
          <cell r="Q235">
            <v>0</v>
          </cell>
          <cell r="R235">
            <v>0</v>
          </cell>
          <cell r="S235">
            <v>1</v>
          </cell>
          <cell r="T235">
            <v>120</v>
          </cell>
          <cell r="U235">
            <v>0</v>
          </cell>
          <cell r="V235">
            <v>0</v>
          </cell>
          <cell r="W235">
            <v>0</v>
          </cell>
          <cell r="X235">
            <v>0</v>
          </cell>
          <cell r="Y235">
            <v>0</v>
          </cell>
          <cell r="Z235">
            <v>0</v>
          </cell>
          <cell r="AA235">
            <v>0</v>
          </cell>
          <cell r="AB235">
            <v>0</v>
          </cell>
          <cell r="AC235">
            <v>0</v>
          </cell>
          <cell r="AD235">
            <v>0</v>
          </cell>
          <cell r="AE235">
            <v>1</v>
          </cell>
          <cell r="AF235">
            <v>95</v>
          </cell>
          <cell r="AG235">
            <v>1</v>
          </cell>
          <cell r="AH235">
            <v>127</v>
          </cell>
          <cell r="AI235">
            <v>7</v>
          </cell>
          <cell r="AJ235">
            <v>1067</v>
          </cell>
          <cell r="AK235">
            <v>8</v>
          </cell>
          <cell r="AL235">
            <v>1220</v>
          </cell>
          <cell r="AM235">
            <v>6</v>
          </cell>
          <cell r="AN235">
            <v>559</v>
          </cell>
          <cell r="AO235">
            <v>6</v>
          </cell>
          <cell r="AP235">
            <v>559</v>
          </cell>
          <cell r="AQ235">
            <v>6</v>
          </cell>
          <cell r="AR235">
            <v>2539</v>
          </cell>
          <cell r="AS235">
            <v>6</v>
          </cell>
          <cell r="AT235">
            <v>2539</v>
          </cell>
          <cell r="AU235">
            <v>1</v>
          </cell>
          <cell r="AV235">
            <v>389</v>
          </cell>
          <cell r="AW235">
            <v>1</v>
          </cell>
          <cell r="AX235">
            <v>389</v>
          </cell>
          <cell r="AY235">
            <v>5</v>
          </cell>
          <cell r="AZ235">
            <v>655</v>
          </cell>
          <cell r="BA235">
            <v>6</v>
          </cell>
          <cell r="BB235">
            <v>775</v>
          </cell>
          <cell r="BC235">
            <v>0</v>
          </cell>
          <cell r="BD235">
            <v>0</v>
          </cell>
          <cell r="BE235">
            <v>0</v>
          </cell>
          <cell r="BF235">
            <v>0</v>
          </cell>
          <cell r="BG235">
            <v>1</v>
          </cell>
          <cell r="BH235">
            <v>79</v>
          </cell>
          <cell r="BI235">
            <v>1</v>
          </cell>
          <cell r="BJ235">
            <v>79</v>
          </cell>
          <cell r="BK235">
            <v>1</v>
          </cell>
          <cell r="BL235">
            <v>95</v>
          </cell>
          <cell r="BM235">
            <v>2</v>
          </cell>
          <cell r="BN235">
            <v>190</v>
          </cell>
          <cell r="BO235">
            <v>8</v>
          </cell>
          <cell r="BP235">
            <v>1220</v>
          </cell>
          <cell r="BQ235">
            <v>6</v>
          </cell>
          <cell r="BR235">
            <v>559</v>
          </cell>
          <cell r="BS235">
            <v>6</v>
          </cell>
          <cell r="BT235">
            <v>2539</v>
          </cell>
          <cell r="BU235">
            <v>1</v>
          </cell>
          <cell r="BV235">
            <v>389</v>
          </cell>
          <cell r="BW235">
            <v>6</v>
          </cell>
          <cell r="BX235">
            <v>775</v>
          </cell>
          <cell r="BY235">
            <v>0</v>
          </cell>
          <cell r="BZ235">
            <v>0</v>
          </cell>
          <cell r="CA235">
            <v>1</v>
          </cell>
          <cell r="CB235">
            <v>79</v>
          </cell>
          <cell r="CC235">
            <v>3</v>
          </cell>
          <cell r="CD235">
            <v>317</v>
          </cell>
          <cell r="CE235">
            <v>31</v>
          </cell>
          <cell r="CF235">
            <v>5878</v>
          </cell>
        </row>
        <row r="236">
          <cell r="B236" t="str">
            <v>Las Vegas, NV</v>
          </cell>
          <cell r="C236">
            <v>0</v>
          </cell>
          <cell r="D236">
            <v>0</v>
          </cell>
          <cell r="E236">
            <v>1</v>
          </cell>
          <cell r="F236">
            <v>154</v>
          </cell>
          <cell r="G236">
            <v>0</v>
          </cell>
          <cell r="H236">
            <v>0</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2</v>
          </cell>
          <cell r="AJ236">
            <v>304</v>
          </cell>
          <cell r="AK236">
            <v>2</v>
          </cell>
          <cell r="AL236">
            <v>304</v>
          </cell>
          <cell r="AM236">
            <v>1</v>
          </cell>
          <cell r="AN236">
            <v>129</v>
          </cell>
          <cell r="AO236">
            <v>1</v>
          </cell>
          <cell r="AP236">
            <v>129</v>
          </cell>
          <cell r="AQ236">
            <v>1</v>
          </cell>
          <cell r="AR236">
            <v>278</v>
          </cell>
          <cell r="AS236">
            <v>1</v>
          </cell>
          <cell r="AT236">
            <v>278</v>
          </cell>
          <cell r="AU236">
            <v>0</v>
          </cell>
          <cell r="AV236">
            <v>0</v>
          </cell>
          <cell r="AW236">
            <v>0</v>
          </cell>
          <cell r="AX236">
            <v>0</v>
          </cell>
          <cell r="AY236">
            <v>4</v>
          </cell>
          <cell r="AZ236">
            <v>830</v>
          </cell>
          <cell r="BA236">
            <v>4</v>
          </cell>
          <cell r="BB236">
            <v>830</v>
          </cell>
          <cell r="BC236">
            <v>0</v>
          </cell>
          <cell r="BD236">
            <v>0</v>
          </cell>
          <cell r="BE236">
            <v>0</v>
          </cell>
          <cell r="BF236">
            <v>0</v>
          </cell>
          <cell r="BG236">
            <v>0</v>
          </cell>
          <cell r="BH236">
            <v>0</v>
          </cell>
          <cell r="BI236">
            <v>0</v>
          </cell>
          <cell r="BJ236">
            <v>0</v>
          </cell>
          <cell r="BK236">
            <v>0</v>
          </cell>
          <cell r="BL236">
            <v>0</v>
          </cell>
          <cell r="BM236">
            <v>0</v>
          </cell>
          <cell r="BN236">
            <v>0</v>
          </cell>
          <cell r="BO236">
            <v>3</v>
          </cell>
          <cell r="BP236">
            <v>458</v>
          </cell>
          <cell r="BQ236">
            <v>1</v>
          </cell>
          <cell r="BR236">
            <v>129</v>
          </cell>
          <cell r="BS236">
            <v>1</v>
          </cell>
          <cell r="BT236">
            <v>278</v>
          </cell>
          <cell r="BU236">
            <v>0</v>
          </cell>
          <cell r="BV236">
            <v>0</v>
          </cell>
          <cell r="BW236">
            <v>4</v>
          </cell>
          <cell r="BX236">
            <v>830</v>
          </cell>
          <cell r="BY236">
            <v>0</v>
          </cell>
          <cell r="BZ236">
            <v>0</v>
          </cell>
          <cell r="CA236">
            <v>0</v>
          </cell>
          <cell r="CB236">
            <v>0</v>
          </cell>
          <cell r="CC236">
            <v>0</v>
          </cell>
          <cell r="CD236">
            <v>0</v>
          </cell>
          <cell r="CE236">
            <v>9</v>
          </cell>
          <cell r="CF236">
            <v>1695</v>
          </cell>
        </row>
        <row r="237">
          <cell r="B237" t="str">
            <v>Los Angeles, CA</v>
          </cell>
          <cell r="C237">
            <v>0</v>
          </cell>
          <cell r="D237">
            <v>0</v>
          </cell>
          <cell r="E237">
            <v>2</v>
          </cell>
          <cell r="F237">
            <v>400</v>
          </cell>
          <cell r="G237">
            <v>0</v>
          </cell>
          <cell r="H237">
            <v>0</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1</v>
          </cell>
          <cell r="AB237">
            <v>86</v>
          </cell>
          <cell r="AC237">
            <v>0</v>
          </cell>
          <cell r="AD237">
            <v>0</v>
          </cell>
          <cell r="AE237">
            <v>0</v>
          </cell>
          <cell r="AF237">
            <v>0</v>
          </cell>
          <cell r="AG237">
            <v>0</v>
          </cell>
          <cell r="AH237">
            <v>0</v>
          </cell>
          <cell r="AI237">
            <v>8</v>
          </cell>
          <cell r="AJ237">
            <v>1400</v>
          </cell>
          <cell r="AK237">
            <v>8</v>
          </cell>
          <cell r="AL237">
            <v>1400</v>
          </cell>
          <cell r="AM237">
            <v>1</v>
          </cell>
          <cell r="AN237">
            <v>66</v>
          </cell>
          <cell r="AO237">
            <v>1</v>
          </cell>
          <cell r="AP237">
            <v>66</v>
          </cell>
          <cell r="AQ237">
            <v>9</v>
          </cell>
          <cell r="AR237">
            <v>3861</v>
          </cell>
          <cell r="AS237">
            <v>9</v>
          </cell>
          <cell r="AT237">
            <v>3861</v>
          </cell>
          <cell r="AU237">
            <v>4</v>
          </cell>
          <cell r="AV237">
            <v>1294</v>
          </cell>
          <cell r="AW237">
            <v>4</v>
          </cell>
          <cell r="AX237">
            <v>1294</v>
          </cell>
          <cell r="AY237">
            <v>7</v>
          </cell>
          <cell r="AZ237">
            <v>1185</v>
          </cell>
          <cell r="BA237">
            <v>7</v>
          </cell>
          <cell r="BB237">
            <v>1185</v>
          </cell>
          <cell r="BC237">
            <v>2</v>
          </cell>
          <cell r="BD237">
            <v>689</v>
          </cell>
          <cell r="BE237">
            <v>2</v>
          </cell>
          <cell r="BF237">
            <v>689</v>
          </cell>
          <cell r="BG237">
            <v>0</v>
          </cell>
          <cell r="BH237">
            <v>0</v>
          </cell>
          <cell r="BI237">
            <v>1</v>
          </cell>
          <cell r="BJ237">
            <v>86</v>
          </cell>
          <cell r="BK237">
            <v>0</v>
          </cell>
          <cell r="BL237">
            <v>0</v>
          </cell>
          <cell r="BM237">
            <v>0</v>
          </cell>
          <cell r="BN237">
            <v>0</v>
          </cell>
          <cell r="BO237">
            <v>10</v>
          </cell>
          <cell r="BP237">
            <v>1800</v>
          </cell>
          <cell r="BQ237">
            <v>1</v>
          </cell>
          <cell r="BR237">
            <v>66</v>
          </cell>
          <cell r="BS237">
            <v>9</v>
          </cell>
          <cell r="BT237">
            <v>3861</v>
          </cell>
          <cell r="BU237">
            <v>4</v>
          </cell>
          <cell r="BV237">
            <v>1294</v>
          </cell>
          <cell r="BW237">
            <v>7</v>
          </cell>
          <cell r="BX237">
            <v>1185</v>
          </cell>
          <cell r="BY237">
            <v>2</v>
          </cell>
          <cell r="BZ237">
            <v>689</v>
          </cell>
          <cell r="CA237">
            <v>1</v>
          </cell>
          <cell r="CB237">
            <v>86</v>
          </cell>
          <cell r="CC237">
            <v>0</v>
          </cell>
          <cell r="CD237">
            <v>0</v>
          </cell>
          <cell r="CE237">
            <v>34</v>
          </cell>
          <cell r="CF237">
            <v>8981</v>
          </cell>
        </row>
        <row r="238">
          <cell r="B238" t="str">
            <v>Miami, FL</v>
          </cell>
          <cell r="C238">
            <v>1</v>
          </cell>
          <cell r="D238">
            <v>166</v>
          </cell>
          <cell r="E238">
            <v>0</v>
          </cell>
          <cell r="F238">
            <v>0</v>
          </cell>
          <cell r="G238">
            <v>0</v>
          </cell>
          <cell r="H238">
            <v>0</v>
          </cell>
          <cell r="I238">
            <v>0</v>
          </cell>
          <cell r="J238">
            <v>0</v>
          </cell>
          <cell r="K238">
            <v>0</v>
          </cell>
          <cell r="L238">
            <v>0</v>
          </cell>
          <cell r="M238">
            <v>1</v>
          </cell>
          <cell r="N238">
            <v>300</v>
          </cell>
          <cell r="O238">
            <v>0</v>
          </cell>
          <cell r="P238">
            <v>0</v>
          </cell>
          <cell r="Q238">
            <v>0</v>
          </cell>
          <cell r="R238">
            <v>0</v>
          </cell>
          <cell r="S238">
            <v>0</v>
          </cell>
          <cell r="T238">
            <v>0</v>
          </cell>
          <cell r="U238">
            <v>1</v>
          </cell>
          <cell r="V238">
            <v>140</v>
          </cell>
          <cell r="W238">
            <v>0</v>
          </cell>
          <cell r="X238">
            <v>0</v>
          </cell>
          <cell r="Y238">
            <v>0</v>
          </cell>
          <cell r="Z238">
            <v>0</v>
          </cell>
          <cell r="AA238">
            <v>0</v>
          </cell>
          <cell r="AB238">
            <v>0</v>
          </cell>
          <cell r="AC238">
            <v>0</v>
          </cell>
          <cell r="AD238">
            <v>0</v>
          </cell>
          <cell r="AE238">
            <v>2</v>
          </cell>
          <cell r="AF238">
            <v>190</v>
          </cell>
          <cell r="AG238">
            <v>0</v>
          </cell>
          <cell r="AH238">
            <v>0</v>
          </cell>
          <cell r="AI238">
            <v>3</v>
          </cell>
          <cell r="AJ238">
            <v>547</v>
          </cell>
          <cell r="AK238">
            <v>4</v>
          </cell>
          <cell r="AL238">
            <v>713</v>
          </cell>
          <cell r="AM238">
            <v>2</v>
          </cell>
          <cell r="AN238">
            <v>419</v>
          </cell>
          <cell r="AO238">
            <v>2</v>
          </cell>
          <cell r="AP238">
            <v>419</v>
          </cell>
          <cell r="AQ238">
            <v>4</v>
          </cell>
          <cell r="AR238">
            <v>1511</v>
          </cell>
          <cell r="AS238">
            <v>4</v>
          </cell>
          <cell r="AT238">
            <v>1511</v>
          </cell>
          <cell r="AU238">
            <v>0</v>
          </cell>
          <cell r="AV238">
            <v>0</v>
          </cell>
          <cell r="AW238">
            <v>0</v>
          </cell>
          <cell r="AX238">
            <v>0</v>
          </cell>
          <cell r="AY238">
            <v>1</v>
          </cell>
          <cell r="AZ238">
            <v>112</v>
          </cell>
          <cell r="BA238">
            <v>1</v>
          </cell>
          <cell r="BB238">
            <v>112</v>
          </cell>
          <cell r="BC238">
            <v>1</v>
          </cell>
          <cell r="BD238">
            <v>128</v>
          </cell>
          <cell r="BE238">
            <v>1</v>
          </cell>
          <cell r="BF238">
            <v>128</v>
          </cell>
          <cell r="BG238">
            <v>0</v>
          </cell>
          <cell r="BH238">
            <v>0</v>
          </cell>
          <cell r="BI238">
            <v>0</v>
          </cell>
          <cell r="BJ238">
            <v>0</v>
          </cell>
          <cell r="BK238">
            <v>0</v>
          </cell>
          <cell r="BL238">
            <v>0</v>
          </cell>
          <cell r="BM238">
            <v>2</v>
          </cell>
          <cell r="BN238">
            <v>190</v>
          </cell>
          <cell r="BO238">
            <v>4</v>
          </cell>
          <cell r="BP238">
            <v>713</v>
          </cell>
          <cell r="BQ238">
            <v>2</v>
          </cell>
          <cell r="BR238">
            <v>419</v>
          </cell>
          <cell r="BS238">
            <v>5</v>
          </cell>
          <cell r="BT238">
            <v>1811</v>
          </cell>
          <cell r="BU238">
            <v>0</v>
          </cell>
          <cell r="BV238">
            <v>0</v>
          </cell>
          <cell r="BW238">
            <v>2</v>
          </cell>
          <cell r="BX238">
            <v>252</v>
          </cell>
          <cell r="BY238">
            <v>1</v>
          </cell>
          <cell r="BZ238">
            <v>128</v>
          </cell>
          <cell r="CA238">
            <v>0</v>
          </cell>
          <cell r="CB238">
            <v>0</v>
          </cell>
          <cell r="CC238">
            <v>2</v>
          </cell>
          <cell r="CD238">
            <v>190</v>
          </cell>
          <cell r="CE238">
            <v>16</v>
          </cell>
          <cell r="CF238">
            <v>3513</v>
          </cell>
        </row>
        <row r="239">
          <cell r="B239" t="str">
            <v>Minneapolis, MN</v>
          </cell>
          <cell r="C239">
            <v>0</v>
          </cell>
          <cell r="D239">
            <v>0</v>
          </cell>
          <cell r="E239">
            <v>0</v>
          </cell>
          <cell r="F239">
            <v>0</v>
          </cell>
          <cell r="G239">
            <v>0</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1</v>
          </cell>
          <cell r="AF239">
            <v>94</v>
          </cell>
          <cell r="AG239">
            <v>0</v>
          </cell>
          <cell r="AH239">
            <v>0</v>
          </cell>
          <cell r="AI239">
            <v>3</v>
          </cell>
          <cell r="AJ239">
            <v>498</v>
          </cell>
          <cell r="AK239">
            <v>3</v>
          </cell>
          <cell r="AL239">
            <v>498</v>
          </cell>
          <cell r="AM239">
            <v>5</v>
          </cell>
          <cell r="AN239">
            <v>431</v>
          </cell>
          <cell r="AO239">
            <v>5</v>
          </cell>
          <cell r="AP239">
            <v>431</v>
          </cell>
          <cell r="AQ239">
            <v>3</v>
          </cell>
          <cell r="AR239">
            <v>1383</v>
          </cell>
          <cell r="AS239">
            <v>3</v>
          </cell>
          <cell r="AT239">
            <v>1383</v>
          </cell>
          <cell r="AU239">
            <v>0</v>
          </cell>
          <cell r="AV239">
            <v>0</v>
          </cell>
          <cell r="AW239">
            <v>0</v>
          </cell>
          <cell r="AX239">
            <v>0</v>
          </cell>
          <cell r="AY239">
            <v>5</v>
          </cell>
          <cell r="AZ239">
            <v>606</v>
          </cell>
          <cell r="BA239">
            <v>5</v>
          </cell>
          <cell r="BB239">
            <v>606</v>
          </cell>
          <cell r="BC239">
            <v>0</v>
          </cell>
          <cell r="BD239">
            <v>0</v>
          </cell>
          <cell r="BE239">
            <v>0</v>
          </cell>
          <cell r="BF239">
            <v>0</v>
          </cell>
          <cell r="BG239">
            <v>1</v>
          </cell>
          <cell r="BH239">
            <v>105</v>
          </cell>
          <cell r="BI239">
            <v>1</v>
          </cell>
          <cell r="BJ239">
            <v>105</v>
          </cell>
          <cell r="BK239">
            <v>2</v>
          </cell>
          <cell r="BL239">
            <v>247</v>
          </cell>
          <cell r="BM239">
            <v>3</v>
          </cell>
          <cell r="BN239">
            <v>341</v>
          </cell>
          <cell r="BO239">
            <v>3</v>
          </cell>
          <cell r="BP239">
            <v>498</v>
          </cell>
          <cell r="BQ239">
            <v>5</v>
          </cell>
          <cell r="BR239">
            <v>431</v>
          </cell>
          <cell r="BS239">
            <v>3</v>
          </cell>
          <cell r="BT239">
            <v>1383</v>
          </cell>
          <cell r="BU239">
            <v>0</v>
          </cell>
          <cell r="BV239">
            <v>0</v>
          </cell>
          <cell r="BW239">
            <v>5</v>
          </cell>
          <cell r="BX239">
            <v>606</v>
          </cell>
          <cell r="BY239">
            <v>0</v>
          </cell>
          <cell r="BZ239">
            <v>0</v>
          </cell>
          <cell r="CA239">
            <v>1</v>
          </cell>
          <cell r="CB239">
            <v>105</v>
          </cell>
          <cell r="CC239">
            <v>3</v>
          </cell>
          <cell r="CD239">
            <v>341</v>
          </cell>
          <cell r="CE239">
            <v>20</v>
          </cell>
          <cell r="CF239">
            <v>3364</v>
          </cell>
        </row>
        <row r="240">
          <cell r="B240" t="str">
            <v>Nashville, TN</v>
          </cell>
          <cell r="C240">
            <v>0</v>
          </cell>
          <cell r="D240">
            <v>0</v>
          </cell>
          <cell r="E240">
            <v>0</v>
          </cell>
          <cell r="F240">
            <v>0</v>
          </cell>
          <cell r="G240">
            <v>0</v>
          </cell>
          <cell r="H240">
            <v>0</v>
          </cell>
          <cell r="I240">
            <v>0</v>
          </cell>
          <cell r="J240">
            <v>0</v>
          </cell>
          <cell r="K240">
            <v>1</v>
          </cell>
          <cell r="L240">
            <v>300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2</v>
          </cell>
          <cell r="AD240">
            <v>228</v>
          </cell>
          <cell r="AE240">
            <v>0</v>
          </cell>
          <cell r="AF240">
            <v>0</v>
          </cell>
          <cell r="AG240">
            <v>0</v>
          </cell>
          <cell r="AH240">
            <v>0</v>
          </cell>
          <cell r="AI240">
            <v>5</v>
          </cell>
          <cell r="AJ240">
            <v>710</v>
          </cell>
          <cell r="AK240">
            <v>5</v>
          </cell>
          <cell r="AL240">
            <v>710</v>
          </cell>
          <cell r="AM240">
            <v>1</v>
          </cell>
          <cell r="AN240">
            <v>109</v>
          </cell>
          <cell r="AO240">
            <v>1</v>
          </cell>
          <cell r="AP240">
            <v>109</v>
          </cell>
          <cell r="AQ240">
            <v>1</v>
          </cell>
          <cell r="AR240">
            <v>399</v>
          </cell>
          <cell r="AS240">
            <v>2</v>
          </cell>
          <cell r="AT240">
            <v>699</v>
          </cell>
          <cell r="AU240">
            <v>1</v>
          </cell>
          <cell r="AV240">
            <v>673</v>
          </cell>
          <cell r="AW240">
            <v>1</v>
          </cell>
          <cell r="AX240">
            <v>673</v>
          </cell>
          <cell r="AY240">
            <v>2</v>
          </cell>
          <cell r="AZ240">
            <v>278</v>
          </cell>
          <cell r="BA240">
            <v>2</v>
          </cell>
          <cell r="BB240">
            <v>278</v>
          </cell>
          <cell r="BC240">
            <v>0</v>
          </cell>
          <cell r="BD240">
            <v>0</v>
          </cell>
          <cell r="BE240">
            <v>0</v>
          </cell>
          <cell r="BF240">
            <v>0</v>
          </cell>
          <cell r="BG240">
            <v>0</v>
          </cell>
          <cell r="BH240">
            <v>0</v>
          </cell>
          <cell r="BI240">
            <v>0</v>
          </cell>
          <cell r="BJ240">
            <v>0</v>
          </cell>
          <cell r="BK240">
            <v>0</v>
          </cell>
          <cell r="BL240">
            <v>0</v>
          </cell>
          <cell r="BM240">
            <v>0</v>
          </cell>
          <cell r="BN240">
            <v>0</v>
          </cell>
          <cell r="BO240">
            <v>5</v>
          </cell>
          <cell r="BP240">
            <v>710</v>
          </cell>
          <cell r="BQ240">
            <v>1</v>
          </cell>
          <cell r="BR240">
            <v>109</v>
          </cell>
          <cell r="BS240">
            <v>2</v>
          </cell>
          <cell r="BT240">
            <v>699</v>
          </cell>
          <cell r="BU240">
            <v>1</v>
          </cell>
          <cell r="BV240">
            <v>673</v>
          </cell>
          <cell r="BW240">
            <v>2</v>
          </cell>
          <cell r="BX240">
            <v>278</v>
          </cell>
          <cell r="BY240">
            <v>0</v>
          </cell>
          <cell r="BZ240">
            <v>0</v>
          </cell>
          <cell r="CA240">
            <v>2</v>
          </cell>
          <cell r="CB240">
            <v>228</v>
          </cell>
          <cell r="CC240">
            <v>0</v>
          </cell>
          <cell r="CD240">
            <v>0</v>
          </cell>
          <cell r="CE240">
            <v>13</v>
          </cell>
          <cell r="CF240">
            <v>2697</v>
          </cell>
        </row>
        <row r="241">
          <cell r="B241" t="str">
            <v>New Orleans, LA</v>
          </cell>
          <cell r="C241">
            <v>1</v>
          </cell>
          <cell r="D241">
            <v>154</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1</v>
          </cell>
          <cell r="AH241">
            <v>123</v>
          </cell>
          <cell r="AI241">
            <v>3</v>
          </cell>
          <cell r="AJ241">
            <v>433</v>
          </cell>
          <cell r="AK241">
            <v>4</v>
          </cell>
          <cell r="AL241">
            <v>587</v>
          </cell>
          <cell r="AM241">
            <v>1</v>
          </cell>
          <cell r="AN241">
            <v>106</v>
          </cell>
          <cell r="AO241">
            <v>1</v>
          </cell>
          <cell r="AP241">
            <v>106</v>
          </cell>
          <cell r="AQ241">
            <v>1</v>
          </cell>
          <cell r="AR241">
            <v>1292</v>
          </cell>
          <cell r="AS241">
            <v>1</v>
          </cell>
          <cell r="AT241">
            <v>1292</v>
          </cell>
          <cell r="AU241">
            <v>0</v>
          </cell>
          <cell r="AV241">
            <v>0</v>
          </cell>
          <cell r="AW241">
            <v>0</v>
          </cell>
          <cell r="AX241">
            <v>0</v>
          </cell>
          <cell r="AY241">
            <v>2</v>
          </cell>
          <cell r="AZ241">
            <v>351</v>
          </cell>
          <cell r="BA241">
            <v>2</v>
          </cell>
          <cell r="BB241">
            <v>351</v>
          </cell>
          <cell r="BC241">
            <v>0</v>
          </cell>
          <cell r="BD241">
            <v>0</v>
          </cell>
          <cell r="BE241">
            <v>0</v>
          </cell>
          <cell r="BF241">
            <v>0</v>
          </cell>
          <cell r="BG241">
            <v>0</v>
          </cell>
          <cell r="BH241">
            <v>0</v>
          </cell>
          <cell r="BI241">
            <v>0</v>
          </cell>
          <cell r="BJ241">
            <v>0</v>
          </cell>
          <cell r="BK241">
            <v>0</v>
          </cell>
          <cell r="BL241">
            <v>0</v>
          </cell>
          <cell r="BM241">
            <v>0</v>
          </cell>
          <cell r="BN241">
            <v>0</v>
          </cell>
          <cell r="BO241">
            <v>4</v>
          </cell>
          <cell r="BP241">
            <v>587</v>
          </cell>
          <cell r="BQ241">
            <v>1</v>
          </cell>
          <cell r="BR241">
            <v>106</v>
          </cell>
          <cell r="BS241">
            <v>1</v>
          </cell>
          <cell r="BT241">
            <v>1292</v>
          </cell>
          <cell r="BU241">
            <v>0</v>
          </cell>
          <cell r="BV241">
            <v>0</v>
          </cell>
          <cell r="BW241">
            <v>2</v>
          </cell>
          <cell r="BX241">
            <v>351</v>
          </cell>
          <cell r="BY241">
            <v>0</v>
          </cell>
          <cell r="BZ241">
            <v>0</v>
          </cell>
          <cell r="CA241">
            <v>0</v>
          </cell>
          <cell r="CB241">
            <v>0</v>
          </cell>
          <cell r="CC241">
            <v>1</v>
          </cell>
          <cell r="CD241">
            <v>123</v>
          </cell>
          <cell r="CE241">
            <v>9</v>
          </cell>
          <cell r="CF241">
            <v>2459</v>
          </cell>
        </row>
        <row r="242">
          <cell r="B242" t="str">
            <v>New York, NY</v>
          </cell>
          <cell r="C242">
            <v>0</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0</v>
          </cell>
          <cell r="S242">
            <v>0</v>
          </cell>
          <cell r="T242">
            <v>0</v>
          </cell>
          <cell r="U242">
            <v>1</v>
          </cell>
          <cell r="V242">
            <v>123</v>
          </cell>
          <cell r="W242">
            <v>0</v>
          </cell>
          <cell r="X242">
            <v>0</v>
          </cell>
          <cell r="Y242">
            <v>0</v>
          </cell>
          <cell r="Z242">
            <v>0</v>
          </cell>
          <cell r="AA242">
            <v>0</v>
          </cell>
          <cell r="AB242">
            <v>0</v>
          </cell>
          <cell r="AC242">
            <v>0</v>
          </cell>
          <cell r="AD242">
            <v>0</v>
          </cell>
          <cell r="AE242">
            <v>0</v>
          </cell>
          <cell r="AF242">
            <v>0</v>
          </cell>
          <cell r="AG242">
            <v>0</v>
          </cell>
          <cell r="AH242">
            <v>0</v>
          </cell>
          <cell r="AI242">
            <v>6</v>
          </cell>
          <cell r="AJ242">
            <v>1439</v>
          </cell>
          <cell r="AK242">
            <v>6</v>
          </cell>
          <cell r="AL242">
            <v>1439</v>
          </cell>
          <cell r="AM242">
            <v>0</v>
          </cell>
          <cell r="AN242">
            <v>0</v>
          </cell>
          <cell r="AO242">
            <v>0</v>
          </cell>
          <cell r="AP242">
            <v>0</v>
          </cell>
          <cell r="AQ242">
            <v>7</v>
          </cell>
          <cell r="AR242">
            <v>5153</v>
          </cell>
          <cell r="AS242">
            <v>7</v>
          </cell>
          <cell r="AT242">
            <v>5153</v>
          </cell>
          <cell r="AU242">
            <v>2</v>
          </cell>
          <cell r="AV242">
            <v>655</v>
          </cell>
          <cell r="AW242">
            <v>2</v>
          </cell>
          <cell r="AX242">
            <v>655</v>
          </cell>
          <cell r="AY242">
            <v>1</v>
          </cell>
          <cell r="AZ242">
            <v>130</v>
          </cell>
          <cell r="BA242">
            <v>1</v>
          </cell>
          <cell r="BB242">
            <v>130</v>
          </cell>
          <cell r="BC242">
            <v>0</v>
          </cell>
          <cell r="BD242">
            <v>0</v>
          </cell>
          <cell r="BE242">
            <v>0</v>
          </cell>
          <cell r="BF242">
            <v>0</v>
          </cell>
          <cell r="BG242">
            <v>0</v>
          </cell>
          <cell r="BH242">
            <v>0</v>
          </cell>
          <cell r="BI242">
            <v>0</v>
          </cell>
          <cell r="BJ242">
            <v>0</v>
          </cell>
          <cell r="BK242">
            <v>0</v>
          </cell>
          <cell r="BL242">
            <v>0</v>
          </cell>
          <cell r="BM242">
            <v>0</v>
          </cell>
          <cell r="BN242">
            <v>0</v>
          </cell>
          <cell r="BO242">
            <v>6</v>
          </cell>
          <cell r="BP242">
            <v>1439</v>
          </cell>
          <cell r="BQ242">
            <v>0</v>
          </cell>
          <cell r="BR242">
            <v>0</v>
          </cell>
          <cell r="BS242">
            <v>7</v>
          </cell>
          <cell r="BT242">
            <v>5153</v>
          </cell>
          <cell r="BU242">
            <v>2</v>
          </cell>
          <cell r="BV242">
            <v>655</v>
          </cell>
          <cell r="BW242">
            <v>2</v>
          </cell>
          <cell r="BX242">
            <v>253</v>
          </cell>
          <cell r="BY242">
            <v>0</v>
          </cell>
          <cell r="BZ242">
            <v>0</v>
          </cell>
          <cell r="CA242">
            <v>0</v>
          </cell>
          <cell r="CB242">
            <v>0</v>
          </cell>
          <cell r="CC242">
            <v>0</v>
          </cell>
          <cell r="CD242">
            <v>0</v>
          </cell>
          <cell r="CE242">
            <v>17</v>
          </cell>
          <cell r="CF242">
            <v>7500</v>
          </cell>
        </row>
        <row r="243">
          <cell r="B243" t="str">
            <v>Norfolk, VA</v>
          </cell>
          <cell r="C243">
            <v>1</v>
          </cell>
          <cell r="D243">
            <v>169</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1</v>
          </cell>
          <cell r="T243">
            <v>108</v>
          </cell>
          <cell r="U243">
            <v>0</v>
          </cell>
          <cell r="V243">
            <v>0</v>
          </cell>
          <cell r="W243">
            <v>0</v>
          </cell>
          <cell r="X243">
            <v>0</v>
          </cell>
          <cell r="Y243">
            <v>0</v>
          </cell>
          <cell r="Z243">
            <v>0</v>
          </cell>
          <cell r="AA243">
            <v>0</v>
          </cell>
          <cell r="AB243">
            <v>0</v>
          </cell>
          <cell r="AC243">
            <v>1</v>
          </cell>
          <cell r="AD243">
            <v>120</v>
          </cell>
          <cell r="AE243">
            <v>1</v>
          </cell>
          <cell r="AF243">
            <v>119</v>
          </cell>
          <cell r="AG243">
            <v>0</v>
          </cell>
          <cell r="AH243">
            <v>0</v>
          </cell>
          <cell r="AI243">
            <v>5</v>
          </cell>
          <cell r="AJ243">
            <v>635</v>
          </cell>
          <cell r="AK243">
            <v>6</v>
          </cell>
          <cell r="AL243">
            <v>804</v>
          </cell>
          <cell r="AM243">
            <v>4</v>
          </cell>
          <cell r="AN243">
            <v>499</v>
          </cell>
          <cell r="AO243">
            <v>4</v>
          </cell>
          <cell r="AP243">
            <v>499</v>
          </cell>
          <cell r="AQ243">
            <v>2</v>
          </cell>
          <cell r="AR243">
            <v>699</v>
          </cell>
          <cell r="AS243">
            <v>2</v>
          </cell>
          <cell r="AT243">
            <v>699</v>
          </cell>
          <cell r="AU243">
            <v>1</v>
          </cell>
          <cell r="AV243">
            <v>250</v>
          </cell>
          <cell r="AW243">
            <v>1</v>
          </cell>
          <cell r="AX243">
            <v>250</v>
          </cell>
          <cell r="AY243">
            <v>0</v>
          </cell>
          <cell r="AZ243">
            <v>0</v>
          </cell>
          <cell r="BA243">
            <v>1</v>
          </cell>
          <cell r="BB243">
            <v>108</v>
          </cell>
          <cell r="BC243">
            <v>0</v>
          </cell>
          <cell r="BD243">
            <v>0</v>
          </cell>
          <cell r="BE243">
            <v>0</v>
          </cell>
          <cell r="BF243">
            <v>0</v>
          </cell>
          <cell r="BG243">
            <v>1</v>
          </cell>
          <cell r="BH243">
            <v>93</v>
          </cell>
          <cell r="BI243">
            <v>1</v>
          </cell>
          <cell r="BJ243">
            <v>93</v>
          </cell>
          <cell r="BK243">
            <v>2</v>
          </cell>
          <cell r="BL243">
            <v>190</v>
          </cell>
          <cell r="BM243">
            <v>3</v>
          </cell>
          <cell r="BN243">
            <v>309</v>
          </cell>
          <cell r="BO243">
            <v>6</v>
          </cell>
          <cell r="BP243">
            <v>804</v>
          </cell>
          <cell r="BQ243">
            <v>4</v>
          </cell>
          <cell r="BR243">
            <v>499</v>
          </cell>
          <cell r="BS243">
            <v>2</v>
          </cell>
          <cell r="BT243">
            <v>699</v>
          </cell>
          <cell r="BU243">
            <v>1</v>
          </cell>
          <cell r="BV243">
            <v>250</v>
          </cell>
          <cell r="BW243">
            <v>1</v>
          </cell>
          <cell r="BX243">
            <v>108</v>
          </cell>
          <cell r="BY243">
            <v>0</v>
          </cell>
          <cell r="BZ243">
            <v>0</v>
          </cell>
          <cell r="CA243">
            <v>2</v>
          </cell>
          <cell r="CB243">
            <v>213</v>
          </cell>
          <cell r="CC243">
            <v>3</v>
          </cell>
          <cell r="CD243">
            <v>309</v>
          </cell>
          <cell r="CE243">
            <v>19</v>
          </cell>
          <cell r="CF243">
            <v>2882</v>
          </cell>
        </row>
        <row r="244">
          <cell r="B244" t="str">
            <v>Oahu Island, HI</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1</v>
          </cell>
          <cell r="AR244">
            <v>367</v>
          </cell>
          <cell r="AS244">
            <v>1</v>
          </cell>
          <cell r="AT244">
            <v>367</v>
          </cell>
          <cell r="AU244">
            <v>1</v>
          </cell>
          <cell r="AV244">
            <v>783</v>
          </cell>
          <cell r="AW244">
            <v>1</v>
          </cell>
          <cell r="AX244">
            <v>783</v>
          </cell>
          <cell r="AY244">
            <v>0</v>
          </cell>
          <cell r="AZ244">
            <v>0</v>
          </cell>
          <cell r="BA244">
            <v>0</v>
          </cell>
          <cell r="BB244">
            <v>0</v>
          </cell>
          <cell r="BC244">
            <v>0</v>
          </cell>
          <cell r="BD244">
            <v>0</v>
          </cell>
          <cell r="BE244">
            <v>0</v>
          </cell>
          <cell r="BF244">
            <v>0</v>
          </cell>
          <cell r="BG244">
            <v>0</v>
          </cell>
          <cell r="BH244">
            <v>0</v>
          </cell>
          <cell r="BI244">
            <v>0</v>
          </cell>
          <cell r="BJ244">
            <v>0</v>
          </cell>
          <cell r="BK244">
            <v>0</v>
          </cell>
          <cell r="BL244">
            <v>0</v>
          </cell>
          <cell r="BM244">
            <v>0</v>
          </cell>
          <cell r="BN244">
            <v>0</v>
          </cell>
          <cell r="BO244">
            <v>0</v>
          </cell>
          <cell r="BP244">
            <v>0</v>
          </cell>
          <cell r="BQ244">
            <v>0</v>
          </cell>
          <cell r="BR244">
            <v>0</v>
          </cell>
          <cell r="BS244">
            <v>1</v>
          </cell>
          <cell r="BT244">
            <v>367</v>
          </cell>
          <cell r="BU244">
            <v>1</v>
          </cell>
          <cell r="BV244">
            <v>783</v>
          </cell>
          <cell r="BW244">
            <v>0</v>
          </cell>
          <cell r="BX244">
            <v>0</v>
          </cell>
          <cell r="BY244">
            <v>0</v>
          </cell>
          <cell r="BZ244">
            <v>0</v>
          </cell>
          <cell r="CA244">
            <v>0</v>
          </cell>
          <cell r="CB244">
            <v>0</v>
          </cell>
          <cell r="CC244">
            <v>0</v>
          </cell>
          <cell r="CD244">
            <v>0</v>
          </cell>
          <cell r="CE244">
            <v>2</v>
          </cell>
          <cell r="CF244">
            <v>1150</v>
          </cell>
        </row>
        <row r="245">
          <cell r="B245" t="str">
            <v>Orlando, FL</v>
          </cell>
          <cell r="C245">
            <v>1</v>
          </cell>
          <cell r="D245">
            <v>198</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1</v>
          </cell>
          <cell r="T245">
            <v>124</v>
          </cell>
          <cell r="U245">
            <v>1</v>
          </cell>
          <cell r="V245">
            <v>99</v>
          </cell>
          <cell r="W245">
            <v>0</v>
          </cell>
          <cell r="X245">
            <v>0</v>
          </cell>
          <cell r="Y245">
            <v>0</v>
          </cell>
          <cell r="Z245">
            <v>0</v>
          </cell>
          <cell r="AA245">
            <v>1</v>
          </cell>
          <cell r="AB245">
            <v>167</v>
          </cell>
          <cell r="AC245">
            <v>2</v>
          </cell>
          <cell r="AD245">
            <v>196</v>
          </cell>
          <cell r="AE245">
            <v>0</v>
          </cell>
          <cell r="AF245">
            <v>0</v>
          </cell>
          <cell r="AG245">
            <v>0</v>
          </cell>
          <cell r="AH245">
            <v>0</v>
          </cell>
          <cell r="AI245">
            <v>9</v>
          </cell>
          <cell r="AJ245">
            <v>1585</v>
          </cell>
          <cell r="AK245">
            <v>10</v>
          </cell>
          <cell r="AL245">
            <v>1783</v>
          </cell>
          <cell r="AM245">
            <v>5</v>
          </cell>
          <cell r="AN245">
            <v>930</v>
          </cell>
          <cell r="AO245">
            <v>5</v>
          </cell>
          <cell r="AP245">
            <v>930</v>
          </cell>
          <cell r="AQ245">
            <v>5</v>
          </cell>
          <cell r="AR245">
            <v>3587</v>
          </cell>
          <cell r="AS245">
            <v>5</v>
          </cell>
          <cell r="AT245">
            <v>3587</v>
          </cell>
          <cell r="AU245">
            <v>2</v>
          </cell>
          <cell r="AV245">
            <v>1078</v>
          </cell>
          <cell r="AW245">
            <v>2</v>
          </cell>
          <cell r="AX245">
            <v>1078</v>
          </cell>
          <cell r="AY245">
            <v>3</v>
          </cell>
          <cell r="AZ245">
            <v>992</v>
          </cell>
          <cell r="BA245">
            <v>4</v>
          </cell>
          <cell r="BB245">
            <v>1116</v>
          </cell>
          <cell r="BC245">
            <v>0</v>
          </cell>
          <cell r="BD245">
            <v>0</v>
          </cell>
          <cell r="BE245">
            <v>0</v>
          </cell>
          <cell r="BF245">
            <v>0</v>
          </cell>
          <cell r="BG245">
            <v>1</v>
          </cell>
          <cell r="BH245">
            <v>400</v>
          </cell>
          <cell r="BI245">
            <v>2</v>
          </cell>
          <cell r="BJ245">
            <v>567</v>
          </cell>
          <cell r="BK245">
            <v>0</v>
          </cell>
          <cell r="BL245">
            <v>0</v>
          </cell>
          <cell r="BM245">
            <v>0</v>
          </cell>
          <cell r="BN245">
            <v>0</v>
          </cell>
          <cell r="BO245">
            <v>10</v>
          </cell>
          <cell r="BP245">
            <v>1783</v>
          </cell>
          <cell r="BQ245">
            <v>5</v>
          </cell>
          <cell r="BR245">
            <v>930</v>
          </cell>
          <cell r="BS245">
            <v>5</v>
          </cell>
          <cell r="BT245">
            <v>3587</v>
          </cell>
          <cell r="BU245">
            <v>2</v>
          </cell>
          <cell r="BV245">
            <v>1078</v>
          </cell>
          <cell r="BW245">
            <v>5</v>
          </cell>
          <cell r="BX245">
            <v>1215</v>
          </cell>
          <cell r="BY245">
            <v>0</v>
          </cell>
          <cell r="BZ245">
            <v>0</v>
          </cell>
          <cell r="CA245">
            <v>4</v>
          </cell>
          <cell r="CB245">
            <v>763</v>
          </cell>
          <cell r="CC245">
            <v>0</v>
          </cell>
          <cell r="CD245">
            <v>0</v>
          </cell>
          <cell r="CE245">
            <v>31</v>
          </cell>
          <cell r="CF245">
            <v>9356</v>
          </cell>
        </row>
        <row r="246">
          <cell r="B246" t="str">
            <v>Philadelphia, PA</v>
          </cell>
          <cell r="C246">
            <v>1</v>
          </cell>
          <cell r="D246">
            <v>498</v>
          </cell>
          <cell r="E246">
            <v>0</v>
          </cell>
          <cell r="F246">
            <v>0</v>
          </cell>
          <cell r="G246">
            <v>2</v>
          </cell>
          <cell r="H246">
            <v>210</v>
          </cell>
          <cell r="I246">
            <v>0</v>
          </cell>
          <cell r="J246">
            <v>0</v>
          </cell>
          <cell r="K246">
            <v>1</v>
          </cell>
          <cell r="L246">
            <v>210</v>
          </cell>
          <cell r="M246">
            <v>0</v>
          </cell>
          <cell r="N246">
            <v>0</v>
          </cell>
          <cell r="O246">
            <v>0</v>
          </cell>
          <cell r="P246">
            <v>0</v>
          </cell>
          <cell r="Q246">
            <v>0</v>
          </cell>
          <cell r="R246">
            <v>0</v>
          </cell>
          <cell r="S246">
            <v>0</v>
          </cell>
          <cell r="T246">
            <v>0</v>
          </cell>
          <cell r="U246">
            <v>2</v>
          </cell>
          <cell r="V246">
            <v>198</v>
          </cell>
          <cell r="W246">
            <v>0</v>
          </cell>
          <cell r="X246">
            <v>0</v>
          </cell>
          <cell r="Y246">
            <v>1</v>
          </cell>
          <cell r="Z246">
            <v>330</v>
          </cell>
          <cell r="AA246">
            <v>0</v>
          </cell>
          <cell r="AB246">
            <v>0</v>
          </cell>
          <cell r="AC246">
            <v>0</v>
          </cell>
          <cell r="AD246">
            <v>0</v>
          </cell>
          <cell r="AE246">
            <v>2</v>
          </cell>
          <cell r="AF246">
            <v>190</v>
          </cell>
          <cell r="AG246">
            <v>0</v>
          </cell>
          <cell r="AH246">
            <v>0</v>
          </cell>
          <cell r="AI246">
            <v>5</v>
          </cell>
          <cell r="AJ246">
            <v>773</v>
          </cell>
          <cell r="AK246">
            <v>6</v>
          </cell>
          <cell r="AL246">
            <v>1271</v>
          </cell>
          <cell r="AM246">
            <v>2</v>
          </cell>
          <cell r="AN246">
            <v>198</v>
          </cell>
          <cell r="AO246">
            <v>4</v>
          </cell>
          <cell r="AP246">
            <v>408</v>
          </cell>
          <cell r="AQ246">
            <v>4</v>
          </cell>
          <cell r="AR246">
            <v>2153</v>
          </cell>
          <cell r="AS246">
            <v>5</v>
          </cell>
          <cell r="AT246">
            <v>2363</v>
          </cell>
          <cell r="AU246">
            <v>0</v>
          </cell>
          <cell r="AV246">
            <v>0</v>
          </cell>
          <cell r="AW246">
            <v>0</v>
          </cell>
          <cell r="AX246">
            <v>0</v>
          </cell>
          <cell r="AY246">
            <v>4</v>
          </cell>
          <cell r="AZ246">
            <v>390</v>
          </cell>
          <cell r="BA246">
            <v>4</v>
          </cell>
          <cell r="BB246">
            <v>390</v>
          </cell>
          <cell r="BC246">
            <v>2</v>
          </cell>
          <cell r="BD246">
            <v>620</v>
          </cell>
          <cell r="BE246">
            <v>2</v>
          </cell>
          <cell r="BF246">
            <v>620</v>
          </cell>
          <cell r="BG246">
            <v>0</v>
          </cell>
          <cell r="BH246">
            <v>0</v>
          </cell>
          <cell r="BI246">
            <v>0</v>
          </cell>
          <cell r="BJ246">
            <v>0</v>
          </cell>
          <cell r="BK246">
            <v>0</v>
          </cell>
          <cell r="BL246">
            <v>0</v>
          </cell>
          <cell r="BM246">
            <v>2</v>
          </cell>
          <cell r="BN246">
            <v>190</v>
          </cell>
          <cell r="BO246">
            <v>6</v>
          </cell>
          <cell r="BP246">
            <v>1271</v>
          </cell>
          <cell r="BQ246">
            <v>4</v>
          </cell>
          <cell r="BR246">
            <v>408</v>
          </cell>
          <cell r="BS246">
            <v>5</v>
          </cell>
          <cell r="BT246">
            <v>2363</v>
          </cell>
          <cell r="BU246">
            <v>0</v>
          </cell>
          <cell r="BV246">
            <v>0</v>
          </cell>
          <cell r="BW246">
            <v>6</v>
          </cell>
          <cell r="BX246">
            <v>588</v>
          </cell>
          <cell r="BY246">
            <v>3</v>
          </cell>
          <cell r="BZ246">
            <v>950</v>
          </cell>
          <cell r="CA246">
            <v>0</v>
          </cell>
          <cell r="CB246">
            <v>0</v>
          </cell>
          <cell r="CC246">
            <v>2</v>
          </cell>
          <cell r="CD246">
            <v>190</v>
          </cell>
          <cell r="CE246">
            <v>26</v>
          </cell>
          <cell r="CF246">
            <v>5770</v>
          </cell>
        </row>
        <row r="247">
          <cell r="B247" t="str">
            <v>Phoenix, AZ</v>
          </cell>
          <cell r="C247">
            <v>1</v>
          </cell>
          <cell r="D247">
            <v>202</v>
          </cell>
          <cell r="E247">
            <v>1</v>
          </cell>
          <cell r="F247">
            <v>156</v>
          </cell>
          <cell r="G247">
            <v>0</v>
          </cell>
          <cell r="H247">
            <v>0</v>
          </cell>
          <cell r="I247">
            <v>0</v>
          </cell>
          <cell r="J247">
            <v>0</v>
          </cell>
          <cell r="K247">
            <v>1</v>
          </cell>
          <cell r="L247">
            <v>278</v>
          </cell>
          <cell r="M247">
            <v>0</v>
          </cell>
          <cell r="N247">
            <v>0</v>
          </cell>
          <cell r="O247">
            <v>0</v>
          </cell>
          <cell r="P247">
            <v>0</v>
          </cell>
          <cell r="Q247">
            <v>0</v>
          </cell>
          <cell r="R247">
            <v>0</v>
          </cell>
          <cell r="S247">
            <v>2</v>
          </cell>
          <cell r="T247">
            <v>317</v>
          </cell>
          <cell r="U247">
            <v>1</v>
          </cell>
          <cell r="V247">
            <v>102</v>
          </cell>
          <cell r="W247">
            <v>0</v>
          </cell>
          <cell r="X247">
            <v>0</v>
          </cell>
          <cell r="Y247">
            <v>0</v>
          </cell>
          <cell r="Z247">
            <v>0</v>
          </cell>
          <cell r="AA247">
            <v>0</v>
          </cell>
          <cell r="AB247">
            <v>0</v>
          </cell>
          <cell r="AC247">
            <v>2</v>
          </cell>
          <cell r="AD247">
            <v>198</v>
          </cell>
          <cell r="AE247">
            <v>1</v>
          </cell>
          <cell r="AF247">
            <v>95</v>
          </cell>
          <cell r="AG247">
            <v>1</v>
          </cell>
          <cell r="AH247">
            <v>131</v>
          </cell>
          <cell r="AI247">
            <v>7</v>
          </cell>
          <cell r="AJ247">
            <v>1031</v>
          </cell>
          <cell r="AK247">
            <v>8</v>
          </cell>
          <cell r="AL247">
            <v>1233</v>
          </cell>
          <cell r="AM247">
            <v>7</v>
          </cell>
          <cell r="AN247">
            <v>785</v>
          </cell>
          <cell r="AO247">
            <v>7</v>
          </cell>
          <cell r="AP247">
            <v>785</v>
          </cell>
          <cell r="AQ247">
            <v>4</v>
          </cell>
          <cell r="AR247">
            <v>1390</v>
          </cell>
          <cell r="AS247">
            <v>5</v>
          </cell>
          <cell r="AT247">
            <v>1668</v>
          </cell>
          <cell r="AU247">
            <v>1</v>
          </cell>
          <cell r="AV247">
            <v>171</v>
          </cell>
          <cell r="AW247">
            <v>1</v>
          </cell>
          <cell r="AX247">
            <v>171</v>
          </cell>
          <cell r="AY247">
            <v>4</v>
          </cell>
          <cell r="AZ247">
            <v>506</v>
          </cell>
          <cell r="BA247">
            <v>6</v>
          </cell>
          <cell r="BB247">
            <v>823</v>
          </cell>
          <cell r="BC247">
            <v>1</v>
          </cell>
          <cell r="BD247">
            <v>281</v>
          </cell>
          <cell r="BE247">
            <v>1</v>
          </cell>
          <cell r="BF247">
            <v>281</v>
          </cell>
          <cell r="BG247">
            <v>5</v>
          </cell>
          <cell r="BH247">
            <v>544</v>
          </cell>
          <cell r="BI247">
            <v>5</v>
          </cell>
          <cell r="BJ247">
            <v>544</v>
          </cell>
          <cell r="BK247">
            <v>1</v>
          </cell>
          <cell r="BL247">
            <v>119</v>
          </cell>
          <cell r="BM247">
            <v>2</v>
          </cell>
          <cell r="BN247">
            <v>214</v>
          </cell>
          <cell r="BO247">
            <v>9</v>
          </cell>
          <cell r="BP247">
            <v>1389</v>
          </cell>
          <cell r="BQ247">
            <v>7</v>
          </cell>
          <cell r="BR247">
            <v>785</v>
          </cell>
          <cell r="BS247">
            <v>5</v>
          </cell>
          <cell r="BT247">
            <v>1668</v>
          </cell>
          <cell r="BU247">
            <v>1</v>
          </cell>
          <cell r="BV247">
            <v>171</v>
          </cell>
          <cell r="BW247">
            <v>7</v>
          </cell>
          <cell r="BX247">
            <v>925</v>
          </cell>
          <cell r="BY247">
            <v>1</v>
          </cell>
          <cell r="BZ247">
            <v>281</v>
          </cell>
          <cell r="CA247">
            <v>7</v>
          </cell>
          <cell r="CB247">
            <v>742</v>
          </cell>
          <cell r="CC247">
            <v>3</v>
          </cell>
          <cell r="CD247">
            <v>345</v>
          </cell>
          <cell r="CE247">
            <v>40</v>
          </cell>
          <cell r="CF247">
            <v>6306</v>
          </cell>
        </row>
        <row r="248">
          <cell r="B248" t="str">
            <v>Saint Louis, MO</v>
          </cell>
          <cell r="C248">
            <v>0</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1</v>
          </cell>
          <cell r="AF248">
            <v>95</v>
          </cell>
          <cell r="AG248">
            <v>0</v>
          </cell>
          <cell r="AH248">
            <v>0</v>
          </cell>
          <cell r="AI248">
            <v>5</v>
          </cell>
          <cell r="AJ248">
            <v>696</v>
          </cell>
          <cell r="AK248">
            <v>5</v>
          </cell>
          <cell r="AL248">
            <v>696</v>
          </cell>
          <cell r="AM248">
            <v>5</v>
          </cell>
          <cell r="AN248">
            <v>448</v>
          </cell>
          <cell r="AO248">
            <v>5</v>
          </cell>
          <cell r="AP248">
            <v>448</v>
          </cell>
          <cell r="AQ248">
            <v>3</v>
          </cell>
          <cell r="AR248">
            <v>1573</v>
          </cell>
          <cell r="AS248">
            <v>3</v>
          </cell>
          <cell r="AT248">
            <v>1573</v>
          </cell>
          <cell r="AU248">
            <v>1</v>
          </cell>
          <cell r="AV248">
            <v>394</v>
          </cell>
          <cell r="AW248">
            <v>1</v>
          </cell>
          <cell r="AX248">
            <v>394</v>
          </cell>
          <cell r="AY248">
            <v>3</v>
          </cell>
          <cell r="AZ248">
            <v>336</v>
          </cell>
          <cell r="BA248">
            <v>3</v>
          </cell>
          <cell r="BB248">
            <v>336</v>
          </cell>
          <cell r="BC248">
            <v>1</v>
          </cell>
          <cell r="BD248">
            <v>301</v>
          </cell>
          <cell r="BE248">
            <v>1</v>
          </cell>
          <cell r="BF248">
            <v>301</v>
          </cell>
          <cell r="BG248">
            <v>1</v>
          </cell>
          <cell r="BH248">
            <v>92</v>
          </cell>
          <cell r="BI248">
            <v>1</v>
          </cell>
          <cell r="BJ248">
            <v>92</v>
          </cell>
          <cell r="BK248">
            <v>1</v>
          </cell>
          <cell r="BL248">
            <v>95</v>
          </cell>
          <cell r="BM248">
            <v>2</v>
          </cell>
          <cell r="BN248">
            <v>190</v>
          </cell>
          <cell r="BO248">
            <v>5</v>
          </cell>
          <cell r="BP248">
            <v>696</v>
          </cell>
          <cell r="BQ248">
            <v>5</v>
          </cell>
          <cell r="BR248">
            <v>448</v>
          </cell>
          <cell r="BS248">
            <v>3</v>
          </cell>
          <cell r="BT248">
            <v>1573</v>
          </cell>
          <cell r="BU248">
            <v>1</v>
          </cell>
          <cell r="BV248">
            <v>394</v>
          </cell>
          <cell r="BW248">
            <v>3</v>
          </cell>
          <cell r="BX248">
            <v>336</v>
          </cell>
          <cell r="BY248">
            <v>1</v>
          </cell>
          <cell r="BZ248">
            <v>301</v>
          </cell>
          <cell r="CA248">
            <v>1</v>
          </cell>
          <cell r="CB248">
            <v>92</v>
          </cell>
          <cell r="CC248">
            <v>2</v>
          </cell>
          <cell r="CD248">
            <v>190</v>
          </cell>
          <cell r="CE248">
            <v>21</v>
          </cell>
          <cell r="CF248">
            <v>4030</v>
          </cell>
        </row>
        <row r="249">
          <cell r="B249" t="str">
            <v>San Diego, CA</v>
          </cell>
          <cell r="C249">
            <v>1</v>
          </cell>
          <cell r="D249">
            <v>246</v>
          </cell>
          <cell r="E249">
            <v>1</v>
          </cell>
          <cell r="F249">
            <v>145</v>
          </cell>
          <cell r="G249">
            <v>0</v>
          </cell>
          <cell r="H249">
            <v>0</v>
          </cell>
          <cell r="I249">
            <v>0</v>
          </cell>
          <cell r="J249">
            <v>0</v>
          </cell>
          <cell r="K249">
            <v>0</v>
          </cell>
          <cell r="L249">
            <v>0</v>
          </cell>
          <cell r="M249">
            <v>0</v>
          </cell>
          <cell r="N249">
            <v>0</v>
          </cell>
          <cell r="O249">
            <v>0</v>
          </cell>
          <cell r="P249">
            <v>0</v>
          </cell>
          <cell r="Q249">
            <v>0</v>
          </cell>
          <cell r="R249">
            <v>0</v>
          </cell>
          <cell r="S249">
            <v>3</v>
          </cell>
          <cell r="T249">
            <v>392</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2</v>
          </cell>
          <cell r="AJ249">
            <v>264</v>
          </cell>
          <cell r="AK249">
            <v>3</v>
          </cell>
          <cell r="AL249">
            <v>510</v>
          </cell>
          <cell r="AM249">
            <v>0</v>
          </cell>
          <cell r="AN249">
            <v>0</v>
          </cell>
          <cell r="AO249">
            <v>0</v>
          </cell>
          <cell r="AP249">
            <v>0</v>
          </cell>
          <cell r="AQ249">
            <v>5</v>
          </cell>
          <cell r="AR249">
            <v>2629</v>
          </cell>
          <cell r="AS249">
            <v>5</v>
          </cell>
          <cell r="AT249">
            <v>2629</v>
          </cell>
          <cell r="AU249">
            <v>0</v>
          </cell>
          <cell r="AV249">
            <v>0</v>
          </cell>
          <cell r="AW249">
            <v>0</v>
          </cell>
          <cell r="AX249">
            <v>0</v>
          </cell>
          <cell r="AY249">
            <v>3</v>
          </cell>
          <cell r="AZ249">
            <v>583</v>
          </cell>
          <cell r="BA249">
            <v>6</v>
          </cell>
          <cell r="BB249">
            <v>975</v>
          </cell>
          <cell r="BC249">
            <v>0</v>
          </cell>
          <cell r="BD249">
            <v>0</v>
          </cell>
          <cell r="BE249">
            <v>0</v>
          </cell>
          <cell r="BF249">
            <v>0</v>
          </cell>
          <cell r="BG249">
            <v>0</v>
          </cell>
          <cell r="BH249">
            <v>0</v>
          </cell>
          <cell r="BI249">
            <v>0</v>
          </cell>
          <cell r="BJ249">
            <v>0</v>
          </cell>
          <cell r="BK249">
            <v>0</v>
          </cell>
          <cell r="BL249">
            <v>0</v>
          </cell>
          <cell r="BM249">
            <v>0</v>
          </cell>
          <cell r="BN249">
            <v>0</v>
          </cell>
          <cell r="BO249">
            <v>4</v>
          </cell>
          <cell r="BP249">
            <v>655</v>
          </cell>
          <cell r="BQ249">
            <v>0</v>
          </cell>
          <cell r="BR249">
            <v>0</v>
          </cell>
          <cell r="BS249">
            <v>5</v>
          </cell>
          <cell r="BT249">
            <v>2629</v>
          </cell>
          <cell r="BU249">
            <v>0</v>
          </cell>
          <cell r="BV249">
            <v>0</v>
          </cell>
          <cell r="BW249">
            <v>6</v>
          </cell>
          <cell r="BX249">
            <v>975</v>
          </cell>
          <cell r="BY249">
            <v>0</v>
          </cell>
          <cell r="BZ249">
            <v>0</v>
          </cell>
          <cell r="CA249">
            <v>0</v>
          </cell>
          <cell r="CB249">
            <v>0</v>
          </cell>
          <cell r="CC249">
            <v>0</v>
          </cell>
          <cell r="CD249">
            <v>0</v>
          </cell>
          <cell r="CE249">
            <v>15</v>
          </cell>
          <cell r="CF249">
            <v>4259</v>
          </cell>
        </row>
        <row r="250">
          <cell r="B250" t="str">
            <v>San Francisco, CA</v>
          </cell>
          <cell r="C250">
            <v>1</v>
          </cell>
          <cell r="D250">
            <v>136</v>
          </cell>
          <cell r="E250">
            <v>0</v>
          </cell>
          <cell r="F250">
            <v>0</v>
          </cell>
          <cell r="G250">
            <v>0</v>
          </cell>
          <cell r="H250">
            <v>0</v>
          </cell>
          <cell r="I250">
            <v>0</v>
          </cell>
          <cell r="J250">
            <v>0</v>
          </cell>
          <cell r="K250">
            <v>0</v>
          </cell>
          <cell r="L250">
            <v>0</v>
          </cell>
          <cell r="M250">
            <v>1</v>
          </cell>
          <cell r="N250">
            <v>313</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3</v>
          </cell>
          <cell r="AJ250">
            <v>440</v>
          </cell>
          <cell r="AK250">
            <v>4</v>
          </cell>
          <cell r="AL250">
            <v>576</v>
          </cell>
          <cell r="AM250">
            <v>0</v>
          </cell>
          <cell r="AN250">
            <v>0</v>
          </cell>
          <cell r="AO250">
            <v>0</v>
          </cell>
          <cell r="AP250">
            <v>0</v>
          </cell>
          <cell r="AQ250">
            <v>3</v>
          </cell>
          <cell r="AR250">
            <v>2439</v>
          </cell>
          <cell r="AS250">
            <v>3</v>
          </cell>
          <cell r="AT250">
            <v>2439</v>
          </cell>
          <cell r="AU250">
            <v>2</v>
          </cell>
          <cell r="AV250">
            <v>1401</v>
          </cell>
          <cell r="AW250">
            <v>2</v>
          </cell>
          <cell r="AX250">
            <v>1401</v>
          </cell>
          <cell r="AY250">
            <v>1</v>
          </cell>
          <cell r="AZ250">
            <v>159</v>
          </cell>
          <cell r="BA250">
            <v>1</v>
          </cell>
          <cell r="BB250">
            <v>159</v>
          </cell>
          <cell r="BC250">
            <v>1</v>
          </cell>
          <cell r="BD250">
            <v>336</v>
          </cell>
          <cell r="BE250">
            <v>1</v>
          </cell>
          <cell r="BF250">
            <v>336</v>
          </cell>
          <cell r="BG250">
            <v>0</v>
          </cell>
          <cell r="BH250">
            <v>0</v>
          </cell>
          <cell r="BI250">
            <v>0</v>
          </cell>
          <cell r="BJ250">
            <v>0</v>
          </cell>
          <cell r="BK250">
            <v>0</v>
          </cell>
          <cell r="BL250">
            <v>0</v>
          </cell>
          <cell r="BM250">
            <v>0</v>
          </cell>
          <cell r="BN250">
            <v>0</v>
          </cell>
          <cell r="BO250">
            <v>4</v>
          </cell>
          <cell r="BP250">
            <v>576</v>
          </cell>
          <cell r="BQ250">
            <v>0</v>
          </cell>
          <cell r="BR250">
            <v>0</v>
          </cell>
          <cell r="BS250">
            <v>4</v>
          </cell>
          <cell r="BT250">
            <v>2752</v>
          </cell>
          <cell r="BU250">
            <v>2</v>
          </cell>
          <cell r="BV250">
            <v>1401</v>
          </cell>
          <cell r="BW250">
            <v>1</v>
          </cell>
          <cell r="BX250">
            <v>159</v>
          </cell>
          <cell r="BY250">
            <v>1</v>
          </cell>
          <cell r="BZ250">
            <v>336</v>
          </cell>
          <cell r="CA250">
            <v>0</v>
          </cell>
          <cell r="CB250">
            <v>0</v>
          </cell>
          <cell r="CC250">
            <v>0</v>
          </cell>
          <cell r="CD250">
            <v>0</v>
          </cell>
          <cell r="CE250">
            <v>12</v>
          </cell>
          <cell r="CF250">
            <v>5224</v>
          </cell>
        </row>
        <row r="251">
          <cell r="B251" t="str">
            <v>Seattle, WA</v>
          </cell>
          <cell r="C251">
            <v>3</v>
          </cell>
          <cell r="D251">
            <v>625</v>
          </cell>
          <cell r="E251">
            <v>1</v>
          </cell>
          <cell r="F251">
            <v>160</v>
          </cell>
          <cell r="G251">
            <v>0</v>
          </cell>
          <cell r="H251">
            <v>0</v>
          </cell>
          <cell r="I251">
            <v>0</v>
          </cell>
          <cell r="J251">
            <v>0</v>
          </cell>
          <cell r="K251">
            <v>0</v>
          </cell>
          <cell r="L251">
            <v>0</v>
          </cell>
          <cell r="M251">
            <v>0</v>
          </cell>
          <cell r="N251">
            <v>0</v>
          </cell>
          <cell r="O251">
            <v>0</v>
          </cell>
          <cell r="P251">
            <v>0</v>
          </cell>
          <cell r="Q251">
            <v>0</v>
          </cell>
          <cell r="R251">
            <v>0</v>
          </cell>
          <cell r="S251">
            <v>1</v>
          </cell>
          <cell r="T251">
            <v>180</v>
          </cell>
          <cell r="U251">
            <v>0</v>
          </cell>
          <cell r="V251">
            <v>0</v>
          </cell>
          <cell r="W251">
            <v>0</v>
          </cell>
          <cell r="X251">
            <v>0</v>
          </cell>
          <cell r="Y251">
            <v>0</v>
          </cell>
          <cell r="Z251">
            <v>0</v>
          </cell>
          <cell r="AA251">
            <v>1</v>
          </cell>
          <cell r="AB251">
            <v>84</v>
          </cell>
          <cell r="AC251">
            <v>1</v>
          </cell>
          <cell r="AD251">
            <v>114</v>
          </cell>
          <cell r="AE251">
            <v>0</v>
          </cell>
          <cell r="AF251">
            <v>0</v>
          </cell>
          <cell r="AG251">
            <v>1</v>
          </cell>
          <cell r="AH251">
            <v>135</v>
          </cell>
          <cell r="AI251">
            <v>2</v>
          </cell>
          <cell r="AJ251">
            <v>301</v>
          </cell>
          <cell r="AK251">
            <v>5</v>
          </cell>
          <cell r="AL251">
            <v>926</v>
          </cell>
          <cell r="AM251">
            <v>2</v>
          </cell>
          <cell r="AN251">
            <v>204</v>
          </cell>
          <cell r="AO251">
            <v>2</v>
          </cell>
          <cell r="AP251">
            <v>204</v>
          </cell>
          <cell r="AQ251">
            <v>1</v>
          </cell>
          <cell r="AR251">
            <v>459</v>
          </cell>
          <cell r="AS251">
            <v>1</v>
          </cell>
          <cell r="AT251">
            <v>459</v>
          </cell>
          <cell r="AU251">
            <v>1</v>
          </cell>
          <cell r="AV251">
            <v>553</v>
          </cell>
          <cell r="AW251">
            <v>1</v>
          </cell>
          <cell r="AX251">
            <v>553</v>
          </cell>
          <cell r="AY251">
            <v>5</v>
          </cell>
          <cell r="AZ251">
            <v>648</v>
          </cell>
          <cell r="BA251">
            <v>6</v>
          </cell>
          <cell r="BB251">
            <v>828</v>
          </cell>
          <cell r="BC251">
            <v>0</v>
          </cell>
          <cell r="BD251">
            <v>0</v>
          </cell>
          <cell r="BE251">
            <v>0</v>
          </cell>
          <cell r="BF251">
            <v>0</v>
          </cell>
          <cell r="BG251">
            <v>0</v>
          </cell>
          <cell r="BH251">
            <v>0</v>
          </cell>
          <cell r="BI251">
            <v>1</v>
          </cell>
          <cell r="BJ251">
            <v>84</v>
          </cell>
          <cell r="BK251">
            <v>0</v>
          </cell>
          <cell r="BL251">
            <v>0</v>
          </cell>
          <cell r="BM251">
            <v>0</v>
          </cell>
          <cell r="BN251">
            <v>0</v>
          </cell>
          <cell r="BO251">
            <v>6</v>
          </cell>
          <cell r="BP251">
            <v>1086</v>
          </cell>
          <cell r="BQ251">
            <v>2</v>
          </cell>
          <cell r="BR251">
            <v>204</v>
          </cell>
          <cell r="BS251">
            <v>1</v>
          </cell>
          <cell r="BT251">
            <v>459</v>
          </cell>
          <cell r="BU251">
            <v>1</v>
          </cell>
          <cell r="BV251">
            <v>553</v>
          </cell>
          <cell r="BW251">
            <v>6</v>
          </cell>
          <cell r="BX251">
            <v>828</v>
          </cell>
          <cell r="BY251">
            <v>0</v>
          </cell>
          <cell r="BZ251">
            <v>0</v>
          </cell>
          <cell r="CA251">
            <v>2</v>
          </cell>
          <cell r="CB251">
            <v>198</v>
          </cell>
          <cell r="CC251">
            <v>1</v>
          </cell>
          <cell r="CD251">
            <v>135</v>
          </cell>
          <cell r="CE251">
            <v>19</v>
          </cell>
          <cell r="CF251">
            <v>3463</v>
          </cell>
        </row>
        <row r="252">
          <cell r="B252" t="str">
            <v>Tampa, FL</v>
          </cell>
          <cell r="C252">
            <v>0</v>
          </cell>
          <cell r="D252">
            <v>0</v>
          </cell>
          <cell r="E252">
            <v>0</v>
          </cell>
          <cell r="F252">
            <v>0</v>
          </cell>
          <cell r="G252">
            <v>0</v>
          </cell>
          <cell r="H252">
            <v>0</v>
          </cell>
          <cell r="I252">
            <v>0</v>
          </cell>
          <cell r="J252">
            <v>0</v>
          </cell>
          <cell r="K252">
            <v>0</v>
          </cell>
          <cell r="L252">
            <v>0</v>
          </cell>
          <cell r="M252">
            <v>1</v>
          </cell>
          <cell r="N252">
            <v>717</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2</v>
          </cell>
          <cell r="AF252">
            <v>190</v>
          </cell>
          <cell r="AG252">
            <v>0</v>
          </cell>
          <cell r="AH252">
            <v>0</v>
          </cell>
          <cell r="AI252">
            <v>5</v>
          </cell>
          <cell r="AJ252">
            <v>598</v>
          </cell>
          <cell r="AK252">
            <v>5</v>
          </cell>
          <cell r="AL252">
            <v>598</v>
          </cell>
          <cell r="AM252">
            <v>3</v>
          </cell>
          <cell r="AN252">
            <v>273</v>
          </cell>
          <cell r="AO252">
            <v>3</v>
          </cell>
          <cell r="AP252">
            <v>273</v>
          </cell>
          <cell r="AQ252">
            <v>2</v>
          </cell>
          <cell r="AR252">
            <v>606</v>
          </cell>
          <cell r="AS252">
            <v>2</v>
          </cell>
          <cell r="AT252">
            <v>606</v>
          </cell>
          <cell r="AU252">
            <v>1</v>
          </cell>
          <cell r="AV252">
            <v>360</v>
          </cell>
          <cell r="AW252">
            <v>1</v>
          </cell>
          <cell r="AX252">
            <v>360</v>
          </cell>
          <cell r="AY252">
            <v>5</v>
          </cell>
          <cell r="AZ252">
            <v>522</v>
          </cell>
          <cell r="BA252">
            <v>5</v>
          </cell>
          <cell r="BB252">
            <v>522</v>
          </cell>
          <cell r="BC252">
            <v>0</v>
          </cell>
          <cell r="BD252">
            <v>0</v>
          </cell>
          <cell r="BE252">
            <v>0</v>
          </cell>
          <cell r="BF252">
            <v>0</v>
          </cell>
          <cell r="BG252">
            <v>0</v>
          </cell>
          <cell r="BH252">
            <v>0</v>
          </cell>
          <cell r="BI252">
            <v>0</v>
          </cell>
          <cell r="BJ252">
            <v>0</v>
          </cell>
          <cell r="BK252">
            <v>0</v>
          </cell>
          <cell r="BL252">
            <v>0</v>
          </cell>
          <cell r="BM252">
            <v>2</v>
          </cell>
          <cell r="BN252">
            <v>190</v>
          </cell>
          <cell r="BO252">
            <v>5</v>
          </cell>
          <cell r="BP252">
            <v>598</v>
          </cell>
          <cell r="BQ252">
            <v>3</v>
          </cell>
          <cell r="BR252">
            <v>273</v>
          </cell>
          <cell r="BS252">
            <v>3</v>
          </cell>
          <cell r="BT252">
            <v>1323</v>
          </cell>
          <cell r="BU252">
            <v>1</v>
          </cell>
          <cell r="BV252">
            <v>360</v>
          </cell>
          <cell r="BW252">
            <v>5</v>
          </cell>
          <cell r="BX252">
            <v>522</v>
          </cell>
          <cell r="BY252">
            <v>0</v>
          </cell>
          <cell r="BZ252">
            <v>0</v>
          </cell>
          <cell r="CA252">
            <v>0</v>
          </cell>
          <cell r="CB252">
            <v>0</v>
          </cell>
          <cell r="CC252">
            <v>2</v>
          </cell>
          <cell r="CD252">
            <v>190</v>
          </cell>
          <cell r="CE252">
            <v>19</v>
          </cell>
          <cell r="CF252">
            <v>3266</v>
          </cell>
        </row>
        <row r="253">
          <cell r="B253" t="str">
            <v>Washington, DC</v>
          </cell>
          <cell r="C253">
            <v>2</v>
          </cell>
          <cell r="D253">
            <v>278</v>
          </cell>
          <cell r="E253">
            <v>0</v>
          </cell>
          <cell r="F253">
            <v>0</v>
          </cell>
          <cell r="G253">
            <v>1</v>
          </cell>
          <cell r="H253">
            <v>80</v>
          </cell>
          <cell r="I253">
            <v>0</v>
          </cell>
          <cell r="J253">
            <v>0</v>
          </cell>
          <cell r="K253">
            <v>0</v>
          </cell>
          <cell r="L253">
            <v>0</v>
          </cell>
          <cell r="M253">
            <v>0</v>
          </cell>
          <cell r="N253">
            <v>0</v>
          </cell>
          <cell r="O253">
            <v>0</v>
          </cell>
          <cell r="P253">
            <v>0</v>
          </cell>
          <cell r="Q253">
            <v>0</v>
          </cell>
          <cell r="R253">
            <v>0</v>
          </cell>
          <cell r="S253">
            <v>2</v>
          </cell>
          <cell r="T253">
            <v>378</v>
          </cell>
          <cell r="U253">
            <v>2</v>
          </cell>
          <cell r="V253">
            <v>266</v>
          </cell>
          <cell r="W253">
            <v>0</v>
          </cell>
          <cell r="X253">
            <v>0</v>
          </cell>
          <cell r="Y253">
            <v>0</v>
          </cell>
          <cell r="Z253">
            <v>0</v>
          </cell>
          <cell r="AA253">
            <v>1</v>
          </cell>
          <cell r="AB253">
            <v>136</v>
          </cell>
          <cell r="AC253">
            <v>1</v>
          </cell>
          <cell r="AD253">
            <v>162</v>
          </cell>
          <cell r="AE253">
            <v>3</v>
          </cell>
          <cell r="AF253">
            <v>312</v>
          </cell>
          <cell r="AG253">
            <v>0</v>
          </cell>
          <cell r="AH253">
            <v>0</v>
          </cell>
          <cell r="AI253">
            <v>14</v>
          </cell>
          <cell r="AJ253">
            <v>2321</v>
          </cell>
          <cell r="AK253">
            <v>16</v>
          </cell>
          <cell r="AL253">
            <v>2599</v>
          </cell>
          <cell r="AM253">
            <v>5</v>
          </cell>
          <cell r="AN253">
            <v>573</v>
          </cell>
          <cell r="AO253">
            <v>6</v>
          </cell>
          <cell r="AP253">
            <v>653</v>
          </cell>
          <cell r="AQ253">
            <v>17</v>
          </cell>
          <cell r="AR253">
            <v>7724</v>
          </cell>
          <cell r="AS253">
            <v>17</v>
          </cell>
          <cell r="AT253">
            <v>7724</v>
          </cell>
          <cell r="AU253">
            <v>2</v>
          </cell>
          <cell r="AV253">
            <v>1459</v>
          </cell>
          <cell r="AW253">
            <v>2</v>
          </cell>
          <cell r="AX253">
            <v>1459</v>
          </cell>
          <cell r="AY253">
            <v>6</v>
          </cell>
          <cell r="AZ253">
            <v>996</v>
          </cell>
          <cell r="BA253">
            <v>8</v>
          </cell>
          <cell r="BB253">
            <v>1374</v>
          </cell>
          <cell r="BC253">
            <v>3</v>
          </cell>
          <cell r="BD253">
            <v>1044</v>
          </cell>
          <cell r="BE253">
            <v>3</v>
          </cell>
          <cell r="BF253">
            <v>1044</v>
          </cell>
          <cell r="BG253">
            <v>0</v>
          </cell>
          <cell r="BH253">
            <v>0</v>
          </cell>
          <cell r="BI253">
            <v>1</v>
          </cell>
          <cell r="BJ253">
            <v>136</v>
          </cell>
          <cell r="BK253">
            <v>2</v>
          </cell>
          <cell r="BL253">
            <v>191</v>
          </cell>
          <cell r="BM253">
            <v>5</v>
          </cell>
          <cell r="BN253">
            <v>503</v>
          </cell>
          <cell r="BO253">
            <v>16</v>
          </cell>
          <cell r="BP253">
            <v>2599</v>
          </cell>
          <cell r="BQ253">
            <v>6</v>
          </cell>
          <cell r="BR253">
            <v>653</v>
          </cell>
          <cell r="BS253">
            <v>17</v>
          </cell>
          <cell r="BT253">
            <v>7724</v>
          </cell>
          <cell r="BU253">
            <v>2</v>
          </cell>
          <cell r="BV253">
            <v>1459</v>
          </cell>
          <cell r="BW253">
            <v>10</v>
          </cell>
          <cell r="BX253">
            <v>1640</v>
          </cell>
          <cell r="BY253">
            <v>3</v>
          </cell>
          <cell r="BZ253">
            <v>1044</v>
          </cell>
          <cell r="CA253">
            <v>2</v>
          </cell>
          <cell r="CB253">
            <v>298</v>
          </cell>
          <cell r="CC253">
            <v>5</v>
          </cell>
          <cell r="CD253">
            <v>503</v>
          </cell>
          <cell r="CE253">
            <v>61</v>
          </cell>
          <cell r="CF253">
            <v>15920</v>
          </cell>
        </row>
      </sheetData>
      <sheetData sheetId="28" refreshError="1">
        <row r="253">
          <cell r="B253" t="str">
            <v>Club Hotel by Doubletree</v>
          </cell>
          <cell r="C253">
            <v>1</v>
          </cell>
          <cell r="D253">
            <v>268</v>
          </cell>
          <cell r="E253">
            <v>0</v>
          </cell>
          <cell r="F253">
            <v>0</v>
          </cell>
          <cell r="G253">
            <v>2</v>
          </cell>
          <cell r="H253">
            <v>375</v>
          </cell>
          <cell r="I253">
            <v>2</v>
          </cell>
          <cell r="J253">
            <v>375</v>
          </cell>
          <cell r="K253">
            <v>3</v>
          </cell>
          <cell r="L253">
            <v>462</v>
          </cell>
          <cell r="M253" t="str">
            <v>Club Hotel by Doubletree</v>
          </cell>
        </row>
        <row r="254">
          <cell r="B254" t="str">
            <v>Courtyard by Marriott</v>
          </cell>
          <cell r="C254">
            <v>41</v>
          </cell>
          <cell r="D254">
            <v>5712</v>
          </cell>
          <cell r="E254">
            <v>46</v>
          </cell>
          <cell r="F254">
            <v>7381</v>
          </cell>
          <cell r="G254">
            <v>31</v>
          </cell>
          <cell r="H254">
            <v>4596</v>
          </cell>
          <cell r="I254">
            <v>77</v>
          </cell>
          <cell r="J254">
            <v>11977</v>
          </cell>
          <cell r="K254">
            <v>38</v>
          </cell>
          <cell r="L254">
            <v>5160</v>
          </cell>
          <cell r="M254" t="str">
            <v>Courtyard by Marriott</v>
          </cell>
        </row>
        <row r="255">
          <cell r="B255" t="str">
            <v>Doubletree Guest Suites</v>
          </cell>
          <cell r="C255">
            <v>2</v>
          </cell>
          <cell r="D255">
            <v>470</v>
          </cell>
          <cell r="E255">
            <v>0</v>
          </cell>
          <cell r="F255">
            <v>0</v>
          </cell>
          <cell r="G255">
            <v>0</v>
          </cell>
          <cell r="H255">
            <v>0</v>
          </cell>
          <cell r="I255">
            <v>0</v>
          </cell>
          <cell r="J255">
            <v>0</v>
          </cell>
          <cell r="K255">
            <v>0</v>
          </cell>
          <cell r="L255">
            <v>0</v>
          </cell>
          <cell r="M255" t="str">
            <v>Doubletree Guest Suites</v>
          </cell>
        </row>
        <row r="256">
          <cell r="B256" t="str">
            <v>Doubletree Hotel</v>
          </cell>
          <cell r="C256">
            <v>2</v>
          </cell>
          <cell r="D256">
            <v>308</v>
          </cell>
          <cell r="E256">
            <v>3</v>
          </cell>
          <cell r="F256">
            <v>980</v>
          </cell>
          <cell r="G256">
            <v>3</v>
          </cell>
          <cell r="H256">
            <v>624</v>
          </cell>
          <cell r="I256">
            <v>6</v>
          </cell>
          <cell r="J256">
            <v>1604</v>
          </cell>
          <cell r="K256">
            <v>4</v>
          </cell>
          <cell r="L256">
            <v>1242</v>
          </cell>
          <cell r="M256" t="str">
            <v>Doubletree Hotel</v>
          </cell>
        </row>
        <row r="257">
          <cell r="B257" t="str">
            <v>Embassy Suites</v>
          </cell>
          <cell r="C257">
            <v>6</v>
          </cell>
          <cell r="D257">
            <v>1589</v>
          </cell>
          <cell r="E257">
            <v>12</v>
          </cell>
          <cell r="F257">
            <v>3010</v>
          </cell>
          <cell r="G257">
            <v>5</v>
          </cell>
          <cell r="H257">
            <v>1261</v>
          </cell>
          <cell r="I257">
            <v>17</v>
          </cell>
          <cell r="J257">
            <v>4271</v>
          </cell>
          <cell r="K257">
            <v>14</v>
          </cell>
          <cell r="L257">
            <v>3172</v>
          </cell>
          <cell r="M257" t="str">
            <v>Embassy Suites</v>
          </cell>
        </row>
        <row r="258">
          <cell r="B258" t="str">
            <v>Fairfield Inn</v>
          </cell>
          <cell r="C258">
            <v>20</v>
          </cell>
          <cell r="D258">
            <v>1622</v>
          </cell>
          <cell r="E258">
            <v>19</v>
          </cell>
          <cell r="F258">
            <v>2007</v>
          </cell>
          <cell r="G258">
            <v>19</v>
          </cell>
          <cell r="H258">
            <v>1722</v>
          </cell>
          <cell r="I258">
            <v>38</v>
          </cell>
          <cell r="J258">
            <v>3729</v>
          </cell>
          <cell r="K258">
            <v>20</v>
          </cell>
          <cell r="L258">
            <v>1845</v>
          </cell>
          <cell r="M258" t="str">
            <v>Fairfield Inn</v>
          </cell>
        </row>
        <row r="259">
          <cell r="B259" t="str">
            <v>Hampton Inn</v>
          </cell>
          <cell r="C259">
            <v>68</v>
          </cell>
          <cell r="D259">
            <v>6136</v>
          </cell>
          <cell r="E259">
            <v>69</v>
          </cell>
          <cell r="F259">
            <v>6064</v>
          </cell>
          <cell r="G259">
            <v>20</v>
          </cell>
          <cell r="H259">
            <v>1781</v>
          </cell>
          <cell r="I259">
            <v>89</v>
          </cell>
          <cell r="J259">
            <v>7845</v>
          </cell>
          <cell r="K259">
            <v>40</v>
          </cell>
          <cell r="L259">
            <v>3571</v>
          </cell>
          <cell r="M259" t="str">
            <v>Hampton Inn</v>
          </cell>
        </row>
        <row r="260">
          <cell r="B260" t="str">
            <v>Hampton Inn &amp; Suites</v>
          </cell>
          <cell r="C260">
            <v>21</v>
          </cell>
          <cell r="D260">
            <v>2467</v>
          </cell>
          <cell r="E260">
            <v>17</v>
          </cell>
          <cell r="F260">
            <v>1926</v>
          </cell>
          <cell r="G260">
            <v>10</v>
          </cell>
          <cell r="H260">
            <v>1026</v>
          </cell>
          <cell r="I260">
            <v>27</v>
          </cell>
          <cell r="J260">
            <v>2952</v>
          </cell>
          <cell r="K260">
            <v>27</v>
          </cell>
          <cell r="L260">
            <v>2495</v>
          </cell>
          <cell r="M260" t="str">
            <v>Hampton Inn &amp; Suites</v>
          </cell>
        </row>
        <row r="261">
          <cell r="B261" t="str">
            <v>Hilton Garden Inn</v>
          </cell>
          <cell r="C261">
            <v>33</v>
          </cell>
          <cell r="D261">
            <v>4927</v>
          </cell>
          <cell r="E261">
            <v>33</v>
          </cell>
          <cell r="F261">
            <v>4744</v>
          </cell>
          <cell r="G261">
            <v>52</v>
          </cell>
          <cell r="H261">
            <v>6770</v>
          </cell>
          <cell r="I261">
            <v>85</v>
          </cell>
          <cell r="J261">
            <v>11514</v>
          </cell>
          <cell r="K261">
            <v>45</v>
          </cell>
          <cell r="L261">
            <v>5756</v>
          </cell>
          <cell r="M261" t="str">
            <v>Hilton Garden Inn</v>
          </cell>
        </row>
        <row r="262">
          <cell r="B262" t="str">
            <v>Hilton Hotel</v>
          </cell>
          <cell r="C262">
            <v>9</v>
          </cell>
          <cell r="D262">
            <v>2201</v>
          </cell>
          <cell r="E262">
            <v>8</v>
          </cell>
          <cell r="F262">
            <v>2529</v>
          </cell>
          <cell r="G262">
            <v>8</v>
          </cell>
          <cell r="H262">
            <v>4113</v>
          </cell>
          <cell r="I262">
            <v>16</v>
          </cell>
          <cell r="J262">
            <v>6642</v>
          </cell>
          <cell r="K262">
            <v>7</v>
          </cell>
          <cell r="L262">
            <v>1586</v>
          </cell>
          <cell r="M262" t="str">
            <v>Hilton Hotel</v>
          </cell>
        </row>
        <row r="263">
          <cell r="B263" t="str">
            <v>Homewood Suites by Hilton</v>
          </cell>
          <cell r="C263">
            <v>6</v>
          </cell>
          <cell r="D263">
            <v>641</v>
          </cell>
          <cell r="E263">
            <v>13</v>
          </cell>
          <cell r="F263">
            <v>1560</v>
          </cell>
          <cell r="G263">
            <v>6</v>
          </cell>
          <cell r="H263">
            <v>714</v>
          </cell>
          <cell r="I263">
            <v>19</v>
          </cell>
          <cell r="J263">
            <v>2274</v>
          </cell>
          <cell r="K263">
            <v>15</v>
          </cell>
          <cell r="L263">
            <v>1736</v>
          </cell>
          <cell r="M263" t="str">
            <v>Homewood Suites by Hilton</v>
          </cell>
        </row>
        <row r="264">
          <cell r="B264" t="str">
            <v>Marriott HRS</v>
          </cell>
          <cell r="C264">
            <v>9</v>
          </cell>
          <cell r="D264">
            <v>3295</v>
          </cell>
          <cell r="E264">
            <v>18</v>
          </cell>
          <cell r="F264">
            <v>6278</v>
          </cell>
          <cell r="G264">
            <v>12</v>
          </cell>
          <cell r="H264">
            <v>5211</v>
          </cell>
          <cell r="I264">
            <v>30</v>
          </cell>
          <cell r="J264">
            <v>11489</v>
          </cell>
          <cell r="K264">
            <v>15</v>
          </cell>
          <cell r="L264">
            <v>4183</v>
          </cell>
          <cell r="M264" t="str">
            <v>Marriott HRS</v>
          </cell>
        </row>
        <row r="265">
          <cell r="B265" t="str">
            <v>Renaissance Hotel</v>
          </cell>
          <cell r="C265">
            <v>4</v>
          </cell>
          <cell r="D265">
            <v>915</v>
          </cell>
          <cell r="E265">
            <v>12</v>
          </cell>
          <cell r="F265">
            <v>3185</v>
          </cell>
          <cell r="G265">
            <v>3</v>
          </cell>
          <cell r="H265">
            <v>1326</v>
          </cell>
          <cell r="I265">
            <v>15</v>
          </cell>
          <cell r="J265">
            <v>4511</v>
          </cell>
          <cell r="K265">
            <v>5</v>
          </cell>
          <cell r="L265">
            <v>1499</v>
          </cell>
          <cell r="M265" t="str">
            <v>Renaissance Hotel</v>
          </cell>
        </row>
        <row r="266">
          <cell r="B266" t="str">
            <v>Residence Inn</v>
          </cell>
          <cell r="C266">
            <v>32</v>
          </cell>
          <cell r="D266">
            <v>3492</v>
          </cell>
          <cell r="E266">
            <v>33</v>
          </cell>
          <cell r="F266">
            <v>4322</v>
          </cell>
          <cell r="G266">
            <v>40</v>
          </cell>
          <cell r="H266">
            <v>5034</v>
          </cell>
          <cell r="I266">
            <v>73</v>
          </cell>
          <cell r="J266">
            <v>9356</v>
          </cell>
          <cell r="K266">
            <v>37</v>
          </cell>
          <cell r="L266">
            <v>4931</v>
          </cell>
          <cell r="M266" t="str">
            <v>Residence Inn</v>
          </cell>
        </row>
        <row r="267">
          <cell r="B267" t="str">
            <v>Ritz-Carlton</v>
          </cell>
          <cell r="C267">
            <v>1</v>
          </cell>
          <cell r="D267">
            <v>330</v>
          </cell>
          <cell r="E267">
            <v>13</v>
          </cell>
          <cell r="F267">
            <v>3653</v>
          </cell>
          <cell r="G267">
            <v>7</v>
          </cell>
          <cell r="H267">
            <v>2299</v>
          </cell>
          <cell r="I267">
            <v>20</v>
          </cell>
          <cell r="J267">
            <v>5952</v>
          </cell>
          <cell r="K267">
            <v>2</v>
          </cell>
          <cell r="L267">
            <v>508</v>
          </cell>
          <cell r="M267" t="str">
            <v>Ritz-Carlton</v>
          </cell>
        </row>
        <row r="268">
          <cell r="B268" t="str">
            <v>SpringHill Suites</v>
          </cell>
          <cell r="C268">
            <v>24</v>
          </cell>
          <cell r="D268">
            <v>2374</v>
          </cell>
          <cell r="E268">
            <v>23</v>
          </cell>
          <cell r="F268">
            <v>3276</v>
          </cell>
          <cell r="G268">
            <v>22</v>
          </cell>
          <cell r="H268">
            <v>2835</v>
          </cell>
          <cell r="I268">
            <v>45</v>
          </cell>
          <cell r="J268">
            <v>6111</v>
          </cell>
          <cell r="K268">
            <v>24</v>
          </cell>
          <cell r="L268">
            <v>3552</v>
          </cell>
          <cell r="M268" t="str">
            <v>SpringHill Suites</v>
          </cell>
        </row>
        <row r="269">
          <cell r="B269" t="str">
            <v>TownePlace Suites</v>
          </cell>
          <cell r="C269">
            <v>30</v>
          </cell>
          <cell r="D269">
            <v>3042</v>
          </cell>
          <cell r="E269">
            <v>14</v>
          </cell>
          <cell r="F269">
            <v>1595</v>
          </cell>
          <cell r="G269">
            <v>7</v>
          </cell>
          <cell r="H269">
            <v>695</v>
          </cell>
          <cell r="I269">
            <v>21</v>
          </cell>
          <cell r="J269">
            <v>2290</v>
          </cell>
          <cell r="K269">
            <v>7</v>
          </cell>
          <cell r="L269">
            <v>729</v>
          </cell>
          <cell r="M269" t="str">
            <v>TownePlace Suites</v>
          </cell>
        </row>
        <row r="321">
          <cell r="B321" t="str">
            <v>Anaheim, CA</v>
          </cell>
          <cell r="C321">
            <v>0</v>
          </cell>
          <cell r="D321">
            <v>0</v>
          </cell>
          <cell r="E321">
            <v>0</v>
          </cell>
          <cell r="F321">
            <v>0</v>
          </cell>
          <cell r="G321">
            <v>0</v>
          </cell>
          <cell r="H321">
            <v>0</v>
          </cell>
          <cell r="I321">
            <v>0</v>
          </cell>
          <cell r="J321">
            <v>0</v>
          </cell>
          <cell r="K321">
            <v>0</v>
          </cell>
          <cell r="L321">
            <v>0</v>
          </cell>
          <cell r="M321">
            <v>0</v>
          </cell>
          <cell r="N321">
            <v>0</v>
          </cell>
          <cell r="O321">
            <v>0</v>
          </cell>
          <cell r="P321">
            <v>0</v>
          </cell>
          <cell r="Q321">
            <v>0</v>
          </cell>
          <cell r="R321">
            <v>0</v>
          </cell>
          <cell r="S321">
            <v>0</v>
          </cell>
          <cell r="T321">
            <v>0</v>
          </cell>
          <cell r="U321">
            <v>0</v>
          </cell>
          <cell r="V321">
            <v>0</v>
          </cell>
          <cell r="W321">
            <v>0</v>
          </cell>
          <cell r="X321">
            <v>0</v>
          </cell>
          <cell r="Y321">
            <v>1</v>
          </cell>
          <cell r="Z321">
            <v>371</v>
          </cell>
          <cell r="AA321">
            <v>0</v>
          </cell>
          <cell r="AB321">
            <v>0</v>
          </cell>
          <cell r="AC321">
            <v>1</v>
          </cell>
          <cell r="AD321">
            <v>371</v>
          </cell>
          <cell r="AE321">
            <v>0</v>
          </cell>
          <cell r="AF321">
            <v>0</v>
          </cell>
          <cell r="AG321">
            <v>0</v>
          </cell>
          <cell r="AH321">
            <v>0</v>
          </cell>
          <cell r="AI321">
            <v>0</v>
          </cell>
          <cell r="AJ321">
            <v>0</v>
          </cell>
          <cell r="AK321">
            <v>0</v>
          </cell>
          <cell r="AL321">
            <v>0</v>
          </cell>
          <cell r="AM321">
            <v>0</v>
          </cell>
          <cell r="AN321">
            <v>0</v>
          </cell>
          <cell r="AO321">
            <v>0</v>
          </cell>
          <cell r="AP321">
            <v>0</v>
          </cell>
          <cell r="AQ321">
            <v>0</v>
          </cell>
          <cell r="AR321">
            <v>0</v>
          </cell>
          <cell r="AS321">
            <v>1</v>
          </cell>
          <cell r="AT321">
            <v>174</v>
          </cell>
          <cell r="AU321">
            <v>2</v>
          </cell>
          <cell r="AV321">
            <v>280</v>
          </cell>
          <cell r="AW321">
            <v>3</v>
          </cell>
          <cell r="AX321">
            <v>454</v>
          </cell>
          <cell r="AY321">
            <v>0</v>
          </cell>
          <cell r="AZ321">
            <v>0</v>
          </cell>
          <cell r="BA321">
            <v>0</v>
          </cell>
          <cell r="BB321">
            <v>0</v>
          </cell>
          <cell r="BC321">
            <v>0</v>
          </cell>
          <cell r="BD321">
            <v>0</v>
          </cell>
          <cell r="BE321">
            <v>1</v>
          </cell>
          <cell r="BF321">
            <v>275</v>
          </cell>
          <cell r="BG321">
            <v>1</v>
          </cell>
          <cell r="BH321">
            <v>275</v>
          </cell>
          <cell r="BI321">
            <v>1</v>
          </cell>
          <cell r="BJ321">
            <v>308</v>
          </cell>
          <cell r="BK321">
            <v>0</v>
          </cell>
          <cell r="BL321">
            <v>0</v>
          </cell>
          <cell r="BM321">
            <v>0</v>
          </cell>
          <cell r="BN321">
            <v>0</v>
          </cell>
          <cell r="BO321">
            <v>1</v>
          </cell>
          <cell r="BP321">
            <v>100</v>
          </cell>
          <cell r="BQ321">
            <v>1</v>
          </cell>
          <cell r="BR321">
            <v>100</v>
          </cell>
          <cell r="BS321">
            <v>0</v>
          </cell>
          <cell r="BT321">
            <v>0</v>
          </cell>
          <cell r="BU321">
            <v>1</v>
          </cell>
          <cell r="BV321">
            <v>140</v>
          </cell>
          <cell r="BW321">
            <v>0</v>
          </cell>
          <cell r="BX321">
            <v>0</v>
          </cell>
          <cell r="BY321">
            <v>0</v>
          </cell>
          <cell r="BZ321">
            <v>0</v>
          </cell>
          <cell r="CA321">
            <v>0</v>
          </cell>
          <cell r="CB321">
            <v>0</v>
          </cell>
          <cell r="CC321">
            <v>0</v>
          </cell>
          <cell r="CD321">
            <v>0</v>
          </cell>
        </row>
        <row r="322">
          <cell r="B322" t="str">
            <v>Atlanta, GA</v>
          </cell>
          <cell r="C322">
            <v>1</v>
          </cell>
          <cell r="D322">
            <v>154</v>
          </cell>
          <cell r="E322">
            <v>0</v>
          </cell>
          <cell r="F322">
            <v>0</v>
          </cell>
          <cell r="G322">
            <v>0</v>
          </cell>
          <cell r="H322">
            <v>0</v>
          </cell>
          <cell r="I322">
            <v>0</v>
          </cell>
          <cell r="J322">
            <v>0</v>
          </cell>
          <cell r="K322">
            <v>0</v>
          </cell>
          <cell r="L322">
            <v>0</v>
          </cell>
          <cell r="M322">
            <v>0</v>
          </cell>
          <cell r="N322">
            <v>0</v>
          </cell>
          <cell r="O322">
            <v>0</v>
          </cell>
          <cell r="P322">
            <v>0</v>
          </cell>
          <cell r="Q322">
            <v>0</v>
          </cell>
          <cell r="R322">
            <v>0</v>
          </cell>
          <cell r="S322">
            <v>0</v>
          </cell>
          <cell r="T322">
            <v>0</v>
          </cell>
          <cell r="U322">
            <v>0</v>
          </cell>
          <cell r="V322">
            <v>0</v>
          </cell>
          <cell r="W322">
            <v>1</v>
          </cell>
          <cell r="X322">
            <v>318</v>
          </cell>
          <cell r="Y322">
            <v>0</v>
          </cell>
          <cell r="Z322">
            <v>0</v>
          </cell>
          <cell r="AA322">
            <v>0</v>
          </cell>
          <cell r="AB322">
            <v>0</v>
          </cell>
          <cell r="AC322">
            <v>0</v>
          </cell>
          <cell r="AD322">
            <v>0</v>
          </cell>
          <cell r="AE322">
            <v>0</v>
          </cell>
          <cell r="AF322">
            <v>0</v>
          </cell>
          <cell r="AG322">
            <v>0</v>
          </cell>
          <cell r="AH322">
            <v>0</v>
          </cell>
          <cell r="AI322">
            <v>0</v>
          </cell>
          <cell r="AJ322">
            <v>0</v>
          </cell>
          <cell r="AK322">
            <v>0</v>
          </cell>
          <cell r="AL322">
            <v>0</v>
          </cell>
          <cell r="AM322">
            <v>0</v>
          </cell>
          <cell r="AN322">
            <v>0</v>
          </cell>
          <cell r="AO322">
            <v>0</v>
          </cell>
          <cell r="AP322">
            <v>0</v>
          </cell>
          <cell r="AQ322">
            <v>0</v>
          </cell>
          <cell r="AR322">
            <v>0</v>
          </cell>
          <cell r="AS322">
            <v>0</v>
          </cell>
          <cell r="AT322">
            <v>0</v>
          </cell>
          <cell r="AU322">
            <v>0</v>
          </cell>
          <cell r="AV322">
            <v>0</v>
          </cell>
          <cell r="AW322">
            <v>0</v>
          </cell>
          <cell r="AX322">
            <v>0</v>
          </cell>
          <cell r="AY322">
            <v>2</v>
          </cell>
          <cell r="AZ322">
            <v>174</v>
          </cell>
          <cell r="BA322">
            <v>0</v>
          </cell>
          <cell r="BB322">
            <v>0</v>
          </cell>
          <cell r="BC322">
            <v>0</v>
          </cell>
          <cell r="BD322">
            <v>0</v>
          </cell>
          <cell r="BE322">
            <v>0</v>
          </cell>
          <cell r="BF322">
            <v>0</v>
          </cell>
          <cell r="BG322">
            <v>0</v>
          </cell>
          <cell r="BH322">
            <v>0</v>
          </cell>
          <cell r="BI322">
            <v>0</v>
          </cell>
          <cell r="BJ322">
            <v>0</v>
          </cell>
          <cell r="BK322">
            <v>3</v>
          </cell>
          <cell r="BL322">
            <v>251</v>
          </cell>
          <cell r="BM322">
            <v>0</v>
          </cell>
          <cell r="BN322">
            <v>0</v>
          </cell>
          <cell r="BO322">
            <v>1</v>
          </cell>
          <cell r="BP322">
            <v>98</v>
          </cell>
          <cell r="BQ322">
            <v>1</v>
          </cell>
          <cell r="BR322">
            <v>98</v>
          </cell>
          <cell r="BS322">
            <v>4</v>
          </cell>
          <cell r="BT322">
            <v>647</v>
          </cell>
          <cell r="BU322">
            <v>1</v>
          </cell>
          <cell r="BV322">
            <v>83</v>
          </cell>
          <cell r="BW322">
            <v>0</v>
          </cell>
          <cell r="BX322">
            <v>0</v>
          </cell>
          <cell r="BY322">
            <v>1</v>
          </cell>
          <cell r="BZ322">
            <v>95</v>
          </cell>
          <cell r="CA322">
            <v>1</v>
          </cell>
          <cell r="CB322">
            <v>95</v>
          </cell>
          <cell r="CC322">
            <v>1</v>
          </cell>
          <cell r="CD322">
            <v>110</v>
          </cell>
        </row>
        <row r="323">
          <cell r="B323" t="str">
            <v>Boston, MA</v>
          </cell>
          <cell r="C323">
            <v>1</v>
          </cell>
          <cell r="D323">
            <v>154</v>
          </cell>
          <cell r="E323">
            <v>1</v>
          </cell>
          <cell r="F323">
            <v>166</v>
          </cell>
          <cell r="G323">
            <v>2</v>
          </cell>
          <cell r="H323">
            <v>384</v>
          </cell>
          <cell r="I323">
            <v>3</v>
          </cell>
          <cell r="J323">
            <v>550</v>
          </cell>
          <cell r="K323">
            <v>2</v>
          </cell>
          <cell r="L323">
            <v>315</v>
          </cell>
          <cell r="M323">
            <v>0</v>
          </cell>
          <cell r="N323">
            <v>0</v>
          </cell>
          <cell r="O323">
            <v>0</v>
          </cell>
          <cell r="P323">
            <v>0</v>
          </cell>
          <cell r="Q323">
            <v>0</v>
          </cell>
          <cell r="R323">
            <v>0</v>
          </cell>
          <cell r="S323">
            <v>0</v>
          </cell>
          <cell r="T323">
            <v>0</v>
          </cell>
          <cell r="U323">
            <v>0</v>
          </cell>
          <cell r="V323">
            <v>0</v>
          </cell>
          <cell r="W323">
            <v>0</v>
          </cell>
          <cell r="X323">
            <v>0</v>
          </cell>
          <cell r="Y323">
            <v>1</v>
          </cell>
          <cell r="Z323">
            <v>461</v>
          </cell>
          <cell r="AA323">
            <v>0</v>
          </cell>
          <cell r="AB323">
            <v>0</v>
          </cell>
          <cell r="AC323">
            <v>1</v>
          </cell>
          <cell r="AD323">
            <v>461</v>
          </cell>
          <cell r="AE323">
            <v>0</v>
          </cell>
          <cell r="AF323">
            <v>0</v>
          </cell>
          <cell r="AG323">
            <v>0</v>
          </cell>
          <cell r="AH323">
            <v>0</v>
          </cell>
          <cell r="AI323">
            <v>0</v>
          </cell>
          <cell r="AJ323">
            <v>0</v>
          </cell>
          <cell r="AK323">
            <v>0</v>
          </cell>
          <cell r="AL323">
            <v>0</v>
          </cell>
          <cell r="AM323">
            <v>0</v>
          </cell>
          <cell r="AN323">
            <v>0</v>
          </cell>
          <cell r="AO323">
            <v>0</v>
          </cell>
          <cell r="AP323">
            <v>0</v>
          </cell>
          <cell r="AQ323">
            <v>0</v>
          </cell>
          <cell r="AR323">
            <v>0</v>
          </cell>
          <cell r="AS323">
            <v>2</v>
          </cell>
          <cell r="AT323">
            <v>233</v>
          </cell>
          <cell r="AU323">
            <v>5</v>
          </cell>
          <cell r="AV323">
            <v>563</v>
          </cell>
          <cell r="AW323">
            <v>7</v>
          </cell>
          <cell r="AX323">
            <v>796</v>
          </cell>
          <cell r="AY323">
            <v>1</v>
          </cell>
          <cell r="AZ323">
            <v>149</v>
          </cell>
          <cell r="BA323">
            <v>0</v>
          </cell>
          <cell r="BB323">
            <v>0</v>
          </cell>
          <cell r="BC323">
            <v>1</v>
          </cell>
          <cell r="BD323">
            <v>192</v>
          </cell>
          <cell r="BE323">
            <v>0</v>
          </cell>
          <cell r="BF323">
            <v>0</v>
          </cell>
          <cell r="BG323">
            <v>1</v>
          </cell>
          <cell r="BH323">
            <v>192</v>
          </cell>
          <cell r="BI323">
            <v>0</v>
          </cell>
          <cell r="BJ323">
            <v>0</v>
          </cell>
          <cell r="BK323">
            <v>0</v>
          </cell>
          <cell r="BL323">
            <v>0</v>
          </cell>
          <cell r="BM323">
            <v>1</v>
          </cell>
          <cell r="BN323">
            <v>137</v>
          </cell>
          <cell r="BO323">
            <v>1</v>
          </cell>
          <cell r="BP323">
            <v>164</v>
          </cell>
          <cell r="BQ323">
            <v>2</v>
          </cell>
          <cell r="BR323">
            <v>301</v>
          </cell>
          <cell r="BS323">
            <v>0</v>
          </cell>
          <cell r="BT323">
            <v>0</v>
          </cell>
          <cell r="BU323">
            <v>1</v>
          </cell>
          <cell r="BV323">
            <v>127</v>
          </cell>
          <cell r="BW323">
            <v>0</v>
          </cell>
          <cell r="BX323">
            <v>0</v>
          </cell>
          <cell r="BY323">
            <v>0</v>
          </cell>
          <cell r="BZ323">
            <v>0</v>
          </cell>
          <cell r="CA323">
            <v>0</v>
          </cell>
          <cell r="CB323">
            <v>0</v>
          </cell>
          <cell r="CC323">
            <v>1</v>
          </cell>
          <cell r="CD323">
            <v>95</v>
          </cell>
        </row>
        <row r="324">
          <cell r="B324" t="str">
            <v>Chicago, IL</v>
          </cell>
          <cell r="C324">
            <v>0</v>
          </cell>
          <cell r="D324">
            <v>0</v>
          </cell>
          <cell r="E324">
            <v>0</v>
          </cell>
          <cell r="F324">
            <v>0</v>
          </cell>
          <cell r="G324">
            <v>2</v>
          </cell>
          <cell r="H324">
            <v>352</v>
          </cell>
          <cell r="I324">
            <v>2</v>
          </cell>
          <cell r="J324">
            <v>352</v>
          </cell>
          <cell r="K324">
            <v>0</v>
          </cell>
          <cell r="L324">
            <v>0</v>
          </cell>
          <cell r="M324">
            <v>0</v>
          </cell>
          <cell r="N324">
            <v>0</v>
          </cell>
          <cell r="O324">
            <v>1</v>
          </cell>
          <cell r="P324">
            <v>189</v>
          </cell>
          <cell r="Q324">
            <v>0</v>
          </cell>
          <cell r="R324">
            <v>0</v>
          </cell>
          <cell r="S324">
            <v>1</v>
          </cell>
          <cell r="T324">
            <v>189</v>
          </cell>
          <cell r="U324">
            <v>0</v>
          </cell>
          <cell r="V324">
            <v>0</v>
          </cell>
          <cell r="W324">
            <v>0</v>
          </cell>
          <cell r="X324">
            <v>0</v>
          </cell>
          <cell r="Y324">
            <v>0</v>
          </cell>
          <cell r="Z324">
            <v>0</v>
          </cell>
          <cell r="AA324">
            <v>0</v>
          </cell>
          <cell r="AB324">
            <v>0</v>
          </cell>
          <cell r="AC324">
            <v>0</v>
          </cell>
          <cell r="AD324">
            <v>0</v>
          </cell>
          <cell r="AE324">
            <v>2</v>
          </cell>
          <cell r="AF324">
            <v>652</v>
          </cell>
          <cell r="AG324">
            <v>0</v>
          </cell>
          <cell r="AH324">
            <v>0</v>
          </cell>
          <cell r="AI324">
            <v>1</v>
          </cell>
          <cell r="AJ324">
            <v>362</v>
          </cell>
          <cell r="AK324">
            <v>0</v>
          </cell>
          <cell r="AL324">
            <v>0</v>
          </cell>
          <cell r="AM324">
            <v>1</v>
          </cell>
          <cell r="AN324">
            <v>362</v>
          </cell>
          <cell r="AO324">
            <v>1</v>
          </cell>
          <cell r="AP324">
            <v>314</v>
          </cell>
          <cell r="AQ324">
            <v>0</v>
          </cell>
          <cell r="AR324">
            <v>0</v>
          </cell>
          <cell r="AS324">
            <v>1</v>
          </cell>
          <cell r="AT324">
            <v>124</v>
          </cell>
          <cell r="AU324">
            <v>1</v>
          </cell>
          <cell r="AV324">
            <v>96</v>
          </cell>
          <cell r="AW324">
            <v>2</v>
          </cell>
          <cell r="AX324">
            <v>220</v>
          </cell>
          <cell r="AY324">
            <v>1</v>
          </cell>
          <cell r="AZ324">
            <v>155</v>
          </cell>
          <cell r="BA324">
            <v>0</v>
          </cell>
          <cell r="BB324">
            <v>0</v>
          </cell>
          <cell r="BC324">
            <v>0</v>
          </cell>
          <cell r="BD324">
            <v>0</v>
          </cell>
          <cell r="BE324">
            <v>0</v>
          </cell>
          <cell r="BF324">
            <v>0</v>
          </cell>
          <cell r="BG324">
            <v>0</v>
          </cell>
          <cell r="BH324">
            <v>0</v>
          </cell>
          <cell r="BI324">
            <v>0</v>
          </cell>
          <cell r="BJ324">
            <v>0</v>
          </cell>
          <cell r="BK324">
            <v>0</v>
          </cell>
          <cell r="BL324">
            <v>0</v>
          </cell>
          <cell r="BM324">
            <v>1</v>
          </cell>
          <cell r="BN324">
            <v>132</v>
          </cell>
          <cell r="BO324">
            <v>1</v>
          </cell>
          <cell r="BP324">
            <v>139</v>
          </cell>
          <cell r="BQ324">
            <v>2</v>
          </cell>
          <cell r="BR324">
            <v>271</v>
          </cell>
          <cell r="BS324">
            <v>1</v>
          </cell>
          <cell r="BT324">
            <v>230</v>
          </cell>
          <cell r="BU324">
            <v>0</v>
          </cell>
          <cell r="BV324">
            <v>0</v>
          </cell>
          <cell r="BW324">
            <v>1</v>
          </cell>
          <cell r="BX324">
            <v>127</v>
          </cell>
          <cell r="BY324">
            <v>0</v>
          </cell>
          <cell r="BZ324">
            <v>0</v>
          </cell>
          <cell r="CA324">
            <v>1</v>
          </cell>
          <cell r="CB324">
            <v>127</v>
          </cell>
          <cell r="CC324">
            <v>1</v>
          </cell>
          <cell r="CD324">
            <v>143</v>
          </cell>
        </row>
        <row r="325">
          <cell r="B325" t="str">
            <v>Dallas, TX</v>
          </cell>
          <cell r="C325">
            <v>2</v>
          </cell>
          <cell r="D325">
            <v>299</v>
          </cell>
          <cell r="E325">
            <v>1</v>
          </cell>
          <cell r="F325">
            <v>121</v>
          </cell>
          <cell r="G325">
            <v>0</v>
          </cell>
          <cell r="H325">
            <v>0</v>
          </cell>
          <cell r="I325">
            <v>1</v>
          </cell>
          <cell r="J325">
            <v>121</v>
          </cell>
          <cell r="K325">
            <v>2</v>
          </cell>
          <cell r="L325">
            <v>293</v>
          </cell>
          <cell r="M325">
            <v>0</v>
          </cell>
          <cell r="N325">
            <v>0</v>
          </cell>
          <cell r="O325">
            <v>1</v>
          </cell>
          <cell r="P325">
            <v>71</v>
          </cell>
          <cell r="Q325">
            <v>0</v>
          </cell>
          <cell r="R325">
            <v>0</v>
          </cell>
          <cell r="S325">
            <v>1</v>
          </cell>
          <cell r="T325">
            <v>71</v>
          </cell>
          <cell r="U325">
            <v>0</v>
          </cell>
          <cell r="V325">
            <v>0</v>
          </cell>
          <cell r="W325">
            <v>1</v>
          </cell>
          <cell r="X325">
            <v>364</v>
          </cell>
          <cell r="Y325">
            <v>0</v>
          </cell>
          <cell r="Z325">
            <v>0</v>
          </cell>
          <cell r="AA325">
            <v>0</v>
          </cell>
          <cell r="AB325">
            <v>0</v>
          </cell>
          <cell r="AC325">
            <v>0</v>
          </cell>
          <cell r="AD325">
            <v>0</v>
          </cell>
          <cell r="AE325">
            <v>2</v>
          </cell>
          <cell r="AF325">
            <v>400</v>
          </cell>
          <cell r="AG325">
            <v>0</v>
          </cell>
          <cell r="AH325">
            <v>0</v>
          </cell>
          <cell r="AI325">
            <v>1</v>
          </cell>
          <cell r="AJ325">
            <v>337</v>
          </cell>
          <cell r="AK325">
            <v>0</v>
          </cell>
          <cell r="AL325">
            <v>0</v>
          </cell>
          <cell r="AM325">
            <v>1</v>
          </cell>
          <cell r="AN325">
            <v>337</v>
          </cell>
          <cell r="AO325">
            <v>1</v>
          </cell>
          <cell r="AP325">
            <v>211</v>
          </cell>
          <cell r="AQ325">
            <v>0</v>
          </cell>
          <cell r="AR325">
            <v>0</v>
          </cell>
          <cell r="AS325">
            <v>1</v>
          </cell>
          <cell r="AT325">
            <v>100</v>
          </cell>
          <cell r="AU325">
            <v>1</v>
          </cell>
          <cell r="AV325">
            <v>139</v>
          </cell>
          <cell r="AW325">
            <v>2</v>
          </cell>
          <cell r="AX325">
            <v>239</v>
          </cell>
          <cell r="AY325">
            <v>0</v>
          </cell>
          <cell r="AZ325">
            <v>0</v>
          </cell>
          <cell r="BA325">
            <v>0</v>
          </cell>
          <cell r="BB325">
            <v>0</v>
          </cell>
          <cell r="BC325">
            <v>0</v>
          </cell>
          <cell r="BD325">
            <v>0</v>
          </cell>
          <cell r="BE325">
            <v>0</v>
          </cell>
          <cell r="BF325">
            <v>0</v>
          </cell>
          <cell r="BG325">
            <v>0</v>
          </cell>
          <cell r="BH325">
            <v>0</v>
          </cell>
          <cell r="BI325">
            <v>0</v>
          </cell>
          <cell r="BJ325">
            <v>0</v>
          </cell>
          <cell r="BK325">
            <v>0</v>
          </cell>
          <cell r="BL325">
            <v>0</v>
          </cell>
          <cell r="BM325">
            <v>0</v>
          </cell>
          <cell r="BN325">
            <v>0</v>
          </cell>
          <cell r="BO325">
            <v>0</v>
          </cell>
          <cell r="BP325">
            <v>0</v>
          </cell>
          <cell r="BQ325">
            <v>0</v>
          </cell>
          <cell r="BR325">
            <v>0</v>
          </cell>
          <cell r="BS325">
            <v>1</v>
          </cell>
          <cell r="BT325">
            <v>159</v>
          </cell>
          <cell r="BU325">
            <v>1</v>
          </cell>
          <cell r="BV325">
            <v>106</v>
          </cell>
          <cell r="BW325">
            <v>0</v>
          </cell>
          <cell r="BX325">
            <v>0</v>
          </cell>
          <cell r="BY325">
            <v>0</v>
          </cell>
          <cell r="BZ325">
            <v>0</v>
          </cell>
          <cell r="CA325">
            <v>0</v>
          </cell>
          <cell r="CB325">
            <v>0</v>
          </cell>
          <cell r="CC325">
            <v>0</v>
          </cell>
          <cell r="CD325">
            <v>0</v>
          </cell>
        </row>
        <row r="326">
          <cell r="B326" t="str">
            <v>Denver, CO</v>
          </cell>
          <cell r="C326">
            <v>0</v>
          </cell>
          <cell r="D326">
            <v>0</v>
          </cell>
          <cell r="E326">
            <v>2</v>
          </cell>
          <cell r="F326">
            <v>262</v>
          </cell>
          <cell r="G326">
            <v>0</v>
          </cell>
          <cell r="H326">
            <v>0</v>
          </cell>
          <cell r="I326">
            <v>2</v>
          </cell>
          <cell r="J326">
            <v>262</v>
          </cell>
          <cell r="K326">
            <v>0</v>
          </cell>
          <cell r="L326">
            <v>0</v>
          </cell>
          <cell r="M326">
            <v>1</v>
          </cell>
          <cell r="N326">
            <v>82</v>
          </cell>
          <cell r="O326">
            <v>0</v>
          </cell>
          <cell r="P326">
            <v>0</v>
          </cell>
          <cell r="Q326">
            <v>0</v>
          </cell>
          <cell r="R326">
            <v>0</v>
          </cell>
          <cell r="S326">
            <v>0</v>
          </cell>
          <cell r="T326">
            <v>0</v>
          </cell>
          <cell r="U326">
            <v>0</v>
          </cell>
          <cell r="V326">
            <v>0</v>
          </cell>
          <cell r="W326">
            <v>0</v>
          </cell>
          <cell r="X326">
            <v>0</v>
          </cell>
          <cell r="Y326">
            <v>0</v>
          </cell>
          <cell r="Z326">
            <v>0</v>
          </cell>
          <cell r="AA326">
            <v>0</v>
          </cell>
          <cell r="AB326">
            <v>0</v>
          </cell>
          <cell r="AC326">
            <v>0</v>
          </cell>
          <cell r="AD326">
            <v>0</v>
          </cell>
          <cell r="AE326">
            <v>0</v>
          </cell>
          <cell r="AF326">
            <v>0</v>
          </cell>
          <cell r="AG326">
            <v>0</v>
          </cell>
          <cell r="AH326">
            <v>0</v>
          </cell>
          <cell r="AI326">
            <v>0</v>
          </cell>
          <cell r="AJ326">
            <v>0</v>
          </cell>
          <cell r="AK326">
            <v>0</v>
          </cell>
          <cell r="AL326">
            <v>0</v>
          </cell>
          <cell r="AM326">
            <v>0</v>
          </cell>
          <cell r="AN326">
            <v>0</v>
          </cell>
          <cell r="AO326">
            <v>0</v>
          </cell>
          <cell r="AP326">
            <v>0</v>
          </cell>
          <cell r="AQ326">
            <v>1</v>
          </cell>
          <cell r="AR326">
            <v>112</v>
          </cell>
          <cell r="AS326">
            <v>1</v>
          </cell>
          <cell r="AT326">
            <v>88</v>
          </cell>
          <cell r="AU326">
            <v>0</v>
          </cell>
          <cell r="AV326">
            <v>0</v>
          </cell>
          <cell r="AW326">
            <v>1</v>
          </cell>
          <cell r="AX326">
            <v>88</v>
          </cell>
          <cell r="AY326">
            <v>2</v>
          </cell>
          <cell r="AZ326">
            <v>349</v>
          </cell>
          <cell r="BA326">
            <v>0</v>
          </cell>
          <cell r="BB326">
            <v>0</v>
          </cell>
          <cell r="BC326">
            <v>0</v>
          </cell>
          <cell r="BD326">
            <v>0</v>
          </cell>
          <cell r="BE326">
            <v>0</v>
          </cell>
          <cell r="BF326">
            <v>0</v>
          </cell>
          <cell r="BG326">
            <v>0</v>
          </cell>
          <cell r="BH326">
            <v>0</v>
          </cell>
          <cell r="BI326">
            <v>0</v>
          </cell>
          <cell r="BJ326">
            <v>0</v>
          </cell>
          <cell r="BK326">
            <v>0</v>
          </cell>
          <cell r="BL326">
            <v>0</v>
          </cell>
          <cell r="BM326">
            <v>0</v>
          </cell>
          <cell r="BN326">
            <v>0</v>
          </cell>
          <cell r="BO326">
            <v>1</v>
          </cell>
          <cell r="BP326">
            <v>142</v>
          </cell>
          <cell r="BQ326">
            <v>1</v>
          </cell>
          <cell r="BR326">
            <v>142</v>
          </cell>
          <cell r="BS326">
            <v>0</v>
          </cell>
          <cell r="BT326">
            <v>0</v>
          </cell>
          <cell r="BU326">
            <v>2</v>
          </cell>
          <cell r="BV326">
            <v>196</v>
          </cell>
          <cell r="BW326">
            <v>1</v>
          </cell>
          <cell r="BX326">
            <v>122</v>
          </cell>
          <cell r="BY326">
            <v>0</v>
          </cell>
          <cell r="BZ326">
            <v>0</v>
          </cell>
          <cell r="CA326">
            <v>1</v>
          </cell>
          <cell r="CB326">
            <v>122</v>
          </cell>
          <cell r="CC326">
            <v>0</v>
          </cell>
          <cell r="CD326">
            <v>0</v>
          </cell>
        </row>
        <row r="327">
          <cell r="B327" t="str">
            <v>Detroit, MI</v>
          </cell>
          <cell r="C327">
            <v>1</v>
          </cell>
          <cell r="D327">
            <v>123</v>
          </cell>
          <cell r="E327">
            <v>0</v>
          </cell>
          <cell r="F327">
            <v>0</v>
          </cell>
          <cell r="G327">
            <v>0</v>
          </cell>
          <cell r="H327">
            <v>0</v>
          </cell>
          <cell r="I327">
            <v>0</v>
          </cell>
          <cell r="J327">
            <v>0</v>
          </cell>
          <cell r="K327">
            <v>0</v>
          </cell>
          <cell r="L327">
            <v>0</v>
          </cell>
          <cell r="M327">
            <v>1</v>
          </cell>
          <cell r="N327">
            <v>72</v>
          </cell>
          <cell r="O327">
            <v>0</v>
          </cell>
          <cell r="P327">
            <v>0</v>
          </cell>
          <cell r="Q327">
            <v>0</v>
          </cell>
          <cell r="R327">
            <v>0</v>
          </cell>
          <cell r="S327">
            <v>0</v>
          </cell>
          <cell r="T327">
            <v>0</v>
          </cell>
          <cell r="U327">
            <v>0</v>
          </cell>
          <cell r="V327">
            <v>0</v>
          </cell>
          <cell r="W327">
            <v>0</v>
          </cell>
          <cell r="X327">
            <v>0</v>
          </cell>
          <cell r="Y327">
            <v>1</v>
          </cell>
          <cell r="Z327">
            <v>290</v>
          </cell>
          <cell r="AA327">
            <v>0</v>
          </cell>
          <cell r="AB327">
            <v>0</v>
          </cell>
          <cell r="AC327">
            <v>1</v>
          </cell>
          <cell r="AD327">
            <v>290</v>
          </cell>
          <cell r="AE327">
            <v>0</v>
          </cell>
          <cell r="AF327">
            <v>0</v>
          </cell>
          <cell r="AG327">
            <v>0</v>
          </cell>
          <cell r="AH327">
            <v>0</v>
          </cell>
          <cell r="AI327">
            <v>0</v>
          </cell>
          <cell r="AJ327">
            <v>0</v>
          </cell>
          <cell r="AK327">
            <v>0</v>
          </cell>
          <cell r="AL327">
            <v>0</v>
          </cell>
          <cell r="AM327">
            <v>0</v>
          </cell>
          <cell r="AN327">
            <v>0</v>
          </cell>
          <cell r="AO327">
            <v>0</v>
          </cell>
          <cell r="AP327">
            <v>0</v>
          </cell>
          <cell r="AQ327">
            <v>0</v>
          </cell>
          <cell r="AR327">
            <v>0</v>
          </cell>
          <cell r="AS327">
            <v>0</v>
          </cell>
          <cell r="AT327">
            <v>0</v>
          </cell>
          <cell r="AU327">
            <v>0</v>
          </cell>
          <cell r="AV327">
            <v>0</v>
          </cell>
          <cell r="AW327">
            <v>0</v>
          </cell>
          <cell r="AX327">
            <v>0</v>
          </cell>
          <cell r="AY327">
            <v>1</v>
          </cell>
          <cell r="AZ327">
            <v>90</v>
          </cell>
          <cell r="BA327">
            <v>0</v>
          </cell>
          <cell r="BB327">
            <v>0</v>
          </cell>
          <cell r="BC327">
            <v>0</v>
          </cell>
          <cell r="BD327">
            <v>0</v>
          </cell>
          <cell r="BE327">
            <v>0</v>
          </cell>
          <cell r="BF327">
            <v>0</v>
          </cell>
          <cell r="BG327">
            <v>0</v>
          </cell>
          <cell r="BH327">
            <v>0</v>
          </cell>
          <cell r="BI327">
            <v>0</v>
          </cell>
          <cell r="BJ327">
            <v>0</v>
          </cell>
          <cell r="BK327">
            <v>0</v>
          </cell>
          <cell r="BL327">
            <v>0</v>
          </cell>
          <cell r="BM327">
            <v>0</v>
          </cell>
          <cell r="BN327">
            <v>0</v>
          </cell>
          <cell r="BO327">
            <v>1</v>
          </cell>
          <cell r="BP327">
            <v>162</v>
          </cell>
          <cell r="BQ327">
            <v>1</v>
          </cell>
          <cell r="BR327">
            <v>162</v>
          </cell>
          <cell r="BS327">
            <v>0</v>
          </cell>
          <cell r="BT327">
            <v>0</v>
          </cell>
          <cell r="BU327">
            <v>2</v>
          </cell>
          <cell r="BV327">
            <v>189</v>
          </cell>
          <cell r="BW327">
            <v>2</v>
          </cell>
          <cell r="BX327">
            <v>243</v>
          </cell>
          <cell r="BY327">
            <v>0</v>
          </cell>
          <cell r="BZ327">
            <v>0</v>
          </cell>
          <cell r="CA327">
            <v>2</v>
          </cell>
          <cell r="CB327">
            <v>243</v>
          </cell>
          <cell r="CC327">
            <v>0</v>
          </cell>
          <cell r="CD327">
            <v>0</v>
          </cell>
        </row>
        <row r="328">
          <cell r="B328" t="str">
            <v>Houston, TX</v>
          </cell>
          <cell r="C328">
            <v>0</v>
          </cell>
          <cell r="D328">
            <v>0</v>
          </cell>
          <cell r="E328">
            <v>2</v>
          </cell>
          <cell r="F328">
            <v>317</v>
          </cell>
          <cell r="G328">
            <v>1</v>
          </cell>
          <cell r="H328">
            <v>90</v>
          </cell>
          <cell r="I328">
            <v>3</v>
          </cell>
          <cell r="J328">
            <v>407</v>
          </cell>
          <cell r="K328">
            <v>0</v>
          </cell>
          <cell r="L328">
            <v>0</v>
          </cell>
          <cell r="M328">
            <v>0</v>
          </cell>
          <cell r="N328">
            <v>0</v>
          </cell>
          <cell r="O328">
            <v>0</v>
          </cell>
          <cell r="P328">
            <v>0</v>
          </cell>
          <cell r="Q328">
            <v>0</v>
          </cell>
          <cell r="R328">
            <v>0</v>
          </cell>
          <cell r="S328">
            <v>0</v>
          </cell>
          <cell r="T328">
            <v>0</v>
          </cell>
          <cell r="U328">
            <v>0</v>
          </cell>
          <cell r="V328">
            <v>0</v>
          </cell>
          <cell r="W328">
            <v>0</v>
          </cell>
          <cell r="X328">
            <v>0</v>
          </cell>
          <cell r="Y328">
            <v>0</v>
          </cell>
          <cell r="Z328">
            <v>0</v>
          </cell>
          <cell r="AA328">
            <v>0</v>
          </cell>
          <cell r="AB328">
            <v>0</v>
          </cell>
          <cell r="AC328">
            <v>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2</v>
          </cell>
          <cell r="AT328">
            <v>290</v>
          </cell>
          <cell r="AU328">
            <v>0</v>
          </cell>
          <cell r="AV328">
            <v>0</v>
          </cell>
          <cell r="AW328">
            <v>2</v>
          </cell>
          <cell r="AX328">
            <v>290</v>
          </cell>
          <cell r="AY328">
            <v>0</v>
          </cell>
          <cell r="AZ328">
            <v>0</v>
          </cell>
          <cell r="BA328">
            <v>0</v>
          </cell>
          <cell r="BB328">
            <v>0</v>
          </cell>
          <cell r="BC328">
            <v>1</v>
          </cell>
          <cell r="BD328">
            <v>325</v>
          </cell>
          <cell r="BE328">
            <v>0</v>
          </cell>
          <cell r="BF328">
            <v>0</v>
          </cell>
          <cell r="BG328">
            <v>1</v>
          </cell>
          <cell r="BH328">
            <v>325</v>
          </cell>
          <cell r="BI328">
            <v>0</v>
          </cell>
          <cell r="BJ328">
            <v>0</v>
          </cell>
          <cell r="BK328">
            <v>0</v>
          </cell>
          <cell r="BL328">
            <v>0</v>
          </cell>
          <cell r="BM328">
            <v>0</v>
          </cell>
          <cell r="BN328">
            <v>0</v>
          </cell>
          <cell r="BO328">
            <v>0</v>
          </cell>
          <cell r="BP328">
            <v>0</v>
          </cell>
          <cell r="BQ328">
            <v>0</v>
          </cell>
          <cell r="BR328">
            <v>0</v>
          </cell>
          <cell r="BS328">
            <v>0</v>
          </cell>
          <cell r="BT328">
            <v>0</v>
          </cell>
          <cell r="BU328">
            <v>1</v>
          </cell>
          <cell r="BV328">
            <v>127</v>
          </cell>
          <cell r="BW328">
            <v>0</v>
          </cell>
          <cell r="BX328">
            <v>0</v>
          </cell>
          <cell r="BY328">
            <v>0</v>
          </cell>
          <cell r="BZ328">
            <v>0</v>
          </cell>
          <cell r="CA328">
            <v>0</v>
          </cell>
          <cell r="CB328">
            <v>0</v>
          </cell>
          <cell r="CC328">
            <v>0</v>
          </cell>
          <cell r="CD328">
            <v>0</v>
          </cell>
        </row>
        <row r="329">
          <cell r="B329" t="str">
            <v>Las Vegas, NV</v>
          </cell>
          <cell r="C329">
            <v>1</v>
          </cell>
          <cell r="D329">
            <v>154</v>
          </cell>
          <cell r="E329">
            <v>0</v>
          </cell>
          <cell r="F329">
            <v>0</v>
          </cell>
          <cell r="G329">
            <v>0</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cell r="AC329">
            <v>0</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W329">
            <v>0</v>
          </cell>
          <cell r="AX329">
            <v>0</v>
          </cell>
          <cell r="AY329">
            <v>0</v>
          </cell>
          <cell r="AZ329">
            <v>0</v>
          </cell>
          <cell r="BA329">
            <v>0</v>
          </cell>
          <cell r="BB329">
            <v>0</v>
          </cell>
          <cell r="BC329">
            <v>0</v>
          </cell>
          <cell r="BD329">
            <v>0</v>
          </cell>
          <cell r="BE329">
            <v>0</v>
          </cell>
          <cell r="BF329">
            <v>0</v>
          </cell>
          <cell r="BG329">
            <v>0</v>
          </cell>
          <cell r="BH329">
            <v>0</v>
          </cell>
          <cell r="BI329">
            <v>0</v>
          </cell>
          <cell r="BJ329">
            <v>0</v>
          </cell>
          <cell r="BK329">
            <v>0</v>
          </cell>
          <cell r="BL329">
            <v>0</v>
          </cell>
          <cell r="BM329">
            <v>0</v>
          </cell>
          <cell r="BN329">
            <v>0</v>
          </cell>
          <cell r="BO329">
            <v>0</v>
          </cell>
          <cell r="BP329">
            <v>0</v>
          </cell>
          <cell r="BQ329">
            <v>0</v>
          </cell>
          <cell r="BR329">
            <v>0</v>
          </cell>
          <cell r="BS329">
            <v>0</v>
          </cell>
          <cell r="BT329">
            <v>0</v>
          </cell>
          <cell r="BU329">
            <v>0</v>
          </cell>
          <cell r="BV329">
            <v>0</v>
          </cell>
          <cell r="BW329">
            <v>0</v>
          </cell>
          <cell r="BX329">
            <v>0</v>
          </cell>
          <cell r="BY329">
            <v>0</v>
          </cell>
          <cell r="BZ329">
            <v>0</v>
          </cell>
          <cell r="CA329">
            <v>0</v>
          </cell>
          <cell r="CB329">
            <v>0</v>
          </cell>
          <cell r="CC329">
            <v>0</v>
          </cell>
          <cell r="CD329">
            <v>0</v>
          </cell>
        </row>
        <row r="330">
          <cell r="B330" t="str">
            <v>Los Angeles, CA</v>
          </cell>
          <cell r="C330">
            <v>2</v>
          </cell>
          <cell r="D330">
            <v>400</v>
          </cell>
          <cell r="E330">
            <v>0</v>
          </cell>
          <cell r="F330">
            <v>0</v>
          </cell>
          <cell r="G330">
            <v>1</v>
          </cell>
          <cell r="H330">
            <v>190</v>
          </cell>
          <cell r="I330">
            <v>1</v>
          </cell>
          <cell r="J330">
            <v>190</v>
          </cell>
          <cell r="K330">
            <v>0</v>
          </cell>
          <cell r="L330">
            <v>0</v>
          </cell>
          <cell r="M330">
            <v>0</v>
          </cell>
          <cell r="N330">
            <v>0</v>
          </cell>
          <cell r="O330">
            <v>0</v>
          </cell>
          <cell r="P330">
            <v>0</v>
          </cell>
          <cell r="Q330">
            <v>0</v>
          </cell>
          <cell r="R330">
            <v>0</v>
          </cell>
          <cell r="S330">
            <v>0</v>
          </cell>
          <cell r="T330">
            <v>0</v>
          </cell>
          <cell r="U330">
            <v>0</v>
          </cell>
          <cell r="V330">
            <v>0</v>
          </cell>
          <cell r="W330">
            <v>0</v>
          </cell>
          <cell r="X330">
            <v>0</v>
          </cell>
          <cell r="Y330">
            <v>0</v>
          </cell>
          <cell r="Z330">
            <v>0</v>
          </cell>
          <cell r="AA330">
            <v>1</v>
          </cell>
          <cell r="AB330">
            <v>430</v>
          </cell>
          <cell r="AC330">
            <v>1</v>
          </cell>
          <cell r="AD330">
            <v>430</v>
          </cell>
          <cell r="AE330">
            <v>0</v>
          </cell>
          <cell r="AF330">
            <v>0</v>
          </cell>
          <cell r="AG330">
            <v>0</v>
          </cell>
          <cell r="AH330">
            <v>0</v>
          </cell>
          <cell r="AI330">
            <v>1</v>
          </cell>
          <cell r="AJ330">
            <v>400</v>
          </cell>
          <cell r="AK330">
            <v>0</v>
          </cell>
          <cell r="AL330">
            <v>0</v>
          </cell>
          <cell r="AM330">
            <v>1</v>
          </cell>
          <cell r="AN330">
            <v>400</v>
          </cell>
          <cell r="AO330">
            <v>0</v>
          </cell>
          <cell r="AP330">
            <v>0</v>
          </cell>
          <cell r="AQ330">
            <v>0</v>
          </cell>
          <cell r="AR330">
            <v>0</v>
          </cell>
          <cell r="AS330">
            <v>2</v>
          </cell>
          <cell r="AT330">
            <v>234</v>
          </cell>
          <cell r="AU330">
            <v>0</v>
          </cell>
          <cell r="AV330">
            <v>0</v>
          </cell>
          <cell r="AW330">
            <v>2</v>
          </cell>
          <cell r="AX330">
            <v>234</v>
          </cell>
          <cell r="AY330">
            <v>1</v>
          </cell>
          <cell r="AZ330">
            <v>253</v>
          </cell>
          <cell r="BA330">
            <v>0</v>
          </cell>
          <cell r="BB330">
            <v>0</v>
          </cell>
          <cell r="BC330">
            <v>0</v>
          </cell>
          <cell r="BD330">
            <v>0</v>
          </cell>
          <cell r="BE330">
            <v>0</v>
          </cell>
          <cell r="BF330">
            <v>0</v>
          </cell>
          <cell r="BG330">
            <v>0</v>
          </cell>
          <cell r="BH330">
            <v>0</v>
          </cell>
          <cell r="BI330">
            <v>0</v>
          </cell>
          <cell r="BJ330">
            <v>0</v>
          </cell>
          <cell r="BK330">
            <v>1</v>
          </cell>
          <cell r="BL330">
            <v>86</v>
          </cell>
          <cell r="BM330">
            <v>1</v>
          </cell>
          <cell r="BN330">
            <v>165</v>
          </cell>
          <cell r="BO330">
            <v>0</v>
          </cell>
          <cell r="BP330">
            <v>0</v>
          </cell>
          <cell r="BQ330">
            <v>1</v>
          </cell>
          <cell r="BR330">
            <v>165</v>
          </cell>
          <cell r="BS330">
            <v>0</v>
          </cell>
          <cell r="BT330">
            <v>0</v>
          </cell>
          <cell r="BU330">
            <v>0</v>
          </cell>
          <cell r="BV330">
            <v>0</v>
          </cell>
          <cell r="BW330">
            <v>1</v>
          </cell>
          <cell r="BX330">
            <v>142</v>
          </cell>
          <cell r="BY330">
            <v>0</v>
          </cell>
          <cell r="BZ330">
            <v>0</v>
          </cell>
          <cell r="CA330">
            <v>1</v>
          </cell>
          <cell r="CB330">
            <v>142</v>
          </cell>
          <cell r="CC330">
            <v>0</v>
          </cell>
          <cell r="CD330">
            <v>0</v>
          </cell>
        </row>
        <row r="331">
          <cell r="B331" t="str">
            <v>Miami, FL</v>
          </cell>
          <cell r="C331">
            <v>0</v>
          </cell>
          <cell r="D331">
            <v>0</v>
          </cell>
          <cell r="E331">
            <v>0</v>
          </cell>
          <cell r="F331">
            <v>0</v>
          </cell>
          <cell r="G331">
            <v>0</v>
          </cell>
          <cell r="H331">
            <v>0</v>
          </cell>
          <cell r="I331">
            <v>0</v>
          </cell>
          <cell r="J331">
            <v>0</v>
          </cell>
          <cell r="K331">
            <v>2</v>
          </cell>
          <cell r="L331">
            <v>330</v>
          </cell>
          <cell r="M331">
            <v>0</v>
          </cell>
          <cell r="N331">
            <v>0</v>
          </cell>
          <cell r="O331">
            <v>0</v>
          </cell>
          <cell r="P331">
            <v>0</v>
          </cell>
          <cell r="Q331">
            <v>0</v>
          </cell>
          <cell r="R331">
            <v>0</v>
          </cell>
          <cell r="S331">
            <v>0</v>
          </cell>
          <cell r="T331">
            <v>0</v>
          </cell>
          <cell r="U331">
            <v>0</v>
          </cell>
          <cell r="V331">
            <v>0</v>
          </cell>
          <cell r="W331">
            <v>1</v>
          </cell>
          <cell r="X331">
            <v>300</v>
          </cell>
          <cell r="Y331">
            <v>1</v>
          </cell>
          <cell r="Z331">
            <v>239</v>
          </cell>
          <cell r="AA331">
            <v>0</v>
          </cell>
          <cell r="AB331">
            <v>0</v>
          </cell>
          <cell r="AC331">
            <v>1</v>
          </cell>
          <cell r="AD331">
            <v>239</v>
          </cell>
          <cell r="AE331">
            <v>0</v>
          </cell>
          <cell r="AF331">
            <v>0</v>
          </cell>
          <cell r="AG331">
            <v>0</v>
          </cell>
          <cell r="AH331">
            <v>0</v>
          </cell>
          <cell r="AI331">
            <v>0</v>
          </cell>
          <cell r="AJ331">
            <v>0</v>
          </cell>
          <cell r="AK331">
            <v>0</v>
          </cell>
          <cell r="AL331">
            <v>0</v>
          </cell>
          <cell r="AM331">
            <v>0</v>
          </cell>
          <cell r="AN331">
            <v>0</v>
          </cell>
          <cell r="AO331">
            <v>0</v>
          </cell>
          <cell r="AP331">
            <v>0</v>
          </cell>
          <cell r="AQ331">
            <v>1</v>
          </cell>
          <cell r="AR331">
            <v>140</v>
          </cell>
          <cell r="AS331">
            <v>0</v>
          </cell>
          <cell r="AT331">
            <v>0</v>
          </cell>
          <cell r="AU331">
            <v>2</v>
          </cell>
          <cell r="AV331">
            <v>276</v>
          </cell>
          <cell r="AW331">
            <v>2</v>
          </cell>
          <cell r="AX331">
            <v>276</v>
          </cell>
          <cell r="AY331">
            <v>1</v>
          </cell>
          <cell r="AZ331">
            <v>196</v>
          </cell>
          <cell r="BA331">
            <v>0</v>
          </cell>
          <cell r="BB331">
            <v>0</v>
          </cell>
          <cell r="BC331">
            <v>3</v>
          </cell>
          <cell r="BD331">
            <v>894</v>
          </cell>
          <cell r="BE331">
            <v>0</v>
          </cell>
          <cell r="BF331">
            <v>0</v>
          </cell>
          <cell r="BG331">
            <v>3</v>
          </cell>
          <cell r="BH331">
            <v>894</v>
          </cell>
          <cell r="BI331">
            <v>0</v>
          </cell>
          <cell r="BJ331">
            <v>0</v>
          </cell>
          <cell r="BK331">
            <v>0</v>
          </cell>
          <cell r="BL331">
            <v>0</v>
          </cell>
          <cell r="BM331">
            <v>0</v>
          </cell>
          <cell r="BN331">
            <v>0</v>
          </cell>
          <cell r="BO331">
            <v>0</v>
          </cell>
          <cell r="BP331">
            <v>0</v>
          </cell>
          <cell r="BQ331">
            <v>0</v>
          </cell>
          <cell r="BR331">
            <v>0</v>
          </cell>
          <cell r="BS331">
            <v>1</v>
          </cell>
          <cell r="BT331">
            <v>174</v>
          </cell>
          <cell r="BU331">
            <v>1</v>
          </cell>
          <cell r="BV331">
            <v>95</v>
          </cell>
          <cell r="BW331">
            <v>0</v>
          </cell>
          <cell r="BX331">
            <v>0</v>
          </cell>
          <cell r="BY331">
            <v>0</v>
          </cell>
          <cell r="BZ331">
            <v>0</v>
          </cell>
          <cell r="CA331">
            <v>0</v>
          </cell>
          <cell r="CB331">
            <v>0</v>
          </cell>
          <cell r="CC331">
            <v>0</v>
          </cell>
          <cell r="CD331">
            <v>0</v>
          </cell>
        </row>
        <row r="332">
          <cell r="B332" t="str">
            <v>Minneapolis, MN</v>
          </cell>
          <cell r="C332">
            <v>0</v>
          </cell>
          <cell r="D332">
            <v>0</v>
          </cell>
          <cell r="E332">
            <v>1</v>
          </cell>
          <cell r="F332">
            <v>225</v>
          </cell>
          <cell r="G332">
            <v>1</v>
          </cell>
          <cell r="H332">
            <v>120</v>
          </cell>
          <cell r="I332">
            <v>2</v>
          </cell>
          <cell r="J332">
            <v>345</v>
          </cell>
          <cell r="K332">
            <v>0</v>
          </cell>
          <cell r="L332">
            <v>0</v>
          </cell>
          <cell r="M332">
            <v>0</v>
          </cell>
          <cell r="N332">
            <v>0</v>
          </cell>
          <cell r="O332">
            <v>0</v>
          </cell>
          <cell r="P332">
            <v>0</v>
          </cell>
          <cell r="Q332">
            <v>0</v>
          </cell>
          <cell r="R332">
            <v>0</v>
          </cell>
          <cell r="S332">
            <v>0</v>
          </cell>
          <cell r="T332">
            <v>0</v>
          </cell>
          <cell r="U332">
            <v>0</v>
          </cell>
          <cell r="V332">
            <v>0</v>
          </cell>
          <cell r="W332">
            <v>0</v>
          </cell>
          <cell r="X332">
            <v>0</v>
          </cell>
          <cell r="Y332">
            <v>0</v>
          </cell>
          <cell r="Z332">
            <v>0</v>
          </cell>
          <cell r="AA332">
            <v>0</v>
          </cell>
          <cell r="AB332">
            <v>0</v>
          </cell>
          <cell r="AC332">
            <v>0</v>
          </cell>
          <cell r="AD332">
            <v>0</v>
          </cell>
          <cell r="AE332">
            <v>0</v>
          </cell>
          <cell r="AF332">
            <v>0</v>
          </cell>
          <cell r="AG332">
            <v>0</v>
          </cell>
          <cell r="AH332">
            <v>0</v>
          </cell>
          <cell r="AI332">
            <v>0</v>
          </cell>
          <cell r="AJ332">
            <v>0</v>
          </cell>
          <cell r="AK332">
            <v>1</v>
          </cell>
          <cell r="AL332">
            <v>256</v>
          </cell>
          <cell r="AM332">
            <v>1</v>
          </cell>
          <cell r="AN332">
            <v>256</v>
          </cell>
          <cell r="AO332">
            <v>0</v>
          </cell>
          <cell r="AP332">
            <v>0</v>
          </cell>
          <cell r="AQ332">
            <v>0</v>
          </cell>
          <cell r="AR332">
            <v>0</v>
          </cell>
          <cell r="AS332">
            <v>1</v>
          </cell>
          <cell r="AT332">
            <v>130</v>
          </cell>
          <cell r="AU332">
            <v>0</v>
          </cell>
          <cell r="AV332">
            <v>0</v>
          </cell>
          <cell r="AW332">
            <v>1</v>
          </cell>
          <cell r="AX332">
            <v>130</v>
          </cell>
          <cell r="AY332">
            <v>1</v>
          </cell>
          <cell r="AZ332">
            <v>108</v>
          </cell>
          <cell r="BA332">
            <v>0</v>
          </cell>
          <cell r="BB332">
            <v>0</v>
          </cell>
          <cell r="BC332">
            <v>0</v>
          </cell>
          <cell r="BD332">
            <v>0</v>
          </cell>
          <cell r="BE332">
            <v>0</v>
          </cell>
          <cell r="BF332">
            <v>0</v>
          </cell>
          <cell r="BG332">
            <v>0</v>
          </cell>
          <cell r="BH332">
            <v>0</v>
          </cell>
          <cell r="BI332">
            <v>0</v>
          </cell>
          <cell r="BJ332">
            <v>0</v>
          </cell>
          <cell r="BK332">
            <v>0</v>
          </cell>
          <cell r="BL332">
            <v>0</v>
          </cell>
          <cell r="BM332">
            <v>0</v>
          </cell>
          <cell r="BN332">
            <v>0</v>
          </cell>
          <cell r="BO332">
            <v>2</v>
          </cell>
          <cell r="BP332">
            <v>264</v>
          </cell>
          <cell r="BQ332">
            <v>2</v>
          </cell>
          <cell r="BR332">
            <v>264</v>
          </cell>
          <cell r="BS332">
            <v>0</v>
          </cell>
          <cell r="BT332">
            <v>0</v>
          </cell>
          <cell r="BU332">
            <v>1</v>
          </cell>
          <cell r="BV332">
            <v>94</v>
          </cell>
          <cell r="BW332">
            <v>1</v>
          </cell>
          <cell r="BX332">
            <v>144</v>
          </cell>
          <cell r="BY332">
            <v>1</v>
          </cell>
          <cell r="BZ332">
            <v>95</v>
          </cell>
          <cell r="CA332">
            <v>2</v>
          </cell>
          <cell r="CB332">
            <v>239</v>
          </cell>
          <cell r="CC332">
            <v>0</v>
          </cell>
          <cell r="CD332">
            <v>0</v>
          </cell>
        </row>
        <row r="333">
          <cell r="B333" t="str">
            <v>Nashville, TN</v>
          </cell>
          <cell r="C333">
            <v>0</v>
          </cell>
          <cell r="D333">
            <v>0</v>
          </cell>
          <cell r="E333">
            <v>0</v>
          </cell>
          <cell r="F333">
            <v>0</v>
          </cell>
          <cell r="G333">
            <v>0</v>
          </cell>
          <cell r="H333">
            <v>0</v>
          </cell>
          <cell r="I333">
            <v>0</v>
          </cell>
          <cell r="J333">
            <v>0</v>
          </cell>
          <cell r="K333">
            <v>0</v>
          </cell>
          <cell r="L333">
            <v>0</v>
          </cell>
          <cell r="M333">
            <v>0</v>
          </cell>
          <cell r="N333">
            <v>0</v>
          </cell>
          <cell r="O333">
            <v>2</v>
          </cell>
          <cell r="P333">
            <v>156</v>
          </cell>
          <cell r="Q333">
            <v>0</v>
          </cell>
          <cell r="R333">
            <v>0</v>
          </cell>
          <cell r="S333">
            <v>2</v>
          </cell>
          <cell r="T333">
            <v>156</v>
          </cell>
          <cell r="U333">
            <v>0</v>
          </cell>
          <cell r="V333">
            <v>0</v>
          </cell>
          <cell r="W333">
            <v>0</v>
          </cell>
          <cell r="X333">
            <v>0</v>
          </cell>
          <cell r="Y333">
            <v>1</v>
          </cell>
          <cell r="Z333">
            <v>307</v>
          </cell>
          <cell r="AA333">
            <v>0</v>
          </cell>
          <cell r="AB333">
            <v>0</v>
          </cell>
          <cell r="AC333">
            <v>1</v>
          </cell>
          <cell r="AD333">
            <v>307</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0</v>
          </cell>
          <cell r="AW333">
            <v>0</v>
          </cell>
          <cell r="AX333">
            <v>0</v>
          </cell>
          <cell r="AY333">
            <v>0</v>
          </cell>
          <cell r="AZ333">
            <v>0</v>
          </cell>
          <cell r="BA333">
            <v>0</v>
          </cell>
          <cell r="BB333">
            <v>0</v>
          </cell>
          <cell r="BC333">
            <v>0</v>
          </cell>
          <cell r="BD333">
            <v>0</v>
          </cell>
          <cell r="BE333">
            <v>0</v>
          </cell>
          <cell r="BF333">
            <v>0</v>
          </cell>
          <cell r="BG333">
            <v>0</v>
          </cell>
          <cell r="BH333">
            <v>0</v>
          </cell>
          <cell r="BI333">
            <v>0</v>
          </cell>
          <cell r="BJ333">
            <v>0</v>
          </cell>
          <cell r="BK333">
            <v>2</v>
          </cell>
          <cell r="BL333">
            <v>228</v>
          </cell>
          <cell r="BM333">
            <v>0</v>
          </cell>
          <cell r="BN333">
            <v>0</v>
          </cell>
          <cell r="BO333">
            <v>0</v>
          </cell>
          <cell r="BP333">
            <v>0</v>
          </cell>
          <cell r="BQ333">
            <v>0</v>
          </cell>
          <cell r="BR333">
            <v>0</v>
          </cell>
          <cell r="BS333">
            <v>0</v>
          </cell>
          <cell r="BT333">
            <v>0</v>
          </cell>
          <cell r="BU333">
            <v>0</v>
          </cell>
          <cell r="BV333">
            <v>0</v>
          </cell>
          <cell r="BW333">
            <v>0</v>
          </cell>
          <cell r="BX333">
            <v>0</v>
          </cell>
          <cell r="BY333">
            <v>0</v>
          </cell>
          <cell r="BZ333">
            <v>0</v>
          </cell>
          <cell r="CA333">
            <v>0</v>
          </cell>
          <cell r="CB333">
            <v>0</v>
          </cell>
          <cell r="CC333">
            <v>0</v>
          </cell>
          <cell r="CD333">
            <v>0</v>
          </cell>
        </row>
        <row r="334">
          <cell r="B334" t="str">
            <v>New Orleans, LA</v>
          </cell>
          <cell r="C334">
            <v>1</v>
          </cell>
          <cell r="D334">
            <v>154</v>
          </cell>
          <cell r="E334">
            <v>0</v>
          </cell>
          <cell r="F334">
            <v>0</v>
          </cell>
          <cell r="G334">
            <v>0</v>
          </cell>
          <cell r="H334">
            <v>0</v>
          </cell>
          <cell r="I334">
            <v>0</v>
          </cell>
          <cell r="J334">
            <v>0</v>
          </cell>
          <cell r="K334">
            <v>0</v>
          </cell>
          <cell r="L334">
            <v>0</v>
          </cell>
          <cell r="M334">
            <v>0</v>
          </cell>
          <cell r="N334">
            <v>0</v>
          </cell>
          <cell r="O334">
            <v>0</v>
          </cell>
          <cell r="P334">
            <v>0</v>
          </cell>
          <cell r="Q334">
            <v>0</v>
          </cell>
          <cell r="R334">
            <v>0</v>
          </cell>
          <cell r="S334">
            <v>0</v>
          </cell>
          <cell r="T334">
            <v>0</v>
          </cell>
          <cell r="U334">
            <v>0</v>
          </cell>
          <cell r="V334">
            <v>0</v>
          </cell>
          <cell r="W334">
            <v>0</v>
          </cell>
          <cell r="X334">
            <v>0</v>
          </cell>
          <cell r="Y334">
            <v>0</v>
          </cell>
          <cell r="Z334">
            <v>0</v>
          </cell>
          <cell r="AA334">
            <v>0</v>
          </cell>
          <cell r="AB334">
            <v>0</v>
          </cell>
          <cell r="AC334">
            <v>0</v>
          </cell>
          <cell r="AD334">
            <v>0</v>
          </cell>
          <cell r="AE334">
            <v>2</v>
          </cell>
          <cell r="AF334">
            <v>910</v>
          </cell>
          <cell r="AG334">
            <v>0</v>
          </cell>
          <cell r="AH334">
            <v>0</v>
          </cell>
          <cell r="AI334">
            <v>2</v>
          </cell>
          <cell r="AJ334">
            <v>491</v>
          </cell>
          <cell r="AK334">
            <v>0</v>
          </cell>
          <cell r="AL334">
            <v>0</v>
          </cell>
          <cell r="AM334">
            <v>2</v>
          </cell>
          <cell r="AN334">
            <v>491</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1</v>
          </cell>
          <cell r="BD334">
            <v>452</v>
          </cell>
          <cell r="BE334">
            <v>0</v>
          </cell>
          <cell r="BF334">
            <v>0</v>
          </cell>
          <cell r="BG334">
            <v>1</v>
          </cell>
          <cell r="BH334">
            <v>452</v>
          </cell>
          <cell r="BI334">
            <v>0</v>
          </cell>
          <cell r="BJ334">
            <v>0</v>
          </cell>
          <cell r="BK334">
            <v>0</v>
          </cell>
          <cell r="BL334">
            <v>0</v>
          </cell>
          <cell r="BM334">
            <v>0</v>
          </cell>
          <cell r="BN334">
            <v>0</v>
          </cell>
          <cell r="BO334">
            <v>1</v>
          </cell>
          <cell r="BP334">
            <v>208</v>
          </cell>
          <cell r="BQ334">
            <v>1</v>
          </cell>
          <cell r="BR334">
            <v>208</v>
          </cell>
          <cell r="BS334">
            <v>0</v>
          </cell>
          <cell r="BT334">
            <v>0</v>
          </cell>
          <cell r="BU334">
            <v>1</v>
          </cell>
          <cell r="BV334">
            <v>123</v>
          </cell>
          <cell r="BW334">
            <v>0</v>
          </cell>
          <cell r="BX334">
            <v>0</v>
          </cell>
          <cell r="BY334">
            <v>0</v>
          </cell>
          <cell r="BZ334">
            <v>0</v>
          </cell>
          <cell r="CA334">
            <v>0</v>
          </cell>
          <cell r="CB334">
            <v>0</v>
          </cell>
          <cell r="CC334">
            <v>0</v>
          </cell>
          <cell r="CD334">
            <v>0</v>
          </cell>
        </row>
        <row r="335">
          <cell r="B335" t="str">
            <v>New York, NY</v>
          </cell>
          <cell r="C335">
            <v>0</v>
          </cell>
          <cell r="D335">
            <v>0</v>
          </cell>
          <cell r="E335">
            <v>1</v>
          </cell>
          <cell r="F335">
            <v>166</v>
          </cell>
          <cell r="G335">
            <v>0</v>
          </cell>
          <cell r="H335">
            <v>0</v>
          </cell>
          <cell r="I335">
            <v>1</v>
          </cell>
          <cell r="J335">
            <v>166</v>
          </cell>
          <cell r="K335">
            <v>0</v>
          </cell>
          <cell r="L335">
            <v>0</v>
          </cell>
          <cell r="M335">
            <v>0</v>
          </cell>
          <cell r="N335">
            <v>0</v>
          </cell>
          <cell r="O335">
            <v>0</v>
          </cell>
          <cell r="P335">
            <v>0</v>
          </cell>
          <cell r="Q335">
            <v>1</v>
          </cell>
          <cell r="R335">
            <v>82</v>
          </cell>
          <cell r="S335">
            <v>1</v>
          </cell>
          <cell r="T335">
            <v>82</v>
          </cell>
          <cell r="U335">
            <v>0</v>
          </cell>
          <cell r="V335">
            <v>0</v>
          </cell>
          <cell r="W335">
            <v>0</v>
          </cell>
          <cell r="X335">
            <v>0</v>
          </cell>
          <cell r="Y335">
            <v>0</v>
          </cell>
          <cell r="Z335">
            <v>0</v>
          </cell>
          <cell r="AA335">
            <v>0</v>
          </cell>
          <cell r="AB335">
            <v>0</v>
          </cell>
          <cell r="AC335">
            <v>0</v>
          </cell>
          <cell r="AD335">
            <v>0</v>
          </cell>
          <cell r="AE335">
            <v>1</v>
          </cell>
          <cell r="AF335">
            <v>285</v>
          </cell>
          <cell r="AG335">
            <v>0</v>
          </cell>
          <cell r="AH335">
            <v>0</v>
          </cell>
          <cell r="AI335">
            <v>0</v>
          </cell>
          <cell r="AJ335">
            <v>0</v>
          </cell>
          <cell r="AK335">
            <v>0</v>
          </cell>
          <cell r="AL335">
            <v>0</v>
          </cell>
          <cell r="AM335">
            <v>0</v>
          </cell>
          <cell r="AN335">
            <v>0</v>
          </cell>
          <cell r="AO335">
            <v>0</v>
          </cell>
          <cell r="AP335">
            <v>0</v>
          </cell>
          <cell r="AQ335">
            <v>1</v>
          </cell>
          <cell r="AR335">
            <v>123</v>
          </cell>
          <cell r="AS335">
            <v>0</v>
          </cell>
          <cell r="AT335">
            <v>0</v>
          </cell>
          <cell r="AU335">
            <v>0</v>
          </cell>
          <cell r="AV335">
            <v>0</v>
          </cell>
          <cell r="AW335">
            <v>0</v>
          </cell>
          <cell r="AX335">
            <v>0</v>
          </cell>
          <cell r="AY335">
            <v>1</v>
          </cell>
          <cell r="AZ335">
            <v>420</v>
          </cell>
          <cell r="BA335">
            <v>0</v>
          </cell>
          <cell r="BB335">
            <v>0</v>
          </cell>
          <cell r="BC335">
            <v>1</v>
          </cell>
          <cell r="BD335">
            <v>314</v>
          </cell>
          <cell r="BE335">
            <v>0</v>
          </cell>
          <cell r="BF335">
            <v>0</v>
          </cell>
          <cell r="BG335">
            <v>1</v>
          </cell>
          <cell r="BH335">
            <v>314</v>
          </cell>
          <cell r="BI335">
            <v>0</v>
          </cell>
          <cell r="BJ335">
            <v>0</v>
          </cell>
          <cell r="BK335">
            <v>0</v>
          </cell>
          <cell r="BL335">
            <v>0</v>
          </cell>
          <cell r="BM335">
            <v>0</v>
          </cell>
          <cell r="BN335">
            <v>0</v>
          </cell>
          <cell r="BO335">
            <v>1</v>
          </cell>
          <cell r="BP335">
            <v>140</v>
          </cell>
          <cell r="BQ335">
            <v>1</v>
          </cell>
          <cell r="BR335">
            <v>140</v>
          </cell>
          <cell r="BS335">
            <v>1</v>
          </cell>
          <cell r="BT335">
            <v>134</v>
          </cell>
          <cell r="BU335">
            <v>0</v>
          </cell>
          <cell r="BV335">
            <v>0</v>
          </cell>
          <cell r="BW335">
            <v>0</v>
          </cell>
          <cell r="BX335">
            <v>0</v>
          </cell>
          <cell r="BY335">
            <v>0</v>
          </cell>
          <cell r="BZ335">
            <v>0</v>
          </cell>
          <cell r="CA335">
            <v>0</v>
          </cell>
          <cell r="CB335">
            <v>0</v>
          </cell>
          <cell r="CC335">
            <v>0</v>
          </cell>
          <cell r="CD335">
            <v>0</v>
          </cell>
        </row>
        <row r="336">
          <cell r="B336" t="str">
            <v>Norfolk, VA</v>
          </cell>
          <cell r="C336">
            <v>0</v>
          </cell>
          <cell r="D336">
            <v>0</v>
          </cell>
          <cell r="E336">
            <v>1</v>
          </cell>
          <cell r="F336">
            <v>140</v>
          </cell>
          <cell r="G336">
            <v>0</v>
          </cell>
          <cell r="H336">
            <v>0</v>
          </cell>
          <cell r="I336">
            <v>1</v>
          </cell>
          <cell r="J336">
            <v>140</v>
          </cell>
          <cell r="K336">
            <v>0</v>
          </cell>
          <cell r="L336">
            <v>0</v>
          </cell>
          <cell r="M336">
            <v>0</v>
          </cell>
          <cell r="N336">
            <v>0</v>
          </cell>
          <cell r="O336">
            <v>0</v>
          </cell>
          <cell r="P336">
            <v>0</v>
          </cell>
          <cell r="Q336">
            <v>0</v>
          </cell>
          <cell r="R336">
            <v>0</v>
          </cell>
          <cell r="S336">
            <v>0</v>
          </cell>
          <cell r="T336">
            <v>0</v>
          </cell>
          <cell r="U336">
            <v>0</v>
          </cell>
          <cell r="V336">
            <v>0</v>
          </cell>
          <cell r="W336">
            <v>0</v>
          </cell>
          <cell r="X336">
            <v>0</v>
          </cell>
          <cell r="Y336">
            <v>0</v>
          </cell>
          <cell r="Z336">
            <v>0</v>
          </cell>
          <cell r="AA336">
            <v>0</v>
          </cell>
          <cell r="AB336">
            <v>0</v>
          </cell>
          <cell r="AC336">
            <v>0</v>
          </cell>
          <cell r="AD336">
            <v>0</v>
          </cell>
          <cell r="AE336">
            <v>1</v>
          </cell>
          <cell r="AF336">
            <v>300</v>
          </cell>
          <cell r="AG336">
            <v>0</v>
          </cell>
          <cell r="AH336">
            <v>0</v>
          </cell>
          <cell r="AI336">
            <v>1</v>
          </cell>
          <cell r="AJ336">
            <v>250</v>
          </cell>
          <cell r="AK336">
            <v>0</v>
          </cell>
          <cell r="AL336">
            <v>0</v>
          </cell>
          <cell r="AM336">
            <v>1</v>
          </cell>
          <cell r="AN336">
            <v>250</v>
          </cell>
          <cell r="AO336">
            <v>0</v>
          </cell>
          <cell r="AP336">
            <v>0</v>
          </cell>
          <cell r="AQ336">
            <v>0</v>
          </cell>
          <cell r="AR336">
            <v>0</v>
          </cell>
          <cell r="AS336">
            <v>0</v>
          </cell>
          <cell r="AT336">
            <v>0</v>
          </cell>
          <cell r="AU336">
            <v>0</v>
          </cell>
          <cell r="AV336">
            <v>0</v>
          </cell>
          <cell r="AW336">
            <v>0</v>
          </cell>
          <cell r="AX336">
            <v>0</v>
          </cell>
          <cell r="AY336">
            <v>0</v>
          </cell>
          <cell r="AZ336">
            <v>0</v>
          </cell>
          <cell r="BA336">
            <v>0</v>
          </cell>
          <cell r="BB336">
            <v>0</v>
          </cell>
          <cell r="BC336">
            <v>0</v>
          </cell>
          <cell r="BD336">
            <v>0</v>
          </cell>
          <cell r="BE336">
            <v>0</v>
          </cell>
          <cell r="BF336">
            <v>0</v>
          </cell>
          <cell r="BG336">
            <v>0</v>
          </cell>
          <cell r="BH336">
            <v>0</v>
          </cell>
          <cell r="BI336">
            <v>0</v>
          </cell>
          <cell r="BJ336">
            <v>0</v>
          </cell>
          <cell r="BK336">
            <v>1</v>
          </cell>
          <cell r="BL336">
            <v>120</v>
          </cell>
          <cell r="BM336">
            <v>0</v>
          </cell>
          <cell r="BN336">
            <v>0</v>
          </cell>
          <cell r="BO336">
            <v>0</v>
          </cell>
          <cell r="BP336">
            <v>0</v>
          </cell>
          <cell r="BQ336">
            <v>0</v>
          </cell>
          <cell r="BR336">
            <v>0</v>
          </cell>
          <cell r="BS336">
            <v>0</v>
          </cell>
          <cell r="BT336">
            <v>0</v>
          </cell>
          <cell r="BU336">
            <v>0</v>
          </cell>
          <cell r="BV336">
            <v>0</v>
          </cell>
          <cell r="BW336">
            <v>0</v>
          </cell>
          <cell r="BX336">
            <v>0</v>
          </cell>
          <cell r="BY336">
            <v>0</v>
          </cell>
          <cell r="BZ336">
            <v>0</v>
          </cell>
          <cell r="CA336">
            <v>0</v>
          </cell>
          <cell r="CB336">
            <v>0</v>
          </cell>
          <cell r="CC336">
            <v>0</v>
          </cell>
          <cell r="CD336">
            <v>0</v>
          </cell>
        </row>
        <row r="337">
          <cell r="B337" t="str">
            <v>Oahu Island, HI</v>
          </cell>
          <cell r="C337">
            <v>0</v>
          </cell>
          <cell r="D337">
            <v>0</v>
          </cell>
          <cell r="E337">
            <v>0</v>
          </cell>
          <cell r="F337">
            <v>0</v>
          </cell>
          <cell r="G337">
            <v>1</v>
          </cell>
          <cell r="H337">
            <v>299</v>
          </cell>
          <cell r="I337">
            <v>1</v>
          </cell>
          <cell r="J337">
            <v>299</v>
          </cell>
          <cell r="K337">
            <v>0</v>
          </cell>
          <cell r="L337">
            <v>0</v>
          </cell>
          <cell r="M337">
            <v>0</v>
          </cell>
          <cell r="N337">
            <v>0</v>
          </cell>
          <cell r="O337">
            <v>0</v>
          </cell>
          <cell r="P337">
            <v>0</v>
          </cell>
          <cell r="Q337">
            <v>0</v>
          </cell>
          <cell r="R337">
            <v>0</v>
          </cell>
          <cell r="S337">
            <v>0</v>
          </cell>
          <cell r="T337">
            <v>0</v>
          </cell>
          <cell r="U337">
            <v>0</v>
          </cell>
          <cell r="V337">
            <v>0</v>
          </cell>
          <cell r="W337">
            <v>0</v>
          </cell>
          <cell r="X337">
            <v>0</v>
          </cell>
          <cell r="Y337">
            <v>0</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H337">
            <v>0</v>
          </cell>
          <cell r="BI337">
            <v>0</v>
          </cell>
          <cell r="BJ337">
            <v>0</v>
          </cell>
          <cell r="BK337">
            <v>0</v>
          </cell>
          <cell r="BL337">
            <v>0</v>
          </cell>
          <cell r="BM337">
            <v>0</v>
          </cell>
          <cell r="BN337">
            <v>0</v>
          </cell>
          <cell r="BO337">
            <v>0</v>
          </cell>
          <cell r="BP337">
            <v>0</v>
          </cell>
          <cell r="BQ337">
            <v>0</v>
          </cell>
          <cell r="BR337">
            <v>0</v>
          </cell>
          <cell r="BS337">
            <v>0</v>
          </cell>
          <cell r="BT337">
            <v>0</v>
          </cell>
          <cell r="BU337">
            <v>0</v>
          </cell>
          <cell r="BV337">
            <v>0</v>
          </cell>
          <cell r="BW337">
            <v>0</v>
          </cell>
          <cell r="BX337">
            <v>0</v>
          </cell>
          <cell r="BY337">
            <v>0</v>
          </cell>
          <cell r="BZ337">
            <v>0</v>
          </cell>
          <cell r="CA337">
            <v>0</v>
          </cell>
          <cell r="CB337">
            <v>0</v>
          </cell>
          <cell r="CC337">
            <v>0</v>
          </cell>
          <cell r="CD337">
            <v>0</v>
          </cell>
        </row>
        <row r="338">
          <cell r="B338" t="str">
            <v>Orlando, FL</v>
          </cell>
          <cell r="C338">
            <v>0</v>
          </cell>
          <cell r="D338">
            <v>0</v>
          </cell>
          <cell r="E338">
            <v>1</v>
          </cell>
          <cell r="F338">
            <v>312</v>
          </cell>
          <cell r="G338">
            <v>0</v>
          </cell>
          <cell r="H338">
            <v>0</v>
          </cell>
          <cell r="I338">
            <v>1</v>
          </cell>
          <cell r="J338">
            <v>312</v>
          </cell>
          <cell r="K338">
            <v>0</v>
          </cell>
          <cell r="L338">
            <v>0</v>
          </cell>
          <cell r="M338">
            <v>0</v>
          </cell>
          <cell r="N338">
            <v>0</v>
          </cell>
          <cell r="O338">
            <v>1</v>
          </cell>
          <cell r="P338">
            <v>389</v>
          </cell>
          <cell r="Q338">
            <v>1</v>
          </cell>
          <cell r="R338">
            <v>200</v>
          </cell>
          <cell r="S338">
            <v>2</v>
          </cell>
          <cell r="T338">
            <v>589</v>
          </cell>
          <cell r="U338">
            <v>1</v>
          </cell>
          <cell r="V338">
            <v>117</v>
          </cell>
          <cell r="W338">
            <v>0</v>
          </cell>
          <cell r="X338">
            <v>0</v>
          </cell>
          <cell r="Y338">
            <v>1</v>
          </cell>
          <cell r="Z338">
            <v>500</v>
          </cell>
          <cell r="AA338">
            <v>1</v>
          </cell>
          <cell r="AB338">
            <v>1100</v>
          </cell>
          <cell r="AC338">
            <v>2</v>
          </cell>
          <cell r="AD338">
            <v>1600</v>
          </cell>
          <cell r="AE338">
            <v>0</v>
          </cell>
          <cell r="AF338">
            <v>0</v>
          </cell>
          <cell r="AG338">
            <v>0</v>
          </cell>
          <cell r="AH338">
            <v>0</v>
          </cell>
          <cell r="AI338">
            <v>0</v>
          </cell>
          <cell r="AJ338">
            <v>0</v>
          </cell>
          <cell r="AK338">
            <v>0</v>
          </cell>
          <cell r="AL338">
            <v>0</v>
          </cell>
          <cell r="AM338">
            <v>0</v>
          </cell>
          <cell r="AN338">
            <v>0</v>
          </cell>
          <cell r="AO338">
            <v>0</v>
          </cell>
          <cell r="AP338">
            <v>0</v>
          </cell>
          <cell r="AQ338">
            <v>1</v>
          </cell>
          <cell r="AR338">
            <v>99</v>
          </cell>
          <cell r="AS338">
            <v>1</v>
          </cell>
          <cell r="AT338">
            <v>205</v>
          </cell>
          <cell r="AU338">
            <v>1</v>
          </cell>
          <cell r="AV338">
            <v>350</v>
          </cell>
          <cell r="AW338">
            <v>2</v>
          </cell>
          <cell r="AX338">
            <v>555</v>
          </cell>
          <cell r="AY338">
            <v>2</v>
          </cell>
          <cell r="AZ338">
            <v>272</v>
          </cell>
          <cell r="BA338">
            <v>0</v>
          </cell>
          <cell r="BB338">
            <v>0</v>
          </cell>
          <cell r="BC338">
            <v>0</v>
          </cell>
          <cell r="BD338">
            <v>0</v>
          </cell>
          <cell r="BE338">
            <v>1</v>
          </cell>
          <cell r="BF338">
            <v>584</v>
          </cell>
          <cell r="BG338">
            <v>1</v>
          </cell>
          <cell r="BH338">
            <v>584</v>
          </cell>
          <cell r="BI338">
            <v>0</v>
          </cell>
          <cell r="BJ338">
            <v>0</v>
          </cell>
          <cell r="BK338">
            <v>2</v>
          </cell>
          <cell r="BL338">
            <v>196</v>
          </cell>
          <cell r="BM338">
            <v>1</v>
          </cell>
          <cell r="BN338">
            <v>400</v>
          </cell>
          <cell r="BO338">
            <v>0</v>
          </cell>
          <cell r="BP338">
            <v>0</v>
          </cell>
          <cell r="BQ338">
            <v>1</v>
          </cell>
          <cell r="BR338">
            <v>400</v>
          </cell>
          <cell r="BS338">
            <v>1</v>
          </cell>
          <cell r="BT338">
            <v>125</v>
          </cell>
          <cell r="BU338">
            <v>0</v>
          </cell>
          <cell r="BV338">
            <v>0</v>
          </cell>
          <cell r="BW338">
            <v>0</v>
          </cell>
          <cell r="BX338">
            <v>0</v>
          </cell>
          <cell r="BY338">
            <v>0</v>
          </cell>
          <cell r="BZ338">
            <v>0</v>
          </cell>
          <cell r="CA338">
            <v>0</v>
          </cell>
          <cell r="CB338">
            <v>0</v>
          </cell>
          <cell r="CC338">
            <v>0</v>
          </cell>
          <cell r="CD338">
            <v>0</v>
          </cell>
        </row>
        <row r="339">
          <cell r="B339" t="str">
            <v>Philadelphia, PA</v>
          </cell>
          <cell r="C339">
            <v>1</v>
          </cell>
          <cell r="D339">
            <v>498</v>
          </cell>
          <cell r="E339">
            <v>0</v>
          </cell>
          <cell r="F339">
            <v>0</v>
          </cell>
          <cell r="G339">
            <v>2</v>
          </cell>
          <cell r="H339">
            <v>238</v>
          </cell>
          <cell r="I339">
            <v>2</v>
          </cell>
          <cell r="J339">
            <v>238</v>
          </cell>
          <cell r="K339">
            <v>1</v>
          </cell>
          <cell r="L339">
            <v>102</v>
          </cell>
          <cell r="M339">
            <v>0</v>
          </cell>
          <cell r="N339">
            <v>0</v>
          </cell>
          <cell r="O339">
            <v>0</v>
          </cell>
          <cell r="P339">
            <v>0</v>
          </cell>
          <cell r="Q339">
            <v>0</v>
          </cell>
          <cell r="R339">
            <v>0</v>
          </cell>
          <cell r="S339">
            <v>0</v>
          </cell>
          <cell r="T339">
            <v>0</v>
          </cell>
          <cell r="U339">
            <v>1</v>
          </cell>
          <cell r="V339">
            <v>96</v>
          </cell>
          <cell r="W339">
            <v>0</v>
          </cell>
          <cell r="X339">
            <v>0</v>
          </cell>
          <cell r="Y339">
            <v>0</v>
          </cell>
          <cell r="Z339">
            <v>0</v>
          </cell>
          <cell r="AA339">
            <v>0</v>
          </cell>
          <cell r="AB339">
            <v>0</v>
          </cell>
          <cell r="AC339">
            <v>0</v>
          </cell>
          <cell r="AD339">
            <v>0</v>
          </cell>
          <cell r="AE339">
            <v>0</v>
          </cell>
          <cell r="AF339">
            <v>0</v>
          </cell>
          <cell r="AG339">
            <v>0</v>
          </cell>
          <cell r="AH339">
            <v>0</v>
          </cell>
          <cell r="AI339">
            <v>0</v>
          </cell>
          <cell r="AJ339">
            <v>0</v>
          </cell>
          <cell r="AK339">
            <v>0</v>
          </cell>
          <cell r="AL339">
            <v>0</v>
          </cell>
          <cell r="AM339">
            <v>0</v>
          </cell>
          <cell r="AN339">
            <v>0</v>
          </cell>
          <cell r="AO339">
            <v>0</v>
          </cell>
          <cell r="AP339">
            <v>0</v>
          </cell>
          <cell r="AQ339">
            <v>2</v>
          </cell>
          <cell r="AR339">
            <v>198</v>
          </cell>
          <cell r="AS339">
            <v>2</v>
          </cell>
          <cell r="AT339">
            <v>409</v>
          </cell>
          <cell r="AU339">
            <v>2</v>
          </cell>
          <cell r="AV339">
            <v>210</v>
          </cell>
          <cell r="AW339">
            <v>4</v>
          </cell>
          <cell r="AX339">
            <v>619</v>
          </cell>
          <cell r="AY339">
            <v>3</v>
          </cell>
          <cell r="AZ339">
            <v>341</v>
          </cell>
          <cell r="BA339">
            <v>1</v>
          </cell>
          <cell r="BB339">
            <v>330</v>
          </cell>
          <cell r="BC339">
            <v>0</v>
          </cell>
          <cell r="BD339">
            <v>0</v>
          </cell>
          <cell r="BE339">
            <v>0</v>
          </cell>
          <cell r="BF339">
            <v>0</v>
          </cell>
          <cell r="BG339">
            <v>0</v>
          </cell>
          <cell r="BH339">
            <v>0</v>
          </cell>
          <cell r="BI339">
            <v>0</v>
          </cell>
          <cell r="BJ339">
            <v>0</v>
          </cell>
          <cell r="BK339">
            <v>0</v>
          </cell>
          <cell r="BL339">
            <v>0</v>
          </cell>
          <cell r="BM339">
            <v>2</v>
          </cell>
          <cell r="BN339">
            <v>359</v>
          </cell>
          <cell r="BO339">
            <v>1</v>
          </cell>
          <cell r="BP339">
            <v>128</v>
          </cell>
          <cell r="BQ339">
            <v>3</v>
          </cell>
          <cell r="BR339">
            <v>487</v>
          </cell>
          <cell r="BS339">
            <v>1</v>
          </cell>
          <cell r="BT339">
            <v>135</v>
          </cell>
          <cell r="BU339">
            <v>1</v>
          </cell>
          <cell r="BV339">
            <v>95</v>
          </cell>
          <cell r="BW339">
            <v>0</v>
          </cell>
          <cell r="BX339">
            <v>0</v>
          </cell>
          <cell r="BY339">
            <v>0</v>
          </cell>
          <cell r="BZ339">
            <v>0</v>
          </cell>
          <cell r="CA339">
            <v>0</v>
          </cell>
          <cell r="CB339">
            <v>0</v>
          </cell>
          <cell r="CC339">
            <v>0</v>
          </cell>
          <cell r="CD339">
            <v>0</v>
          </cell>
        </row>
        <row r="340">
          <cell r="B340" t="str">
            <v>Phoenix, AZ</v>
          </cell>
          <cell r="C340">
            <v>1</v>
          </cell>
          <cell r="D340">
            <v>156</v>
          </cell>
          <cell r="E340">
            <v>0</v>
          </cell>
          <cell r="F340">
            <v>0</v>
          </cell>
          <cell r="G340">
            <v>0</v>
          </cell>
          <cell r="H340">
            <v>0</v>
          </cell>
          <cell r="I340">
            <v>0</v>
          </cell>
          <cell r="J340">
            <v>0</v>
          </cell>
          <cell r="K340">
            <v>0</v>
          </cell>
          <cell r="L340">
            <v>0</v>
          </cell>
          <cell r="M340">
            <v>0</v>
          </cell>
          <cell r="N340">
            <v>0</v>
          </cell>
          <cell r="O340">
            <v>0</v>
          </cell>
          <cell r="P340">
            <v>0</v>
          </cell>
          <cell r="Q340">
            <v>0</v>
          </cell>
          <cell r="R340">
            <v>0</v>
          </cell>
          <cell r="S340">
            <v>0</v>
          </cell>
          <cell r="T340">
            <v>0</v>
          </cell>
          <cell r="U340">
            <v>0</v>
          </cell>
          <cell r="V340">
            <v>0</v>
          </cell>
          <cell r="W340">
            <v>0</v>
          </cell>
          <cell r="X340">
            <v>0</v>
          </cell>
          <cell r="Y340">
            <v>0</v>
          </cell>
          <cell r="Z340">
            <v>0</v>
          </cell>
          <cell r="AA340">
            <v>2</v>
          </cell>
          <cell r="AB340">
            <v>1225</v>
          </cell>
          <cell r="AC340">
            <v>2</v>
          </cell>
          <cell r="AD340">
            <v>1225</v>
          </cell>
          <cell r="AE340">
            <v>0</v>
          </cell>
          <cell r="AF340">
            <v>0</v>
          </cell>
          <cell r="AG340">
            <v>0</v>
          </cell>
          <cell r="AH340">
            <v>0</v>
          </cell>
          <cell r="AI340">
            <v>0</v>
          </cell>
          <cell r="AJ340">
            <v>0</v>
          </cell>
          <cell r="AK340">
            <v>0</v>
          </cell>
          <cell r="AL340">
            <v>0</v>
          </cell>
          <cell r="AM340">
            <v>0</v>
          </cell>
          <cell r="AN340">
            <v>0</v>
          </cell>
          <cell r="AO340">
            <v>0</v>
          </cell>
          <cell r="AP340">
            <v>0</v>
          </cell>
          <cell r="AQ340">
            <v>1</v>
          </cell>
          <cell r="AR340">
            <v>102</v>
          </cell>
          <cell r="AS340">
            <v>0</v>
          </cell>
          <cell r="AT340">
            <v>0</v>
          </cell>
          <cell r="AU340">
            <v>2</v>
          </cell>
          <cell r="AV340">
            <v>312</v>
          </cell>
          <cell r="AW340">
            <v>2</v>
          </cell>
          <cell r="AX340">
            <v>312</v>
          </cell>
          <cell r="AY340">
            <v>0</v>
          </cell>
          <cell r="AZ340">
            <v>0</v>
          </cell>
          <cell r="BA340">
            <v>0</v>
          </cell>
          <cell r="BB340">
            <v>0</v>
          </cell>
          <cell r="BC340">
            <v>0</v>
          </cell>
          <cell r="BD340">
            <v>0</v>
          </cell>
          <cell r="BE340">
            <v>0</v>
          </cell>
          <cell r="BF340">
            <v>0</v>
          </cell>
          <cell r="BG340">
            <v>0</v>
          </cell>
          <cell r="BH340">
            <v>0</v>
          </cell>
          <cell r="BI340">
            <v>0</v>
          </cell>
          <cell r="BJ340">
            <v>0</v>
          </cell>
          <cell r="BK340">
            <v>2</v>
          </cell>
          <cell r="BL340">
            <v>198</v>
          </cell>
          <cell r="BM340">
            <v>1</v>
          </cell>
          <cell r="BN340">
            <v>123</v>
          </cell>
          <cell r="BO340">
            <v>1</v>
          </cell>
          <cell r="BP340">
            <v>114</v>
          </cell>
          <cell r="BQ340">
            <v>2</v>
          </cell>
          <cell r="BR340">
            <v>237</v>
          </cell>
          <cell r="BS340">
            <v>0</v>
          </cell>
          <cell r="BT340">
            <v>0</v>
          </cell>
          <cell r="BU340">
            <v>1</v>
          </cell>
          <cell r="BV340">
            <v>131</v>
          </cell>
          <cell r="BW340">
            <v>0</v>
          </cell>
          <cell r="BX340">
            <v>0</v>
          </cell>
          <cell r="BY340">
            <v>0</v>
          </cell>
          <cell r="BZ340">
            <v>0</v>
          </cell>
          <cell r="CA340">
            <v>0</v>
          </cell>
          <cell r="CB340">
            <v>0</v>
          </cell>
          <cell r="CC340">
            <v>0</v>
          </cell>
          <cell r="CD340">
            <v>0</v>
          </cell>
        </row>
        <row r="341">
          <cell r="B341" t="str">
            <v>Saint Louis, MO</v>
          </cell>
          <cell r="C341">
            <v>0</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0</v>
          </cell>
          <cell r="X341">
            <v>0</v>
          </cell>
          <cell r="Y341">
            <v>0</v>
          </cell>
          <cell r="Z341">
            <v>0</v>
          </cell>
          <cell r="AA341">
            <v>0</v>
          </cell>
          <cell r="AB341">
            <v>0</v>
          </cell>
          <cell r="AC341">
            <v>0</v>
          </cell>
          <cell r="AD341">
            <v>0</v>
          </cell>
          <cell r="AE341">
            <v>0</v>
          </cell>
          <cell r="AF341">
            <v>0</v>
          </cell>
          <cell r="AG341">
            <v>0</v>
          </cell>
          <cell r="AH341">
            <v>0</v>
          </cell>
          <cell r="AI341">
            <v>0</v>
          </cell>
          <cell r="AJ341">
            <v>0</v>
          </cell>
          <cell r="AK341">
            <v>2</v>
          </cell>
          <cell r="AL341">
            <v>1070</v>
          </cell>
          <cell r="AM341">
            <v>2</v>
          </cell>
          <cell r="AN341">
            <v>1070</v>
          </cell>
          <cell r="AO341">
            <v>0</v>
          </cell>
          <cell r="AP341">
            <v>0</v>
          </cell>
          <cell r="AQ341">
            <v>0</v>
          </cell>
          <cell r="AR341">
            <v>0</v>
          </cell>
          <cell r="AS341">
            <v>0</v>
          </cell>
          <cell r="AT341">
            <v>0</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0</v>
          </cell>
          <cell r="BJ341">
            <v>0</v>
          </cell>
          <cell r="BK341">
            <v>0</v>
          </cell>
          <cell r="BL341">
            <v>0</v>
          </cell>
          <cell r="BM341">
            <v>0</v>
          </cell>
          <cell r="BN341">
            <v>0</v>
          </cell>
          <cell r="BO341">
            <v>0</v>
          </cell>
          <cell r="BP341">
            <v>0</v>
          </cell>
          <cell r="BQ341">
            <v>0</v>
          </cell>
          <cell r="BR341">
            <v>0</v>
          </cell>
          <cell r="BS341">
            <v>0</v>
          </cell>
          <cell r="BT341">
            <v>0</v>
          </cell>
          <cell r="BU341">
            <v>0</v>
          </cell>
          <cell r="BV341">
            <v>0</v>
          </cell>
          <cell r="BW341">
            <v>0</v>
          </cell>
          <cell r="BX341">
            <v>0</v>
          </cell>
          <cell r="BY341">
            <v>0</v>
          </cell>
          <cell r="BZ341">
            <v>0</v>
          </cell>
          <cell r="CA341">
            <v>0</v>
          </cell>
          <cell r="CB341">
            <v>0</v>
          </cell>
          <cell r="CC341">
            <v>0</v>
          </cell>
          <cell r="CD341">
            <v>0</v>
          </cell>
        </row>
        <row r="342">
          <cell r="B342" t="str">
            <v>San Diego, CA</v>
          </cell>
          <cell r="C342">
            <v>2</v>
          </cell>
          <cell r="D342">
            <v>391</v>
          </cell>
          <cell r="E342">
            <v>1</v>
          </cell>
          <cell r="F342">
            <v>246</v>
          </cell>
          <cell r="G342">
            <v>0</v>
          </cell>
          <cell r="H342">
            <v>0</v>
          </cell>
          <cell r="I342">
            <v>1</v>
          </cell>
          <cell r="J342">
            <v>246</v>
          </cell>
          <cell r="K342">
            <v>0</v>
          </cell>
          <cell r="L342">
            <v>0</v>
          </cell>
          <cell r="M342">
            <v>0</v>
          </cell>
          <cell r="N342">
            <v>0</v>
          </cell>
          <cell r="O342">
            <v>0</v>
          </cell>
          <cell r="P342">
            <v>0</v>
          </cell>
          <cell r="Q342">
            <v>0</v>
          </cell>
          <cell r="R342">
            <v>0</v>
          </cell>
          <cell r="S342">
            <v>0</v>
          </cell>
          <cell r="T342">
            <v>0</v>
          </cell>
          <cell r="U342">
            <v>0</v>
          </cell>
          <cell r="V342">
            <v>0</v>
          </cell>
          <cell r="W342">
            <v>0</v>
          </cell>
          <cell r="X342">
            <v>0</v>
          </cell>
          <cell r="Y342">
            <v>1</v>
          </cell>
          <cell r="Z342">
            <v>284</v>
          </cell>
          <cell r="AA342">
            <v>0</v>
          </cell>
          <cell r="AB342">
            <v>0</v>
          </cell>
          <cell r="AC342">
            <v>1</v>
          </cell>
          <cell r="AD342">
            <v>284</v>
          </cell>
          <cell r="AE342">
            <v>0</v>
          </cell>
          <cell r="AF342">
            <v>0</v>
          </cell>
          <cell r="AG342">
            <v>0</v>
          </cell>
          <cell r="AH342">
            <v>0</v>
          </cell>
          <cell r="AI342">
            <v>0</v>
          </cell>
          <cell r="AJ342">
            <v>0</v>
          </cell>
          <cell r="AK342">
            <v>0</v>
          </cell>
          <cell r="AL342">
            <v>0</v>
          </cell>
          <cell r="AM342">
            <v>0</v>
          </cell>
          <cell r="AN342">
            <v>0</v>
          </cell>
          <cell r="AO342">
            <v>0</v>
          </cell>
          <cell r="AP342">
            <v>0</v>
          </cell>
          <cell r="AQ342">
            <v>0</v>
          </cell>
          <cell r="AR342">
            <v>0</v>
          </cell>
          <cell r="AS342">
            <v>0</v>
          </cell>
          <cell r="AT342">
            <v>0</v>
          </cell>
          <cell r="AU342">
            <v>2</v>
          </cell>
          <cell r="AV342">
            <v>294</v>
          </cell>
          <cell r="AW342">
            <v>2</v>
          </cell>
          <cell r="AX342">
            <v>294</v>
          </cell>
          <cell r="AY342">
            <v>0</v>
          </cell>
          <cell r="AZ342">
            <v>0</v>
          </cell>
          <cell r="BA342">
            <v>0</v>
          </cell>
          <cell r="BB342">
            <v>0</v>
          </cell>
          <cell r="BC342">
            <v>0</v>
          </cell>
          <cell r="BD342">
            <v>0</v>
          </cell>
          <cell r="BE342">
            <v>0</v>
          </cell>
          <cell r="BF342">
            <v>0</v>
          </cell>
          <cell r="BG342">
            <v>0</v>
          </cell>
          <cell r="BH342">
            <v>0</v>
          </cell>
          <cell r="BI342">
            <v>0</v>
          </cell>
          <cell r="BJ342">
            <v>0</v>
          </cell>
          <cell r="BK342">
            <v>0</v>
          </cell>
          <cell r="BL342">
            <v>0</v>
          </cell>
          <cell r="BM342">
            <v>0</v>
          </cell>
          <cell r="BN342">
            <v>0</v>
          </cell>
          <cell r="BO342">
            <v>1</v>
          </cell>
          <cell r="BP342">
            <v>137</v>
          </cell>
          <cell r="BQ342">
            <v>1</v>
          </cell>
          <cell r="BR342">
            <v>137</v>
          </cell>
          <cell r="BS342">
            <v>0</v>
          </cell>
          <cell r="BT342">
            <v>0</v>
          </cell>
          <cell r="BU342">
            <v>0</v>
          </cell>
          <cell r="BV342">
            <v>0</v>
          </cell>
          <cell r="BW342">
            <v>0</v>
          </cell>
          <cell r="BX342">
            <v>0</v>
          </cell>
          <cell r="BY342">
            <v>0</v>
          </cell>
          <cell r="BZ342">
            <v>0</v>
          </cell>
          <cell r="CA342">
            <v>0</v>
          </cell>
          <cell r="CB342">
            <v>0</v>
          </cell>
          <cell r="CC342">
            <v>1</v>
          </cell>
          <cell r="CD342">
            <v>95</v>
          </cell>
        </row>
        <row r="343">
          <cell r="B343" t="str">
            <v>San Francisco, CA</v>
          </cell>
          <cell r="C343">
            <v>0</v>
          </cell>
          <cell r="D343">
            <v>0</v>
          </cell>
          <cell r="E343">
            <v>2</v>
          </cell>
          <cell r="F343">
            <v>603</v>
          </cell>
          <cell r="G343">
            <v>0</v>
          </cell>
          <cell r="H343">
            <v>0</v>
          </cell>
          <cell r="I343">
            <v>2</v>
          </cell>
          <cell r="J343">
            <v>603</v>
          </cell>
          <cell r="K343">
            <v>0</v>
          </cell>
          <cell r="L343">
            <v>0</v>
          </cell>
          <cell r="M343">
            <v>0</v>
          </cell>
          <cell r="N343">
            <v>0</v>
          </cell>
          <cell r="O343">
            <v>0</v>
          </cell>
          <cell r="P343">
            <v>0</v>
          </cell>
          <cell r="Q343">
            <v>0</v>
          </cell>
          <cell r="R343">
            <v>0</v>
          </cell>
          <cell r="S343">
            <v>0</v>
          </cell>
          <cell r="T343">
            <v>0</v>
          </cell>
          <cell r="U343">
            <v>0</v>
          </cell>
          <cell r="V343">
            <v>0</v>
          </cell>
          <cell r="W343">
            <v>1</v>
          </cell>
          <cell r="X343">
            <v>313</v>
          </cell>
          <cell r="Y343">
            <v>0</v>
          </cell>
          <cell r="Z343">
            <v>0</v>
          </cell>
          <cell r="AA343">
            <v>0</v>
          </cell>
          <cell r="AB343">
            <v>0</v>
          </cell>
          <cell r="AC343">
            <v>0</v>
          </cell>
          <cell r="AD343">
            <v>0</v>
          </cell>
          <cell r="AE343">
            <v>1</v>
          </cell>
          <cell r="AF343">
            <v>150</v>
          </cell>
          <cell r="AG343">
            <v>0</v>
          </cell>
          <cell r="AH343">
            <v>0</v>
          </cell>
          <cell r="AI343">
            <v>0</v>
          </cell>
          <cell r="AJ343">
            <v>0</v>
          </cell>
          <cell r="AK343">
            <v>0</v>
          </cell>
          <cell r="AL343">
            <v>0</v>
          </cell>
          <cell r="AM343">
            <v>0</v>
          </cell>
          <cell r="AN343">
            <v>0</v>
          </cell>
          <cell r="AO343">
            <v>0</v>
          </cell>
          <cell r="AP343">
            <v>0</v>
          </cell>
          <cell r="AQ343">
            <v>0</v>
          </cell>
          <cell r="AR343">
            <v>0</v>
          </cell>
          <cell r="AS343">
            <v>1</v>
          </cell>
          <cell r="AT343">
            <v>152</v>
          </cell>
          <cell r="AU343">
            <v>0</v>
          </cell>
          <cell r="AV343">
            <v>0</v>
          </cell>
          <cell r="AW343">
            <v>1</v>
          </cell>
          <cell r="AX343">
            <v>152</v>
          </cell>
          <cell r="AY343">
            <v>0</v>
          </cell>
          <cell r="AZ343">
            <v>0</v>
          </cell>
          <cell r="BA343">
            <v>0</v>
          </cell>
          <cell r="BB343">
            <v>0</v>
          </cell>
          <cell r="BC343">
            <v>1</v>
          </cell>
          <cell r="BD343">
            <v>266</v>
          </cell>
          <cell r="BE343">
            <v>0</v>
          </cell>
          <cell r="BF343">
            <v>0</v>
          </cell>
          <cell r="BG343">
            <v>1</v>
          </cell>
          <cell r="BH343">
            <v>266</v>
          </cell>
          <cell r="BI343">
            <v>0</v>
          </cell>
          <cell r="BJ343">
            <v>0</v>
          </cell>
          <cell r="BK343">
            <v>0</v>
          </cell>
          <cell r="BL343">
            <v>0</v>
          </cell>
          <cell r="BM343">
            <v>0</v>
          </cell>
          <cell r="BN343">
            <v>0</v>
          </cell>
          <cell r="BO343">
            <v>0</v>
          </cell>
          <cell r="BP343">
            <v>0</v>
          </cell>
          <cell r="BQ343">
            <v>0</v>
          </cell>
          <cell r="BR343">
            <v>0</v>
          </cell>
          <cell r="BS343">
            <v>0</v>
          </cell>
          <cell r="BT343">
            <v>0</v>
          </cell>
          <cell r="BU343">
            <v>0</v>
          </cell>
          <cell r="BV343">
            <v>0</v>
          </cell>
          <cell r="BW343">
            <v>0</v>
          </cell>
          <cell r="BX343">
            <v>0</v>
          </cell>
          <cell r="BY343">
            <v>0</v>
          </cell>
          <cell r="BZ343">
            <v>0</v>
          </cell>
          <cell r="CA343">
            <v>0</v>
          </cell>
          <cell r="CB343">
            <v>0</v>
          </cell>
          <cell r="CC343">
            <v>0</v>
          </cell>
          <cell r="CD343">
            <v>0</v>
          </cell>
        </row>
        <row r="344">
          <cell r="B344" t="str">
            <v>Seattle, WA</v>
          </cell>
          <cell r="C344">
            <v>1</v>
          </cell>
          <cell r="D344">
            <v>160</v>
          </cell>
          <cell r="E344">
            <v>0</v>
          </cell>
          <cell r="F344">
            <v>0</v>
          </cell>
          <cell r="G344">
            <v>0</v>
          </cell>
          <cell r="H344">
            <v>0</v>
          </cell>
          <cell r="I344">
            <v>0</v>
          </cell>
          <cell r="J344">
            <v>0</v>
          </cell>
          <cell r="K344">
            <v>1</v>
          </cell>
          <cell r="L344">
            <v>187</v>
          </cell>
          <cell r="M344">
            <v>0</v>
          </cell>
          <cell r="N344">
            <v>0</v>
          </cell>
          <cell r="O344">
            <v>0</v>
          </cell>
          <cell r="P344">
            <v>0</v>
          </cell>
          <cell r="Q344">
            <v>0</v>
          </cell>
          <cell r="R344">
            <v>0</v>
          </cell>
          <cell r="S344">
            <v>0</v>
          </cell>
          <cell r="T344">
            <v>0</v>
          </cell>
          <cell r="U344">
            <v>1</v>
          </cell>
          <cell r="V344">
            <v>150</v>
          </cell>
          <cell r="W344">
            <v>0</v>
          </cell>
          <cell r="X344">
            <v>0</v>
          </cell>
          <cell r="Y344">
            <v>0</v>
          </cell>
          <cell r="Z344">
            <v>0</v>
          </cell>
          <cell r="AA344">
            <v>2</v>
          </cell>
          <cell r="AB344">
            <v>910</v>
          </cell>
          <cell r="AC344">
            <v>2</v>
          </cell>
          <cell r="AD344">
            <v>910</v>
          </cell>
          <cell r="AE344">
            <v>1</v>
          </cell>
          <cell r="AF344">
            <v>245</v>
          </cell>
          <cell r="AG344">
            <v>0</v>
          </cell>
          <cell r="AH344">
            <v>0</v>
          </cell>
          <cell r="AI344">
            <v>0</v>
          </cell>
          <cell r="AJ344">
            <v>0</v>
          </cell>
          <cell r="AK344">
            <v>0</v>
          </cell>
          <cell r="AL344">
            <v>0</v>
          </cell>
          <cell r="AM344">
            <v>0</v>
          </cell>
          <cell r="AN344">
            <v>0</v>
          </cell>
          <cell r="AO344">
            <v>0</v>
          </cell>
          <cell r="AP344">
            <v>0</v>
          </cell>
          <cell r="AQ344">
            <v>0</v>
          </cell>
          <cell r="AR344">
            <v>0</v>
          </cell>
          <cell r="AS344">
            <v>0</v>
          </cell>
          <cell r="AT344">
            <v>0</v>
          </cell>
          <cell r="AU344">
            <v>0</v>
          </cell>
          <cell r="AV344">
            <v>0</v>
          </cell>
          <cell r="AW344">
            <v>0</v>
          </cell>
          <cell r="AX344">
            <v>0</v>
          </cell>
          <cell r="AY344">
            <v>1</v>
          </cell>
          <cell r="AZ344">
            <v>150</v>
          </cell>
          <cell r="BA344">
            <v>0</v>
          </cell>
          <cell r="BB344">
            <v>0</v>
          </cell>
          <cell r="BC344">
            <v>0</v>
          </cell>
          <cell r="BD344">
            <v>0</v>
          </cell>
          <cell r="BE344">
            <v>1</v>
          </cell>
          <cell r="BF344">
            <v>300</v>
          </cell>
          <cell r="BG344">
            <v>1</v>
          </cell>
          <cell r="BH344">
            <v>300</v>
          </cell>
          <cell r="BI344">
            <v>0</v>
          </cell>
          <cell r="BJ344">
            <v>0</v>
          </cell>
          <cell r="BK344">
            <v>2</v>
          </cell>
          <cell r="BL344">
            <v>198</v>
          </cell>
          <cell r="BM344">
            <v>1</v>
          </cell>
          <cell r="BN344">
            <v>234</v>
          </cell>
          <cell r="BO344">
            <v>0</v>
          </cell>
          <cell r="BP344">
            <v>0</v>
          </cell>
          <cell r="BQ344">
            <v>1</v>
          </cell>
          <cell r="BR344">
            <v>234</v>
          </cell>
          <cell r="BS344">
            <v>0</v>
          </cell>
          <cell r="BT344">
            <v>0</v>
          </cell>
          <cell r="BU344">
            <v>1</v>
          </cell>
          <cell r="BV344">
            <v>135</v>
          </cell>
          <cell r="BW344">
            <v>0</v>
          </cell>
          <cell r="BX344">
            <v>0</v>
          </cell>
          <cell r="BY344">
            <v>0</v>
          </cell>
          <cell r="BZ344">
            <v>0</v>
          </cell>
          <cell r="CA344">
            <v>0</v>
          </cell>
          <cell r="CB344">
            <v>0</v>
          </cell>
          <cell r="CC344">
            <v>0</v>
          </cell>
          <cell r="CD344">
            <v>0</v>
          </cell>
        </row>
        <row r="345">
          <cell r="B345" t="str">
            <v>Tampa, FL</v>
          </cell>
          <cell r="C345">
            <v>0</v>
          </cell>
          <cell r="D345">
            <v>0</v>
          </cell>
          <cell r="E345">
            <v>0</v>
          </cell>
          <cell r="F345">
            <v>0</v>
          </cell>
          <cell r="G345">
            <v>0</v>
          </cell>
          <cell r="H345">
            <v>0</v>
          </cell>
          <cell r="I345">
            <v>0</v>
          </cell>
          <cell r="J345">
            <v>0</v>
          </cell>
          <cell r="K345">
            <v>1</v>
          </cell>
          <cell r="L345">
            <v>141</v>
          </cell>
          <cell r="M345">
            <v>0</v>
          </cell>
          <cell r="N345">
            <v>0</v>
          </cell>
          <cell r="O345">
            <v>0</v>
          </cell>
          <cell r="P345">
            <v>0</v>
          </cell>
          <cell r="Q345">
            <v>1</v>
          </cell>
          <cell r="R345">
            <v>113</v>
          </cell>
          <cell r="S345">
            <v>1</v>
          </cell>
          <cell r="T345">
            <v>113</v>
          </cell>
          <cell r="U345">
            <v>0</v>
          </cell>
          <cell r="V345">
            <v>0</v>
          </cell>
          <cell r="W345">
            <v>1</v>
          </cell>
          <cell r="X345">
            <v>717</v>
          </cell>
          <cell r="Y345">
            <v>0</v>
          </cell>
          <cell r="Z345">
            <v>0</v>
          </cell>
          <cell r="AA345">
            <v>0</v>
          </cell>
          <cell r="AB345">
            <v>0</v>
          </cell>
          <cell r="AC345">
            <v>0</v>
          </cell>
          <cell r="AD345">
            <v>0</v>
          </cell>
          <cell r="AE345">
            <v>0</v>
          </cell>
          <cell r="AF345">
            <v>0</v>
          </cell>
          <cell r="AG345">
            <v>0</v>
          </cell>
          <cell r="AH345">
            <v>0</v>
          </cell>
          <cell r="AI345">
            <v>0</v>
          </cell>
          <cell r="AJ345">
            <v>0</v>
          </cell>
          <cell r="AK345">
            <v>0</v>
          </cell>
          <cell r="AL345">
            <v>0</v>
          </cell>
          <cell r="AM345">
            <v>0</v>
          </cell>
          <cell r="AN345">
            <v>0</v>
          </cell>
          <cell r="AO345">
            <v>0</v>
          </cell>
          <cell r="AP345">
            <v>0</v>
          </cell>
          <cell r="AQ345">
            <v>0</v>
          </cell>
          <cell r="AR345">
            <v>0</v>
          </cell>
          <cell r="AS345">
            <v>1</v>
          </cell>
          <cell r="AT345">
            <v>109</v>
          </cell>
          <cell r="AU345">
            <v>1</v>
          </cell>
          <cell r="AV345">
            <v>160</v>
          </cell>
          <cell r="AW345">
            <v>2</v>
          </cell>
          <cell r="AX345">
            <v>269</v>
          </cell>
          <cell r="AY345">
            <v>0</v>
          </cell>
          <cell r="AZ345">
            <v>0</v>
          </cell>
          <cell r="BA345">
            <v>0</v>
          </cell>
          <cell r="BB345">
            <v>0</v>
          </cell>
          <cell r="BC345">
            <v>0</v>
          </cell>
          <cell r="BD345">
            <v>0</v>
          </cell>
          <cell r="BE345">
            <v>0</v>
          </cell>
          <cell r="BF345">
            <v>0</v>
          </cell>
          <cell r="BG345">
            <v>0</v>
          </cell>
          <cell r="BH345">
            <v>0</v>
          </cell>
          <cell r="BI345">
            <v>0</v>
          </cell>
          <cell r="BJ345">
            <v>0</v>
          </cell>
          <cell r="BK345">
            <v>0</v>
          </cell>
          <cell r="BL345">
            <v>0</v>
          </cell>
          <cell r="BM345">
            <v>0</v>
          </cell>
          <cell r="BN345">
            <v>0</v>
          </cell>
          <cell r="BO345">
            <v>1</v>
          </cell>
          <cell r="BP345">
            <v>79</v>
          </cell>
          <cell r="BQ345">
            <v>1</v>
          </cell>
          <cell r="BR345">
            <v>79</v>
          </cell>
          <cell r="BS345">
            <v>1</v>
          </cell>
          <cell r="BT345">
            <v>173</v>
          </cell>
          <cell r="BU345">
            <v>0</v>
          </cell>
          <cell r="BV345">
            <v>0</v>
          </cell>
          <cell r="BW345">
            <v>0</v>
          </cell>
          <cell r="BX345">
            <v>0</v>
          </cell>
          <cell r="BY345">
            <v>0</v>
          </cell>
          <cell r="BZ345">
            <v>0</v>
          </cell>
          <cell r="CA345">
            <v>0</v>
          </cell>
          <cell r="CB345">
            <v>0</v>
          </cell>
          <cell r="CC345">
            <v>1</v>
          </cell>
          <cell r="CD345">
            <v>95</v>
          </cell>
        </row>
        <row r="346">
          <cell r="B346" t="str">
            <v>Washington, DC</v>
          </cell>
          <cell r="C346">
            <v>0</v>
          </cell>
          <cell r="D346">
            <v>0</v>
          </cell>
          <cell r="E346">
            <v>3</v>
          </cell>
          <cell r="F346">
            <v>573</v>
          </cell>
          <cell r="G346">
            <v>1</v>
          </cell>
          <cell r="H346">
            <v>200</v>
          </cell>
          <cell r="I346">
            <v>4</v>
          </cell>
          <cell r="J346">
            <v>773</v>
          </cell>
          <cell r="K346">
            <v>2</v>
          </cell>
          <cell r="L346">
            <v>326</v>
          </cell>
          <cell r="M346">
            <v>0</v>
          </cell>
          <cell r="N346">
            <v>0</v>
          </cell>
          <cell r="O346">
            <v>1</v>
          </cell>
          <cell r="P346">
            <v>86</v>
          </cell>
          <cell r="Q346">
            <v>0</v>
          </cell>
          <cell r="R346">
            <v>0</v>
          </cell>
          <cell r="S346">
            <v>1</v>
          </cell>
          <cell r="T346">
            <v>86</v>
          </cell>
          <cell r="U346">
            <v>0</v>
          </cell>
          <cell r="V346">
            <v>0</v>
          </cell>
          <cell r="W346">
            <v>0</v>
          </cell>
          <cell r="X346">
            <v>0</v>
          </cell>
          <cell r="Y346">
            <v>0</v>
          </cell>
          <cell r="Z346">
            <v>0</v>
          </cell>
          <cell r="AA346">
            <v>1</v>
          </cell>
          <cell r="AB346">
            <v>250</v>
          </cell>
          <cell r="AC346">
            <v>1</v>
          </cell>
          <cell r="AD346">
            <v>250</v>
          </cell>
          <cell r="AE346">
            <v>2</v>
          </cell>
          <cell r="AF346">
            <v>685</v>
          </cell>
          <cell r="AG346">
            <v>0</v>
          </cell>
          <cell r="AH346">
            <v>0</v>
          </cell>
          <cell r="AI346">
            <v>0</v>
          </cell>
          <cell r="AJ346">
            <v>0</v>
          </cell>
          <cell r="AK346">
            <v>0</v>
          </cell>
          <cell r="AL346">
            <v>0</v>
          </cell>
          <cell r="AM346">
            <v>0</v>
          </cell>
          <cell r="AN346">
            <v>0</v>
          </cell>
          <cell r="AO346">
            <v>0</v>
          </cell>
          <cell r="AP346">
            <v>0</v>
          </cell>
          <cell r="AQ346">
            <v>3</v>
          </cell>
          <cell r="AR346">
            <v>442</v>
          </cell>
          <cell r="AS346">
            <v>1</v>
          </cell>
          <cell r="AT346">
            <v>128</v>
          </cell>
          <cell r="AU346">
            <v>2</v>
          </cell>
          <cell r="AV346">
            <v>375</v>
          </cell>
          <cell r="AW346">
            <v>3</v>
          </cell>
          <cell r="AX346">
            <v>503</v>
          </cell>
          <cell r="AY346">
            <v>1</v>
          </cell>
          <cell r="AZ346">
            <v>175</v>
          </cell>
          <cell r="BA346">
            <v>0</v>
          </cell>
          <cell r="BB346">
            <v>0</v>
          </cell>
          <cell r="BC346">
            <v>2</v>
          </cell>
          <cell r="BD346">
            <v>393</v>
          </cell>
          <cell r="BE346">
            <v>0</v>
          </cell>
          <cell r="BF346">
            <v>0</v>
          </cell>
          <cell r="BG346">
            <v>2</v>
          </cell>
          <cell r="BH346">
            <v>393</v>
          </cell>
          <cell r="BI346">
            <v>0</v>
          </cell>
          <cell r="BJ346">
            <v>0</v>
          </cell>
          <cell r="BK346">
            <v>2</v>
          </cell>
          <cell r="BL346">
            <v>298</v>
          </cell>
          <cell r="BM346">
            <v>1</v>
          </cell>
          <cell r="BN346">
            <v>136</v>
          </cell>
          <cell r="BO346">
            <v>1</v>
          </cell>
          <cell r="BP346">
            <v>162</v>
          </cell>
          <cell r="BQ346">
            <v>2</v>
          </cell>
          <cell r="BR346">
            <v>298</v>
          </cell>
          <cell r="BS346">
            <v>0</v>
          </cell>
          <cell r="BT346">
            <v>0</v>
          </cell>
          <cell r="BU346">
            <v>0</v>
          </cell>
          <cell r="BV346">
            <v>0</v>
          </cell>
          <cell r="BW346">
            <v>0</v>
          </cell>
          <cell r="BX346">
            <v>0</v>
          </cell>
          <cell r="BY346">
            <v>1</v>
          </cell>
          <cell r="BZ346">
            <v>142</v>
          </cell>
          <cell r="CA346">
            <v>1</v>
          </cell>
          <cell r="CB346">
            <v>142</v>
          </cell>
          <cell r="CC346">
            <v>0</v>
          </cell>
          <cell r="CD346">
            <v>0</v>
          </cell>
        </row>
        <row r="354">
          <cell r="B354" t="str">
            <v>Anaheim, CA</v>
          </cell>
          <cell r="C354">
            <v>366</v>
          </cell>
          <cell r="D354">
            <v>46100</v>
          </cell>
        </row>
        <row r="355">
          <cell r="B355" t="str">
            <v>Atlanta, GA</v>
          </cell>
          <cell r="C355">
            <v>628</v>
          </cell>
          <cell r="D355">
            <v>83442</v>
          </cell>
        </row>
        <row r="356">
          <cell r="B356" t="str">
            <v>Boston, MA</v>
          </cell>
          <cell r="C356">
            <v>258</v>
          </cell>
          <cell r="D356">
            <v>40381</v>
          </cell>
        </row>
        <row r="357">
          <cell r="B357" t="str">
            <v>Chicago, IL</v>
          </cell>
          <cell r="C357">
            <v>458</v>
          </cell>
          <cell r="D357">
            <v>79238</v>
          </cell>
        </row>
        <row r="358">
          <cell r="B358" t="str">
            <v>Dallas, TX</v>
          </cell>
          <cell r="C358">
            <v>422</v>
          </cell>
          <cell r="D358">
            <v>63301</v>
          </cell>
        </row>
        <row r="359">
          <cell r="B359" t="str">
            <v>Denver, CO</v>
          </cell>
          <cell r="C359">
            <v>229</v>
          </cell>
          <cell r="D359">
            <v>34595</v>
          </cell>
        </row>
        <row r="360">
          <cell r="B360" t="str">
            <v>Detroit, MI</v>
          </cell>
          <cell r="C360">
            <v>294</v>
          </cell>
          <cell r="D360">
            <v>36238</v>
          </cell>
        </row>
        <row r="361">
          <cell r="B361" t="str">
            <v>Houston, TX</v>
          </cell>
          <cell r="C361">
            <v>371</v>
          </cell>
          <cell r="D361">
            <v>51545</v>
          </cell>
        </row>
        <row r="362">
          <cell r="B362" t="str">
            <v>Las Vegas, NV</v>
          </cell>
          <cell r="C362">
            <v>306</v>
          </cell>
          <cell r="D362">
            <v>127740</v>
          </cell>
        </row>
        <row r="363">
          <cell r="B363" t="str">
            <v>Los Angeles, CA</v>
          </cell>
          <cell r="C363">
            <v>679</v>
          </cell>
          <cell r="D363">
            <v>82321</v>
          </cell>
        </row>
        <row r="364">
          <cell r="B364" t="str">
            <v>Miami, FL</v>
          </cell>
          <cell r="C364">
            <v>273</v>
          </cell>
          <cell r="D364">
            <v>43406</v>
          </cell>
        </row>
        <row r="365">
          <cell r="B365" t="str">
            <v>Minneapolis, MN</v>
          </cell>
          <cell r="C365">
            <v>253</v>
          </cell>
          <cell r="D365">
            <v>31499</v>
          </cell>
        </row>
        <row r="366">
          <cell r="B366" t="str">
            <v>Nashville, TN</v>
          </cell>
          <cell r="C366">
            <v>261</v>
          </cell>
          <cell r="D366">
            <v>31585</v>
          </cell>
        </row>
        <row r="367">
          <cell r="B367" t="str">
            <v>New Orleans, LA</v>
          </cell>
          <cell r="C367">
            <v>180</v>
          </cell>
          <cell r="D367">
            <v>31001</v>
          </cell>
        </row>
        <row r="368">
          <cell r="B368" t="str">
            <v>New York, NY</v>
          </cell>
          <cell r="C368">
            <v>274</v>
          </cell>
          <cell r="D368">
            <v>73191</v>
          </cell>
        </row>
        <row r="369">
          <cell r="B369" t="str">
            <v>Norfolk, VA</v>
          </cell>
          <cell r="C369">
            <v>327</v>
          </cell>
          <cell r="D369">
            <v>34517</v>
          </cell>
        </row>
        <row r="370">
          <cell r="B370" t="str">
            <v>Oahu Island, HI</v>
          </cell>
          <cell r="C370">
            <v>118</v>
          </cell>
          <cell r="D370">
            <v>36385</v>
          </cell>
        </row>
        <row r="371">
          <cell r="B371" t="str">
            <v>Orlando, FL</v>
          </cell>
          <cell r="C371">
            <v>413</v>
          </cell>
          <cell r="D371">
            <v>108198</v>
          </cell>
        </row>
        <row r="372">
          <cell r="B372" t="str">
            <v>Philadelphia, PA</v>
          </cell>
          <cell r="C372">
            <v>263</v>
          </cell>
          <cell r="D372">
            <v>37132</v>
          </cell>
        </row>
        <row r="373">
          <cell r="B373" t="str">
            <v>Phoenix, AZ</v>
          </cell>
          <cell r="C373">
            <v>338</v>
          </cell>
          <cell r="D373">
            <v>50600</v>
          </cell>
        </row>
        <row r="374">
          <cell r="B374" t="str">
            <v>Saint Louis, MO</v>
          </cell>
          <cell r="C374">
            <v>240</v>
          </cell>
          <cell r="D374">
            <v>30921</v>
          </cell>
        </row>
        <row r="375">
          <cell r="B375" t="str">
            <v>San Diego, CA</v>
          </cell>
          <cell r="C375">
            <v>417</v>
          </cell>
          <cell r="D375">
            <v>49579</v>
          </cell>
        </row>
        <row r="376">
          <cell r="B376" t="str">
            <v>San Francisco, CA</v>
          </cell>
          <cell r="C376">
            <v>339</v>
          </cell>
          <cell r="D376">
            <v>46755</v>
          </cell>
        </row>
        <row r="377">
          <cell r="B377" t="str">
            <v>Seattle, WA</v>
          </cell>
          <cell r="C377">
            <v>280</v>
          </cell>
          <cell r="D377">
            <v>32747</v>
          </cell>
        </row>
        <row r="378">
          <cell r="B378" t="str">
            <v>Tampa, FL</v>
          </cell>
          <cell r="C378">
            <v>333</v>
          </cell>
          <cell r="D378">
            <v>39217</v>
          </cell>
        </row>
        <row r="379">
          <cell r="B379" t="str">
            <v>Washington, DC</v>
          </cell>
          <cell r="C379">
            <v>427</v>
          </cell>
          <cell r="D379">
            <v>76563</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brand census"/>
      <sheetName val="chain census"/>
      <sheetName val="brand lookup"/>
      <sheetName val="msa lookup"/>
      <sheetName val="mkt-state-company lookups"/>
      <sheetName val="brand pivots"/>
      <sheetName val="category pivots"/>
      <sheetName val="company pivots"/>
      <sheetName val="attrition "/>
      <sheetName val="Est Opens - no EP"/>
      <sheetName val="Est Open pivots"/>
      <sheetName val="MKT pivots"/>
      <sheetName val="mkt census pivot"/>
      <sheetName val="MSA pivots"/>
      <sheetName val="old open pivots"/>
      <sheetName val="qtr pivots"/>
      <sheetName val="region pivots"/>
      <sheetName val="State Pivots"/>
      <sheetName val="summary pivots"/>
    </sheetNames>
    <sheetDataSet>
      <sheetData sheetId="0" refreshError="1"/>
      <sheetData sheetId="1" refreshError="1">
        <row r="2">
          <cell r="A2" t="str">
            <v>Adam's Mark</v>
          </cell>
          <cell r="B2">
            <v>24</v>
          </cell>
          <cell r="C2">
            <v>13286</v>
          </cell>
        </row>
        <row r="3">
          <cell r="A3" t="str">
            <v>Admiral Benbow Inn</v>
          </cell>
          <cell r="B3">
            <v>5</v>
          </cell>
          <cell r="C3">
            <v>425</v>
          </cell>
        </row>
        <row r="4">
          <cell r="A4" t="str">
            <v>AmericInn</v>
          </cell>
          <cell r="B4">
            <v>170</v>
          </cell>
          <cell r="C4">
            <v>8884</v>
          </cell>
        </row>
        <row r="5">
          <cell r="A5" t="str">
            <v>Amerihost</v>
          </cell>
          <cell r="B5">
            <v>86</v>
          </cell>
          <cell r="C5">
            <v>5825</v>
          </cell>
        </row>
        <row r="6">
          <cell r="A6" t="str">
            <v>AmeriSuites</v>
          </cell>
          <cell r="B6">
            <v>139</v>
          </cell>
          <cell r="C6">
            <v>17639</v>
          </cell>
        </row>
        <row r="7">
          <cell r="A7" t="str">
            <v>AMFAC</v>
          </cell>
          <cell r="B7">
            <v>33</v>
          </cell>
          <cell r="C7">
            <v>5524</v>
          </cell>
        </row>
        <row r="8">
          <cell r="A8" t="str">
            <v>Aston</v>
          </cell>
          <cell r="B8">
            <v>34</v>
          </cell>
          <cell r="C8">
            <v>5099</v>
          </cell>
        </row>
        <row r="9">
          <cell r="A9" t="str">
            <v>Baymont Inn</v>
          </cell>
          <cell r="B9">
            <v>190</v>
          </cell>
          <cell r="C9">
            <v>18126</v>
          </cell>
        </row>
        <row r="10">
          <cell r="A10" t="str">
            <v>Bayview Int'l Hotels &amp; Resorts</v>
          </cell>
          <cell r="B10">
            <v>1</v>
          </cell>
          <cell r="C10">
            <v>58</v>
          </cell>
        </row>
        <row r="11">
          <cell r="A11" t="str">
            <v>Best Hotels</v>
          </cell>
          <cell r="B11">
            <v>2</v>
          </cell>
          <cell r="C11">
            <v>197</v>
          </cell>
        </row>
        <row r="12">
          <cell r="A12" t="str">
            <v>Best Inn</v>
          </cell>
          <cell r="B12">
            <v>138</v>
          </cell>
          <cell r="C12">
            <v>11082</v>
          </cell>
        </row>
        <row r="13">
          <cell r="A13" t="str">
            <v>Best Value</v>
          </cell>
          <cell r="B13">
            <v>123</v>
          </cell>
          <cell r="C13">
            <v>6505</v>
          </cell>
        </row>
        <row r="14">
          <cell r="A14" t="str">
            <v>Best Western</v>
          </cell>
          <cell r="B14">
            <v>2117</v>
          </cell>
          <cell r="C14">
            <v>185760</v>
          </cell>
        </row>
        <row r="15">
          <cell r="A15" t="str">
            <v>Bradford Homesuites</v>
          </cell>
          <cell r="B15">
            <v>9</v>
          </cell>
          <cell r="C15">
            <v>1222</v>
          </cell>
        </row>
        <row r="16">
          <cell r="A16" t="str">
            <v>Budget Host</v>
          </cell>
          <cell r="B16">
            <v>170</v>
          </cell>
          <cell r="C16">
            <v>6376</v>
          </cell>
        </row>
        <row r="17">
          <cell r="A17" t="str">
            <v>Budget Inn</v>
          </cell>
          <cell r="B17">
            <v>4</v>
          </cell>
          <cell r="C17">
            <v>159</v>
          </cell>
        </row>
        <row r="18">
          <cell r="A18" t="str">
            <v>Cabot Lodge</v>
          </cell>
          <cell r="B18">
            <v>6</v>
          </cell>
          <cell r="C18">
            <v>1076</v>
          </cell>
        </row>
        <row r="19">
          <cell r="A19" t="str">
            <v>Caesars</v>
          </cell>
          <cell r="B19">
            <v>6</v>
          </cell>
          <cell r="C19">
            <v>1839</v>
          </cell>
        </row>
        <row r="20">
          <cell r="A20" t="str">
            <v>Candlewood Hotels</v>
          </cell>
          <cell r="B20">
            <v>101</v>
          </cell>
          <cell r="C20">
            <v>11863</v>
          </cell>
        </row>
        <row r="21">
          <cell r="A21" t="str">
            <v>Clarion</v>
          </cell>
          <cell r="B21">
            <v>126</v>
          </cell>
          <cell r="C21">
            <v>19065</v>
          </cell>
        </row>
        <row r="22">
          <cell r="A22" t="str">
            <v>Club Hotel by Doubletree</v>
          </cell>
          <cell r="B22">
            <v>25</v>
          </cell>
          <cell r="C22">
            <v>4889</v>
          </cell>
        </row>
        <row r="23">
          <cell r="A23" t="str">
            <v>Club Med</v>
          </cell>
          <cell r="B23">
            <v>2</v>
          </cell>
          <cell r="C23">
            <v>514</v>
          </cell>
        </row>
        <row r="24">
          <cell r="A24" t="str">
            <v>Clubhouse Inn</v>
          </cell>
          <cell r="B24">
            <v>13</v>
          </cell>
          <cell r="C24">
            <v>1752</v>
          </cell>
        </row>
        <row r="25">
          <cell r="A25" t="str">
            <v>Colony</v>
          </cell>
          <cell r="B25">
            <v>7</v>
          </cell>
          <cell r="C25">
            <v>689</v>
          </cell>
        </row>
        <row r="26">
          <cell r="A26" t="str">
            <v>Comfort Inn</v>
          </cell>
          <cell r="B26">
            <v>1319</v>
          </cell>
          <cell r="C26">
            <v>103768</v>
          </cell>
        </row>
        <row r="27">
          <cell r="A27" t="str">
            <v>Comfort Suites</v>
          </cell>
          <cell r="B27">
            <v>308</v>
          </cell>
          <cell r="C27">
            <v>24457</v>
          </cell>
        </row>
        <row r="28">
          <cell r="A28" t="str">
            <v>Conley Inn</v>
          </cell>
          <cell r="B28">
            <v>5</v>
          </cell>
          <cell r="C28">
            <v>291</v>
          </cell>
        </row>
        <row r="29">
          <cell r="A29" t="str">
            <v>Country Hearth Inn</v>
          </cell>
          <cell r="B29">
            <v>60</v>
          </cell>
          <cell r="C29">
            <v>3372</v>
          </cell>
        </row>
        <row r="30">
          <cell r="A30" t="str">
            <v>Country Inn &amp; Suites</v>
          </cell>
          <cell r="B30">
            <v>268</v>
          </cell>
          <cell r="C30">
            <v>20778</v>
          </cell>
        </row>
        <row r="31">
          <cell r="A31" t="str">
            <v>Courtyard by Marriott</v>
          </cell>
          <cell r="B31">
            <v>517</v>
          </cell>
          <cell r="C31">
            <v>72611</v>
          </cell>
        </row>
        <row r="32">
          <cell r="A32" t="str">
            <v>Cricket Inn</v>
          </cell>
          <cell r="B32">
            <v>1</v>
          </cell>
          <cell r="C32">
            <v>126</v>
          </cell>
        </row>
        <row r="33">
          <cell r="A33" t="str">
            <v>Cross Country Inn</v>
          </cell>
          <cell r="B33">
            <v>25</v>
          </cell>
          <cell r="C33">
            <v>3009</v>
          </cell>
        </row>
        <row r="34">
          <cell r="A34" t="str">
            <v>Crossland Economy Studios</v>
          </cell>
          <cell r="B34">
            <v>39</v>
          </cell>
          <cell r="C34">
            <v>5068</v>
          </cell>
        </row>
        <row r="35">
          <cell r="A35" t="str">
            <v>Crowne Plaza</v>
          </cell>
          <cell r="B35">
            <v>87</v>
          </cell>
          <cell r="C35">
            <v>26052</v>
          </cell>
        </row>
        <row r="36">
          <cell r="A36" t="str">
            <v>Days Inn</v>
          </cell>
          <cell r="B36">
            <v>1842</v>
          </cell>
          <cell r="C36">
            <v>155985</v>
          </cell>
        </row>
        <row r="37">
          <cell r="A37" t="str">
            <v>Delta Hotels</v>
          </cell>
          <cell r="B37">
            <v>1</v>
          </cell>
          <cell r="C37">
            <v>679</v>
          </cell>
        </row>
        <row r="38">
          <cell r="A38" t="str">
            <v>Doral</v>
          </cell>
          <cell r="B38">
            <v>6</v>
          </cell>
          <cell r="C38">
            <v>2537</v>
          </cell>
        </row>
        <row r="39">
          <cell r="A39" t="str">
            <v>Doubletree Guest Suites</v>
          </cell>
          <cell r="B39">
            <v>36</v>
          </cell>
          <cell r="C39">
            <v>7483</v>
          </cell>
        </row>
        <row r="40">
          <cell r="A40" t="str">
            <v>Doubletree Hotel</v>
          </cell>
          <cell r="B40">
            <v>93</v>
          </cell>
          <cell r="C40">
            <v>28449</v>
          </cell>
        </row>
        <row r="41">
          <cell r="A41" t="str">
            <v>Downtowner Motor Inn</v>
          </cell>
          <cell r="B41">
            <v>4</v>
          </cell>
          <cell r="C41">
            <v>276</v>
          </cell>
        </row>
        <row r="42">
          <cell r="A42" t="str">
            <v>Drury Inn</v>
          </cell>
          <cell r="B42">
            <v>76</v>
          </cell>
          <cell r="C42">
            <v>9796</v>
          </cell>
        </row>
        <row r="43">
          <cell r="A43" t="str">
            <v>E-Z 8</v>
          </cell>
          <cell r="B43">
            <v>25</v>
          </cell>
          <cell r="C43">
            <v>2693</v>
          </cell>
        </row>
        <row r="44">
          <cell r="A44" t="str">
            <v>Econo Lodge</v>
          </cell>
          <cell r="B44">
            <v>717</v>
          </cell>
          <cell r="C44">
            <v>44966</v>
          </cell>
        </row>
        <row r="45">
          <cell r="A45" t="str">
            <v>Embassy Suites</v>
          </cell>
          <cell r="B45">
            <v>163</v>
          </cell>
          <cell r="C45">
            <v>39853</v>
          </cell>
        </row>
        <row r="46">
          <cell r="A46" t="str">
            <v>Embassy Vacation Resorts</v>
          </cell>
          <cell r="B46">
            <v>4</v>
          </cell>
          <cell r="C46">
            <v>1124</v>
          </cell>
        </row>
        <row r="47">
          <cell r="A47" t="str">
            <v>Envoy Inn</v>
          </cell>
          <cell r="B47">
            <v>1</v>
          </cell>
          <cell r="C47">
            <v>82</v>
          </cell>
        </row>
        <row r="48">
          <cell r="A48" t="str">
            <v>Exel Inn</v>
          </cell>
          <cell r="B48">
            <v>24</v>
          </cell>
          <cell r="C48">
            <v>2714</v>
          </cell>
        </row>
        <row r="49">
          <cell r="A49" t="str">
            <v>Extended Stay America</v>
          </cell>
          <cell r="B49">
            <v>297</v>
          </cell>
          <cell r="C49">
            <v>33066</v>
          </cell>
        </row>
        <row r="50">
          <cell r="A50" t="str">
            <v>Fairfield Inn</v>
          </cell>
          <cell r="B50">
            <v>480</v>
          </cell>
          <cell r="C50">
            <v>46256</v>
          </cell>
        </row>
        <row r="51">
          <cell r="A51" t="str">
            <v>Fairmont Hotel</v>
          </cell>
          <cell r="B51">
            <v>11</v>
          </cell>
          <cell r="C51">
            <v>6025</v>
          </cell>
        </row>
        <row r="52">
          <cell r="A52" t="str">
            <v>Family Inns of America</v>
          </cell>
          <cell r="B52">
            <v>24</v>
          </cell>
          <cell r="C52">
            <v>2126</v>
          </cell>
        </row>
        <row r="53">
          <cell r="A53" t="str">
            <v>Four Points</v>
          </cell>
          <cell r="B53">
            <v>125</v>
          </cell>
          <cell r="C53">
            <v>24972</v>
          </cell>
        </row>
        <row r="54">
          <cell r="A54" t="str">
            <v>Four Seasons</v>
          </cell>
          <cell r="B54">
            <v>23</v>
          </cell>
          <cell r="C54">
            <v>7245</v>
          </cell>
        </row>
        <row r="55">
          <cell r="A55" t="str">
            <v>Friendship Inn</v>
          </cell>
          <cell r="B55">
            <v>6</v>
          </cell>
          <cell r="C55">
            <v>171</v>
          </cell>
        </row>
        <row r="56">
          <cell r="A56" t="str">
            <v>Garden Plaza</v>
          </cell>
          <cell r="B56">
            <v>4</v>
          </cell>
          <cell r="C56">
            <v>689</v>
          </cell>
        </row>
        <row r="57">
          <cell r="A57" t="str">
            <v>Golden Tulip</v>
          </cell>
          <cell r="B57">
            <v>3</v>
          </cell>
          <cell r="C57">
            <v>270</v>
          </cell>
        </row>
        <row r="58">
          <cell r="A58" t="str">
            <v>Good Nite Inn</v>
          </cell>
          <cell r="B58">
            <v>13</v>
          </cell>
          <cell r="C58">
            <v>1619</v>
          </cell>
        </row>
        <row r="59">
          <cell r="A59" t="str">
            <v>Great Western</v>
          </cell>
          <cell r="B59">
            <v>6</v>
          </cell>
          <cell r="C59">
            <v>305</v>
          </cell>
        </row>
        <row r="60">
          <cell r="A60" t="str">
            <v>Guesthouse Inn</v>
          </cell>
          <cell r="B60">
            <v>67</v>
          </cell>
          <cell r="C60">
            <v>4937</v>
          </cell>
        </row>
        <row r="61">
          <cell r="A61" t="str">
            <v>Ha' Penny</v>
          </cell>
          <cell r="B61">
            <v>2</v>
          </cell>
          <cell r="C61">
            <v>150</v>
          </cell>
        </row>
        <row r="62">
          <cell r="A62" t="str">
            <v>Hampton Inn</v>
          </cell>
          <cell r="B62">
            <v>1038</v>
          </cell>
          <cell r="C62">
            <v>104884</v>
          </cell>
        </row>
        <row r="63">
          <cell r="A63" t="str">
            <v>Hampton Inn &amp; Suites</v>
          </cell>
          <cell r="B63">
            <v>107</v>
          </cell>
          <cell r="C63">
            <v>12258</v>
          </cell>
        </row>
        <row r="64">
          <cell r="A64" t="str">
            <v>Harley Hotel</v>
          </cell>
          <cell r="B64">
            <v>2</v>
          </cell>
          <cell r="C64">
            <v>300</v>
          </cell>
        </row>
        <row r="65">
          <cell r="A65" t="str">
            <v>Harrah's</v>
          </cell>
          <cell r="B65">
            <v>11</v>
          </cell>
          <cell r="C65">
            <v>6504</v>
          </cell>
        </row>
        <row r="66">
          <cell r="A66" t="str">
            <v>Harvey Hotel</v>
          </cell>
          <cell r="B66">
            <v>6</v>
          </cell>
          <cell r="C66">
            <v>2253</v>
          </cell>
        </row>
        <row r="67">
          <cell r="A67" t="str">
            <v>Hawthorn Inn &amp; Suites</v>
          </cell>
          <cell r="B67">
            <v>20</v>
          </cell>
          <cell r="C67">
            <v>1598</v>
          </cell>
        </row>
        <row r="68">
          <cell r="A68" t="str">
            <v>Hawthorn Suites</v>
          </cell>
          <cell r="B68">
            <v>58</v>
          </cell>
          <cell r="C68">
            <v>6796</v>
          </cell>
        </row>
        <row r="69">
          <cell r="A69" t="str">
            <v>Hawthorn Suites LTD.</v>
          </cell>
          <cell r="B69">
            <v>52</v>
          </cell>
          <cell r="C69">
            <v>4609</v>
          </cell>
        </row>
        <row r="70">
          <cell r="A70" t="str">
            <v>Heartland</v>
          </cell>
          <cell r="B70">
            <v>20</v>
          </cell>
          <cell r="C70">
            <v>1653</v>
          </cell>
        </row>
        <row r="71">
          <cell r="A71" t="str">
            <v>Helmsley Hotel</v>
          </cell>
          <cell r="B71">
            <v>6</v>
          </cell>
          <cell r="C71">
            <v>2198</v>
          </cell>
        </row>
        <row r="72">
          <cell r="A72" t="str">
            <v>Hilton Gaming</v>
          </cell>
          <cell r="B72">
            <v>9</v>
          </cell>
          <cell r="C72">
            <v>15803</v>
          </cell>
        </row>
        <row r="73">
          <cell r="A73" t="str">
            <v>Hilton Garden Inn</v>
          </cell>
          <cell r="B73">
            <v>124</v>
          </cell>
          <cell r="C73">
            <v>17290</v>
          </cell>
        </row>
        <row r="74">
          <cell r="A74" t="str">
            <v>Hilton Hotel</v>
          </cell>
          <cell r="B74">
            <v>223</v>
          </cell>
          <cell r="C74">
            <v>79666</v>
          </cell>
        </row>
        <row r="75">
          <cell r="A75" t="str">
            <v>Hilton Inn</v>
          </cell>
          <cell r="B75">
            <v>5</v>
          </cell>
          <cell r="C75">
            <v>1112</v>
          </cell>
        </row>
        <row r="76">
          <cell r="A76" t="str">
            <v>Holiday Inn</v>
          </cell>
          <cell r="B76">
            <v>996</v>
          </cell>
          <cell r="C76">
            <v>186418</v>
          </cell>
        </row>
        <row r="77">
          <cell r="A77" t="str">
            <v>Holiday Inn Express</v>
          </cell>
          <cell r="B77">
            <v>1214</v>
          </cell>
          <cell r="C77">
            <v>95458</v>
          </cell>
        </row>
        <row r="78">
          <cell r="A78" t="str">
            <v>Holiday Inn Select</v>
          </cell>
          <cell r="B78">
            <v>77</v>
          </cell>
          <cell r="C78">
            <v>19855</v>
          </cell>
        </row>
        <row r="79">
          <cell r="A79" t="str">
            <v>HomeGate</v>
          </cell>
          <cell r="B79">
            <v>7</v>
          </cell>
          <cell r="C79">
            <v>867</v>
          </cell>
        </row>
        <row r="80">
          <cell r="A80" t="str">
            <v>Homestead</v>
          </cell>
          <cell r="B80">
            <v>112</v>
          </cell>
          <cell r="C80">
            <v>14834</v>
          </cell>
        </row>
        <row r="81">
          <cell r="A81" t="str">
            <v>Hometown Inn</v>
          </cell>
          <cell r="B81">
            <v>4</v>
          </cell>
          <cell r="C81">
            <v>259</v>
          </cell>
        </row>
        <row r="82">
          <cell r="A82" t="str">
            <v>Homewood Suites by Hilton</v>
          </cell>
          <cell r="B82">
            <v>104</v>
          </cell>
          <cell r="C82">
            <v>11801</v>
          </cell>
        </row>
        <row r="83">
          <cell r="A83" t="str">
            <v>Hotel Novotel</v>
          </cell>
          <cell r="B83">
            <v>2</v>
          </cell>
          <cell r="C83">
            <v>699</v>
          </cell>
        </row>
        <row r="84">
          <cell r="A84" t="str">
            <v>Hotel Sofitel</v>
          </cell>
          <cell r="B84">
            <v>8</v>
          </cell>
          <cell r="C84">
            <v>2633</v>
          </cell>
        </row>
        <row r="85">
          <cell r="A85" t="str">
            <v>Howard Johnson</v>
          </cell>
          <cell r="B85">
            <v>250</v>
          </cell>
          <cell r="C85">
            <v>29779</v>
          </cell>
        </row>
        <row r="86">
          <cell r="A86" t="str">
            <v>Howard Johnson Express Inn</v>
          </cell>
          <cell r="B86">
            <v>180</v>
          </cell>
          <cell r="C86">
            <v>12123</v>
          </cell>
        </row>
        <row r="87">
          <cell r="A87" t="str">
            <v>Hyatt Hotel</v>
          </cell>
          <cell r="B87">
            <v>115</v>
          </cell>
          <cell r="C87">
            <v>56276</v>
          </cell>
        </row>
        <row r="88">
          <cell r="A88" t="str">
            <v>Imperial Inns</v>
          </cell>
          <cell r="B88">
            <v>3</v>
          </cell>
          <cell r="C88">
            <v>95</v>
          </cell>
        </row>
        <row r="89">
          <cell r="A89" t="str">
            <v>Independent</v>
          </cell>
          <cell r="B89">
            <v>16406</v>
          </cell>
          <cell r="C89">
            <v>1270206</v>
          </cell>
        </row>
        <row r="90">
          <cell r="A90" t="str">
            <v>INNCAL</v>
          </cell>
          <cell r="B90">
            <v>3</v>
          </cell>
          <cell r="C90">
            <v>317</v>
          </cell>
        </row>
        <row r="91">
          <cell r="A91" t="str">
            <v>Innkeeper</v>
          </cell>
          <cell r="B91">
            <v>18</v>
          </cell>
          <cell r="C91">
            <v>1550</v>
          </cell>
        </row>
        <row r="92">
          <cell r="A92" t="str">
            <v>Inns of America</v>
          </cell>
          <cell r="B92">
            <v>10</v>
          </cell>
          <cell r="C92">
            <v>1140</v>
          </cell>
        </row>
        <row r="93">
          <cell r="A93" t="str">
            <v>Innsuites Hotels</v>
          </cell>
          <cell r="B93">
            <v>7</v>
          </cell>
          <cell r="C93">
            <v>1215</v>
          </cell>
        </row>
        <row r="94">
          <cell r="A94" t="str">
            <v>Inter-Continental</v>
          </cell>
          <cell r="B94">
            <v>12</v>
          </cell>
          <cell r="C94">
            <v>5610</v>
          </cell>
        </row>
        <row r="95">
          <cell r="A95" t="str">
            <v>Interstate Inn</v>
          </cell>
          <cell r="B95">
            <v>10</v>
          </cell>
          <cell r="C95">
            <v>379</v>
          </cell>
        </row>
        <row r="96">
          <cell r="A96" t="str">
            <v>Intown Suites</v>
          </cell>
          <cell r="B96">
            <v>19</v>
          </cell>
          <cell r="C96">
            <v>2498</v>
          </cell>
        </row>
        <row r="97">
          <cell r="A97" t="str">
            <v>Jameson Inn</v>
          </cell>
          <cell r="B97">
            <v>107</v>
          </cell>
          <cell r="C97">
            <v>5576</v>
          </cell>
        </row>
        <row r="98">
          <cell r="A98" t="str">
            <v>Jolly Hotels</v>
          </cell>
          <cell r="B98">
            <v>1</v>
          </cell>
          <cell r="C98">
            <v>216</v>
          </cell>
        </row>
        <row r="99">
          <cell r="A99" t="str">
            <v>Key West Inn</v>
          </cell>
          <cell r="B99">
            <v>16</v>
          </cell>
          <cell r="C99">
            <v>743</v>
          </cell>
        </row>
        <row r="100">
          <cell r="A100" t="str">
            <v>Key West Inns &amp; Suites</v>
          </cell>
          <cell r="B100">
            <v>2</v>
          </cell>
          <cell r="C100">
            <v>171</v>
          </cell>
        </row>
        <row r="101">
          <cell r="A101" t="str">
            <v>Kings Inn</v>
          </cell>
          <cell r="B101">
            <v>4</v>
          </cell>
          <cell r="C101">
            <v>280</v>
          </cell>
        </row>
        <row r="102">
          <cell r="A102" t="str">
            <v>Knights Inn</v>
          </cell>
          <cell r="B102">
            <v>229</v>
          </cell>
          <cell r="C102">
            <v>18461</v>
          </cell>
        </row>
        <row r="103">
          <cell r="A103" t="str">
            <v>La Quinta</v>
          </cell>
          <cell r="B103">
            <v>319</v>
          </cell>
          <cell r="C103">
            <v>40238</v>
          </cell>
        </row>
        <row r="104">
          <cell r="A104" t="str">
            <v>Le Meridien</v>
          </cell>
          <cell r="B104">
            <v>6</v>
          </cell>
          <cell r="C104">
            <v>2526</v>
          </cell>
        </row>
        <row r="105">
          <cell r="A105" t="str">
            <v>Lee's Inn of America</v>
          </cell>
          <cell r="B105">
            <v>18</v>
          </cell>
          <cell r="C105">
            <v>1420</v>
          </cell>
        </row>
        <row r="106">
          <cell r="A106" t="str">
            <v>Lexington Hotel Suites</v>
          </cell>
          <cell r="B106">
            <v>7</v>
          </cell>
          <cell r="C106">
            <v>1072</v>
          </cell>
        </row>
        <row r="107">
          <cell r="A107" t="str">
            <v>Little America</v>
          </cell>
          <cell r="B107">
            <v>6</v>
          </cell>
          <cell r="C107">
            <v>2730</v>
          </cell>
        </row>
        <row r="108">
          <cell r="A108" t="str">
            <v>Loews Hotel</v>
          </cell>
          <cell r="B108">
            <v>15</v>
          </cell>
          <cell r="C108">
            <v>6597</v>
          </cell>
        </row>
        <row r="109">
          <cell r="A109" t="str">
            <v>Luxury Collection</v>
          </cell>
          <cell r="B109">
            <v>10</v>
          </cell>
          <cell r="C109">
            <v>3675</v>
          </cell>
        </row>
        <row r="110">
          <cell r="A110" t="str">
            <v>Mainstay Suites</v>
          </cell>
          <cell r="B110">
            <v>39</v>
          </cell>
          <cell r="C110">
            <v>3411</v>
          </cell>
        </row>
        <row r="111">
          <cell r="A111" t="str">
            <v>MARC</v>
          </cell>
          <cell r="B111">
            <v>12</v>
          </cell>
          <cell r="C111">
            <v>1573</v>
          </cell>
        </row>
        <row r="112">
          <cell r="A112" t="str">
            <v>Marriott Conference</v>
          </cell>
          <cell r="B112">
            <v>15</v>
          </cell>
          <cell r="C112">
            <v>3779</v>
          </cell>
        </row>
        <row r="113">
          <cell r="A113" t="str">
            <v>Marriott Hotel</v>
          </cell>
          <cell r="B113">
            <v>284</v>
          </cell>
          <cell r="C113">
            <v>116286</v>
          </cell>
        </row>
        <row r="114">
          <cell r="A114" t="str">
            <v>Marriott International</v>
          </cell>
          <cell r="B114">
            <v>3</v>
          </cell>
          <cell r="C114">
            <v>1133</v>
          </cell>
        </row>
        <row r="115">
          <cell r="A115" t="str">
            <v>Master Host Inns</v>
          </cell>
          <cell r="B115">
            <v>2</v>
          </cell>
          <cell r="C115">
            <v>473</v>
          </cell>
        </row>
        <row r="116">
          <cell r="A116" t="str">
            <v>Masters Inn</v>
          </cell>
          <cell r="B116">
            <v>30</v>
          </cell>
          <cell r="C116">
            <v>3586</v>
          </cell>
        </row>
        <row r="117">
          <cell r="A117" t="str">
            <v>McIntosh Motor Inn</v>
          </cell>
          <cell r="B117">
            <v>14</v>
          </cell>
          <cell r="C117">
            <v>1444</v>
          </cell>
        </row>
        <row r="118">
          <cell r="A118" t="str">
            <v>Microtel Inn</v>
          </cell>
          <cell r="B118">
            <v>243</v>
          </cell>
          <cell r="C118">
            <v>17561</v>
          </cell>
        </row>
        <row r="119">
          <cell r="A119" t="str">
            <v>Millennium Hotel</v>
          </cell>
          <cell r="B119">
            <v>13</v>
          </cell>
          <cell r="C119">
            <v>4739</v>
          </cell>
        </row>
        <row r="120">
          <cell r="A120" t="str">
            <v>Motel 6</v>
          </cell>
          <cell r="B120">
            <v>814</v>
          </cell>
          <cell r="C120">
            <v>85397</v>
          </cell>
        </row>
        <row r="121">
          <cell r="A121" t="str">
            <v>Motel Orleans</v>
          </cell>
          <cell r="B121">
            <v>3</v>
          </cell>
          <cell r="C121">
            <v>207</v>
          </cell>
        </row>
        <row r="122">
          <cell r="A122" t="str">
            <v>National 9</v>
          </cell>
          <cell r="B122">
            <v>41</v>
          </cell>
          <cell r="C122">
            <v>1569</v>
          </cell>
        </row>
        <row r="123">
          <cell r="A123" t="str">
            <v>Nendels</v>
          </cell>
          <cell r="B123">
            <v>11</v>
          </cell>
          <cell r="C123">
            <v>706</v>
          </cell>
        </row>
        <row r="124">
          <cell r="A124" t="str">
            <v>New Otani Hotels</v>
          </cell>
          <cell r="B124">
            <v>2</v>
          </cell>
          <cell r="C124">
            <v>559</v>
          </cell>
        </row>
        <row r="125">
          <cell r="A125" t="str">
            <v>Nikko Hotels</v>
          </cell>
          <cell r="B125">
            <v>1</v>
          </cell>
          <cell r="C125">
            <v>532</v>
          </cell>
        </row>
        <row r="126">
          <cell r="A126" t="str">
            <v>Ohana Hotels</v>
          </cell>
          <cell r="B126">
            <v>14</v>
          </cell>
          <cell r="C126">
            <v>4783</v>
          </cell>
        </row>
        <row r="127">
          <cell r="A127" t="str">
            <v>Omni Hotel</v>
          </cell>
          <cell r="B127">
            <v>35</v>
          </cell>
          <cell r="C127">
            <v>12437</v>
          </cell>
        </row>
        <row r="128">
          <cell r="A128" t="str">
            <v>Outrigger</v>
          </cell>
          <cell r="B128">
            <v>14</v>
          </cell>
          <cell r="C128">
            <v>4195</v>
          </cell>
        </row>
        <row r="129">
          <cell r="A129" t="str">
            <v>Pan Pacific Hotels &amp; Resorts</v>
          </cell>
          <cell r="B129">
            <v>2</v>
          </cell>
          <cell r="C129">
            <v>679</v>
          </cell>
        </row>
        <row r="130">
          <cell r="A130" t="str">
            <v>Park Inn</v>
          </cell>
          <cell r="B130">
            <v>39</v>
          </cell>
          <cell r="C130">
            <v>4410</v>
          </cell>
        </row>
        <row r="131">
          <cell r="A131" t="str">
            <v>Park Inn Suite Hotel</v>
          </cell>
          <cell r="B131">
            <v>1</v>
          </cell>
          <cell r="C131">
            <v>163</v>
          </cell>
        </row>
        <row r="132">
          <cell r="A132" t="str">
            <v>Park Plaza</v>
          </cell>
          <cell r="B132">
            <v>5</v>
          </cell>
          <cell r="C132">
            <v>950</v>
          </cell>
        </row>
        <row r="133">
          <cell r="A133" t="str">
            <v>Passport Inn</v>
          </cell>
          <cell r="B133">
            <v>10</v>
          </cell>
          <cell r="C133">
            <v>347</v>
          </cell>
        </row>
        <row r="134">
          <cell r="A134" t="str">
            <v>Pear Tree Inn</v>
          </cell>
          <cell r="B134">
            <v>12</v>
          </cell>
          <cell r="C134">
            <v>1182</v>
          </cell>
        </row>
        <row r="135">
          <cell r="A135" t="str">
            <v>Preferred</v>
          </cell>
          <cell r="B135">
            <v>67</v>
          </cell>
          <cell r="C135">
            <v>14934</v>
          </cell>
        </row>
        <row r="136">
          <cell r="A136" t="str">
            <v>Prince Hotels</v>
          </cell>
          <cell r="B136">
            <v>5</v>
          </cell>
          <cell r="C136">
            <v>1561</v>
          </cell>
        </row>
        <row r="137">
          <cell r="A137" t="str">
            <v>Quality Inn</v>
          </cell>
          <cell r="B137">
            <v>411</v>
          </cell>
          <cell r="C137">
            <v>46601</v>
          </cell>
        </row>
        <row r="138">
          <cell r="A138" t="str">
            <v>Quality Suites</v>
          </cell>
          <cell r="B138">
            <v>37</v>
          </cell>
          <cell r="C138">
            <v>3828</v>
          </cell>
        </row>
        <row r="139">
          <cell r="A139" t="str">
            <v>Radisson</v>
          </cell>
          <cell r="B139">
            <v>242</v>
          </cell>
          <cell r="C139">
            <v>58917</v>
          </cell>
        </row>
        <row r="140">
          <cell r="A140" t="str">
            <v>Ramada Inn</v>
          </cell>
          <cell r="B140">
            <v>619</v>
          </cell>
          <cell r="C140">
            <v>93837</v>
          </cell>
        </row>
        <row r="141">
          <cell r="A141" t="str">
            <v>Ramada Limited</v>
          </cell>
          <cell r="B141">
            <v>373</v>
          </cell>
          <cell r="C141">
            <v>27813</v>
          </cell>
        </row>
        <row r="142">
          <cell r="A142" t="str">
            <v>Raphael Hotel</v>
          </cell>
          <cell r="B142">
            <v>2</v>
          </cell>
          <cell r="C142">
            <v>295</v>
          </cell>
        </row>
        <row r="143">
          <cell r="A143" t="str">
            <v>Red Carpet Inn</v>
          </cell>
          <cell r="B143">
            <v>104</v>
          </cell>
          <cell r="C143">
            <v>6951</v>
          </cell>
        </row>
        <row r="144">
          <cell r="A144" t="str">
            <v>Red Lion</v>
          </cell>
          <cell r="B144">
            <v>43</v>
          </cell>
          <cell r="C144">
            <v>6651</v>
          </cell>
        </row>
        <row r="145">
          <cell r="A145" t="str">
            <v>Red Roof Inn</v>
          </cell>
          <cell r="B145">
            <v>359</v>
          </cell>
          <cell r="C145">
            <v>39572</v>
          </cell>
        </row>
        <row r="146">
          <cell r="A146" t="str">
            <v>Relax Inn</v>
          </cell>
          <cell r="B146">
            <v>4</v>
          </cell>
          <cell r="C146">
            <v>336</v>
          </cell>
        </row>
        <row r="147">
          <cell r="A147" t="str">
            <v>Renaissance Hotel</v>
          </cell>
          <cell r="B147">
            <v>60</v>
          </cell>
          <cell r="C147">
            <v>22838</v>
          </cell>
        </row>
        <row r="148">
          <cell r="A148" t="str">
            <v>Residence Inn</v>
          </cell>
          <cell r="B148">
            <v>399</v>
          </cell>
          <cell r="C148">
            <v>46912</v>
          </cell>
        </row>
        <row r="149">
          <cell r="A149" t="str">
            <v>Ritz-Carlton</v>
          </cell>
          <cell r="B149">
            <v>29</v>
          </cell>
          <cell r="C149">
            <v>10184</v>
          </cell>
        </row>
        <row r="150">
          <cell r="A150" t="str">
            <v>Roadstar Inn</v>
          </cell>
          <cell r="B150">
            <v>6</v>
          </cell>
          <cell r="C150">
            <v>534</v>
          </cell>
        </row>
        <row r="151">
          <cell r="A151" t="str">
            <v>Rodeway Inn</v>
          </cell>
          <cell r="B151">
            <v>153</v>
          </cell>
          <cell r="C151">
            <v>10116</v>
          </cell>
        </row>
        <row r="152">
          <cell r="A152" t="str">
            <v>Romantik Hotel</v>
          </cell>
          <cell r="B152">
            <v>3</v>
          </cell>
          <cell r="C152">
            <v>79</v>
          </cell>
        </row>
        <row r="153">
          <cell r="A153" t="str">
            <v>Scottish Inn</v>
          </cell>
          <cell r="B153">
            <v>123</v>
          </cell>
          <cell r="C153">
            <v>5866</v>
          </cell>
        </row>
        <row r="154">
          <cell r="A154" t="str">
            <v>Select Inn</v>
          </cell>
          <cell r="B154">
            <v>18</v>
          </cell>
          <cell r="C154">
            <v>1627</v>
          </cell>
        </row>
        <row r="155">
          <cell r="A155" t="str">
            <v>Select Suites</v>
          </cell>
          <cell r="B155">
            <v>5</v>
          </cell>
          <cell r="C155">
            <v>748</v>
          </cell>
        </row>
        <row r="156">
          <cell r="A156" t="str">
            <v>Sheraton Hotel</v>
          </cell>
          <cell r="B156">
            <v>217</v>
          </cell>
          <cell r="C156">
            <v>72393</v>
          </cell>
        </row>
        <row r="157">
          <cell r="A157" t="str">
            <v>Sheraton Inn</v>
          </cell>
          <cell r="B157">
            <v>5</v>
          </cell>
          <cell r="C157">
            <v>879</v>
          </cell>
        </row>
        <row r="158">
          <cell r="A158" t="str">
            <v>Shilo Inn</v>
          </cell>
          <cell r="B158">
            <v>47</v>
          </cell>
          <cell r="C158">
            <v>5295</v>
          </cell>
        </row>
        <row r="159">
          <cell r="A159" t="str">
            <v>Shoney's Inn</v>
          </cell>
          <cell r="B159">
            <v>72</v>
          </cell>
          <cell r="C159">
            <v>6874</v>
          </cell>
        </row>
        <row r="160">
          <cell r="A160" t="str">
            <v>Sierra Suites</v>
          </cell>
          <cell r="B160">
            <v>17</v>
          </cell>
          <cell r="C160">
            <v>1861</v>
          </cell>
        </row>
        <row r="161">
          <cell r="A161" t="str">
            <v>Signature Inn</v>
          </cell>
          <cell r="B161">
            <v>26</v>
          </cell>
          <cell r="C161">
            <v>3051</v>
          </cell>
        </row>
        <row r="162">
          <cell r="A162" t="str">
            <v>Sleep Inn</v>
          </cell>
          <cell r="B162">
            <v>286</v>
          </cell>
          <cell r="C162">
            <v>22034</v>
          </cell>
        </row>
        <row r="163">
          <cell r="A163" t="str">
            <v>Sonesta</v>
          </cell>
          <cell r="B163">
            <v>4</v>
          </cell>
          <cell r="C163">
            <v>1437</v>
          </cell>
        </row>
        <row r="164">
          <cell r="A164" t="str">
            <v>SpringHill Suites</v>
          </cell>
          <cell r="B164">
            <v>84</v>
          </cell>
          <cell r="C164">
            <v>9603</v>
          </cell>
        </row>
        <row r="165">
          <cell r="A165" t="str">
            <v>St. Regis</v>
          </cell>
          <cell r="B165">
            <v>9</v>
          </cell>
          <cell r="C165">
            <v>3065</v>
          </cell>
        </row>
        <row r="166">
          <cell r="A166" t="str">
            <v>Star Hotels</v>
          </cell>
          <cell r="B166">
            <v>1</v>
          </cell>
          <cell r="C166">
            <v>178</v>
          </cell>
        </row>
        <row r="167">
          <cell r="A167" t="str">
            <v>Staybridge Suites</v>
          </cell>
          <cell r="B167">
            <v>41</v>
          </cell>
          <cell r="C167">
            <v>4629</v>
          </cell>
        </row>
        <row r="168">
          <cell r="A168" t="str">
            <v>Studio 6</v>
          </cell>
          <cell r="B168">
            <v>36</v>
          </cell>
          <cell r="C168">
            <v>4592</v>
          </cell>
        </row>
        <row r="169">
          <cell r="A169" t="str">
            <v>Studio Plus</v>
          </cell>
          <cell r="B169">
            <v>95</v>
          </cell>
          <cell r="C169">
            <v>7624</v>
          </cell>
        </row>
        <row r="170">
          <cell r="A170" t="str">
            <v>Suburban Lodge</v>
          </cell>
          <cell r="B170">
            <v>126</v>
          </cell>
          <cell r="C170">
            <v>16881</v>
          </cell>
        </row>
        <row r="171">
          <cell r="A171" t="str">
            <v>Summerfield Suites by Wyndham</v>
          </cell>
          <cell r="B171">
            <v>37</v>
          </cell>
          <cell r="C171">
            <v>4981</v>
          </cell>
        </row>
        <row r="172">
          <cell r="A172" t="str">
            <v>Sun Suites Hotels</v>
          </cell>
          <cell r="B172">
            <v>19</v>
          </cell>
          <cell r="C172">
            <v>2397</v>
          </cell>
        </row>
        <row r="173">
          <cell r="A173" t="str">
            <v>Sunroute Co. Ltd.</v>
          </cell>
          <cell r="B173">
            <v>1</v>
          </cell>
          <cell r="C173">
            <v>711</v>
          </cell>
        </row>
        <row r="174">
          <cell r="A174" t="str">
            <v>Sunspree Resorts</v>
          </cell>
          <cell r="B174">
            <v>24</v>
          </cell>
          <cell r="C174">
            <v>5103</v>
          </cell>
        </row>
        <row r="175">
          <cell r="A175" t="str">
            <v>Super 8</v>
          </cell>
          <cell r="B175">
            <v>1963</v>
          </cell>
          <cell r="C175">
            <v>119091</v>
          </cell>
        </row>
        <row r="176">
          <cell r="A176" t="str">
            <v>Susse Chalet</v>
          </cell>
          <cell r="B176">
            <v>6</v>
          </cell>
          <cell r="C176">
            <v>573</v>
          </cell>
        </row>
        <row r="177">
          <cell r="A177" t="str">
            <v>Swissotel</v>
          </cell>
          <cell r="B177">
            <v>5</v>
          </cell>
          <cell r="C177">
            <v>2238</v>
          </cell>
        </row>
        <row r="178">
          <cell r="A178" t="str">
            <v>ThriftLodge</v>
          </cell>
          <cell r="B178">
            <v>14</v>
          </cell>
          <cell r="C178">
            <v>692</v>
          </cell>
        </row>
        <row r="179">
          <cell r="A179" t="str">
            <v>Thrifty Inn</v>
          </cell>
          <cell r="B179">
            <v>2</v>
          </cell>
          <cell r="C179">
            <v>134</v>
          </cell>
        </row>
        <row r="180">
          <cell r="A180" t="str">
            <v>TownePlace Suites</v>
          </cell>
          <cell r="B180">
            <v>100</v>
          </cell>
          <cell r="C180">
            <v>10591</v>
          </cell>
        </row>
        <row r="181">
          <cell r="A181" t="str">
            <v>Travel Inn</v>
          </cell>
          <cell r="B181">
            <v>3</v>
          </cell>
          <cell r="C181">
            <v>145</v>
          </cell>
        </row>
        <row r="182">
          <cell r="A182" t="str">
            <v>Travelers Inn</v>
          </cell>
          <cell r="B182">
            <v>11</v>
          </cell>
          <cell r="C182">
            <v>921</v>
          </cell>
        </row>
        <row r="183">
          <cell r="A183" t="str">
            <v>Travelodge</v>
          </cell>
          <cell r="B183">
            <v>484</v>
          </cell>
          <cell r="C183">
            <v>37946</v>
          </cell>
        </row>
        <row r="184">
          <cell r="A184" t="str">
            <v>USA Inn</v>
          </cell>
          <cell r="B184">
            <v>1</v>
          </cell>
          <cell r="C184">
            <v>63</v>
          </cell>
        </row>
        <row r="185">
          <cell r="A185" t="str">
            <v>Vagabond Inn</v>
          </cell>
          <cell r="B185">
            <v>36</v>
          </cell>
          <cell r="C185">
            <v>3125</v>
          </cell>
        </row>
        <row r="186">
          <cell r="A186" t="str">
            <v>Villager Lodge</v>
          </cell>
          <cell r="B186">
            <v>125</v>
          </cell>
          <cell r="C186">
            <v>11557</v>
          </cell>
        </row>
        <row r="187">
          <cell r="A187" t="str">
            <v>W Hotel</v>
          </cell>
          <cell r="B187">
            <v>15</v>
          </cell>
          <cell r="C187">
            <v>4832</v>
          </cell>
        </row>
        <row r="188">
          <cell r="A188" t="str">
            <v>Wandlyn Inn</v>
          </cell>
          <cell r="B188">
            <v>2</v>
          </cell>
          <cell r="C188">
            <v>162</v>
          </cell>
        </row>
        <row r="189">
          <cell r="A189" t="str">
            <v>Wellesley Inn</v>
          </cell>
          <cell r="B189">
            <v>33</v>
          </cell>
          <cell r="C189">
            <v>3362</v>
          </cell>
        </row>
        <row r="190">
          <cell r="A190" t="str">
            <v>Wellesley Inn &amp; Suites</v>
          </cell>
          <cell r="B190">
            <v>74</v>
          </cell>
          <cell r="C190">
            <v>8309</v>
          </cell>
        </row>
        <row r="191">
          <cell r="A191" t="str">
            <v xml:space="preserve">WestCoast </v>
          </cell>
          <cell r="B191">
            <v>29</v>
          </cell>
          <cell r="C191">
            <v>5697</v>
          </cell>
        </row>
        <row r="192">
          <cell r="A192" t="str">
            <v>Westin Hotel</v>
          </cell>
          <cell r="B192">
            <v>71</v>
          </cell>
          <cell r="C192">
            <v>33236</v>
          </cell>
        </row>
        <row r="193">
          <cell r="A193" t="str">
            <v>Westmark</v>
          </cell>
          <cell r="B193">
            <v>9</v>
          </cell>
          <cell r="C193">
            <v>1346</v>
          </cell>
        </row>
        <row r="194">
          <cell r="A194" t="str">
            <v>Wilson</v>
          </cell>
          <cell r="B194">
            <v>8</v>
          </cell>
          <cell r="C194">
            <v>1255</v>
          </cell>
        </row>
        <row r="195">
          <cell r="A195" t="str">
            <v>Wingate Inn</v>
          </cell>
          <cell r="B195">
            <v>110</v>
          </cell>
          <cell r="C195">
            <v>10294</v>
          </cell>
        </row>
        <row r="196">
          <cell r="A196" t="str">
            <v>Woodfield Suites</v>
          </cell>
          <cell r="B196">
            <v>7</v>
          </cell>
          <cell r="C196">
            <v>888</v>
          </cell>
        </row>
        <row r="197">
          <cell r="A197" t="str">
            <v>Woodfin Suites</v>
          </cell>
          <cell r="B197">
            <v>8</v>
          </cell>
          <cell r="C197">
            <v>1096</v>
          </cell>
        </row>
        <row r="198">
          <cell r="A198" t="str">
            <v xml:space="preserve">Wyndham Garden </v>
          </cell>
          <cell r="B198">
            <v>24</v>
          </cell>
          <cell r="C198">
            <v>4242</v>
          </cell>
        </row>
        <row r="199">
          <cell r="A199" t="str">
            <v>Wyndham Historic Hotel</v>
          </cell>
          <cell r="B199">
            <v>11</v>
          </cell>
          <cell r="C199">
            <v>5121</v>
          </cell>
        </row>
        <row r="200">
          <cell r="A200" t="str">
            <v>Wyndham Hotel</v>
          </cell>
          <cell r="B200">
            <v>80</v>
          </cell>
          <cell r="C200">
            <v>24742</v>
          </cell>
        </row>
        <row r="201">
          <cell r="A201" t="str">
            <v>Wyndham Luxury</v>
          </cell>
          <cell r="B201">
            <v>3</v>
          </cell>
          <cell r="C201">
            <v>354</v>
          </cell>
        </row>
        <row r="202">
          <cell r="A202" t="str">
            <v>Wyndham Resorts</v>
          </cell>
          <cell r="B202">
            <v>9</v>
          </cell>
          <cell r="C202">
            <v>4142</v>
          </cell>
        </row>
        <row r="203">
          <cell r="A203" t="str">
            <v>Wynfield Inn</v>
          </cell>
          <cell r="B203">
            <v>1</v>
          </cell>
          <cell r="C203">
            <v>63</v>
          </cell>
        </row>
        <row r="204">
          <cell r="A204" t="str">
            <v>zIndependents</v>
          </cell>
          <cell r="B204">
            <v>15593</v>
          </cell>
          <cell r="C204">
            <v>1249816</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nsus"/>
      <sheetName val="PIVOTS"/>
      <sheetName val="tract lookup"/>
      <sheetName val="Mkt Ranks"/>
      <sheetName val="companies lookup"/>
      <sheetName val="companies pivots"/>
      <sheetName val="Hilton Mkt Share"/>
      <sheetName val="Marr Mkt Share"/>
      <sheetName val="Starwood Mkt Share"/>
      <sheetName val="Top Cos"/>
      <sheetName val="Casinos"/>
      <sheetName val="brand lookup"/>
    </sheetNames>
    <sheetDataSet>
      <sheetData sheetId="0" refreshError="1">
        <row r="4">
          <cell r="A4" t="str">
            <v>CHAINS</v>
          </cell>
          <cell r="B4" t="str">
            <v>PROPERTIES</v>
          </cell>
          <cell r="C4" t="str">
            <v>ROOMS</v>
          </cell>
          <cell r="D4" t="str">
            <v>PARENT</v>
          </cell>
        </row>
        <row r="5">
          <cell r="A5" t="str">
            <v>ADAM'S MARK</v>
          </cell>
          <cell r="B5">
            <v>22</v>
          </cell>
          <cell r="C5">
            <v>12003</v>
          </cell>
        </row>
        <row r="6">
          <cell r="A6" t="str">
            <v>ADMIRAL BENBOW</v>
          </cell>
          <cell r="B6">
            <v>7</v>
          </cell>
          <cell r="C6">
            <v>751</v>
          </cell>
        </row>
        <row r="7">
          <cell r="A7" t="str">
            <v>AMERICINN</v>
          </cell>
          <cell r="B7">
            <v>158</v>
          </cell>
          <cell r="C7">
            <v>8068</v>
          </cell>
        </row>
        <row r="8">
          <cell r="A8" t="str">
            <v>AMERIHOST</v>
          </cell>
          <cell r="B8">
            <v>82</v>
          </cell>
          <cell r="C8">
            <v>5198</v>
          </cell>
        </row>
        <row r="9">
          <cell r="A9" t="str">
            <v>AMERISUITES</v>
          </cell>
          <cell r="B9">
            <v>106</v>
          </cell>
          <cell r="C9">
            <v>13562</v>
          </cell>
          <cell r="D9" t="str">
            <v>PRIME</v>
          </cell>
        </row>
        <row r="10">
          <cell r="A10" t="str">
            <v>AMFAC</v>
          </cell>
          <cell r="B10">
            <v>27</v>
          </cell>
          <cell r="C10">
            <v>3728</v>
          </cell>
        </row>
        <row r="11">
          <cell r="A11" t="str">
            <v>ASTON</v>
          </cell>
          <cell r="B11">
            <v>38</v>
          </cell>
          <cell r="C11">
            <v>5730</v>
          </cell>
        </row>
        <row r="12">
          <cell r="A12" t="str">
            <v>BAYMONT INNS &amp; SUITES</v>
          </cell>
          <cell r="B12">
            <v>175</v>
          </cell>
          <cell r="C12">
            <v>17044</v>
          </cell>
        </row>
        <row r="13">
          <cell r="A13" t="str">
            <v>BEST HOTELS</v>
          </cell>
          <cell r="B13">
            <v>3</v>
          </cell>
          <cell r="C13">
            <v>311</v>
          </cell>
        </row>
        <row r="14">
          <cell r="A14" t="str">
            <v>BEST INNS</v>
          </cell>
          <cell r="B14">
            <v>152</v>
          </cell>
          <cell r="C14">
            <v>12239</v>
          </cell>
          <cell r="D14" t="str">
            <v>USFS</v>
          </cell>
        </row>
        <row r="15">
          <cell r="A15" t="str">
            <v>BEST WESTERN</v>
          </cell>
          <cell r="B15">
            <v>2099</v>
          </cell>
          <cell r="C15">
            <v>186983</v>
          </cell>
        </row>
        <row r="16">
          <cell r="A16" t="str">
            <v>BRADFORD HOMESUITES</v>
          </cell>
          <cell r="B16">
            <v>9</v>
          </cell>
          <cell r="C16">
            <v>1223</v>
          </cell>
        </row>
        <row r="17">
          <cell r="A17" t="str">
            <v>BUDGET HOST INN</v>
          </cell>
          <cell r="B17">
            <v>173</v>
          </cell>
          <cell r="C17">
            <v>6821</v>
          </cell>
        </row>
        <row r="18">
          <cell r="A18" t="str">
            <v>CABOT LODGE</v>
          </cell>
          <cell r="B18">
            <v>6</v>
          </cell>
          <cell r="C18">
            <v>1076</v>
          </cell>
        </row>
        <row r="19">
          <cell r="A19" t="str">
            <v>CAESARS</v>
          </cell>
          <cell r="B19">
            <v>6</v>
          </cell>
          <cell r="C19">
            <v>1839</v>
          </cell>
        </row>
        <row r="20">
          <cell r="A20" t="str">
            <v>CAMINO REAL</v>
          </cell>
          <cell r="B20">
            <v>1</v>
          </cell>
          <cell r="C20">
            <v>375</v>
          </cell>
        </row>
        <row r="21">
          <cell r="A21" t="str">
            <v>CANDLEWOOD HOTEL</v>
          </cell>
          <cell r="B21">
            <v>91</v>
          </cell>
          <cell r="C21">
            <v>10733</v>
          </cell>
        </row>
        <row r="22">
          <cell r="A22" t="str">
            <v>CLARION</v>
          </cell>
          <cell r="B22">
            <v>120</v>
          </cell>
          <cell r="C22">
            <v>19333</v>
          </cell>
          <cell r="D22" t="str">
            <v>CHOICE</v>
          </cell>
        </row>
        <row r="23">
          <cell r="A23" t="str">
            <v>CLUB MED</v>
          </cell>
          <cell r="B23">
            <v>2</v>
          </cell>
          <cell r="C23">
            <v>972</v>
          </cell>
        </row>
        <row r="24">
          <cell r="A24" t="str">
            <v>CLUBHOUSE INNS OF AMERIC</v>
          </cell>
          <cell r="B24">
            <v>9</v>
          </cell>
          <cell r="C24">
            <v>1364</v>
          </cell>
        </row>
        <row r="25">
          <cell r="A25" t="str">
            <v>COLONY</v>
          </cell>
          <cell r="B25">
            <v>13</v>
          </cell>
          <cell r="C25">
            <v>1245</v>
          </cell>
        </row>
        <row r="26">
          <cell r="A26" t="str">
            <v>COMFORT INN</v>
          </cell>
          <cell r="B26">
            <v>1302</v>
          </cell>
          <cell r="C26">
            <v>102210</v>
          </cell>
          <cell r="D26" t="str">
            <v>CHOICE</v>
          </cell>
        </row>
        <row r="27">
          <cell r="A27" t="str">
            <v>COMFORT SUITES</v>
          </cell>
          <cell r="B27">
            <v>277</v>
          </cell>
          <cell r="C27">
            <v>22080</v>
          </cell>
          <cell r="D27" t="str">
            <v>CHOICE</v>
          </cell>
        </row>
        <row r="28">
          <cell r="A28" t="str">
            <v>CONLEY INN</v>
          </cell>
          <cell r="B28">
            <v>5</v>
          </cell>
          <cell r="C28">
            <v>291</v>
          </cell>
        </row>
        <row r="29">
          <cell r="A29" t="str">
            <v>COUNTRY HEARTH INN</v>
          </cell>
          <cell r="B29">
            <v>55</v>
          </cell>
          <cell r="C29">
            <v>3441</v>
          </cell>
        </row>
        <row r="30">
          <cell r="A30" t="str">
            <v>COUNTRY INN &amp; SUITES</v>
          </cell>
          <cell r="B30">
            <v>226</v>
          </cell>
          <cell r="C30">
            <v>17277</v>
          </cell>
        </row>
        <row r="31">
          <cell r="A31" t="str">
            <v>COURTYARD</v>
          </cell>
          <cell r="B31">
            <v>480</v>
          </cell>
          <cell r="C31">
            <v>66936</v>
          </cell>
          <cell r="D31" t="str">
            <v>MARRIOTT</v>
          </cell>
        </row>
        <row r="32">
          <cell r="A32" t="str">
            <v>CRICKET INN</v>
          </cell>
          <cell r="B32">
            <v>1</v>
          </cell>
          <cell r="C32">
            <v>126</v>
          </cell>
        </row>
        <row r="33">
          <cell r="A33" t="str">
            <v>CROSS COUNTRY INN</v>
          </cell>
          <cell r="B33">
            <v>25</v>
          </cell>
          <cell r="C33">
            <v>3009</v>
          </cell>
        </row>
        <row r="34">
          <cell r="A34" t="str">
            <v>CROSSLAND SUITES</v>
          </cell>
          <cell r="B34">
            <v>39</v>
          </cell>
          <cell r="C34">
            <v>5068</v>
          </cell>
          <cell r="D34" t="str">
            <v>ESA</v>
          </cell>
        </row>
        <row r="35">
          <cell r="A35" t="str">
            <v>CROWNE PLAZA</v>
          </cell>
          <cell r="B35">
            <v>72</v>
          </cell>
          <cell r="C35">
            <v>22278</v>
          </cell>
          <cell r="D35" t="str">
            <v>BASS</v>
          </cell>
        </row>
        <row r="36">
          <cell r="A36" t="str">
            <v>DAYS INN</v>
          </cell>
          <cell r="B36">
            <v>1856</v>
          </cell>
          <cell r="C36">
            <v>159072</v>
          </cell>
          <cell r="D36" t="str">
            <v>CENDANT</v>
          </cell>
        </row>
        <row r="37">
          <cell r="A37" t="str">
            <v>DELTA HOTELS</v>
          </cell>
          <cell r="B37">
            <v>1</v>
          </cell>
          <cell r="C37">
            <v>760</v>
          </cell>
        </row>
        <row r="38">
          <cell r="A38" t="str">
            <v>DORAL</v>
          </cell>
          <cell r="B38">
            <v>6</v>
          </cell>
          <cell r="C38">
            <v>1778</v>
          </cell>
        </row>
        <row r="39">
          <cell r="A39" t="str">
            <v>DOUBLETREE CLUB</v>
          </cell>
          <cell r="B39">
            <v>26</v>
          </cell>
          <cell r="C39">
            <v>5278</v>
          </cell>
          <cell r="D39" t="str">
            <v>HILTON</v>
          </cell>
        </row>
        <row r="40">
          <cell r="A40" t="str">
            <v>DOUBLETREE GUEST STE</v>
          </cell>
          <cell r="B40">
            <v>36</v>
          </cell>
          <cell r="C40">
            <v>7644</v>
          </cell>
          <cell r="D40" t="str">
            <v>HILTON</v>
          </cell>
        </row>
        <row r="41">
          <cell r="A41" t="str">
            <v>DOUBLETREE HOTELS</v>
          </cell>
          <cell r="B41">
            <v>94</v>
          </cell>
          <cell r="C41">
            <v>28754</v>
          </cell>
          <cell r="D41" t="str">
            <v>HILTON</v>
          </cell>
        </row>
        <row r="42">
          <cell r="A42" t="str">
            <v>DOWNTOWNER MOTOR INN</v>
          </cell>
          <cell r="B42">
            <v>3</v>
          </cell>
          <cell r="C42">
            <v>236</v>
          </cell>
        </row>
        <row r="43">
          <cell r="A43" t="str">
            <v>DRURY INN</v>
          </cell>
          <cell r="B43">
            <v>72</v>
          </cell>
          <cell r="C43">
            <v>9287</v>
          </cell>
        </row>
        <row r="44">
          <cell r="A44" t="str">
            <v>E-Z 8</v>
          </cell>
          <cell r="B44">
            <v>26</v>
          </cell>
          <cell r="C44">
            <v>2653</v>
          </cell>
        </row>
        <row r="45">
          <cell r="A45" t="str">
            <v>ECONO LODGE</v>
          </cell>
          <cell r="B45">
            <v>713</v>
          </cell>
          <cell r="C45">
            <v>44651</v>
          </cell>
          <cell r="D45" t="str">
            <v>CHOICE</v>
          </cell>
        </row>
        <row r="46">
          <cell r="A46" t="str">
            <v>EMBASSY SUITES</v>
          </cell>
          <cell r="B46">
            <v>155</v>
          </cell>
          <cell r="C46">
            <v>38043</v>
          </cell>
          <cell r="D46" t="str">
            <v>HILTON</v>
          </cell>
        </row>
        <row r="47">
          <cell r="A47" t="str">
            <v>EMBASSY VACATION RESORTS</v>
          </cell>
          <cell r="B47">
            <v>6</v>
          </cell>
          <cell r="C47">
            <v>1418</v>
          </cell>
        </row>
        <row r="48">
          <cell r="A48" t="str">
            <v>ENVOY INN</v>
          </cell>
          <cell r="B48">
            <v>1</v>
          </cell>
          <cell r="C48">
            <v>82</v>
          </cell>
        </row>
        <row r="49">
          <cell r="A49" t="str">
            <v>EXEL INN</v>
          </cell>
          <cell r="B49">
            <v>26</v>
          </cell>
          <cell r="C49">
            <v>2917</v>
          </cell>
        </row>
        <row r="50">
          <cell r="A50" t="str">
            <v>EXTENDED STAY AMERICA</v>
          </cell>
          <cell r="B50">
            <v>255</v>
          </cell>
          <cell r="C50">
            <v>28670</v>
          </cell>
          <cell r="D50" t="str">
            <v>ESA</v>
          </cell>
        </row>
        <row r="51">
          <cell r="A51" t="str">
            <v>FAIRFIELD INN</v>
          </cell>
          <cell r="B51">
            <v>440</v>
          </cell>
          <cell r="C51">
            <v>41771</v>
          </cell>
          <cell r="D51" t="str">
            <v>MARRIOTT</v>
          </cell>
        </row>
        <row r="52">
          <cell r="A52" t="str">
            <v>FAIRMONT HOTEL</v>
          </cell>
          <cell r="B52">
            <v>10</v>
          </cell>
          <cell r="C52">
            <v>5576</v>
          </cell>
        </row>
        <row r="53">
          <cell r="A53" t="str">
            <v>FAMILY INNS OF AMERICA</v>
          </cell>
          <cell r="B53">
            <v>24</v>
          </cell>
          <cell r="C53">
            <v>2102</v>
          </cell>
        </row>
        <row r="54">
          <cell r="A54" t="str">
            <v>FOUR POINTS</v>
          </cell>
          <cell r="B54">
            <v>107</v>
          </cell>
          <cell r="C54">
            <v>21161</v>
          </cell>
          <cell r="D54" t="str">
            <v>STARWOOD</v>
          </cell>
        </row>
        <row r="55">
          <cell r="A55" t="str">
            <v>FOUR SEASONS</v>
          </cell>
          <cell r="B55">
            <v>23</v>
          </cell>
          <cell r="C55">
            <v>7222</v>
          </cell>
        </row>
        <row r="56">
          <cell r="A56" t="str">
            <v>FRIENDSHIP INN</v>
          </cell>
          <cell r="B56">
            <v>8</v>
          </cell>
          <cell r="C56">
            <v>316</v>
          </cell>
        </row>
        <row r="57">
          <cell r="A57" t="str">
            <v>GARDEN INN</v>
          </cell>
          <cell r="B57">
            <v>86</v>
          </cell>
          <cell r="C57">
            <v>12179</v>
          </cell>
          <cell r="D57" t="str">
            <v>HILTON</v>
          </cell>
        </row>
        <row r="58">
          <cell r="A58" t="str">
            <v>GARDEN PLAZA</v>
          </cell>
          <cell r="B58">
            <v>4</v>
          </cell>
          <cell r="C58">
            <v>691</v>
          </cell>
        </row>
        <row r="59">
          <cell r="A59" t="str">
            <v>GOLDEN TULIP</v>
          </cell>
          <cell r="B59">
            <v>3</v>
          </cell>
          <cell r="C59">
            <v>270</v>
          </cell>
        </row>
        <row r="60">
          <cell r="A60" t="str">
            <v>GOOD NITE INN</v>
          </cell>
          <cell r="B60">
            <v>13</v>
          </cell>
          <cell r="C60">
            <v>1614</v>
          </cell>
        </row>
        <row r="61">
          <cell r="A61" t="str">
            <v>GREAT WESTERN</v>
          </cell>
          <cell r="B61">
            <v>6</v>
          </cell>
          <cell r="C61">
            <v>267</v>
          </cell>
        </row>
        <row r="62">
          <cell r="A62" t="str">
            <v>GUESTHOUSE INNS</v>
          </cell>
          <cell r="B62">
            <v>57</v>
          </cell>
          <cell r="C62">
            <v>4251</v>
          </cell>
        </row>
        <row r="63">
          <cell r="A63" t="str">
            <v>HA' PENNY</v>
          </cell>
          <cell r="B63">
            <v>5</v>
          </cell>
          <cell r="C63">
            <v>454</v>
          </cell>
        </row>
        <row r="64">
          <cell r="A64" t="str">
            <v>HAMPTON INN</v>
          </cell>
          <cell r="B64">
            <v>975</v>
          </cell>
          <cell r="C64">
            <v>99233</v>
          </cell>
          <cell r="D64" t="str">
            <v>HILTON</v>
          </cell>
        </row>
        <row r="65">
          <cell r="A65" t="str">
            <v>HAMPTON INN SUITES</v>
          </cell>
          <cell r="B65">
            <v>86</v>
          </cell>
          <cell r="C65">
            <v>10372</v>
          </cell>
          <cell r="D65" t="str">
            <v>HILTON</v>
          </cell>
        </row>
        <row r="66">
          <cell r="A66" t="str">
            <v>HARLEY HOTEL</v>
          </cell>
          <cell r="B66">
            <v>2</v>
          </cell>
          <cell r="C66">
            <v>300</v>
          </cell>
        </row>
        <row r="67">
          <cell r="A67" t="str">
            <v>HARRAH'S</v>
          </cell>
          <cell r="B67">
            <v>9</v>
          </cell>
          <cell r="C67">
            <v>6032</v>
          </cell>
        </row>
        <row r="68">
          <cell r="A68" t="str">
            <v>HARVEY HOTEL</v>
          </cell>
          <cell r="B68">
            <v>6</v>
          </cell>
          <cell r="C68">
            <v>2253</v>
          </cell>
        </row>
        <row r="69">
          <cell r="A69" t="str">
            <v>HAWTHORN INN &amp; SUITES</v>
          </cell>
          <cell r="B69">
            <v>36</v>
          </cell>
          <cell r="C69">
            <v>2502</v>
          </cell>
          <cell r="D69" t="str">
            <v>USFS</v>
          </cell>
        </row>
        <row r="70">
          <cell r="A70" t="str">
            <v>HAWTHORN SUITES</v>
          </cell>
          <cell r="B70">
            <v>106</v>
          </cell>
          <cell r="C70">
            <v>11295</v>
          </cell>
          <cell r="D70" t="str">
            <v>USFS</v>
          </cell>
        </row>
        <row r="71">
          <cell r="A71" t="str">
            <v>HEARTLAND</v>
          </cell>
          <cell r="B71">
            <v>19</v>
          </cell>
          <cell r="C71">
            <v>1624</v>
          </cell>
        </row>
        <row r="72">
          <cell r="A72" t="str">
            <v>HELMSLEY HOTEL</v>
          </cell>
          <cell r="B72">
            <v>6</v>
          </cell>
          <cell r="C72">
            <v>2203</v>
          </cell>
        </row>
        <row r="73">
          <cell r="A73" t="str">
            <v>HILTON</v>
          </cell>
          <cell r="B73">
            <v>59</v>
          </cell>
          <cell r="C73">
            <v>40294</v>
          </cell>
          <cell r="D73" t="str">
            <v>HILTON</v>
          </cell>
        </row>
        <row r="74">
          <cell r="A74" t="str">
            <v>HILTON GAMING</v>
          </cell>
          <cell r="B74">
            <v>9</v>
          </cell>
          <cell r="C74">
            <v>15803</v>
          </cell>
          <cell r="D74" t="str">
            <v>HILTON</v>
          </cell>
        </row>
        <row r="75">
          <cell r="A75" t="str">
            <v>HILTON INN</v>
          </cell>
          <cell r="B75">
            <v>158</v>
          </cell>
          <cell r="C75">
            <v>41529</v>
          </cell>
          <cell r="D75" t="str">
            <v>HILTON</v>
          </cell>
        </row>
        <row r="76">
          <cell r="A76" t="str">
            <v>HOLIDAY INN</v>
          </cell>
          <cell r="B76">
            <v>989</v>
          </cell>
          <cell r="C76">
            <v>185775</v>
          </cell>
          <cell r="D76" t="str">
            <v>BASS</v>
          </cell>
        </row>
        <row r="77">
          <cell r="A77" t="str">
            <v>HOLIDAY INN EXPRESS</v>
          </cell>
          <cell r="B77">
            <v>1023</v>
          </cell>
          <cell r="C77">
            <v>79631</v>
          </cell>
          <cell r="D77" t="str">
            <v>BASS</v>
          </cell>
        </row>
        <row r="78">
          <cell r="A78" t="str">
            <v>HOLIDAY INN SELECT</v>
          </cell>
          <cell r="B78">
            <v>74</v>
          </cell>
          <cell r="C78">
            <v>19138</v>
          </cell>
          <cell r="D78" t="str">
            <v>BASS</v>
          </cell>
        </row>
        <row r="79">
          <cell r="A79" t="str">
            <v>HOMEGATE</v>
          </cell>
          <cell r="B79">
            <v>6</v>
          </cell>
          <cell r="C79">
            <v>791</v>
          </cell>
        </row>
        <row r="80">
          <cell r="A80" t="str">
            <v>HOMESTEAD</v>
          </cell>
          <cell r="B80">
            <v>135</v>
          </cell>
          <cell r="C80">
            <v>17988</v>
          </cell>
        </row>
        <row r="81">
          <cell r="A81" t="str">
            <v>HOMETOWN INN</v>
          </cell>
          <cell r="B81">
            <v>5</v>
          </cell>
          <cell r="C81">
            <v>393</v>
          </cell>
        </row>
        <row r="82">
          <cell r="A82" t="str">
            <v>HOMEWOOD SUITES</v>
          </cell>
          <cell r="B82">
            <v>94</v>
          </cell>
          <cell r="C82">
            <v>10517</v>
          </cell>
          <cell r="D82" t="str">
            <v>HILTON</v>
          </cell>
        </row>
        <row r="83">
          <cell r="A83" t="str">
            <v>HOTEL NOVOTEL</v>
          </cell>
          <cell r="B83">
            <v>3</v>
          </cell>
          <cell r="C83">
            <v>873</v>
          </cell>
        </row>
        <row r="84">
          <cell r="A84" t="str">
            <v>HOTEL SOFITEL</v>
          </cell>
          <cell r="B84">
            <v>9</v>
          </cell>
          <cell r="C84">
            <v>2777</v>
          </cell>
        </row>
        <row r="85">
          <cell r="A85" t="str">
            <v>HOWARD JOHNSON</v>
          </cell>
          <cell r="B85">
            <v>251</v>
          </cell>
          <cell r="C85">
            <v>30512</v>
          </cell>
          <cell r="D85" t="str">
            <v>CENDANT</v>
          </cell>
        </row>
        <row r="86">
          <cell r="A86" t="str">
            <v>HOWARD JOHNSON EXPRESS I</v>
          </cell>
          <cell r="B86">
            <v>189</v>
          </cell>
          <cell r="C86">
            <v>12828</v>
          </cell>
          <cell r="D86" t="str">
            <v>CENDANT</v>
          </cell>
        </row>
        <row r="87">
          <cell r="A87" t="str">
            <v>HYATT</v>
          </cell>
          <cell r="B87">
            <v>112</v>
          </cell>
          <cell r="C87">
            <v>55557</v>
          </cell>
        </row>
        <row r="88">
          <cell r="A88" t="str">
            <v>IMPERIAL INNS</v>
          </cell>
          <cell r="B88">
            <v>4</v>
          </cell>
          <cell r="C88">
            <v>124</v>
          </cell>
        </row>
        <row r="89">
          <cell r="A89" t="str">
            <v>INN TOWN SUITES</v>
          </cell>
          <cell r="B89">
            <v>16</v>
          </cell>
          <cell r="C89">
            <v>2173</v>
          </cell>
        </row>
        <row r="90">
          <cell r="A90" t="str">
            <v>INNCAL</v>
          </cell>
          <cell r="B90">
            <v>2</v>
          </cell>
          <cell r="C90">
            <v>195</v>
          </cell>
        </row>
        <row r="91">
          <cell r="A91" t="str">
            <v>INNKEEPER</v>
          </cell>
          <cell r="B91">
            <v>20</v>
          </cell>
          <cell r="C91">
            <v>1692</v>
          </cell>
        </row>
        <row r="92">
          <cell r="A92" t="str">
            <v>INNS OF AMERICA</v>
          </cell>
          <cell r="B92">
            <v>9</v>
          </cell>
          <cell r="C92">
            <v>1083</v>
          </cell>
        </row>
        <row r="93">
          <cell r="A93" t="str">
            <v>INNSUITES HOTELS</v>
          </cell>
          <cell r="B93">
            <v>12</v>
          </cell>
          <cell r="C93">
            <v>1949</v>
          </cell>
        </row>
        <row r="94">
          <cell r="A94" t="str">
            <v>INTER-CONTINENTAL</v>
          </cell>
          <cell r="B94">
            <v>12</v>
          </cell>
          <cell r="C94">
            <v>4839</v>
          </cell>
          <cell r="D94" t="str">
            <v>BASS</v>
          </cell>
        </row>
        <row r="95">
          <cell r="A95" t="str">
            <v>INTERSTATE INN</v>
          </cell>
          <cell r="B95">
            <v>11</v>
          </cell>
          <cell r="C95">
            <v>554</v>
          </cell>
        </row>
        <row r="96">
          <cell r="A96" t="str">
            <v>JAMESON INN</v>
          </cell>
          <cell r="B96">
            <v>104</v>
          </cell>
          <cell r="C96">
            <v>5306</v>
          </cell>
        </row>
        <row r="97">
          <cell r="A97" t="str">
            <v>JOLLY HOTELS</v>
          </cell>
          <cell r="B97">
            <v>1</v>
          </cell>
          <cell r="C97">
            <v>216</v>
          </cell>
        </row>
        <row r="98">
          <cell r="A98" t="str">
            <v>KEY WEST INN</v>
          </cell>
          <cell r="B98">
            <v>17</v>
          </cell>
          <cell r="C98">
            <v>845</v>
          </cell>
        </row>
        <row r="99">
          <cell r="A99" t="str">
            <v>KEY WEST INNS &amp; SUITES</v>
          </cell>
          <cell r="B99">
            <v>2</v>
          </cell>
          <cell r="C99">
            <v>171</v>
          </cell>
        </row>
        <row r="100">
          <cell r="A100" t="str">
            <v>KINGS INN</v>
          </cell>
          <cell r="B100">
            <v>3</v>
          </cell>
          <cell r="C100">
            <v>248</v>
          </cell>
        </row>
        <row r="101">
          <cell r="A101" t="str">
            <v>KNIGHTS INN</v>
          </cell>
          <cell r="B101">
            <v>244</v>
          </cell>
          <cell r="C101">
            <v>19466</v>
          </cell>
          <cell r="D101" t="str">
            <v>CENDANT</v>
          </cell>
        </row>
        <row r="102">
          <cell r="A102" t="str">
            <v>LA QUINTA</v>
          </cell>
          <cell r="B102">
            <v>299</v>
          </cell>
          <cell r="C102">
            <v>38767</v>
          </cell>
        </row>
        <row r="103">
          <cell r="A103" t="str">
            <v>LE MERIDIEN</v>
          </cell>
          <cell r="B103">
            <v>5</v>
          </cell>
          <cell r="C103">
            <v>2217</v>
          </cell>
        </row>
        <row r="104">
          <cell r="A104" t="str">
            <v>LEE'S INN OF AMERICA</v>
          </cell>
          <cell r="B104">
            <v>19</v>
          </cell>
          <cell r="C104">
            <v>1495</v>
          </cell>
        </row>
        <row r="105">
          <cell r="A105" t="str">
            <v>LEXINGTON HOTEL SUITES</v>
          </cell>
          <cell r="B105">
            <v>7</v>
          </cell>
          <cell r="C105">
            <v>1073</v>
          </cell>
        </row>
        <row r="106">
          <cell r="A106" t="str">
            <v>LITTLE AMERICA</v>
          </cell>
          <cell r="B106">
            <v>5</v>
          </cell>
          <cell r="C106">
            <v>2053</v>
          </cell>
        </row>
        <row r="107">
          <cell r="A107" t="str">
            <v>LOEWS</v>
          </cell>
          <cell r="B107">
            <v>14</v>
          </cell>
          <cell r="C107">
            <v>5971</v>
          </cell>
        </row>
        <row r="108">
          <cell r="A108" t="str">
            <v>LUXURY COLLECTION</v>
          </cell>
          <cell r="B108">
            <v>14</v>
          </cell>
          <cell r="C108">
            <v>4731</v>
          </cell>
        </row>
        <row r="109">
          <cell r="A109" t="str">
            <v>MAINSTAY SUITES</v>
          </cell>
          <cell r="B109">
            <v>34</v>
          </cell>
          <cell r="C109">
            <v>3098</v>
          </cell>
          <cell r="D109" t="str">
            <v>CHOICE</v>
          </cell>
        </row>
        <row r="110">
          <cell r="A110" t="str">
            <v>MARC</v>
          </cell>
          <cell r="B110">
            <v>17</v>
          </cell>
          <cell r="C110">
            <v>2430</v>
          </cell>
        </row>
        <row r="111">
          <cell r="A111" t="str">
            <v>MARRIOTT</v>
          </cell>
          <cell r="B111">
            <v>256</v>
          </cell>
          <cell r="C111">
            <v>107635</v>
          </cell>
          <cell r="D111" t="str">
            <v>MARRIOTT</v>
          </cell>
        </row>
        <row r="112">
          <cell r="A112" t="str">
            <v>MARRIOTT CONFERENCE CENT</v>
          </cell>
          <cell r="B112">
            <v>15</v>
          </cell>
          <cell r="C112">
            <v>3422</v>
          </cell>
        </row>
        <row r="113">
          <cell r="A113" t="str">
            <v>MARRIOTT INTERNATIONAL</v>
          </cell>
          <cell r="B113">
            <v>3</v>
          </cell>
          <cell r="C113">
            <v>1461</v>
          </cell>
        </row>
        <row r="114">
          <cell r="A114" t="str">
            <v>MASTER HOSTS INN</v>
          </cell>
          <cell r="B114">
            <v>2</v>
          </cell>
          <cell r="C114">
            <v>468</v>
          </cell>
        </row>
        <row r="115">
          <cell r="A115" t="str">
            <v>MASTERS INN</v>
          </cell>
          <cell r="B115">
            <v>30</v>
          </cell>
          <cell r="C115">
            <v>3588</v>
          </cell>
        </row>
        <row r="116">
          <cell r="A116" t="str">
            <v>MCINTOSH MOTOR INN</v>
          </cell>
          <cell r="B116">
            <v>14</v>
          </cell>
          <cell r="C116">
            <v>1572</v>
          </cell>
        </row>
        <row r="117">
          <cell r="A117" t="str">
            <v>MICROTEL INN</v>
          </cell>
          <cell r="B117">
            <v>217</v>
          </cell>
          <cell r="C117">
            <v>15916</v>
          </cell>
          <cell r="D117" t="str">
            <v>USFS</v>
          </cell>
        </row>
        <row r="118">
          <cell r="A118" t="str">
            <v>MILLENNIUM HOTELS</v>
          </cell>
          <cell r="B118">
            <v>1</v>
          </cell>
          <cell r="C118">
            <v>752</v>
          </cell>
        </row>
        <row r="119">
          <cell r="A119" t="str">
            <v>MOTEL 6</v>
          </cell>
          <cell r="B119">
            <v>799</v>
          </cell>
          <cell r="C119">
            <v>84852</v>
          </cell>
        </row>
        <row r="120">
          <cell r="A120" t="str">
            <v>MOTEL ORLEANS</v>
          </cell>
          <cell r="B120">
            <v>5</v>
          </cell>
          <cell r="C120">
            <v>354</v>
          </cell>
        </row>
        <row r="121">
          <cell r="A121" t="str">
            <v>NATIONAL 9</v>
          </cell>
          <cell r="B121">
            <v>52</v>
          </cell>
          <cell r="C121">
            <v>1964</v>
          </cell>
        </row>
        <row r="122">
          <cell r="A122" t="str">
            <v>NENDELS</v>
          </cell>
          <cell r="B122">
            <v>11</v>
          </cell>
          <cell r="C122">
            <v>706</v>
          </cell>
        </row>
        <row r="123">
          <cell r="A123" t="str">
            <v>NEW OTANI HOTELS, THE</v>
          </cell>
          <cell r="B123">
            <v>2</v>
          </cell>
          <cell r="C123">
            <v>559</v>
          </cell>
        </row>
        <row r="124">
          <cell r="A124" t="str">
            <v>NIKKO</v>
          </cell>
          <cell r="B124">
            <v>1</v>
          </cell>
          <cell r="C124">
            <v>532</v>
          </cell>
        </row>
        <row r="125">
          <cell r="A125" t="str">
            <v>OHANA HOTELS</v>
          </cell>
          <cell r="B125">
            <v>13</v>
          </cell>
          <cell r="C125">
            <v>4194</v>
          </cell>
        </row>
        <row r="126">
          <cell r="A126" t="str">
            <v>OMNI</v>
          </cell>
          <cell r="B126">
            <v>34</v>
          </cell>
          <cell r="C126">
            <v>11826</v>
          </cell>
        </row>
        <row r="127">
          <cell r="A127" t="str">
            <v>OUTRIGGER</v>
          </cell>
          <cell r="B127">
            <v>11</v>
          </cell>
          <cell r="C127">
            <v>3791</v>
          </cell>
        </row>
        <row r="128">
          <cell r="A128" t="str">
            <v>PAN PACIFIC HOTELS AND R</v>
          </cell>
          <cell r="B128">
            <v>2</v>
          </cell>
          <cell r="C128">
            <v>680</v>
          </cell>
        </row>
        <row r="129">
          <cell r="A129" t="str">
            <v>PARK INN</v>
          </cell>
          <cell r="B129">
            <v>23</v>
          </cell>
          <cell r="C129">
            <v>2222</v>
          </cell>
        </row>
        <row r="130">
          <cell r="A130" t="str">
            <v>PARK INN SUITE HOTEL</v>
          </cell>
          <cell r="B130">
            <v>1</v>
          </cell>
          <cell r="C130">
            <v>163</v>
          </cell>
        </row>
        <row r="131">
          <cell r="A131" t="str">
            <v>PARK PLAZA</v>
          </cell>
          <cell r="B131">
            <v>4</v>
          </cell>
          <cell r="C131">
            <v>896</v>
          </cell>
        </row>
        <row r="132">
          <cell r="A132" t="str">
            <v>PASSPORT INN</v>
          </cell>
          <cell r="B132">
            <v>9</v>
          </cell>
          <cell r="C132">
            <v>394</v>
          </cell>
        </row>
        <row r="133">
          <cell r="A133" t="str">
            <v>PEAR TREE INN</v>
          </cell>
          <cell r="B133">
            <v>10</v>
          </cell>
          <cell r="C133">
            <v>980</v>
          </cell>
        </row>
        <row r="134">
          <cell r="A134" t="str">
            <v>PREFERRED</v>
          </cell>
          <cell r="B134">
            <v>67</v>
          </cell>
          <cell r="C134">
            <v>14063</v>
          </cell>
        </row>
        <row r="135">
          <cell r="A135" t="str">
            <v>QUALITY</v>
          </cell>
          <cell r="B135">
            <v>426</v>
          </cell>
          <cell r="C135">
            <v>48069</v>
          </cell>
          <cell r="D135" t="str">
            <v>CHOICE</v>
          </cell>
        </row>
        <row r="136">
          <cell r="A136" t="str">
            <v>QUALITY SUITES</v>
          </cell>
          <cell r="B136">
            <v>36</v>
          </cell>
          <cell r="C136">
            <v>4053</v>
          </cell>
          <cell r="D136" t="str">
            <v>CHOICE</v>
          </cell>
        </row>
        <row r="137">
          <cell r="A137" t="str">
            <v>RADISSON</v>
          </cell>
          <cell r="B137">
            <v>236</v>
          </cell>
          <cell r="C137">
            <v>57054</v>
          </cell>
        </row>
        <row r="138">
          <cell r="A138" t="str">
            <v>RAMADA</v>
          </cell>
          <cell r="B138">
            <v>642</v>
          </cell>
          <cell r="C138">
            <v>97450</v>
          </cell>
          <cell r="D138" t="str">
            <v>CENDANT</v>
          </cell>
        </row>
        <row r="139">
          <cell r="A139" t="str">
            <v>RAMADA LIMITED</v>
          </cell>
          <cell r="B139">
            <v>365</v>
          </cell>
          <cell r="C139">
            <v>26848</v>
          </cell>
          <cell r="D139" t="str">
            <v>CENDANT</v>
          </cell>
        </row>
        <row r="140">
          <cell r="A140" t="str">
            <v>RAPHAEL HOTEL</v>
          </cell>
          <cell r="B140">
            <v>2</v>
          </cell>
          <cell r="C140">
            <v>295</v>
          </cell>
        </row>
        <row r="141">
          <cell r="A141" t="str">
            <v>RED CARPET INN</v>
          </cell>
          <cell r="B141">
            <v>94</v>
          </cell>
          <cell r="C141">
            <v>6289</v>
          </cell>
        </row>
        <row r="142">
          <cell r="A142" t="str">
            <v>RED LION</v>
          </cell>
          <cell r="B142">
            <v>32</v>
          </cell>
          <cell r="C142">
            <v>5359</v>
          </cell>
          <cell r="D142" t="str">
            <v>HILTON</v>
          </cell>
        </row>
        <row r="143">
          <cell r="A143" t="str">
            <v>RED ROOF INN</v>
          </cell>
          <cell r="B143">
            <v>354</v>
          </cell>
          <cell r="C143">
            <v>39500</v>
          </cell>
        </row>
        <row r="144">
          <cell r="A144" t="str">
            <v>REGAL</v>
          </cell>
          <cell r="B144">
            <v>12</v>
          </cell>
          <cell r="C144">
            <v>4852</v>
          </cell>
        </row>
        <row r="145">
          <cell r="A145" t="str">
            <v>RELAX INN</v>
          </cell>
          <cell r="B145">
            <v>2</v>
          </cell>
          <cell r="C145">
            <v>129</v>
          </cell>
        </row>
        <row r="146">
          <cell r="A146" t="str">
            <v>RENAISSANCE</v>
          </cell>
          <cell r="B146">
            <v>47</v>
          </cell>
          <cell r="C146">
            <v>19475</v>
          </cell>
          <cell r="D146" t="str">
            <v>MARRIOTT</v>
          </cell>
        </row>
        <row r="147">
          <cell r="A147" t="str">
            <v>RESIDENCE INN</v>
          </cell>
          <cell r="B147">
            <v>345</v>
          </cell>
          <cell r="C147">
            <v>40122</v>
          </cell>
          <cell r="D147" t="str">
            <v>MARRIOTT</v>
          </cell>
        </row>
        <row r="148">
          <cell r="A148" t="str">
            <v>RITZ-CARLTON</v>
          </cell>
          <cell r="B148">
            <v>21</v>
          </cell>
          <cell r="C148">
            <v>7614</v>
          </cell>
          <cell r="D148" t="str">
            <v>MARRIOTT</v>
          </cell>
        </row>
        <row r="149">
          <cell r="A149" t="str">
            <v>ROADSTAR INN</v>
          </cell>
          <cell r="B149">
            <v>7</v>
          </cell>
          <cell r="C149">
            <v>576</v>
          </cell>
        </row>
        <row r="150">
          <cell r="A150" t="str">
            <v>RODEWAY INN</v>
          </cell>
          <cell r="B150">
            <v>166</v>
          </cell>
          <cell r="C150">
            <v>10680</v>
          </cell>
          <cell r="D150" t="str">
            <v>CHOICE</v>
          </cell>
        </row>
        <row r="151">
          <cell r="A151" t="str">
            <v>ROMANTIK HOTEL</v>
          </cell>
          <cell r="B151">
            <v>3</v>
          </cell>
          <cell r="C151">
            <v>77</v>
          </cell>
        </row>
        <row r="152">
          <cell r="A152" t="str">
            <v>SCOTTISH INN</v>
          </cell>
          <cell r="B152">
            <v>122</v>
          </cell>
          <cell r="C152">
            <v>5924</v>
          </cell>
        </row>
        <row r="153">
          <cell r="A153" t="str">
            <v>SELECT INN</v>
          </cell>
          <cell r="B153">
            <v>18</v>
          </cell>
          <cell r="C153">
            <v>1627</v>
          </cell>
        </row>
        <row r="154">
          <cell r="A154" t="str">
            <v>SELECT SUITES</v>
          </cell>
          <cell r="B154">
            <v>5</v>
          </cell>
          <cell r="C154">
            <v>746</v>
          </cell>
        </row>
        <row r="155">
          <cell r="A155" t="str">
            <v>SHERATON HOTEL</v>
          </cell>
          <cell r="B155">
            <v>183</v>
          </cell>
          <cell r="C155">
            <v>66805</v>
          </cell>
          <cell r="D155" t="str">
            <v>STARWOOD</v>
          </cell>
        </row>
        <row r="156">
          <cell r="A156" t="str">
            <v>SHERATON INN</v>
          </cell>
          <cell r="B156">
            <v>12</v>
          </cell>
          <cell r="C156">
            <v>2385</v>
          </cell>
          <cell r="D156" t="str">
            <v>STARWOOD</v>
          </cell>
        </row>
        <row r="157">
          <cell r="A157" t="str">
            <v>SHILO INN</v>
          </cell>
          <cell r="B157">
            <v>46</v>
          </cell>
          <cell r="C157">
            <v>5129</v>
          </cell>
        </row>
        <row r="158">
          <cell r="A158" t="str">
            <v>SHONEY'S INN</v>
          </cell>
          <cell r="B158">
            <v>74</v>
          </cell>
          <cell r="C158">
            <v>6958</v>
          </cell>
        </row>
        <row r="159">
          <cell r="A159" t="str">
            <v>SIERRA SUITES</v>
          </cell>
          <cell r="B159">
            <v>17</v>
          </cell>
          <cell r="C159">
            <v>1864</v>
          </cell>
        </row>
        <row r="160">
          <cell r="A160" t="str">
            <v>SIGNATURE INN</v>
          </cell>
          <cell r="B160">
            <v>26</v>
          </cell>
          <cell r="C160">
            <v>3051</v>
          </cell>
        </row>
        <row r="161">
          <cell r="A161" t="str">
            <v>SLEEP INN</v>
          </cell>
          <cell r="B161">
            <v>264</v>
          </cell>
          <cell r="C161">
            <v>20341</v>
          </cell>
          <cell r="D161" t="str">
            <v>CHOICE</v>
          </cell>
        </row>
        <row r="162">
          <cell r="A162" t="str">
            <v>SONESTA HOTEL</v>
          </cell>
          <cell r="B162">
            <v>4</v>
          </cell>
          <cell r="C162">
            <v>1452</v>
          </cell>
        </row>
        <row r="163">
          <cell r="A163" t="str">
            <v>SPRINGHILL SUITES</v>
          </cell>
          <cell r="B163">
            <v>61</v>
          </cell>
          <cell r="C163">
            <v>6522</v>
          </cell>
          <cell r="D163" t="str">
            <v>MARRIOTT</v>
          </cell>
        </row>
        <row r="164">
          <cell r="A164" t="str">
            <v>STARHOTELS</v>
          </cell>
          <cell r="B164">
            <v>1</v>
          </cell>
          <cell r="C164">
            <v>178</v>
          </cell>
        </row>
        <row r="165">
          <cell r="A165" t="str">
            <v>STAYBRIDGE SUITES</v>
          </cell>
          <cell r="B165">
            <v>23</v>
          </cell>
          <cell r="C165">
            <v>2720</v>
          </cell>
          <cell r="D165" t="str">
            <v>BASS</v>
          </cell>
        </row>
        <row r="166">
          <cell r="A166" t="str">
            <v>STUDIO 6</v>
          </cell>
          <cell r="B166">
            <v>11</v>
          </cell>
          <cell r="C166">
            <v>1253</v>
          </cell>
        </row>
        <row r="167">
          <cell r="A167" t="str">
            <v>STUDIO PLUS</v>
          </cell>
          <cell r="B167">
            <v>99</v>
          </cell>
          <cell r="C167">
            <v>7880</v>
          </cell>
          <cell r="D167" t="str">
            <v>ESA</v>
          </cell>
        </row>
        <row r="168">
          <cell r="A168" t="str">
            <v>SUBURBAN LODGE</v>
          </cell>
          <cell r="B168">
            <v>119</v>
          </cell>
          <cell r="C168">
            <v>16011</v>
          </cell>
        </row>
        <row r="169">
          <cell r="A169" t="str">
            <v>SUMMERFIELD SUITES</v>
          </cell>
          <cell r="B169">
            <v>37</v>
          </cell>
          <cell r="C169">
            <v>5005</v>
          </cell>
          <cell r="D169" t="str">
            <v>WYNDHAM</v>
          </cell>
        </row>
        <row r="170">
          <cell r="A170" t="str">
            <v>SUMNER/AMERISUITE</v>
          </cell>
          <cell r="B170">
            <v>27</v>
          </cell>
          <cell r="C170">
            <v>3297</v>
          </cell>
        </row>
        <row r="171">
          <cell r="A171" t="str">
            <v>SUNSPREE RESORTS</v>
          </cell>
          <cell r="B171">
            <v>19</v>
          </cell>
          <cell r="C171">
            <v>4108</v>
          </cell>
          <cell r="D171" t="str">
            <v>BASS</v>
          </cell>
        </row>
        <row r="172">
          <cell r="A172" t="str">
            <v>SUPER 8</v>
          </cell>
          <cell r="B172">
            <v>1905</v>
          </cell>
          <cell r="C172">
            <v>115951</v>
          </cell>
          <cell r="D172" t="str">
            <v>CENDANT</v>
          </cell>
        </row>
        <row r="173">
          <cell r="A173" t="str">
            <v>SUSSE CHALET</v>
          </cell>
          <cell r="B173">
            <v>30</v>
          </cell>
          <cell r="C173">
            <v>3425</v>
          </cell>
        </row>
        <row r="174">
          <cell r="A174" t="str">
            <v>SWISSOTEL</v>
          </cell>
          <cell r="B174">
            <v>5</v>
          </cell>
          <cell r="C174">
            <v>2238</v>
          </cell>
        </row>
        <row r="175">
          <cell r="A175" t="str">
            <v>THRIFTLODGE</v>
          </cell>
          <cell r="B175">
            <v>16</v>
          </cell>
          <cell r="C175">
            <v>788</v>
          </cell>
          <cell r="D175" t="str">
            <v>CENDANT</v>
          </cell>
        </row>
        <row r="176">
          <cell r="A176" t="str">
            <v>THRIFTY INN</v>
          </cell>
          <cell r="B176">
            <v>2</v>
          </cell>
          <cell r="C176">
            <v>134</v>
          </cell>
        </row>
        <row r="177">
          <cell r="A177" t="str">
            <v>TOWNEPLACE SUITES</v>
          </cell>
          <cell r="B177">
            <v>84</v>
          </cell>
          <cell r="C177">
            <v>8535</v>
          </cell>
          <cell r="D177" t="str">
            <v>MARRIOTT</v>
          </cell>
        </row>
        <row r="178">
          <cell r="A178" t="str">
            <v>TRAVEL INN</v>
          </cell>
          <cell r="B178">
            <v>1</v>
          </cell>
          <cell r="C178">
            <v>28</v>
          </cell>
        </row>
        <row r="179">
          <cell r="A179" t="str">
            <v>TRAVELERS INN</v>
          </cell>
          <cell r="B179">
            <v>14</v>
          </cell>
          <cell r="C179">
            <v>1295</v>
          </cell>
        </row>
        <row r="180">
          <cell r="A180" t="str">
            <v>TRAVELODGE</v>
          </cell>
          <cell r="B180">
            <v>478</v>
          </cell>
          <cell r="C180">
            <v>37143</v>
          </cell>
          <cell r="D180" t="str">
            <v>CENDANT</v>
          </cell>
        </row>
        <row r="181">
          <cell r="A181" t="str">
            <v>USA INN</v>
          </cell>
          <cell r="B181">
            <v>1</v>
          </cell>
          <cell r="C181">
            <v>63</v>
          </cell>
        </row>
        <row r="182">
          <cell r="A182" t="str">
            <v>VAGABOND INN</v>
          </cell>
          <cell r="B182">
            <v>36</v>
          </cell>
          <cell r="C182">
            <v>3055</v>
          </cell>
        </row>
        <row r="183">
          <cell r="A183" t="str">
            <v>VILLAGER LODGE</v>
          </cell>
          <cell r="B183">
            <v>114</v>
          </cell>
          <cell r="C183">
            <v>9733</v>
          </cell>
          <cell r="D183" t="str">
            <v>CENDANT</v>
          </cell>
        </row>
        <row r="184">
          <cell r="A184" t="str">
            <v>W HOTEL</v>
          </cell>
          <cell r="B184">
            <v>14</v>
          </cell>
          <cell r="C184">
            <v>3967</v>
          </cell>
          <cell r="D184" t="str">
            <v>STARWOOD</v>
          </cell>
        </row>
        <row r="185">
          <cell r="A185" t="str">
            <v>WANDLYN INN</v>
          </cell>
          <cell r="B185">
            <v>2</v>
          </cell>
          <cell r="C185">
            <v>167</v>
          </cell>
        </row>
        <row r="186">
          <cell r="A186" t="str">
            <v>WELLESLEY INN</v>
          </cell>
          <cell r="B186">
            <v>29</v>
          </cell>
          <cell r="C186">
            <v>2885</v>
          </cell>
          <cell r="D186" t="str">
            <v>PRIME</v>
          </cell>
        </row>
        <row r="187">
          <cell r="A187" t="str">
            <v>WELLESLEY INN &amp; SUITES</v>
          </cell>
          <cell r="B187">
            <v>39</v>
          </cell>
          <cell r="C187">
            <v>4781</v>
          </cell>
          <cell r="D187" t="str">
            <v>PRIME</v>
          </cell>
        </row>
        <row r="188">
          <cell r="A188" t="str">
            <v>WESTCOAST</v>
          </cell>
          <cell r="B188">
            <v>24</v>
          </cell>
          <cell r="C188">
            <v>5256</v>
          </cell>
        </row>
        <row r="189">
          <cell r="A189" t="str">
            <v>WESTIN</v>
          </cell>
          <cell r="B189">
            <v>60</v>
          </cell>
          <cell r="C189">
            <v>29239</v>
          </cell>
          <cell r="D189" t="str">
            <v>STARWOOD</v>
          </cell>
        </row>
        <row r="190">
          <cell r="A190" t="str">
            <v>WESTMARK</v>
          </cell>
          <cell r="B190">
            <v>10</v>
          </cell>
          <cell r="C190">
            <v>1450</v>
          </cell>
        </row>
        <row r="191">
          <cell r="A191" t="str">
            <v>WILSON</v>
          </cell>
          <cell r="B191">
            <v>8</v>
          </cell>
          <cell r="C191">
            <v>1255</v>
          </cell>
        </row>
        <row r="192">
          <cell r="A192" t="str">
            <v>WINGATE INN</v>
          </cell>
          <cell r="B192">
            <v>93</v>
          </cell>
          <cell r="C192">
            <v>8708</v>
          </cell>
          <cell r="D192" t="str">
            <v>CENDANT</v>
          </cell>
        </row>
        <row r="193">
          <cell r="A193" t="str">
            <v>WOODFIELD SUITES</v>
          </cell>
          <cell r="B193">
            <v>7</v>
          </cell>
          <cell r="C193">
            <v>889</v>
          </cell>
        </row>
        <row r="194">
          <cell r="A194" t="str">
            <v>WOODFIN SUITES</v>
          </cell>
          <cell r="B194">
            <v>8</v>
          </cell>
          <cell r="C194">
            <v>1096</v>
          </cell>
        </row>
        <row r="195">
          <cell r="A195" t="str">
            <v>WYNDHAM</v>
          </cell>
          <cell r="B195">
            <v>51</v>
          </cell>
          <cell r="C195">
            <v>19141</v>
          </cell>
          <cell r="D195" t="str">
            <v>WYNDHAM</v>
          </cell>
        </row>
        <row r="196">
          <cell r="A196" t="str">
            <v>WYNDHAM GARDEN HOTEL</v>
          </cell>
          <cell r="B196">
            <v>43</v>
          </cell>
          <cell r="C196">
            <v>7452</v>
          </cell>
          <cell r="D196" t="str">
            <v>WYNDHAM</v>
          </cell>
        </row>
        <row r="197">
          <cell r="A197" t="str">
            <v>WYNDHAM GRAND BAY</v>
          </cell>
          <cell r="B197">
            <v>4</v>
          </cell>
          <cell r="C197">
            <v>535</v>
          </cell>
          <cell r="D197" t="str">
            <v>WYNDHAM</v>
          </cell>
        </row>
        <row r="198">
          <cell r="A198" t="str">
            <v>WYNDHAM GRAND HERITAGE H</v>
          </cell>
          <cell r="B198">
            <v>11</v>
          </cell>
          <cell r="C198">
            <v>2137</v>
          </cell>
          <cell r="D198" t="str">
            <v>WYNDHAM</v>
          </cell>
        </row>
        <row r="199">
          <cell r="A199" t="str">
            <v>WYNFIELD INN</v>
          </cell>
          <cell r="B199">
            <v>3</v>
          </cell>
          <cell r="C199">
            <v>578</v>
          </cell>
        </row>
      </sheetData>
      <sheetData sheetId="1" refreshError="1"/>
      <sheetData sheetId="2" refreshError="1"/>
      <sheetData sheetId="3" refreshError="1"/>
      <sheetData sheetId="4" refreshError="1">
        <row r="9">
          <cell r="AD9" t="str">
            <v>Anaheim, CA</v>
          </cell>
          <cell r="AE9">
            <v>346</v>
          </cell>
          <cell r="AF9">
            <v>46598</v>
          </cell>
          <cell r="AG9">
            <v>12</v>
          </cell>
          <cell r="AH9">
            <v>3177</v>
          </cell>
          <cell r="AI9">
            <v>8</v>
          </cell>
          <cell r="AJ9">
            <v>2714</v>
          </cell>
          <cell r="AK9">
            <v>20</v>
          </cell>
          <cell r="AL9">
            <v>5891</v>
          </cell>
          <cell r="AM9">
            <v>9</v>
          </cell>
          <cell r="AN9">
            <v>1869</v>
          </cell>
          <cell r="AQ9" t="str">
            <v>Adam's Mark</v>
          </cell>
          <cell r="AR9">
            <v>1</v>
          </cell>
          <cell r="AS9">
            <v>332</v>
          </cell>
          <cell r="AT9">
            <v>2</v>
          </cell>
          <cell r="AU9">
            <v>1266</v>
          </cell>
          <cell r="AV9">
            <v>2</v>
          </cell>
          <cell r="AW9">
            <v>2133</v>
          </cell>
          <cell r="AX9">
            <v>4</v>
          </cell>
          <cell r="AY9">
            <v>3399</v>
          </cell>
          <cell r="AZ9">
            <v>0</v>
          </cell>
          <cell r="BA9">
            <v>0</v>
          </cell>
        </row>
        <row r="10">
          <cell r="AD10" t="str">
            <v>Atlanta, GA</v>
          </cell>
          <cell r="AE10">
            <v>614</v>
          </cell>
          <cell r="AF10">
            <v>82957</v>
          </cell>
          <cell r="AG10">
            <v>19</v>
          </cell>
          <cell r="AH10">
            <v>1661</v>
          </cell>
          <cell r="AI10">
            <v>12</v>
          </cell>
          <cell r="AJ10">
            <v>1106</v>
          </cell>
          <cell r="AK10">
            <v>31</v>
          </cell>
          <cell r="AL10">
            <v>2767</v>
          </cell>
          <cell r="AM10">
            <v>43</v>
          </cell>
          <cell r="AN10">
            <v>6374</v>
          </cell>
          <cell r="AQ10" t="str">
            <v>Americinn</v>
          </cell>
          <cell r="AR10">
            <v>21</v>
          </cell>
          <cell r="AS10">
            <v>1155</v>
          </cell>
          <cell r="AT10">
            <v>5</v>
          </cell>
          <cell r="AU10">
            <v>286</v>
          </cell>
          <cell r="AV10">
            <v>2</v>
          </cell>
          <cell r="AW10">
            <v>119</v>
          </cell>
          <cell r="AX10">
            <v>7</v>
          </cell>
          <cell r="AY10">
            <v>405</v>
          </cell>
          <cell r="AZ10">
            <v>4</v>
          </cell>
          <cell r="BA10">
            <v>238</v>
          </cell>
        </row>
        <row r="11">
          <cell r="AD11" t="str">
            <v>Boston, MA</v>
          </cell>
          <cell r="AE11">
            <v>260</v>
          </cell>
          <cell r="AF11">
            <v>42115</v>
          </cell>
          <cell r="AG11">
            <v>16</v>
          </cell>
          <cell r="AH11">
            <v>2491</v>
          </cell>
          <cell r="AI11">
            <v>18</v>
          </cell>
          <cell r="AJ11">
            <v>4341</v>
          </cell>
          <cell r="AK11">
            <v>34</v>
          </cell>
          <cell r="AL11">
            <v>6832</v>
          </cell>
          <cell r="AM11">
            <v>24</v>
          </cell>
          <cell r="AN11">
            <v>4191</v>
          </cell>
          <cell r="AQ11" t="str">
            <v>AmeriHost Inn</v>
          </cell>
          <cell r="AR11">
            <v>5</v>
          </cell>
          <cell r="AS11">
            <v>316</v>
          </cell>
          <cell r="AT11">
            <v>0</v>
          </cell>
          <cell r="AU11">
            <v>0</v>
          </cell>
          <cell r="AV11">
            <v>5</v>
          </cell>
          <cell r="AW11">
            <v>320</v>
          </cell>
          <cell r="AX11">
            <v>5</v>
          </cell>
          <cell r="AY11">
            <v>320</v>
          </cell>
          <cell r="AZ11">
            <v>13</v>
          </cell>
          <cell r="BA11">
            <v>973</v>
          </cell>
        </row>
        <row r="12">
          <cell r="AD12" t="str">
            <v>Chicago, IL</v>
          </cell>
          <cell r="AE12">
            <v>458</v>
          </cell>
          <cell r="AF12">
            <v>81220</v>
          </cell>
          <cell r="AG12">
            <v>21</v>
          </cell>
          <cell r="AH12">
            <v>3902</v>
          </cell>
          <cell r="AI12">
            <v>16</v>
          </cell>
          <cell r="AJ12">
            <v>3876</v>
          </cell>
          <cell r="AK12">
            <v>37</v>
          </cell>
          <cell r="AL12">
            <v>7778</v>
          </cell>
          <cell r="AM12">
            <v>25</v>
          </cell>
          <cell r="AN12">
            <v>4411</v>
          </cell>
          <cell r="AQ12" t="str">
            <v>AmeriSuites</v>
          </cell>
          <cell r="AR12">
            <v>9</v>
          </cell>
          <cell r="AS12">
            <v>1112</v>
          </cell>
          <cell r="AT12">
            <v>4</v>
          </cell>
          <cell r="AU12">
            <v>596</v>
          </cell>
          <cell r="AV12">
            <v>13</v>
          </cell>
          <cell r="AW12">
            <v>1540</v>
          </cell>
          <cell r="AX12">
            <v>17</v>
          </cell>
          <cell r="AY12">
            <v>2136</v>
          </cell>
          <cell r="AZ12">
            <v>35</v>
          </cell>
          <cell r="BA12">
            <v>3670</v>
          </cell>
        </row>
        <row r="13">
          <cell r="AD13" t="str">
            <v>Dallas, TX</v>
          </cell>
          <cell r="AE13">
            <v>424</v>
          </cell>
          <cell r="AF13">
            <v>61904</v>
          </cell>
          <cell r="AG13">
            <v>14</v>
          </cell>
          <cell r="AH13">
            <v>1929</v>
          </cell>
          <cell r="AI13">
            <v>14</v>
          </cell>
          <cell r="AJ13">
            <v>2506</v>
          </cell>
          <cell r="AK13">
            <v>28</v>
          </cell>
          <cell r="AL13">
            <v>4435</v>
          </cell>
          <cell r="AM13">
            <v>24</v>
          </cell>
          <cell r="AN13">
            <v>3322</v>
          </cell>
          <cell r="AQ13" t="str">
            <v>Baymont Inn</v>
          </cell>
          <cell r="AR13">
            <v>9</v>
          </cell>
          <cell r="AS13">
            <v>736</v>
          </cell>
          <cell r="AT13">
            <v>9</v>
          </cell>
          <cell r="AU13">
            <v>725</v>
          </cell>
          <cell r="AV13">
            <v>5</v>
          </cell>
          <cell r="AW13">
            <v>444</v>
          </cell>
          <cell r="AX13">
            <v>14</v>
          </cell>
          <cell r="AY13">
            <v>1169</v>
          </cell>
          <cell r="AZ13">
            <v>11</v>
          </cell>
          <cell r="BA13">
            <v>986</v>
          </cell>
        </row>
        <row r="14">
          <cell r="AD14" t="str">
            <v>Denver, CO</v>
          </cell>
          <cell r="AE14">
            <v>218</v>
          </cell>
          <cell r="AF14">
            <v>34818</v>
          </cell>
          <cell r="AG14">
            <v>4</v>
          </cell>
          <cell r="AH14">
            <v>321</v>
          </cell>
          <cell r="AI14">
            <v>11</v>
          </cell>
          <cell r="AJ14">
            <v>2459</v>
          </cell>
          <cell r="AK14">
            <v>15</v>
          </cell>
          <cell r="AL14">
            <v>2780</v>
          </cell>
          <cell r="AM14">
            <v>15</v>
          </cell>
          <cell r="AN14">
            <v>2220</v>
          </cell>
          <cell r="AQ14" t="str">
            <v>Best Inn</v>
          </cell>
          <cell r="AR14">
            <v>0</v>
          </cell>
          <cell r="AS14">
            <v>0</v>
          </cell>
          <cell r="AT14">
            <v>0</v>
          </cell>
          <cell r="AU14">
            <v>0</v>
          </cell>
          <cell r="AV14">
            <v>0</v>
          </cell>
          <cell r="AW14">
            <v>0</v>
          </cell>
          <cell r="AX14">
            <v>0</v>
          </cell>
          <cell r="AY14">
            <v>0</v>
          </cell>
          <cell r="AZ14">
            <v>0</v>
          </cell>
          <cell r="BA14">
            <v>0</v>
          </cell>
        </row>
        <row r="15">
          <cell r="AD15" t="str">
            <v>Detroit, MI</v>
          </cell>
          <cell r="AE15">
            <v>279</v>
          </cell>
          <cell r="AF15">
            <v>35349</v>
          </cell>
          <cell r="AG15">
            <v>12</v>
          </cell>
          <cell r="AH15">
            <v>1127</v>
          </cell>
          <cell r="AI15">
            <v>12</v>
          </cell>
          <cell r="AJ15">
            <v>1632</v>
          </cell>
          <cell r="AK15">
            <v>24</v>
          </cell>
          <cell r="AL15">
            <v>2759</v>
          </cell>
          <cell r="AM15">
            <v>20</v>
          </cell>
          <cell r="AN15">
            <v>1954</v>
          </cell>
          <cell r="AQ15" t="str">
            <v xml:space="preserve">Best Inn &amp; Suites </v>
          </cell>
          <cell r="AR15">
            <v>2</v>
          </cell>
          <cell r="AS15">
            <v>87</v>
          </cell>
          <cell r="AT15">
            <v>1</v>
          </cell>
          <cell r="AU15">
            <v>29</v>
          </cell>
          <cell r="AV15">
            <v>5</v>
          </cell>
          <cell r="AW15">
            <v>264</v>
          </cell>
          <cell r="AX15">
            <v>6</v>
          </cell>
          <cell r="AY15">
            <v>293</v>
          </cell>
          <cell r="AZ15">
            <v>3</v>
          </cell>
          <cell r="BA15">
            <v>182</v>
          </cell>
        </row>
        <row r="16">
          <cell r="AD16" t="str">
            <v>Houston, TX</v>
          </cell>
          <cell r="AE16">
            <v>375</v>
          </cell>
          <cell r="AF16">
            <v>51594</v>
          </cell>
          <cell r="AG16">
            <v>21</v>
          </cell>
          <cell r="AH16">
            <v>1888</v>
          </cell>
          <cell r="AI16">
            <v>6</v>
          </cell>
          <cell r="AJ16">
            <v>759</v>
          </cell>
          <cell r="AK16">
            <v>27</v>
          </cell>
          <cell r="AL16">
            <v>2647</v>
          </cell>
          <cell r="AM16">
            <v>20</v>
          </cell>
          <cell r="AN16">
            <v>4364</v>
          </cell>
          <cell r="AQ16" t="str">
            <v>Best Western</v>
          </cell>
          <cell r="AR16">
            <v>67</v>
          </cell>
          <cell r="AS16">
            <v>4318</v>
          </cell>
          <cell r="AT16">
            <v>36</v>
          </cell>
          <cell r="AU16">
            <v>2412</v>
          </cell>
          <cell r="AV16">
            <v>4</v>
          </cell>
          <cell r="AW16">
            <v>266</v>
          </cell>
          <cell r="AX16">
            <v>40</v>
          </cell>
          <cell r="AY16">
            <v>2678</v>
          </cell>
          <cell r="AZ16">
            <v>40</v>
          </cell>
          <cell r="BA16">
            <v>2379</v>
          </cell>
        </row>
        <row r="17">
          <cell r="AD17" t="str">
            <v>Los Angeles, CA</v>
          </cell>
          <cell r="AE17">
            <v>679</v>
          </cell>
          <cell r="AF17">
            <v>83718</v>
          </cell>
          <cell r="AG17">
            <v>11</v>
          </cell>
          <cell r="AH17">
            <v>1593</v>
          </cell>
          <cell r="AI17">
            <v>13</v>
          </cell>
          <cell r="AJ17">
            <v>2630</v>
          </cell>
          <cell r="AK17">
            <v>24</v>
          </cell>
          <cell r="AL17">
            <v>4223</v>
          </cell>
          <cell r="AM17">
            <v>12</v>
          </cell>
          <cell r="AN17">
            <v>1585</v>
          </cell>
          <cell r="AQ17" t="str">
            <v>Bradford Homesuites</v>
          </cell>
          <cell r="AR17">
            <v>4</v>
          </cell>
          <cell r="AS17">
            <v>580</v>
          </cell>
          <cell r="AT17">
            <v>0</v>
          </cell>
          <cell r="AU17">
            <v>0</v>
          </cell>
          <cell r="AV17">
            <v>0</v>
          </cell>
          <cell r="AW17">
            <v>0</v>
          </cell>
          <cell r="AX17">
            <v>0</v>
          </cell>
          <cell r="AY17">
            <v>0</v>
          </cell>
          <cell r="AZ17">
            <v>0</v>
          </cell>
          <cell r="BA17">
            <v>0</v>
          </cell>
        </row>
        <row r="18">
          <cell r="AD18" t="str">
            <v>Miami, FL</v>
          </cell>
          <cell r="AE18">
            <v>272</v>
          </cell>
          <cell r="AF18">
            <v>43547</v>
          </cell>
          <cell r="AG18">
            <v>11</v>
          </cell>
          <cell r="AH18">
            <v>2605</v>
          </cell>
          <cell r="AI18">
            <v>5</v>
          </cell>
          <cell r="AJ18">
            <v>625</v>
          </cell>
          <cell r="AK18">
            <v>16</v>
          </cell>
          <cell r="AL18">
            <v>3230</v>
          </cell>
          <cell r="AM18">
            <v>16</v>
          </cell>
          <cell r="AN18">
            <v>2192</v>
          </cell>
          <cell r="AQ18" t="str">
            <v>Budget Host</v>
          </cell>
          <cell r="AR18">
            <v>0</v>
          </cell>
          <cell r="AS18">
            <v>0</v>
          </cell>
          <cell r="AT18">
            <v>0</v>
          </cell>
          <cell r="AU18">
            <v>0</v>
          </cell>
          <cell r="AV18">
            <v>0</v>
          </cell>
          <cell r="AW18">
            <v>0</v>
          </cell>
          <cell r="AX18">
            <v>0</v>
          </cell>
          <cell r="AY18">
            <v>0</v>
          </cell>
          <cell r="AZ18">
            <v>1</v>
          </cell>
          <cell r="BA18">
            <v>120</v>
          </cell>
        </row>
        <row r="19">
          <cell r="AD19" t="str">
            <v>Minneapolis, MN</v>
          </cell>
          <cell r="AE19">
            <v>233</v>
          </cell>
          <cell r="AF19">
            <v>31550</v>
          </cell>
          <cell r="AG19">
            <v>6</v>
          </cell>
          <cell r="AH19">
            <v>787</v>
          </cell>
          <cell r="AI19">
            <v>7</v>
          </cell>
          <cell r="AJ19">
            <v>894</v>
          </cell>
          <cell r="AK19">
            <v>13</v>
          </cell>
          <cell r="AL19">
            <v>1681</v>
          </cell>
          <cell r="AM19">
            <v>18</v>
          </cell>
          <cell r="AN19">
            <v>2215</v>
          </cell>
          <cell r="AQ19" t="str">
            <v>Budget Suites of America</v>
          </cell>
          <cell r="AR19">
            <v>3</v>
          </cell>
          <cell r="AS19">
            <v>934</v>
          </cell>
          <cell r="AT19">
            <v>0</v>
          </cell>
          <cell r="AU19">
            <v>0</v>
          </cell>
          <cell r="AV19">
            <v>1</v>
          </cell>
          <cell r="AW19">
            <v>432</v>
          </cell>
          <cell r="AX19">
            <v>1</v>
          </cell>
          <cell r="AY19">
            <v>432</v>
          </cell>
          <cell r="AZ19">
            <v>3</v>
          </cell>
          <cell r="BA19">
            <v>784</v>
          </cell>
        </row>
        <row r="20">
          <cell r="AD20" t="str">
            <v>Nashville, TN</v>
          </cell>
          <cell r="AE20">
            <v>252</v>
          </cell>
          <cell r="AF20">
            <v>31435</v>
          </cell>
          <cell r="AG20">
            <v>8</v>
          </cell>
          <cell r="AH20">
            <v>1262</v>
          </cell>
          <cell r="AI20">
            <v>7</v>
          </cell>
          <cell r="AJ20">
            <v>564</v>
          </cell>
          <cell r="AK20">
            <v>15</v>
          </cell>
          <cell r="AL20">
            <v>1826</v>
          </cell>
          <cell r="AM20">
            <v>11</v>
          </cell>
          <cell r="AN20">
            <v>1137</v>
          </cell>
          <cell r="AQ20" t="str">
            <v>Candlewood Suites</v>
          </cell>
          <cell r="AR20">
            <v>13</v>
          </cell>
          <cell r="AS20">
            <v>1725</v>
          </cell>
          <cell r="AT20">
            <v>10</v>
          </cell>
          <cell r="AU20">
            <v>1124</v>
          </cell>
          <cell r="AV20">
            <v>6</v>
          </cell>
          <cell r="AW20">
            <v>598</v>
          </cell>
          <cell r="AX20">
            <v>16</v>
          </cell>
          <cell r="AY20">
            <v>1722</v>
          </cell>
          <cell r="AZ20">
            <v>26</v>
          </cell>
          <cell r="BA20">
            <v>2862</v>
          </cell>
        </row>
        <row r="21">
          <cell r="AD21" t="str">
            <v>New Orleans, LA</v>
          </cell>
          <cell r="AE21">
            <v>179</v>
          </cell>
          <cell r="AF21">
            <v>30755</v>
          </cell>
          <cell r="AG21">
            <v>13</v>
          </cell>
          <cell r="AH21">
            <v>1924</v>
          </cell>
          <cell r="AI21">
            <v>5</v>
          </cell>
          <cell r="AJ21">
            <v>480</v>
          </cell>
          <cell r="AK21">
            <v>18</v>
          </cell>
          <cell r="AL21">
            <v>2404</v>
          </cell>
          <cell r="AM21">
            <v>17</v>
          </cell>
          <cell r="AN21">
            <v>3052</v>
          </cell>
          <cell r="AQ21" t="str">
            <v>Clarion</v>
          </cell>
          <cell r="AR21">
            <v>1</v>
          </cell>
          <cell r="AS21">
            <v>72</v>
          </cell>
          <cell r="AT21">
            <v>2</v>
          </cell>
          <cell r="AU21">
            <v>369</v>
          </cell>
          <cell r="AV21">
            <v>2</v>
          </cell>
          <cell r="AW21">
            <v>187</v>
          </cell>
          <cell r="AX21">
            <v>4</v>
          </cell>
          <cell r="AY21">
            <v>556</v>
          </cell>
          <cell r="AZ21">
            <v>4</v>
          </cell>
          <cell r="BA21">
            <v>290</v>
          </cell>
        </row>
        <row r="22">
          <cell r="AD22" t="str">
            <v>New York, NY</v>
          </cell>
          <cell r="AE22">
            <v>277</v>
          </cell>
          <cell r="AF22">
            <v>75608</v>
          </cell>
          <cell r="AG22">
            <v>12</v>
          </cell>
          <cell r="AH22">
            <v>3079</v>
          </cell>
          <cell r="AI22">
            <v>5</v>
          </cell>
          <cell r="AJ22">
            <v>550</v>
          </cell>
          <cell r="AK22">
            <v>17</v>
          </cell>
          <cell r="AL22">
            <v>3629</v>
          </cell>
          <cell r="AM22">
            <v>14</v>
          </cell>
          <cell r="AN22">
            <v>2537</v>
          </cell>
          <cell r="AQ22" t="str">
            <v>Club Hotel by Doubletree</v>
          </cell>
          <cell r="AR22">
            <v>1</v>
          </cell>
          <cell r="AS22">
            <v>268</v>
          </cell>
          <cell r="AT22">
            <v>1</v>
          </cell>
          <cell r="AU22">
            <v>100</v>
          </cell>
          <cell r="AV22">
            <v>1</v>
          </cell>
          <cell r="AW22">
            <v>150</v>
          </cell>
          <cell r="AX22">
            <v>2</v>
          </cell>
          <cell r="AY22">
            <v>250</v>
          </cell>
          <cell r="AZ22">
            <v>1</v>
          </cell>
          <cell r="BA22">
            <v>106</v>
          </cell>
        </row>
        <row r="23">
          <cell r="AD23" t="str">
            <v>Norfolk, VA</v>
          </cell>
          <cell r="AE23">
            <v>310</v>
          </cell>
          <cell r="AF23">
            <v>34697</v>
          </cell>
          <cell r="AG23">
            <v>4</v>
          </cell>
          <cell r="AH23">
            <v>668</v>
          </cell>
          <cell r="AI23">
            <v>3</v>
          </cell>
          <cell r="AJ23">
            <v>239</v>
          </cell>
          <cell r="AK23">
            <v>7</v>
          </cell>
          <cell r="AL23">
            <v>907</v>
          </cell>
          <cell r="AM23">
            <v>12</v>
          </cell>
          <cell r="AN23">
            <v>1634</v>
          </cell>
          <cell r="AQ23" t="str">
            <v>ClubHouse Inn</v>
          </cell>
          <cell r="AR23">
            <v>0</v>
          </cell>
          <cell r="AS23">
            <v>0</v>
          </cell>
          <cell r="AT23">
            <v>0</v>
          </cell>
          <cell r="AU23">
            <v>0</v>
          </cell>
          <cell r="AV23">
            <v>1</v>
          </cell>
          <cell r="AW23">
            <v>80</v>
          </cell>
          <cell r="AX23">
            <v>1</v>
          </cell>
          <cell r="AY23">
            <v>80</v>
          </cell>
          <cell r="AZ23">
            <v>0</v>
          </cell>
          <cell r="BA23">
            <v>0</v>
          </cell>
        </row>
        <row r="24">
          <cell r="AD24" t="str">
            <v>Oahu Island, HI</v>
          </cell>
          <cell r="AE24">
            <v>109</v>
          </cell>
          <cell r="AF24">
            <v>36407</v>
          </cell>
          <cell r="AG24">
            <v>1</v>
          </cell>
          <cell r="AH24">
            <v>453</v>
          </cell>
          <cell r="AI24">
            <v>0</v>
          </cell>
          <cell r="AJ24">
            <v>0</v>
          </cell>
          <cell r="AK24">
            <v>1</v>
          </cell>
          <cell r="AL24">
            <v>453</v>
          </cell>
          <cell r="AM24">
            <v>1</v>
          </cell>
          <cell r="AN24">
            <v>299</v>
          </cell>
          <cell r="AQ24" t="str">
            <v>Comfort Inn</v>
          </cell>
          <cell r="AR24">
            <v>63</v>
          </cell>
          <cell r="AS24">
            <v>4394</v>
          </cell>
          <cell r="AT24">
            <v>13</v>
          </cell>
          <cell r="AU24">
            <v>956</v>
          </cell>
          <cell r="AV24">
            <v>14</v>
          </cell>
          <cell r="AW24">
            <v>957</v>
          </cell>
          <cell r="AX24">
            <v>27</v>
          </cell>
          <cell r="AY24">
            <v>1913</v>
          </cell>
          <cell r="AZ24">
            <v>17</v>
          </cell>
          <cell r="BA24">
            <v>1252</v>
          </cell>
        </row>
        <row r="25">
          <cell r="AD25" t="str">
            <v>Orlando, FL</v>
          </cell>
          <cell r="AE25">
            <v>417</v>
          </cell>
          <cell r="AF25">
            <v>112948</v>
          </cell>
          <cell r="AG25">
            <v>15</v>
          </cell>
          <cell r="AH25">
            <v>7899</v>
          </cell>
          <cell r="AI25">
            <v>13</v>
          </cell>
          <cell r="AJ25">
            <v>4788</v>
          </cell>
          <cell r="AK25">
            <v>28</v>
          </cell>
          <cell r="AL25">
            <v>12687</v>
          </cell>
          <cell r="AM25">
            <v>42</v>
          </cell>
          <cell r="AN25">
            <v>12195</v>
          </cell>
          <cell r="AQ25" t="str">
            <v>Comfort Suites</v>
          </cell>
          <cell r="AR25">
            <v>48</v>
          </cell>
          <cell r="AS25">
            <v>3391</v>
          </cell>
          <cell r="AT25">
            <v>15</v>
          </cell>
          <cell r="AU25">
            <v>1311</v>
          </cell>
          <cell r="AV25">
            <v>20</v>
          </cell>
          <cell r="AW25">
            <v>1604</v>
          </cell>
          <cell r="AX25">
            <v>35</v>
          </cell>
          <cell r="AY25">
            <v>2915</v>
          </cell>
          <cell r="AZ25">
            <v>21</v>
          </cell>
          <cell r="BA25">
            <v>1633</v>
          </cell>
        </row>
        <row r="26">
          <cell r="AD26" t="str">
            <v>Philadelphia, PA</v>
          </cell>
          <cell r="AE26">
            <v>238</v>
          </cell>
          <cell r="AF26">
            <v>37267</v>
          </cell>
          <cell r="AG26">
            <v>11</v>
          </cell>
          <cell r="AH26">
            <v>1571</v>
          </cell>
          <cell r="AI26">
            <v>6</v>
          </cell>
          <cell r="AJ26">
            <v>680</v>
          </cell>
          <cell r="AK26">
            <v>17</v>
          </cell>
          <cell r="AL26">
            <v>2251</v>
          </cell>
          <cell r="AM26">
            <v>18</v>
          </cell>
          <cell r="AN26">
            <v>1815</v>
          </cell>
          <cell r="AQ26" t="str">
            <v>Country Hearth Inn</v>
          </cell>
          <cell r="AR26">
            <v>7</v>
          </cell>
          <cell r="AS26">
            <v>358</v>
          </cell>
          <cell r="AT26">
            <v>4</v>
          </cell>
          <cell r="AU26">
            <v>190</v>
          </cell>
          <cell r="AV26">
            <v>3</v>
          </cell>
          <cell r="AW26">
            <v>120</v>
          </cell>
          <cell r="AX26">
            <v>7</v>
          </cell>
          <cell r="AY26">
            <v>310</v>
          </cell>
          <cell r="AZ26">
            <v>10</v>
          </cell>
          <cell r="BA26">
            <v>582</v>
          </cell>
        </row>
        <row r="27">
          <cell r="AD27" t="str">
            <v>Phoenix, AZ</v>
          </cell>
          <cell r="AE27">
            <v>336</v>
          </cell>
          <cell r="AF27">
            <v>50713</v>
          </cell>
          <cell r="AG27">
            <v>2</v>
          </cell>
          <cell r="AH27">
            <v>219</v>
          </cell>
          <cell r="AI27">
            <v>9</v>
          </cell>
          <cell r="AJ27">
            <v>2842</v>
          </cell>
          <cell r="AK27">
            <v>11</v>
          </cell>
          <cell r="AL27">
            <v>3061</v>
          </cell>
          <cell r="AM27">
            <v>10</v>
          </cell>
          <cell r="AN27">
            <v>2821</v>
          </cell>
          <cell r="AQ27" t="str">
            <v>Country Inn &amp; Suites</v>
          </cell>
          <cell r="AR27">
            <v>42</v>
          </cell>
          <cell r="AS27">
            <v>3280</v>
          </cell>
          <cell r="AT27">
            <v>29</v>
          </cell>
          <cell r="AU27">
            <v>2348</v>
          </cell>
          <cell r="AV27">
            <v>12</v>
          </cell>
          <cell r="AW27">
            <v>868</v>
          </cell>
          <cell r="AX27">
            <v>41</v>
          </cell>
          <cell r="AY27">
            <v>3216</v>
          </cell>
          <cell r="AZ27">
            <v>30</v>
          </cell>
          <cell r="BA27">
            <v>2433</v>
          </cell>
        </row>
        <row r="28">
          <cell r="AD28" t="str">
            <v>Saint Louis, MO</v>
          </cell>
          <cell r="AE28">
            <v>214</v>
          </cell>
          <cell r="AF28">
            <v>30315</v>
          </cell>
          <cell r="AG28">
            <v>5</v>
          </cell>
          <cell r="AH28">
            <v>782</v>
          </cell>
          <cell r="AI28">
            <v>5</v>
          </cell>
          <cell r="AJ28">
            <v>1818</v>
          </cell>
          <cell r="AK28">
            <v>10</v>
          </cell>
          <cell r="AL28">
            <v>2600</v>
          </cell>
          <cell r="AM28">
            <v>14</v>
          </cell>
          <cell r="AN28">
            <v>1480</v>
          </cell>
          <cell r="AQ28" t="str">
            <v>Courtyard by Marriott</v>
          </cell>
          <cell r="AR28">
            <v>41</v>
          </cell>
          <cell r="AS28">
            <v>5765</v>
          </cell>
          <cell r="AT28">
            <v>35</v>
          </cell>
          <cell r="AU28">
            <v>5540</v>
          </cell>
          <cell r="AV28">
            <v>38</v>
          </cell>
          <cell r="AW28">
            <v>5080</v>
          </cell>
          <cell r="AX28">
            <v>73</v>
          </cell>
          <cell r="AY28">
            <v>10620</v>
          </cell>
          <cell r="AZ28">
            <v>38</v>
          </cell>
          <cell r="BA28">
            <v>5880</v>
          </cell>
        </row>
        <row r="29">
          <cell r="AD29" t="str">
            <v>San Diego, CA</v>
          </cell>
          <cell r="AE29">
            <v>399</v>
          </cell>
          <cell r="AF29">
            <v>49458</v>
          </cell>
          <cell r="AG29">
            <v>10</v>
          </cell>
          <cell r="AH29">
            <v>2086</v>
          </cell>
          <cell r="AI29">
            <v>9</v>
          </cell>
          <cell r="AJ29">
            <v>1606</v>
          </cell>
          <cell r="AK29">
            <v>19</v>
          </cell>
          <cell r="AL29">
            <v>3692</v>
          </cell>
          <cell r="AM29">
            <v>15</v>
          </cell>
          <cell r="AN29">
            <v>4536</v>
          </cell>
          <cell r="AQ29" t="str">
            <v>Crowne Plaza</v>
          </cell>
          <cell r="AR29">
            <v>1</v>
          </cell>
          <cell r="AS29">
            <v>384</v>
          </cell>
          <cell r="AT29">
            <v>5</v>
          </cell>
          <cell r="AU29">
            <v>1301</v>
          </cell>
          <cell r="AV29">
            <v>2</v>
          </cell>
          <cell r="AW29">
            <v>518</v>
          </cell>
          <cell r="AX29">
            <v>7</v>
          </cell>
          <cell r="AY29">
            <v>1819</v>
          </cell>
          <cell r="AZ29">
            <v>7</v>
          </cell>
          <cell r="BA29">
            <v>1887</v>
          </cell>
        </row>
        <row r="30">
          <cell r="AD30" t="str">
            <v>San Francisco, CA</v>
          </cell>
          <cell r="AE30">
            <v>339</v>
          </cell>
          <cell r="AF30">
            <v>48885</v>
          </cell>
          <cell r="AG30">
            <v>13</v>
          </cell>
          <cell r="AH30">
            <v>2192</v>
          </cell>
          <cell r="AI30">
            <v>9</v>
          </cell>
          <cell r="AJ30">
            <v>1691</v>
          </cell>
          <cell r="AK30">
            <v>22</v>
          </cell>
          <cell r="AL30">
            <v>3883</v>
          </cell>
          <cell r="AM30">
            <v>22</v>
          </cell>
          <cell r="AN30">
            <v>4038</v>
          </cell>
          <cell r="AQ30" t="str">
            <v>Days Inn</v>
          </cell>
          <cell r="AR30">
            <v>23</v>
          </cell>
          <cell r="AS30">
            <v>1209</v>
          </cell>
          <cell r="AT30">
            <v>3</v>
          </cell>
          <cell r="AU30">
            <v>157</v>
          </cell>
          <cell r="AV30">
            <v>7</v>
          </cell>
          <cell r="AW30">
            <v>483</v>
          </cell>
          <cell r="AX30">
            <v>10</v>
          </cell>
          <cell r="AY30">
            <v>640</v>
          </cell>
          <cell r="AZ30">
            <v>40</v>
          </cell>
          <cell r="BA30">
            <v>3802</v>
          </cell>
        </row>
        <row r="31">
          <cell r="AD31" t="str">
            <v>Seattle, WA</v>
          </cell>
          <cell r="AE31">
            <v>282</v>
          </cell>
          <cell r="AF31">
            <v>32954</v>
          </cell>
          <cell r="AG31">
            <v>8</v>
          </cell>
          <cell r="AH31">
            <v>1571</v>
          </cell>
          <cell r="AI31">
            <v>16</v>
          </cell>
          <cell r="AJ31">
            <v>2692</v>
          </cell>
          <cell r="AK31">
            <v>24</v>
          </cell>
          <cell r="AL31">
            <v>4263</v>
          </cell>
          <cell r="AM31">
            <v>11</v>
          </cell>
          <cell r="AN31">
            <v>2119</v>
          </cell>
          <cell r="AQ31" t="str">
            <v>Doubletree Guest Suites</v>
          </cell>
          <cell r="AR31">
            <v>2</v>
          </cell>
          <cell r="AS31">
            <v>470</v>
          </cell>
          <cell r="AT31">
            <v>0</v>
          </cell>
          <cell r="AU31">
            <v>0</v>
          </cell>
          <cell r="AV31">
            <v>0</v>
          </cell>
          <cell r="AW31">
            <v>0</v>
          </cell>
          <cell r="AX31">
            <v>0</v>
          </cell>
          <cell r="AY31">
            <v>0</v>
          </cell>
          <cell r="AZ31">
            <v>0</v>
          </cell>
          <cell r="BA31">
            <v>0</v>
          </cell>
        </row>
        <row r="32">
          <cell r="AD32" t="str">
            <v>Tampa, FL</v>
          </cell>
          <cell r="AE32">
            <v>308</v>
          </cell>
          <cell r="AF32">
            <v>38264</v>
          </cell>
          <cell r="AG32">
            <v>10</v>
          </cell>
          <cell r="AH32">
            <v>1152</v>
          </cell>
          <cell r="AI32">
            <v>3</v>
          </cell>
          <cell r="AJ32">
            <v>213</v>
          </cell>
          <cell r="AK32">
            <v>13</v>
          </cell>
          <cell r="AL32">
            <v>1365</v>
          </cell>
          <cell r="AM32">
            <v>25</v>
          </cell>
          <cell r="AN32">
            <v>2785</v>
          </cell>
          <cell r="AQ32" t="str">
            <v>Doubletree Hotel</v>
          </cell>
          <cell r="AR32">
            <v>2</v>
          </cell>
          <cell r="AS32">
            <v>308</v>
          </cell>
          <cell r="AT32">
            <v>4</v>
          </cell>
          <cell r="AU32">
            <v>1125</v>
          </cell>
          <cell r="AV32">
            <v>1</v>
          </cell>
          <cell r="AW32">
            <v>294</v>
          </cell>
          <cell r="AX32">
            <v>5</v>
          </cell>
          <cell r="AY32">
            <v>1419</v>
          </cell>
          <cell r="AZ32">
            <v>3</v>
          </cell>
          <cell r="BA32">
            <v>1107</v>
          </cell>
        </row>
        <row r="33">
          <cell r="AD33" t="str">
            <v>Washington, DC</v>
          </cell>
          <cell r="AE33">
            <v>425</v>
          </cell>
          <cell r="AF33">
            <v>78572</v>
          </cell>
          <cell r="AG33">
            <v>16</v>
          </cell>
          <cell r="AH33">
            <v>2089</v>
          </cell>
          <cell r="AI33">
            <v>15</v>
          </cell>
          <cell r="AJ33">
            <v>2562</v>
          </cell>
          <cell r="AK33">
            <v>31</v>
          </cell>
          <cell r="AL33">
            <v>4651</v>
          </cell>
          <cell r="AM33">
            <v>28</v>
          </cell>
          <cell r="AN33">
            <v>7092</v>
          </cell>
          <cell r="AQ33" t="str">
            <v>Drury Inn</v>
          </cell>
          <cell r="AR33">
            <v>4</v>
          </cell>
          <cell r="AS33">
            <v>836</v>
          </cell>
          <cell r="AT33">
            <v>4</v>
          </cell>
          <cell r="AU33">
            <v>552</v>
          </cell>
          <cell r="AV33">
            <v>1</v>
          </cell>
          <cell r="AW33">
            <v>149</v>
          </cell>
          <cell r="AX33">
            <v>5</v>
          </cell>
          <cell r="AY33">
            <v>701</v>
          </cell>
          <cell r="AZ33">
            <v>3</v>
          </cell>
          <cell r="BA33">
            <v>507</v>
          </cell>
        </row>
        <row r="34">
          <cell r="AQ34" t="str">
            <v>Econo Lodge</v>
          </cell>
          <cell r="AR34">
            <v>10</v>
          </cell>
          <cell r="AS34">
            <v>508</v>
          </cell>
          <cell r="AT34">
            <v>0</v>
          </cell>
          <cell r="AU34">
            <v>0</v>
          </cell>
          <cell r="AV34">
            <v>5</v>
          </cell>
          <cell r="AW34">
            <v>322</v>
          </cell>
          <cell r="AX34">
            <v>5</v>
          </cell>
          <cell r="AY34">
            <v>322</v>
          </cell>
          <cell r="AZ34">
            <v>3</v>
          </cell>
          <cell r="BA34">
            <v>182</v>
          </cell>
        </row>
        <row r="35">
          <cell r="AQ35" t="str">
            <v>Embassy Suites</v>
          </cell>
          <cell r="AR35">
            <v>7</v>
          </cell>
          <cell r="AS35">
            <v>1756</v>
          </cell>
          <cell r="AT35">
            <v>9</v>
          </cell>
          <cell r="AU35">
            <v>2372</v>
          </cell>
          <cell r="AV35">
            <v>9</v>
          </cell>
          <cell r="AW35">
            <v>2032</v>
          </cell>
          <cell r="AX35">
            <v>18</v>
          </cell>
          <cell r="AY35">
            <v>4404</v>
          </cell>
          <cell r="AZ35">
            <v>8</v>
          </cell>
          <cell r="BA35">
            <v>1657</v>
          </cell>
        </row>
        <row r="36">
          <cell r="AQ36" t="str">
            <v>Extended Stay America</v>
          </cell>
          <cell r="AR36">
            <v>27</v>
          </cell>
          <cell r="AS36">
            <v>3045</v>
          </cell>
          <cell r="AT36">
            <v>13</v>
          </cell>
          <cell r="AU36">
            <v>1415</v>
          </cell>
          <cell r="AV36">
            <v>6</v>
          </cell>
          <cell r="AW36">
            <v>673</v>
          </cell>
          <cell r="AX36">
            <v>19</v>
          </cell>
          <cell r="AY36">
            <v>2088</v>
          </cell>
          <cell r="AZ36">
            <v>6</v>
          </cell>
          <cell r="BA36">
            <v>664</v>
          </cell>
        </row>
        <row r="37">
          <cell r="AQ37" t="str">
            <v>Fairfield Inn</v>
          </cell>
          <cell r="AR37">
            <v>20</v>
          </cell>
          <cell r="AS37">
            <v>1895</v>
          </cell>
          <cell r="AT37">
            <v>21</v>
          </cell>
          <cell r="AU37">
            <v>2105</v>
          </cell>
          <cell r="AV37">
            <v>27</v>
          </cell>
          <cell r="AW37">
            <v>2306</v>
          </cell>
          <cell r="AX37">
            <v>48</v>
          </cell>
          <cell r="AY37">
            <v>4411</v>
          </cell>
          <cell r="AZ37">
            <v>8</v>
          </cell>
          <cell r="BA37">
            <v>718</v>
          </cell>
        </row>
        <row r="38">
          <cell r="AQ38" t="str">
            <v>Fairfield Inn &amp; Suites</v>
          </cell>
          <cell r="AR38">
            <v>0</v>
          </cell>
          <cell r="AS38">
            <v>0</v>
          </cell>
          <cell r="AT38">
            <v>0</v>
          </cell>
          <cell r="AU38">
            <v>0</v>
          </cell>
          <cell r="AV38">
            <v>0</v>
          </cell>
          <cell r="AW38">
            <v>0</v>
          </cell>
          <cell r="AX38">
            <v>0</v>
          </cell>
          <cell r="AY38">
            <v>0</v>
          </cell>
          <cell r="AZ38">
            <v>0</v>
          </cell>
          <cell r="BA38">
            <v>0</v>
          </cell>
        </row>
        <row r="39">
          <cell r="AQ39" t="str">
            <v>Fairmont Hotel</v>
          </cell>
          <cell r="AR39">
            <v>0</v>
          </cell>
          <cell r="AS39">
            <v>0</v>
          </cell>
          <cell r="AT39">
            <v>1</v>
          </cell>
          <cell r="AU39">
            <v>264</v>
          </cell>
          <cell r="AV39">
            <v>0</v>
          </cell>
          <cell r="AW39">
            <v>0</v>
          </cell>
          <cell r="AX39">
            <v>1</v>
          </cell>
          <cell r="AY39">
            <v>264</v>
          </cell>
          <cell r="AZ39">
            <v>0</v>
          </cell>
          <cell r="BA39">
            <v>0</v>
          </cell>
        </row>
        <row r="40">
          <cell r="AQ40" t="str">
            <v>Four Points Hotel</v>
          </cell>
          <cell r="AR40">
            <v>0</v>
          </cell>
          <cell r="AS40">
            <v>0</v>
          </cell>
          <cell r="AT40">
            <v>1</v>
          </cell>
          <cell r="AU40">
            <v>101</v>
          </cell>
          <cell r="AV40">
            <v>2</v>
          </cell>
          <cell r="AW40">
            <v>327</v>
          </cell>
          <cell r="AX40">
            <v>3</v>
          </cell>
          <cell r="AY40">
            <v>428</v>
          </cell>
          <cell r="AZ40">
            <v>1</v>
          </cell>
          <cell r="BA40">
            <v>100</v>
          </cell>
        </row>
        <row r="41">
          <cell r="AQ41" t="str">
            <v>Four Seasons</v>
          </cell>
          <cell r="AR41">
            <v>0</v>
          </cell>
          <cell r="AS41">
            <v>0</v>
          </cell>
          <cell r="AT41">
            <v>2</v>
          </cell>
          <cell r="AU41">
            <v>521</v>
          </cell>
          <cell r="AV41">
            <v>0</v>
          </cell>
          <cell r="AW41">
            <v>0</v>
          </cell>
          <cell r="AX41">
            <v>2</v>
          </cell>
          <cell r="AY41">
            <v>521</v>
          </cell>
          <cell r="AZ41">
            <v>0</v>
          </cell>
          <cell r="BA41">
            <v>0</v>
          </cell>
        </row>
        <row r="42">
          <cell r="AQ42" t="str">
            <v>Grand Chalet</v>
          </cell>
          <cell r="AR42">
            <v>0</v>
          </cell>
          <cell r="AS42">
            <v>0</v>
          </cell>
          <cell r="AT42">
            <v>0</v>
          </cell>
          <cell r="AU42">
            <v>0</v>
          </cell>
          <cell r="AV42">
            <v>0</v>
          </cell>
          <cell r="AW42">
            <v>0</v>
          </cell>
          <cell r="AX42">
            <v>0</v>
          </cell>
          <cell r="AY42">
            <v>0</v>
          </cell>
          <cell r="AZ42">
            <v>1</v>
          </cell>
          <cell r="BA42">
            <v>125</v>
          </cell>
        </row>
        <row r="43">
          <cell r="AQ43" t="str">
            <v>GuestHouse Inn</v>
          </cell>
          <cell r="AR43">
            <v>3</v>
          </cell>
          <cell r="AS43">
            <v>215</v>
          </cell>
          <cell r="AT43">
            <v>2</v>
          </cell>
          <cell r="AU43">
            <v>160</v>
          </cell>
          <cell r="AV43">
            <v>0</v>
          </cell>
          <cell r="AW43">
            <v>0</v>
          </cell>
          <cell r="AX43">
            <v>2</v>
          </cell>
          <cell r="AY43">
            <v>160</v>
          </cell>
          <cell r="AZ43">
            <v>2</v>
          </cell>
          <cell r="BA43">
            <v>185</v>
          </cell>
        </row>
        <row r="44">
          <cell r="AQ44" t="str">
            <v>Hampton Inn</v>
          </cell>
          <cell r="AR44">
            <v>66</v>
          </cell>
          <cell r="AS44">
            <v>5646</v>
          </cell>
          <cell r="AT44">
            <v>64</v>
          </cell>
          <cell r="AU44">
            <v>5601</v>
          </cell>
          <cell r="AV44">
            <v>11</v>
          </cell>
          <cell r="AW44">
            <v>913</v>
          </cell>
          <cell r="AX44">
            <v>75</v>
          </cell>
          <cell r="AY44">
            <v>6514</v>
          </cell>
          <cell r="AZ44">
            <v>43</v>
          </cell>
          <cell r="BA44">
            <v>3537</v>
          </cell>
        </row>
        <row r="45">
          <cell r="AQ45" t="str">
            <v>Hampton Inn &amp; Suites</v>
          </cell>
          <cell r="AR45">
            <v>26</v>
          </cell>
          <cell r="AS45">
            <v>3092</v>
          </cell>
          <cell r="AT45">
            <v>12</v>
          </cell>
          <cell r="AU45">
            <v>1277</v>
          </cell>
          <cell r="AV45">
            <v>13</v>
          </cell>
          <cell r="AW45">
            <v>1384</v>
          </cell>
          <cell r="AX45">
            <v>25</v>
          </cell>
          <cell r="AY45">
            <v>2661</v>
          </cell>
          <cell r="AZ45">
            <v>30</v>
          </cell>
          <cell r="BA45">
            <v>2795</v>
          </cell>
        </row>
        <row r="46">
          <cell r="AQ46" t="str">
            <v>Hawthorn Suites</v>
          </cell>
          <cell r="AR46">
            <v>24</v>
          </cell>
          <cell r="AS46">
            <v>1892</v>
          </cell>
          <cell r="AT46">
            <v>10</v>
          </cell>
          <cell r="AU46">
            <v>802</v>
          </cell>
          <cell r="AV46">
            <v>15</v>
          </cell>
          <cell r="AW46">
            <v>1354</v>
          </cell>
          <cell r="AX46">
            <v>25</v>
          </cell>
          <cell r="AY46">
            <v>2156</v>
          </cell>
          <cell r="AZ46">
            <v>60</v>
          </cell>
          <cell r="BA46">
            <v>5525</v>
          </cell>
        </row>
        <row r="47">
          <cell r="AQ47" t="str">
            <v>Hawthorn Suites LTD.</v>
          </cell>
          <cell r="AR47">
            <v>15</v>
          </cell>
          <cell r="AS47">
            <v>1196</v>
          </cell>
          <cell r="AT47">
            <v>8</v>
          </cell>
          <cell r="AU47">
            <v>588</v>
          </cell>
          <cell r="AV47">
            <v>12</v>
          </cell>
          <cell r="AW47">
            <v>978</v>
          </cell>
          <cell r="AX47">
            <v>20</v>
          </cell>
          <cell r="AY47">
            <v>1566</v>
          </cell>
          <cell r="AZ47">
            <v>43</v>
          </cell>
          <cell r="BA47">
            <v>3447</v>
          </cell>
        </row>
        <row r="48">
          <cell r="AQ48" t="str">
            <v>Hearthside Inn</v>
          </cell>
          <cell r="AR48">
            <v>0</v>
          </cell>
          <cell r="AS48">
            <v>0</v>
          </cell>
          <cell r="AT48">
            <v>0</v>
          </cell>
          <cell r="AU48">
            <v>0</v>
          </cell>
          <cell r="AV48">
            <v>1</v>
          </cell>
          <cell r="AW48">
            <v>145</v>
          </cell>
          <cell r="AX48">
            <v>1</v>
          </cell>
          <cell r="AY48">
            <v>145</v>
          </cell>
          <cell r="AZ48">
            <v>1</v>
          </cell>
          <cell r="BA48">
            <v>148</v>
          </cell>
        </row>
        <row r="49">
          <cell r="AQ49" t="str">
            <v>Hilton Garden Inn</v>
          </cell>
          <cell r="AR49">
            <v>28</v>
          </cell>
          <cell r="AS49">
            <v>4099</v>
          </cell>
          <cell r="AT49">
            <v>38</v>
          </cell>
          <cell r="AU49">
            <v>5113</v>
          </cell>
          <cell r="AV49">
            <v>47</v>
          </cell>
          <cell r="AW49">
            <v>6163</v>
          </cell>
          <cell r="AX49">
            <v>85</v>
          </cell>
          <cell r="AY49">
            <v>11276</v>
          </cell>
          <cell r="AZ49">
            <v>41</v>
          </cell>
          <cell r="BA49">
            <v>5194</v>
          </cell>
        </row>
        <row r="50">
          <cell r="AQ50" t="str">
            <v>Hilton Hotel</v>
          </cell>
          <cell r="AR50">
            <v>10</v>
          </cell>
          <cell r="AS50">
            <v>2607</v>
          </cell>
          <cell r="AT50">
            <v>6</v>
          </cell>
          <cell r="AU50">
            <v>1784</v>
          </cell>
          <cell r="AV50">
            <v>7</v>
          </cell>
          <cell r="AW50">
            <v>2713</v>
          </cell>
          <cell r="AX50">
            <v>13</v>
          </cell>
          <cell r="AY50">
            <v>4497</v>
          </cell>
          <cell r="AZ50">
            <v>11</v>
          </cell>
          <cell r="BA50">
            <v>6416</v>
          </cell>
        </row>
        <row r="51">
          <cell r="AQ51" t="str">
            <v>HoJo Inn</v>
          </cell>
          <cell r="AR51">
            <v>0</v>
          </cell>
          <cell r="AS51">
            <v>0</v>
          </cell>
          <cell r="AT51">
            <v>0</v>
          </cell>
          <cell r="AU51">
            <v>0</v>
          </cell>
          <cell r="AV51">
            <v>0</v>
          </cell>
          <cell r="AW51">
            <v>0</v>
          </cell>
          <cell r="AX51">
            <v>0</v>
          </cell>
          <cell r="AY51">
            <v>0</v>
          </cell>
          <cell r="AZ51">
            <v>0</v>
          </cell>
          <cell r="BA51">
            <v>0</v>
          </cell>
        </row>
        <row r="52">
          <cell r="AQ52" t="str">
            <v>Holiday Inn</v>
          </cell>
          <cell r="AR52">
            <v>4</v>
          </cell>
          <cell r="AS52">
            <v>556</v>
          </cell>
          <cell r="AT52">
            <v>9</v>
          </cell>
          <cell r="AU52">
            <v>1341</v>
          </cell>
          <cell r="AV52">
            <v>6</v>
          </cell>
          <cell r="AW52">
            <v>726</v>
          </cell>
          <cell r="AX52">
            <v>15</v>
          </cell>
          <cell r="AY52">
            <v>2067</v>
          </cell>
          <cell r="AZ52">
            <v>10</v>
          </cell>
          <cell r="BA52">
            <v>1554</v>
          </cell>
        </row>
        <row r="53">
          <cell r="AQ53" t="str">
            <v>Holiday Inn Express</v>
          </cell>
          <cell r="AR53">
            <v>44</v>
          </cell>
          <cell r="AS53">
            <v>3187</v>
          </cell>
          <cell r="AT53">
            <v>31</v>
          </cell>
          <cell r="AU53">
            <v>2256</v>
          </cell>
          <cell r="AV53">
            <v>25</v>
          </cell>
          <cell r="AW53">
            <v>1911</v>
          </cell>
          <cell r="AX53">
            <v>56</v>
          </cell>
          <cell r="AY53">
            <v>4167</v>
          </cell>
          <cell r="AZ53">
            <v>45</v>
          </cell>
          <cell r="BA53">
            <v>3241</v>
          </cell>
        </row>
        <row r="54">
          <cell r="AQ54" t="str">
            <v>Holiday Inn Express &amp; Suites</v>
          </cell>
          <cell r="AR54">
            <v>75</v>
          </cell>
          <cell r="AS54">
            <v>5546</v>
          </cell>
          <cell r="AT54">
            <v>60</v>
          </cell>
          <cell r="AU54">
            <v>4915</v>
          </cell>
          <cell r="AV54">
            <v>39</v>
          </cell>
          <cell r="AW54">
            <v>3227</v>
          </cell>
          <cell r="AX54">
            <v>99</v>
          </cell>
          <cell r="AY54">
            <v>8142</v>
          </cell>
          <cell r="AZ54">
            <v>91</v>
          </cell>
          <cell r="BA54">
            <v>7194</v>
          </cell>
        </row>
        <row r="55">
          <cell r="AQ55" t="str">
            <v>Holiday Inn Select</v>
          </cell>
          <cell r="AR55">
            <v>3</v>
          </cell>
          <cell r="AS55">
            <v>543</v>
          </cell>
          <cell r="AT55">
            <v>0</v>
          </cell>
          <cell r="AU55">
            <v>0</v>
          </cell>
          <cell r="AV55">
            <v>0</v>
          </cell>
          <cell r="AW55">
            <v>0</v>
          </cell>
          <cell r="AX55">
            <v>0</v>
          </cell>
          <cell r="AY55">
            <v>0</v>
          </cell>
          <cell r="AZ55">
            <v>4</v>
          </cell>
          <cell r="BA55">
            <v>875</v>
          </cell>
        </row>
        <row r="56">
          <cell r="AQ56" t="str">
            <v>Homestead Village</v>
          </cell>
          <cell r="AR56">
            <v>0</v>
          </cell>
          <cell r="AS56">
            <v>0</v>
          </cell>
          <cell r="AT56">
            <v>1</v>
          </cell>
          <cell r="AU56">
            <v>40</v>
          </cell>
          <cell r="AV56">
            <v>0</v>
          </cell>
          <cell r="AW56">
            <v>0</v>
          </cell>
          <cell r="AX56">
            <v>1</v>
          </cell>
          <cell r="AY56">
            <v>40</v>
          </cell>
          <cell r="AZ56">
            <v>0</v>
          </cell>
          <cell r="BA56">
            <v>0</v>
          </cell>
        </row>
        <row r="57">
          <cell r="AQ57" t="str">
            <v>HomeTown Suites</v>
          </cell>
          <cell r="AR57">
            <v>1</v>
          </cell>
          <cell r="AS57">
            <v>69</v>
          </cell>
          <cell r="AT57">
            <v>0</v>
          </cell>
          <cell r="AU57">
            <v>0</v>
          </cell>
          <cell r="AV57">
            <v>0</v>
          </cell>
          <cell r="AW57">
            <v>0</v>
          </cell>
          <cell r="AX57">
            <v>0</v>
          </cell>
          <cell r="AY57">
            <v>0</v>
          </cell>
          <cell r="AZ57">
            <v>0</v>
          </cell>
          <cell r="BA57">
            <v>0</v>
          </cell>
        </row>
        <row r="58">
          <cell r="AQ58" t="str">
            <v>Homewood Suites by Hilton</v>
          </cell>
          <cell r="AR58">
            <v>8</v>
          </cell>
          <cell r="AS58">
            <v>990</v>
          </cell>
          <cell r="AT58">
            <v>16</v>
          </cell>
          <cell r="AU58">
            <v>1767</v>
          </cell>
          <cell r="AV58">
            <v>5</v>
          </cell>
          <cell r="AW58">
            <v>573</v>
          </cell>
          <cell r="AX58">
            <v>21</v>
          </cell>
          <cell r="AY58">
            <v>2340</v>
          </cell>
          <cell r="AZ58">
            <v>16</v>
          </cell>
          <cell r="BA58">
            <v>1800</v>
          </cell>
        </row>
        <row r="59">
          <cell r="AQ59" t="str">
            <v>Hotel Sofitel</v>
          </cell>
          <cell r="AR59">
            <v>2</v>
          </cell>
          <cell r="AS59">
            <v>694</v>
          </cell>
          <cell r="AT59">
            <v>2</v>
          </cell>
          <cell r="AU59">
            <v>637</v>
          </cell>
          <cell r="AV59">
            <v>0</v>
          </cell>
          <cell r="AW59">
            <v>0</v>
          </cell>
          <cell r="AX59">
            <v>2</v>
          </cell>
          <cell r="AY59">
            <v>637</v>
          </cell>
          <cell r="AZ59">
            <v>0</v>
          </cell>
          <cell r="BA59">
            <v>0</v>
          </cell>
        </row>
        <row r="60">
          <cell r="AQ60" t="str">
            <v>Howard Johnson Express Inn</v>
          </cell>
          <cell r="AR60">
            <v>9</v>
          </cell>
          <cell r="AS60">
            <v>622</v>
          </cell>
          <cell r="AT60">
            <v>1</v>
          </cell>
          <cell r="AU60">
            <v>65</v>
          </cell>
          <cell r="AV60">
            <v>1</v>
          </cell>
          <cell r="AW60">
            <v>50</v>
          </cell>
          <cell r="AX60">
            <v>2</v>
          </cell>
          <cell r="AY60">
            <v>115</v>
          </cell>
          <cell r="AZ60">
            <v>6</v>
          </cell>
          <cell r="BA60">
            <v>955</v>
          </cell>
        </row>
        <row r="61">
          <cell r="AQ61" t="str">
            <v>Howard Johnson Hotel</v>
          </cell>
          <cell r="AR61">
            <v>1</v>
          </cell>
          <cell r="AS61">
            <v>150</v>
          </cell>
          <cell r="AT61">
            <v>2</v>
          </cell>
          <cell r="AU61">
            <v>120</v>
          </cell>
          <cell r="AV61">
            <v>0</v>
          </cell>
          <cell r="AW61">
            <v>0</v>
          </cell>
          <cell r="AX61">
            <v>2</v>
          </cell>
          <cell r="AY61">
            <v>120</v>
          </cell>
          <cell r="AZ61">
            <v>1</v>
          </cell>
          <cell r="BA61">
            <v>160</v>
          </cell>
        </row>
        <row r="62">
          <cell r="AQ62" t="str">
            <v>Howard Johnson Inn</v>
          </cell>
          <cell r="AR62">
            <v>0</v>
          </cell>
          <cell r="AS62">
            <v>0</v>
          </cell>
          <cell r="AT62">
            <v>2</v>
          </cell>
          <cell r="AU62">
            <v>130</v>
          </cell>
          <cell r="AV62">
            <v>3</v>
          </cell>
          <cell r="AW62">
            <v>406</v>
          </cell>
          <cell r="AX62">
            <v>5</v>
          </cell>
          <cell r="AY62">
            <v>536</v>
          </cell>
          <cell r="AZ62">
            <v>12</v>
          </cell>
          <cell r="BA62">
            <v>1412</v>
          </cell>
        </row>
        <row r="63">
          <cell r="AQ63" t="str">
            <v>Howard Johnson Lodge</v>
          </cell>
          <cell r="AR63">
            <v>0</v>
          </cell>
          <cell r="AS63">
            <v>0</v>
          </cell>
          <cell r="AT63">
            <v>0</v>
          </cell>
          <cell r="AU63">
            <v>0</v>
          </cell>
          <cell r="AV63">
            <v>0</v>
          </cell>
          <cell r="AW63">
            <v>0</v>
          </cell>
          <cell r="AX63">
            <v>0</v>
          </cell>
          <cell r="AY63">
            <v>0</v>
          </cell>
          <cell r="AZ63">
            <v>2</v>
          </cell>
          <cell r="BA63">
            <v>165</v>
          </cell>
        </row>
        <row r="64">
          <cell r="AQ64" t="str">
            <v>Hyatt Hotel</v>
          </cell>
          <cell r="AR64">
            <v>4</v>
          </cell>
          <cell r="AS64">
            <v>1067</v>
          </cell>
          <cell r="AT64">
            <v>5</v>
          </cell>
          <cell r="AU64">
            <v>1845</v>
          </cell>
          <cell r="AV64">
            <v>1</v>
          </cell>
          <cell r="AW64">
            <v>1100</v>
          </cell>
          <cell r="AX64">
            <v>6</v>
          </cell>
          <cell r="AY64">
            <v>2945</v>
          </cell>
          <cell r="AZ64">
            <v>8</v>
          </cell>
          <cell r="BA64">
            <v>3489</v>
          </cell>
        </row>
        <row r="65">
          <cell r="AQ65" t="str">
            <v>Inter-Continental</v>
          </cell>
          <cell r="AR65">
            <v>2</v>
          </cell>
          <cell r="AS65">
            <v>339</v>
          </cell>
          <cell r="AT65">
            <v>0</v>
          </cell>
          <cell r="AU65">
            <v>0</v>
          </cell>
          <cell r="AV65">
            <v>0</v>
          </cell>
          <cell r="AW65">
            <v>0</v>
          </cell>
          <cell r="AX65">
            <v>0</v>
          </cell>
          <cell r="AY65">
            <v>0</v>
          </cell>
          <cell r="AZ65">
            <v>1</v>
          </cell>
          <cell r="BA65">
            <v>425</v>
          </cell>
        </row>
        <row r="66">
          <cell r="AQ66" t="str">
            <v>Intown Suites</v>
          </cell>
          <cell r="AR66">
            <v>10</v>
          </cell>
          <cell r="AS66">
            <v>1208</v>
          </cell>
          <cell r="AT66">
            <v>9</v>
          </cell>
          <cell r="AU66">
            <v>1091</v>
          </cell>
          <cell r="AV66">
            <v>3</v>
          </cell>
          <cell r="AW66">
            <v>363</v>
          </cell>
          <cell r="AX66">
            <v>12</v>
          </cell>
          <cell r="AY66">
            <v>1454</v>
          </cell>
          <cell r="AZ66">
            <v>15</v>
          </cell>
          <cell r="BA66">
            <v>1815</v>
          </cell>
        </row>
        <row r="67">
          <cell r="AQ67" t="str">
            <v>Jameson Inn</v>
          </cell>
          <cell r="AR67">
            <v>17</v>
          </cell>
          <cell r="AS67">
            <v>1092</v>
          </cell>
          <cell r="AT67">
            <v>6</v>
          </cell>
          <cell r="AU67">
            <v>372</v>
          </cell>
          <cell r="AV67">
            <v>7</v>
          </cell>
          <cell r="AW67">
            <v>160</v>
          </cell>
          <cell r="AX67">
            <v>13</v>
          </cell>
          <cell r="AY67">
            <v>532</v>
          </cell>
          <cell r="AZ67">
            <v>2</v>
          </cell>
          <cell r="BA67">
            <v>88</v>
          </cell>
        </row>
        <row r="68">
          <cell r="AQ68" t="str">
            <v>Knights Inn</v>
          </cell>
          <cell r="AR68">
            <v>1</v>
          </cell>
          <cell r="AS68">
            <v>44</v>
          </cell>
          <cell r="AT68">
            <v>0</v>
          </cell>
          <cell r="AU68">
            <v>0</v>
          </cell>
          <cell r="AV68">
            <v>2</v>
          </cell>
          <cell r="AW68">
            <v>100</v>
          </cell>
          <cell r="AX68">
            <v>2</v>
          </cell>
          <cell r="AY68">
            <v>100</v>
          </cell>
          <cell r="AZ68">
            <v>11</v>
          </cell>
          <cell r="BA68">
            <v>697</v>
          </cell>
        </row>
        <row r="69">
          <cell r="C69" t="str">
            <v>Anaheim, CA</v>
          </cell>
          <cell r="D69">
            <v>5</v>
          </cell>
          <cell r="E69">
            <v>844</v>
          </cell>
          <cell r="F69">
            <v>1</v>
          </cell>
          <cell r="G69">
            <v>375</v>
          </cell>
          <cell r="H69">
            <v>1</v>
          </cell>
          <cell r="I69">
            <v>517</v>
          </cell>
          <cell r="J69">
            <v>2</v>
          </cell>
          <cell r="K69">
            <v>892</v>
          </cell>
          <cell r="L69">
            <v>2</v>
          </cell>
          <cell r="M69">
            <v>347</v>
          </cell>
          <cell r="N69">
            <v>1</v>
          </cell>
          <cell r="O69">
            <v>375</v>
          </cell>
          <cell r="P69">
            <v>0</v>
          </cell>
          <cell r="Q69">
            <v>0</v>
          </cell>
          <cell r="R69">
            <v>1</v>
          </cell>
          <cell r="S69">
            <v>90</v>
          </cell>
          <cell r="T69">
            <v>2</v>
          </cell>
          <cell r="U69">
            <v>774</v>
          </cell>
          <cell r="V69">
            <v>2</v>
          </cell>
          <cell r="W69">
            <v>774</v>
          </cell>
          <cell r="X69">
            <v>18</v>
          </cell>
          <cell r="Y69">
            <v>5777</v>
          </cell>
          <cell r="Z69">
            <v>1</v>
          </cell>
          <cell r="AA69">
            <v>167</v>
          </cell>
          <cell r="AQ69" t="str">
            <v>La Quinta Inn</v>
          </cell>
          <cell r="AR69">
            <v>0</v>
          </cell>
          <cell r="AS69">
            <v>0</v>
          </cell>
          <cell r="AT69">
            <v>1</v>
          </cell>
          <cell r="AU69">
            <v>125</v>
          </cell>
          <cell r="AV69">
            <v>1</v>
          </cell>
          <cell r="AW69">
            <v>270</v>
          </cell>
          <cell r="AX69">
            <v>2</v>
          </cell>
          <cell r="AY69">
            <v>395</v>
          </cell>
          <cell r="AZ69">
            <v>1</v>
          </cell>
          <cell r="BA69">
            <v>168</v>
          </cell>
        </row>
        <row r="70">
          <cell r="C70" t="str">
            <v>Atlanta, GA</v>
          </cell>
          <cell r="D70">
            <v>14</v>
          </cell>
          <cell r="E70">
            <v>1922</v>
          </cell>
          <cell r="F70">
            <v>6</v>
          </cell>
          <cell r="G70">
            <v>697</v>
          </cell>
          <cell r="H70">
            <v>0</v>
          </cell>
          <cell r="I70">
            <v>0</v>
          </cell>
          <cell r="J70">
            <v>6</v>
          </cell>
          <cell r="K70">
            <v>697</v>
          </cell>
          <cell r="L70">
            <v>0</v>
          </cell>
          <cell r="M70">
            <v>0</v>
          </cell>
          <cell r="N70">
            <v>5</v>
          </cell>
          <cell r="O70">
            <v>574</v>
          </cell>
          <cell r="P70">
            <v>0</v>
          </cell>
          <cell r="Q70">
            <v>0</v>
          </cell>
          <cell r="R70">
            <v>1</v>
          </cell>
          <cell r="S70">
            <v>123</v>
          </cell>
          <cell r="T70">
            <v>0</v>
          </cell>
          <cell r="U70">
            <v>0</v>
          </cell>
          <cell r="V70">
            <v>0</v>
          </cell>
          <cell r="W70">
            <v>0</v>
          </cell>
          <cell r="X70">
            <v>49</v>
          </cell>
          <cell r="Y70">
            <v>8398</v>
          </cell>
          <cell r="Z70">
            <v>2</v>
          </cell>
          <cell r="AA70">
            <v>162</v>
          </cell>
          <cell r="AQ70" t="str">
            <v>Little America</v>
          </cell>
          <cell r="AR70">
            <v>0</v>
          </cell>
          <cell r="AS70">
            <v>0</v>
          </cell>
          <cell r="AT70">
            <v>1</v>
          </cell>
          <cell r="AU70">
            <v>775</v>
          </cell>
          <cell r="AV70">
            <v>0</v>
          </cell>
          <cell r="AW70">
            <v>0</v>
          </cell>
          <cell r="AX70">
            <v>1</v>
          </cell>
          <cell r="AY70">
            <v>775</v>
          </cell>
          <cell r="AZ70">
            <v>0</v>
          </cell>
          <cell r="BA70">
            <v>0</v>
          </cell>
        </row>
        <row r="71">
          <cell r="C71" t="str">
            <v>Boston, MA</v>
          </cell>
          <cell r="D71">
            <v>9</v>
          </cell>
          <cell r="E71">
            <v>1876</v>
          </cell>
          <cell r="F71">
            <v>3</v>
          </cell>
          <cell r="G71">
            <v>444</v>
          </cell>
          <cell r="H71">
            <v>2</v>
          </cell>
          <cell r="I71">
            <v>494</v>
          </cell>
          <cell r="J71">
            <v>5</v>
          </cell>
          <cell r="K71">
            <v>938</v>
          </cell>
          <cell r="L71">
            <v>0</v>
          </cell>
          <cell r="M71">
            <v>0</v>
          </cell>
          <cell r="N71">
            <v>3</v>
          </cell>
          <cell r="O71">
            <v>444</v>
          </cell>
          <cell r="P71">
            <v>0</v>
          </cell>
          <cell r="Q71">
            <v>0</v>
          </cell>
          <cell r="R71">
            <v>1</v>
          </cell>
          <cell r="S71">
            <v>221</v>
          </cell>
          <cell r="T71">
            <v>1</v>
          </cell>
          <cell r="U71">
            <v>273</v>
          </cell>
          <cell r="V71">
            <v>1</v>
          </cell>
          <cell r="W71">
            <v>273</v>
          </cell>
          <cell r="X71">
            <v>18</v>
          </cell>
          <cell r="Y71">
            <v>3753</v>
          </cell>
          <cell r="Z71">
            <v>2</v>
          </cell>
          <cell r="AA71">
            <v>366</v>
          </cell>
          <cell r="AQ71" t="str">
            <v>Loews Hotel</v>
          </cell>
          <cell r="AR71">
            <v>1</v>
          </cell>
          <cell r="AS71">
            <v>583</v>
          </cell>
          <cell r="AT71">
            <v>1</v>
          </cell>
          <cell r="AU71">
            <v>650</v>
          </cell>
          <cell r="AV71">
            <v>2</v>
          </cell>
          <cell r="AW71">
            <v>1390</v>
          </cell>
          <cell r="AX71">
            <v>3</v>
          </cell>
          <cell r="AY71">
            <v>2040</v>
          </cell>
          <cell r="AZ71">
            <v>0</v>
          </cell>
          <cell r="BA71">
            <v>0</v>
          </cell>
        </row>
        <row r="72">
          <cell r="C72" t="str">
            <v>Chicago, IL</v>
          </cell>
          <cell r="D72">
            <v>12</v>
          </cell>
          <cell r="E72">
            <v>2447</v>
          </cell>
          <cell r="F72">
            <v>2</v>
          </cell>
          <cell r="G72">
            <v>634</v>
          </cell>
          <cell r="H72">
            <v>2</v>
          </cell>
          <cell r="I72">
            <v>500</v>
          </cell>
          <cell r="J72">
            <v>4</v>
          </cell>
          <cell r="K72">
            <v>1134</v>
          </cell>
          <cell r="L72">
            <v>0</v>
          </cell>
          <cell r="M72">
            <v>0</v>
          </cell>
          <cell r="N72">
            <v>2</v>
          </cell>
          <cell r="O72">
            <v>634</v>
          </cell>
          <cell r="P72">
            <v>1</v>
          </cell>
          <cell r="Q72">
            <v>90</v>
          </cell>
          <cell r="R72">
            <v>0</v>
          </cell>
          <cell r="S72">
            <v>0</v>
          </cell>
          <cell r="T72">
            <v>1</v>
          </cell>
          <cell r="U72">
            <v>410</v>
          </cell>
          <cell r="V72">
            <v>1</v>
          </cell>
          <cell r="W72">
            <v>410</v>
          </cell>
          <cell r="X72">
            <v>39</v>
          </cell>
          <cell r="Y72">
            <v>11130</v>
          </cell>
          <cell r="Z72">
            <v>4</v>
          </cell>
          <cell r="AA72">
            <v>895</v>
          </cell>
          <cell r="AQ72" t="str">
            <v>MainStay Suites</v>
          </cell>
          <cell r="AR72">
            <v>5</v>
          </cell>
          <cell r="AS72">
            <v>422</v>
          </cell>
          <cell r="AT72">
            <v>2</v>
          </cell>
          <cell r="AU72">
            <v>140</v>
          </cell>
          <cell r="AV72">
            <v>3</v>
          </cell>
          <cell r="AW72">
            <v>214</v>
          </cell>
          <cell r="AX72">
            <v>5</v>
          </cell>
          <cell r="AY72">
            <v>354</v>
          </cell>
          <cell r="AZ72">
            <v>7</v>
          </cell>
          <cell r="BA72">
            <v>567</v>
          </cell>
        </row>
        <row r="73">
          <cell r="C73" t="str">
            <v>Dallas, TX</v>
          </cell>
          <cell r="D73">
            <v>9</v>
          </cell>
          <cell r="E73">
            <v>1207</v>
          </cell>
          <cell r="F73">
            <v>2</v>
          </cell>
          <cell r="G73">
            <v>644</v>
          </cell>
          <cell r="H73">
            <v>3</v>
          </cell>
          <cell r="I73">
            <v>657</v>
          </cell>
          <cell r="J73">
            <v>5</v>
          </cell>
          <cell r="K73">
            <v>1301</v>
          </cell>
          <cell r="L73">
            <v>2</v>
          </cell>
          <cell r="M73">
            <v>225</v>
          </cell>
          <cell r="N73">
            <v>1</v>
          </cell>
          <cell r="O73">
            <v>244</v>
          </cell>
          <cell r="P73">
            <v>3</v>
          </cell>
          <cell r="Q73">
            <v>600</v>
          </cell>
          <cell r="R73">
            <v>3</v>
          </cell>
          <cell r="S73">
            <v>682</v>
          </cell>
          <cell r="T73">
            <v>0</v>
          </cell>
          <cell r="U73">
            <v>0</v>
          </cell>
          <cell r="V73">
            <v>0</v>
          </cell>
          <cell r="W73">
            <v>0</v>
          </cell>
          <cell r="X73">
            <v>32</v>
          </cell>
          <cell r="Y73">
            <v>5867</v>
          </cell>
          <cell r="Z73">
            <v>0</v>
          </cell>
          <cell r="AA73">
            <v>0</v>
          </cell>
          <cell r="AQ73" t="str">
            <v>Marriott Hotel</v>
          </cell>
          <cell r="AR73">
            <v>12</v>
          </cell>
          <cell r="AS73">
            <v>4238</v>
          </cell>
          <cell r="AT73">
            <v>18</v>
          </cell>
          <cell r="AU73">
            <v>5687</v>
          </cell>
          <cell r="AV73">
            <v>15</v>
          </cell>
          <cell r="AW73">
            <v>6068</v>
          </cell>
          <cell r="AX73">
            <v>33</v>
          </cell>
          <cell r="AY73">
            <v>11755</v>
          </cell>
          <cell r="AZ73">
            <v>15</v>
          </cell>
          <cell r="BA73">
            <v>4999</v>
          </cell>
        </row>
        <row r="74">
          <cell r="C74" t="str">
            <v>Denver, CO</v>
          </cell>
          <cell r="D74">
            <v>6</v>
          </cell>
          <cell r="E74">
            <v>753</v>
          </cell>
          <cell r="F74">
            <v>1</v>
          </cell>
          <cell r="G74">
            <v>71</v>
          </cell>
          <cell r="H74">
            <v>2</v>
          </cell>
          <cell r="I74">
            <v>243</v>
          </cell>
          <cell r="J74">
            <v>3</v>
          </cell>
          <cell r="K74">
            <v>314</v>
          </cell>
          <cell r="L74">
            <v>1</v>
          </cell>
          <cell r="M74">
            <v>174</v>
          </cell>
          <cell r="N74">
            <v>1</v>
          </cell>
          <cell r="O74">
            <v>71</v>
          </cell>
          <cell r="P74">
            <v>2</v>
          </cell>
          <cell r="Q74">
            <v>243</v>
          </cell>
          <cell r="R74">
            <v>1</v>
          </cell>
          <cell r="S74">
            <v>174</v>
          </cell>
          <cell r="T74">
            <v>0</v>
          </cell>
          <cell r="U74">
            <v>0</v>
          </cell>
          <cell r="V74">
            <v>0</v>
          </cell>
          <cell r="W74">
            <v>0</v>
          </cell>
          <cell r="X74">
            <v>19</v>
          </cell>
          <cell r="Y74">
            <v>3774</v>
          </cell>
          <cell r="Z74">
            <v>0</v>
          </cell>
          <cell r="AA74">
            <v>0</v>
          </cell>
          <cell r="AQ74" t="str">
            <v>Meridien Hotel</v>
          </cell>
          <cell r="AR74">
            <v>0</v>
          </cell>
          <cell r="AS74">
            <v>0</v>
          </cell>
          <cell r="AT74">
            <v>1</v>
          </cell>
          <cell r="AU74">
            <v>310</v>
          </cell>
          <cell r="AV74">
            <v>1</v>
          </cell>
          <cell r="AW74">
            <v>366</v>
          </cell>
          <cell r="AX74">
            <v>2</v>
          </cell>
          <cell r="AY74">
            <v>676</v>
          </cell>
          <cell r="AZ74">
            <v>0</v>
          </cell>
          <cell r="BA74">
            <v>0</v>
          </cell>
        </row>
        <row r="75">
          <cell r="C75" t="str">
            <v>Detroit, MI</v>
          </cell>
          <cell r="D75">
            <v>5</v>
          </cell>
          <cell r="E75">
            <v>545</v>
          </cell>
          <cell r="F75">
            <v>0</v>
          </cell>
          <cell r="G75">
            <v>0</v>
          </cell>
          <cell r="H75">
            <v>3</v>
          </cell>
          <cell r="I75">
            <v>560</v>
          </cell>
          <cell r="J75">
            <v>3</v>
          </cell>
          <cell r="K75">
            <v>560</v>
          </cell>
          <cell r="L75">
            <v>5</v>
          </cell>
          <cell r="M75">
            <v>551</v>
          </cell>
          <cell r="N75">
            <v>0</v>
          </cell>
          <cell r="O75">
            <v>0</v>
          </cell>
          <cell r="P75">
            <v>3</v>
          </cell>
          <cell r="Q75">
            <v>281</v>
          </cell>
          <cell r="R75">
            <v>5</v>
          </cell>
          <cell r="S75">
            <v>830</v>
          </cell>
          <cell r="T75">
            <v>0</v>
          </cell>
          <cell r="U75">
            <v>0</v>
          </cell>
          <cell r="V75">
            <v>0</v>
          </cell>
          <cell r="W75">
            <v>0</v>
          </cell>
          <cell r="X75">
            <v>22</v>
          </cell>
          <cell r="Y75">
            <v>3583</v>
          </cell>
          <cell r="Z75">
            <v>3</v>
          </cell>
          <cell r="AA75">
            <v>318</v>
          </cell>
          <cell r="AQ75" t="str">
            <v>Microtel Inn</v>
          </cell>
          <cell r="AR75">
            <v>47</v>
          </cell>
          <cell r="AS75">
            <v>3388</v>
          </cell>
          <cell r="AT75">
            <v>40</v>
          </cell>
          <cell r="AU75">
            <v>2662</v>
          </cell>
          <cell r="AV75">
            <v>27</v>
          </cell>
          <cell r="AW75">
            <v>1715</v>
          </cell>
          <cell r="AX75">
            <v>67</v>
          </cell>
          <cell r="AY75">
            <v>4377</v>
          </cell>
          <cell r="AZ75">
            <v>181</v>
          </cell>
          <cell r="BA75">
            <v>12998</v>
          </cell>
        </row>
        <row r="76">
          <cell r="C76" t="str">
            <v>Houston, TX</v>
          </cell>
          <cell r="D76">
            <v>11</v>
          </cell>
          <cell r="E76">
            <v>1005</v>
          </cell>
          <cell r="F76">
            <v>1</v>
          </cell>
          <cell r="G76">
            <v>91</v>
          </cell>
          <cell r="H76">
            <v>1</v>
          </cell>
          <cell r="I76">
            <v>154</v>
          </cell>
          <cell r="J76">
            <v>2</v>
          </cell>
          <cell r="K76">
            <v>245</v>
          </cell>
          <cell r="L76">
            <v>7</v>
          </cell>
          <cell r="M76">
            <v>1753</v>
          </cell>
          <cell r="N76">
            <v>1</v>
          </cell>
          <cell r="O76">
            <v>91</v>
          </cell>
          <cell r="P76">
            <v>5</v>
          </cell>
          <cell r="Q76">
            <v>414</v>
          </cell>
          <cell r="R76">
            <v>2</v>
          </cell>
          <cell r="S76">
            <v>293</v>
          </cell>
          <cell r="T76">
            <v>0</v>
          </cell>
          <cell r="U76">
            <v>0</v>
          </cell>
          <cell r="V76">
            <v>1</v>
          </cell>
          <cell r="W76">
            <v>1200</v>
          </cell>
          <cell r="X76">
            <v>32</v>
          </cell>
          <cell r="Y76">
            <v>5496</v>
          </cell>
          <cell r="Z76">
            <v>4</v>
          </cell>
          <cell r="AA76">
            <v>338</v>
          </cell>
          <cell r="AQ76" t="str">
            <v>Motel 6</v>
          </cell>
          <cell r="AR76">
            <v>16</v>
          </cell>
          <cell r="AS76">
            <v>1114</v>
          </cell>
          <cell r="AT76">
            <v>1</v>
          </cell>
          <cell r="AU76">
            <v>122</v>
          </cell>
          <cell r="AV76">
            <v>0</v>
          </cell>
          <cell r="AW76">
            <v>0</v>
          </cell>
          <cell r="AX76">
            <v>1</v>
          </cell>
          <cell r="AY76">
            <v>122</v>
          </cell>
          <cell r="AZ76">
            <v>0</v>
          </cell>
          <cell r="BA76">
            <v>0</v>
          </cell>
        </row>
        <row r="77">
          <cell r="C77" t="str">
            <v>Los Angeles, CA</v>
          </cell>
          <cell r="D77">
            <v>2</v>
          </cell>
          <cell r="E77">
            <v>286</v>
          </cell>
          <cell r="F77">
            <v>0</v>
          </cell>
          <cell r="G77">
            <v>0</v>
          </cell>
          <cell r="H77">
            <v>3</v>
          </cell>
          <cell r="I77">
            <v>334</v>
          </cell>
          <cell r="J77">
            <v>3</v>
          </cell>
          <cell r="K77">
            <v>334</v>
          </cell>
          <cell r="L77">
            <v>0</v>
          </cell>
          <cell r="M77">
            <v>0</v>
          </cell>
          <cell r="N77">
            <v>0</v>
          </cell>
          <cell r="O77">
            <v>0</v>
          </cell>
          <cell r="P77">
            <v>1</v>
          </cell>
          <cell r="Q77">
            <v>71</v>
          </cell>
          <cell r="R77">
            <v>2</v>
          </cell>
          <cell r="S77">
            <v>263</v>
          </cell>
          <cell r="T77">
            <v>0</v>
          </cell>
          <cell r="U77">
            <v>0</v>
          </cell>
          <cell r="V77">
            <v>0</v>
          </cell>
          <cell r="W77">
            <v>0</v>
          </cell>
          <cell r="X77">
            <v>28</v>
          </cell>
          <cell r="Y77">
            <v>7923</v>
          </cell>
          <cell r="Z77">
            <v>1</v>
          </cell>
          <cell r="AA77">
            <v>162</v>
          </cell>
          <cell r="AQ77" t="str">
            <v>Omni Hotel</v>
          </cell>
          <cell r="AR77">
            <v>0</v>
          </cell>
          <cell r="AS77">
            <v>0</v>
          </cell>
          <cell r="AT77">
            <v>1</v>
          </cell>
          <cell r="AU77">
            <v>360</v>
          </cell>
          <cell r="AV77">
            <v>0</v>
          </cell>
          <cell r="AW77">
            <v>0</v>
          </cell>
          <cell r="AX77">
            <v>1</v>
          </cell>
          <cell r="AY77">
            <v>360</v>
          </cell>
          <cell r="AZ77">
            <v>2</v>
          </cell>
          <cell r="BA77">
            <v>1325</v>
          </cell>
        </row>
        <row r="78">
          <cell r="C78" t="str">
            <v>Miami, FL</v>
          </cell>
          <cell r="D78">
            <v>3</v>
          </cell>
          <cell r="E78">
            <v>417</v>
          </cell>
          <cell r="F78">
            <v>1</v>
          </cell>
          <cell r="G78">
            <v>131</v>
          </cell>
          <cell r="H78">
            <v>0</v>
          </cell>
          <cell r="I78">
            <v>0</v>
          </cell>
          <cell r="J78">
            <v>1</v>
          </cell>
          <cell r="K78">
            <v>131</v>
          </cell>
          <cell r="L78">
            <v>0</v>
          </cell>
          <cell r="M78">
            <v>0</v>
          </cell>
          <cell r="N78">
            <v>1</v>
          </cell>
          <cell r="O78">
            <v>131</v>
          </cell>
          <cell r="P78">
            <v>0</v>
          </cell>
          <cell r="Q78">
            <v>0</v>
          </cell>
          <cell r="R78">
            <v>0</v>
          </cell>
          <cell r="S78">
            <v>0</v>
          </cell>
          <cell r="T78">
            <v>0</v>
          </cell>
          <cell r="U78">
            <v>0</v>
          </cell>
          <cell r="V78">
            <v>0</v>
          </cell>
          <cell r="W78">
            <v>0</v>
          </cell>
          <cell r="X78">
            <v>14</v>
          </cell>
          <cell r="Y78">
            <v>3520</v>
          </cell>
          <cell r="Z78">
            <v>3</v>
          </cell>
          <cell r="AA78">
            <v>417</v>
          </cell>
          <cell r="AQ78" t="str">
            <v>Passport Inn</v>
          </cell>
          <cell r="AR78">
            <v>1</v>
          </cell>
          <cell r="AS78">
            <v>112</v>
          </cell>
          <cell r="AT78">
            <v>1</v>
          </cell>
          <cell r="AU78">
            <v>36</v>
          </cell>
          <cell r="AV78">
            <v>0</v>
          </cell>
          <cell r="AW78">
            <v>0</v>
          </cell>
          <cell r="AX78">
            <v>1</v>
          </cell>
          <cell r="AY78">
            <v>36</v>
          </cell>
          <cell r="AZ78">
            <v>0</v>
          </cell>
          <cell r="BA78">
            <v>0</v>
          </cell>
        </row>
        <row r="79">
          <cell r="C79" t="str">
            <v>Minneapolis, MN</v>
          </cell>
          <cell r="D79">
            <v>6</v>
          </cell>
          <cell r="E79">
            <v>670</v>
          </cell>
          <cell r="F79">
            <v>0</v>
          </cell>
          <cell r="G79">
            <v>0</v>
          </cell>
          <cell r="H79">
            <v>0</v>
          </cell>
          <cell r="I79">
            <v>0</v>
          </cell>
          <cell r="J79">
            <v>0</v>
          </cell>
          <cell r="K79">
            <v>0</v>
          </cell>
          <cell r="L79">
            <v>1</v>
          </cell>
          <cell r="M79">
            <v>104</v>
          </cell>
          <cell r="N79">
            <v>0</v>
          </cell>
          <cell r="O79">
            <v>0</v>
          </cell>
          <cell r="P79">
            <v>0</v>
          </cell>
          <cell r="Q79">
            <v>0</v>
          </cell>
          <cell r="R79">
            <v>1</v>
          </cell>
          <cell r="S79">
            <v>104</v>
          </cell>
          <cell r="T79">
            <v>0</v>
          </cell>
          <cell r="U79">
            <v>0</v>
          </cell>
          <cell r="V79">
            <v>0</v>
          </cell>
          <cell r="W79">
            <v>0</v>
          </cell>
          <cell r="X79">
            <v>24</v>
          </cell>
          <cell r="Y79">
            <v>4866</v>
          </cell>
          <cell r="Z79">
            <v>1</v>
          </cell>
          <cell r="AA79">
            <v>97</v>
          </cell>
          <cell r="AQ79" t="str">
            <v>Platinum Suites</v>
          </cell>
          <cell r="AR79">
            <v>0</v>
          </cell>
          <cell r="AS79">
            <v>0</v>
          </cell>
          <cell r="AT79">
            <v>0</v>
          </cell>
          <cell r="AU79">
            <v>0</v>
          </cell>
          <cell r="AV79">
            <v>0</v>
          </cell>
          <cell r="AW79">
            <v>0</v>
          </cell>
          <cell r="AX79">
            <v>0</v>
          </cell>
          <cell r="AY79">
            <v>0</v>
          </cell>
          <cell r="AZ79">
            <v>0</v>
          </cell>
          <cell r="BA79">
            <v>0</v>
          </cell>
        </row>
        <row r="80">
          <cell r="C80" t="str">
            <v>Nashville, TN</v>
          </cell>
          <cell r="D80">
            <v>7</v>
          </cell>
          <cell r="E80">
            <v>916</v>
          </cell>
          <cell r="F80">
            <v>4</v>
          </cell>
          <cell r="G80">
            <v>629</v>
          </cell>
          <cell r="H80">
            <v>0</v>
          </cell>
          <cell r="I80">
            <v>0</v>
          </cell>
          <cell r="J80">
            <v>4</v>
          </cell>
          <cell r="K80">
            <v>629</v>
          </cell>
          <cell r="L80">
            <v>0</v>
          </cell>
          <cell r="M80">
            <v>0</v>
          </cell>
          <cell r="N80">
            <v>4</v>
          </cell>
          <cell r="O80">
            <v>629</v>
          </cell>
          <cell r="P80">
            <v>0</v>
          </cell>
          <cell r="Q80">
            <v>0</v>
          </cell>
          <cell r="R80">
            <v>0</v>
          </cell>
          <cell r="S80">
            <v>0</v>
          </cell>
          <cell r="T80">
            <v>0</v>
          </cell>
          <cell r="U80">
            <v>0</v>
          </cell>
          <cell r="V80">
            <v>0</v>
          </cell>
          <cell r="W80">
            <v>0</v>
          </cell>
          <cell r="X80">
            <v>21</v>
          </cell>
          <cell r="Y80">
            <v>3092</v>
          </cell>
          <cell r="Z80">
            <v>2</v>
          </cell>
          <cell r="AA80">
            <v>426</v>
          </cell>
          <cell r="AQ80" t="str">
            <v>Quality Inn</v>
          </cell>
          <cell r="AR80">
            <v>9</v>
          </cell>
          <cell r="AS80">
            <v>568</v>
          </cell>
          <cell r="AT80">
            <v>2</v>
          </cell>
          <cell r="AU80">
            <v>142</v>
          </cell>
          <cell r="AV80">
            <v>10</v>
          </cell>
          <cell r="AW80">
            <v>762</v>
          </cell>
          <cell r="AX80">
            <v>12</v>
          </cell>
          <cell r="AY80">
            <v>904</v>
          </cell>
          <cell r="AZ80">
            <v>12</v>
          </cell>
          <cell r="BA80">
            <v>1066</v>
          </cell>
        </row>
        <row r="81">
          <cell r="C81" t="str">
            <v>New Orleans, LA</v>
          </cell>
          <cell r="D81">
            <v>7</v>
          </cell>
          <cell r="E81">
            <v>1058</v>
          </cell>
          <cell r="F81">
            <v>3</v>
          </cell>
          <cell r="G81">
            <v>269</v>
          </cell>
          <cell r="H81">
            <v>2</v>
          </cell>
          <cell r="I81">
            <v>216</v>
          </cell>
          <cell r="J81">
            <v>5</v>
          </cell>
          <cell r="K81">
            <v>485</v>
          </cell>
          <cell r="L81">
            <v>1</v>
          </cell>
          <cell r="M81">
            <v>310</v>
          </cell>
          <cell r="N81">
            <v>3</v>
          </cell>
          <cell r="O81">
            <v>269</v>
          </cell>
          <cell r="P81">
            <v>1</v>
          </cell>
          <cell r="Q81">
            <v>74</v>
          </cell>
          <cell r="R81">
            <v>1</v>
          </cell>
          <cell r="S81">
            <v>142</v>
          </cell>
          <cell r="T81">
            <v>1</v>
          </cell>
          <cell r="U81">
            <v>310</v>
          </cell>
          <cell r="V81">
            <v>1</v>
          </cell>
          <cell r="W81">
            <v>310</v>
          </cell>
          <cell r="X81">
            <v>14</v>
          </cell>
          <cell r="Y81">
            <v>3992</v>
          </cell>
          <cell r="Z81">
            <v>3</v>
          </cell>
          <cell r="AA81">
            <v>696</v>
          </cell>
          <cell r="AQ81" t="str">
            <v>Quality Inn &amp; Suites</v>
          </cell>
          <cell r="AR81">
            <v>0</v>
          </cell>
          <cell r="AS81">
            <v>0</v>
          </cell>
          <cell r="AT81">
            <v>0</v>
          </cell>
          <cell r="AU81">
            <v>0</v>
          </cell>
          <cell r="AV81">
            <v>0</v>
          </cell>
          <cell r="AW81">
            <v>0</v>
          </cell>
          <cell r="AX81">
            <v>0</v>
          </cell>
          <cell r="AY81">
            <v>0</v>
          </cell>
          <cell r="AZ81">
            <v>0</v>
          </cell>
          <cell r="BA81">
            <v>0</v>
          </cell>
        </row>
        <row r="82">
          <cell r="C82" t="str">
            <v>New York, NY</v>
          </cell>
          <cell r="D82">
            <v>2</v>
          </cell>
          <cell r="E82">
            <v>907</v>
          </cell>
          <cell r="F82">
            <v>1</v>
          </cell>
          <cell r="G82">
            <v>140</v>
          </cell>
          <cell r="H82">
            <v>2</v>
          </cell>
          <cell r="I82">
            <v>244</v>
          </cell>
          <cell r="J82">
            <v>3</v>
          </cell>
          <cell r="K82">
            <v>384</v>
          </cell>
          <cell r="L82">
            <v>0</v>
          </cell>
          <cell r="M82">
            <v>0</v>
          </cell>
          <cell r="N82">
            <v>1</v>
          </cell>
          <cell r="O82">
            <v>140</v>
          </cell>
          <cell r="P82">
            <v>2</v>
          </cell>
          <cell r="Q82">
            <v>244</v>
          </cell>
          <cell r="R82">
            <v>0</v>
          </cell>
          <cell r="S82">
            <v>0</v>
          </cell>
          <cell r="T82">
            <v>0</v>
          </cell>
          <cell r="U82">
            <v>0</v>
          </cell>
          <cell r="V82">
            <v>0</v>
          </cell>
          <cell r="W82">
            <v>0</v>
          </cell>
          <cell r="X82">
            <v>11</v>
          </cell>
          <cell r="Y82">
            <v>6332</v>
          </cell>
          <cell r="Z82">
            <v>2</v>
          </cell>
          <cell r="AA82">
            <v>907</v>
          </cell>
          <cell r="AQ82" t="str">
            <v>Quality Suites</v>
          </cell>
          <cell r="AR82">
            <v>3</v>
          </cell>
          <cell r="AS82">
            <v>271</v>
          </cell>
          <cell r="AT82">
            <v>2</v>
          </cell>
          <cell r="AU82">
            <v>172</v>
          </cell>
          <cell r="AV82">
            <v>0</v>
          </cell>
          <cell r="AW82">
            <v>0</v>
          </cell>
          <cell r="AX82">
            <v>2</v>
          </cell>
          <cell r="AY82">
            <v>172</v>
          </cell>
          <cell r="AZ82">
            <v>2</v>
          </cell>
          <cell r="BA82">
            <v>159</v>
          </cell>
        </row>
        <row r="83">
          <cell r="C83" t="str">
            <v>Norfolk, VA</v>
          </cell>
          <cell r="D83">
            <v>4</v>
          </cell>
          <cell r="E83">
            <v>360</v>
          </cell>
          <cell r="F83">
            <v>0</v>
          </cell>
          <cell r="G83">
            <v>0</v>
          </cell>
          <cell r="H83">
            <v>0</v>
          </cell>
          <cell r="I83">
            <v>0</v>
          </cell>
          <cell r="J83">
            <v>0</v>
          </cell>
          <cell r="K83">
            <v>0</v>
          </cell>
          <cell r="L83">
            <v>3</v>
          </cell>
          <cell r="M83">
            <v>391</v>
          </cell>
          <cell r="N83">
            <v>0</v>
          </cell>
          <cell r="O83">
            <v>0</v>
          </cell>
          <cell r="P83">
            <v>0</v>
          </cell>
          <cell r="Q83">
            <v>0</v>
          </cell>
          <cell r="R83">
            <v>3</v>
          </cell>
          <cell r="S83">
            <v>391</v>
          </cell>
          <cell r="T83">
            <v>0</v>
          </cell>
          <cell r="U83">
            <v>0</v>
          </cell>
          <cell r="V83">
            <v>0</v>
          </cell>
          <cell r="W83">
            <v>0</v>
          </cell>
          <cell r="X83">
            <v>16</v>
          </cell>
          <cell r="Y83">
            <v>2024</v>
          </cell>
          <cell r="Z83">
            <v>1</v>
          </cell>
          <cell r="AA83">
            <v>119</v>
          </cell>
          <cell r="AQ83" t="str">
            <v>Radisson Hotel</v>
          </cell>
          <cell r="AR83">
            <v>2</v>
          </cell>
          <cell r="AS83">
            <v>460</v>
          </cell>
          <cell r="AT83">
            <v>4</v>
          </cell>
          <cell r="AU83">
            <v>648</v>
          </cell>
          <cell r="AV83">
            <v>1</v>
          </cell>
          <cell r="AW83">
            <v>120</v>
          </cell>
          <cell r="AX83">
            <v>5</v>
          </cell>
          <cell r="AY83">
            <v>768</v>
          </cell>
          <cell r="AZ83">
            <v>7</v>
          </cell>
          <cell r="BA83">
            <v>1630</v>
          </cell>
        </row>
        <row r="84">
          <cell r="C84" t="str">
            <v>Oahu Island, HI</v>
          </cell>
          <cell r="D84">
            <v>0</v>
          </cell>
          <cell r="E84">
            <v>0</v>
          </cell>
          <cell r="F84">
            <v>1</v>
          </cell>
          <cell r="G84">
            <v>453</v>
          </cell>
          <cell r="H84">
            <v>0</v>
          </cell>
          <cell r="I84">
            <v>0</v>
          </cell>
          <cell r="J84">
            <v>1</v>
          </cell>
          <cell r="K84">
            <v>453</v>
          </cell>
          <cell r="L84">
            <v>0</v>
          </cell>
          <cell r="M84">
            <v>0</v>
          </cell>
          <cell r="N84">
            <v>1</v>
          </cell>
          <cell r="O84">
            <v>453</v>
          </cell>
          <cell r="P84">
            <v>0</v>
          </cell>
          <cell r="Q84">
            <v>0</v>
          </cell>
          <cell r="R84">
            <v>0</v>
          </cell>
          <cell r="S84">
            <v>0</v>
          </cell>
          <cell r="T84">
            <v>0</v>
          </cell>
          <cell r="U84">
            <v>0</v>
          </cell>
          <cell r="V84">
            <v>0</v>
          </cell>
          <cell r="W84">
            <v>0</v>
          </cell>
          <cell r="X84">
            <v>3</v>
          </cell>
          <cell r="Y84">
            <v>3378</v>
          </cell>
          <cell r="Z84">
            <v>0</v>
          </cell>
          <cell r="AA84">
            <v>0</v>
          </cell>
          <cell r="AQ84" t="str">
            <v>Ramada Inn</v>
          </cell>
          <cell r="AR84">
            <v>6</v>
          </cell>
          <cell r="AS84">
            <v>378</v>
          </cell>
          <cell r="AT84">
            <v>5</v>
          </cell>
          <cell r="AU84">
            <v>414</v>
          </cell>
          <cell r="AV84">
            <v>3</v>
          </cell>
          <cell r="AW84">
            <v>701</v>
          </cell>
          <cell r="AX84">
            <v>8</v>
          </cell>
          <cell r="AY84">
            <v>1115</v>
          </cell>
          <cell r="AZ84">
            <v>17</v>
          </cell>
          <cell r="BA84">
            <v>2356</v>
          </cell>
        </row>
        <row r="85">
          <cell r="C85" t="str">
            <v>Orlando, FL</v>
          </cell>
          <cell r="D85">
            <v>15</v>
          </cell>
          <cell r="E85">
            <v>2174</v>
          </cell>
          <cell r="F85">
            <v>2</v>
          </cell>
          <cell r="G85">
            <v>355</v>
          </cell>
          <cell r="H85">
            <v>1</v>
          </cell>
          <cell r="I85">
            <v>150</v>
          </cell>
          <cell r="J85">
            <v>3</v>
          </cell>
          <cell r="K85">
            <v>505</v>
          </cell>
          <cell r="L85">
            <v>8</v>
          </cell>
          <cell r="M85">
            <v>4606</v>
          </cell>
          <cell r="N85">
            <v>2</v>
          </cell>
          <cell r="O85">
            <v>355</v>
          </cell>
          <cell r="P85">
            <v>0</v>
          </cell>
          <cell r="Q85">
            <v>0</v>
          </cell>
          <cell r="R85">
            <v>5</v>
          </cell>
          <cell r="S85">
            <v>1072</v>
          </cell>
          <cell r="T85">
            <v>3</v>
          </cell>
          <cell r="U85">
            <v>1684</v>
          </cell>
          <cell r="V85">
            <v>4</v>
          </cell>
          <cell r="W85">
            <v>3684</v>
          </cell>
          <cell r="X85">
            <v>34</v>
          </cell>
          <cell r="Y85">
            <v>6840</v>
          </cell>
          <cell r="Z85">
            <v>3</v>
          </cell>
          <cell r="AA85">
            <v>367</v>
          </cell>
          <cell r="AQ85" t="str">
            <v>Ramada Limited</v>
          </cell>
          <cell r="AR85">
            <v>6</v>
          </cell>
          <cell r="AS85">
            <v>305</v>
          </cell>
          <cell r="AT85">
            <v>5</v>
          </cell>
          <cell r="AU85">
            <v>392</v>
          </cell>
          <cell r="AV85">
            <v>4</v>
          </cell>
          <cell r="AW85">
            <v>765</v>
          </cell>
          <cell r="AX85">
            <v>9</v>
          </cell>
          <cell r="AY85">
            <v>1157</v>
          </cell>
          <cell r="AZ85">
            <v>5</v>
          </cell>
          <cell r="BA85">
            <v>1011</v>
          </cell>
        </row>
        <row r="86">
          <cell r="C86" t="str">
            <v>Philadelphia, PA</v>
          </cell>
          <cell r="D86">
            <v>9</v>
          </cell>
          <cell r="E86">
            <v>1255</v>
          </cell>
          <cell r="F86">
            <v>4</v>
          </cell>
          <cell r="G86">
            <v>566</v>
          </cell>
          <cell r="H86">
            <v>1</v>
          </cell>
          <cell r="I86">
            <v>72</v>
          </cell>
          <cell r="J86">
            <v>5</v>
          </cell>
          <cell r="K86">
            <v>638</v>
          </cell>
          <cell r="L86">
            <v>1</v>
          </cell>
          <cell r="M86">
            <v>80</v>
          </cell>
          <cell r="N86">
            <v>2</v>
          </cell>
          <cell r="O86">
            <v>330</v>
          </cell>
          <cell r="P86">
            <v>3</v>
          </cell>
          <cell r="Q86">
            <v>244</v>
          </cell>
          <cell r="R86">
            <v>1</v>
          </cell>
          <cell r="S86">
            <v>144</v>
          </cell>
          <cell r="T86">
            <v>0</v>
          </cell>
          <cell r="U86">
            <v>0</v>
          </cell>
          <cell r="V86">
            <v>0</v>
          </cell>
          <cell r="W86">
            <v>0</v>
          </cell>
          <cell r="X86">
            <v>26</v>
          </cell>
          <cell r="Y86">
            <v>5326</v>
          </cell>
          <cell r="Z86">
            <v>1</v>
          </cell>
          <cell r="AA86">
            <v>279</v>
          </cell>
          <cell r="AQ86" t="str">
            <v>Ramada Plaza</v>
          </cell>
          <cell r="AR86">
            <v>0</v>
          </cell>
          <cell r="AS86">
            <v>0</v>
          </cell>
          <cell r="AT86">
            <v>1</v>
          </cell>
          <cell r="AU86">
            <v>156</v>
          </cell>
          <cell r="AV86">
            <v>1</v>
          </cell>
          <cell r="AW86">
            <v>120</v>
          </cell>
          <cell r="AX86">
            <v>2</v>
          </cell>
          <cell r="AY86">
            <v>276</v>
          </cell>
          <cell r="AZ86">
            <v>0</v>
          </cell>
          <cell r="BA86">
            <v>0</v>
          </cell>
        </row>
        <row r="87">
          <cell r="C87" t="str">
            <v>Phoenix, AZ</v>
          </cell>
          <cell r="D87">
            <v>13</v>
          </cell>
          <cell r="E87">
            <v>1807</v>
          </cell>
          <cell r="F87">
            <v>0</v>
          </cell>
          <cell r="G87">
            <v>0</v>
          </cell>
          <cell r="H87">
            <v>0</v>
          </cell>
          <cell r="I87">
            <v>0</v>
          </cell>
          <cell r="J87">
            <v>0</v>
          </cell>
          <cell r="K87">
            <v>0</v>
          </cell>
          <cell r="L87">
            <v>3</v>
          </cell>
          <cell r="M87">
            <v>450</v>
          </cell>
          <cell r="N87">
            <v>0</v>
          </cell>
          <cell r="O87">
            <v>0</v>
          </cell>
          <cell r="P87">
            <v>1</v>
          </cell>
          <cell r="Q87">
            <v>80</v>
          </cell>
          <cell r="R87">
            <v>2</v>
          </cell>
          <cell r="S87">
            <v>370</v>
          </cell>
          <cell r="T87">
            <v>0</v>
          </cell>
          <cell r="U87">
            <v>0</v>
          </cell>
          <cell r="V87">
            <v>0</v>
          </cell>
          <cell r="W87">
            <v>0</v>
          </cell>
          <cell r="X87">
            <v>36</v>
          </cell>
          <cell r="Y87">
            <v>7785</v>
          </cell>
          <cell r="Z87">
            <v>2</v>
          </cell>
          <cell r="AA87">
            <v>387</v>
          </cell>
          <cell r="AQ87" t="str">
            <v>Red Carpet Inn</v>
          </cell>
          <cell r="AR87">
            <v>1</v>
          </cell>
          <cell r="AS87">
            <v>150</v>
          </cell>
          <cell r="AT87">
            <v>0</v>
          </cell>
          <cell r="AU87">
            <v>0</v>
          </cell>
          <cell r="AV87">
            <v>0</v>
          </cell>
          <cell r="AW87">
            <v>0</v>
          </cell>
          <cell r="AX87">
            <v>0</v>
          </cell>
          <cell r="AY87">
            <v>0</v>
          </cell>
          <cell r="AZ87">
            <v>0</v>
          </cell>
          <cell r="BA87">
            <v>0</v>
          </cell>
        </row>
        <row r="88">
          <cell r="C88" t="str">
            <v>Saint Louis, MO</v>
          </cell>
          <cell r="D88">
            <v>7</v>
          </cell>
          <cell r="E88">
            <v>898</v>
          </cell>
          <cell r="F88">
            <v>1</v>
          </cell>
          <cell r="G88">
            <v>84</v>
          </cell>
          <cell r="H88">
            <v>0</v>
          </cell>
          <cell r="I88">
            <v>0</v>
          </cell>
          <cell r="J88">
            <v>1</v>
          </cell>
          <cell r="K88">
            <v>84</v>
          </cell>
          <cell r="L88">
            <v>3</v>
          </cell>
          <cell r="M88">
            <v>325</v>
          </cell>
          <cell r="N88">
            <v>1</v>
          </cell>
          <cell r="O88">
            <v>84</v>
          </cell>
          <cell r="P88">
            <v>2</v>
          </cell>
          <cell r="Q88">
            <v>175</v>
          </cell>
          <cell r="R88">
            <v>1</v>
          </cell>
          <cell r="S88">
            <v>150</v>
          </cell>
          <cell r="T88">
            <v>0</v>
          </cell>
          <cell r="U88">
            <v>0</v>
          </cell>
          <cell r="V88">
            <v>0</v>
          </cell>
          <cell r="W88">
            <v>0</v>
          </cell>
          <cell r="X88">
            <v>19</v>
          </cell>
          <cell r="Y88">
            <v>3148</v>
          </cell>
          <cell r="Z88">
            <v>3</v>
          </cell>
          <cell r="AA88">
            <v>440</v>
          </cell>
          <cell r="AQ88" t="str">
            <v>Red Lion</v>
          </cell>
          <cell r="AR88">
            <v>0</v>
          </cell>
          <cell r="AS88">
            <v>0</v>
          </cell>
          <cell r="AT88">
            <v>0</v>
          </cell>
          <cell r="AU88">
            <v>0</v>
          </cell>
          <cell r="AV88">
            <v>0</v>
          </cell>
          <cell r="AW88">
            <v>0</v>
          </cell>
          <cell r="AX88">
            <v>0</v>
          </cell>
          <cell r="AY88">
            <v>0</v>
          </cell>
          <cell r="AZ88">
            <v>0</v>
          </cell>
          <cell r="BA88">
            <v>0</v>
          </cell>
        </row>
        <row r="89">
          <cell r="C89" t="str">
            <v>San Diego, CA</v>
          </cell>
          <cell r="D89">
            <v>3</v>
          </cell>
          <cell r="E89">
            <v>542</v>
          </cell>
          <cell r="F89">
            <v>2</v>
          </cell>
          <cell r="G89">
            <v>248</v>
          </cell>
          <cell r="H89">
            <v>1</v>
          </cell>
          <cell r="I89">
            <v>155</v>
          </cell>
          <cell r="J89">
            <v>3</v>
          </cell>
          <cell r="K89">
            <v>403</v>
          </cell>
          <cell r="L89">
            <v>2</v>
          </cell>
          <cell r="M89">
            <v>290</v>
          </cell>
          <cell r="N89">
            <v>2</v>
          </cell>
          <cell r="O89">
            <v>248</v>
          </cell>
          <cell r="P89">
            <v>0</v>
          </cell>
          <cell r="Q89">
            <v>0</v>
          </cell>
          <cell r="R89">
            <v>3</v>
          </cell>
          <cell r="S89">
            <v>445</v>
          </cell>
          <cell r="T89">
            <v>0</v>
          </cell>
          <cell r="U89">
            <v>0</v>
          </cell>
          <cell r="V89">
            <v>0</v>
          </cell>
          <cell r="W89">
            <v>0</v>
          </cell>
          <cell r="X89">
            <v>17</v>
          </cell>
          <cell r="Y89">
            <v>4393</v>
          </cell>
          <cell r="Z89">
            <v>3</v>
          </cell>
          <cell r="AA89">
            <v>542</v>
          </cell>
          <cell r="AQ89" t="str">
            <v>Red Roof Inn</v>
          </cell>
          <cell r="AR89">
            <v>16</v>
          </cell>
          <cell r="AS89">
            <v>1327</v>
          </cell>
          <cell r="AT89">
            <v>1</v>
          </cell>
          <cell r="AU89">
            <v>113</v>
          </cell>
          <cell r="AV89">
            <v>4</v>
          </cell>
          <cell r="AW89">
            <v>476</v>
          </cell>
          <cell r="AX89">
            <v>5</v>
          </cell>
          <cell r="AY89">
            <v>589</v>
          </cell>
          <cell r="AZ89">
            <v>5</v>
          </cell>
          <cell r="BA89">
            <v>561</v>
          </cell>
        </row>
        <row r="90">
          <cell r="C90" t="str">
            <v>San Francisco, CA</v>
          </cell>
          <cell r="D90">
            <v>4</v>
          </cell>
          <cell r="E90">
            <v>556</v>
          </cell>
          <cell r="F90">
            <v>2</v>
          </cell>
          <cell r="G90">
            <v>148</v>
          </cell>
          <cell r="H90">
            <v>2</v>
          </cell>
          <cell r="I90">
            <v>492</v>
          </cell>
          <cell r="J90">
            <v>4</v>
          </cell>
          <cell r="K90">
            <v>640</v>
          </cell>
          <cell r="L90">
            <v>4</v>
          </cell>
          <cell r="M90">
            <v>843</v>
          </cell>
          <cell r="N90">
            <v>2</v>
          </cell>
          <cell r="O90">
            <v>148</v>
          </cell>
          <cell r="P90">
            <v>0</v>
          </cell>
          <cell r="Q90">
            <v>0</v>
          </cell>
          <cell r="R90">
            <v>4</v>
          </cell>
          <cell r="S90">
            <v>775</v>
          </cell>
          <cell r="T90">
            <v>1</v>
          </cell>
          <cell r="U90">
            <v>160</v>
          </cell>
          <cell r="V90">
            <v>2</v>
          </cell>
          <cell r="W90">
            <v>560</v>
          </cell>
          <cell r="X90">
            <v>11</v>
          </cell>
          <cell r="Y90">
            <v>4097</v>
          </cell>
          <cell r="Z90">
            <v>1</v>
          </cell>
          <cell r="AA90">
            <v>132</v>
          </cell>
          <cell r="AQ90" t="str">
            <v>Renaissance Hotel</v>
          </cell>
          <cell r="AR90">
            <v>3</v>
          </cell>
          <cell r="AS90">
            <v>640</v>
          </cell>
          <cell r="AT90">
            <v>11</v>
          </cell>
          <cell r="AU90">
            <v>2967</v>
          </cell>
          <cell r="AV90">
            <v>5</v>
          </cell>
          <cell r="AW90">
            <v>1930</v>
          </cell>
          <cell r="AX90">
            <v>16</v>
          </cell>
          <cell r="AY90">
            <v>4897</v>
          </cell>
          <cell r="AZ90">
            <v>9</v>
          </cell>
          <cell r="BA90">
            <v>2638</v>
          </cell>
        </row>
        <row r="91">
          <cell r="C91" t="str">
            <v>Seattle, WA</v>
          </cell>
          <cell r="D91">
            <v>4</v>
          </cell>
          <cell r="E91">
            <v>576</v>
          </cell>
          <cell r="F91">
            <v>1</v>
          </cell>
          <cell r="G91">
            <v>265</v>
          </cell>
          <cell r="H91">
            <v>1</v>
          </cell>
          <cell r="I91">
            <v>85</v>
          </cell>
          <cell r="J91">
            <v>2</v>
          </cell>
          <cell r="K91">
            <v>350</v>
          </cell>
          <cell r="L91">
            <v>0</v>
          </cell>
          <cell r="M91">
            <v>0</v>
          </cell>
          <cell r="N91">
            <v>1</v>
          </cell>
          <cell r="O91">
            <v>265</v>
          </cell>
          <cell r="P91">
            <v>1</v>
          </cell>
          <cell r="Q91">
            <v>85</v>
          </cell>
          <cell r="R91">
            <v>0</v>
          </cell>
          <cell r="S91">
            <v>0</v>
          </cell>
          <cell r="T91">
            <v>0</v>
          </cell>
          <cell r="U91">
            <v>0</v>
          </cell>
          <cell r="V91">
            <v>0</v>
          </cell>
          <cell r="W91">
            <v>0</v>
          </cell>
          <cell r="X91">
            <v>19</v>
          </cell>
          <cell r="Y91">
            <v>4251</v>
          </cell>
          <cell r="Z91">
            <v>1</v>
          </cell>
          <cell r="AA91">
            <v>131</v>
          </cell>
          <cell r="AQ91" t="str">
            <v>Residence Inn</v>
          </cell>
          <cell r="AR91">
            <v>34</v>
          </cell>
          <cell r="AS91">
            <v>3647</v>
          </cell>
          <cell r="AT91">
            <v>31</v>
          </cell>
          <cell r="AU91">
            <v>4195</v>
          </cell>
          <cell r="AV91">
            <v>53</v>
          </cell>
          <cell r="AW91">
            <v>6474</v>
          </cell>
          <cell r="AX91">
            <v>84</v>
          </cell>
          <cell r="AY91">
            <v>10669</v>
          </cell>
          <cell r="AZ91">
            <v>28</v>
          </cell>
          <cell r="BA91">
            <v>3922</v>
          </cell>
        </row>
        <row r="92">
          <cell r="C92" t="str">
            <v>Tampa, FL</v>
          </cell>
          <cell r="D92">
            <v>8</v>
          </cell>
          <cell r="E92">
            <v>1010</v>
          </cell>
          <cell r="F92">
            <v>2</v>
          </cell>
          <cell r="G92">
            <v>236</v>
          </cell>
          <cell r="H92">
            <v>1</v>
          </cell>
          <cell r="I92">
            <v>84</v>
          </cell>
          <cell r="J92">
            <v>3</v>
          </cell>
          <cell r="K92">
            <v>320</v>
          </cell>
          <cell r="L92">
            <v>1</v>
          </cell>
          <cell r="M92">
            <v>150</v>
          </cell>
          <cell r="N92">
            <v>1</v>
          </cell>
          <cell r="O92">
            <v>86</v>
          </cell>
          <cell r="P92">
            <v>2</v>
          </cell>
          <cell r="Q92">
            <v>234</v>
          </cell>
          <cell r="R92">
            <v>1</v>
          </cell>
          <cell r="S92">
            <v>150</v>
          </cell>
          <cell r="T92">
            <v>0</v>
          </cell>
          <cell r="U92">
            <v>0</v>
          </cell>
          <cell r="V92">
            <v>0</v>
          </cell>
          <cell r="W92">
            <v>0</v>
          </cell>
          <cell r="X92">
            <v>22</v>
          </cell>
          <cell r="Y92">
            <v>3829</v>
          </cell>
          <cell r="Z92">
            <v>2</v>
          </cell>
          <cell r="AA92">
            <v>280</v>
          </cell>
          <cell r="AQ92" t="str">
            <v>Ritz-Carlton</v>
          </cell>
          <cell r="AR92">
            <v>3</v>
          </cell>
          <cell r="AS92">
            <v>1082</v>
          </cell>
          <cell r="AT92">
            <v>12</v>
          </cell>
          <cell r="AU92">
            <v>2895</v>
          </cell>
          <cell r="AV92">
            <v>7</v>
          </cell>
          <cell r="AW92">
            <v>2434</v>
          </cell>
          <cell r="AX92">
            <v>19</v>
          </cell>
          <cell r="AY92">
            <v>5329</v>
          </cell>
          <cell r="AZ92">
            <v>4</v>
          </cell>
          <cell r="BA92">
            <v>1183</v>
          </cell>
        </row>
        <row r="93">
          <cell r="C93" t="str">
            <v>Washington, DC</v>
          </cell>
          <cell r="D93">
            <v>13</v>
          </cell>
          <cell r="E93">
            <v>1749</v>
          </cell>
          <cell r="F93">
            <v>4</v>
          </cell>
          <cell r="G93">
            <v>565</v>
          </cell>
          <cell r="H93">
            <v>2</v>
          </cell>
          <cell r="I93">
            <v>240</v>
          </cell>
          <cell r="J93">
            <v>6</v>
          </cell>
          <cell r="K93">
            <v>805</v>
          </cell>
          <cell r="L93">
            <v>3</v>
          </cell>
          <cell r="M93">
            <v>840</v>
          </cell>
          <cell r="N93">
            <v>2</v>
          </cell>
          <cell r="O93">
            <v>255</v>
          </cell>
          <cell r="P93">
            <v>3</v>
          </cell>
          <cell r="Q93">
            <v>460</v>
          </cell>
          <cell r="R93">
            <v>3</v>
          </cell>
          <cell r="S93">
            <v>380</v>
          </cell>
          <cell r="T93">
            <v>0</v>
          </cell>
          <cell r="U93">
            <v>0</v>
          </cell>
          <cell r="V93">
            <v>1</v>
          </cell>
          <cell r="W93">
            <v>550</v>
          </cell>
          <cell r="X93">
            <v>46</v>
          </cell>
          <cell r="Y93">
            <v>10813</v>
          </cell>
          <cell r="Z93">
            <v>7</v>
          </cell>
          <cell r="AA93">
            <v>1036</v>
          </cell>
          <cell r="AQ93" t="str">
            <v>Scottish Inn</v>
          </cell>
          <cell r="AR93">
            <v>3</v>
          </cell>
          <cell r="AS93">
            <v>91</v>
          </cell>
          <cell r="AT93">
            <v>0</v>
          </cell>
          <cell r="AU93">
            <v>0</v>
          </cell>
          <cell r="AV93">
            <v>0</v>
          </cell>
          <cell r="AW93">
            <v>0</v>
          </cell>
          <cell r="AX93">
            <v>0</v>
          </cell>
          <cell r="AY93">
            <v>0</v>
          </cell>
          <cell r="AZ93">
            <v>0</v>
          </cell>
          <cell r="BA93">
            <v>0</v>
          </cell>
        </row>
        <row r="94">
          <cell r="AQ94" t="str">
            <v>Sheraton Hotel</v>
          </cell>
          <cell r="AR94">
            <v>1</v>
          </cell>
          <cell r="AS94">
            <v>286</v>
          </cell>
          <cell r="AT94">
            <v>6</v>
          </cell>
          <cell r="AU94">
            <v>1797</v>
          </cell>
          <cell r="AV94">
            <v>3</v>
          </cell>
          <cell r="AW94">
            <v>2564</v>
          </cell>
          <cell r="AX94">
            <v>9</v>
          </cell>
          <cell r="AY94">
            <v>4361</v>
          </cell>
          <cell r="AZ94">
            <v>2</v>
          </cell>
          <cell r="BA94">
            <v>425</v>
          </cell>
        </row>
        <row r="95">
          <cell r="AQ95" t="str">
            <v>Shoney's Inn</v>
          </cell>
          <cell r="AR95">
            <v>2</v>
          </cell>
          <cell r="AS95">
            <v>105</v>
          </cell>
          <cell r="AT95">
            <v>0</v>
          </cell>
          <cell r="AU95">
            <v>0</v>
          </cell>
          <cell r="AV95">
            <v>0</v>
          </cell>
          <cell r="AW95">
            <v>0</v>
          </cell>
          <cell r="AX95">
            <v>0</v>
          </cell>
          <cell r="AY95">
            <v>0</v>
          </cell>
          <cell r="AZ95">
            <v>0</v>
          </cell>
          <cell r="BA95">
            <v>0</v>
          </cell>
        </row>
        <row r="96">
          <cell r="AQ96" t="str">
            <v>Sierra Suites</v>
          </cell>
          <cell r="AR96">
            <v>1</v>
          </cell>
          <cell r="AS96">
            <v>137</v>
          </cell>
          <cell r="AT96">
            <v>0</v>
          </cell>
          <cell r="AU96">
            <v>0</v>
          </cell>
          <cell r="AV96">
            <v>0</v>
          </cell>
          <cell r="AW96">
            <v>0</v>
          </cell>
          <cell r="AX96">
            <v>0</v>
          </cell>
          <cell r="AY96">
            <v>0</v>
          </cell>
          <cell r="AZ96">
            <v>0</v>
          </cell>
          <cell r="BA96">
            <v>0</v>
          </cell>
        </row>
        <row r="97">
          <cell r="AQ97" t="str">
            <v>Sleep Inn</v>
          </cell>
          <cell r="AR97">
            <v>35</v>
          </cell>
          <cell r="AS97">
            <v>2689</v>
          </cell>
          <cell r="AT97">
            <v>10</v>
          </cell>
          <cell r="AU97">
            <v>748</v>
          </cell>
          <cell r="AV97">
            <v>21</v>
          </cell>
          <cell r="AW97">
            <v>1584</v>
          </cell>
          <cell r="AX97">
            <v>31</v>
          </cell>
          <cell r="AY97">
            <v>2332</v>
          </cell>
          <cell r="AZ97">
            <v>32</v>
          </cell>
          <cell r="BA97">
            <v>2353</v>
          </cell>
        </row>
        <row r="98">
          <cell r="AQ98" t="str">
            <v>SpringHill Suites</v>
          </cell>
          <cell r="AR98">
            <v>27</v>
          </cell>
          <cell r="AS98">
            <v>3177</v>
          </cell>
          <cell r="AT98">
            <v>21</v>
          </cell>
          <cell r="AU98">
            <v>2911</v>
          </cell>
          <cell r="AV98">
            <v>32</v>
          </cell>
          <cell r="AW98">
            <v>4114</v>
          </cell>
          <cell r="AX98">
            <v>53</v>
          </cell>
          <cell r="AY98">
            <v>7025</v>
          </cell>
          <cell r="AZ98">
            <v>16</v>
          </cell>
          <cell r="BA98">
            <v>2567</v>
          </cell>
        </row>
        <row r="99">
          <cell r="AQ99" t="str">
            <v>Staybridge Suites</v>
          </cell>
          <cell r="AR99">
            <v>12</v>
          </cell>
          <cell r="AS99">
            <v>1439</v>
          </cell>
          <cell r="AT99">
            <v>20</v>
          </cell>
          <cell r="AU99">
            <v>2174</v>
          </cell>
          <cell r="AV99">
            <v>11</v>
          </cell>
          <cell r="AW99">
            <v>1132</v>
          </cell>
          <cell r="AX99">
            <v>31</v>
          </cell>
          <cell r="AY99">
            <v>3306</v>
          </cell>
          <cell r="AZ99">
            <v>17</v>
          </cell>
          <cell r="BA99">
            <v>1832</v>
          </cell>
        </row>
        <row r="100">
          <cell r="AQ100" t="str">
            <v>Studio 6</v>
          </cell>
          <cell r="AR100">
            <v>3</v>
          </cell>
          <cell r="AS100">
            <v>370</v>
          </cell>
          <cell r="AT100">
            <v>0</v>
          </cell>
          <cell r="AU100">
            <v>0</v>
          </cell>
          <cell r="AV100">
            <v>1</v>
          </cell>
          <cell r="AW100">
            <v>124</v>
          </cell>
          <cell r="AX100">
            <v>1</v>
          </cell>
          <cell r="AY100">
            <v>124</v>
          </cell>
          <cell r="AZ100">
            <v>1</v>
          </cell>
          <cell r="BA100">
            <v>124</v>
          </cell>
        </row>
        <row r="101">
          <cell r="AQ101" t="str">
            <v>StudioPlus Hotel</v>
          </cell>
          <cell r="AR101">
            <v>1</v>
          </cell>
          <cell r="AS101">
            <v>86</v>
          </cell>
          <cell r="AT101">
            <v>2</v>
          </cell>
          <cell r="AU101">
            <v>196</v>
          </cell>
          <cell r="AV101">
            <v>0</v>
          </cell>
          <cell r="AW101">
            <v>0</v>
          </cell>
          <cell r="AX101">
            <v>2</v>
          </cell>
          <cell r="AY101">
            <v>196</v>
          </cell>
          <cell r="AZ101">
            <v>0</v>
          </cell>
          <cell r="BA101">
            <v>0</v>
          </cell>
        </row>
        <row r="102">
          <cell r="AQ102" t="str">
            <v>Suburban Lodge</v>
          </cell>
          <cell r="AR102">
            <v>11</v>
          </cell>
          <cell r="AS102">
            <v>1641</v>
          </cell>
          <cell r="AT102">
            <v>2</v>
          </cell>
          <cell r="AU102">
            <v>281</v>
          </cell>
          <cell r="AV102">
            <v>3</v>
          </cell>
          <cell r="AW102">
            <v>367</v>
          </cell>
          <cell r="AX102">
            <v>5</v>
          </cell>
          <cell r="AY102">
            <v>648</v>
          </cell>
          <cell r="AZ102">
            <v>2</v>
          </cell>
          <cell r="BA102">
            <v>290</v>
          </cell>
        </row>
        <row r="103">
          <cell r="AQ103" t="str">
            <v>Summerfield Suites by Wyndham</v>
          </cell>
          <cell r="AR103">
            <v>2</v>
          </cell>
          <cell r="AS103">
            <v>291</v>
          </cell>
          <cell r="AT103">
            <v>0</v>
          </cell>
          <cell r="AU103">
            <v>0</v>
          </cell>
          <cell r="AV103">
            <v>0</v>
          </cell>
          <cell r="AW103">
            <v>0</v>
          </cell>
          <cell r="AX103">
            <v>0</v>
          </cell>
          <cell r="AY103">
            <v>0</v>
          </cell>
          <cell r="AZ103">
            <v>0</v>
          </cell>
          <cell r="BA103">
            <v>0</v>
          </cell>
        </row>
        <row r="104">
          <cell r="AQ104" t="str">
            <v>Sumner Suites</v>
          </cell>
          <cell r="AR104">
            <v>0</v>
          </cell>
          <cell r="AS104">
            <v>0</v>
          </cell>
          <cell r="AT104">
            <v>0</v>
          </cell>
          <cell r="AU104">
            <v>0</v>
          </cell>
          <cell r="AV104">
            <v>0</v>
          </cell>
          <cell r="AW104">
            <v>0</v>
          </cell>
          <cell r="AX104">
            <v>0</v>
          </cell>
          <cell r="AY104">
            <v>0</v>
          </cell>
          <cell r="AZ104">
            <v>0</v>
          </cell>
          <cell r="BA104">
            <v>0</v>
          </cell>
        </row>
        <row r="105">
          <cell r="AQ105" t="str">
            <v>Sun Suites</v>
          </cell>
          <cell r="AR105">
            <v>2</v>
          </cell>
          <cell r="AS105">
            <v>270</v>
          </cell>
          <cell r="AT105">
            <v>1</v>
          </cell>
          <cell r="AU105">
            <v>135</v>
          </cell>
          <cell r="AV105">
            <v>0</v>
          </cell>
          <cell r="AW105">
            <v>0</v>
          </cell>
          <cell r="AX105">
            <v>1</v>
          </cell>
          <cell r="AY105">
            <v>135</v>
          </cell>
          <cell r="AZ105">
            <v>0</v>
          </cell>
          <cell r="BA105">
            <v>0</v>
          </cell>
        </row>
        <row r="106">
          <cell r="AQ106" t="str">
            <v>Super 8</v>
          </cell>
          <cell r="AR106">
            <v>48</v>
          </cell>
          <cell r="AS106">
            <v>2513</v>
          </cell>
          <cell r="AT106">
            <v>26</v>
          </cell>
          <cell r="AU106">
            <v>1378</v>
          </cell>
          <cell r="AV106">
            <v>17</v>
          </cell>
          <cell r="AW106">
            <v>1013</v>
          </cell>
          <cell r="AX106">
            <v>43</v>
          </cell>
          <cell r="AY106">
            <v>2391</v>
          </cell>
          <cell r="AZ106">
            <v>79</v>
          </cell>
          <cell r="BA106">
            <v>5734</v>
          </cell>
        </row>
        <row r="107">
          <cell r="AQ107" t="str">
            <v>TownePlace Suites</v>
          </cell>
          <cell r="AR107">
            <v>22</v>
          </cell>
          <cell r="AS107">
            <v>2410</v>
          </cell>
          <cell r="AT107">
            <v>9</v>
          </cell>
          <cell r="AU107">
            <v>1027</v>
          </cell>
          <cell r="AV107">
            <v>7</v>
          </cell>
          <cell r="AW107">
            <v>727</v>
          </cell>
          <cell r="AX107">
            <v>16</v>
          </cell>
          <cell r="AY107">
            <v>1754</v>
          </cell>
          <cell r="AZ107">
            <v>5</v>
          </cell>
          <cell r="BA107">
            <v>531</v>
          </cell>
        </row>
        <row r="108">
          <cell r="AQ108" t="str">
            <v>Travelodge</v>
          </cell>
          <cell r="AR108">
            <v>6</v>
          </cell>
          <cell r="AS108">
            <v>367</v>
          </cell>
          <cell r="AT108">
            <v>4</v>
          </cell>
          <cell r="AU108">
            <v>261</v>
          </cell>
          <cell r="AV108">
            <v>5</v>
          </cell>
          <cell r="AW108">
            <v>465</v>
          </cell>
          <cell r="AX108">
            <v>9</v>
          </cell>
          <cell r="AY108">
            <v>726</v>
          </cell>
          <cell r="AZ108">
            <v>9</v>
          </cell>
          <cell r="BA108">
            <v>868</v>
          </cell>
        </row>
        <row r="109">
          <cell r="AQ109" t="str">
            <v>Villager Lodge</v>
          </cell>
          <cell r="AR109">
            <v>1</v>
          </cell>
          <cell r="AS109">
            <v>40</v>
          </cell>
          <cell r="AT109">
            <v>0</v>
          </cell>
          <cell r="AU109">
            <v>0</v>
          </cell>
          <cell r="AV109">
            <v>0</v>
          </cell>
          <cell r="AW109">
            <v>0</v>
          </cell>
          <cell r="AX109">
            <v>0</v>
          </cell>
          <cell r="AY109">
            <v>0</v>
          </cell>
          <cell r="AZ109">
            <v>18</v>
          </cell>
          <cell r="BA109">
            <v>1800</v>
          </cell>
        </row>
        <row r="110">
          <cell r="AQ110" t="str">
            <v>W Hotel</v>
          </cell>
          <cell r="AR110">
            <v>2</v>
          </cell>
          <cell r="AS110">
            <v>444</v>
          </cell>
          <cell r="AT110">
            <v>2</v>
          </cell>
          <cell r="AU110">
            <v>774</v>
          </cell>
          <cell r="AV110">
            <v>1</v>
          </cell>
          <cell r="AW110">
            <v>192</v>
          </cell>
          <cell r="AX110">
            <v>3</v>
          </cell>
          <cell r="AY110">
            <v>966</v>
          </cell>
          <cell r="AZ110">
            <v>0</v>
          </cell>
          <cell r="BA110">
            <v>0</v>
          </cell>
        </row>
        <row r="111">
          <cell r="AQ111" t="str">
            <v>Wellesley Inn</v>
          </cell>
          <cell r="AR111">
            <v>0</v>
          </cell>
          <cell r="AS111">
            <v>0</v>
          </cell>
          <cell r="AT111">
            <v>1</v>
          </cell>
          <cell r="AU111">
            <v>65</v>
          </cell>
          <cell r="AV111">
            <v>0</v>
          </cell>
          <cell r="AW111">
            <v>0</v>
          </cell>
          <cell r="AX111">
            <v>1</v>
          </cell>
          <cell r="AY111">
            <v>65</v>
          </cell>
          <cell r="AZ111">
            <v>0</v>
          </cell>
          <cell r="BA111">
            <v>0</v>
          </cell>
        </row>
        <row r="112">
          <cell r="C112" t="str">
            <v>Anaheim, CA</v>
          </cell>
          <cell r="D112">
            <v>1</v>
          </cell>
          <cell r="E112">
            <v>140</v>
          </cell>
          <cell r="F112">
            <v>2</v>
          </cell>
          <cell r="G112">
            <v>545</v>
          </cell>
          <cell r="H112">
            <v>4</v>
          </cell>
          <cell r="I112">
            <v>719</v>
          </cell>
          <cell r="J112">
            <v>6</v>
          </cell>
          <cell r="K112">
            <v>1264</v>
          </cell>
          <cell r="L112">
            <v>1</v>
          </cell>
          <cell r="M112">
            <v>308</v>
          </cell>
          <cell r="N112">
            <v>2</v>
          </cell>
          <cell r="O112">
            <v>545</v>
          </cell>
          <cell r="P112">
            <v>0</v>
          </cell>
          <cell r="Q112">
            <v>0</v>
          </cell>
          <cell r="R112">
            <v>4</v>
          </cell>
          <cell r="S112">
            <v>719</v>
          </cell>
          <cell r="T112">
            <v>1</v>
          </cell>
          <cell r="U112">
            <v>308</v>
          </cell>
          <cell r="V112">
            <v>1</v>
          </cell>
          <cell r="W112">
            <v>308</v>
          </cell>
          <cell r="X112">
            <v>26</v>
          </cell>
          <cell r="Y112">
            <v>6452</v>
          </cell>
          <cell r="Z112">
            <v>0</v>
          </cell>
          <cell r="AA112">
            <v>0</v>
          </cell>
          <cell r="AQ112" t="str">
            <v>WestCoast</v>
          </cell>
          <cell r="AR112">
            <v>0</v>
          </cell>
          <cell r="AS112">
            <v>0</v>
          </cell>
          <cell r="AT112">
            <v>0</v>
          </cell>
          <cell r="AU112">
            <v>0</v>
          </cell>
          <cell r="AV112">
            <v>0</v>
          </cell>
          <cell r="AW112">
            <v>0</v>
          </cell>
          <cell r="AX112">
            <v>0</v>
          </cell>
          <cell r="AY112">
            <v>0</v>
          </cell>
          <cell r="AZ112">
            <v>1</v>
          </cell>
          <cell r="BA112">
            <v>100</v>
          </cell>
        </row>
        <row r="113">
          <cell r="C113" t="str">
            <v>Atlanta, GA</v>
          </cell>
          <cell r="D113">
            <v>20</v>
          </cell>
          <cell r="E113">
            <v>2279</v>
          </cell>
          <cell r="F113">
            <v>2</v>
          </cell>
          <cell r="G113">
            <v>247</v>
          </cell>
          <cell r="H113">
            <v>4</v>
          </cell>
          <cell r="I113">
            <v>395</v>
          </cell>
          <cell r="J113">
            <v>6</v>
          </cell>
          <cell r="K113">
            <v>642</v>
          </cell>
          <cell r="L113">
            <v>4</v>
          </cell>
          <cell r="M113">
            <v>719</v>
          </cell>
          <cell r="N113">
            <v>3</v>
          </cell>
          <cell r="O113">
            <v>344</v>
          </cell>
          <cell r="P113">
            <v>1</v>
          </cell>
          <cell r="Q113">
            <v>98</v>
          </cell>
          <cell r="R113">
            <v>6</v>
          </cell>
          <cell r="S113">
            <v>919</v>
          </cell>
          <cell r="T113">
            <v>0</v>
          </cell>
          <cell r="U113">
            <v>0</v>
          </cell>
          <cell r="V113">
            <v>0</v>
          </cell>
          <cell r="W113">
            <v>0</v>
          </cell>
          <cell r="X113">
            <v>74</v>
          </cell>
          <cell r="Y113">
            <v>15242</v>
          </cell>
          <cell r="Z113">
            <v>6</v>
          </cell>
          <cell r="AA113">
            <v>806</v>
          </cell>
          <cell r="AQ113" t="str">
            <v>Westin  Hotel</v>
          </cell>
          <cell r="AR113">
            <v>4</v>
          </cell>
          <cell r="AS113">
            <v>1055</v>
          </cell>
          <cell r="AT113">
            <v>6</v>
          </cell>
          <cell r="AU113">
            <v>2883</v>
          </cell>
          <cell r="AV113">
            <v>3</v>
          </cell>
          <cell r="AW113">
            <v>1458</v>
          </cell>
          <cell r="AX113">
            <v>9</v>
          </cell>
          <cell r="AY113">
            <v>4341</v>
          </cell>
          <cell r="AZ113">
            <v>4</v>
          </cell>
          <cell r="BA113">
            <v>1480</v>
          </cell>
        </row>
        <row r="114">
          <cell r="C114" t="str">
            <v>Boston, MA</v>
          </cell>
          <cell r="D114">
            <v>7</v>
          </cell>
          <cell r="E114">
            <v>899</v>
          </cell>
          <cell r="F114">
            <v>7</v>
          </cell>
          <cell r="G114">
            <v>1272</v>
          </cell>
          <cell r="H114">
            <v>7</v>
          </cell>
          <cell r="I114">
            <v>1109</v>
          </cell>
          <cell r="J114">
            <v>14</v>
          </cell>
          <cell r="K114">
            <v>2381</v>
          </cell>
          <cell r="L114">
            <v>2</v>
          </cell>
          <cell r="M114">
            <v>307</v>
          </cell>
          <cell r="N114">
            <v>7</v>
          </cell>
          <cell r="O114">
            <v>1272</v>
          </cell>
          <cell r="P114">
            <v>2</v>
          </cell>
          <cell r="Q114">
            <v>312</v>
          </cell>
          <cell r="R114">
            <v>7</v>
          </cell>
          <cell r="S114">
            <v>1104</v>
          </cell>
          <cell r="T114">
            <v>0</v>
          </cell>
          <cell r="U114">
            <v>0</v>
          </cell>
          <cell r="V114">
            <v>0</v>
          </cell>
          <cell r="W114">
            <v>0</v>
          </cell>
          <cell r="X114">
            <v>28</v>
          </cell>
          <cell r="Y114">
            <v>6055</v>
          </cell>
          <cell r="Z114">
            <v>2</v>
          </cell>
          <cell r="AA114">
            <v>279</v>
          </cell>
          <cell r="AQ114" t="str">
            <v>Wingate Inn</v>
          </cell>
          <cell r="AR114">
            <v>22</v>
          </cell>
          <cell r="AS114">
            <v>2052</v>
          </cell>
          <cell r="AT114">
            <v>23</v>
          </cell>
          <cell r="AU114">
            <v>2256</v>
          </cell>
          <cell r="AV114">
            <v>27</v>
          </cell>
          <cell r="AW114">
            <v>2714</v>
          </cell>
          <cell r="AX114">
            <v>50</v>
          </cell>
          <cell r="AY114">
            <v>4970</v>
          </cell>
          <cell r="AZ114">
            <v>80</v>
          </cell>
          <cell r="BA114">
            <v>8974</v>
          </cell>
        </row>
        <row r="115">
          <cell r="C115" t="str">
            <v>Chicago, IL</v>
          </cell>
          <cell r="D115">
            <v>4</v>
          </cell>
          <cell r="E115">
            <v>585</v>
          </cell>
          <cell r="F115">
            <v>5</v>
          </cell>
          <cell r="G115">
            <v>934</v>
          </cell>
          <cell r="H115">
            <v>5</v>
          </cell>
          <cell r="I115">
            <v>977</v>
          </cell>
          <cell r="J115">
            <v>10</v>
          </cell>
          <cell r="K115">
            <v>1911</v>
          </cell>
          <cell r="L115">
            <v>7</v>
          </cell>
          <cell r="M115">
            <v>1901</v>
          </cell>
          <cell r="N115">
            <v>5</v>
          </cell>
          <cell r="O115">
            <v>934</v>
          </cell>
          <cell r="P115">
            <v>2</v>
          </cell>
          <cell r="Q115">
            <v>233</v>
          </cell>
          <cell r="R115">
            <v>5</v>
          </cell>
          <cell r="S115">
            <v>921</v>
          </cell>
          <cell r="T115">
            <v>4</v>
          </cell>
          <cell r="U115">
            <v>1224</v>
          </cell>
          <cell r="V115">
            <v>5</v>
          </cell>
          <cell r="W115">
            <v>1724</v>
          </cell>
          <cell r="X115">
            <v>30</v>
          </cell>
          <cell r="Y115">
            <v>7288</v>
          </cell>
          <cell r="Z115">
            <v>0</v>
          </cell>
          <cell r="AA115">
            <v>0</v>
          </cell>
          <cell r="AQ115" t="str">
            <v>Woodfield Suites</v>
          </cell>
          <cell r="AR115">
            <v>0</v>
          </cell>
          <cell r="AS115">
            <v>0</v>
          </cell>
          <cell r="AT115">
            <v>0</v>
          </cell>
          <cell r="AU115">
            <v>0</v>
          </cell>
          <cell r="AV115">
            <v>0</v>
          </cell>
          <cell r="AW115">
            <v>0</v>
          </cell>
          <cell r="AX115">
            <v>0</v>
          </cell>
          <cell r="AY115">
            <v>0</v>
          </cell>
          <cell r="AZ115">
            <v>0</v>
          </cell>
          <cell r="BA115">
            <v>0</v>
          </cell>
        </row>
        <row r="116">
          <cell r="C116" t="str">
            <v>Dallas, TX</v>
          </cell>
          <cell r="D116">
            <v>16</v>
          </cell>
          <cell r="E116">
            <v>2249</v>
          </cell>
          <cell r="F116">
            <v>3</v>
          </cell>
          <cell r="G116">
            <v>551</v>
          </cell>
          <cell r="H116">
            <v>4</v>
          </cell>
          <cell r="I116">
            <v>801</v>
          </cell>
          <cell r="J116">
            <v>7</v>
          </cell>
          <cell r="K116">
            <v>1352</v>
          </cell>
          <cell r="L116">
            <v>2</v>
          </cell>
          <cell r="M116">
            <v>511</v>
          </cell>
          <cell r="N116">
            <v>3</v>
          </cell>
          <cell r="O116">
            <v>551</v>
          </cell>
          <cell r="P116">
            <v>0</v>
          </cell>
          <cell r="Q116">
            <v>0</v>
          </cell>
          <cell r="R116">
            <v>5</v>
          </cell>
          <cell r="S116">
            <v>1012</v>
          </cell>
          <cell r="T116">
            <v>1</v>
          </cell>
          <cell r="U116">
            <v>300</v>
          </cell>
          <cell r="V116">
            <v>1</v>
          </cell>
          <cell r="W116">
            <v>300</v>
          </cell>
          <cell r="X116">
            <v>39</v>
          </cell>
          <cell r="Y116">
            <v>6803</v>
          </cell>
          <cell r="Z116">
            <v>4</v>
          </cell>
          <cell r="AA116">
            <v>717</v>
          </cell>
          <cell r="AQ116" t="str">
            <v>Woodfin Suites</v>
          </cell>
          <cell r="AR116">
            <v>1</v>
          </cell>
          <cell r="AS116">
            <v>202</v>
          </cell>
          <cell r="AT116">
            <v>0</v>
          </cell>
          <cell r="AU116">
            <v>0</v>
          </cell>
          <cell r="AV116">
            <v>1</v>
          </cell>
          <cell r="AW116">
            <v>189</v>
          </cell>
          <cell r="AX116">
            <v>1</v>
          </cell>
          <cell r="AY116">
            <v>189</v>
          </cell>
          <cell r="AZ116">
            <v>4</v>
          </cell>
          <cell r="BA116">
            <v>803</v>
          </cell>
        </row>
        <row r="117">
          <cell r="C117" t="str">
            <v>Denver, CO</v>
          </cell>
          <cell r="D117">
            <v>18</v>
          </cell>
          <cell r="E117">
            <v>2132</v>
          </cell>
          <cell r="F117">
            <v>0</v>
          </cell>
          <cell r="G117">
            <v>0</v>
          </cell>
          <cell r="H117">
            <v>4</v>
          </cell>
          <cell r="I117">
            <v>801</v>
          </cell>
          <cell r="J117">
            <v>4</v>
          </cell>
          <cell r="K117">
            <v>801</v>
          </cell>
          <cell r="L117">
            <v>0</v>
          </cell>
          <cell r="M117">
            <v>0</v>
          </cell>
          <cell r="N117">
            <v>0</v>
          </cell>
          <cell r="O117">
            <v>0</v>
          </cell>
          <cell r="P117">
            <v>1</v>
          </cell>
          <cell r="Q117">
            <v>142</v>
          </cell>
          <cell r="R117">
            <v>3</v>
          </cell>
          <cell r="S117">
            <v>659</v>
          </cell>
          <cell r="T117">
            <v>0</v>
          </cell>
          <cell r="U117">
            <v>0</v>
          </cell>
          <cell r="V117">
            <v>0</v>
          </cell>
          <cell r="W117">
            <v>0</v>
          </cell>
          <cell r="X117">
            <v>32</v>
          </cell>
          <cell r="Y117">
            <v>5919</v>
          </cell>
          <cell r="Z117">
            <v>8</v>
          </cell>
          <cell r="AA117">
            <v>866</v>
          </cell>
          <cell r="AQ117" t="str">
            <v xml:space="preserve">Wyndham Garden </v>
          </cell>
          <cell r="AR117">
            <v>0</v>
          </cell>
          <cell r="AS117">
            <v>0</v>
          </cell>
          <cell r="AT117">
            <v>0</v>
          </cell>
          <cell r="AU117">
            <v>0</v>
          </cell>
          <cell r="AV117">
            <v>0</v>
          </cell>
          <cell r="AW117">
            <v>0</v>
          </cell>
          <cell r="AX117">
            <v>0</v>
          </cell>
          <cell r="AY117">
            <v>0</v>
          </cell>
          <cell r="AZ117">
            <v>1</v>
          </cell>
          <cell r="BA117">
            <v>205</v>
          </cell>
        </row>
        <row r="118">
          <cell r="C118" t="str">
            <v>Detroit, MI</v>
          </cell>
          <cell r="D118">
            <v>12</v>
          </cell>
          <cell r="E118">
            <v>1384</v>
          </cell>
          <cell r="F118">
            <v>1</v>
          </cell>
          <cell r="G118">
            <v>148</v>
          </cell>
          <cell r="H118">
            <v>1</v>
          </cell>
          <cell r="I118">
            <v>95</v>
          </cell>
          <cell r="J118">
            <v>2</v>
          </cell>
          <cell r="K118">
            <v>243</v>
          </cell>
          <cell r="L118">
            <v>2</v>
          </cell>
          <cell r="M118">
            <v>252</v>
          </cell>
          <cell r="N118">
            <v>2</v>
          </cell>
          <cell r="O118">
            <v>243</v>
          </cell>
          <cell r="P118">
            <v>0</v>
          </cell>
          <cell r="Q118">
            <v>0</v>
          </cell>
          <cell r="R118">
            <v>2</v>
          </cell>
          <cell r="S118">
            <v>252</v>
          </cell>
          <cell r="T118">
            <v>0</v>
          </cell>
          <cell r="U118">
            <v>0</v>
          </cell>
          <cell r="V118">
            <v>0</v>
          </cell>
          <cell r="W118">
            <v>0</v>
          </cell>
          <cell r="X118">
            <v>41</v>
          </cell>
          <cell r="Y118">
            <v>7487</v>
          </cell>
          <cell r="Z118">
            <v>3</v>
          </cell>
          <cell r="AA118">
            <v>456</v>
          </cell>
          <cell r="AQ118" t="str">
            <v>Wyndham Hotel</v>
          </cell>
          <cell r="AR118">
            <v>1</v>
          </cell>
          <cell r="AS118">
            <v>93</v>
          </cell>
          <cell r="AT118">
            <v>2</v>
          </cell>
          <cell r="AU118">
            <v>587</v>
          </cell>
          <cell r="AV118">
            <v>0</v>
          </cell>
          <cell r="AW118">
            <v>0</v>
          </cell>
          <cell r="AX118">
            <v>2</v>
          </cell>
          <cell r="AY118">
            <v>587</v>
          </cell>
          <cell r="AZ118">
            <v>2</v>
          </cell>
          <cell r="BA118">
            <v>539</v>
          </cell>
        </row>
        <row r="119">
          <cell r="C119" t="str">
            <v>Houston, TX</v>
          </cell>
          <cell r="D119">
            <v>14</v>
          </cell>
          <cell r="E119">
            <v>1378</v>
          </cell>
          <cell r="F119">
            <v>3</v>
          </cell>
          <cell r="G119">
            <v>481</v>
          </cell>
          <cell r="H119">
            <v>3</v>
          </cell>
          <cell r="I119">
            <v>505</v>
          </cell>
          <cell r="J119">
            <v>6</v>
          </cell>
          <cell r="K119">
            <v>986</v>
          </cell>
          <cell r="L119">
            <v>0</v>
          </cell>
          <cell r="M119">
            <v>0</v>
          </cell>
          <cell r="N119">
            <v>3</v>
          </cell>
          <cell r="O119">
            <v>481</v>
          </cell>
          <cell r="P119">
            <v>3</v>
          </cell>
          <cell r="Q119">
            <v>505</v>
          </cell>
          <cell r="R119">
            <v>0</v>
          </cell>
          <cell r="S119">
            <v>0</v>
          </cell>
          <cell r="T119">
            <v>0</v>
          </cell>
          <cell r="U119">
            <v>0</v>
          </cell>
          <cell r="V119">
            <v>0</v>
          </cell>
          <cell r="W119">
            <v>0</v>
          </cell>
          <cell r="X119">
            <v>31</v>
          </cell>
          <cell r="Y119">
            <v>5878</v>
          </cell>
          <cell r="Z119">
            <v>2</v>
          </cell>
          <cell r="AA119">
            <v>253</v>
          </cell>
        </row>
        <row r="120">
          <cell r="C120" t="str">
            <v>Los Angeles, CA</v>
          </cell>
          <cell r="D120">
            <v>5</v>
          </cell>
          <cell r="E120">
            <v>642</v>
          </cell>
          <cell r="F120">
            <v>5</v>
          </cell>
          <cell r="G120">
            <v>941</v>
          </cell>
          <cell r="H120">
            <v>3</v>
          </cell>
          <cell r="I120">
            <v>873</v>
          </cell>
          <cell r="J120">
            <v>8</v>
          </cell>
          <cell r="K120">
            <v>1814</v>
          </cell>
          <cell r="L120">
            <v>0</v>
          </cell>
          <cell r="M120">
            <v>0</v>
          </cell>
          <cell r="N120">
            <v>3</v>
          </cell>
          <cell r="O120">
            <v>399</v>
          </cell>
          <cell r="P120">
            <v>2</v>
          </cell>
          <cell r="Q120">
            <v>542</v>
          </cell>
          <cell r="R120">
            <v>2</v>
          </cell>
          <cell r="S120">
            <v>443</v>
          </cell>
          <cell r="T120">
            <v>1</v>
          </cell>
          <cell r="U120">
            <v>430</v>
          </cell>
          <cell r="V120">
            <v>1</v>
          </cell>
          <cell r="W120">
            <v>430</v>
          </cell>
          <cell r="X120">
            <v>33</v>
          </cell>
          <cell r="Y120">
            <v>8765</v>
          </cell>
          <cell r="Z120">
            <v>2</v>
          </cell>
          <cell r="AA120">
            <v>400</v>
          </cell>
        </row>
        <row r="121">
          <cell r="C121" t="str">
            <v>Miami, FL</v>
          </cell>
          <cell r="D121">
            <v>6</v>
          </cell>
          <cell r="E121">
            <v>1035</v>
          </cell>
          <cell r="F121">
            <v>3</v>
          </cell>
          <cell r="G121">
            <v>894</v>
          </cell>
          <cell r="H121">
            <v>3</v>
          </cell>
          <cell r="I121">
            <v>460</v>
          </cell>
          <cell r="J121">
            <v>6</v>
          </cell>
          <cell r="K121">
            <v>1354</v>
          </cell>
          <cell r="L121">
            <v>4</v>
          </cell>
          <cell r="M121">
            <v>606</v>
          </cell>
          <cell r="N121">
            <v>3</v>
          </cell>
          <cell r="O121">
            <v>894</v>
          </cell>
          <cell r="P121">
            <v>1</v>
          </cell>
          <cell r="Q121">
            <v>90</v>
          </cell>
          <cell r="R121">
            <v>6</v>
          </cell>
          <cell r="S121">
            <v>976</v>
          </cell>
          <cell r="T121">
            <v>0</v>
          </cell>
          <cell r="U121">
            <v>0</v>
          </cell>
          <cell r="V121">
            <v>0</v>
          </cell>
          <cell r="W121">
            <v>0</v>
          </cell>
          <cell r="X121">
            <v>15</v>
          </cell>
          <cell r="Y121">
            <v>3385</v>
          </cell>
          <cell r="Z121">
            <v>3</v>
          </cell>
          <cell r="AA121">
            <v>679</v>
          </cell>
        </row>
        <row r="122">
          <cell r="C122" t="str">
            <v>Minneapolis, MN</v>
          </cell>
          <cell r="D122">
            <v>11</v>
          </cell>
          <cell r="E122">
            <v>1245</v>
          </cell>
          <cell r="F122">
            <v>3</v>
          </cell>
          <cell r="G122">
            <v>476</v>
          </cell>
          <cell r="H122">
            <v>4</v>
          </cell>
          <cell r="I122">
            <v>593</v>
          </cell>
          <cell r="J122">
            <v>7</v>
          </cell>
          <cell r="K122">
            <v>1069</v>
          </cell>
          <cell r="L122">
            <v>1</v>
          </cell>
          <cell r="M122">
            <v>108</v>
          </cell>
          <cell r="N122">
            <v>4</v>
          </cell>
          <cell r="O122">
            <v>598</v>
          </cell>
          <cell r="P122">
            <v>0</v>
          </cell>
          <cell r="Q122">
            <v>0</v>
          </cell>
          <cell r="R122">
            <v>3</v>
          </cell>
          <cell r="S122">
            <v>471</v>
          </cell>
          <cell r="T122">
            <v>1</v>
          </cell>
          <cell r="U122">
            <v>108</v>
          </cell>
          <cell r="V122">
            <v>1</v>
          </cell>
          <cell r="W122">
            <v>108</v>
          </cell>
          <cell r="X122">
            <v>20</v>
          </cell>
          <cell r="Y122">
            <v>3351</v>
          </cell>
          <cell r="Z122">
            <v>1</v>
          </cell>
          <cell r="AA122">
            <v>131</v>
          </cell>
        </row>
        <row r="123">
          <cell r="C123" t="str">
            <v>Nashville, TN</v>
          </cell>
          <cell r="D123">
            <v>6</v>
          </cell>
          <cell r="E123">
            <v>875</v>
          </cell>
          <cell r="F123">
            <v>2</v>
          </cell>
          <cell r="G123">
            <v>400</v>
          </cell>
          <cell r="H123">
            <v>0</v>
          </cell>
          <cell r="I123">
            <v>0</v>
          </cell>
          <cell r="J123">
            <v>2</v>
          </cell>
          <cell r="K123">
            <v>400</v>
          </cell>
          <cell r="L123">
            <v>0</v>
          </cell>
          <cell r="M123">
            <v>0</v>
          </cell>
          <cell r="N123">
            <v>2</v>
          </cell>
          <cell r="O123">
            <v>400</v>
          </cell>
          <cell r="P123">
            <v>0</v>
          </cell>
          <cell r="Q123">
            <v>0</v>
          </cell>
          <cell r="R123">
            <v>0</v>
          </cell>
          <cell r="S123">
            <v>0</v>
          </cell>
          <cell r="T123">
            <v>0</v>
          </cell>
          <cell r="U123">
            <v>0</v>
          </cell>
          <cell r="V123">
            <v>0</v>
          </cell>
          <cell r="W123">
            <v>0</v>
          </cell>
          <cell r="X123">
            <v>14</v>
          </cell>
          <cell r="Y123">
            <v>2760</v>
          </cell>
          <cell r="Z123">
            <v>3</v>
          </cell>
          <cell r="AA123">
            <v>291</v>
          </cell>
        </row>
        <row r="124">
          <cell r="C124" t="str">
            <v>New Orleans, LA</v>
          </cell>
          <cell r="D124">
            <v>8</v>
          </cell>
          <cell r="E124">
            <v>1479</v>
          </cell>
          <cell r="F124">
            <v>3</v>
          </cell>
          <cell r="G124">
            <v>560</v>
          </cell>
          <cell r="H124">
            <v>1</v>
          </cell>
          <cell r="I124">
            <v>84</v>
          </cell>
          <cell r="J124">
            <v>4</v>
          </cell>
          <cell r="K124">
            <v>644</v>
          </cell>
          <cell r="L124">
            <v>2</v>
          </cell>
          <cell r="M124">
            <v>910</v>
          </cell>
          <cell r="N124">
            <v>0</v>
          </cell>
          <cell r="O124">
            <v>0</v>
          </cell>
          <cell r="P124">
            <v>3</v>
          </cell>
          <cell r="Q124">
            <v>572</v>
          </cell>
          <cell r="R124">
            <v>1</v>
          </cell>
          <cell r="S124">
            <v>72</v>
          </cell>
          <cell r="T124">
            <v>0</v>
          </cell>
          <cell r="U124">
            <v>0</v>
          </cell>
          <cell r="V124">
            <v>2</v>
          </cell>
          <cell r="W124">
            <v>910</v>
          </cell>
          <cell r="X124">
            <v>10</v>
          </cell>
          <cell r="Y124">
            <v>2911</v>
          </cell>
          <cell r="Z124">
            <v>2</v>
          </cell>
          <cell r="AA124">
            <v>575</v>
          </cell>
        </row>
        <row r="125">
          <cell r="C125" t="str">
            <v>New York, NY</v>
          </cell>
          <cell r="D125">
            <v>4</v>
          </cell>
          <cell r="E125">
            <v>1051</v>
          </cell>
          <cell r="F125">
            <v>2</v>
          </cell>
          <cell r="G125">
            <v>480</v>
          </cell>
          <cell r="H125">
            <v>2</v>
          </cell>
          <cell r="I125">
            <v>216</v>
          </cell>
          <cell r="J125">
            <v>4</v>
          </cell>
          <cell r="K125">
            <v>696</v>
          </cell>
          <cell r="L125">
            <v>3</v>
          </cell>
          <cell r="M125">
            <v>845</v>
          </cell>
          <cell r="N125">
            <v>2</v>
          </cell>
          <cell r="O125">
            <v>480</v>
          </cell>
          <cell r="P125">
            <v>1</v>
          </cell>
          <cell r="Q125">
            <v>82</v>
          </cell>
          <cell r="R125">
            <v>2</v>
          </cell>
          <cell r="S125">
            <v>274</v>
          </cell>
          <cell r="T125">
            <v>1</v>
          </cell>
          <cell r="U125">
            <v>285</v>
          </cell>
          <cell r="V125">
            <v>2</v>
          </cell>
          <cell r="W125">
            <v>705</v>
          </cell>
          <cell r="X125">
            <v>17</v>
          </cell>
          <cell r="Y125">
            <v>7297</v>
          </cell>
          <cell r="Z125">
            <v>1</v>
          </cell>
          <cell r="AA125">
            <v>123</v>
          </cell>
        </row>
        <row r="126">
          <cell r="C126" t="str">
            <v>Norfolk, VA</v>
          </cell>
          <cell r="D126">
            <v>9</v>
          </cell>
          <cell r="E126">
            <v>979</v>
          </cell>
          <cell r="F126">
            <v>2</v>
          </cell>
          <cell r="G126">
            <v>400</v>
          </cell>
          <cell r="H126">
            <v>0</v>
          </cell>
          <cell r="I126">
            <v>0</v>
          </cell>
          <cell r="J126">
            <v>2</v>
          </cell>
          <cell r="K126">
            <v>400</v>
          </cell>
          <cell r="L126">
            <v>2</v>
          </cell>
          <cell r="M126">
            <v>418</v>
          </cell>
          <cell r="N126">
            <v>2</v>
          </cell>
          <cell r="O126">
            <v>400</v>
          </cell>
          <cell r="P126">
            <v>0</v>
          </cell>
          <cell r="Q126">
            <v>0</v>
          </cell>
          <cell r="R126">
            <v>1</v>
          </cell>
          <cell r="S126">
            <v>118</v>
          </cell>
          <cell r="T126">
            <v>1</v>
          </cell>
          <cell r="U126">
            <v>300</v>
          </cell>
          <cell r="V126">
            <v>1</v>
          </cell>
          <cell r="W126">
            <v>300</v>
          </cell>
          <cell r="X126">
            <v>18</v>
          </cell>
          <cell r="Y126">
            <v>2753</v>
          </cell>
          <cell r="Z126">
            <v>1</v>
          </cell>
          <cell r="AA126">
            <v>120</v>
          </cell>
        </row>
        <row r="127">
          <cell r="C127" t="str">
            <v>Oahu Island, HI</v>
          </cell>
          <cell r="D127">
            <v>0</v>
          </cell>
          <cell r="E127">
            <v>0</v>
          </cell>
          <cell r="F127">
            <v>0</v>
          </cell>
          <cell r="G127">
            <v>0</v>
          </cell>
          <cell r="H127">
            <v>0</v>
          </cell>
          <cell r="I127">
            <v>0</v>
          </cell>
          <cell r="J127">
            <v>0</v>
          </cell>
          <cell r="K127">
            <v>0</v>
          </cell>
          <cell r="L127">
            <v>1</v>
          </cell>
          <cell r="M127">
            <v>299</v>
          </cell>
          <cell r="N127">
            <v>0</v>
          </cell>
          <cell r="O127">
            <v>0</v>
          </cell>
          <cell r="P127">
            <v>0</v>
          </cell>
          <cell r="Q127">
            <v>0</v>
          </cell>
          <cell r="R127">
            <v>0</v>
          </cell>
          <cell r="S127">
            <v>0</v>
          </cell>
          <cell r="T127">
            <v>1</v>
          </cell>
          <cell r="U127">
            <v>299</v>
          </cell>
          <cell r="V127">
            <v>1</v>
          </cell>
          <cell r="W127">
            <v>299</v>
          </cell>
          <cell r="X127">
            <v>2</v>
          </cell>
          <cell r="Y127">
            <v>1150</v>
          </cell>
          <cell r="Z127">
            <v>0</v>
          </cell>
          <cell r="AA127">
            <v>0</v>
          </cell>
        </row>
        <row r="128">
          <cell r="C128" t="str">
            <v>Orlando, FL</v>
          </cell>
          <cell r="D128">
            <v>13</v>
          </cell>
          <cell r="E128">
            <v>2759</v>
          </cell>
          <cell r="F128">
            <v>3</v>
          </cell>
          <cell r="G128">
            <v>522</v>
          </cell>
          <cell r="H128">
            <v>5</v>
          </cell>
          <cell r="I128">
            <v>2311</v>
          </cell>
          <cell r="J128">
            <v>8</v>
          </cell>
          <cell r="K128">
            <v>2833</v>
          </cell>
          <cell r="L128">
            <v>4</v>
          </cell>
          <cell r="M128">
            <v>1075</v>
          </cell>
          <cell r="N128">
            <v>3</v>
          </cell>
          <cell r="O128">
            <v>522</v>
          </cell>
          <cell r="P128">
            <v>1</v>
          </cell>
          <cell r="Q128">
            <v>152</v>
          </cell>
          <cell r="R128">
            <v>3</v>
          </cell>
          <cell r="S128">
            <v>595</v>
          </cell>
          <cell r="T128">
            <v>5</v>
          </cell>
          <cell r="U128">
            <v>2639</v>
          </cell>
          <cell r="V128">
            <v>5</v>
          </cell>
          <cell r="W128">
            <v>2639</v>
          </cell>
          <cell r="X128">
            <v>32</v>
          </cell>
          <cell r="Y128">
            <v>8552</v>
          </cell>
          <cell r="Z128">
            <v>7</v>
          </cell>
          <cell r="AA128">
            <v>1896</v>
          </cell>
        </row>
        <row r="129">
          <cell r="C129" t="str">
            <v>Philadelphia, PA</v>
          </cell>
          <cell r="D129">
            <v>11</v>
          </cell>
          <cell r="E129">
            <v>1911</v>
          </cell>
          <cell r="F129">
            <v>4</v>
          </cell>
          <cell r="G129">
            <v>768</v>
          </cell>
          <cell r="H129">
            <v>4</v>
          </cell>
          <cell r="I129">
            <v>416</v>
          </cell>
          <cell r="J129">
            <v>8</v>
          </cell>
          <cell r="K129">
            <v>1184</v>
          </cell>
          <cell r="L129">
            <v>6</v>
          </cell>
          <cell r="M129">
            <v>686</v>
          </cell>
          <cell r="N129">
            <v>3</v>
          </cell>
          <cell r="O129">
            <v>567</v>
          </cell>
          <cell r="P129">
            <v>2</v>
          </cell>
          <cell r="Q129">
            <v>284</v>
          </cell>
          <cell r="R129">
            <v>8</v>
          </cell>
          <cell r="S129">
            <v>905</v>
          </cell>
          <cell r="T129">
            <v>1</v>
          </cell>
          <cell r="U129">
            <v>114</v>
          </cell>
          <cell r="V129">
            <v>1</v>
          </cell>
          <cell r="W129">
            <v>114</v>
          </cell>
          <cell r="X129">
            <v>26</v>
          </cell>
          <cell r="Y129">
            <v>4521</v>
          </cell>
          <cell r="Z129">
            <v>3</v>
          </cell>
          <cell r="AA129">
            <v>528</v>
          </cell>
        </row>
        <row r="130">
          <cell r="C130" t="str">
            <v>Phoenix, AZ</v>
          </cell>
          <cell r="D130">
            <v>20</v>
          </cell>
          <cell r="E130">
            <v>3122</v>
          </cell>
          <cell r="F130">
            <v>0</v>
          </cell>
          <cell r="G130">
            <v>0</v>
          </cell>
          <cell r="H130">
            <v>5</v>
          </cell>
          <cell r="I130">
            <v>1651</v>
          </cell>
          <cell r="J130">
            <v>5</v>
          </cell>
          <cell r="K130">
            <v>1651</v>
          </cell>
          <cell r="L130">
            <v>1</v>
          </cell>
          <cell r="M130">
            <v>350</v>
          </cell>
          <cell r="N130">
            <v>0</v>
          </cell>
          <cell r="O130">
            <v>0</v>
          </cell>
          <cell r="P130">
            <v>1</v>
          </cell>
          <cell r="Q130">
            <v>114</v>
          </cell>
          <cell r="R130">
            <v>4</v>
          </cell>
          <cell r="S130">
            <v>1537</v>
          </cell>
          <cell r="T130">
            <v>1</v>
          </cell>
          <cell r="U130">
            <v>350</v>
          </cell>
          <cell r="V130">
            <v>1</v>
          </cell>
          <cell r="W130">
            <v>350</v>
          </cell>
          <cell r="X130">
            <v>40</v>
          </cell>
          <cell r="Y130">
            <v>6619</v>
          </cell>
          <cell r="Z130">
            <v>6</v>
          </cell>
          <cell r="AA130">
            <v>937</v>
          </cell>
        </row>
        <row r="131">
          <cell r="C131" t="str">
            <v>Saint Louis, MO</v>
          </cell>
          <cell r="D131">
            <v>5</v>
          </cell>
          <cell r="E131">
            <v>510</v>
          </cell>
          <cell r="F131">
            <v>0</v>
          </cell>
          <cell r="G131">
            <v>0</v>
          </cell>
          <cell r="H131">
            <v>2</v>
          </cell>
          <cell r="I131">
            <v>1079</v>
          </cell>
          <cell r="J131">
            <v>2</v>
          </cell>
          <cell r="K131">
            <v>1079</v>
          </cell>
          <cell r="L131">
            <v>0</v>
          </cell>
          <cell r="M131">
            <v>0</v>
          </cell>
          <cell r="N131">
            <v>0</v>
          </cell>
          <cell r="O131">
            <v>0</v>
          </cell>
          <cell r="P131">
            <v>0</v>
          </cell>
          <cell r="Q131">
            <v>0</v>
          </cell>
          <cell r="R131">
            <v>1</v>
          </cell>
          <cell r="S131">
            <v>163</v>
          </cell>
          <cell r="T131">
            <v>0</v>
          </cell>
          <cell r="U131">
            <v>0</v>
          </cell>
          <cell r="V131">
            <v>1</v>
          </cell>
          <cell r="W131">
            <v>916</v>
          </cell>
          <cell r="X131">
            <v>21</v>
          </cell>
          <cell r="Y131">
            <v>4030</v>
          </cell>
          <cell r="Z131">
            <v>0</v>
          </cell>
          <cell r="AA131">
            <v>0</v>
          </cell>
        </row>
        <row r="132">
          <cell r="C132" t="str">
            <v>San Diego, CA</v>
          </cell>
          <cell r="D132">
            <v>5</v>
          </cell>
          <cell r="E132">
            <v>783</v>
          </cell>
          <cell r="F132">
            <v>2</v>
          </cell>
          <cell r="G132">
            <v>530</v>
          </cell>
          <cell r="H132">
            <v>2</v>
          </cell>
          <cell r="I132">
            <v>231</v>
          </cell>
          <cell r="J132">
            <v>4</v>
          </cell>
          <cell r="K132">
            <v>761</v>
          </cell>
          <cell r="L132">
            <v>3</v>
          </cell>
          <cell r="M132">
            <v>725</v>
          </cell>
          <cell r="N132">
            <v>2</v>
          </cell>
          <cell r="O132">
            <v>530</v>
          </cell>
          <cell r="P132">
            <v>1</v>
          </cell>
          <cell r="Q132">
            <v>137</v>
          </cell>
          <cell r="R132">
            <v>3</v>
          </cell>
          <cell r="S132">
            <v>494</v>
          </cell>
          <cell r="T132">
            <v>1</v>
          </cell>
          <cell r="U132">
            <v>325</v>
          </cell>
          <cell r="V132">
            <v>1</v>
          </cell>
          <cell r="W132">
            <v>325</v>
          </cell>
          <cell r="X132">
            <v>15</v>
          </cell>
          <cell r="Y132">
            <v>4260</v>
          </cell>
          <cell r="Z132">
            <v>1</v>
          </cell>
          <cell r="AA132">
            <v>145</v>
          </cell>
        </row>
        <row r="133">
          <cell r="C133" t="str">
            <v>San Francisco, CA</v>
          </cell>
          <cell r="D133">
            <v>3</v>
          </cell>
          <cell r="E133">
            <v>497</v>
          </cell>
          <cell r="F133">
            <v>3</v>
          </cell>
          <cell r="G133">
            <v>828</v>
          </cell>
          <cell r="H133">
            <v>1</v>
          </cell>
          <cell r="I133">
            <v>95</v>
          </cell>
          <cell r="J133">
            <v>4</v>
          </cell>
          <cell r="K133">
            <v>923</v>
          </cell>
          <cell r="L133">
            <v>3</v>
          </cell>
          <cell r="M133">
            <v>656</v>
          </cell>
          <cell r="N133">
            <v>3</v>
          </cell>
          <cell r="O133">
            <v>828</v>
          </cell>
          <cell r="P133">
            <v>0</v>
          </cell>
          <cell r="Q133">
            <v>0</v>
          </cell>
          <cell r="R133">
            <v>4</v>
          </cell>
          <cell r="S133">
            <v>751</v>
          </cell>
          <cell r="T133">
            <v>0</v>
          </cell>
          <cell r="U133">
            <v>0</v>
          </cell>
          <cell r="V133">
            <v>0</v>
          </cell>
          <cell r="W133">
            <v>0</v>
          </cell>
          <cell r="X133">
            <v>14</v>
          </cell>
          <cell r="Y133">
            <v>5340</v>
          </cell>
          <cell r="Z133">
            <v>2</v>
          </cell>
          <cell r="AA133">
            <v>361</v>
          </cell>
        </row>
        <row r="134">
          <cell r="C134" t="str">
            <v>Seattle, WA</v>
          </cell>
          <cell r="D134">
            <v>9</v>
          </cell>
          <cell r="E134">
            <v>1442</v>
          </cell>
          <cell r="F134">
            <v>1</v>
          </cell>
          <cell r="G134">
            <v>234</v>
          </cell>
          <cell r="H134">
            <v>4</v>
          </cell>
          <cell r="I134">
            <v>1210</v>
          </cell>
          <cell r="J134">
            <v>5</v>
          </cell>
          <cell r="K134">
            <v>1444</v>
          </cell>
          <cell r="L134">
            <v>2</v>
          </cell>
          <cell r="M134">
            <v>337</v>
          </cell>
          <cell r="N134">
            <v>1</v>
          </cell>
          <cell r="O134">
            <v>234</v>
          </cell>
          <cell r="P134">
            <v>1</v>
          </cell>
          <cell r="Q134">
            <v>150</v>
          </cell>
          <cell r="R134">
            <v>4</v>
          </cell>
          <cell r="S134">
            <v>847</v>
          </cell>
          <cell r="T134">
            <v>0</v>
          </cell>
          <cell r="U134">
            <v>0</v>
          </cell>
          <cell r="V134">
            <v>1</v>
          </cell>
          <cell r="W134">
            <v>550</v>
          </cell>
          <cell r="X134">
            <v>19</v>
          </cell>
          <cell r="Y134">
            <v>3463</v>
          </cell>
          <cell r="Z134">
            <v>3</v>
          </cell>
          <cell r="AA134">
            <v>409</v>
          </cell>
        </row>
        <row r="135">
          <cell r="C135" t="str">
            <v>Tampa, FL</v>
          </cell>
          <cell r="D135">
            <v>11</v>
          </cell>
          <cell r="E135">
            <v>1700</v>
          </cell>
          <cell r="F135">
            <v>3</v>
          </cell>
          <cell r="G135">
            <v>446</v>
          </cell>
          <cell r="H135">
            <v>1</v>
          </cell>
          <cell r="I135">
            <v>79</v>
          </cell>
          <cell r="J135">
            <v>4</v>
          </cell>
          <cell r="K135">
            <v>525</v>
          </cell>
          <cell r="L135">
            <v>2</v>
          </cell>
          <cell r="M135">
            <v>236</v>
          </cell>
          <cell r="N135">
            <v>2</v>
          </cell>
          <cell r="O135">
            <v>286</v>
          </cell>
          <cell r="P135">
            <v>2</v>
          </cell>
          <cell r="Q135">
            <v>239</v>
          </cell>
          <cell r="R135">
            <v>2</v>
          </cell>
          <cell r="S135">
            <v>236</v>
          </cell>
          <cell r="T135">
            <v>0</v>
          </cell>
          <cell r="U135">
            <v>0</v>
          </cell>
          <cell r="V135">
            <v>0</v>
          </cell>
          <cell r="W135">
            <v>0</v>
          </cell>
          <cell r="X135">
            <v>21</v>
          </cell>
          <cell r="Y135">
            <v>3524</v>
          </cell>
          <cell r="Z135">
            <v>2</v>
          </cell>
          <cell r="AA135">
            <v>826</v>
          </cell>
        </row>
        <row r="136">
          <cell r="C136" t="str">
            <v>Washington, DC</v>
          </cell>
          <cell r="D136">
            <v>22</v>
          </cell>
          <cell r="E136">
            <v>3062</v>
          </cell>
          <cell r="F136">
            <v>5</v>
          </cell>
          <cell r="G136">
            <v>653</v>
          </cell>
          <cell r="H136">
            <v>7</v>
          </cell>
          <cell r="I136">
            <v>1259</v>
          </cell>
          <cell r="J136">
            <v>12</v>
          </cell>
          <cell r="K136">
            <v>1912</v>
          </cell>
          <cell r="L136">
            <v>4</v>
          </cell>
          <cell r="M136">
            <v>1026</v>
          </cell>
          <cell r="N136">
            <v>4</v>
          </cell>
          <cell r="O136">
            <v>558</v>
          </cell>
          <cell r="P136">
            <v>1</v>
          </cell>
          <cell r="Q136">
            <v>95</v>
          </cell>
          <cell r="R136">
            <v>10</v>
          </cell>
          <cell r="S136">
            <v>1760</v>
          </cell>
          <cell r="T136">
            <v>0</v>
          </cell>
          <cell r="U136">
            <v>0</v>
          </cell>
          <cell r="V136">
            <v>1</v>
          </cell>
          <cell r="W136">
            <v>525</v>
          </cell>
          <cell r="X136">
            <v>66</v>
          </cell>
          <cell r="Y136">
            <v>16752</v>
          </cell>
          <cell r="Z136">
            <v>6</v>
          </cell>
          <cell r="AA136">
            <v>1093</v>
          </cell>
        </row>
        <row r="152">
          <cell r="C152" t="str">
            <v>Anaheim, CA</v>
          </cell>
          <cell r="D152">
            <v>1</v>
          </cell>
          <cell r="E152">
            <v>74</v>
          </cell>
          <cell r="F152">
            <v>0</v>
          </cell>
          <cell r="G152">
            <v>0</v>
          </cell>
          <cell r="H152">
            <v>0</v>
          </cell>
          <cell r="I152">
            <v>0</v>
          </cell>
          <cell r="J152">
            <v>0</v>
          </cell>
          <cell r="K152">
            <v>0</v>
          </cell>
          <cell r="L152">
            <v>1</v>
          </cell>
          <cell r="M152">
            <v>250</v>
          </cell>
          <cell r="N152">
            <v>0</v>
          </cell>
          <cell r="O152">
            <v>0</v>
          </cell>
          <cell r="P152">
            <v>0</v>
          </cell>
          <cell r="Q152">
            <v>0</v>
          </cell>
          <cell r="R152">
            <v>1</v>
          </cell>
          <cell r="S152">
            <v>250</v>
          </cell>
          <cell r="T152">
            <v>0</v>
          </cell>
          <cell r="U152">
            <v>0</v>
          </cell>
          <cell r="V152">
            <v>0</v>
          </cell>
          <cell r="W152">
            <v>0</v>
          </cell>
          <cell r="X152">
            <v>4</v>
          </cell>
          <cell r="Y152">
            <v>1233</v>
          </cell>
          <cell r="Z152">
            <v>0</v>
          </cell>
          <cell r="AA152">
            <v>0</v>
          </cell>
        </row>
        <row r="153">
          <cell r="C153" t="str">
            <v>Atlanta, GA</v>
          </cell>
          <cell r="D153">
            <v>0</v>
          </cell>
          <cell r="E153">
            <v>0</v>
          </cell>
          <cell r="F153">
            <v>0</v>
          </cell>
          <cell r="G153">
            <v>0</v>
          </cell>
          <cell r="H153">
            <v>1</v>
          </cell>
          <cell r="I153">
            <v>244</v>
          </cell>
          <cell r="J153">
            <v>1</v>
          </cell>
          <cell r="K153">
            <v>244</v>
          </cell>
          <cell r="L153">
            <v>0</v>
          </cell>
          <cell r="M153">
            <v>0</v>
          </cell>
          <cell r="N153">
            <v>0</v>
          </cell>
          <cell r="O153">
            <v>0</v>
          </cell>
          <cell r="P153">
            <v>0</v>
          </cell>
          <cell r="Q153">
            <v>0</v>
          </cell>
          <cell r="R153">
            <v>1</v>
          </cell>
          <cell r="S153">
            <v>244</v>
          </cell>
          <cell r="T153">
            <v>0</v>
          </cell>
          <cell r="U153">
            <v>0</v>
          </cell>
          <cell r="V153">
            <v>0</v>
          </cell>
          <cell r="W153">
            <v>0</v>
          </cell>
          <cell r="X153">
            <v>10</v>
          </cell>
          <cell r="Y153">
            <v>4852</v>
          </cell>
          <cell r="Z153">
            <v>0</v>
          </cell>
          <cell r="AA153">
            <v>0</v>
          </cell>
        </row>
        <row r="154">
          <cell r="C154" t="str">
            <v>Boston, MA</v>
          </cell>
          <cell r="D154">
            <v>0</v>
          </cell>
          <cell r="E154">
            <v>0</v>
          </cell>
          <cell r="F154">
            <v>0</v>
          </cell>
          <cell r="G154">
            <v>0</v>
          </cell>
          <cell r="H154">
            <v>1</v>
          </cell>
          <cell r="I154">
            <v>1120</v>
          </cell>
          <cell r="J154">
            <v>1</v>
          </cell>
          <cell r="K154">
            <v>1120</v>
          </cell>
          <cell r="L154">
            <v>0</v>
          </cell>
          <cell r="M154">
            <v>0</v>
          </cell>
          <cell r="N154">
            <v>0</v>
          </cell>
          <cell r="O154">
            <v>0</v>
          </cell>
          <cell r="P154">
            <v>0</v>
          </cell>
          <cell r="Q154">
            <v>0</v>
          </cell>
          <cell r="R154">
            <v>0</v>
          </cell>
          <cell r="S154">
            <v>0</v>
          </cell>
          <cell r="T154">
            <v>1</v>
          </cell>
          <cell r="U154">
            <v>1120</v>
          </cell>
          <cell r="V154">
            <v>1</v>
          </cell>
          <cell r="W154">
            <v>1120</v>
          </cell>
          <cell r="X154">
            <v>16</v>
          </cell>
          <cell r="Y154">
            <v>5442</v>
          </cell>
          <cell r="Z154">
            <v>0</v>
          </cell>
          <cell r="AA154">
            <v>0</v>
          </cell>
        </row>
        <row r="155">
          <cell r="C155" t="str">
            <v>Chicago, IL</v>
          </cell>
          <cell r="D155">
            <v>0</v>
          </cell>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14</v>
          </cell>
          <cell r="Y155">
            <v>6290</v>
          </cell>
          <cell r="Z155">
            <v>0</v>
          </cell>
          <cell r="AA155">
            <v>0</v>
          </cell>
        </row>
        <row r="156">
          <cell r="C156" t="str">
            <v>Dallas, TX</v>
          </cell>
          <cell r="D156">
            <v>1</v>
          </cell>
          <cell r="E156">
            <v>301</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8</v>
          </cell>
          <cell r="Y156">
            <v>2710</v>
          </cell>
          <cell r="Z156">
            <v>1</v>
          </cell>
          <cell r="AA156">
            <v>301</v>
          </cell>
        </row>
        <row r="157">
          <cell r="C157" t="str">
            <v>Denver, CO</v>
          </cell>
          <cell r="D157">
            <v>1</v>
          </cell>
          <cell r="E157">
            <v>369</v>
          </cell>
          <cell r="F157">
            <v>0</v>
          </cell>
          <cell r="G157">
            <v>0</v>
          </cell>
          <cell r="H157">
            <v>0</v>
          </cell>
          <cell r="I157">
            <v>0</v>
          </cell>
          <cell r="J157">
            <v>0</v>
          </cell>
          <cell r="K157">
            <v>0</v>
          </cell>
          <cell r="L157">
            <v>1</v>
          </cell>
          <cell r="M157">
            <v>526</v>
          </cell>
          <cell r="N157">
            <v>0</v>
          </cell>
          <cell r="O157">
            <v>0</v>
          </cell>
          <cell r="P157">
            <v>0</v>
          </cell>
          <cell r="Q157">
            <v>0</v>
          </cell>
          <cell r="R157">
            <v>0</v>
          </cell>
          <cell r="S157">
            <v>0</v>
          </cell>
          <cell r="T157">
            <v>0</v>
          </cell>
          <cell r="U157">
            <v>0</v>
          </cell>
          <cell r="V157">
            <v>1</v>
          </cell>
          <cell r="W157">
            <v>526</v>
          </cell>
          <cell r="X157">
            <v>7</v>
          </cell>
          <cell r="Y157">
            <v>1907</v>
          </cell>
          <cell r="Z157">
            <v>1</v>
          </cell>
          <cell r="AA157">
            <v>369</v>
          </cell>
        </row>
        <row r="158">
          <cell r="C158" t="str">
            <v>Detroit, MI</v>
          </cell>
          <cell r="D158">
            <v>0</v>
          </cell>
          <cell r="E158">
            <v>0</v>
          </cell>
          <cell r="F158">
            <v>0</v>
          </cell>
          <cell r="G158">
            <v>0</v>
          </cell>
          <cell r="H158">
            <v>1</v>
          </cell>
          <cell r="I158">
            <v>404</v>
          </cell>
          <cell r="J158">
            <v>1</v>
          </cell>
          <cell r="K158">
            <v>404</v>
          </cell>
          <cell r="L158">
            <v>0</v>
          </cell>
          <cell r="M158">
            <v>0</v>
          </cell>
          <cell r="N158">
            <v>0</v>
          </cell>
          <cell r="O158">
            <v>0</v>
          </cell>
          <cell r="P158">
            <v>0</v>
          </cell>
          <cell r="Q158">
            <v>0</v>
          </cell>
          <cell r="R158">
            <v>1</v>
          </cell>
          <cell r="S158">
            <v>404</v>
          </cell>
          <cell r="T158">
            <v>0</v>
          </cell>
          <cell r="U158">
            <v>0</v>
          </cell>
          <cell r="V158">
            <v>0</v>
          </cell>
          <cell r="W158">
            <v>0</v>
          </cell>
          <cell r="X158">
            <v>2</v>
          </cell>
          <cell r="Y158">
            <v>563</v>
          </cell>
          <cell r="Z158">
            <v>0</v>
          </cell>
          <cell r="AA158">
            <v>0</v>
          </cell>
        </row>
        <row r="159">
          <cell r="C159" t="str">
            <v>Houston, TX</v>
          </cell>
          <cell r="D159">
            <v>1</v>
          </cell>
          <cell r="E159">
            <v>286</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6</v>
          </cell>
          <cell r="Y159">
            <v>2209</v>
          </cell>
          <cell r="Z159">
            <v>1</v>
          </cell>
          <cell r="AA159">
            <v>286</v>
          </cell>
        </row>
        <row r="160">
          <cell r="C160" t="str">
            <v>Los Angeles, CA</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18</v>
          </cell>
          <cell r="Y160">
            <v>8231</v>
          </cell>
          <cell r="Z160">
            <v>0</v>
          </cell>
          <cell r="AA160">
            <v>0</v>
          </cell>
        </row>
        <row r="161">
          <cell r="C161" t="str">
            <v>Miami, FL</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3</v>
          </cell>
          <cell r="Y161">
            <v>1479</v>
          </cell>
          <cell r="Z161">
            <v>0</v>
          </cell>
          <cell r="AA161">
            <v>0</v>
          </cell>
        </row>
        <row r="162">
          <cell r="C162" t="str">
            <v>Minneapolis, MN</v>
          </cell>
          <cell r="D162">
            <v>0</v>
          </cell>
          <cell r="E162">
            <v>0</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3</v>
          </cell>
          <cell r="Y162">
            <v>703</v>
          </cell>
          <cell r="Z162">
            <v>0</v>
          </cell>
          <cell r="AA162">
            <v>0</v>
          </cell>
        </row>
        <row r="163">
          <cell r="C163" t="str">
            <v>Nashville, TN</v>
          </cell>
          <cell r="D163">
            <v>0</v>
          </cell>
          <cell r="E163">
            <v>0</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2</v>
          </cell>
          <cell r="Y163">
            <v>888</v>
          </cell>
          <cell r="Z163">
            <v>0</v>
          </cell>
          <cell r="AA163">
            <v>0</v>
          </cell>
        </row>
        <row r="164">
          <cell r="C164" t="str">
            <v>New Orleans, LA</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4</v>
          </cell>
          <cell r="Y164">
            <v>1841</v>
          </cell>
          <cell r="Z164">
            <v>0</v>
          </cell>
          <cell r="AA164">
            <v>0</v>
          </cell>
        </row>
        <row r="165">
          <cell r="C165" t="str">
            <v>New York, NY</v>
          </cell>
          <cell r="D165">
            <v>2</v>
          </cell>
          <cell r="E165">
            <v>455</v>
          </cell>
          <cell r="F165">
            <v>2</v>
          </cell>
          <cell r="G165">
            <v>1371</v>
          </cell>
          <cell r="H165">
            <v>0</v>
          </cell>
          <cell r="I165">
            <v>0</v>
          </cell>
          <cell r="J165">
            <v>2</v>
          </cell>
          <cell r="K165">
            <v>1371</v>
          </cell>
          <cell r="L165">
            <v>0</v>
          </cell>
          <cell r="M165">
            <v>0</v>
          </cell>
          <cell r="N165">
            <v>1</v>
          </cell>
          <cell r="O165">
            <v>511</v>
          </cell>
          <cell r="P165">
            <v>1</v>
          </cell>
          <cell r="Q165">
            <v>860</v>
          </cell>
          <cell r="R165">
            <v>0</v>
          </cell>
          <cell r="S165">
            <v>0</v>
          </cell>
          <cell r="T165">
            <v>0</v>
          </cell>
          <cell r="U165">
            <v>0</v>
          </cell>
          <cell r="V165">
            <v>0</v>
          </cell>
          <cell r="W165">
            <v>0</v>
          </cell>
          <cell r="X165">
            <v>9</v>
          </cell>
          <cell r="Y165">
            <v>4155</v>
          </cell>
          <cell r="Z165">
            <v>1</v>
          </cell>
          <cell r="AA165">
            <v>270</v>
          </cell>
        </row>
        <row r="166">
          <cell r="C166" t="str">
            <v>Norfolk, VA</v>
          </cell>
          <cell r="D166">
            <v>0</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2</v>
          </cell>
          <cell r="Y166">
            <v>403</v>
          </cell>
          <cell r="Z166">
            <v>0</v>
          </cell>
          <cell r="AA166">
            <v>0</v>
          </cell>
        </row>
        <row r="167">
          <cell r="C167" t="str">
            <v>Oahu Island, HI</v>
          </cell>
          <cell r="D167">
            <v>0</v>
          </cell>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7</v>
          </cell>
          <cell r="Y167">
            <v>4935</v>
          </cell>
          <cell r="Z167">
            <v>0</v>
          </cell>
          <cell r="AA167">
            <v>0</v>
          </cell>
        </row>
        <row r="168">
          <cell r="C168" t="str">
            <v>Orlando, FL</v>
          </cell>
          <cell r="D168">
            <v>0</v>
          </cell>
          <cell r="E168">
            <v>0</v>
          </cell>
          <cell r="F168">
            <v>1</v>
          </cell>
          <cell r="G168">
            <v>250</v>
          </cell>
          <cell r="H168">
            <v>0</v>
          </cell>
          <cell r="I168">
            <v>0</v>
          </cell>
          <cell r="J168">
            <v>1</v>
          </cell>
          <cell r="K168">
            <v>250</v>
          </cell>
          <cell r="L168">
            <v>0</v>
          </cell>
          <cell r="M168">
            <v>0</v>
          </cell>
          <cell r="N168">
            <v>1</v>
          </cell>
          <cell r="O168">
            <v>250</v>
          </cell>
          <cell r="P168">
            <v>0</v>
          </cell>
          <cell r="Q168">
            <v>0</v>
          </cell>
          <cell r="R168">
            <v>0</v>
          </cell>
          <cell r="S168">
            <v>0</v>
          </cell>
          <cell r="T168">
            <v>0</v>
          </cell>
          <cell r="U168">
            <v>0</v>
          </cell>
          <cell r="V168">
            <v>0</v>
          </cell>
          <cell r="W168">
            <v>0</v>
          </cell>
          <cell r="X168">
            <v>12</v>
          </cell>
          <cell r="Y168">
            <v>6131</v>
          </cell>
          <cell r="Z168">
            <v>0</v>
          </cell>
          <cell r="AA168">
            <v>0</v>
          </cell>
        </row>
        <row r="169">
          <cell r="C169" t="str">
            <v>Philadelphia, PA</v>
          </cell>
          <cell r="D169">
            <v>1</v>
          </cell>
          <cell r="E169">
            <v>193</v>
          </cell>
          <cell r="F169">
            <v>0</v>
          </cell>
          <cell r="G169">
            <v>0</v>
          </cell>
          <cell r="H169">
            <v>1</v>
          </cell>
          <cell r="I169">
            <v>192</v>
          </cell>
          <cell r="J169">
            <v>1</v>
          </cell>
          <cell r="K169">
            <v>192</v>
          </cell>
          <cell r="L169">
            <v>0</v>
          </cell>
          <cell r="M169">
            <v>0</v>
          </cell>
          <cell r="N169">
            <v>0</v>
          </cell>
          <cell r="O169">
            <v>0</v>
          </cell>
          <cell r="P169">
            <v>0</v>
          </cell>
          <cell r="Q169">
            <v>0</v>
          </cell>
          <cell r="R169">
            <v>1</v>
          </cell>
          <cell r="S169">
            <v>192</v>
          </cell>
          <cell r="T169">
            <v>0</v>
          </cell>
          <cell r="U169">
            <v>0</v>
          </cell>
          <cell r="V169">
            <v>0</v>
          </cell>
          <cell r="W169">
            <v>0</v>
          </cell>
          <cell r="X169">
            <v>9</v>
          </cell>
          <cell r="Y169">
            <v>2139</v>
          </cell>
          <cell r="Z169">
            <v>0</v>
          </cell>
          <cell r="AA169">
            <v>0</v>
          </cell>
        </row>
        <row r="170">
          <cell r="C170" t="str">
            <v>Phoenix, AZ</v>
          </cell>
          <cell r="D170">
            <v>0</v>
          </cell>
          <cell r="E170">
            <v>0</v>
          </cell>
          <cell r="F170">
            <v>0</v>
          </cell>
          <cell r="G170">
            <v>0</v>
          </cell>
          <cell r="H170">
            <v>1</v>
          </cell>
          <cell r="I170">
            <v>750</v>
          </cell>
          <cell r="J170">
            <v>1</v>
          </cell>
          <cell r="K170">
            <v>750</v>
          </cell>
          <cell r="L170">
            <v>0</v>
          </cell>
          <cell r="M170">
            <v>0</v>
          </cell>
          <cell r="N170">
            <v>0</v>
          </cell>
          <cell r="O170">
            <v>0</v>
          </cell>
          <cell r="P170">
            <v>0</v>
          </cell>
          <cell r="Q170">
            <v>0</v>
          </cell>
          <cell r="R170">
            <v>0</v>
          </cell>
          <cell r="S170">
            <v>0</v>
          </cell>
          <cell r="T170">
            <v>1</v>
          </cell>
          <cell r="U170">
            <v>750</v>
          </cell>
          <cell r="V170">
            <v>1</v>
          </cell>
          <cell r="W170">
            <v>750</v>
          </cell>
          <cell r="X170">
            <v>5</v>
          </cell>
          <cell r="Y170">
            <v>1450</v>
          </cell>
          <cell r="Z170">
            <v>0</v>
          </cell>
          <cell r="AA170">
            <v>0</v>
          </cell>
        </row>
        <row r="171">
          <cell r="C171" t="str">
            <v>Saint Louis, MO</v>
          </cell>
          <cell r="D171">
            <v>0</v>
          </cell>
          <cell r="E171">
            <v>0</v>
          </cell>
          <cell r="F171">
            <v>2</v>
          </cell>
          <cell r="G171">
            <v>551</v>
          </cell>
          <cell r="H171">
            <v>0</v>
          </cell>
          <cell r="I171">
            <v>0</v>
          </cell>
          <cell r="J171">
            <v>2</v>
          </cell>
          <cell r="K171">
            <v>551</v>
          </cell>
          <cell r="L171">
            <v>0</v>
          </cell>
          <cell r="M171">
            <v>0</v>
          </cell>
          <cell r="N171">
            <v>2</v>
          </cell>
          <cell r="O171">
            <v>551</v>
          </cell>
          <cell r="P171">
            <v>0</v>
          </cell>
          <cell r="Q171">
            <v>0</v>
          </cell>
          <cell r="R171">
            <v>0</v>
          </cell>
          <cell r="S171">
            <v>0</v>
          </cell>
          <cell r="T171">
            <v>0</v>
          </cell>
          <cell r="U171">
            <v>0</v>
          </cell>
          <cell r="V171">
            <v>0</v>
          </cell>
          <cell r="W171">
            <v>0</v>
          </cell>
          <cell r="X171">
            <v>4</v>
          </cell>
          <cell r="Y171">
            <v>909</v>
          </cell>
          <cell r="Z171">
            <v>0</v>
          </cell>
          <cell r="AA171">
            <v>0</v>
          </cell>
        </row>
        <row r="172">
          <cell r="C172" t="str">
            <v>San Diego, CA</v>
          </cell>
          <cell r="D172">
            <v>0</v>
          </cell>
          <cell r="E172">
            <v>0</v>
          </cell>
          <cell r="F172">
            <v>2</v>
          </cell>
          <cell r="G172">
            <v>775</v>
          </cell>
          <cell r="H172">
            <v>0</v>
          </cell>
          <cell r="I172">
            <v>0</v>
          </cell>
          <cell r="J172">
            <v>2</v>
          </cell>
          <cell r="K172">
            <v>775</v>
          </cell>
          <cell r="L172">
            <v>0</v>
          </cell>
          <cell r="M172">
            <v>0</v>
          </cell>
          <cell r="N172">
            <v>0</v>
          </cell>
          <cell r="O172">
            <v>0</v>
          </cell>
          <cell r="P172">
            <v>1</v>
          </cell>
          <cell r="Q172">
            <v>263</v>
          </cell>
          <cell r="R172">
            <v>1</v>
          </cell>
          <cell r="S172">
            <v>512</v>
          </cell>
          <cell r="T172">
            <v>0</v>
          </cell>
          <cell r="U172">
            <v>0</v>
          </cell>
          <cell r="V172">
            <v>0</v>
          </cell>
          <cell r="W172">
            <v>0</v>
          </cell>
          <cell r="X172">
            <v>5</v>
          </cell>
          <cell r="Y172">
            <v>2275</v>
          </cell>
          <cell r="Z172">
            <v>0</v>
          </cell>
          <cell r="AA172">
            <v>0</v>
          </cell>
        </row>
        <row r="173">
          <cell r="C173" t="str">
            <v>San Francisco, CA</v>
          </cell>
          <cell r="D173">
            <v>1</v>
          </cell>
          <cell r="E173">
            <v>423</v>
          </cell>
          <cell r="F173">
            <v>1</v>
          </cell>
          <cell r="G173">
            <v>101</v>
          </cell>
          <cell r="H173">
            <v>0</v>
          </cell>
          <cell r="I173">
            <v>0</v>
          </cell>
          <cell r="J173">
            <v>1</v>
          </cell>
          <cell r="K173">
            <v>101</v>
          </cell>
          <cell r="L173">
            <v>0</v>
          </cell>
          <cell r="M173">
            <v>0</v>
          </cell>
          <cell r="N173">
            <v>1</v>
          </cell>
          <cell r="O173">
            <v>101</v>
          </cell>
          <cell r="P173">
            <v>0</v>
          </cell>
          <cell r="Q173">
            <v>0</v>
          </cell>
          <cell r="R173">
            <v>0</v>
          </cell>
          <cell r="S173">
            <v>0</v>
          </cell>
          <cell r="T173">
            <v>0</v>
          </cell>
          <cell r="U173">
            <v>0</v>
          </cell>
          <cell r="V173">
            <v>0</v>
          </cell>
          <cell r="W173">
            <v>0</v>
          </cell>
          <cell r="X173">
            <v>7</v>
          </cell>
          <cell r="Y173">
            <v>3716</v>
          </cell>
          <cell r="Z173">
            <v>0</v>
          </cell>
          <cell r="AA173">
            <v>0</v>
          </cell>
        </row>
        <row r="174">
          <cell r="C174" t="str">
            <v>Seattle, WA</v>
          </cell>
          <cell r="D174">
            <v>1</v>
          </cell>
          <cell r="E174">
            <v>426</v>
          </cell>
          <cell r="F174">
            <v>0</v>
          </cell>
          <cell r="G174">
            <v>0</v>
          </cell>
          <cell r="H174">
            <v>1</v>
          </cell>
          <cell r="I174">
            <v>304</v>
          </cell>
          <cell r="J174">
            <v>1</v>
          </cell>
          <cell r="K174">
            <v>304</v>
          </cell>
          <cell r="L174">
            <v>0</v>
          </cell>
          <cell r="M174">
            <v>0</v>
          </cell>
          <cell r="N174">
            <v>0</v>
          </cell>
          <cell r="O174">
            <v>0</v>
          </cell>
          <cell r="P174">
            <v>0</v>
          </cell>
          <cell r="Q174">
            <v>0</v>
          </cell>
          <cell r="R174">
            <v>1</v>
          </cell>
          <cell r="S174">
            <v>304</v>
          </cell>
          <cell r="T174">
            <v>0</v>
          </cell>
          <cell r="U174">
            <v>0</v>
          </cell>
          <cell r="V174">
            <v>0</v>
          </cell>
          <cell r="W174">
            <v>0</v>
          </cell>
          <cell r="X174">
            <v>3</v>
          </cell>
          <cell r="Y174">
            <v>2131</v>
          </cell>
          <cell r="Z174">
            <v>0</v>
          </cell>
          <cell r="AA174">
            <v>0</v>
          </cell>
        </row>
        <row r="175">
          <cell r="C175" t="str">
            <v>Tampa, FL</v>
          </cell>
          <cell r="D175">
            <v>1</v>
          </cell>
          <cell r="E175">
            <v>99</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6</v>
          </cell>
          <cell r="Y175">
            <v>2198</v>
          </cell>
          <cell r="Z175">
            <v>0</v>
          </cell>
          <cell r="AA175">
            <v>0</v>
          </cell>
        </row>
        <row r="176">
          <cell r="C176" t="str">
            <v>Washington, DC</v>
          </cell>
          <cell r="D176">
            <v>0</v>
          </cell>
          <cell r="E176">
            <v>0</v>
          </cell>
          <cell r="F176">
            <v>0</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10</v>
          </cell>
          <cell r="Y176">
            <v>3101</v>
          </cell>
          <cell r="Z176">
            <v>0</v>
          </cell>
          <cell r="AA176">
            <v>0</v>
          </cell>
        </row>
        <row r="191">
          <cell r="C191" t="str">
            <v>Anaheim, CA</v>
          </cell>
          <cell r="D191">
            <v>346</v>
          </cell>
          <cell r="E191">
            <v>46598</v>
          </cell>
          <cell r="F191">
            <v>12</v>
          </cell>
          <cell r="G191">
            <v>3177</v>
          </cell>
          <cell r="H191">
            <v>8</v>
          </cell>
          <cell r="I191">
            <v>2714</v>
          </cell>
          <cell r="J191">
            <v>20</v>
          </cell>
          <cell r="K191">
            <v>5891</v>
          </cell>
          <cell r="L191">
            <v>9</v>
          </cell>
          <cell r="M191">
            <v>1869</v>
          </cell>
          <cell r="N191">
            <v>29</v>
          </cell>
          <cell r="O191">
            <v>7760</v>
          </cell>
        </row>
        <row r="192">
          <cell r="C192" t="str">
            <v>Atlanta, GA</v>
          </cell>
          <cell r="D192">
            <v>614</v>
          </cell>
          <cell r="E192">
            <v>82957</v>
          </cell>
          <cell r="F192">
            <v>19</v>
          </cell>
          <cell r="G192">
            <v>1661</v>
          </cell>
          <cell r="H192">
            <v>12</v>
          </cell>
          <cell r="I192">
            <v>1106</v>
          </cell>
          <cell r="J192">
            <v>31</v>
          </cell>
          <cell r="K192">
            <v>2767</v>
          </cell>
          <cell r="L192">
            <v>43</v>
          </cell>
          <cell r="M192">
            <v>6374</v>
          </cell>
          <cell r="N192">
            <v>74</v>
          </cell>
          <cell r="O192">
            <v>9141</v>
          </cell>
        </row>
        <row r="193">
          <cell r="C193" t="str">
            <v>Boston, MA</v>
          </cell>
          <cell r="D193">
            <v>260</v>
          </cell>
          <cell r="E193">
            <v>42115</v>
          </cell>
          <cell r="F193">
            <v>16</v>
          </cell>
          <cell r="G193">
            <v>2491</v>
          </cell>
          <cell r="H193">
            <v>18</v>
          </cell>
          <cell r="I193">
            <v>4341</v>
          </cell>
          <cell r="J193">
            <v>34</v>
          </cell>
          <cell r="K193">
            <v>6832</v>
          </cell>
          <cell r="L193">
            <v>24</v>
          </cell>
          <cell r="M193">
            <v>4191</v>
          </cell>
          <cell r="N193">
            <v>58</v>
          </cell>
          <cell r="O193">
            <v>11023</v>
          </cell>
        </row>
        <row r="194">
          <cell r="C194" t="str">
            <v>Chicago, IL</v>
          </cell>
          <cell r="D194">
            <v>458</v>
          </cell>
          <cell r="E194">
            <v>81220</v>
          </cell>
          <cell r="F194">
            <v>21</v>
          </cell>
          <cell r="G194">
            <v>3902</v>
          </cell>
          <cell r="H194">
            <v>16</v>
          </cell>
          <cell r="I194">
            <v>3876</v>
          </cell>
          <cell r="J194">
            <v>37</v>
          </cell>
          <cell r="K194">
            <v>7778</v>
          </cell>
          <cell r="L194">
            <v>25</v>
          </cell>
          <cell r="M194">
            <v>4411</v>
          </cell>
          <cell r="N194">
            <v>62</v>
          </cell>
          <cell r="O194">
            <v>12189</v>
          </cell>
        </row>
        <row r="195">
          <cell r="C195" t="str">
            <v>Dallas, TX</v>
          </cell>
          <cell r="D195">
            <v>424</v>
          </cell>
          <cell r="E195">
            <v>61904</v>
          </cell>
          <cell r="F195">
            <v>14</v>
          </cell>
          <cell r="G195">
            <v>1929</v>
          </cell>
          <cell r="H195">
            <v>14</v>
          </cell>
          <cell r="I195">
            <v>2506</v>
          </cell>
          <cell r="J195">
            <v>28</v>
          </cell>
          <cell r="K195">
            <v>4435</v>
          </cell>
          <cell r="L195">
            <v>24</v>
          </cell>
          <cell r="M195">
            <v>3322</v>
          </cell>
          <cell r="N195">
            <v>52</v>
          </cell>
          <cell r="O195">
            <v>7757</v>
          </cell>
        </row>
        <row r="196">
          <cell r="C196" t="str">
            <v>Denver, CO</v>
          </cell>
          <cell r="D196">
            <v>218</v>
          </cell>
          <cell r="E196">
            <v>34818</v>
          </cell>
          <cell r="F196">
            <v>4</v>
          </cell>
          <cell r="G196">
            <v>321</v>
          </cell>
          <cell r="H196">
            <v>11</v>
          </cell>
          <cell r="I196">
            <v>2459</v>
          </cell>
          <cell r="J196">
            <v>15</v>
          </cell>
          <cell r="K196">
            <v>2780</v>
          </cell>
          <cell r="L196">
            <v>15</v>
          </cell>
          <cell r="M196">
            <v>2220</v>
          </cell>
          <cell r="N196">
            <v>30</v>
          </cell>
          <cell r="O196">
            <v>5000</v>
          </cell>
        </row>
        <row r="197">
          <cell r="C197" t="str">
            <v>Detroit, MI</v>
          </cell>
          <cell r="D197">
            <v>279</v>
          </cell>
          <cell r="E197">
            <v>35349</v>
          </cell>
          <cell r="F197">
            <v>12</v>
          </cell>
          <cell r="G197">
            <v>1127</v>
          </cell>
          <cell r="H197">
            <v>12</v>
          </cell>
          <cell r="I197">
            <v>1632</v>
          </cell>
          <cell r="J197">
            <v>24</v>
          </cell>
          <cell r="K197">
            <v>2759</v>
          </cell>
          <cell r="L197">
            <v>20</v>
          </cell>
          <cell r="M197">
            <v>1954</v>
          </cell>
          <cell r="N197">
            <v>44</v>
          </cell>
          <cell r="O197">
            <v>4713</v>
          </cell>
        </row>
        <row r="198">
          <cell r="C198" t="str">
            <v>Houston, TX</v>
          </cell>
          <cell r="D198">
            <v>375</v>
          </cell>
          <cell r="E198">
            <v>51594</v>
          </cell>
          <cell r="F198">
            <v>21</v>
          </cell>
          <cell r="G198">
            <v>1888</v>
          </cell>
          <cell r="H198">
            <v>6</v>
          </cell>
          <cell r="I198">
            <v>759</v>
          </cell>
          <cell r="J198">
            <v>27</v>
          </cell>
          <cell r="K198">
            <v>2647</v>
          </cell>
          <cell r="L198">
            <v>20</v>
          </cell>
          <cell r="M198">
            <v>4364</v>
          </cell>
          <cell r="N198">
            <v>47</v>
          </cell>
          <cell r="O198">
            <v>7011</v>
          </cell>
        </row>
        <row r="199">
          <cell r="C199" t="str">
            <v>Los Angeles, CA</v>
          </cell>
          <cell r="D199">
            <v>679</v>
          </cell>
          <cell r="E199">
            <v>83718</v>
          </cell>
          <cell r="F199">
            <v>11</v>
          </cell>
          <cell r="G199">
            <v>1593</v>
          </cell>
          <cell r="H199">
            <v>13</v>
          </cell>
          <cell r="I199">
            <v>2630</v>
          </cell>
          <cell r="J199">
            <v>24</v>
          </cell>
          <cell r="K199">
            <v>4223</v>
          </cell>
          <cell r="L199">
            <v>12</v>
          </cell>
          <cell r="M199">
            <v>1585</v>
          </cell>
          <cell r="N199">
            <v>36</v>
          </cell>
          <cell r="O199">
            <v>5808</v>
          </cell>
        </row>
        <row r="200">
          <cell r="C200" t="str">
            <v>Miami, FL</v>
          </cell>
          <cell r="D200">
            <v>272</v>
          </cell>
          <cell r="E200">
            <v>43547</v>
          </cell>
          <cell r="F200">
            <v>11</v>
          </cell>
          <cell r="G200">
            <v>2605</v>
          </cell>
          <cell r="H200">
            <v>5</v>
          </cell>
          <cell r="I200">
            <v>625</v>
          </cell>
          <cell r="J200">
            <v>16</v>
          </cell>
          <cell r="K200">
            <v>3230</v>
          </cell>
          <cell r="L200">
            <v>16</v>
          </cell>
          <cell r="M200">
            <v>2192</v>
          </cell>
          <cell r="N200">
            <v>32</v>
          </cell>
          <cell r="O200">
            <v>5422</v>
          </cell>
        </row>
        <row r="201">
          <cell r="C201" t="str">
            <v>Minneapolis, MN</v>
          </cell>
          <cell r="D201">
            <v>233</v>
          </cell>
          <cell r="E201">
            <v>31550</v>
          </cell>
          <cell r="F201">
            <v>6</v>
          </cell>
          <cell r="G201">
            <v>787</v>
          </cell>
          <cell r="H201">
            <v>7</v>
          </cell>
          <cell r="I201">
            <v>894</v>
          </cell>
          <cell r="J201">
            <v>13</v>
          </cell>
          <cell r="K201">
            <v>1681</v>
          </cell>
          <cell r="L201">
            <v>18</v>
          </cell>
          <cell r="M201">
            <v>2215</v>
          </cell>
          <cell r="N201">
            <v>31</v>
          </cell>
          <cell r="O201">
            <v>3896</v>
          </cell>
        </row>
        <row r="202">
          <cell r="C202" t="str">
            <v>Nashville, TN</v>
          </cell>
          <cell r="D202">
            <v>252</v>
          </cell>
          <cell r="E202">
            <v>31435</v>
          </cell>
          <cell r="F202">
            <v>8</v>
          </cell>
          <cell r="G202">
            <v>1262</v>
          </cell>
          <cell r="H202">
            <v>7</v>
          </cell>
          <cell r="I202">
            <v>564</v>
          </cell>
          <cell r="J202">
            <v>15</v>
          </cell>
          <cell r="K202">
            <v>1826</v>
          </cell>
          <cell r="L202">
            <v>11</v>
          </cell>
          <cell r="M202">
            <v>1137</v>
          </cell>
          <cell r="N202">
            <v>26</v>
          </cell>
          <cell r="O202">
            <v>2963</v>
          </cell>
        </row>
        <row r="203">
          <cell r="C203" t="str">
            <v>New Orleans, LA</v>
          </cell>
          <cell r="D203">
            <v>179</v>
          </cell>
          <cell r="E203">
            <v>30755</v>
          </cell>
          <cell r="F203">
            <v>13</v>
          </cell>
          <cell r="G203">
            <v>1924</v>
          </cell>
          <cell r="H203">
            <v>5</v>
          </cell>
          <cell r="I203">
            <v>480</v>
          </cell>
          <cell r="J203">
            <v>18</v>
          </cell>
          <cell r="K203">
            <v>2404</v>
          </cell>
          <cell r="L203">
            <v>17</v>
          </cell>
          <cell r="M203">
            <v>3052</v>
          </cell>
          <cell r="N203">
            <v>35</v>
          </cell>
          <cell r="O203">
            <v>5456</v>
          </cell>
        </row>
        <row r="204">
          <cell r="C204" t="str">
            <v>New York, NY</v>
          </cell>
          <cell r="D204">
            <v>277</v>
          </cell>
          <cell r="E204">
            <v>75608</v>
          </cell>
          <cell r="F204">
            <v>12</v>
          </cell>
          <cell r="G204">
            <v>3079</v>
          </cell>
          <cell r="H204">
            <v>5</v>
          </cell>
          <cell r="I204">
            <v>550</v>
          </cell>
          <cell r="J204">
            <v>17</v>
          </cell>
          <cell r="K204">
            <v>3629</v>
          </cell>
          <cell r="L204">
            <v>14</v>
          </cell>
          <cell r="M204">
            <v>2537</v>
          </cell>
          <cell r="N204">
            <v>31</v>
          </cell>
          <cell r="O204">
            <v>6166</v>
          </cell>
        </row>
        <row r="205">
          <cell r="C205" t="str">
            <v>Norfolk, VA</v>
          </cell>
          <cell r="D205">
            <v>310</v>
          </cell>
          <cell r="E205">
            <v>34697</v>
          </cell>
          <cell r="F205">
            <v>4</v>
          </cell>
          <cell r="G205">
            <v>668</v>
          </cell>
          <cell r="H205">
            <v>3</v>
          </cell>
          <cell r="I205">
            <v>239</v>
          </cell>
          <cell r="J205">
            <v>7</v>
          </cell>
          <cell r="K205">
            <v>907</v>
          </cell>
          <cell r="L205">
            <v>12</v>
          </cell>
          <cell r="M205">
            <v>1634</v>
          </cell>
          <cell r="N205">
            <v>19</v>
          </cell>
          <cell r="O205">
            <v>2541</v>
          </cell>
        </row>
        <row r="206">
          <cell r="C206" t="str">
            <v>Oahu Island, HI</v>
          </cell>
          <cell r="D206">
            <v>109</v>
          </cell>
          <cell r="E206">
            <v>36407</v>
          </cell>
          <cell r="F206">
            <v>1</v>
          </cell>
          <cell r="G206">
            <v>453</v>
          </cell>
          <cell r="H206">
            <v>0</v>
          </cell>
          <cell r="I206">
            <v>0</v>
          </cell>
          <cell r="J206">
            <v>1</v>
          </cell>
          <cell r="K206">
            <v>453</v>
          </cell>
          <cell r="L206">
            <v>1</v>
          </cell>
          <cell r="M206">
            <v>299</v>
          </cell>
          <cell r="N206">
            <v>2</v>
          </cell>
          <cell r="O206">
            <v>752</v>
          </cell>
        </row>
        <row r="207">
          <cell r="C207" t="str">
            <v>Orlando, FL</v>
          </cell>
          <cell r="D207">
            <v>417</v>
          </cell>
          <cell r="E207">
            <v>112948</v>
          </cell>
          <cell r="F207">
            <v>15</v>
          </cell>
          <cell r="G207">
            <v>7899</v>
          </cell>
          <cell r="H207">
            <v>13</v>
          </cell>
          <cell r="I207">
            <v>4788</v>
          </cell>
          <cell r="J207">
            <v>28</v>
          </cell>
          <cell r="K207">
            <v>12687</v>
          </cell>
          <cell r="L207">
            <v>42</v>
          </cell>
          <cell r="M207">
            <v>12195</v>
          </cell>
          <cell r="N207">
            <v>70</v>
          </cell>
          <cell r="O207">
            <v>24882</v>
          </cell>
        </row>
        <row r="208">
          <cell r="C208" t="str">
            <v>Philadelphia, PA</v>
          </cell>
          <cell r="D208">
            <v>238</v>
          </cell>
          <cell r="E208">
            <v>37267</v>
          </cell>
          <cell r="F208">
            <v>11</v>
          </cell>
          <cell r="G208">
            <v>1571</v>
          </cell>
          <cell r="H208">
            <v>6</v>
          </cell>
          <cell r="I208">
            <v>680</v>
          </cell>
          <cell r="J208">
            <v>17</v>
          </cell>
          <cell r="K208">
            <v>2251</v>
          </cell>
          <cell r="L208">
            <v>18</v>
          </cell>
          <cell r="M208">
            <v>1815</v>
          </cell>
          <cell r="N208">
            <v>35</v>
          </cell>
          <cell r="O208">
            <v>4066</v>
          </cell>
        </row>
        <row r="209">
          <cell r="C209" t="str">
            <v>Phoenix, AZ</v>
          </cell>
          <cell r="D209">
            <v>336</v>
          </cell>
          <cell r="E209">
            <v>50713</v>
          </cell>
          <cell r="F209">
            <v>2</v>
          </cell>
          <cell r="G209">
            <v>219</v>
          </cell>
          <cell r="H209">
            <v>9</v>
          </cell>
          <cell r="I209">
            <v>2842</v>
          </cell>
          <cell r="J209">
            <v>11</v>
          </cell>
          <cell r="K209">
            <v>3061</v>
          </cell>
          <cell r="L209">
            <v>10</v>
          </cell>
          <cell r="M209">
            <v>2821</v>
          </cell>
          <cell r="N209">
            <v>21</v>
          </cell>
          <cell r="O209">
            <v>5882</v>
          </cell>
        </row>
        <row r="210">
          <cell r="C210" t="str">
            <v>Saint Louis, MO</v>
          </cell>
          <cell r="D210">
            <v>214</v>
          </cell>
          <cell r="E210">
            <v>30315</v>
          </cell>
          <cell r="F210">
            <v>5</v>
          </cell>
          <cell r="G210">
            <v>782</v>
          </cell>
          <cell r="H210">
            <v>5</v>
          </cell>
          <cell r="I210">
            <v>1818</v>
          </cell>
          <cell r="J210">
            <v>10</v>
          </cell>
          <cell r="K210">
            <v>2600</v>
          </cell>
          <cell r="L210">
            <v>14</v>
          </cell>
          <cell r="M210">
            <v>1480</v>
          </cell>
          <cell r="N210">
            <v>24</v>
          </cell>
          <cell r="O210">
            <v>4080</v>
          </cell>
        </row>
        <row r="211">
          <cell r="C211" t="str">
            <v>San Diego, CA</v>
          </cell>
          <cell r="D211">
            <v>399</v>
          </cell>
          <cell r="E211">
            <v>49458</v>
          </cell>
          <cell r="F211">
            <v>10</v>
          </cell>
          <cell r="G211">
            <v>2086</v>
          </cell>
          <cell r="H211">
            <v>9</v>
          </cell>
          <cell r="I211">
            <v>1606</v>
          </cell>
          <cell r="J211">
            <v>19</v>
          </cell>
          <cell r="K211">
            <v>3692</v>
          </cell>
          <cell r="L211">
            <v>15</v>
          </cell>
          <cell r="M211">
            <v>4536</v>
          </cell>
          <cell r="N211">
            <v>34</v>
          </cell>
          <cell r="O211">
            <v>8228</v>
          </cell>
        </row>
        <row r="212">
          <cell r="C212" t="str">
            <v>San Francisco, CA</v>
          </cell>
          <cell r="D212">
            <v>339</v>
          </cell>
          <cell r="E212">
            <v>48885</v>
          </cell>
          <cell r="F212">
            <v>13</v>
          </cell>
          <cell r="G212">
            <v>2192</v>
          </cell>
          <cell r="H212">
            <v>9</v>
          </cell>
          <cell r="I212">
            <v>1691</v>
          </cell>
          <cell r="J212">
            <v>22</v>
          </cell>
          <cell r="K212">
            <v>3883</v>
          </cell>
          <cell r="L212">
            <v>22</v>
          </cell>
          <cell r="M212">
            <v>4038</v>
          </cell>
          <cell r="N212">
            <v>44</v>
          </cell>
          <cell r="O212">
            <v>7921</v>
          </cell>
        </row>
        <row r="213">
          <cell r="C213" t="str">
            <v>Seattle, WA</v>
          </cell>
          <cell r="D213">
            <v>282</v>
          </cell>
          <cell r="E213">
            <v>32954</v>
          </cell>
          <cell r="F213">
            <v>8</v>
          </cell>
          <cell r="G213">
            <v>1571</v>
          </cell>
          <cell r="H213">
            <v>16</v>
          </cell>
          <cell r="I213">
            <v>2692</v>
          </cell>
          <cell r="J213">
            <v>24</v>
          </cell>
          <cell r="K213">
            <v>4263</v>
          </cell>
          <cell r="L213">
            <v>11</v>
          </cell>
          <cell r="M213">
            <v>2119</v>
          </cell>
          <cell r="N213">
            <v>35</v>
          </cell>
          <cell r="O213">
            <v>6382</v>
          </cell>
        </row>
        <row r="214">
          <cell r="C214" t="str">
            <v>Tampa, FL</v>
          </cell>
          <cell r="D214">
            <v>308</v>
          </cell>
          <cell r="E214">
            <v>38264</v>
          </cell>
          <cell r="F214">
            <v>10</v>
          </cell>
          <cell r="G214">
            <v>1152</v>
          </cell>
          <cell r="H214">
            <v>3</v>
          </cell>
          <cell r="I214">
            <v>213</v>
          </cell>
          <cell r="J214">
            <v>13</v>
          </cell>
          <cell r="K214">
            <v>1365</v>
          </cell>
          <cell r="L214">
            <v>25</v>
          </cell>
          <cell r="M214">
            <v>2785</v>
          </cell>
          <cell r="N214">
            <v>38</v>
          </cell>
          <cell r="O214">
            <v>4150</v>
          </cell>
        </row>
        <row r="215">
          <cell r="C215" t="str">
            <v>Washington, DC</v>
          </cell>
          <cell r="D215">
            <v>425</v>
          </cell>
          <cell r="E215">
            <v>78572</v>
          </cell>
          <cell r="F215">
            <v>16</v>
          </cell>
          <cell r="G215">
            <v>2089</v>
          </cell>
          <cell r="H215">
            <v>15</v>
          </cell>
          <cell r="I215">
            <v>2562</v>
          </cell>
          <cell r="J215">
            <v>31</v>
          </cell>
          <cell r="K215">
            <v>4651</v>
          </cell>
          <cell r="L215">
            <v>28</v>
          </cell>
          <cell r="M215">
            <v>7092</v>
          </cell>
          <cell r="N215">
            <v>59</v>
          </cell>
          <cell r="O215">
            <v>11743</v>
          </cell>
        </row>
      </sheetData>
      <sheetData sheetId="5" refreshError="1">
        <row r="11">
          <cell r="BQ11">
            <v>222871</v>
          </cell>
          <cell r="BT11">
            <v>1591</v>
          </cell>
        </row>
        <row r="13">
          <cell r="BQ13">
            <v>127578</v>
          </cell>
          <cell r="BT13">
            <v>1252</v>
          </cell>
        </row>
        <row r="14">
          <cell r="BQ14">
            <v>123143</v>
          </cell>
          <cell r="BT14">
            <v>864</v>
          </cell>
        </row>
      </sheetData>
      <sheetData sheetId="6" refreshError="1"/>
      <sheetData sheetId="7" refreshError="1"/>
      <sheetData sheetId="8" refreshError="1"/>
      <sheetData sheetId="9" refreshError="1"/>
      <sheetData sheetId="10" refreshError="1"/>
      <sheetData sheetId="11" refreshError="1">
        <row r="498">
          <cell r="B498" t="str">
            <v>Best Western</v>
          </cell>
          <cell r="C498">
            <v>12</v>
          </cell>
          <cell r="D498">
            <v>1189</v>
          </cell>
        </row>
        <row r="499">
          <cell r="B499" t="str">
            <v>Days Inn</v>
          </cell>
          <cell r="C499">
            <v>9</v>
          </cell>
          <cell r="D499">
            <v>1102</v>
          </cell>
        </row>
        <row r="500">
          <cell r="B500" t="str">
            <v>Drury Inn</v>
          </cell>
          <cell r="C500">
            <v>13</v>
          </cell>
          <cell r="D500">
            <v>2185</v>
          </cell>
        </row>
        <row r="501">
          <cell r="B501" t="str">
            <v>Hampton Inn</v>
          </cell>
          <cell r="C501">
            <v>8</v>
          </cell>
          <cell r="D501">
            <v>994</v>
          </cell>
        </row>
        <row r="502">
          <cell r="B502" t="str">
            <v>Holiday Inn</v>
          </cell>
          <cell r="C502">
            <v>16</v>
          </cell>
          <cell r="D502">
            <v>3610</v>
          </cell>
        </row>
        <row r="503">
          <cell r="B503" t="str">
            <v>Marriott Hotel</v>
          </cell>
          <cell r="C503">
            <v>3</v>
          </cell>
          <cell r="D503">
            <v>1573</v>
          </cell>
        </row>
        <row r="504">
          <cell r="B504" t="str">
            <v>Radisson Hotel</v>
          </cell>
          <cell r="C504">
            <v>3</v>
          </cell>
          <cell r="D504">
            <v>996</v>
          </cell>
        </row>
        <row r="505">
          <cell r="B505" t="str">
            <v>Super 8</v>
          </cell>
          <cell r="C505">
            <v>18</v>
          </cell>
          <cell r="D505">
            <v>992</v>
          </cell>
        </row>
        <row r="507">
          <cell r="B507" t="str">
            <v>ACCOR</v>
          </cell>
          <cell r="C507">
            <v>15</v>
          </cell>
          <cell r="D507">
            <v>1659</v>
          </cell>
        </row>
        <row r="508">
          <cell r="B508" t="str">
            <v>Bass Hotels</v>
          </cell>
          <cell r="C508">
            <v>22</v>
          </cell>
          <cell r="D508">
            <v>4001</v>
          </cell>
        </row>
        <row r="509">
          <cell r="B509" t="str">
            <v>Best Western</v>
          </cell>
          <cell r="C509">
            <v>12</v>
          </cell>
          <cell r="D509">
            <v>1189</v>
          </cell>
        </row>
        <row r="510">
          <cell r="B510" t="str">
            <v>Carlson Co.</v>
          </cell>
          <cell r="C510">
            <v>3</v>
          </cell>
          <cell r="D510">
            <v>996</v>
          </cell>
        </row>
        <row r="511">
          <cell r="B511" t="str">
            <v>Cendant Corp.</v>
          </cell>
          <cell r="C511">
            <v>47</v>
          </cell>
          <cell r="D511">
            <v>4103</v>
          </cell>
        </row>
        <row r="512">
          <cell r="B512" t="str">
            <v>Drury Inns</v>
          </cell>
          <cell r="C512">
            <v>13</v>
          </cell>
          <cell r="D512">
            <v>2185</v>
          </cell>
        </row>
        <row r="513">
          <cell r="B513" t="str">
            <v>Hilton Hotels</v>
          </cell>
          <cell r="C513">
            <v>18</v>
          </cell>
          <cell r="D513">
            <v>2849</v>
          </cell>
        </row>
        <row r="514">
          <cell r="B514" t="str">
            <v>Marriott International</v>
          </cell>
          <cell r="C514">
            <v>21</v>
          </cell>
          <cell r="D514">
            <v>4030</v>
          </cell>
        </row>
        <row r="516">
          <cell r="B516" t="str">
            <v>Economy</v>
          </cell>
          <cell r="C516">
            <v>85</v>
          </cell>
          <cell r="D516">
            <v>7729</v>
          </cell>
        </row>
        <row r="517">
          <cell r="B517" t="str">
            <v>Independent</v>
          </cell>
          <cell r="C517">
            <v>36</v>
          </cell>
          <cell r="D517">
            <v>2435</v>
          </cell>
        </row>
        <row r="518">
          <cell r="B518" t="str">
            <v>Midscale w/F&amp;B</v>
          </cell>
          <cell r="C518">
            <v>35</v>
          </cell>
          <cell r="D518">
            <v>5652</v>
          </cell>
        </row>
        <row r="519">
          <cell r="B519" t="str">
            <v>Midscale w/o F&amp;B</v>
          </cell>
          <cell r="C519">
            <v>51</v>
          </cell>
          <cell r="D519">
            <v>5671</v>
          </cell>
        </row>
        <row r="520">
          <cell r="B520" t="str">
            <v>Upper Upscale</v>
          </cell>
          <cell r="C520">
            <v>13</v>
          </cell>
          <cell r="D520">
            <v>4103</v>
          </cell>
        </row>
        <row r="521">
          <cell r="B521" t="str">
            <v>Upscale</v>
          </cell>
          <cell r="C521">
            <v>20</v>
          </cell>
          <cell r="D521">
            <v>5331</v>
          </cell>
        </row>
        <row r="524">
          <cell r="B524" t="str">
            <v>Best Western</v>
          </cell>
          <cell r="C524">
            <v>28</v>
          </cell>
          <cell r="D524">
            <v>2733</v>
          </cell>
        </row>
        <row r="525">
          <cell r="B525" t="str">
            <v>Days Inn</v>
          </cell>
          <cell r="C525">
            <v>14</v>
          </cell>
          <cell r="D525">
            <v>1432</v>
          </cell>
        </row>
        <row r="526">
          <cell r="B526" t="str">
            <v>Hilton Hotel</v>
          </cell>
          <cell r="C526">
            <v>6</v>
          </cell>
          <cell r="D526">
            <v>1549</v>
          </cell>
        </row>
        <row r="527">
          <cell r="B527" t="str">
            <v>Holiday Inn</v>
          </cell>
          <cell r="C527">
            <v>10</v>
          </cell>
          <cell r="D527">
            <v>2507</v>
          </cell>
        </row>
        <row r="528">
          <cell r="B528" t="str">
            <v>Hyatt Hotel</v>
          </cell>
          <cell r="C528">
            <v>3</v>
          </cell>
          <cell r="D528">
            <v>1641</v>
          </cell>
        </row>
        <row r="529">
          <cell r="B529" t="str">
            <v>Marriott Hotel</v>
          </cell>
          <cell r="C529">
            <v>5</v>
          </cell>
          <cell r="D529">
            <v>2629</v>
          </cell>
        </row>
        <row r="530">
          <cell r="B530" t="str">
            <v>Motel 6</v>
          </cell>
          <cell r="C530">
            <v>13</v>
          </cell>
          <cell r="D530">
            <v>1722</v>
          </cell>
        </row>
        <row r="531">
          <cell r="B531" t="str">
            <v>Sheraton Hotel</v>
          </cell>
          <cell r="C531">
            <v>2</v>
          </cell>
          <cell r="D531">
            <v>1439</v>
          </cell>
        </row>
        <row r="533">
          <cell r="B533" t="str">
            <v>ACCOR</v>
          </cell>
          <cell r="C533">
            <v>13</v>
          </cell>
          <cell r="D533">
            <v>1722</v>
          </cell>
        </row>
        <row r="534">
          <cell r="B534" t="str">
            <v>Bass Hotels</v>
          </cell>
          <cell r="C534">
            <v>20</v>
          </cell>
          <cell r="D534">
            <v>3391</v>
          </cell>
        </row>
        <row r="535">
          <cell r="B535" t="str">
            <v>Best Western</v>
          </cell>
          <cell r="C535">
            <v>28</v>
          </cell>
          <cell r="D535">
            <v>2733</v>
          </cell>
        </row>
        <row r="536">
          <cell r="B536" t="str">
            <v>Cendant Corp.</v>
          </cell>
          <cell r="C536">
            <v>62</v>
          </cell>
          <cell r="D536">
            <v>5200</v>
          </cell>
        </row>
        <row r="537">
          <cell r="B537" t="str">
            <v>Hilton Hotels</v>
          </cell>
          <cell r="C537">
            <v>18</v>
          </cell>
          <cell r="D537">
            <v>4185</v>
          </cell>
        </row>
        <row r="538">
          <cell r="B538" t="str">
            <v>Hyatt Hotels</v>
          </cell>
          <cell r="C538">
            <v>3</v>
          </cell>
          <cell r="D538">
            <v>1641</v>
          </cell>
        </row>
        <row r="539">
          <cell r="B539" t="str">
            <v>Marriott International</v>
          </cell>
          <cell r="C539">
            <v>15</v>
          </cell>
          <cell r="D539">
            <v>4259</v>
          </cell>
        </row>
        <row r="540">
          <cell r="B540" t="str">
            <v>Starwood Hotels</v>
          </cell>
          <cell r="C540">
            <v>6</v>
          </cell>
          <cell r="D540">
            <v>2669</v>
          </cell>
        </row>
        <row r="542">
          <cell r="B542" t="str">
            <v>Economy</v>
          </cell>
          <cell r="C542">
            <v>93</v>
          </cell>
          <cell r="D542">
            <v>7869</v>
          </cell>
        </row>
        <row r="543">
          <cell r="B543" t="str">
            <v>Independent</v>
          </cell>
          <cell r="C543">
            <v>195</v>
          </cell>
          <cell r="D543">
            <v>16871</v>
          </cell>
        </row>
        <row r="544">
          <cell r="B544" t="str">
            <v>Midscale w/F&amp;B</v>
          </cell>
          <cell r="C544">
            <v>56</v>
          </cell>
          <cell r="D544">
            <v>7760</v>
          </cell>
        </row>
        <row r="545">
          <cell r="B545" t="str">
            <v>Midscale w/o F&amp;B</v>
          </cell>
          <cell r="C545">
            <v>25</v>
          </cell>
          <cell r="D545">
            <v>2715</v>
          </cell>
        </row>
        <row r="546">
          <cell r="B546" t="str">
            <v>Upper Upscale</v>
          </cell>
          <cell r="C546">
            <v>20</v>
          </cell>
          <cell r="D546">
            <v>9110</v>
          </cell>
        </row>
        <row r="547">
          <cell r="B547" t="str">
            <v>Upscale</v>
          </cell>
          <cell r="C547">
            <v>27</v>
          </cell>
          <cell r="D547">
            <v>5158</v>
          </cell>
        </row>
        <row r="550">
          <cell r="B550" t="str">
            <v>Best Western</v>
          </cell>
          <cell r="C550">
            <v>15</v>
          </cell>
          <cell r="D550">
            <v>1868</v>
          </cell>
        </row>
        <row r="551">
          <cell r="B551" t="str">
            <v>Hilton Hotel</v>
          </cell>
          <cell r="C551">
            <v>2</v>
          </cell>
          <cell r="D551">
            <v>2129</v>
          </cell>
        </row>
        <row r="552">
          <cell r="B552" t="str">
            <v>Holiday Inn</v>
          </cell>
          <cell r="C552">
            <v>7</v>
          </cell>
          <cell r="D552">
            <v>2599</v>
          </cell>
        </row>
        <row r="553">
          <cell r="B553" t="str">
            <v>Hyatt Hotel</v>
          </cell>
          <cell r="C553">
            <v>5</v>
          </cell>
          <cell r="D553">
            <v>2956</v>
          </cell>
        </row>
        <row r="554">
          <cell r="B554" t="str">
            <v>Marriott Hotel</v>
          </cell>
          <cell r="C554">
            <v>4</v>
          </cell>
          <cell r="D554">
            <v>2752</v>
          </cell>
        </row>
        <row r="555">
          <cell r="B555" t="str">
            <v>Renaissance Hotel</v>
          </cell>
          <cell r="C555">
            <v>2</v>
          </cell>
          <cell r="D555">
            <v>1401</v>
          </cell>
        </row>
        <row r="556">
          <cell r="B556" t="str">
            <v>Sheraton Hotel</v>
          </cell>
          <cell r="C556">
            <v>3</v>
          </cell>
          <cell r="D556">
            <v>1481</v>
          </cell>
        </row>
        <row r="557">
          <cell r="B557" t="str">
            <v>Westin  Hotel</v>
          </cell>
          <cell r="C557">
            <v>2</v>
          </cell>
          <cell r="D557">
            <v>1577</v>
          </cell>
        </row>
        <row r="559">
          <cell r="B559" t="str">
            <v>Bass Hotels</v>
          </cell>
          <cell r="C559">
            <v>15</v>
          </cell>
          <cell r="D559">
            <v>4062</v>
          </cell>
        </row>
        <row r="560">
          <cell r="B560" t="str">
            <v>Best Western</v>
          </cell>
          <cell r="C560">
            <v>15</v>
          </cell>
          <cell r="D560">
            <v>1868</v>
          </cell>
        </row>
        <row r="561">
          <cell r="B561" t="str">
            <v>Cendant Corp.</v>
          </cell>
          <cell r="C561">
            <v>33</v>
          </cell>
          <cell r="D561">
            <v>2925</v>
          </cell>
        </row>
        <row r="562">
          <cell r="B562" t="str">
            <v>Choice Hotels</v>
          </cell>
          <cell r="C562">
            <v>12</v>
          </cell>
          <cell r="D562">
            <v>1300</v>
          </cell>
        </row>
        <row r="563">
          <cell r="B563" t="str">
            <v>Hilton Hotels</v>
          </cell>
          <cell r="C563">
            <v>10</v>
          </cell>
          <cell r="D563">
            <v>3862</v>
          </cell>
        </row>
        <row r="564">
          <cell r="B564" t="str">
            <v>Hyatt Hotels</v>
          </cell>
          <cell r="C564">
            <v>5</v>
          </cell>
          <cell r="D564">
            <v>2956</v>
          </cell>
        </row>
        <row r="565">
          <cell r="B565" t="str">
            <v>Marriott International</v>
          </cell>
          <cell r="C565">
            <v>12</v>
          </cell>
          <cell r="D565">
            <v>5224</v>
          </cell>
        </row>
        <row r="566">
          <cell r="B566" t="str">
            <v>Starwood Hotels</v>
          </cell>
          <cell r="C566">
            <v>6</v>
          </cell>
          <cell r="D566">
            <v>3481</v>
          </cell>
        </row>
        <row r="568">
          <cell r="B568" t="str">
            <v>Economy</v>
          </cell>
          <cell r="C568">
            <v>52</v>
          </cell>
          <cell r="D568">
            <v>3308</v>
          </cell>
        </row>
        <row r="569">
          <cell r="B569" t="str">
            <v>Independent</v>
          </cell>
          <cell r="C569">
            <v>194</v>
          </cell>
          <cell r="D569">
            <v>15698</v>
          </cell>
        </row>
        <row r="570">
          <cell r="B570" t="str">
            <v>Midscale w/F&amp;B</v>
          </cell>
          <cell r="C570">
            <v>32</v>
          </cell>
          <cell r="D570">
            <v>6222</v>
          </cell>
        </row>
        <row r="571">
          <cell r="B571" t="str">
            <v>Midscale w/o F&amp;B</v>
          </cell>
          <cell r="C571">
            <v>13</v>
          </cell>
          <cell r="D571">
            <v>1201</v>
          </cell>
        </row>
        <row r="572">
          <cell r="B572" t="str">
            <v>Upper Upscale</v>
          </cell>
          <cell r="C572">
            <v>32</v>
          </cell>
          <cell r="D572">
            <v>16639</v>
          </cell>
        </row>
        <row r="573">
          <cell r="B573" t="str">
            <v>Upscale</v>
          </cell>
          <cell r="C573">
            <v>16</v>
          </cell>
          <cell r="D573">
            <v>3683</v>
          </cell>
        </row>
      </sheetData>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ndant Ex III"/>
      <sheetName val="BY MSA ExIII"/>
      <sheetName val="days inn Ex III"/>
      <sheetName val="howard johnson Ex III"/>
      <sheetName val="howard johnson express Ex III"/>
      <sheetName val="knights inn Ex III"/>
      <sheetName val="ramada inn Ex III"/>
      <sheetName val="ramada ltd Ex III"/>
      <sheetName val="super 8 Ex III"/>
      <sheetName val="thriftlodge Ex III"/>
      <sheetName val="travelodge Ex III"/>
      <sheetName val="villager lodge Ex III"/>
      <sheetName val="wingate Ex III"/>
      <sheetName val="lookups"/>
      <sheetName val="Top 10 cos."/>
      <sheetName val="pivo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42">
          <cell r="C42" t="str">
            <v>Anaheim, CA</v>
          </cell>
          <cell r="D42">
            <v>9</v>
          </cell>
          <cell r="E42">
            <v>482</v>
          </cell>
          <cell r="F42">
            <v>2</v>
          </cell>
          <cell r="G42">
            <v>90</v>
          </cell>
          <cell r="H42">
            <v>3</v>
          </cell>
          <cell r="I42">
            <v>451</v>
          </cell>
          <cell r="J42">
            <v>1</v>
          </cell>
          <cell r="K42">
            <v>28</v>
          </cell>
          <cell r="L42">
            <v>6</v>
          </cell>
          <cell r="M42">
            <v>1402</v>
          </cell>
          <cell r="N42">
            <v>5</v>
          </cell>
          <cell r="O42">
            <v>422</v>
          </cell>
          <cell r="P42">
            <v>5</v>
          </cell>
          <cell r="Q42">
            <v>461</v>
          </cell>
          <cell r="R42">
            <v>0</v>
          </cell>
          <cell r="S42">
            <v>0</v>
          </cell>
          <cell r="T42">
            <v>13</v>
          </cell>
          <cell r="U42">
            <v>988</v>
          </cell>
          <cell r="V42">
            <v>2</v>
          </cell>
          <cell r="W42">
            <v>250</v>
          </cell>
          <cell r="X42">
            <v>0</v>
          </cell>
          <cell r="Y42">
            <v>0</v>
          </cell>
        </row>
        <row r="43">
          <cell r="C43" t="str">
            <v>Atlanta, GA</v>
          </cell>
          <cell r="D43">
            <v>31</v>
          </cell>
          <cell r="E43">
            <v>3338</v>
          </cell>
          <cell r="F43">
            <v>0</v>
          </cell>
          <cell r="G43">
            <v>0</v>
          </cell>
          <cell r="H43">
            <v>7</v>
          </cell>
          <cell r="I43">
            <v>1025</v>
          </cell>
          <cell r="J43">
            <v>3</v>
          </cell>
          <cell r="K43">
            <v>300</v>
          </cell>
          <cell r="L43">
            <v>10</v>
          </cell>
          <cell r="M43">
            <v>1887</v>
          </cell>
          <cell r="N43">
            <v>12</v>
          </cell>
          <cell r="O43">
            <v>744</v>
          </cell>
          <cell r="P43">
            <v>17</v>
          </cell>
          <cell r="Q43">
            <v>1142</v>
          </cell>
          <cell r="R43">
            <v>0</v>
          </cell>
          <cell r="S43">
            <v>0</v>
          </cell>
          <cell r="T43">
            <v>5</v>
          </cell>
          <cell r="U43">
            <v>496</v>
          </cell>
          <cell r="V43">
            <v>5</v>
          </cell>
          <cell r="W43">
            <v>632</v>
          </cell>
          <cell r="X43">
            <v>3</v>
          </cell>
          <cell r="Y43">
            <v>285</v>
          </cell>
        </row>
        <row r="44">
          <cell r="C44" t="str">
            <v>Boston, MA</v>
          </cell>
          <cell r="D44">
            <v>8</v>
          </cell>
          <cell r="E44">
            <v>825</v>
          </cell>
          <cell r="F44">
            <v>0</v>
          </cell>
          <cell r="G44">
            <v>0</v>
          </cell>
          <cell r="H44">
            <v>6</v>
          </cell>
          <cell r="I44">
            <v>865</v>
          </cell>
          <cell r="J44">
            <v>0</v>
          </cell>
          <cell r="K44">
            <v>0</v>
          </cell>
          <cell r="L44">
            <v>6</v>
          </cell>
          <cell r="M44">
            <v>910</v>
          </cell>
          <cell r="N44">
            <v>0</v>
          </cell>
          <cell r="O44">
            <v>0</v>
          </cell>
          <cell r="P44">
            <v>6</v>
          </cell>
          <cell r="Q44">
            <v>385</v>
          </cell>
          <cell r="R44">
            <v>0</v>
          </cell>
          <cell r="S44">
            <v>0</v>
          </cell>
          <cell r="T44">
            <v>3</v>
          </cell>
          <cell r="U44">
            <v>458</v>
          </cell>
          <cell r="V44">
            <v>0</v>
          </cell>
          <cell r="W44">
            <v>0</v>
          </cell>
          <cell r="X44">
            <v>0</v>
          </cell>
          <cell r="Y44">
            <v>0</v>
          </cell>
        </row>
        <row r="45">
          <cell r="C45" t="str">
            <v>Chicago, IL</v>
          </cell>
          <cell r="D45">
            <v>15</v>
          </cell>
          <cell r="E45">
            <v>2329</v>
          </cell>
          <cell r="F45">
            <v>1</v>
          </cell>
          <cell r="G45">
            <v>67</v>
          </cell>
          <cell r="H45">
            <v>3</v>
          </cell>
          <cell r="I45">
            <v>451</v>
          </cell>
          <cell r="J45">
            <v>1</v>
          </cell>
          <cell r="K45">
            <v>152</v>
          </cell>
          <cell r="L45">
            <v>10</v>
          </cell>
          <cell r="M45">
            <v>1855</v>
          </cell>
          <cell r="N45">
            <v>0</v>
          </cell>
          <cell r="O45">
            <v>0</v>
          </cell>
          <cell r="P45">
            <v>9</v>
          </cell>
          <cell r="Q45">
            <v>600</v>
          </cell>
          <cell r="R45">
            <v>1</v>
          </cell>
          <cell r="S45">
            <v>54</v>
          </cell>
          <cell r="T45">
            <v>3</v>
          </cell>
          <cell r="U45">
            <v>444</v>
          </cell>
          <cell r="V45">
            <v>0</v>
          </cell>
          <cell r="W45">
            <v>0</v>
          </cell>
          <cell r="X45">
            <v>0</v>
          </cell>
          <cell r="Y45">
            <v>0</v>
          </cell>
        </row>
        <row r="46">
          <cell r="C46" t="str">
            <v>Dallas, TX</v>
          </cell>
          <cell r="D46">
            <v>12</v>
          </cell>
          <cell r="E46">
            <v>1198</v>
          </cell>
          <cell r="F46">
            <v>1</v>
          </cell>
          <cell r="G46">
            <v>50</v>
          </cell>
          <cell r="H46">
            <v>5</v>
          </cell>
          <cell r="I46">
            <v>420</v>
          </cell>
          <cell r="J46">
            <v>1</v>
          </cell>
          <cell r="K46">
            <v>100</v>
          </cell>
          <cell r="L46">
            <v>5</v>
          </cell>
          <cell r="M46">
            <v>940</v>
          </cell>
          <cell r="N46">
            <v>5</v>
          </cell>
          <cell r="O46">
            <v>345</v>
          </cell>
          <cell r="P46">
            <v>11</v>
          </cell>
          <cell r="Q46">
            <v>914</v>
          </cell>
          <cell r="R46">
            <v>0</v>
          </cell>
          <cell r="S46">
            <v>0</v>
          </cell>
          <cell r="T46">
            <v>1</v>
          </cell>
          <cell r="U46">
            <v>184</v>
          </cell>
          <cell r="V46">
            <v>0</v>
          </cell>
          <cell r="W46">
            <v>0</v>
          </cell>
          <cell r="X46">
            <v>2</v>
          </cell>
          <cell r="Y46">
            <v>214</v>
          </cell>
        </row>
        <row r="47">
          <cell r="C47" t="str">
            <v>Denver, CO</v>
          </cell>
          <cell r="D47">
            <v>8</v>
          </cell>
          <cell r="E47">
            <v>1147</v>
          </cell>
          <cell r="F47">
            <v>0</v>
          </cell>
          <cell r="G47">
            <v>0</v>
          </cell>
          <cell r="H47">
            <v>1</v>
          </cell>
          <cell r="I47">
            <v>404</v>
          </cell>
          <cell r="J47">
            <v>0</v>
          </cell>
          <cell r="K47">
            <v>0</v>
          </cell>
          <cell r="L47">
            <v>5</v>
          </cell>
          <cell r="M47">
            <v>847</v>
          </cell>
          <cell r="N47">
            <v>1</v>
          </cell>
          <cell r="O47">
            <v>139</v>
          </cell>
          <cell r="P47">
            <v>11</v>
          </cell>
          <cell r="Q47">
            <v>1112</v>
          </cell>
          <cell r="R47">
            <v>0</v>
          </cell>
          <cell r="S47">
            <v>0</v>
          </cell>
          <cell r="T47">
            <v>2</v>
          </cell>
          <cell r="U47">
            <v>408</v>
          </cell>
          <cell r="V47">
            <v>0</v>
          </cell>
          <cell r="W47">
            <v>0</v>
          </cell>
          <cell r="X47">
            <v>0</v>
          </cell>
          <cell r="Y47">
            <v>0</v>
          </cell>
        </row>
        <row r="48">
          <cell r="C48" t="str">
            <v>Detroit, MI</v>
          </cell>
          <cell r="D48">
            <v>11</v>
          </cell>
          <cell r="E48">
            <v>1139</v>
          </cell>
          <cell r="F48">
            <v>0</v>
          </cell>
          <cell r="G48">
            <v>0</v>
          </cell>
          <cell r="H48">
            <v>2</v>
          </cell>
          <cell r="I48">
            <v>293</v>
          </cell>
          <cell r="J48">
            <v>10</v>
          </cell>
          <cell r="K48">
            <v>1120</v>
          </cell>
          <cell r="L48">
            <v>6</v>
          </cell>
          <cell r="M48">
            <v>1123</v>
          </cell>
          <cell r="N48">
            <v>2</v>
          </cell>
          <cell r="O48">
            <v>127</v>
          </cell>
          <cell r="P48">
            <v>10</v>
          </cell>
          <cell r="Q48">
            <v>677</v>
          </cell>
          <cell r="R48">
            <v>0</v>
          </cell>
          <cell r="S48">
            <v>0</v>
          </cell>
          <cell r="T48">
            <v>3</v>
          </cell>
          <cell r="U48">
            <v>335</v>
          </cell>
          <cell r="V48">
            <v>1</v>
          </cell>
          <cell r="W48">
            <v>110</v>
          </cell>
          <cell r="X48">
            <v>0</v>
          </cell>
          <cell r="Y48">
            <v>0</v>
          </cell>
        </row>
        <row r="49">
          <cell r="C49" t="str">
            <v>Houston, TX</v>
          </cell>
          <cell r="D49">
            <v>19</v>
          </cell>
          <cell r="E49">
            <v>2745</v>
          </cell>
          <cell r="F49">
            <v>4</v>
          </cell>
          <cell r="G49">
            <v>277</v>
          </cell>
          <cell r="H49">
            <v>3</v>
          </cell>
          <cell r="I49">
            <v>343</v>
          </cell>
          <cell r="J49">
            <v>1</v>
          </cell>
          <cell r="K49">
            <v>44</v>
          </cell>
          <cell r="L49">
            <v>5</v>
          </cell>
          <cell r="M49">
            <v>986</v>
          </cell>
          <cell r="N49">
            <v>6</v>
          </cell>
          <cell r="O49">
            <v>583</v>
          </cell>
          <cell r="P49">
            <v>8</v>
          </cell>
          <cell r="Q49">
            <v>460</v>
          </cell>
          <cell r="R49">
            <v>0</v>
          </cell>
          <cell r="S49">
            <v>0</v>
          </cell>
          <cell r="T49">
            <v>3</v>
          </cell>
          <cell r="U49">
            <v>355</v>
          </cell>
          <cell r="V49">
            <v>1</v>
          </cell>
          <cell r="W49">
            <v>51</v>
          </cell>
          <cell r="X49">
            <v>2</v>
          </cell>
          <cell r="Y49">
            <v>185</v>
          </cell>
        </row>
        <row r="50">
          <cell r="C50" t="str">
            <v>Los Angeles, CA</v>
          </cell>
          <cell r="D50">
            <v>18</v>
          </cell>
          <cell r="E50">
            <v>1239</v>
          </cell>
          <cell r="F50">
            <v>2</v>
          </cell>
          <cell r="G50">
            <v>136</v>
          </cell>
          <cell r="H50">
            <v>5</v>
          </cell>
          <cell r="I50">
            <v>854</v>
          </cell>
          <cell r="J50">
            <v>2</v>
          </cell>
          <cell r="K50">
            <v>94</v>
          </cell>
          <cell r="L50">
            <v>15</v>
          </cell>
          <cell r="M50">
            <v>1954</v>
          </cell>
          <cell r="N50">
            <v>4</v>
          </cell>
          <cell r="O50">
            <v>180</v>
          </cell>
          <cell r="P50">
            <v>12</v>
          </cell>
          <cell r="Q50">
            <v>758</v>
          </cell>
          <cell r="R50">
            <v>1</v>
          </cell>
          <cell r="S50">
            <v>49</v>
          </cell>
          <cell r="T50">
            <v>28</v>
          </cell>
          <cell r="U50">
            <v>2294</v>
          </cell>
          <cell r="V50">
            <v>0</v>
          </cell>
          <cell r="W50">
            <v>0</v>
          </cell>
          <cell r="X50">
            <v>0</v>
          </cell>
          <cell r="Y50">
            <v>0</v>
          </cell>
        </row>
        <row r="51">
          <cell r="C51" t="str">
            <v>Miami, FL</v>
          </cell>
          <cell r="D51">
            <v>10</v>
          </cell>
          <cell r="E51">
            <v>1282</v>
          </cell>
          <cell r="F51">
            <v>0</v>
          </cell>
          <cell r="G51">
            <v>0</v>
          </cell>
          <cell r="H51">
            <v>8</v>
          </cell>
          <cell r="I51">
            <v>1134</v>
          </cell>
          <cell r="J51">
            <v>2</v>
          </cell>
          <cell r="K51">
            <v>82</v>
          </cell>
          <cell r="L51">
            <v>3</v>
          </cell>
          <cell r="M51">
            <v>817</v>
          </cell>
          <cell r="N51">
            <v>3</v>
          </cell>
          <cell r="O51">
            <v>430</v>
          </cell>
          <cell r="P51">
            <v>2</v>
          </cell>
          <cell r="Q51">
            <v>102</v>
          </cell>
          <cell r="R51">
            <v>0</v>
          </cell>
          <cell r="S51">
            <v>0</v>
          </cell>
          <cell r="T51">
            <v>3</v>
          </cell>
          <cell r="U51">
            <v>630</v>
          </cell>
          <cell r="V51">
            <v>2</v>
          </cell>
          <cell r="W51">
            <v>114</v>
          </cell>
          <cell r="X51">
            <v>0</v>
          </cell>
          <cell r="Y51">
            <v>0</v>
          </cell>
        </row>
        <row r="52">
          <cell r="C52" t="str">
            <v>Minneapolis, MN</v>
          </cell>
          <cell r="D52">
            <v>8</v>
          </cell>
          <cell r="E52">
            <v>969</v>
          </cell>
          <cell r="F52">
            <v>0</v>
          </cell>
          <cell r="G52">
            <v>0</v>
          </cell>
          <cell r="H52">
            <v>0</v>
          </cell>
          <cell r="I52">
            <v>0</v>
          </cell>
          <cell r="J52">
            <v>0</v>
          </cell>
          <cell r="K52">
            <v>0</v>
          </cell>
          <cell r="L52">
            <v>5</v>
          </cell>
          <cell r="M52">
            <v>1140</v>
          </cell>
          <cell r="N52">
            <v>0</v>
          </cell>
          <cell r="O52">
            <v>0</v>
          </cell>
          <cell r="P52">
            <v>22</v>
          </cell>
          <cell r="Q52">
            <v>1527</v>
          </cell>
          <cell r="R52">
            <v>0</v>
          </cell>
          <cell r="S52">
            <v>0</v>
          </cell>
          <cell r="T52">
            <v>0</v>
          </cell>
          <cell r="U52">
            <v>0</v>
          </cell>
          <cell r="V52">
            <v>0</v>
          </cell>
          <cell r="W52">
            <v>0</v>
          </cell>
          <cell r="X52">
            <v>1</v>
          </cell>
          <cell r="Y52">
            <v>84</v>
          </cell>
        </row>
        <row r="53">
          <cell r="C53" t="str">
            <v>Nashville, TN</v>
          </cell>
          <cell r="D53">
            <v>19</v>
          </cell>
          <cell r="E53">
            <v>2133</v>
          </cell>
          <cell r="F53">
            <v>1</v>
          </cell>
          <cell r="G53">
            <v>80</v>
          </cell>
          <cell r="H53">
            <v>3</v>
          </cell>
          <cell r="I53">
            <v>222</v>
          </cell>
          <cell r="J53">
            <v>2</v>
          </cell>
          <cell r="K53">
            <v>169</v>
          </cell>
          <cell r="L53">
            <v>7</v>
          </cell>
          <cell r="M53">
            <v>1189</v>
          </cell>
          <cell r="N53">
            <v>3</v>
          </cell>
          <cell r="O53">
            <v>331</v>
          </cell>
          <cell r="P53">
            <v>9</v>
          </cell>
          <cell r="Q53">
            <v>910</v>
          </cell>
          <cell r="R53">
            <v>0</v>
          </cell>
          <cell r="S53">
            <v>0</v>
          </cell>
          <cell r="T53">
            <v>1</v>
          </cell>
          <cell r="U53">
            <v>73</v>
          </cell>
          <cell r="V53">
            <v>0</v>
          </cell>
          <cell r="W53">
            <v>0</v>
          </cell>
          <cell r="X53">
            <v>0</v>
          </cell>
          <cell r="Y53">
            <v>0</v>
          </cell>
        </row>
        <row r="54">
          <cell r="C54" t="str">
            <v>New Orleans, LA</v>
          </cell>
          <cell r="D54">
            <v>5</v>
          </cell>
          <cell r="E54">
            <v>865</v>
          </cell>
          <cell r="F54">
            <v>0</v>
          </cell>
          <cell r="G54">
            <v>0</v>
          </cell>
          <cell r="H54">
            <v>1</v>
          </cell>
          <cell r="I54">
            <v>75</v>
          </cell>
          <cell r="J54">
            <v>0</v>
          </cell>
          <cell r="K54">
            <v>0</v>
          </cell>
          <cell r="L54">
            <v>4</v>
          </cell>
          <cell r="M54">
            <v>552</v>
          </cell>
          <cell r="N54">
            <v>2</v>
          </cell>
          <cell r="O54">
            <v>213</v>
          </cell>
          <cell r="P54">
            <v>3</v>
          </cell>
          <cell r="Q54">
            <v>218</v>
          </cell>
          <cell r="R54">
            <v>0</v>
          </cell>
          <cell r="S54">
            <v>0</v>
          </cell>
          <cell r="T54">
            <v>3</v>
          </cell>
          <cell r="U54">
            <v>486</v>
          </cell>
          <cell r="V54">
            <v>0</v>
          </cell>
          <cell r="W54">
            <v>0</v>
          </cell>
          <cell r="X54">
            <v>1</v>
          </cell>
          <cell r="Y54">
            <v>102</v>
          </cell>
        </row>
        <row r="55">
          <cell r="C55" t="str">
            <v>New York, NY</v>
          </cell>
          <cell r="D55">
            <v>1</v>
          </cell>
          <cell r="E55">
            <v>367</v>
          </cell>
          <cell r="F55">
            <v>0</v>
          </cell>
          <cell r="G55">
            <v>0</v>
          </cell>
          <cell r="H55">
            <v>4</v>
          </cell>
          <cell r="I55">
            <v>571</v>
          </cell>
          <cell r="J55">
            <v>0</v>
          </cell>
          <cell r="K55">
            <v>0</v>
          </cell>
          <cell r="L55">
            <v>6</v>
          </cell>
          <cell r="M55">
            <v>3157</v>
          </cell>
          <cell r="N55">
            <v>0</v>
          </cell>
          <cell r="O55">
            <v>0</v>
          </cell>
          <cell r="P55">
            <v>1</v>
          </cell>
          <cell r="Q55">
            <v>43</v>
          </cell>
          <cell r="R55">
            <v>0</v>
          </cell>
          <cell r="S55">
            <v>0</v>
          </cell>
          <cell r="T55">
            <v>0</v>
          </cell>
          <cell r="U55">
            <v>0</v>
          </cell>
          <cell r="V55">
            <v>0</v>
          </cell>
          <cell r="W55">
            <v>0</v>
          </cell>
          <cell r="X55">
            <v>0</v>
          </cell>
          <cell r="Y55">
            <v>0</v>
          </cell>
        </row>
        <row r="56">
          <cell r="C56" t="str">
            <v>Norfolk, VA</v>
          </cell>
          <cell r="D56">
            <v>20</v>
          </cell>
          <cell r="E56">
            <v>2316</v>
          </cell>
          <cell r="F56">
            <v>3</v>
          </cell>
          <cell r="G56">
            <v>144</v>
          </cell>
          <cell r="H56">
            <v>6</v>
          </cell>
          <cell r="I56">
            <v>916</v>
          </cell>
          <cell r="J56">
            <v>1</v>
          </cell>
          <cell r="K56">
            <v>116</v>
          </cell>
          <cell r="L56">
            <v>9</v>
          </cell>
          <cell r="M56">
            <v>1551</v>
          </cell>
          <cell r="N56">
            <v>1</v>
          </cell>
          <cell r="O56">
            <v>132</v>
          </cell>
          <cell r="P56">
            <v>6</v>
          </cell>
          <cell r="Q56">
            <v>448</v>
          </cell>
          <cell r="R56">
            <v>0</v>
          </cell>
          <cell r="S56">
            <v>0</v>
          </cell>
          <cell r="T56">
            <v>6</v>
          </cell>
          <cell r="U56">
            <v>555</v>
          </cell>
          <cell r="V56">
            <v>3</v>
          </cell>
          <cell r="W56">
            <v>133</v>
          </cell>
          <cell r="X56">
            <v>0</v>
          </cell>
          <cell r="Y56">
            <v>0</v>
          </cell>
        </row>
        <row r="57">
          <cell r="C57" t="str">
            <v>Oahu Island, HI</v>
          </cell>
          <cell r="D57">
            <v>0</v>
          </cell>
          <cell r="E57">
            <v>0</v>
          </cell>
          <cell r="F57">
            <v>0</v>
          </cell>
          <cell r="G57">
            <v>0</v>
          </cell>
          <cell r="H57">
            <v>0</v>
          </cell>
          <cell r="I57">
            <v>0</v>
          </cell>
          <cell r="J57">
            <v>0</v>
          </cell>
          <cell r="K57">
            <v>0</v>
          </cell>
          <cell r="L57">
            <v>1</v>
          </cell>
          <cell r="M57">
            <v>80</v>
          </cell>
          <cell r="N57">
            <v>0</v>
          </cell>
          <cell r="O57">
            <v>0</v>
          </cell>
          <cell r="P57">
            <v>0</v>
          </cell>
          <cell r="Q57">
            <v>0</v>
          </cell>
          <cell r="R57">
            <v>0</v>
          </cell>
          <cell r="S57">
            <v>0</v>
          </cell>
          <cell r="T57">
            <v>0</v>
          </cell>
          <cell r="U57">
            <v>0</v>
          </cell>
          <cell r="V57">
            <v>0</v>
          </cell>
          <cell r="W57">
            <v>0</v>
          </cell>
          <cell r="X57">
            <v>0</v>
          </cell>
          <cell r="Y57">
            <v>0</v>
          </cell>
        </row>
        <row r="58">
          <cell r="C58" t="str">
            <v>Orlando, FL</v>
          </cell>
          <cell r="D58">
            <v>25</v>
          </cell>
          <cell r="E58">
            <v>6115</v>
          </cell>
          <cell r="F58">
            <v>2</v>
          </cell>
          <cell r="G58">
            <v>159</v>
          </cell>
          <cell r="H58">
            <v>12</v>
          </cell>
          <cell r="I58">
            <v>3178</v>
          </cell>
          <cell r="J58">
            <v>5</v>
          </cell>
          <cell r="K58">
            <v>353</v>
          </cell>
          <cell r="L58">
            <v>12</v>
          </cell>
          <cell r="M58">
            <v>2971</v>
          </cell>
          <cell r="N58">
            <v>5</v>
          </cell>
          <cell r="O58">
            <v>668</v>
          </cell>
          <cell r="P58">
            <v>5</v>
          </cell>
          <cell r="Q58">
            <v>483</v>
          </cell>
          <cell r="R58">
            <v>1</v>
          </cell>
          <cell r="S58">
            <v>85</v>
          </cell>
          <cell r="T58">
            <v>7</v>
          </cell>
          <cell r="U58">
            <v>1341</v>
          </cell>
          <cell r="V58">
            <v>0</v>
          </cell>
          <cell r="W58">
            <v>0</v>
          </cell>
          <cell r="X58">
            <v>0</v>
          </cell>
          <cell r="Y58">
            <v>0</v>
          </cell>
        </row>
        <row r="59">
          <cell r="C59" t="str">
            <v>Philadelphia, PA</v>
          </cell>
          <cell r="D59">
            <v>11</v>
          </cell>
          <cell r="E59">
            <v>1115</v>
          </cell>
          <cell r="F59">
            <v>1</v>
          </cell>
          <cell r="G59">
            <v>101</v>
          </cell>
          <cell r="H59">
            <v>4</v>
          </cell>
          <cell r="I59">
            <v>460</v>
          </cell>
          <cell r="J59">
            <v>3</v>
          </cell>
          <cell r="K59">
            <v>159</v>
          </cell>
          <cell r="L59">
            <v>6</v>
          </cell>
          <cell r="M59">
            <v>851</v>
          </cell>
          <cell r="N59">
            <v>0</v>
          </cell>
          <cell r="O59">
            <v>0</v>
          </cell>
          <cell r="P59">
            <v>1</v>
          </cell>
          <cell r="Q59">
            <v>83</v>
          </cell>
          <cell r="R59">
            <v>0</v>
          </cell>
          <cell r="S59">
            <v>0</v>
          </cell>
          <cell r="T59">
            <v>0</v>
          </cell>
          <cell r="U59">
            <v>0</v>
          </cell>
          <cell r="V59">
            <v>1</v>
          </cell>
          <cell r="W59">
            <v>64</v>
          </cell>
          <cell r="X59">
            <v>0</v>
          </cell>
          <cell r="Y59">
            <v>0</v>
          </cell>
        </row>
        <row r="60">
          <cell r="C60" t="str">
            <v>Phoenix, AZ</v>
          </cell>
          <cell r="D60">
            <v>8</v>
          </cell>
          <cell r="E60">
            <v>1100</v>
          </cell>
          <cell r="F60">
            <v>0</v>
          </cell>
          <cell r="G60">
            <v>0</v>
          </cell>
          <cell r="H60">
            <v>2</v>
          </cell>
          <cell r="I60">
            <v>302</v>
          </cell>
          <cell r="J60">
            <v>0</v>
          </cell>
          <cell r="K60">
            <v>0</v>
          </cell>
          <cell r="L60">
            <v>6</v>
          </cell>
          <cell r="M60">
            <v>1067</v>
          </cell>
          <cell r="N60">
            <v>2</v>
          </cell>
          <cell r="O60">
            <v>110</v>
          </cell>
          <cell r="P60">
            <v>10</v>
          </cell>
          <cell r="Q60">
            <v>741</v>
          </cell>
          <cell r="R60">
            <v>0</v>
          </cell>
          <cell r="S60">
            <v>0</v>
          </cell>
          <cell r="T60">
            <v>4</v>
          </cell>
          <cell r="U60">
            <v>262</v>
          </cell>
          <cell r="V60">
            <v>0</v>
          </cell>
          <cell r="W60">
            <v>0</v>
          </cell>
          <cell r="X60">
            <v>0</v>
          </cell>
          <cell r="Y60">
            <v>0</v>
          </cell>
        </row>
        <row r="61">
          <cell r="C61" t="str">
            <v>Saint Louis, MO</v>
          </cell>
          <cell r="D61">
            <v>9</v>
          </cell>
          <cell r="E61">
            <v>1102</v>
          </cell>
          <cell r="F61">
            <v>2</v>
          </cell>
          <cell r="G61">
            <v>188</v>
          </cell>
          <cell r="H61">
            <v>1</v>
          </cell>
          <cell r="I61">
            <v>171</v>
          </cell>
          <cell r="J61">
            <v>1</v>
          </cell>
          <cell r="K61">
            <v>104</v>
          </cell>
          <cell r="L61">
            <v>6</v>
          </cell>
          <cell r="M61">
            <v>968</v>
          </cell>
          <cell r="N61">
            <v>4</v>
          </cell>
          <cell r="O61">
            <v>263</v>
          </cell>
          <cell r="P61">
            <v>15</v>
          </cell>
          <cell r="Q61">
            <v>838</v>
          </cell>
          <cell r="R61">
            <v>0</v>
          </cell>
          <cell r="S61">
            <v>0</v>
          </cell>
          <cell r="T61">
            <v>2</v>
          </cell>
          <cell r="U61">
            <v>245</v>
          </cell>
          <cell r="V61">
            <v>4</v>
          </cell>
          <cell r="W61">
            <v>215</v>
          </cell>
          <cell r="X61">
            <v>1</v>
          </cell>
          <cell r="Y61">
            <v>120</v>
          </cell>
        </row>
        <row r="62">
          <cell r="C62" t="str">
            <v>San Diego, CA</v>
          </cell>
          <cell r="D62">
            <v>13</v>
          </cell>
          <cell r="E62">
            <v>1345</v>
          </cell>
          <cell r="F62">
            <v>3</v>
          </cell>
          <cell r="G62">
            <v>277</v>
          </cell>
          <cell r="H62">
            <v>2</v>
          </cell>
          <cell r="I62">
            <v>132</v>
          </cell>
          <cell r="J62">
            <v>0</v>
          </cell>
          <cell r="K62">
            <v>0</v>
          </cell>
          <cell r="L62">
            <v>11</v>
          </cell>
          <cell r="M62">
            <v>1437</v>
          </cell>
          <cell r="N62">
            <v>6</v>
          </cell>
          <cell r="O62">
            <v>529</v>
          </cell>
          <cell r="P62">
            <v>10</v>
          </cell>
          <cell r="Q62">
            <v>808</v>
          </cell>
          <cell r="R62">
            <v>3</v>
          </cell>
          <cell r="S62">
            <v>97</v>
          </cell>
          <cell r="T62">
            <v>19</v>
          </cell>
          <cell r="U62">
            <v>1279</v>
          </cell>
          <cell r="V62">
            <v>2</v>
          </cell>
          <cell r="W62">
            <v>129</v>
          </cell>
          <cell r="X62">
            <v>0</v>
          </cell>
          <cell r="Y62">
            <v>0</v>
          </cell>
        </row>
        <row r="63">
          <cell r="C63" t="str">
            <v>San Francisco, CA</v>
          </cell>
          <cell r="D63">
            <v>12</v>
          </cell>
          <cell r="E63">
            <v>588</v>
          </cell>
          <cell r="F63">
            <v>3</v>
          </cell>
          <cell r="G63">
            <v>97</v>
          </cell>
          <cell r="H63">
            <v>4</v>
          </cell>
          <cell r="I63">
            <v>228</v>
          </cell>
          <cell r="J63">
            <v>1</v>
          </cell>
          <cell r="K63">
            <v>82</v>
          </cell>
          <cell r="L63">
            <v>4</v>
          </cell>
          <cell r="M63">
            <v>1050</v>
          </cell>
          <cell r="N63">
            <v>2</v>
          </cell>
          <cell r="O63">
            <v>105</v>
          </cell>
          <cell r="P63">
            <v>3</v>
          </cell>
          <cell r="Q63">
            <v>125</v>
          </cell>
          <cell r="R63">
            <v>0</v>
          </cell>
          <cell r="S63">
            <v>0</v>
          </cell>
          <cell r="T63">
            <v>13</v>
          </cell>
          <cell r="U63">
            <v>1023</v>
          </cell>
          <cell r="V63">
            <v>0</v>
          </cell>
          <cell r="W63">
            <v>0</v>
          </cell>
          <cell r="X63">
            <v>0</v>
          </cell>
          <cell r="Y63">
            <v>0</v>
          </cell>
        </row>
        <row r="64">
          <cell r="C64" t="str">
            <v>Seattle, WA</v>
          </cell>
          <cell r="D64">
            <v>7</v>
          </cell>
          <cell r="E64">
            <v>559</v>
          </cell>
          <cell r="F64">
            <v>1</v>
          </cell>
          <cell r="G64">
            <v>94</v>
          </cell>
          <cell r="H64">
            <v>3</v>
          </cell>
          <cell r="I64">
            <v>400</v>
          </cell>
          <cell r="J64">
            <v>1</v>
          </cell>
          <cell r="K64">
            <v>77</v>
          </cell>
          <cell r="L64">
            <v>3</v>
          </cell>
          <cell r="M64">
            <v>445</v>
          </cell>
          <cell r="N64">
            <v>1</v>
          </cell>
          <cell r="O64">
            <v>41</v>
          </cell>
          <cell r="P64">
            <v>2</v>
          </cell>
          <cell r="Q64">
            <v>209</v>
          </cell>
          <cell r="R64">
            <v>0</v>
          </cell>
          <cell r="S64">
            <v>0</v>
          </cell>
          <cell r="T64">
            <v>12</v>
          </cell>
          <cell r="U64">
            <v>863</v>
          </cell>
          <cell r="V64">
            <v>0</v>
          </cell>
          <cell r="W64">
            <v>0</v>
          </cell>
          <cell r="X64">
            <v>0</v>
          </cell>
          <cell r="Y64">
            <v>0</v>
          </cell>
        </row>
        <row r="65">
          <cell r="C65" t="str">
            <v>Tampa, FL</v>
          </cell>
          <cell r="D65">
            <v>16</v>
          </cell>
          <cell r="E65">
            <v>2325</v>
          </cell>
          <cell r="F65">
            <v>3</v>
          </cell>
          <cell r="G65">
            <v>214</v>
          </cell>
          <cell r="H65">
            <v>7</v>
          </cell>
          <cell r="I65">
            <v>923</v>
          </cell>
          <cell r="J65">
            <v>1</v>
          </cell>
          <cell r="K65">
            <v>114</v>
          </cell>
          <cell r="L65">
            <v>9</v>
          </cell>
          <cell r="M65">
            <v>1544</v>
          </cell>
          <cell r="N65">
            <v>6</v>
          </cell>
          <cell r="O65">
            <v>397</v>
          </cell>
          <cell r="P65">
            <v>4</v>
          </cell>
          <cell r="Q65">
            <v>350</v>
          </cell>
          <cell r="R65">
            <v>0</v>
          </cell>
          <cell r="S65">
            <v>0</v>
          </cell>
          <cell r="T65">
            <v>5</v>
          </cell>
          <cell r="U65">
            <v>803</v>
          </cell>
          <cell r="V65">
            <v>3</v>
          </cell>
          <cell r="W65">
            <v>209</v>
          </cell>
          <cell r="X65">
            <v>0</v>
          </cell>
          <cell r="Y65">
            <v>0</v>
          </cell>
        </row>
        <row r="66">
          <cell r="C66" t="str">
            <v>Washington, DC</v>
          </cell>
          <cell r="D66">
            <v>22</v>
          </cell>
          <cell r="E66">
            <v>3199</v>
          </cell>
          <cell r="F66">
            <v>4</v>
          </cell>
          <cell r="G66">
            <v>344</v>
          </cell>
          <cell r="H66">
            <v>2</v>
          </cell>
          <cell r="I66">
            <v>342</v>
          </cell>
          <cell r="J66">
            <v>1</v>
          </cell>
          <cell r="K66">
            <v>119</v>
          </cell>
          <cell r="L66">
            <v>9</v>
          </cell>
          <cell r="M66">
            <v>1795</v>
          </cell>
          <cell r="N66">
            <v>3</v>
          </cell>
          <cell r="O66">
            <v>312</v>
          </cell>
          <cell r="P66">
            <v>10</v>
          </cell>
          <cell r="Q66">
            <v>681</v>
          </cell>
          <cell r="R66">
            <v>0</v>
          </cell>
          <cell r="S66">
            <v>0</v>
          </cell>
          <cell r="T66">
            <v>3</v>
          </cell>
          <cell r="U66">
            <v>348</v>
          </cell>
          <cell r="V66">
            <v>1</v>
          </cell>
          <cell r="W66">
            <v>80</v>
          </cell>
          <cell r="X66">
            <v>0</v>
          </cell>
          <cell r="Y66">
            <v>0</v>
          </cell>
        </row>
      </sheetData>
      <sheetData sheetId="14"/>
      <sheetData sheetId="15"/>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nsus"/>
      <sheetName val="BASS"/>
      <sheetName val="CENDANT"/>
      <sheetName val="CHOICE"/>
      <sheetName val="ESA"/>
      <sheetName val="HILTON"/>
      <sheetName val="MARRIOTT"/>
      <sheetName val="PRIME"/>
      <sheetName val="STARWOOD"/>
      <sheetName val="USFS"/>
      <sheetName val="WYNDHAM"/>
      <sheetName val="lookup"/>
      <sheetName val="pivots"/>
      <sheetName val="LOOKUP mkts"/>
    </sheetNames>
    <sheetDataSet>
      <sheetData sheetId="0" refreshError="1">
        <row r="4">
          <cell r="A4" t="str">
            <v>Anaheim, CA</v>
          </cell>
          <cell r="B4">
            <v>364</v>
          </cell>
          <cell r="C4">
            <v>45277</v>
          </cell>
        </row>
        <row r="5">
          <cell r="A5" t="str">
            <v>Atlanta, GA</v>
          </cell>
          <cell r="B5">
            <v>624</v>
          </cell>
          <cell r="C5">
            <v>83349</v>
          </cell>
        </row>
        <row r="6">
          <cell r="A6" t="str">
            <v>Boston, MA</v>
          </cell>
          <cell r="B6">
            <v>254</v>
          </cell>
          <cell r="C6">
            <v>39641</v>
          </cell>
        </row>
        <row r="7">
          <cell r="A7" t="str">
            <v>Chicago, IL</v>
          </cell>
          <cell r="B7">
            <v>450</v>
          </cell>
          <cell r="C7">
            <v>78698</v>
          </cell>
        </row>
        <row r="8">
          <cell r="A8" t="str">
            <v>Dallas, TX</v>
          </cell>
          <cell r="B8">
            <v>411</v>
          </cell>
          <cell r="C8">
            <v>62111</v>
          </cell>
        </row>
        <row r="9">
          <cell r="A9" t="str">
            <v>Denver, CO</v>
          </cell>
          <cell r="B9">
            <v>224</v>
          </cell>
          <cell r="C9">
            <v>34182</v>
          </cell>
        </row>
        <row r="10">
          <cell r="A10" t="str">
            <v>Detroit, MI</v>
          </cell>
          <cell r="B10">
            <v>291</v>
          </cell>
          <cell r="C10">
            <v>36005</v>
          </cell>
        </row>
        <row r="11">
          <cell r="A11" t="str">
            <v>Houston, TX</v>
          </cell>
          <cell r="B11">
            <v>359</v>
          </cell>
          <cell r="C11">
            <v>50761</v>
          </cell>
        </row>
        <row r="12">
          <cell r="A12" t="str">
            <v>Los Angeles, CA</v>
          </cell>
          <cell r="B12">
            <v>678</v>
          </cell>
          <cell r="C12">
            <v>82784</v>
          </cell>
        </row>
        <row r="13">
          <cell r="A13" t="str">
            <v>Miami, FL</v>
          </cell>
          <cell r="B13">
            <v>273</v>
          </cell>
          <cell r="C13">
            <v>43229</v>
          </cell>
        </row>
        <row r="14">
          <cell r="A14" t="str">
            <v>Minneapolis, MN</v>
          </cell>
          <cell r="B14">
            <v>245</v>
          </cell>
          <cell r="C14">
            <v>31012</v>
          </cell>
        </row>
        <row r="15">
          <cell r="A15" t="str">
            <v>Nashville, TN</v>
          </cell>
          <cell r="B15">
            <v>256</v>
          </cell>
          <cell r="C15">
            <v>30962</v>
          </cell>
        </row>
        <row r="16">
          <cell r="A16" t="str">
            <v>New Orleans, LA</v>
          </cell>
          <cell r="B16">
            <v>166</v>
          </cell>
          <cell r="C16">
            <v>29273</v>
          </cell>
        </row>
        <row r="17">
          <cell r="A17" t="str">
            <v>New York, NY</v>
          </cell>
          <cell r="B17">
            <v>269</v>
          </cell>
          <cell r="C17">
            <v>72176</v>
          </cell>
        </row>
        <row r="18">
          <cell r="A18" t="str">
            <v>Norfolk, VA</v>
          </cell>
          <cell r="B18">
            <v>321</v>
          </cell>
          <cell r="C18">
            <v>34243</v>
          </cell>
        </row>
        <row r="19">
          <cell r="A19" t="str">
            <v>Oahu Island, HI</v>
          </cell>
          <cell r="B19">
            <v>118</v>
          </cell>
          <cell r="C19">
            <v>36422</v>
          </cell>
        </row>
        <row r="20">
          <cell r="A20" t="str">
            <v>Orlando, FL</v>
          </cell>
          <cell r="B20">
            <v>406</v>
          </cell>
          <cell r="C20">
            <v>106610</v>
          </cell>
        </row>
        <row r="21">
          <cell r="A21" t="str">
            <v>Philadelphia, PA</v>
          </cell>
          <cell r="B21">
            <v>255</v>
          </cell>
          <cell r="C21">
            <v>36719</v>
          </cell>
        </row>
        <row r="22">
          <cell r="A22" t="str">
            <v>Phoenix, AZ</v>
          </cell>
          <cell r="B22">
            <v>342</v>
          </cell>
          <cell r="C22">
            <v>51001</v>
          </cell>
        </row>
        <row r="23">
          <cell r="A23" t="str">
            <v>Saint Louis, MO</v>
          </cell>
          <cell r="B23">
            <v>231</v>
          </cell>
          <cell r="C23">
            <v>30238</v>
          </cell>
        </row>
        <row r="24">
          <cell r="A24" t="str">
            <v>San Diego, CA</v>
          </cell>
          <cell r="B24">
            <v>417</v>
          </cell>
          <cell r="C24">
            <v>49275</v>
          </cell>
        </row>
        <row r="25">
          <cell r="A25" t="str">
            <v>San Francisco, CA</v>
          </cell>
          <cell r="B25">
            <v>337</v>
          </cell>
          <cell r="C25">
            <v>46548</v>
          </cell>
        </row>
        <row r="26">
          <cell r="A26" t="str">
            <v>Seattle, WA</v>
          </cell>
          <cell r="B26">
            <v>273</v>
          </cell>
          <cell r="C26">
            <v>32101</v>
          </cell>
        </row>
        <row r="27">
          <cell r="A27" t="str">
            <v>Tampa, FL</v>
          </cell>
          <cell r="B27">
            <v>331</v>
          </cell>
          <cell r="C27">
            <v>39563</v>
          </cell>
        </row>
        <row r="28">
          <cell r="A28" t="str">
            <v>Washington, DC</v>
          </cell>
          <cell r="B28">
            <v>420</v>
          </cell>
          <cell r="C28">
            <v>75414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row r="5">
          <cell r="B5" t="str">
            <v>Anaheim, CA</v>
          </cell>
          <cell r="C5">
            <v>0</v>
          </cell>
          <cell r="D5">
            <v>0</v>
          </cell>
          <cell r="E5">
            <v>0</v>
          </cell>
          <cell r="F5">
            <v>0</v>
          </cell>
          <cell r="G5">
            <v>0</v>
          </cell>
          <cell r="H5">
            <v>0</v>
          </cell>
          <cell r="I5">
            <v>1</v>
          </cell>
          <cell r="J5">
            <v>104</v>
          </cell>
          <cell r="K5">
            <v>4</v>
          </cell>
          <cell r="L5">
            <v>677</v>
          </cell>
          <cell r="M5">
            <v>1</v>
          </cell>
          <cell r="N5">
            <v>140</v>
          </cell>
          <cell r="O5">
            <v>0</v>
          </cell>
          <cell r="P5">
            <v>0</v>
          </cell>
          <cell r="Q5">
            <v>1</v>
          </cell>
          <cell r="R5">
            <v>74</v>
          </cell>
          <cell r="S5">
            <v>0</v>
          </cell>
          <cell r="T5">
            <v>0</v>
          </cell>
          <cell r="U5">
            <v>0</v>
          </cell>
          <cell r="V5">
            <v>0</v>
          </cell>
          <cell r="W5">
            <v>3</v>
          </cell>
          <cell r="X5">
            <v>787</v>
          </cell>
          <cell r="Y5">
            <v>0</v>
          </cell>
          <cell r="Z5">
            <v>0</v>
          </cell>
          <cell r="AA5">
            <v>3</v>
          </cell>
          <cell r="AB5">
            <v>787</v>
          </cell>
          <cell r="AC5">
            <v>2</v>
          </cell>
          <cell r="AD5">
            <v>225</v>
          </cell>
          <cell r="AE5">
            <v>0</v>
          </cell>
          <cell r="AF5">
            <v>0</v>
          </cell>
          <cell r="AG5">
            <v>0</v>
          </cell>
          <cell r="AH5">
            <v>0</v>
          </cell>
          <cell r="AI5">
            <v>0</v>
          </cell>
          <cell r="AJ5">
            <v>0</v>
          </cell>
          <cell r="AK5">
            <v>0</v>
          </cell>
          <cell r="AL5">
            <v>0</v>
          </cell>
          <cell r="AM5">
            <v>0</v>
          </cell>
          <cell r="AN5">
            <v>0</v>
          </cell>
          <cell r="AO5">
            <v>0</v>
          </cell>
          <cell r="AP5">
            <v>0</v>
          </cell>
          <cell r="AQ5">
            <v>0</v>
          </cell>
          <cell r="AR5">
            <v>0</v>
          </cell>
          <cell r="AS5">
            <v>0</v>
          </cell>
          <cell r="AT5">
            <v>0</v>
          </cell>
          <cell r="AU5">
            <v>1</v>
          </cell>
          <cell r="AV5">
            <v>160</v>
          </cell>
          <cell r="AW5">
            <v>1</v>
          </cell>
          <cell r="AX5">
            <v>110</v>
          </cell>
          <cell r="AY5">
            <v>2</v>
          </cell>
          <cell r="AZ5">
            <v>270</v>
          </cell>
          <cell r="BA5">
            <v>0</v>
          </cell>
          <cell r="BB5">
            <v>0</v>
          </cell>
          <cell r="BC5">
            <v>3</v>
          </cell>
          <cell r="BD5">
            <v>1059</v>
          </cell>
          <cell r="BE5">
            <v>1</v>
          </cell>
          <cell r="BF5">
            <v>225</v>
          </cell>
          <cell r="BG5">
            <v>4</v>
          </cell>
          <cell r="BH5">
            <v>1284</v>
          </cell>
          <cell r="BI5">
            <v>1</v>
          </cell>
          <cell r="BJ5">
            <v>90</v>
          </cell>
          <cell r="BK5">
            <v>2</v>
          </cell>
          <cell r="BL5">
            <v>545</v>
          </cell>
          <cell r="BM5">
            <v>1</v>
          </cell>
          <cell r="BN5">
            <v>275</v>
          </cell>
          <cell r="BO5">
            <v>3</v>
          </cell>
          <cell r="BP5">
            <v>820</v>
          </cell>
          <cell r="BQ5">
            <v>4</v>
          </cell>
          <cell r="BR5">
            <v>688</v>
          </cell>
          <cell r="BS5">
            <v>0</v>
          </cell>
          <cell r="BT5">
            <v>0</v>
          </cell>
          <cell r="BU5">
            <v>0</v>
          </cell>
          <cell r="BV5">
            <v>0</v>
          </cell>
          <cell r="BW5">
            <v>0</v>
          </cell>
          <cell r="BX5">
            <v>0</v>
          </cell>
          <cell r="BY5">
            <v>0</v>
          </cell>
          <cell r="BZ5">
            <v>0</v>
          </cell>
          <cell r="CA5">
            <v>0</v>
          </cell>
          <cell r="CB5">
            <v>0</v>
          </cell>
          <cell r="CC5">
            <v>0</v>
          </cell>
          <cell r="CD5">
            <v>0</v>
          </cell>
          <cell r="CE5">
            <v>0</v>
          </cell>
          <cell r="CF5">
            <v>0</v>
          </cell>
          <cell r="CG5">
            <v>1</v>
          </cell>
          <cell r="CH5">
            <v>300</v>
          </cell>
          <cell r="CI5">
            <v>0</v>
          </cell>
          <cell r="CJ5">
            <v>0</v>
          </cell>
          <cell r="CK5">
            <v>0</v>
          </cell>
          <cell r="CL5">
            <v>0</v>
          </cell>
          <cell r="CM5">
            <v>0</v>
          </cell>
          <cell r="CN5">
            <v>0</v>
          </cell>
          <cell r="CO5">
            <v>0</v>
          </cell>
          <cell r="CP5">
            <v>0</v>
          </cell>
          <cell r="CQ5">
            <v>0</v>
          </cell>
          <cell r="CR5">
            <v>0</v>
          </cell>
          <cell r="CS5">
            <v>0</v>
          </cell>
          <cell r="CT5">
            <v>0</v>
          </cell>
          <cell r="CU5">
            <v>0</v>
          </cell>
          <cell r="CV5">
            <v>0</v>
          </cell>
          <cell r="CW5">
            <v>0</v>
          </cell>
          <cell r="CX5">
            <v>0</v>
          </cell>
        </row>
        <row r="6">
          <cell r="B6" t="str">
            <v>Atlanta, GA</v>
          </cell>
          <cell r="C6">
            <v>9</v>
          </cell>
          <cell r="D6">
            <v>907</v>
          </cell>
          <cell r="E6">
            <v>17</v>
          </cell>
          <cell r="F6">
            <v>1192</v>
          </cell>
          <cell r="G6">
            <v>18</v>
          </cell>
          <cell r="H6">
            <v>1211</v>
          </cell>
          <cell r="I6">
            <v>12</v>
          </cell>
          <cell r="J6">
            <v>1160</v>
          </cell>
          <cell r="K6">
            <v>14</v>
          </cell>
          <cell r="L6">
            <v>1922</v>
          </cell>
          <cell r="M6">
            <v>19</v>
          </cell>
          <cell r="N6">
            <v>2190</v>
          </cell>
          <cell r="O6">
            <v>6</v>
          </cell>
          <cell r="P6">
            <v>767</v>
          </cell>
          <cell r="Q6">
            <v>0</v>
          </cell>
          <cell r="R6">
            <v>0</v>
          </cell>
          <cell r="S6">
            <v>8</v>
          </cell>
          <cell r="T6">
            <v>632</v>
          </cell>
          <cell r="U6">
            <v>0</v>
          </cell>
          <cell r="V6">
            <v>0</v>
          </cell>
          <cell r="W6">
            <v>1</v>
          </cell>
          <cell r="X6">
            <v>61</v>
          </cell>
          <cell r="Y6">
            <v>4</v>
          </cell>
          <cell r="Z6">
            <v>315</v>
          </cell>
          <cell r="AA6">
            <v>5</v>
          </cell>
          <cell r="AB6">
            <v>376</v>
          </cell>
          <cell r="AC6">
            <v>1</v>
          </cell>
          <cell r="AD6">
            <v>425</v>
          </cell>
          <cell r="AE6">
            <v>1</v>
          </cell>
          <cell r="AF6">
            <v>94</v>
          </cell>
          <cell r="AG6">
            <v>2</v>
          </cell>
          <cell r="AH6">
            <v>155</v>
          </cell>
          <cell r="AI6">
            <v>3</v>
          </cell>
          <cell r="AJ6">
            <v>249</v>
          </cell>
          <cell r="AK6">
            <v>7</v>
          </cell>
          <cell r="AL6">
            <v>785</v>
          </cell>
          <cell r="AM6">
            <v>1</v>
          </cell>
          <cell r="AN6">
            <v>48</v>
          </cell>
          <cell r="AO6">
            <v>0</v>
          </cell>
          <cell r="AP6">
            <v>0</v>
          </cell>
          <cell r="AQ6">
            <v>1</v>
          </cell>
          <cell r="AR6">
            <v>48</v>
          </cell>
          <cell r="AS6">
            <v>3</v>
          </cell>
          <cell r="AT6">
            <v>188</v>
          </cell>
          <cell r="AU6">
            <v>0</v>
          </cell>
          <cell r="AV6">
            <v>0</v>
          </cell>
          <cell r="AW6">
            <v>0</v>
          </cell>
          <cell r="AX6">
            <v>0</v>
          </cell>
          <cell r="AY6">
            <v>0</v>
          </cell>
          <cell r="AZ6">
            <v>0</v>
          </cell>
          <cell r="BA6">
            <v>0</v>
          </cell>
          <cell r="BB6">
            <v>0</v>
          </cell>
          <cell r="BC6">
            <v>4</v>
          </cell>
          <cell r="BD6">
            <v>497</v>
          </cell>
          <cell r="BE6">
            <v>1</v>
          </cell>
          <cell r="BF6">
            <v>123</v>
          </cell>
          <cell r="BG6">
            <v>5</v>
          </cell>
          <cell r="BH6">
            <v>620</v>
          </cell>
          <cell r="BI6">
            <v>2</v>
          </cell>
          <cell r="BJ6">
            <v>292</v>
          </cell>
          <cell r="BK6">
            <v>3</v>
          </cell>
          <cell r="BL6">
            <v>278</v>
          </cell>
          <cell r="BM6">
            <v>1</v>
          </cell>
          <cell r="BN6">
            <v>102</v>
          </cell>
          <cell r="BO6">
            <v>4</v>
          </cell>
          <cell r="BP6">
            <v>380</v>
          </cell>
          <cell r="BQ6">
            <v>4</v>
          </cell>
          <cell r="BR6">
            <v>585</v>
          </cell>
          <cell r="BS6">
            <v>0</v>
          </cell>
          <cell r="BT6">
            <v>0</v>
          </cell>
          <cell r="BU6">
            <v>0</v>
          </cell>
          <cell r="BV6">
            <v>0</v>
          </cell>
          <cell r="BW6">
            <v>0</v>
          </cell>
          <cell r="BX6">
            <v>0</v>
          </cell>
          <cell r="BY6">
            <v>1</v>
          </cell>
          <cell r="BZ6">
            <v>128</v>
          </cell>
          <cell r="CA6">
            <v>0</v>
          </cell>
          <cell r="CB6">
            <v>0</v>
          </cell>
          <cell r="CC6">
            <v>1</v>
          </cell>
          <cell r="CD6">
            <v>244</v>
          </cell>
          <cell r="CE6">
            <v>1</v>
          </cell>
          <cell r="CF6">
            <v>244</v>
          </cell>
          <cell r="CG6">
            <v>0</v>
          </cell>
          <cell r="CH6">
            <v>0</v>
          </cell>
          <cell r="CI6">
            <v>2</v>
          </cell>
          <cell r="CJ6">
            <v>140</v>
          </cell>
          <cell r="CK6">
            <v>4</v>
          </cell>
          <cell r="CL6">
            <v>313</v>
          </cell>
          <cell r="CM6">
            <v>6</v>
          </cell>
          <cell r="CN6">
            <v>453</v>
          </cell>
          <cell r="CO6">
            <v>10</v>
          </cell>
          <cell r="CP6">
            <v>763</v>
          </cell>
          <cell r="CQ6">
            <v>0</v>
          </cell>
          <cell r="CR6">
            <v>0</v>
          </cell>
          <cell r="CS6">
            <v>0</v>
          </cell>
          <cell r="CT6">
            <v>0</v>
          </cell>
          <cell r="CU6">
            <v>0</v>
          </cell>
          <cell r="CV6">
            <v>0</v>
          </cell>
          <cell r="CW6">
            <v>0</v>
          </cell>
          <cell r="CX6">
            <v>0</v>
          </cell>
        </row>
        <row r="7">
          <cell r="B7" t="str">
            <v>Boston, MA</v>
          </cell>
          <cell r="C7">
            <v>0</v>
          </cell>
          <cell r="D7">
            <v>0</v>
          </cell>
          <cell r="E7">
            <v>2</v>
          </cell>
          <cell r="F7">
            <v>169</v>
          </cell>
          <cell r="G7">
            <v>1</v>
          </cell>
          <cell r="H7">
            <v>94</v>
          </cell>
          <cell r="I7">
            <v>1</v>
          </cell>
          <cell r="J7">
            <v>104</v>
          </cell>
          <cell r="K7">
            <v>7</v>
          </cell>
          <cell r="L7">
            <v>1510</v>
          </cell>
          <cell r="M7">
            <v>6</v>
          </cell>
          <cell r="N7">
            <v>774</v>
          </cell>
          <cell r="O7">
            <v>1</v>
          </cell>
          <cell r="P7">
            <v>158</v>
          </cell>
          <cell r="Q7">
            <v>0</v>
          </cell>
          <cell r="R7">
            <v>0</v>
          </cell>
          <cell r="S7">
            <v>3</v>
          </cell>
          <cell r="T7">
            <v>289</v>
          </cell>
          <cell r="U7">
            <v>2</v>
          </cell>
          <cell r="V7">
            <v>572</v>
          </cell>
          <cell r="W7">
            <v>2</v>
          </cell>
          <cell r="X7">
            <v>280</v>
          </cell>
          <cell r="Y7">
            <v>0</v>
          </cell>
          <cell r="Z7">
            <v>0</v>
          </cell>
          <cell r="AA7">
            <v>2</v>
          </cell>
          <cell r="AB7">
            <v>280</v>
          </cell>
          <cell r="AC7">
            <v>1</v>
          </cell>
          <cell r="AD7">
            <v>140</v>
          </cell>
          <cell r="AE7">
            <v>0</v>
          </cell>
          <cell r="AF7">
            <v>0</v>
          </cell>
          <cell r="AG7">
            <v>0</v>
          </cell>
          <cell r="AH7">
            <v>0</v>
          </cell>
          <cell r="AI7">
            <v>0</v>
          </cell>
          <cell r="AJ7">
            <v>0</v>
          </cell>
          <cell r="AK7">
            <v>1</v>
          </cell>
          <cell r="AL7">
            <v>55</v>
          </cell>
          <cell r="AM7">
            <v>1</v>
          </cell>
          <cell r="AN7">
            <v>208</v>
          </cell>
          <cell r="AO7">
            <v>2</v>
          </cell>
          <cell r="AP7">
            <v>181</v>
          </cell>
          <cell r="AQ7">
            <v>3</v>
          </cell>
          <cell r="AR7">
            <v>389</v>
          </cell>
          <cell r="AS7">
            <v>0</v>
          </cell>
          <cell r="AT7">
            <v>0</v>
          </cell>
          <cell r="AU7">
            <v>0</v>
          </cell>
          <cell r="AV7">
            <v>0</v>
          </cell>
          <cell r="AW7">
            <v>0</v>
          </cell>
          <cell r="AX7">
            <v>0</v>
          </cell>
          <cell r="AY7">
            <v>0</v>
          </cell>
          <cell r="AZ7">
            <v>0</v>
          </cell>
          <cell r="BA7">
            <v>0</v>
          </cell>
          <cell r="BB7">
            <v>0</v>
          </cell>
          <cell r="BC7">
            <v>5</v>
          </cell>
          <cell r="BD7">
            <v>814</v>
          </cell>
          <cell r="BE7">
            <v>4</v>
          </cell>
          <cell r="BF7">
            <v>937</v>
          </cell>
          <cell r="BG7">
            <v>9</v>
          </cell>
          <cell r="BH7">
            <v>1751</v>
          </cell>
          <cell r="BI7">
            <v>0</v>
          </cell>
          <cell r="BJ7">
            <v>0</v>
          </cell>
          <cell r="BK7">
            <v>4</v>
          </cell>
          <cell r="BL7">
            <v>849</v>
          </cell>
          <cell r="BM7">
            <v>3</v>
          </cell>
          <cell r="BN7">
            <v>401</v>
          </cell>
          <cell r="BO7">
            <v>7</v>
          </cell>
          <cell r="BP7">
            <v>1250</v>
          </cell>
          <cell r="BQ7">
            <v>9</v>
          </cell>
          <cell r="BR7">
            <v>1231</v>
          </cell>
          <cell r="BS7">
            <v>0</v>
          </cell>
          <cell r="BT7">
            <v>0</v>
          </cell>
          <cell r="BU7">
            <v>0</v>
          </cell>
          <cell r="BV7">
            <v>0</v>
          </cell>
          <cell r="BW7">
            <v>0</v>
          </cell>
          <cell r="BX7">
            <v>0</v>
          </cell>
          <cell r="BY7">
            <v>0</v>
          </cell>
          <cell r="BZ7">
            <v>0</v>
          </cell>
          <cell r="CA7">
            <v>0</v>
          </cell>
          <cell r="CB7">
            <v>0</v>
          </cell>
          <cell r="CC7">
            <v>1</v>
          </cell>
          <cell r="CD7">
            <v>1120</v>
          </cell>
          <cell r="CE7">
            <v>1</v>
          </cell>
          <cell r="CF7">
            <v>1120</v>
          </cell>
          <cell r="CG7">
            <v>0</v>
          </cell>
          <cell r="CH7">
            <v>0</v>
          </cell>
          <cell r="CI7">
            <v>0</v>
          </cell>
          <cell r="CJ7">
            <v>0</v>
          </cell>
          <cell r="CK7">
            <v>0</v>
          </cell>
          <cell r="CL7">
            <v>0</v>
          </cell>
          <cell r="CM7">
            <v>0</v>
          </cell>
          <cell r="CN7">
            <v>0</v>
          </cell>
          <cell r="CO7">
            <v>1</v>
          </cell>
          <cell r="CP7">
            <v>85</v>
          </cell>
          <cell r="CQ7">
            <v>1</v>
          </cell>
          <cell r="CR7">
            <v>180</v>
          </cell>
          <cell r="CS7">
            <v>0</v>
          </cell>
          <cell r="CT7">
            <v>0</v>
          </cell>
          <cell r="CU7">
            <v>1</v>
          </cell>
          <cell r="CV7">
            <v>180</v>
          </cell>
          <cell r="CW7">
            <v>0</v>
          </cell>
          <cell r="CX7">
            <v>0</v>
          </cell>
        </row>
        <row r="8">
          <cell r="B8" t="str">
            <v>Chicago, IL</v>
          </cell>
          <cell r="C8">
            <v>6</v>
          </cell>
          <cell r="D8">
            <v>554</v>
          </cell>
          <cell r="E8">
            <v>4</v>
          </cell>
          <cell r="F8">
            <v>294</v>
          </cell>
          <cell r="G8">
            <v>7</v>
          </cell>
          <cell r="H8">
            <v>515</v>
          </cell>
          <cell r="I8">
            <v>12</v>
          </cell>
          <cell r="J8">
            <v>1337</v>
          </cell>
          <cell r="K8">
            <v>9</v>
          </cell>
          <cell r="L8">
            <v>1921</v>
          </cell>
          <cell r="M8">
            <v>4</v>
          </cell>
          <cell r="N8">
            <v>585</v>
          </cell>
          <cell r="O8">
            <v>6</v>
          </cell>
          <cell r="P8">
            <v>791</v>
          </cell>
          <cell r="Q8">
            <v>0</v>
          </cell>
          <cell r="R8">
            <v>0</v>
          </cell>
          <cell r="S8">
            <v>3</v>
          </cell>
          <cell r="T8">
            <v>499</v>
          </cell>
          <cell r="U8">
            <v>1</v>
          </cell>
          <cell r="V8">
            <v>418</v>
          </cell>
          <cell r="W8">
            <v>2</v>
          </cell>
          <cell r="X8">
            <v>317</v>
          </cell>
          <cell r="Y8">
            <v>2</v>
          </cell>
          <cell r="Z8">
            <v>546</v>
          </cell>
          <cell r="AA8">
            <v>4</v>
          </cell>
          <cell r="AB8">
            <v>863</v>
          </cell>
          <cell r="AC8">
            <v>4</v>
          </cell>
          <cell r="AD8">
            <v>718</v>
          </cell>
          <cell r="AE8">
            <v>2</v>
          </cell>
          <cell r="AF8">
            <v>164</v>
          </cell>
          <cell r="AG8">
            <v>4</v>
          </cell>
          <cell r="AH8">
            <v>371</v>
          </cell>
          <cell r="AI8">
            <v>6</v>
          </cell>
          <cell r="AJ8">
            <v>535</v>
          </cell>
          <cell r="AK8">
            <v>3</v>
          </cell>
          <cell r="AL8">
            <v>300</v>
          </cell>
          <cell r="AM8">
            <v>0</v>
          </cell>
          <cell r="AN8">
            <v>0</v>
          </cell>
          <cell r="AO8">
            <v>2</v>
          </cell>
          <cell r="AP8">
            <v>260</v>
          </cell>
          <cell r="AQ8">
            <v>2</v>
          </cell>
          <cell r="AR8">
            <v>260</v>
          </cell>
          <cell r="AS8">
            <v>0</v>
          </cell>
          <cell r="AT8">
            <v>0</v>
          </cell>
          <cell r="AU8">
            <v>1</v>
          </cell>
          <cell r="AV8">
            <v>140</v>
          </cell>
          <cell r="AW8">
            <v>0</v>
          </cell>
          <cell r="AX8">
            <v>0</v>
          </cell>
          <cell r="AY8">
            <v>1</v>
          </cell>
          <cell r="AZ8">
            <v>140</v>
          </cell>
          <cell r="BA8">
            <v>0</v>
          </cell>
          <cell r="BB8">
            <v>0</v>
          </cell>
          <cell r="BC8">
            <v>5</v>
          </cell>
          <cell r="BD8">
            <v>1157</v>
          </cell>
          <cell r="BE8">
            <v>2</v>
          </cell>
          <cell r="BF8">
            <v>500</v>
          </cell>
          <cell r="BG8">
            <v>7</v>
          </cell>
          <cell r="BH8">
            <v>1657</v>
          </cell>
          <cell r="BI8">
            <v>2</v>
          </cell>
          <cell r="BJ8">
            <v>369</v>
          </cell>
          <cell r="BK8">
            <v>3</v>
          </cell>
          <cell r="BL8">
            <v>683</v>
          </cell>
          <cell r="BM8">
            <v>2</v>
          </cell>
          <cell r="BN8">
            <v>251</v>
          </cell>
          <cell r="BO8">
            <v>5</v>
          </cell>
          <cell r="BP8">
            <v>934</v>
          </cell>
          <cell r="BQ8">
            <v>10</v>
          </cell>
          <cell r="BR8">
            <v>2223</v>
          </cell>
          <cell r="BS8">
            <v>2</v>
          </cell>
          <cell r="BT8">
            <v>394</v>
          </cell>
          <cell r="BU8">
            <v>0</v>
          </cell>
          <cell r="BV8">
            <v>0</v>
          </cell>
          <cell r="BW8">
            <v>2</v>
          </cell>
          <cell r="BX8">
            <v>394</v>
          </cell>
          <cell r="BY8">
            <v>1</v>
          </cell>
          <cell r="BZ8">
            <v>250</v>
          </cell>
          <cell r="CA8">
            <v>0</v>
          </cell>
          <cell r="CB8">
            <v>0</v>
          </cell>
          <cell r="CC8">
            <v>0</v>
          </cell>
          <cell r="CD8">
            <v>0</v>
          </cell>
          <cell r="CE8">
            <v>0</v>
          </cell>
          <cell r="CF8">
            <v>0</v>
          </cell>
          <cell r="CG8">
            <v>0</v>
          </cell>
          <cell r="CH8">
            <v>0</v>
          </cell>
          <cell r="CI8">
            <v>1</v>
          </cell>
          <cell r="CJ8">
            <v>50</v>
          </cell>
          <cell r="CK8">
            <v>0</v>
          </cell>
          <cell r="CL8">
            <v>0</v>
          </cell>
          <cell r="CM8">
            <v>1</v>
          </cell>
          <cell r="CN8">
            <v>50</v>
          </cell>
          <cell r="CO8">
            <v>4</v>
          </cell>
          <cell r="CP8">
            <v>555</v>
          </cell>
          <cell r="CQ8">
            <v>1</v>
          </cell>
          <cell r="CR8">
            <v>310</v>
          </cell>
          <cell r="CS8">
            <v>0</v>
          </cell>
          <cell r="CT8">
            <v>0</v>
          </cell>
          <cell r="CU8">
            <v>1</v>
          </cell>
          <cell r="CV8">
            <v>310</v>
          </cell>
          <cell r="CW8">
            <v>0</v>
          </cell>
          <cell r="CX8">
            <v>0</v>
          </cell>
        </row>
        <row r="9">
          <cell r="B9" t="str">
            <v>Dallas, TX</v>
          </cell>
          <cell r="C9">
            <v>7</v>
          </cell>
          <cell r="D9">
            <v>551</v>
          </cell>
          <cell r="E9">
            <v>14</v>
          </cell>
          <cell r="F9">
            <v>875</v>
          </cell>
          <cell r="G9">
            <v>16</v>
          </cell>
          <cell r="H9">
            <v>1193</v>
          </cell>
          <cell r="I9">
            <v>8</v>
          </cell>
          <cell r="J9">
            <v>841</v>
          </cell>
          <cell r="K9">
            <v>9</v>
          </cell>
          <cell r="L9">
            <v>1207</v>
          </cell>
          <cell r="M9">
            <v>14</v>
          </cell>
          <cell r="N9">
            <v>1814</v>
          </cell>
          <cell r="O9">
            <v>6</v>
          </cell>
          <cell r="P9">
            <v>795</v>
          </cell>
          <cell r="Q9">
            <v>0</v>
          </cell>
          <cell r="R9">
            <v>0</v>
          </cell>
          <cell r="S9">
            <v>8</v>
          </cell>
          <cell r="T9">
            <v>512</v>
          </cell>
          <cell r="U9">
            <v>1</v>
          </cell>
          <cell r="V9">
            <v>197</v>
          </cell>
          <cell r="W9">
            <v>0</v>
          </cell>
          <cell r="X9">
            <v>0</v>
          </cell>
          <cell r="Y9">
            <v>2</v>
          </cell>
          <cell r="Z9">
            <v>148</v>
          </cell>
          <cell r="AA9">
            <v>2</v>
          </cell>
          <cell r="AB9">
            <v>148</v>
          </cell>
          <cell r="AC9">
            <v>0</v>
          </cell>
          <cell r="AD9">
            <v>0</v>
          </cell>
          <cell r="AE9">
            <v>2</v>
          </cell>
          <cell r="AF9">
            <v>165</v>
          </cell>
          <cell r="AG9">
            <v>0</v>
          </cell>
          <cell r="AH9">
            <v>0</v>
          </cell>
          <cell r="AI9">
            <v>2</v>
          </cell>
          <cell r="AJ9">
            <v>165</v>
          </cell>
          <cell r="AK9">
            <v>4</v>
          </cell>
          <cell r="AL9">
            <v>385</v>
          </cell>
          <cell r="AM9">
            <v>3</v>
          </cell>
          <cell r="AN9">
            <v>180</v>
          </cell>
          <cell r="AO9">
            <v>3</v>
          </cell>
          <cell r="AP9">
            <v>235</v>
          </cell>
          <cell r="AQ9">
            <v>6</v>
          </cell>
          <cell r="AR9">
            <v>415</v>
          </cell>
          <cell r="AS9">
            <v>1</v>
          </cell>
          <cell r="AT9">
            <v>69</v>
          </cell>
          <cell r="AU9">
            <v>0</v>
          </cell>
          <cell r="AV9">
            <v>0</v>
          </cell>
          <cell r="AW9">
            <v>0</v>
          </cell>
          <cell r="AX9">
            <v>0</v>
          </cell>
          <cell r="AY9">
            <v>0</v>
          </cell>
          <cell r="AZ9">
            <v>0</v>
          </cell>
          <cell r="BA9">
            <v>0</v>
          </cell>
          <cell r="BB9">
            <v>0</v>
          </cell>
          <cell r="BC9">
            <v>2</v>
          </cell>
          <cell r="BD9">
            <v>644</v>
          </cell>
          <cell r="BE9">
            <v>2</v>
          </cell>
          <cell r="BF9">
            <v>357</v>
          </cell>
          <cell r="BG9">
            <v>4</v>
          </cell>
          <cell r="BH9">
            <v>1001</v>
          </cell>
          <cell r="BI9">
            <v>1</v>
          </cell>
          <cell r="BJ9">
            <v>300</v>
          </cell>
          <cell r="BK9">
            <v>5</v>
          </cell>
          <cell r="BL9">
            <v>989</v>
          </cell>
          <cell r="BM9">
            <v>1</v>
          </cell>
          <cell r="BN9">
            <v>100</v>
          </cell>
          <cell r="BO9">
            <v>6</v>
          </cell>
          <cell r="BP9">
            <v>1089</v>
          </cell>
          <cell r="BQ9">
            <v>4</v>
          </cell>
          <cell r="BR9">
            <v>803</v>
          </cell>
          <cell r="BS9">
            <v>0</v>
          </cell>
          <cell r="BT9">
            <v>0</v>
          </cell>
          <cell r="BU9">
            <v>0</v>
          </cell>
          <cell r="BV9">
            <v>0</v>
          </cell>
          <cell r="BW9">
            <v>0</v>
          </cell>
          <cell r="BX9">
            <v>0</v>
          </cell>
          <cell r="BY9">
            <v>1</v>
          </cell>
          <cell r="BZ9">
            <v>128</v>
          </cell>
          <cell r="CA9">
            <v>1</v>
          </cell>
          <cell r="CB9">
            <v>321</v>
          </cell>
          <cell r="CC9">
            <v>0</v>
          </cell>
          <cell r="CD9">
            <v>0</v>
          </cell>
          <cell r="CE9">
            <v>1</v>
          </cell>
          <cell r="CF9">
            <v>321</v>
          </cell>
          <cell r="CG9">
            <v>0</v>
          </cell>
          <cell r="CH9">
            <v>0</v>
          </cell>
          <cell r="CI9">
            <v>2</v>
          </cell>
          <cell r="CJ9">
            <v>140</v>
          </cell>
          <cell r="CK9">
            <v>1</v>
          </cell>
          <cell r="CL9">
            <v>50</v>
          </cell>
          <cell r="CM9">
            <v>3</v>
          </cell>
          <cell r="CN9">
            <v>190</v>
          </cell>
          <cell r="CO9">
            <v>2</v>
          </cell>
          <cell r="CP9">
            <v>160</v>
          </cell>
          <cell r="CQ9">
            <v>0</v>
          </cell>
          <cell r="CR9">
            <v>0</v>
          </cell>
          <cell r="CS9">
            <v>0</v>
          </cell>
          <cell r="CT9">
            <v>0</v>
          </cell>
          <cell r="CU9">
            <v>0</v>
          </cell>
          <cell r="CV9">
            <v>0</v>
          </cell>
          <cell r="CW9">
            <v>0</v>
          </cell>
          <cell r="CX9">
            <v>0</v>
          </cell>
        </row>
        <row r="10">
          <cell r="B10" t="str">
            <v>Denver, CO</v>
          </cell>
          <cell r="C10">
            <v>5</v>
          </cell>
          <cell r="D10">
            <v>466</v>
          </cell>
          <cell r="E10">
            <v>5</v>
          </cell>
          <cell r="F10">
            <v>477</v>
          </cell>
          <cell r="G10">
            <v>11</v>
          </cell>
          <cell r="H10">
            <v>958</v>
          </cell>
          <cell r="I10">
            <v>6</v>
          </cell>
          <cell r="J10">
            <v>708</v>
          </cell>
          <cell r="K10">
            <v>6</v>
          </cell>
          <cell r="L10">
            <v>753</v>
          </cell>
          <cell r="M10">
            <v>14</v>
          </cell>
          <cell r="N10">
            <v>1656</v>
          </cell>
          <cell r="O10">
            <v>6</v>
          </cell>
          <cell r="P10">
            <v>805</v>
          </cell>
          <cell r="Q10">
            <v>1</v>
          </cell>
          <cell r="R10">
            <v>369</v>
          </cell>
          <cell r="S10">
            <v>2</v>
          </cell>
          <cell r="T10">
            <v>193</v>
          </cell>
          <cell r="U10">
            <v>3</v>
          </cell>
          <cell r="V10">
            <v>432</v>
          </cell>
          <cell r="W10">
            <v>1</v>
          </cell>
          <cell r="X10">
            <v>121</v>
          </cell>
          <cell r="Y10">
            <v>1</v>
          </cell>
          <cell r="Z10">
            <v>70</v>
          </cell>
          <cell r="AA10">
            <v>2</v>
          </cell>
          <cell r="AB10">
            <v>191</v>
          </cell>
          <cell r="AC10">
            <v>1</v>
          </cell>
          <cell r="AD10">
            <v>62</v>
          </cell>
          <cell r="AE10">
            <v>0</v>
          </cell>
          <cell r="AF10">
            <v>0</v>
          </cell>
          <cell r="AG10">
            <v>1</v>
          </cell>
          <cell r="AH10">
            <v>100</v>
          </cell>
          <cell r="AI10">
            <v>1</v>
          </cell>
          <cell r="AJ10">
            <v>100</v>
          </cell>
          <cell r="AK10">
            <v>1</v>
          </cell>
          <cell r="AL10">
            <v>60</v>
          </cell>
          <cell r="AM10">
            <v>0</v>
          </cell>
          <cell r="AN10">
            <v>0</v>
          </cell>
          <cell r="AO10">
            <v>1</v>
          </cell>
          <cell r="AP10">
            <v>62</v>
          </cell>
          <cell r="AQ10">
            <v>1</v>
          </cell>
          <cell r="AR10">
            <v>62</v>
          </cell>
          <cell r="AS10">
            <v>0</v>
          </cell>
          <cell r="AT10">
            <v>0</v>
          </cell>
          <cell r="AU10">
            <v>0</v>
          </cell>
          <cell r="AV10">
            <v>0</v>
          </cell>
          <cell r="AW10">
            <v>0</v>
          </cell>
          <cell r="AX10">
            <v>0</v>
          </cell>
          <cell r="AY10">
            <v>0</v>
          </cell>
          <cell r="AZ10">
            <v>0</v>
          </cell>
          <cell r="BA10">
            <v>0</v>
          </cell>
          <cell r="BB10">
            <v>0</v>
          </cell>
          <cell r="BC10">
            <v>2</v>
          </cell>
          <cell r="BD10">
            <v>191</v>
          </cell>
          <cell r="BE10">
            <v>2</v>
          </cell>
          <cell r="BF10">
            <v>263</v>
          </cell>
          <cell r="BG10">
            <v>4</v>
          </cell>
          <cell r="BH10">
            <v>454</v>
          </cell>
          <cell r="BI10">
            <v>1</v>
          </cell>
          <cell r="BJ10">
            <v>120</v>
          </cell>
          <cell r="BK10">
            <v>4</v>
          </cell>
          <cell r="BL10">
            <v>472</v>
          </cell>
          <cell r="BM10">
            <v>4</v>
          </cell>
          <cell r="BN10">
            <v>1591</v>
          </cell>
          <cell r="BO10">
            <v>8</v>
          </cell>
          <cell r="BP10">
            <v>2063</v>
          </cell>
          <cell r="BQ10">
            <v>0</v>
          </cell>
          <cell r="BR10">
            <v>0</v>
          </cell>
          <cell r="BS10">
            <v>0</v>
          </cell>
          <cell r="BT10">
            <v>0</v>
          </cell>
          <cell r="BU10">
            <v>0</v>
          </cell>
          <cell r="BV10">
            <v>0</v>
          </cell>
          <cell r="BW10">
            <v>0</v>
          </cell>
          <cell r="BX10">
            <v>0</v>
          </cell>
          <cell r="BY10">
            <v>0</v>
          </cell>
          <cell r="BZ10">
            <v>0</v>
          </cell>
          <cell r="CA10">
            <v>0</v>
          </cell>
          <cell r="CB10">
            <v>0</v>
          </cell>
          <cell r="CC10">
            <v>1</v>
          </cell>
          <cell r="CD10">
            <v>526</v>
          </cell>
          <cell r="CE10">
            <v>1</v>
          </cell>
          <cell r="CF10">
            <v>526</v>
          </cell>
          <cell r="CG10">
            <v>0</v>
          </cell>
          <cell r="CH10">
            <v>0</v>
          </cell>
          <cell r="CI10">
            <v>0</v>
          </cell>
          <cell r="CJ10">
            <v>0</v>
          </cell>
          <cell r="CK10">
            <v>0</v>
          </cell>
          <cell r="CL10">
            <v>0</v>
          </cell>
          <cell r="CM10">
            <v>0</v>
          </cell>
          <cell r="CN10">
            <v>0</v>
          </cell>
          <cell r="CO10">
            <v>2</v>
          </cell>
          <cell r="CP10">
            <v>144</v>
          </cell>
          <cell r="CQ10">
            <v>0</v>
          </cell>
          <cell r="CR10">
            <v>0</v>
          </cell>
          <cell r="CS10">
            <v>0</v>
          </cell>
          <cell r="CT10">
            <v>0</v>
          </cell>
          <cell r="CU10">
            <v>0</v>
          </cell>
          <cell r="CV10">
            <v>0</v>
          </cell>
          <cell r="CW10">
            <v>0</v>
          </cell>
          <cell r="CX10">
            <v>0</v>
          </cell>
        </row>
        <row r="11">
          <cell r="B11" t="str">
            <v>Detroit, MI</v>
          </cell>
          <cell r="C11">
            <v>4</v>
          </cell>
          <cell r="D11">
            <v>418</v>
          </cell>
          <cell r="E11">
            <v>4</v>
          </cell>
          <cell r="F11">
            <v>298</v>
          </cell>
          <cell r="G11">
            <v>2</v>
          </cell>
          <cell r="H11">
            <v>128</v>
          </cell>
          <cell r="I11">
            <v>7</v>
          </cell>
          <cell r="J11">
            <v>850</v>
          </cell>
          <cell r="K11">
            <v>5</v>
          </cell>
          <cell r="L11">
            <v>545</v>
          </cell>
          <cell r="M11">
            <v>11</v>
          </cell>
          <cell r="N11">
            <v>1094</v>
          </cell>
          <cell r="O11">
            <v>2</v>
          </cell>
          <cell r="P11">
            <v>267</v>
          </cell>
          <cell r="Q11">
            <v>0</v>
          </cell>
          <cell r="R11">
            <v>0</v>
          </cell>
          <cell r="S11">
            <v>1</v>
          </cell>
          <cell r="T11">
            <v>98</v>
          </cell>
          <cell r="U11">
            <v>0</v>
          </cell>
          <cell r="V11">
            <v>0</v>
          </cell>
          <cell r="W11">
            <v>4</v>
          </cell>
          <cell r="X11">
            <v>409</v>
          </cell>
          <cell r="Y11">
            <v>3</v>
          </cell>
          <cell r="Z11">
            <v>236</v>
          </cell>
          <cell r="AA11">
            <v>7</v>
          </cell>
          <cell r="AB11">
            <v>645</v>
          </cell>
          <cell r="AC11">
            <v>3</v>
          </cell>
          <cell r="AD11">
            <v>243</v>
          </cell>
          <cell r="AE11">
            <v>0</v>
          </cell>
          <cell r="AF11">
            <v>0</v>
          </cell>
          <cell r="AG11">
            <v>0</v>
          </cell>
          <cell r="AH11">
            <v>0</v>
          </cell>
          <cell r="AI11">
            <v>0</v>
          </cell>
          <cell r="AJ11">
            <v>0</v>
          </cell>
          <cell r="AK11">
            <v>1</v>
          </cell>
          <cell r="AL11">
            <v>80</v>
          </cell>
          <cell r="AM11">
            <v>1</v>
          </cell>
          <cell r="AN11">
            <v>63</v>
          </cell>
          <cell r="AO11">
            <v>2</v>
          </cell>
          <cell r="AP11">
            <v>163</v>
          </cell>
          <cell r="AQ11">
            <v>3</v>
          </cell>
          <cell r="AR11">
            <v>226</v>
          </cell>
          <cell r="AS11">
            <v>0</v>
          </cell>
          <cell r="AT11">
            <v>0</v>
          </cell>
          <cell r="AU11">
            <v>1</v>
          </cell>
          <cell r="AV11">
            <v>121</v>
          </cell>
          <cell r="AW11">
            <v>0</v>
          </cell>
          <cell r="AX11">
            <v>0</v>
          </cell>
          <cell r="AY11">
            <v>1</v>
          </cell>
          <cell r="AZ11">
            <v>121</v>
          </cell>
          <cell r="BA11">
            <v>0</v>
          </cell>
          <cell r="BB11">
            <v>0</v>
          </cell>
          <cell r="BC11">
            <v>0</v>
          </cell>
          <cell r="BD11">
            <v>0</v>
          </cell>
          <cell r="BE11">
            <v>5</v>
          </cell>
          <cell r="BF11">
            <v>928</v>
          </cell>
          <cell r="BG11">
            <v>5</v>
          </cell>
          <cell r="BH11">
            <v>928</v>
          </cell>
          <cell r="BI11">
            <v>3</v>
          </cell>
          <cell r="BJ11">
            <v>424</v>
          </cell>
          <cell r="BK11">
            <v>3</v>
          </cell>
          <cell r="BL11">
            <v>533</v>
          </cell>
          <cell r="BM11">
            <v>1</v>
          </cell>
          <cell r="BN11">
            <v>162</v>
          </cell>
          <cell r="BO11">
            <v>4</v>
          </cell>
          <cell r="BP11">
            <v>695</v>
          </cell>
          <cell r="BQ11">
            <v>1</v>
          </cell>
          <cell r="BR11">
            <v>90</v>
          </cell>
          <cell r="BS11">
            <v>0</v>
          </cell>
          <cell r="BT11">
            <v>0</v>
          </cell>
          <cell r="BU11">
            <v>1</v>
          </cell>
          <cell r="BV11">
            <v>112</v>
          </cell>
          <cell r="BW11">
            <v>1</v>
          </cell>
          <cell r="BX11">
            <v>112</v>
          </cell>
          <cell r="BY11">
            <v>1</v>
          </cell>
          <cell r="BZ11">
            <v>128</v>
          </cell>
          <cell r="CA11">
            <v>0</v>
          </cell>
          <cell r="CB11">
            <v>0</v>
          </cell>
          <cell r="CC11">
            <v>0</v>
          </cell>
          <cell r="CD11">
            <v>0</v>
          </cell>
          <cell r="CE11">
            <v>0</v>
          </cell>
          <cell r="CF11">
            <v>0</v>
          </cell>
          <cell r="CG11">
            <v>0</v>
          </cell>
          <cell r="CH11">
            <v>0</v>
          </cell>
          <cell r="CI11">
            <v>1</v>
          </cell>
          <cell r="CJ11">
            <v>62</v>
          </cell>
          <cell r="CK11">
            <v>1</v>
          </cell>
          <cell r="CL11">
            <v>90</v>
          </cell>
          <cell r="CM11">
            <v>2</v>
          </cell>
          <cell r="CN11">
            <v>152</v>
          </cell>
          <cell r="CO11">
            <v>1</v>
          </cell>
          <cell r="CP11">
            <v>82</v>
          </cell>
          <cell r="CQ11">
            <v>0</v>
          </cell>
          <cell r="CR11">
            <v>0</v>
          </cell>
          <cell r="CS11">
            <v>0</v>
          </cell>
          <cell r="CT11">
            <v>0</v>
          </cell>
          <cell r="CU11">
            <v>0</v>
          </cell>
          <cell r="CV11">
            <v>0</v>
          </cell>
          <cell r="CW11">
            <v>0</v>
          </cell>
          <cell r="CX11">
            <v>0</v>
          </cell>
        </row>
        <row r="12">
          <cell r="B12" t="str">
            <v>Houston, TX</v>
          </cell>
          <cell r="C12">
            <v>11</v>
          </cell>
          <cell r="D12">
            <v>1041</v>
          </cell>
          <cell r="E12">
            <v>14</v>
          </cell>
          <cell r="F12">
            <v>800</v>
          </cell>
          <cell r="G12">
            <v>11</v>
          </cell>
          <cell r="H12">
            <v>605</v>
          </cell>
          <cell r="I12">
            <v>13</v>
          </cell>
          <cell r="J12">
            <v>1453</v>
          </cell>
          <cell r="K12">
            <v>9</v>
          </cell>
          <cell r="L12">
            <v>816</v>
          </cell>
          <cell r="M12">
            <v>12</v>
          </cell>
          <cell r="N12">
            <v>1125</v>
          </cell>
          <cell r="O12">
            <v>5</v>
          </cell>
          <cell r="P12">
            <v>503</v>
          </cell>
          <cell r="Q12">
            <v>1</v>
          </cell>
          <cell r="R12">
            <v>286</v>
          </cell>
          <cell r="S12">
            <v>2</v>
          </cell>
          <cell r="T12">
            <v>123</v>
          </cell>
          <cell r="U12">
            <v>0</v>
          </cell>
          <cell r="V12">
            <v>0</v>
          </cell>
          <cell r="W12">
            <v>5</v>
          </cell>
          <cell r="X12">
            <v>631</v>
          </cell>
          <cell r="Y12">
            <v>2</v>
          </cell>
          <cell r="Z12">
            <v>165</v>
          </cell>
          <cell r="AA12">
            <v>7</v>
          </cell>
          <cell r="AB12">
            <v>796</v>
          </cell>
          <cell r="AC12">
            <v>1</v>
          </cell>
          <cell r="AD12">
            <v>59</v>
          </cell>
          <cell r="AE12">
            <v>5</v>
          </cell>
          <cell r="AF12">
            <v>260</v>
          </cell>
          <cell r="AG12">
            <v>2</v>
          </cell>
          <cell r="AH12">
            <v>105</v>
          </cell>
          <cell r="AI12">
            <v>7</v>
          </cell>
          <cell r="AJ12">
            <v>365</v>
          </cell>
          <cell r="AK12">
            <v>2</v>
          </cell>
          <cell r="AL12">
            <v>225</v>
          </cell>
          <cell r="AM12">
            <v>0</v>
          </cell>
          <cell r="AN12">
            <v>0</v>
          </cell>
          <cell r="AO12">
            <v>3</v>
          </cell>
          <cell r="AP12">
            <v>329</v>
          </cell>
          <cell r="AQ12">
            <v>3</v>
          </cell>
          <cell r="AR12">
            <v>329</v>
          </cell>
          <cell r="AS12">
            <v>2</v>
          </cell>
          <cell r="AT12">
            <v>136</v>
          </cell>
          <cell r="AU12">
            <v>0</v>
          </cell>
          <cell r="AV12">
            <v>0</v>
          </cell>
          <cell r="AW12">
            <v>0</v>
          </cell>
          <cell r="AX12">
            <v>0</v>
          </cell>
          <cell r="AY12">
            <v>0</v>
          </cell>
          <cell r="AZ12">
            <v>0</v>
          </cell>
          <cell r="BA12">
            <v>0</v>
          </cell>
          <cell r="BB12">
            <v>0</v>
          </cell>
          <cell r="BC12">
            <v>4</v>
          </cell>
          <cell r="BD12">
            <v>460</v>
          </cell>
          <cell r="BE12">
            <v>2</v>
          </cell>
          <cell r="BF12">
            <v>277</v>
          </cell>
          <cell r="BG12">
            <v>6</v>
          </cell>
          <cell r="BH12">
            <v>737</v>
          </cell>
          <cell r="BI12">
            <v>2</v>
          </cell>
          <cell r="BJ12">
            <v>249</v>
          </cell>
          <cell r="BK12">
            <v>6</v>
          </cell>
          <cell r="BL12">
            <v>1059</v>
          </cell>
          <cell r="BM12">
            <v>1</v>
          </cell>
          <cell r="BN12">
            <v>90</v>
          </cell>
          <cell r="BO12">
            <v>7</v>
          </cell>
          <cell r="BP12">
            <v>1149</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3</v>
          </cell>
          <cell r="CJ12">
            <v>245</v>
          </cell>
          <cell r="CK12">
            <v>0</v>
          </cell>
          <cell r="CL12">
            <v>0</v>
          </cell>
          <cell r="CM12">
            <v>3</v>
          </cell>
          <cell r="CN12">
            <v>245</v>
          </cell>
          <cell r="CO12">
            <v>5</v>
          </cell>
          <cell r="CP12">
            <v>390</v>
          </cell>
          <cell r="CQ12">
            <v>0</v>
          </cell>
          <cell r="CR12">
            <v>0</v>
          </cell>
          <cell r="CS12">
            <v>0</v>
          </cell>
          <cell r="CT12">
            <v>0</v>
          </cell>
          <cell r="CU12">
            <v>0</v>
          </cell>
          <cell r="CV12">
            <v>0</v>
          </cell>
          <cell r="CW12">
            <v>0</v>
          </cell>
          <cell r="CX12">
            <v>0</v>
          </cell>
        </row>
        <row r="13">
          <cell r="B13" t="str">
            <v>Los Angeles, CA</v>
          </cell>
          <cell r="C13">
            <v>0</v>
          </cell>
          <cell r="D13">
            <v>0</v>
          </cell>
          <cell r="E13">
            <v>2</v>
          </cell>
          <cell r="F13">
            <v>115</v>
          </cell>
          <cell r="G13">
            <v>1</v>
          </cell>
          <cell r="H13">
            <v>101</v>
          </cell>
          <cell r="I13">
            <v>10</v>
          </cell>
          <cell r="J13">
            <v>1203</v>
          </cell>
          <cell r="K13">
            <v>2</v>
          </cell>
          <cell r="L13">
            <v>286</v>
          </cell>
          <cell r="M13">
            <v>3</v>
          </cell>
          <cell r="N13">
            <v>242</v>
          </cell>
          <cell r="O13">
            <v>0</v>
          </cell>
          <cell r="P13">
            <v>0</v>
          </cell>
          <cell r="Q13">
            <v>0</v>
          </cell>
          <cell r="R13">
            <v>0</v>
          </cell>
          <cell r="S13">
            <v>0</v>
          </cell>
          <cell r="T13">
            <v>0</v>
          </cell>
          <cell r="U13">
            <v>0</v>
          </cell>
          <cell r="V13">
            <v>0</v>
          </cell>
          <cell r="W13">
            <v>3</v>
          </cell>
          <cell r="X13">
            <v>334</v>
          </cell>
          <cell r="Y13">
            <v>1</v>
          </cell>
          <cell r="Z13">
            <v>95</v>
          </cell>
          <cell r="AA13">
            <v>4</v>
          </cell>
          <cell r="AB13">
            <v>429</v>
          </cell>
          <cell r="AC13">
            <v>0</v>
          </cell>
          <cell r="AD13">
            <v>0</v>
          </cell>
          <cell r="AE13">
            <v>0</v>
          </cell>
          <cell r="AF13">
            <v>0</v>
          </cell>
          <cell r="AG13">
            <v>0</v>
          </cell>
          <cell r="AH13">
            <v>0</v>
          </cell>
          <cell r="AI13">
            <v>0</v>
          </cell>
          <cell r="AJ13">
            <v>0</v>
          </cell>
          <cell r="AK13">
            <v>1</v>
          </cell>
          <cell r="AL13">
            <v>72</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1</v>
          </cell>
          <cell r="BF13">
            <v>71</v>
          </cell>
          <cell r="BG13">
            <v>1</v>
          </cell>
          <cell r="BH13">
            <v>71</v>
          </cell>
          <cell r="BI13">
            <v>3</v>
          </cell>
          <cell r="BJ13">
            <v>393</v>
          </cell>
          <cell r="BK13">
            <v>4</v>
          </cell>
          <cell r="BL13">
            <v>634</v>
          </cell>
          <cell r="BM13">
            <v>6</v>
          </cell>
          <cell r="BN13">
            <v>1580</v>
          </cell>
          <cell r="BO13">
            <v>10</v>
          </cell>
          <cell r="BP13">
            <v>2214</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1</v>
          </cell>
          <cell r="CH13">
            <v>250</v>
          </cell>
          <cell r="CI13">
            <v>1</v>
          </cell>
          <cell r="CJ13">
            <v>53</v>
          </cell>
          <cell r="CK13">
            <v>1</v>
          </cell>
          <cell r="CL13">
            <v>50</v>
          </cell>
          <cell r="CM13">
            <v>2</v>
          </cell>
          <cell r="CN13">
            <v>103</v>
          </cell>
          <cell r="CO13">
            <v>2</v>
          </cell>
          <cell r="CP13">
            <v>209</v>
          </cell>
          <cell r="CQ13">
            <v>0</v>
          </cell>
          <cell r="CR13">
            <v>0</v>
          </cell>
          <cell r="CS13">
            <v>0</v>
          </cell>
          <cell r="CT13">
            <v>0</v>
          </cell>
          <cell r="CU13">
            <v>0</v>
          </cell>
          <cell r="CV13">
            <v>0</v>
          </cell>
          <cell r="CW13">
            <v>0</v>
          </cell>
          <cell r="CX13">
            <v>0</v>
          </cell>
        </row>
        <row r="14">
          <cell r="B14" t="str">
            <v>Miami, FL</v>
          </cell>
          <cell r="C14">
            <v>4</v>
          </cell>
          <cell r="D14">
            <v>436</v>
          </cell>
          <cell r="E14">
            <v>1</v>
          </cell>
          <cell r="F14">
            <v>88</v>
          </cell>
          <cell r="G14">
            <v>3</v>
          </cell>
          <cell r="H14">
            <v>344</v>
          </cell>
          <cell r="I14">
            <v>0</v>
          </cell>
          <cell r="J14">
            <v>0</v>
          </cell>
          <cell r="K14">
            <v>1</v>
          </cell>
          <cell r="L14">
            <v>121</v>
          </cell>
          <cell r="M14">
            <v>4</v>
          </cell>
          <cell r="N14">
            <v>496</v>
          </cell>
          <cell r="O14">
            <v>0</v>
          </cell>
          <cell r="P14">
            <v>0</v>
          </cell>
          <cell r="Q14">
            <v>0</v>
          </cell>
          <cell r="R14">
            <v>0</v>
          </cell>
          <cell r="S14">
            <v>0</v>
          </cell>
          <cell r="T14">
            <v>0</v>
          </cell>
          <cell r="U14">
            <v>1</v>
          </cell>
          <cell r="V14">
            <v>157</v>
          </cell>
          <cell r="W14">
            <v>1</v>
          </cell>
          <cell r="X14">
            <v>422</v>
          </cell>
          <cell r="Y14">
            <v>0</v>
          </cell>
          <cell r="Z14">
            <v>0</v>
          </cell>
          <cell r="AA14">
            <v>1</v>
          </cell>
          <cell r="AB14">
            <v>422</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2</v>
          </cell>
          <cell r="AX14">
            <v>221</v>
          </cell>
          <cell r="AY14">
            <v>2</v>
          </cell>
          <cell r="AZ14">
            <v>221</v>
          </cell>
          <cell r="BA14">
            <v>0</v>
          </cell>
          <cell r="BB14">
            <v>0</v>
          </cell>
          <cell r="BC14">
            <v>3</v>
          </cell>
          <cell r="BD14">
            <v>430</v>
          </cell>
          <cell r="BE14">
            <v>0</v>
          </cell>
          <cell r="BF14">
            <v>0</v>
          </cell>
          <cell r="BG14">
            <v>3</v>
          </cell>
          <cell r="BH14">
            <v>430</v>
          </cell>
          <cell r="BI14">
            <v>0</v>
          </cell>
          <cell r="BJ14">
            <v>0</v>
          </cell>
          <cell r="BK14">
            <v>6</v>
          </cell>
          <cell r="BL14">
            <v>1689</v>
          </cell>
          <cell r="BM14">
            <v>3</v>
          </cell>
          <cell r="BN14">
            <v>411</v>
          </cell>
          <cell r="BO14">
            <v>9</v>
          </cell>
          <cell r="BP14">
            <v>2100</v>
          </cell>
          <cell r="BQ14">
            <v>5</v>
          </cell>
          <cell r="BR14">
            <v>790</v>
          </cell>
          <cell r="BS14">
            <v>0</v>
          </cell>
          <cell r="BT14">
            <v>0</v>
          </cell>
          <cell r="BU14">
            <v>0</v>
          </cell>
          <cell r="BV14">
            <v>0</v>
          </cell>
          <cell r="BW14">
            <v>0</v>
          </cell>
          <cell r="BX14">
            <v>0</v>
          </cell>
          <cell r="BY14">
            <v>2</v>
          </cell>
          <cell r="BZ14">
            <v>208</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2</v>
          </cell>
          <cell r="CP14">
            <v>183</v>
          </cell>
          <cell r="CQ14">
            <v>0</v>
          </cell>
          <cell r="CR14">
            <v>0</v>
          </cell>
          <cell r="CS14">
            <v>0</v>
          </cell>
          <cell r="CT14">
            <v>0</v>
          </cell>
          <cell r="CU14">
            <v>0</v>
          </cell>
          <cell r="CV14">
            <v>0</v>
          </cell>
          <cell r="CW14">
            <v>0</v>
          </cell>
          <cell r="CX14">
            <v>0</v>
          </cell>
        </row>
        <row r="15">
          <cell r="B15" t="str">
            <v>Minneapolis, MN</v>
          </cell>
          <cell r="C15">
            <v>6</v>
          </cell>
          <cell r="D15">
            <v>576</v>
          </cell>
          <cell r="E15">
            <v>2</v>
          </cell>
          <cell r="F15">
            <v>164</v>
          </cell>
          <cell r="G15">
            <v>5</v>
          </cell>
          <cell r="H15">
            <v>438</v>
          </cell>
          <cell r="I15">
            <v>6</v>
          </cell>
          <cell r="J15">
            <v>624</v>
          </cell>
          <cell r="K15">
            <v>6</v>
          </cell>
          <cell r="L15">
            <v>670</v>
          </cell>
          <cell r="M15">
            <v>9</v>
          </cell>
          <cell r="N15">
            <v>911</v>
          </cell>
          <cell r="O15">
            <v>2</v>
          </cell>
          <cell r="P15">
            <v>271</v>
          </cell>
          <cell r="Q15">
            <v>0</v>
          </cell>
          <cell r="R15">
            <v>0</v>
          </cell>
          <cell r="S15">
            <v>2</v>
          </cell>
          <cell r="T15">
            <v>157</v>
          </cell>
          <cell r="U15">
            <v>0</v>
          </cell>
          <cell r="V15">
            <v>0</v>
          </cell>
          <cell r="W15">
            <v>3</v>
          </cell>
          <cell r="X15">
            <v>264</v>
          </cell>
          <cell r="Y15">
            <v>0</v>
          </cell>
          <cell r="Z15">
            <v>0</v>
          </cell>
          <cell r="AA15">
            <v>3</v>
          </cell>
          <cell r="AB15">
            <v>264</v>
          </cell>
          <cell r="AC15">
            <v>1</v>
          </cell>
          <cell r="AD15">
            <v>140</v>
          </cell>
          <cell r="AE15">
            <v>0</v>
          </cell>
          <cell r="AF15">
            <v>0</v>
          </cell>
          <cell r="AG15">
            <v>0</v>
          </cell>
          <cell r="AH15">
            <v>0</v>
          </cell>
          <cell r="AI15">
            <v>0</v>
          </cell>
          <cell r="AJ15">
            <v>0</v>
          </cell>
          <cell r="AK15">
            <v>2</v>
          </cell>
          <cell r="AL15">
            <v>206</v>
          </cell>
          <cell r="AM15">
            <v>0</v>
          </cell>
          <cell r="AN15">
            <v>0</v>
          </cell>
          <cell r="AO15">
            <v>1</v>
          </cell>
          <cell r="AP15">
            <v>130</v>
          </cell>
          <cell r="AQ15">
            <v>1</v>
          </cell>
          <cell r="AR15">
            <v>130</v>
          </cell>
          <cell r="AS15">
            <v>1</v>
          </cell>
          <cell r="AT15">
            <v>156</v>
          </cell>
          <cell r="AU15">
            <v>0</v>
          </cell>
          <cell r="AV15">
            <v>0</v>
          </cell>
          <cell r="AW15">
            <v>0</v>
          </cell>
          <cell r="AX15">
            <v>0</v>
          </cell>
          <cell r="AY15">
            <v>0</v>
          </cell>
          <cell r="AZ15">
            <v>0</v>
          </cell>
          <cell r="BA15">
            <v>0</v>
          </cell>
          <cell r="BB15">
            <v>0</v>
          </cell>
          <cell r="BC15">
            <v>0</v>
          </cell>
          <cell r="BD15">
            <v>0</v>
          </cell>
          <cell r="BE15">
            <v>1</v>
          </cell>
          <cell r="BF15">
            <v>150</v>
          </cell>
          <cell r="BG15">
            <v>1</v>
          </cell>
          <cell r="BH15">
            <v>150</v>
          </cell>
          <cell r="BI15">
            <v>0</v>
          </cell>
          <cell r="BJ15">
            <v>0</v>
          </cell>
          <cell r="BK15">
            <v>4</v>
          </cell>
          <cell r="BL15">
            <v>621</v>
          </cell>
          <cell r="BM15">
            <v>3</v>
          </cell>
          <cell r="BN15">
            <v>493</v>
          </cell>
          <cell r="BO15">
            <v>7</v>
          </cell>
          <cell r="BP15">
            <v>1114</v>
          </cell>
          <cell r="BQ15">
            <v>2</v>
          </cell>
          <cell r="BR15">
            <v>228</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1</v>
          </cell>
          <cell r="CJ15">
            <v>59</v>
          </cell>
          <cell r="CK15">
            <v>1</v>
          </cell>
          <cell r="CL15">
            <v>83</v>
          </cell>
          <cell r="CM15">
            <v>2</v>
          </cell>
          <cell r="CN15">
            <v>142</v>
          </cell>
          <cell r="CO15">
            <v>4</v>
          </cell>
          <cell r="CP15">
            <v>283</v>
          </cell>
          <cell r="CQ15">
            <v>0</v>
          </cell>
          <cell r="CR15">
            <v>0</v>
          </cell>
          <cell r="CS15">
            <v>0</v>
          </cell>
          <cell r="CT15">
            <v>0</v>
          </cell>
          <cell r="CU15">
            <v>0</v>
          </cell>
          <cell r="CV15">
            <v>0</v>
          </cell>
          <cell r="CW15">
            <v>0</v>
          </cell>
          <cell r="CX15">
            <v>0</v>
          </cell>
        </row>
        <row r="16">
          <cell r="B16" t="str">
            <v>Nashville, TN</v>
          </cell>
          <cell r="C16">
            <v>1</v>
          </cell>
          <cell r="D16">
            <v>64</v>
          </cell>
          <cell r="E16">
            <v>8</v>
          </cell>
          <cell r="F16">
            <v>513</v>
          </cell>
          <cell r="G16">
            <v>8</v>
          </cell>
          <cell r="H16">
            <v>548</v>
          </cell>
          <cell r="I16">
            <v>2</v>
          </cell>
          <cell r="J16">
            <v>231</v>
          </cell>
          <cell r="K16">
            <v>6</v>
          </cell>
          <cell r="L16">
            <v>586</v>
          </cell>
          <cell r="M16">
            <v>3</v>
          </cell>
          <cell r="N16">
            <v>640</v>
          </cell>
          <cell r="O16">
            <v>1</v>
          </cell>
          <cell r="P16">
            <v>128</v>
          </cell>
          <cell r="Q16">
            <v>0</v>
          </cell>
          <cell r="R16">
            <v>0</v>
          </cell>
          <cell r="S16">
            <v>1</v>
          </cell>
          <cell r="T16">
            <v>44</v>
          </cell>
          <cell r="U16">
            <v>0</v>
          </cell>
          <cell r="V16">
            <v>0</v>
          </cell>
          <cell r="W16">
            <v>0</v>
          </cell>
          <cell r="X16">
            <v>0</v>
          </cell>
          <cell r="Y16">
            <v>1</v>
          </cell>
          <cell r="Z16">
            <v>72</v>
          </cell>
          <cell r="AA16">
            <v>1</v>
          </cell>
          <cell r="AB16">
            <v>72</v>
          </cell>
          <cell r="AC16">
            <v>0</v>
          </cell>
          <cell r="AD16">
            <v>0</v>
          </cell>
          <cell r="AE16">
            <v>0</v>
          </cell>
          <cell r="AF16">
            <v>0</v>
          </cell>
          <cell r="AG16">
            <v>1</v>
          </cell>
          <cell r="AH16">
            <v>101</v>
          </cell>
          <cell r="AI16">
            <v>1</v>
          </cell>
          <cell r="AJ16">
            <v>101</v>
          </cell>
          <cell r="AK16">
            <v>0</v>
          </cell>
          <cell r="AL16">
            <v>0</v>
          </cell>
          <cell r="AM16">
            <v>1</v>
          </cell>
          <cell r="AN16">
            <v>80</v>
          </cell>
          <cell r="AO16">
            <v>1</v>
          </cell>
          <cell r="AP16">
            <v>48</v>
          </cell>
          <cell r="AQ16">
            <v>2</v>
          </cell>
          <cell r="AR16">
            <v>128</v>
          </cell>
          <cell r="AS16">
            <v>1</v>
          </cell>
          <cell r="AT16">
            <v>81</v>
          </cell>
          <cell r="AU16">
            <v>0</v>
          </cell>
          <cell r="AV16">
            <v>0</v>
          </cell>
          <cell r="AW16">
            <v>0</v>
          </cell>
          <cell r="AX16">
            <v>0</v>
          </cell>
          <cell r="AY16">
            <v>0</v>
          </cell>
          <cell r="AZ16">
            <v>0</v>
          </cell>
          <cell r="BA16">
            <v>0</v>
          </cell>
          <cell r="BB16">
            <v>0</v>
          </cell>
          <cell r="BC16">
            <v>4</v>
          </cell>
          <cell r="BD16">
            <v>847</v>
          </cell>
          <cell r="BE16">
            <v>0</v>
          </cell>
          <cell r="BF16">
            <v>0</v>
          </cell>
          <cell r="BG16">
            <v>4</v>
          </cell>
          <cell r="BH16">
            <v>847</v>
          </cell>
          <cell r="BI16">
            <v>1</v>
          </cell>
          <cell r="BJ16">
            <v>98</v>
          </cell>
          <cell r="BK16">
            <v>4</v>
          </cell>
          <cell r="BL16">
            <v>542</v>
          </cell>
          <cell r="BM16">
            <v>0</v>
          </cell>
          <cell r="BN16">
            <v>0</v>
          </cell>
          <cell r="BO16">
            <v>4</v>
          </cell>
          <cell r="BP16">
            <v>542</v>
          </cell>
          <cell r="BQ16">
            <v>0</v>
          </cell>
          <cell r="BR16">
            <v>0</v>
          </cell>
          <cell r="BS16">
            <v>1</v>
          </cell>
          <cell r="BT16">
            <v>84</v>
          </cell>
          <cell r="BU16">
            <v>0</v>
          </cell>
          <cell r="BV16">
            <v>0</v>
          </cell>
          <cell r="BW16">
            <v>1</v>
          </cell>
          <cell r="BX16">
            <v>84</v>
          </cell>
          <cell r="BY16">
            <v>0</v>
          </cell>
          <cell r="BZ16">
            <v>0</v>
          </cell>
          <cell r="CA16">
            <v>0</v>
          </cell>
          <cell r="CB16">
            <v>0</v>
          </cell>
          <cell r="CC16">
            <v>0</v>
          </cell>
          <cell r="CD16">
            <v>0</v>
          </cell>
          <cell r="CE16">
            <v>0</v>
          </cell>
          <cell r="CF16">
            <v>0</v>
          </cell>
          <cell r="CG16">
            <v>0</v>
          </cell>
          <cell r="CH16">
            <v>0</v>
          </cell>
          <cell r="CI16">
            <v>2</v>
          </cell>
          <cell r="CJ16">
            <v>160</v>
          </cell>
          <cell r="CK16">
            <v>0</v>
          </cell>
          <cell r="CL16">
            <v>0</v>
          </cell>
          <cell r="CM16">
            <v>2</v>
          </cell>
          <cell r="CN16">
            <v>160</v>
          </cell>
          <cell r="CO16">
            <v>2</v>
          </cell>
          <cell r="CP16">
            <v>150</v>
          </cell>
          <cell r="CQ16">
            <v>0</v>
          </cell>
          <cell r="CR16">
            <v>0</v>
          </cell>
          <cell r="CS16">
            <v>0</v>
          </cell>
          <cell r="CT16">
            <v>0</v>
          </cell>
          <cell r="CU16">
            <v>0</v>
          </cell>
          <cell r="CV16">
            <v>0</v>
          </cell>
          <cell r="CW16">
            <v>0</v>
          </cell>
          <cell r="CX16">
            <v>0</v>
          </cell>
        </row>
        <row r="17">
          <cell r="B17" t="str">
            <v>New Orleans, LA</v>
          </cell>
          <cell r="C17">
            <v>0</v>
          </cell>
          <cell r="D17">
            <v>0</v>
          </cell>
          <cell r="E17">
            <v>4</v>
          </cell>
          <cell r="F17">
            <v>394</v>
          </cell>
          <cell r="G17">
            <v>4</v>
          </cell>
          <cell r="H17">
            <v>413</v>
          </cell>
          <cell r="I17">
            <v>1</v>
          </cell>
          <cell r="J17">
            <v>104</v>
          </cell>
          <cell r="K17">
            <v>5</v>
          </cell>
          <cell r="L17">
            <v>650</v>
          </cell>
          <cell r="M17">
            <v>7</v>
          </cell>
          <cell r="N17">
            <v>1027</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1</v>
          </cell>
          <cell r="AD17">
            <v>120</v>
          </cell>
          <cell r="AE17">
            <v>0</v>
          </cell>
          <cell r="AF17">
            <v>0</v>
          </cell>
          <cell r="AG17">
            <v>1</v>
          </cell>
          <cell r="AH17">
            <v>60</v>
          </cell>
          <cell r="AI17">
            <v>1</v>
          </cell>
          <cell r="AJ17">
            <v>60</v>
          </cell>
          <cell r="AK17">
            <v>3</v>
          </cell>
          <cell r="AL17">
            <v>310</v>
          </cell>
          <cell r="AM17">
            <v>1</v>
          </cell>
          <cell r="AN17">
            <v>169</v>
          </cell>
          <cell r="AO17">
            <v>1</v>
          </cell>
          <cell r="AP17">
            <v>95</v>
          </cell>
          <cell r="AQ17">
            <v>2</v>
          </cell>
          <cell r="AR17">
            <v>264</v>
          </cell>
          <cell r="AS17">
            <v>1</v>
          </cell>
          <cell r="AT17">
            <v>51</v>
          </cell>
          <cell r="AU17">
            <v>0</v>
          </cell>
          <cell r="AV17">
            <v>0</v>
          </cell>
          <cell r="AW17">
            <v>0</v>
          </cell>
          <cell r="AX17">
            <v>0</v>
          </cell>
          <cell r="AY17">
            <v>0</v>
          </cell>
          <cell r="AZ17">
            <v>0</v>
          </cell>
          <cell r="BA17">
            <v>0</v>
          </cell>
          <cell r="BB17">
            <v>0</v>
          </cell>
          <cell r="BC17">
            <v>4</v>
          </cell>
          <cell r="BD17">
            <v>702</v>
          </cell>
          <cell r="BE17">
            <v>3</v>
          </cell>
          <cell r="BF17">
            <v>381</v>
          </cell>
          <cell r="BG17">
            <v>7</v>
          </cell>
          <cell r="BH17">
            <v>1083</v>
          </cell>
          <cell r="BI17">
            <v>1</v>
          </cell>
          <cell r="BJ17">
            <v>175</v>
          </cell>
          <cell r="BK17">
            <v>3</v>
          </cell>
          <cell r="BL17">
            <v>943</v>
          </cell>
          <cell r="BM17">
            <v>0</v>
          </cell>
          <cell r="BN17">
            <v>0</v>
          </cell>
          <cell r="BO17">
            <v>3</v>
          </cell>
          <cell r="BP17">
            <v>943</v>
          </cell>
          <cell r="BQ17">
            <v>3</v>
          </cell>
          <cell r="BR17">
            <v>1118</v>
          </cell>
          <cell r="BS17">
            <v>0</v>
          </cell>
          <cell r="BT17">
            <v>0</v>
          </cell>
          <cell r="BU17">
            <v>0</v>
          </cell>
          <cell r="BV17">
            <v>0</v>
          </cell>
          <cell r="BW17">
            <v>0</v>
          </cell>
          <cell r="BX17">
            <v>0</v>
          </cell>
          <cell r="BY17">
            <v>0</v>
          </cell>
          <cell r="BZ17">
            <v>0</v>
          </cell>
          <cell r="CA17">
            <v>0</v>
          </cell>
          <cell r="CB17">
            <v>0</v>
          </cell>
          <cell r="CC17">
            <v>1</v>
          </cell>
          <cell r="CD17">
            <v>322</v>
          </cell>
          <cell r="CE17">
            <v>1</v>
          </cell>
          <cell r="CF17">
            <v>322</v>
          </cell>
          <cell r="CG17">
            <v>0</v>
          </cell>
          <cell r="CH17">
            <v>0</v>
          </cell>
          <cell r="CI17">
            <v>0</v>
          </cell>
          <cell r="CJ17">
            <v>0</v>
          </cell>
          <cell r="CK17">
            <v>0</v>
          </cell>
          <cell r="CL17">
            <v>0</v>
          </cell>
          <cell r="CM17">
            <v>0</v>
          </cell>
          <cell r="CN17">
            <v>0</v>
          </cell>
          <cell r="CO17">
            <v>1</v>
          </cell>
          <cell r="CP17">
            <v>110</v>
          </cell>
          <cell r="CQ17">
            <v>0</v>
          </cell>
          <cell r="CR17">
            <v>0</v>
          </cell>
          <cell r="CS17">
            <v>0</v>
          </cell>
          <cell r="CT17">
            <v>0</v>
          </cell>
          <cell r="CU17">
            <v>0</v>
          </cell>
          <cell r="CV17">
            <v>0</v>
          </cell>
          <cell r="CW17">
            <v>0</v>
          </cell>
          <cell r="CX17">
            <v>0</v>
          </cell>
        </row>
        <row r="18">
          <cell r="B18" t="str">
            <v>New York, NY</v>
          </cell>
          <cell r="C18">
            <v>2</v>
          </cell>
          <cell r="D18">
            <v>670</v>
          </cell>
          <cell r="E18">
            <v>0</v>
          </cell>
          <cell r="F18">
            <v>0</v>
          </cell>
          <cell r="G18">
            <v>3</v>
          </cell>
          <cell r="H18">
            <v>179</v>
          </cell>
          <cell r="I18">
            <v>0</v>
          </cell>
          <cell r="J18">
            <v>0</v>
          </cell>
          <cell r="K18">
            <v>2</v>
          </cell>
          <cell r="L18">
            <v>907</v>
          </cell>
          <cell r="M18">
            <v>4</v>
          </cell>
          <cell r="N18">
            <v>1051</v>
          </cell>
          <cell r="O18">
            <v>0</v>
          </cell>
          <cell r="P18">
            <v>0</v>
          </cell>
          <cell r="Q18">
            <v>1</v>
          </cell>
          <cell r="R18">
            <v>185</v>
          </cell>
          <cell r="S18">
            <v>0</v>
          </cell>
          <cell r="T18">
            <v>0</v>
          </cell>
          <cell r="U18">
            <v>1</v>
          </cell>
          <cell r="V18">
            <v>160</v>
          </cell>
          <cell r="W18">
            <v>1</v>
          </cell>
          <cell r="X18">
            <v>297</v>
          </cell>
          <cell r="Y18">
            <v>0</v>
          </cell>
          <cell r="Z18">
            <v>0</v>
          </cell>
          <cell r="AA18">
            <v>1</v>
          </cell>
          <cell r="AB18">
            <v>297</v>
          </cell>
          <cell r="AC18">
            <v>1</v>
          </cell>
          <cell r="AD18">
            <v>90</v>
          </cell>
          <cell r="AE18">
            <v>0</v>
          </cell>
          <cell r="AF18">
            <v>0</v>
          </cell>
          <cell r="AG18">
            <v>0</v>
          </cell>
          <cell r="AH18">
            <v>0</v>
          </cell>
          <cell r="AI18">
            <v>0</v>
          </cell>
          <cell r="AJ18">
            <v>0</v>
          </cell>
          <cell r="AK18">
            <v>1</v>
          </cell>
          <cell r="AL18">
            <v>217</v>
          </cell>
          <cell r="AM18">
            <v>0</v>
          </cell>
          <cell r="AN18">
            <v>0</v>
          </cell>
          <cell r="AO18">
            <v>0</v>
          </cell>
          <cell r="AP18">
            <v>0</v>
          </cell>
          <cell r="AQ18">
            <v>0</v>
          </cell>
          <cell r="AR18">
            <v>0</v>
          </cell>
          <cell r="AS18">
            <v>0</v>
          </cell>
          <cell r="AT18">
            <v>0</v>
          </cell>
          <cell r="AU18">
            <v>1</v>
          </cell>
          <cell r="AV18">
            <v>138</v>
          </cell>
          <cell r="AW18">
            <v>0</v>
          </cell>
          <cell r="AX18">
            <v>0</v>
          </cell>
          <cell r="AY18">
            <v>1</v>
          </cell>
          <cell r="AZ18">
            <v>138</v>
          </cell>
          <cell r="BA18">
            <v>0</v>
          </cell>
          <cell r="BB18">
            <v>0</v>
          </cell>
          <cell r="BC18">
            <v>1</v>
          </cell>
          <cell r="BD18">
            <v>140</v>
          </cell>
          <cell r="BE18">
            <v>3</v>
          </cell>
          <cell r="BF18">
            <v>460</v>
          </cell>
          <cell r="BG18">
            <v>4</v>
          </cell>
          <cell r="BH18">
            <v>600</v>
          </cell>
          <cell r="BI18">
            <v>1</v>
          </cell>
          <cell r="BJ18">
            <v>297</v>
          </cell>
          <cell r="BK18">
            <v>2</v>
          </cell>
          <cell r="BL18">
            <v>480</v>
          </cell>
          <cell r="BM18">
            <v>1</v>
          </cell>
          <cell r="BN18">
            <v>140</v>
          </cell>
          <cell r="BO18">
            <v>3</v>
          </cell>
          <cell r="BP18">
            <v>620</v>
          </cell>
          <cell r="BQ18">
            <v>4</v>
          </cell>
          <cell r="BR18">
            <v>583</v>
          </cell>
          <cell r="BS18">
            <v>0</v>
          </cell>
          <cell r="BT18">
            <v>0</v>
          </cell>
          <cell r="BU18">
            <v>0</v>
          </cell>
          <cell r="BV18">
            <v>0</v>
          </cell>
          <cell r="BW18">
            <v>0</v>
          </cell>
          <cell r="BX18">
            <v>0</v>
          </cell>
          <cell r="BY18">
            <v>0</v>
          </cell>
          <cell r="BZ18">
            <v>0</v>
          </cell>
          <cell r="CA18">
            <v>2</v>
          </cell>
          <cell r="CB18">
            <v>1130</v>
          </cell>
          <cell r="CC18">
            <v>0</v>
          </cell>
          <cell r="CD18">
            <v>0</v>
          </cell>
          <cell r="CE18">
            <v>2</v>
          </cell>
          <cell r="CF18">
            <v>1130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row>
        <row r="19">
          <cell r="B19" t="str">
            <v>Norfolk, VA</v>
          </cell>
          <cell r="C19">
            <v>0</v>
          </cell>
          <cell r="D19">
            <v>0</v>
          </cell>
          <cell r="E19">
            <v>2</v>
          </cell>
          <cell r="F19">
            <v>118</v>
          </cell>
          <cell r="G19">
            <v>2</v>
          </cell>
          <cell r="H19">
            <v>156</v>
          </cell>
          <cell r="I19">
            <v>1</v>
          </cell>
          <cell r="J19">
            <v>73</v>
          </cell>
          <cell r="K19">
            <v>4</v>
          </cell>
          <cell r="L19">
            <v>360</v>
          </cell>
          <cell r="M19">
            <v>10</v>
          </cell>
          <cell r="N19">
            <v>1069</v>
          </cell>
          <cell r="O19">
            <v>0</v>
          </cell>
          <cell r="P19">
            <v>0</v>
          </cell>
          <cell r="Q19">
            <v>0</v>
          </cell>
          <cell r="R19">
            <v>0</v>
          </cell>
          <cell r="S19">
            <v>2</v>
          </cell>
          <cell r="T19">
            <v>158</v>
          </cell>
          <cell r="U19">
            <v>0</v>
          </cell>
          <cell r="V19">
            <v>0</v>
          </cell>
          <cell r="W19">
            <v>1</v>
          </cell>
          <cell r="X19">
            <v>128</v>
          </cell>
          <cell r="Y19">
            <v>0</v>
          </cell>
          <cell r="Z19">
            <v>0</v>
          </cell>
          <cell r="AA19">
            <v>1</v>
          </cell>
          <cell r="AB19">
            <v>128</v>
          </cell>
          <cell r="AC19">
            <v>0</v>
          </cell>
          <cell r="AD19">
            <v>0</v>
          </cell>
          <cell r="AE19">
            <v>1</v>
          </cell>
          <cell r="AF19">
            <v>65</v>
          </cell>
          <cell r="AG19">
            <v>0</v>
          </cell>
          <cell r="AH19">
            <v>0</v>
          </cell>
          <cell r="AI19">
            <v>1</v>
          </cell>
          <cell r="AJ19">
            <v>65</v>
          </cell>
          <cell r="AK19">
            <v>2</v>
          </cell>
          <cell r="AL19">
            <v>200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1</v>
          </cell>
          <cell r="BF19">
            <v>150</v>
          </cell>
          <cell r="BG19">
            <v>1</v>
          </cell>
          <cell r="BH19">
            <v>150</v>
          </cell>
          <cell r="BI19">
            <v>0</v>
          </cell>
          <cell r="BJ19">
            <v>0</v>
          </cell>
          <cell r="BK19">
            <v>2</v>
          </cell>
          <cell r="BL19">
            <v>390</v>
          </cell>
          <cell r="BM19">
            <v>0</v>
          </cell>
          <cell r="BN19">
            <v>0</v>
          </cell>
          <cell r="BO19">
            <v>2</v>
          </cell>
          <cell r="BP19">
            <v>390</v>
          </cell>
          <cell r="BQ19">
            <v>1</v>
          </cell>
          <cell r="BR19">
            <v>300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1</v>
          </cell>
          <cell r="CP19">
            <v>65</v>
          </cell>
          <cell r="CQ19">
            <v>0</v>
          </cell>
          <cell r="CR19">
            <v>0</v>
          </cell>
          <cell r="CS19">
            <v>0</v>
          </cell>
          <cell r="CT19">
            <v>0</v>
          </cell>
          <cell r="CU19">
            <v>0</v>
          </cell>
          <cell r="CV19">
            <v>0</v>
          </cell>
          <cell r="CW19">
            <v>0</v>
          </cell>
          <cell r="CX19">
            <v>0</v>
          </cell>
        </row>
        <row r="20">
          <cell r="B20" t="str">
            <v>Oahu Island, HI</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1</v>
          </cell>
          <cell r="T20">
            <v>49</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1</v>
          </cell>
          <cell r="BD20">
            <v>453</v>
          </cell>
          <cell r="BE20">
            <v>0</v>
          </cell>
          <cell r="BF20">
            <v>0</v>
          </cell>
          <cell r="BG20">
            <v>1</v>
          </cell>
          <cell r="BH20">
            <v>453</v>
          </cell>
          <cell r="BI20">
            <v>0</v>
          </cell>
          <cell r="BJ20">
            <v>0</v>
          </cell>
          <cell r="BK20">
            <v>0</v>
          </cell>
          <cell r="BL20">
            <v>0</v>
          </cell>
          <cell r="BM20">
            <v>0</v>
          </cell>
          <cell r="BN20">
            <v>0</v>
          </cell>
          <cell r="BO20">
            <v>0</v>
          </cell>
          <cell r="BP20">
            <v>0</v>
          </cell>
          <cell r="BQ20">
            <v>1</v>
          </cell>
          <cell r="BR20">
            <v>299</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row>
        <row r="21">
          <cell r="B21" t="str">
            <v>Orlando, FL</v>
          </cell>
          <cell r="C21">
            <v>3</v>
          </cell>
          <cell r="D21">
            <v>1012</v>
          </cell>
          <cell r="E21">
            <v>1</v>
          </cell>
          <cell r="F21">
            <v>100</v>
          </cell>
          <cell r="G21">
            <v>8</v>
          </cell>
          <cell r="H21">
            <v>905</v>
          </cell>
          <cell r="I21">
            <v>7</v>
          </cell>
          <cell r="J21">
            <v>764</v>
          </cell>
          <cell r="K21">
            <v>13</v>
          </cell>
          <cell r="L21">
            <v>1863</v>
          </cell>
          <cell r="M21">
            <v>9</v>
          </cell>
          <cell r="N21">
            <v>1158</v>
          </cell>
          <cell r="O21">
            <v>4</v>
          </cell>
          <cell r="P21">
            <v>552</v>
          </cell>
          <cell r="Q21">
            <v>0</v>
          </cell>
          <cell r="R21">
            <v>0</v>
          </cell>
          <cell r="S21">
            <v>4</v>
          </cell>
          <cell r="T21">
            <v>528</v>
          </cell>
          <cell r="U21">
            <v>0</v>
          </cell>
          <cell r="V21">
            <v>0</v>
          </cell>
          <cell r="W21">
            <v>1</v>
          </cell>
          <cell r="X21">
            <v>150</v>
          </cell>
          <cell r="Y21">
            <v>3</v>
          </cell>
          <cell r="Z21">
            <v>625</v>
          </cell>
          <cell r="AA21">
            <v>4</v>
          </cell>
          <cell r="AB21">
            <v>775</v>
          </cell>
          <cell r="AC21">
            <v>2</v>
          </cell>
          <cell r="AD21">
            <v>220</v>
          </cell>
          <cell r="AE21">
            <v>1</v>
          </cell>
          <cell r="AF21">
            <v>82</v>
          </cell>
          <cell r="AG21">
            <v>2</v>
          </cell>
          <cell r="AH21">
            <v>200</v>
          </cell>
          <cell r="AI21">
            <v>3</v>
          </cell>
          <cell r="AJ21">
            <v>282</v>
          </cell>
          <cell r="AK21">
            <v>0</v>
          </cell>
          <cell r="AL21">
            <v>0</v>
          </cell>
          <cell r="AM21">
            <v>1</v>
          </cell>
          <cell r="AN21">
            <v>80</v>
          </cell>
          <cell r="AO21">
            <v>0</v>
          </cell>
          <cell r="AP21">
            <v>0</v>
          </cell>
          <cell r="AQ21">
            <v>1</v>
          </cell>
          <cell r="AR21">
            <v>80</v>
          </cell>
          <cell r="AS21">
            <v>1</v>
          </cell>
          <cell r="AT21">
            <v>78</v>
          </cell>
          <cell r="AU21">
            <v>0</v>
          </cell>
          <cell r="AV21">
            <v>0</v>
          </cell>
          <cell r="AW21">
            <v>0</v>
          </cell>
          <cell r="AX21">
            <v>0</v>
          </cell>
          <cell r="AY21">
            <v>0</v>
          </cell>
          <cell r="AZ21">
            <v>0</v>
          </cell>
          <cell r="BA21">
            <v>0</v>
          </cell>
          <cell r="BB21">
            <v>0</v>
          </cell>
          <cell r="BC21">
            <v>4</v>
          </cell>
          <cell r="BD21">
            <v>664</v>
          </cell>
          <cell r="BE21">
            <v>1</v>
          </cell>
          <cell r="BF21">
            <v>150</v>
          </cell>
          <cell r="BG21">
            <v>5</v>
          </cell>
          <cell r="BH21">
            <v>814</v>
          </cell>
          <cell r="BI21">
            <v>4</v>
          </cell>
          <cell r="BJ21">
            <v>580</v>
          </cell>
          <cell r="BK21">
            <v>5</v>
          </cell>
          <cell r="BL21">
            <v>1800</v>
          </cell>
          <cell r="BM21">
            <v>3</v>
          </cell>
          <cell r="BN21">
            <v>1889</v>
          </cell>
          <cell r="BO21">
            <v>8</v>
          </cell>
          <cell r="BP21">
            <v>3689</v>
          </cell>
          <cell r="BQ21">
            <v>3</v>
          </cell>
          <cell r="BR21">
            <v>619</v>
          </cell>
          <cell r="BS21">
            <v>2</v>
          </cell>
          <cell r="BT21">
            <v>302</v>
          </cell>
          <cell r="BU21">
            <v>0</v>
          </cell>
          <cell r="BV21">
            <v>0</v>
          </cell>
          <cell r="BW21">
            <v>2</v>
          </cell>
          <cell r="BX21">
            <v>302</v>
          </cell>
          <cell r="BY21">
            <v>0</v>
          </cell>
          <cell r="BZ21">
            <v>0</v>
          </cell>
          <cell r="CA21">
            <v>1</v>
          </cell>
          <cell r="CB21">
            <v>250</v>
          </cell>
          <cell r="CC21">
            <v>0</v>
          </cell>
          <cell r="CD21">
            <v>0</v>
          </cell>
          <cell r="CE21">
            <v>1</v>
          </cell>
          <cell r="CF21">
            <v>250</v>
          </cell>
          <cell r="CG21">
            <v>1</v>
          </cell>
          <cell r="CH21">
            <v>1200</v>
          </cell>
          <cell r="CI21">
            <v>0</v>
          </cell>
          <cell r="CJ21">
            <v>0</v>
          </cell>
          <cell r="CK21">
            <v>2</v>
          </cell>
          <cell r="CL21">
            <v>220</v>
          </cell>
          <cell r="CM21">
            <v>2</v>
          </cell>
          <cell r="CN21">
            <v>220</v>
          </cell>
          <cell r="CO21">
            <v>1</v>
          </cell>
          <cell r="CP21">
            <v>83</v>
          </cell>
          <cell r="CQ21">
            <v>0</v>
          </cell>
          <cell r="CR21">
            <v>0</v>
          </cell>
          <cell r="CS21">
            <v>0</v>
          </cell>
          <cell r="CT21">
            <v>0</v>
          </cell>
          <cell r="CU21">
            <v>0</v>
          </cell>
          <cell r="CV21">
            <v>0</v>
          </cell>
          <cell r="CW21">
            <v>0</v>
          </cell>
          <cell r="CX21">
            <v>0</v>
          </cell>
        </row>
        <row r="22">
          <cell r="B22" t="str">
            <v>Philadelphia, PA</v>
          </cell>
          <cell r="C22">
            <v>2</v>
          </cell>
          <cell r="D22">
            <v>160</v>
          </cell>
          <cell r="E22">
            <v>0</v>
          </cell>
          <cell r="F22">
            <v>0</v>
          </cell>
          <cell r="G22">
            <v>4</v>
          </cell>
          <cell r="H22">
            <v>247</v>
          </cell>
          <cell r="I22">
            <v>9</v>
          </cell>
          <cell r="J22">
            <v>894</v>
          </cell>
          <cell r="K22">
            <v>9</v>
          </cell>
          <cell r="L22">
            <v>1255</v>
          </cell>
          <cell r="M22">
            <v>9</v>
          </cell>
          <cell r="N22">
            <v>1713</v>
          </cell>
          <cell r="O22">
            <v>0</v>
          </cell>
          <cell r="P22">
            <v>0</v>
          </cell>
          <cell r="Q22">
            <v>1</v>
          </cell>
          <cell r="R22">
            <v>193</v>
          </cell>
          <cell r="S22">
            <v>3</v>
          </cell>
          <cell r="T22">
            <v>528</v>
          </cell>
          <cell r="U22">
            <v>1</v>
          </cell>
          <cell r="V22">
            <v>131</v>
          </cell>
          <cell r="W22">
            <v>2</v>
          </cell>
          <cell r="X22">
            <v>146</v>
          </cell>
          <cell r="Y22">
            <v>2</v>
          </cell>
          <cell r="Z22">
            <v>425</v>
          </cell>
          <cell r="AA22">
            <v>4</v>
          </cell>
          <cell r="AB22">
            <v>571</v>
          </cell>
          <cell r="AC22">
            <v>1</v>
          </cell>
          <cell r="AD22">
            <v>70</v>
          </cell>
          <cell r="AE22">
            <v>0</v>
          </cell>
          <cell r="AF22">
            <v>0</v>
          </cell>
          <cell r="AG22">
            <v>1</v>
          </cell>
          <cell r="AH22">
            <v>100</v>
          </cell>
          <cell r="AI22">
            <v>1</v>
          </cell>
          <cell r="AJ22">
            <v>100</v>
          </cell>
          <cell r="AK22">
            <v>4</v>
          </cell>
          <cell r="AL22">
            <v>272</v>
          </cell>
          <cell r="AM22">
            <v>2</v>
          </cell>
          <cell r="AN22">
            <v>147</v>
          </cell>
          <cell r="AO22">
            <v>1</v>
          </cell>
          <cell r="AP22">
            <v>100</v>
          </cell>
          <cell r="AQ22">
            <v>3</v>
          </cell>
          <cell r="AR22">
            <v>247</v>
          </cell>
          <cell r="AS22">
            <v>0</v>
          </cell>
          <cell r="AT22">
            <v>0</v>
          </cell>
          <cell r="AU22">
            <v>0</v>
          </cell>
          <cell r="AV22">
            <v>0</v>
          </cell>
          <cell r="AW22">
            <v>0</v>
          </cell>
          <cell r="AX22">
            <v>0</v>
          </cell>
          <cell r="AY22">
            <v>0</v>
          </cell>
          <cell r="AZ22">
            <v>0</v>
          </cell>
          <cell r="BA22">
            <v>0</v>
          </cell>
          <cell r="BB22">
            <v>0</v>
          </cell>
          <cell r="BC22">
            <v>1</v>
          </cell>
          <cell r="BD22">
            <v>250</v>
          </cell>
          <cell r="BE22">
            <v>3</v>
          </cell>
          <cell r="BF22">
            <v>251</v>
          </cell>
          <cell r="BG22">
            <v>4</v>
          </cell>
          <cell r="BH22">
            <v>501</v>
          </cell>
          <cell r="BI22">
            <v>2</v>
          </cell>
          <cell r="BJ22">
            <v>224</v>
          </cell>
          <cell r="BK22">
            <v>6</v>
          </cell>
          <cell r="BL22">
            <v>966</v>
          </cell>
          <cell r="BM22">
            <v>5</v>
          </cell>
          <cell r="BN22">
            <v>591</v>
          </cell>
          <cell r="BO22">
            <v>11</v>
          </cell>
          <cell r="BP22">
            <v>1557</v>
          </cell>
          <cell r="BQ22">
            <v>6</v>
          </cell>
          <cell r="BR22">
            <v>686</v>
          </cell>
          <cell r="BS22">
            <v>0</v>
          </cell>
          <cell r="BT22">
            <v>0</v>
          </cell>
          <cell r="BU22">
            <v>0</v>
          </cell>
          <cell r="BV22">
            <v>0</v>
          </cell>
          <cell r="BW22">
            <v>0</v>
          </cell>
          <cell r="BX22">
            <v>0</v>
          </cell>
          <cell r="BY22">
            <v>1</v>
          </cell>
          <cell r="BZ22">
            <v>128</v>
          </cell>
          <cell r="CA22">
            <v>0</v>
          </cell>
          <cell r="CB22">
            <v>0</v>
          </cell>
          <cell r="CC22">
            <v>1</v>
          </cell>
          <cell r="CD22">
            <v>185</v>
          </cell>
          <cell r="CE22">
            <v>1</v>
          </cell>
          <cell r="CF22">
            <v>185</v>
          </cell>
          <cell r="CG22">
            <v>0</v>
          </cell>
          <cell r="CH22">
            <v>0</v>
          </cell>
          <cell r="CI22">
            <v>0</v>
          </cell>
          <cell r="CJ22">
            <v>0</v>
          </cell>
          <cell r="CK22">
            <v>1</v>
          </cell>
          <cell r="CL22">
            <v>75</v>
          </cell>
          <cell r="CM22">
            <v>1</v>
          </cell>
          <cell r="CN22">
            <v>75</v>
          </cell>
          <cell r="CO22">
            <v>0</v>
          </cell>
          <cell r="CP22">
            <v>0</v>
          </cell>
          <cell r="CQ22">
            <v>0</v>
          </cell>
          <cell r="CR22">
            <v>0</v>
          </cell>
          <cell r="CS22">
            <v>0</v>
          </cell>
          <cell r="CT22">
            <v>0</v>
          </cell>
          <cell r="CU22">
            <v>0</v>
          </cell>
          <cell r="CV22">
            <v>0</v>
          </cell>
          <cell r="CW22">
            <v>0</v>
          </cell>
          <cell r="CX22">
            <v>0</v>
          </cell>
        </row>
        <row r="23">
          <cell r="B23" t="str">
            <v>Phoenix, AZ</v>
          </cell>
          <cell r="C23">
            <v>3</v>
          </cell>
          <cell r="D23">
            <v>329</v>
          </cell>
          <cell r="E23">
            <v>7</v>
          </cell>
          <cell r="F23">
            <v>468</v>
          </cell>
          <cell r="G23">
            <v>10</v>
          </cell>
          <cell r="H23">
            <v>818</v>
          </cell>
          <cell r="I23">
            <v>7</v>
          </cell>
          <cell r="J23">
            <v>769</v>
          </cell>
          <cell r="K23">
            <v>12</v>
          </cell>
          <cell r="L23">
            <v>1636</v>
          </cell>
          <cell r="M23">
            <v>19</v>
          </cell>
          <cell r="N23">
            <v>2772</v>
          </cell>
          <cell r="O23">
            <v>7</v>
          </cell>
          <cell r="P23">
            <v>917</v>
          </cell>
          <cell r="Q23">
            <v>0</v>
          </cell>
          <cell r="R23">
            <v>0</v>
          </cell>
          <cell r="S23">
            <v>6</v>
          </cell>
          <cell r="T23">
            <v>536</v>
          </cell>
          <cell r="U23">
            <v>1</v>
          </cell>
          <cell r="V23">
            <v>164</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1</v>
          </cell>
          <cell r="BF23">
            <v>120</v>
          </cell>
          <cell r="BG23">
            <v>1</v>
          </cell>
          <cell r="BH23">
            <v>120</v>
          </cell>
          <cell r="BI23">
            <v>1</v>
          </cell>
          <cell r="BJ23">
            <v>350</v>
          </cell>
          <cell r="BK23">
            <v>1</v>
          </cell>
          <cell r="BL23">
            <v>123</v>
          </cell>
          <cell r="BM23">
            <v>3</v>
          </cell>
          <cell r="BN23">
            <v>587</v>
          </cell>
          <cell r="BO23">
            <v>4</v>
          </cell>
          <cell r="BP23">
            <v>710</v>
          </cell>
          <cell r="BQ23">
            <v>2</v>
          </cell>
          <cell r="BR23">
            <v>1073</v>
          </cell>
          <cell r="BS23">
            <v>0</v>
          </cell>
          <cell r="BT23">
            <v>0</v>
          </cell>
          <cell r="BU23">
            <v>1</v>
          </cell>
          <cell r="BV23">
            <v>70</v>
          </cell>
          <cell r="BW23">
            <v>1</v>
          </cell>
          <cell r="BX23">
            <v>70</v>
          </cell>
          <cell r="BY23">
            <v>0</v>
          </cell>
          <cell r="BZ23">
            <v>0</v>
          </cell>
          <cell r="CA23">
            <v>0</v>
          </cell>
          <cell r="CB23">
            <v>0</v>
          </cell>
          <cell r="CC23">
            <v>1</v>
          </cell>
          <cell r="CD23">
            <v>750</v>
          </cell>
          <cell r="CE23">
            <v>1</v>
          </cell>
          <cell r="CF23">
            <v>750</v>
          </cell>
          <cell r="CG23">
            <v>0</v>
          </cell>
          <cell r="CH23">
            <v>0</v>
          </cell>
          <cell r="CI23">
            <v>0</v>
          </cell>
          <cell r="CJ23">
            <v>0</v>
          </cell>
          <cell r="CK23">
            <v>1</v>
          </cell>
          <cell r="CL23">
            <v>75</v>
          </cell>
          <cell r="CM23">
            <v>1</v>
          </cell>
          <cell r="CN23">
            <v>75</v>
          </cell>
          <cell r="CO23">
            <v>1</v>
          </cell>
          <cell r="CP23">
            <v>60</v>
          </cell>
          <cell r="CQ23">
            <v>0</v>
          </cell>
          <cell r="CR23">
            <v>0</v>
          </cell>
          <cell r="CS23">
            <v>0</v>
          </cell>
          <cell r="CT23">
            <v>0</v>
          </cell>
          <cell r="CU23">
            <v>0</v>
          </cell>
          <cell r="CV23">
            <v>0</v>
          </cell>
          <cell r="CW23">
            <v>0</v>
          </cell>
          <cell r="CX23">
            <v>0</v>
          </cell>
        </row>
        <row r="24">
          <cell r="B24" t="str">
            <v>Saint Louis, MO</v>
          </cell>
          <cell r="C24">
            <v>4</v>
          </cell>
          <cell r="D24">
            <v>272</v>
          </cell>
          <cell r="E24">
            <v>9</v>
          </cell>
          <cell r="F24">
            <v>576</v>
          </cell>
          <cell r="G24">
            <v>5</v>
          </cell>
          <cell r="H24">
            <v>317</v>
          </cell>
          <cell r="I24">
            <v>3</v>
          </cell>
          <cell r="J24">
            <v>284</v>
          </cell>
          <cell r="K24">
            <v>6</v>
          </cell>
          <cell r="L24">
            <v>853</v>
          </cell>
          <cell r="M24">
            <v>5</v>
          </cell>
          <cell r="N24">
            <v>510</v>
          </cell>
          <cell r="O24">
            <v>0</v>
          </cell>
          <cell r="P24">
            <v>0</v>
          </cell>
          <cell r="Q24">
            <v>0</v>
          </cell>
          <cell r="R24">
            <v>0</v>
          </cell>
          <cell r="S24">
            <v>2</v>
          </cell>
          <cell r="T24">
            <v>138</v>
          </cell>
          <cell r="U24">
            <v>2</v>
          </cell>
          <cell r="V24">
            <v>284</v>
          </cell>
          <cell r="W24">
            <v>0</v>
          </cell>
          <cell r="X24">
            <v>0</v>
          </cell>
          <cell r="Y24">
            <v>1</v>
          </cell>
          <cell r="Z24">
            <v>120</v>
          </cell>
          <cell r="AA24">
            <v>1</v>
          </cell>
          <cell r="AB24">
            <v>120</v>
          </cell>
          <cell r="AC24">
            <v>4</v>
          </cell>
          <cell r="AD24">
            <v>460</v>
          </cell>
          <cell r="AE24">
            <v>0</v>
          </cell>
          <cell r="AF24">
            <v>0</v>
          </cell>
          <cell r="AG24">
            <v>0</v>
          </cell>
          <cell r="AH24">
            <v>0</v>
          </cell>
          <cell r="AI24">
            <v>0</v>
          </cell>
          <cell r="AJ24">
            <v>0</v>
          </cell>
          <cell r="AK24">
            <v>3</v>
          </cell>
          <cell r="AL24">
            <v>275</v>
          </cell>
          <cell r="AM24">
            <v>0</v>
          </cell>
          <cell r="AN24">
            <v>0</v>
          </cell>
          <cell r="AO24">
            <v>0</v>
          </cell>
          <cell r="AP24">
            <v>0</v>
          </cell>
          <cell r="AQ24">
            <v>0</v>
          </cell>
          <cell r="AR24">
            <v>0</v>
          </cell>
          <cell r="AS24">
            <v>1</v>
          </cell>
          <cell r="AT24">
            <v>80</v>
          </cell>
          <cell r="AU24">
            <v>0</v>
          </cell>
          <cell r="AV24">
            <v>0</v>
          </cell>
          <cell r="AW24">
            <v>0</v>
          </cell>
          <cell r="AX24">
            <v>0</v>
          </cell>
          <cell r="AY24">
            <v>0</v>
          </cell>
          <cell r="AZ24">
            <v>0</v>
          </cell>
          <cell r="BA24">
            <v>0</v>
          </cell>
          <cell r="BB24">
            <v>0</v>
          </cell>
          <cell r="BC24">
            <v>2</v>
          </cell>
          <cell r="BD24">
            <v>204</v>
          </cell>
          <cell r="BE24">
            <v>1</v>
          </cell>
          <cell r="BF24">
            <v>117</v>
          </cell>
          <cell r="BG24">
            <v>3</v>
          </cell>
          <cell r="BH24">
            <v>321</v>
          </cell>
          <cell r="BI24">
            <v>2</v>
          </cell>
          <cell r="BJ24">
            <v>505</v>
          </cell>
          <cell r="BK24">
            <v>0</v>
          </cell>
          <cell r="BL24">
            <v>0</v>
          </cell>
          <cell r="BM24">
            <v>2</v>
          </cell>
          <cell r="BN24">
            <v>1070</v>
          </cell>
          <cell r="BO24">
            <v>2</v>
          </cell>
          <cell r="BP24">
            <v>1070</v>
          </cell>
          <cell r="BQ24">
            <v>0</v>
          </cell>
          <cell r="BR24">
            <v>0</v>
          </cell>
          <cell r="BS24">
            <v>0</v>
          </cell>
          <cell r="BT24">
            <v>0</v>
          </cell>
          <cell r="BU24">
            <v>0</v>
          </cell>
          <cell r="BV24">
            <v>0</v>
          </cell>
          <cell r="BW24">
            <v>0</v>
          </cell>
          <cell r="BX24">
            <v>0</v>
          </cell>
          <cell r="BY24">
            <v>0</v>
          </cell>
          <cell r="BZ24">
            <v>0</v>
          </cell>
          <cell r="CA24">
            <v>3</v>
          </cell>
          <cell r="CB24">
            <v>666</v>
          </cell>
          <cell r="CC24">
            <v>0</v>
          </cell>
          <cell r="CD24">
            <v>0</v>
          </cell>
          <cell r="CE24">
            <v>3</v>
          </cell>
          <cell r="CF24">
            <v>666</v>
          </cell>
          <cell r="CG24">
            <v>0</v>
          </cell>
          <cell r="CH24">
            <v>0</v>
          </cell>
          <cell r="CI24">
            <v>1</v>
          </cell>
          <cell r="CJ24">
            <v>63</v>
          </cell>
          <cell r="CK24">
            <v>0</v>
          </cell>
          <cell r="CL24">
            <v>0</v>
          </cell>
          <cell r="CM24">
            <v>1</v>
          </cell>
          <cell r="CN24">
            <v>63</v>
          </cell>
          <cell r="CO24">
            <v>2</v>
          </cell>
          <cell r="CP24">
            <v>120</v>
          </cell>
          <cell r="CQ24">
            <v>0</v>
          </cell>
          <cell r="CR24">
            <v>0</v>
          </cell>
          <cell r="CS24">
            <v>0</v>
          </cell>
          <cell r="CT24">
            <v>0</v>
          </cell>
          <cell r="CU24">
            <v>0</v>
          </cell>
          <cell r="CV24">
            <v>0</v>
          </cell>
          <cell r="CW24">
            <v>0</v>
          </cell>
          <cell r="CX24">
            <v>0</v>
          </cell>
        </row>
        <row r="25">
          <cell r="B25" t="str">
            <v>San Diego, CA</v>
          </cell>
          <cell r="C25">
            <v>1</v>
          </cell>
          <cell r="D25">
            <v>80</v>
          </cell>
          <cell r="E25">
            <v>0</v>
          </cell>
          <cell r="F25">
            <v>0</v>
          </cell>
          <cell r="G25">
            <v>2</v>
          </cell>
          <cell r="H25">
            <v>139</v>
          </cell>
          <cell r="I25">
            <v>2</v>
          </cell>
          <cell r="J25">
            <v>270</v>
          </cell>
          <cell r="K25">
            <v>3</v>
          </cell>
          <cell r="L25">
            <v>542</v>
          </cell>
          <cell r="M25">
            <v>5</v>
          </cell>
          <cell r="N25">
            <v>783</v>
          </cell>
          <cell r="O25">
            <v>0</v>
          </cell>
          <cell r="P25">
            <v>0</v>
          </cell>
          <cell r="Q25">
            <v>0</v>
          </cell>
          <cell r="R25">
            <v>0</v>
          </cell>
          <cell r="S25">
            <v>1</v>
          </cell>
          <cell r="T25">
            <v>50</v>
          </cell>
          <cell r="U25">
            <v>0</v>
          </cell>
          <cell r="V25">
            <v>0</v>
          </cell>
          <cell r="W25">
            <v>1</v>
          </cell>
          <cell r="X25">
            <v>158</v>
          </cell>
          <cell r="Y25">
            <v>2</v>
          </cell>
          <cell r="Z25">
            <v>226</v>
          </cell>
          <cell r="AA25">
            <v>3</v>
          </cell>
          <cell r="AB25">
            <v>384</v>
          </cell>
          <cell r="AC25">
            <v>1</v>
          </cell>
          <cell r="AD25">
            <v>119</v>
          </cell>
          <cell r="AE25">
            <v>0</v>
          </cell>
          <cell r="AF25">
            <v>0</v>
          </cell>
          <cell r="AG25">
            <v>1</v>
          </cell>
          <cell r="AH25">
            <v>100</v>
          </cell>
          <cell r="AI25">
            <v>1</v>
          </cell>
          <cell r="AJ25">
            <v>100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1</v>
          </cell>
          <cell r="BD25">
            <v>178</v>
          </cell>
          <cell r="BE25">
            <v>2</v>
          </cell>
          <cell r="BF25">
            <v>220</v>
          </cell>
          <cell r="BG25">
            <v>3</v>
          </cell>
          <cell r="BH25">
            <v>398</v>
          </cell>
          <cell r="BI25">
            <v>1</v>
          </cell>
          <cell r="BJ25">
            <v>130</v>
          </cell>
          <cell r="BK25">
            <v>0</v>
          </cell>
          <cell r="BL25">
            <v>0</v>
          </cell>
          <cell r="BM25">
            <v>2</v>
          </cell>
          <cell r="BN25">
            <v>530</v>
          </cell>
          <cell r="BO25">
            <v>2</v>
          </cell>
          <cell r="BP25">
            <v>530</v>
          </cell>
          <cell r="BQ25">
            <v>5</v>
          </cell>
          <cell r="BR25">
            <v>641</v>
          </cell>
          <cell r="BS25">
            <v>0</v>
          </cell>
          <cell r="BT25">
            <v>0</v>
          </cell>
          <cell r="BU25">
            <v>1</v>
          </cell>
          <cell r="BV25">
            <v>203</v>
          </cell>
          <cell r="BW25">
            <v>1</v>
          </cell>
          <cell r="BX25">
            <v>203</v>
          </cell>
          <cell r="BY25">
            <v>0</v>
          </cell>
          <cell r="BZ25">
            <v>0</v>
          </cell>
          <cell r="CA25">
            <v>0</v>
          </cell>
          <cell r="CB25">
            <v>0</v>
          </cell>
          <cell r="CC25">
            <v>2</v>
          </cell>
          <cell r="CD25">
            <v>763</v>
          </cell>
          <cell r="CE25">
            <v>2</v>
          </cell>
          <cell r="CF25">
            <v>763</v>
          </cell>
          <cell r="CG25">
            <v>0</v>
          </cell>
          <cell r="CH25">
            <v>0</v>
          </cell>
          <cell r="CI25">
            <v>0</v>
          </cell>
          <cell r="CJ25">
            <v>0</v>
          </cell>
          <cell r="CK25">
            <v>0</v>
          </cell>
          <cell r="CL25">
            <v>0</v>
          </cell>
          <cell r="CM25">
            <v>0</v>
          </cell>
          <cell r="CN25">
            <v>0</v>
          </cell>
          <cell r="CO25">
            <v>2</v>
          </cell>
          <cell r="CP25">
            <v>91</v>
          </cell>
          <cell r="CQ25">
            <v>0</v>
          </cell>
          <cell r="CR25">
            <v>0</v>
          </cell>
          <cell r="CS25">
            <v>0</v>
          </cell>
          <cell r="CT25">
            <v>0</v>
          </cell>
          <cell r="CU25">
            <v>0</v>
          </cell>
          <cell r="CV25">
            <v>0</v>
          </cell>
          <cell r="CW25">
            <v>0</v>
          </cell>
          <cell r="CX25">
            <v>0</v>
          </cell>
        </row>
        <row r="26">
          <cell r="B26" t="str">
            <v>San Francisco, CA</v>
          </cell>
          <cell r="C26">
            <v>1</v>
          </cell>
          <cell r="D26">
            <v>82</v>
          </cell>
          <cell r="E26">
            <v>3</v>
          </cell>
          <cell r="F26">
            <v>123</v>
          </cell>
          <cell r="G26">
            <v>2</v>
          </cell>
          <cell r="H26">
            <v>95</v>
          </cell>
          <cell r="I26">
            <v>0</v>
          </cell>
          <cell r="J26">
            <v>0</v>
          </cell>
          <cell r="K26">
            <v>4</v>
          </cell>
          <cell r="L26">
            <v>556</v>
          </cell>
          <cell r="M26">
            <v>1</v>
          </cell>
          <cell r="N26">
            <v>136</v>
          </cell>
          <cell r="O26">
            <v>0</v>
          </cell>
          <cell r="P26">
            <v>0</v>
          </cell>
          <cell r="Q26">
            <v>1</v>
          </cell>
          <cell r="R26">
            <v>423</v>
          </cell>
          <cell r="S26">
            <v>0</v>
          </cell>
          <cell r="T26">
            <v>0</v>
          </cell>
          <cell r="U26">
            <v>0</v>
          </cell>
          <cell r="V26">
            <v>0</v>
          </cell>
          <cell r="W26">
            <v>1</v>
          </cell>
          <cell r="X26">
            <v>252</v>
          </cell>
          <cell r="Y26">
            <v>1</v>
          </cell>
          <cell r="Z26">
            <v>105</v>
          </cell>
          <cell r="AA26">
            <v>2</v>
          </cell>
          <cell r="AB26">
            <v>357</v>
          </cell>
          <cell r="AC26">
            <v>0</v>
          </cell>
          <cell r="AD26">
            <v>0</v>
          </cell>
          <cell r="AE26">
            <v>0</v>
          </cell>
          <cell r="AF26">
            <v>0</v>
          </cell>
          <cell r="AG26">
            <v>3</v>
          </cell>
          <cell r="AH26">
            <v>265</v>
          </cell>
          <cell r="AI26">
            <v>3</v>
          </cell>
          <cell r="AJ26">
            <v>265</v>
          </cell>
          <cell r="AK26">
            <v>0</v>
          </cell>
          <cell r="AL26">
            <v>0</v>
          </cell>
          <cell r="AM26">
            <v>0</v>
          </cell>
          <cell r="AN26">
            <v>0</v>
          </cell>
          <cell r="AO26">
            <v>1</v>
          </cell>
          <cell r="AP26">
            <v>106</v>
          </cell>
          <cell r="AQ26">
            <v>1</v>
          </cell>
          <cell r="AR26">
            <v>106</v>
          </cell>
          <cell r="AS26">
            <v>0</v>
          </cell>
          <cell r="AT26">
            <v>0</v>
          </cell>
          <cell r="AU26">
            <v>0</v>
          </cell>
          <cell r="AV26">
            <v>0</v>
          </cell>
          <cell r="AW26">
            <v>0</v>
          </cell>
          <cell r="AX26">
            <v>0</v>
          </cell>
          <cell r="AY26">
            <v>0</v>
          </cell>
          <cell r="AZ26">
            <v>0</v>
          </cell>
          <cell r="BA26">
            <v>0</v>
          </cell>
          <cell r="BB26">
            <v>0</v>
          </cell>
          <cell r="BC26">
            <v>2</v>
          </cell>
          <cell r="BD26">
            <v>148</v>
          </cell>
          <cell r="BE26">
            <v>2</v>
          </cell>
          <cell r="BF26">
            <v>502</v>
          </cell>
          <cell r="BG26">
            <v>4</v>
          </cell>
          <cell r="BH26">
            <v>650</v>
          </cell>
          <cell r="BI26">
            <v>3</v>
          </cell>
          <cell r="BJ26">
            <v>673</v>
          </cell>
          <cell r="BK26">
            <v>5</v>
          </cell>
          <cell r="BL26">
            <v>1193</v>
          </cell>
          <cell r="BM26">
            <v>0</v>
          </cell>
          <cell r="BN26">
            <v>0</v>
          </cell>
          <cell r="BO26">
            <v>5</v>
          </cell>
          <cell r="BP26">
            <v>1193</v>
          </cell>
          <cell r="BQ26">
            <v>2</v>
          </cell>
          <cell r="BR26">
            <v>278</v>
          </cell>
          <cell r="BS26">
            <v>0</v>
          </cell>
          <cell r="BT26">
            <v>0</v>
          </cell>
          <cell r="BU26">
            <v>1</v>
          </cell>
          <cell r="BV26">
            <v>128</v>
          </cell>
          <cell r="BW26">
            <v>1</v>
          </cell>
          <cell r="BX26">
            <v>128</v>
          </cell>
          <cell r="BY26">
            <v>0</v>
          </cell>
          <cell r="BZ26">
            <v>0</v>
          </cell>
          <cell r="CA26">
            <v>1</v>
          </cell>
          <cell r="CB26">
            <v>101</v>
          </cell>
          <cell r="CC26">
            <v>0</v>
          </cell>
          <cell r="CD26">
            <v>0</v>
          </cell>
          <cell r="CE26">
            <v>1</v>
          </cell>
          <cell r="CF26">
            <v>101</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row>
        <row r="27">
          <cell r="B27" t="str">
            <v>Seattle, WA</v>
          </cell>
          <cell r="C27">
            <v>3</v>
          </cell>
          <cell r="D27">
            <v>315</v>
          </cell>
          <cell r="E27">
            <v>4</v>
          </cell>
          <cell r="F27">
            <v>188</v>
          </cell>
          <cell r="G27">
            <v>6</v>
          </cell>
          <cell r="H27">
            <v>546</v>
          </cell>
          <cell r="I27">
            <v>9</v>
          </cell>
          <cell r="J27">
            <v>978</v>
          </cell>
          <cell r="K27">
            <v>3</v>
          </cell>
          <cell r="L27">
            <v>445</v>
          </cell>
          <cell r="M27">
            <v>7</v>
          </cell>
          <cell r="N27">
            <v>1193</v>
          </cell>
          <cell r="O27">
            <v>0</v>
          </cell>
          <cell r="P27">
            <v>0</v>
          </cell>
          <cell r="Q27">
            <v>1</v>
          </cell>
          <cell r="R27">
            <v>426</v>
          </cell>
          <cell r="S27">
            <v>1</v>
          </cell>
          <cell r="T27">
            <v>96</v>
          </cell>
          <cell r="U27">
            <v>0</v>
          </cell>
          <cell r="V27">
            <v>0</v>
          </cell>
          <cell r="W27">
            <v>0</v>
          </cell>
          <cell r="X27">
            <v>0</v>
          </cell>
          <cell r="Y27">
            <v>1</v>
          </cell>
          <cell r="Z27">
            <v>63</v>
          </cell>
          <cell r="AA27">
            <v>1</v>
          </cell>
          <cell r="AB27">
            <v>63</v>
          </cell>
          <cell r="AC27">
            <v>2</v>
          </cell>
          <cell r="AD27">
            <v>173</v>
          </cell>
          <cell r="AE27">
            <v>1</v>
          </cell>
          <cell r="AF27">
            <v>160</v>
          </cell>
          <cell r="AG27">
            <v>2</v>
          </cell>
          <cell r="AH27">
            <v>300</v>
          </cell>
          <cell r="AI27">
            <v>3</v>
          </cell>
          <cell r="AJ27">
            <v>460</v>
          </cell>
          <cell r="AK27">
            <v>0</v>
          </cell>
          <cell r="AL27">
            <v>0</v>
          </cell>
          <cell r="AM27">
            <v>1</v>
          </cell>
          <cell r="AN27">
            <v>200</v>
          </cell>
          <cell r="AO27">
            <v>1</v>
          </cell>
          <cell r="AP27">
            <v>159</v>
          </cell>
          <cell r="AQ27">
            <v>2</v>
          </cell>
          <cell r="AR27">
            <v>359</v>
          </cell>
          <cell r="AS27">
            <v>0</v>
          </cell>
          <cell r="AT27">
            <v>0</v>
          </cell>
          <cell r="AU27">
            <v>0</v>
          </cell>
          <cell r="AV27">
            <v>0</v>
          </cell>
          <cell r="AW27">
            <v>0</v>
          </cell>
          <cell r="AX27">
            <v>0</v>
          </cell>
          <cell r="AY27">
            <v>0</v>
          </cell>
          <cell r="AZ27">
            <v>0</v>
          </cell>
          <cell r="BA27">
            <v>0</v>
          </cell>
          <cell r="BB27">
            <v>0</v>
          </cell>
          <cell r="BC27">
            <v>1</v>
          </cell>
          <cell r="BD27">
            <v>265</v>
          </cell>
          <cell r="BE27">
            <v>2</v>
          </cell>
          <cell r="BF27">
            <v>249</v>
          </cell>
          <cell r="BG27">
            <v>3</v>
          </cell>
          <cell r="BH27">
            <v>514</v>
          </cell>
          <cell r="BI27">
            <v>0</v>
          </cell>
          <cell r="BJ27">
            <v>0</v>
          </cell>
          <cell r="BK27">
            <v>3</v>
          </cell>
          <cell r="BL27">
            <v>483</v>
          </cell>
          <cell r="BM27">
            <v>3</v>
          </cell>
          <cell r="BN27">
            <v>1210</v>
          </cell>
          <cell r="BO27">
            <v>6</v>
          </cell>
          <cell r="BP27">
            <v>1693</v>
          </cell>
          <cell r="BQ27">
            <v>2</v>
          </cell>
          <cell r="BR27">
            <v>395</v>
          </cell>
          <cell r="BS27">
            <v>0</v>
          </cell>
          <cell r="BT27">
            <v>0</v>
          </cell>
          <cell r="BU27">
            <v>0</v>
          </cell>
          <cell r="BV27">
            <v>0</v>
          </cell>
          <cell r="BW27">
            <v>0</v>
          </cell>
          <cell r="BX27">
            <v>0</v>
          </cell>
          <cell r="BY27">
            <v>0</v>
          </cell>
          <cell r="BZ27">
            <v>0</v>
          </cell>
          <cell r="CA27">
            <v>0</v>
          </cell>
          <cell r="CB27">
            <v>0</v>
          </cell>
          <cell r="CC27">
            <v>1</v>
          </cell>
          <cell r="CD27">
            <v>304</v>
          </cell>
          <cell r="CE27">
            <v>1</v>
          </cell>
          <cell r="CF27">
            <v>304</v>
          </cell>
          <cell r="CG27">
            <v>0</v>
          </cell>
          <cell r="CH27">
            <v>0</v>
          </cell>
          <cell r="CI27">
            <v>2</v>
          </cell>
          <cell r="CJ27">
            <v>277</v>
          </cell>
          <cell r="CK27">
            <v>2</v>
          </cell>
          <cell r="CL27">
            <v>137</v>
          </cell>
          <cell r="CM27">
            <v>4</v>
          </cell>
          <cell r="CN27">
            <v>414</v>
          </cell>
          <cell r="CO27">
            <v>2</v>
          </cell>
          <cell r="CP27">
            <v>200</v>
          </cell>
          <cell r="CQ27">
            <v>0</v>
          </cell>
          <cell r="CR27">
            <v>0</v>
          </cell>
          <cell r="CS27">
            <v>0</v>
          </cell>
          <cell r="CT27">
            <v>0</v>
          </cell>
          <cell r="CU27">
            <v>0</v>
          </cell>
          <cell r="CV27">
            <v>0</v>
          </cell>
          <cell r="CW27">
            <v>0</v>
          </cell>
          <cell r="CX27">
            <v>0</v>
          </cell>
        </row>
        <row r="28">
          <cell r="B28" t="str">
            <v>Tampa, FL</v>
          </cell>
          <cell r="C28">
            <v>5</v>
          </cell>
          <cell r="D28">
            <v>414</v>
          </cell>
          <cell r="E28">
            <v>3</v>
          </cell>
          <cell r="F28">
            <v>255</v>
          </cell>
          <cell r="G28">
            <v>6</v>
          </cell>
          <cell r="H28">
            <v>439</v>
          </cell>
          <cell r="I28">
            <v>3</v>
          </cell>
          <cell r="J28">
            <v>263</v>
          </cell>
          <cell r="K28">
            <v>7</v>
          </cell>
          <cell r="L28">
            <v>880</v>
          </cell>
          <cell r="M28">
            <v>10</v>
          </cell>
          <cell r="N28">
            <v>1591</v>
          </cell>
          <cell r="O28">
            <v>2</v>
          </cell>
          <cell r="P28">
            <v>261</v>
          </cell>
          <cell r="Q28">
            <v>1</v>
          </cell>
          <cell r="R28">
            <v>99</v>
          </cell>
          <cell r="S28">
            <v>0</v>
          </cell>
          <cell r="T28">
            <v>0</v>
          </cell>
          <cell r="U28">
            <v>0</v>
          </cell>
          <cell r="V28">
            <v>0</v>
          </cell>
          <cell r="W28">
            <v>1</v>
          </cell>
          <cell r="X28">
            <v>82</v>
          </cell>
          <cell r="Y28">
            <v>1</v>
          </cell>
          <cell r="Z28">
            <v>77</v>
          </cell>
          <cell r="AA28">
            <v>2</v>
          </cell>
          <cell r="AB28">
            <v>159</v>
          </cell>
          <cell r="AC28">
            <v>0</v>
          </cell>
          <cell r="AD28">
            <v>0</v>
          </cell>
          <cell r="AE28">
            <v>0</v>
          </cell>
          <cell r="AF28">
            <v>0</v>
          </cell>
          <cell r="AG28">
            <v>0</v>
          </cell>
          <cell r="AH28">
            <v>0</v>
          </cell>
          <cell r="AI28">
            <v>0</v>
          </cell>
          <cell r="AJ28">
            <v>0</v>
          </cell>
          <cell r="AK28">
            <v>3</v>
          </cell>
          <cell r="AL28">
            <v>230</v>
          </cell>
          <cell r="AM28">
            <v>0</v>
          </cell>
          <cell r="AN28">
            <v>0</v>
          </cell>
          <cell r="AO28">
            <v>1</v>
          </cell>
          <cell r="AP28">
            <v>50</v>
          </cell>
          <cell r="AQ28">
            <v>1</v>
          </cell>
          <cell r="AR28">
            <v>50</v>
          </cell>
          <cell r="AS28">
            <v>0</v>
          </cell>
          <cell r="AT28">
            <v>0</v>
          </cell>
          <cell r="AU28">
            <v>0</v>
          </cell>
          <cell r="AV28">
            <v>0</v>
          </cell>
          <cell r="AW28">
            <v>0</v>
          </cell>
          <cell r="AX28">
            <v>0</v>
          </cell>
          <cell r="AY28">
            <v>0</v>
          </cell>
          <cell r="AZ28">
            <v>0</v>
          </cell>
          <cell r="BA28">
            <v>0</v>
          </cell>
          <cell r="BB28">
            <v>0</v>
          </cell>
          <cell r="BC28">
            <v>2</v>
          </cell>
          <cell r="BD28">
            <v>216</v>
          </cell>
          <cell r="BE28">
            <v>2</v>
          </cell>
          <cell r="BF28">
            <v>234</v>
          </cell>
          <cell r="BG28">
            <v>4</v>
          </cell>
          <cell r="BH28">
            <v>450</v>
          </cell>
          <cell r="BI28">
            <v>0</v>
          </cell>
          <cell r="BJ28">
            <v>0</v>
          </cell>
          <cell r="BK28">
            <v>1</v>
          </cell>
          <cell r="BL28">
            <v>109</v>
          </cell>
          <cell r="BM28">
            <v>3</v>
          </cell>
          <cell r="BN28">
            <v>412</v>
          </cell>
          <cell r="BO28">
            <v>4</v>
          </cell>
          <cell r="BP28">
            <v>521</v>
          </cell>
          <cell r="BQ28">
            <v>2</v>
          </cell>
          <cell r="BR28">
            <v>254</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1</v>
          </cell>
          <cell r="CJ28">
            <v>63</v>
          </cell>
          <cell r="CK28">
            <v>0</v>
          </cell>
          <cell r="CL28">
            <v>0</v>
          </cell>
          <cell r="CM28">
            <v>1</v>
          </cell>
          <cell r="CN28">
            <v>63</v>
          </cell>
          <cell r="CO28">
            <v>4</v>
          </cell>
          <cell r="CP28">
            <v>313</v>
          </cell>
          <cell r="CQ28">
            <v>0</v>
          </cell>
          <cell r="CR28">
            <v>0</v>
          </cell>
          <cell r="CS28">
            <v>0</v>
          </cell>
          <cell r="CT28">
            <v>0</v>
          </cell>
          <cell r="CU28">
            <v>0</v>
          </cell>
          <cell r="CV28">
            <v>0</v>
          </cell>
          <cell r="CW28">
            <v>0</v>
          </cell>
          <cell r="CX28">
            <v>0</v>
          </cell>
        </row>
        <row r="29">
          <cell r="B29" t="str">
            <v>Washington, DC</v>
          </cell>
          <cell r="C29">
            <v>2</v>
          </cell>
          <cell r="D29">
            <v>130</v>
          </cell>
          <cell r="E29">
            <v>2</v>
          </cell>
          <cell r="F29">
            <v>84</v>
          </cell>
          <cell r="G29">
            <v>5</v>
          </cell>
          <cell r="H29">
            <v>406</v>
          </cell>
          <cell r="I29">
            <v>9</v>
          </cell>
          <cell r="J29">
            <v>952</v>
          </cell>
          <cell r="K29">
            <v>10</v>
          </cell>
          <cell r="L29">
            <v>1420</v>
          </cell>
          <cell r="M29">
            <v>18</v>
          </cell>
          <cell r="N29">
            <v>2235</v>
          </cell>
          <cell r="O29">
            <v>0</v>
          </cell>
          <cell r="P29">
            <v>0</v>
          </cell>
          <cell r="Q29">
            <v>0</v>
          </cell>
          <cell r="R29">
            <v>0</v>
          </cell>
          <cell r="S29">
            <v>1</v>
          </cell>
          <cell r="T29">
            <v>104</v>
          </cell>
          <cell r="U29">
            <v>1</v>
          </cell>
          <cell r="V29">
            <v>151</v>
          </cell>
          <cell r="W29">
            <v>1</v>
          </cell>
          <cell r="X29">
            <v>144</v>
          </cell>
          <cell r="Y29">
            <v>2</v>
          </cell>
          <cell r="Z29">
            <v>352</v>
          </cell>
          <cell r="AA29">
            <v>3</v>
          </cell>
          <cell r="AB29">
            <v>496</v>
          </cell>
          <cell r="AC29">
            <v>1</v>
          </cell>
          <cell r="AD29">
            <v>86</v>
          </cell>
          <cell r="AE29">
            <v>1</v>
          </cell>
          <cell r="AF29">
            <v>130</v>
          </cell>
          <cell r="AG29">
            <v>0</v>
          </cell>
          <cell r="AH29">
            <v>0</v>
          </cell>
          <cell r="AI29">
            <v>1</v>
          </cell>
          <cell r="AJ29">
            <v>130</v>
          </cell>
          <cell r="AK29">
            <v>5</v>
          </cell>
          <cell r="AL29">
            <v>573</v>
          </cell>
          <cell r="AM29">
            <v>2</v>
          </cell>
          <cell r="AN29">
            <v>150</v>
          </cell>
          <cell r="AO29">
            <v>1</v>
          </cell>
          <cell r="AP29">
            <v>90</v>
          </cell>
          <cell r="AQ29">
            <v>3</v>
          </cell>
          <cell r="AR29">
            <v>240</v>
          </cell>
          <cell r="AS29">
            <v>2</v>
          </cell>
          <cell r="AT29">
            <v>134</v>
          </cell>
          <cell r="AU29">
            <v>0</v>
          </cell>
          <cell r="AV29">
            <v>0</v>
          </cell>
          <cell r="AW29">
            <v>0</v>
          </cell>
          <cell r="AX29">
            <v>0</v>
          </cell>
          <cell r="AY29">
            <v>0</v>
          </cell>
          <cell r="AZ29">
            <v>0</v>
          </cell>
          <cell r="BA29">
            <v>0</v>
          </cell>
          <cell r="BB29">
            <v>0</v>
          </cell>
          <cell r="BC29">
            <v>5</v>
          </cell>
          <cell r="BD29">
            <v>632</v>
          </cell>
          <cell r="BE29">
            <v>2</v>
          </cell>
          <cell r="BF29">
            <v>229</v>
          </cell>
          <cell r="BG29">
            <v>7</v>
          </cell>
          <cell r="BH29">
            <v>861</v>
          </cell>
          <cell r="BI29">
            <v>4</v>
          </cell>
          <cell r="BJ29">
            <v>926</v>
          </cell>
          <cell r="BK29">
            <v>9</v>
          </cell>
          <cell r="BL29">
            <v>1466</v>
          </cell>
          <cell r="BM29">
            <v>2</v>
          </cell>
          <cell r="BN29">
            <v>450</v>
          </cell>
          <cell r="BO29">
            <v>11</v>
          </cell>
          <cell r="BP29">
            <v>1916</v>
          </cell>
          <cell r="BQ29">
            <v>7</v>
          </cell>
          <cell r="BR29">
            <v>1117</v>
          </cell>
          <cell r="BS29">
            <v>0</v>
          </cell>
          <cell r="BT29">
            <v>0</v>
          </cell>
          <cell r="BU29">
            <v>0</v>
          </cell>
          <cell r="BV29">
            <v>0</v>
          </cell>
          <cell r="BW29">
            <v>0</v>
          </cell>
          <cell r="BX29">
            <v>0</v>
          </cell>
          <cell r="BY29">
            <v>2</v>
          </cell>
          <cell r="BZ29">
            <v>208</v>
          </cell>
          <cell r="CA29">
            <v>0</v>
          </cell>
          <cell r="CB29">
            <v>0</v>
          </cell>
          <cell r="CC29">
            <v>0</v>
          </cell>
          <cell r="CD29">
            <v>0</v>
          </cell>
          <cell r="CE29">
            <v>0</v>
          </cell>
          <cell r="CF29">
            <v>0</v>
          </cell>
          <cell r="CG29">
            <v>0</v>
          </cell>
          <cell r="CH29">
            <v>0</v>
          </cell>
          <cell r="CI29">
            <v>1</v>
          </cell>
          <cell r="CJ29">
            <v>105</v>
          </cell>
          <cell r="CK29">
            <v>0</v>
          </cell>
          <cell r="CL29">
            <v>0</v>
          </cell>
          <cell r="CM29">
            <v>1</v>
          </cell>
          <cell r="CN29">
            <v>105</v>
          </cell>
          <cell r="CO29">
            <v>1</v>
          </cell>
          <cell r="CP29">
            <v>132</v>
          </cell>
          <cell r="CQ29">
            <v>0</v>
          </cell>
          <cell r="CR29">
            <v>0</v>
          </cell>
          <cell r="CS29">
            <v>0</v>
          </cell>
          <cell r="CT29">
            <v>0</v>
          </cell>
          <cell r="CU29">
            <v>0</v>
          </cell>
          <cell r="CV29">
            <v>0</v>
          </cell>
          <cell r="CW29">
            <v>0</v>
          </cell>
          <cell r="CX29">
            <v>0</v>
          </cell>
        </row>
      </sheetData>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and lookup"/>
      <sheetName val="brand lookup 2"/>
      <sheetName val="company lookup"/>
      <sheetName val="PIVOTS"/>
      <sheetName val="mkt lookup"/>
      <sheetName val="CENSUS LOOKUP"/>
      <sheetName val="TRACT LOOKUP"/>
      <sheetName val="BS TRACT LOOKUP"/>
      <sheetName val="CHAIN LOOKUP"/>
      <sheetName val="rawdata"/>
    </sheetNames>
    <sheetDataSet>
      <sheetData sheetId="0" refreshError="1">
        <row r="256">
          <cell r="B256" t="str">
            <v>Economy</v>
          </cell>
          <cell r="C256">
            <v>150</v>
          </cell>
          <cell r="D256">
            <v>10922</v>
          </cell>
        </row>
        <row r="257">
          <cell r="B257" t="str">
            <v>Independent</v>
          </cell>
          <cell r="C257">
            <v>313</v>
          </cell>
          <cell r="D257">
            <v>23340</v>
          </cell>
        </row>
        <row r="258">
          <cell r="B258" t="str">
            <v>Midscale w/ F&amp;B</v>
          </cell>
          <cell r="C258">
            <v>99</v>
          </cell>
          <cell r="D258">
            <v>13709</v>
          </cell>
        </row>
        <row r="259">
          <cell r="B259" t="str">
            <v>Midscale w/o F&amp;B</v>
          </cell>
          <cell r="C259">
            <v>40</v>
          </cell>
          <cell r="D259">
            <v>3323</v>
          </cell>
        </row>
        <row r="260">
          <cell r="B260" t="str">
            <v>Upper Upscale</v>
          </cell>
          <cell r="C260">
            <v>68</v>
          </cell>
          <cell r="D260">
            <v>25416</v>
          </cell>
        </row>
        <row r="261">
          <cell r="B261" t="str">
            <v>Upscale</v>
          </cell>
          <cell r="C261">
            <v>41</v>
          </cell>
          <cell r="D261">
            <v>8615</v>
          </cell>
        </row>
      </sheetData>
      <sheetData sheetId="1" refreshError="1"/>
      <sheetData sheetId="2" refreshError="1"/>
      <sheetData sheetId="3" refreshError="1"/>
      <sheetData sheetId="4" refreshError="1"/>
      <sheetData sheetId="5" refreshError="1"/>
      <sheetData sheetId="6" refreshError="1">
        <row r="8">
          <cell r="B8" t="str">
            <v>ALEXANDRIA</v>
          </cell>
          <cell r="C8">
            <v>1</v>
          </cell>
          <cell r="D8">
            <v>241</v>
          </cell>
          <cell r="E8">
            <v>1</v>
          </cell>
          <cell r="F8">
            <v>80</v>
          </cell>
          <cell r="G8">
            <v>5</v>
          </cell>
          <cell r="H8">
            <v>711</v>
          </cell>
          <cell r="I8">
            <v>1</v>
          </cell>
          <cell r="J8">
            <v>80</v>
          </cell>
          <cell r="K8">
            <v>1</v>
          </cell>
          <cell r="L8">
            <v>240</v>
          </cell>
          <cell r="M8">
            <v>2</v>
          </cell>
          <cell r="N8">
            <v>246</v>
          </cell>
          <cell r="O8">
            <v>3</v>
          </cell>
          <cell r="P8">
            <v>486</v>
          </cell>
          <cell r="Q8">
            <v>1</v>
          </cell>
          <cell r="R8">
            <v>90</v>
          </cell>
          <cell r="S8">
            <v>0</v>
          </cell>
          <cell r="T8">
            <v>0</v>
          </cell>
          <cell r="U8">
            <v>0</v>
          </cell>
          <cell r="V8">
            <v>0</v>
          </cell>
          <cell r="W8">
            <v>3</v>
          </cell>
          <cell r="X8">
            <v>486</v>
          </cell>
          <cell r="Y8">
            <v>1</v>
          </cell>
          <cell r="Z8">
            <v>90</v>
          </cell>
          <cell r="AA8">
            <v>0</v>
          </cell>
          <cell r="AB8">
            <v>0</v>
          </cell>
          <cell r="AC8">
            <v>0</v>
          </cell>
          <cell r="AD8">
            <v>0</v>
          </cell>
          <cell r="AE8">
            <v>0</v>
          </cell>
          <cell r="AF8">
            <v>0</v>
          </cell>
          <cell r="AG8">
            <v>0</v>
          </cell>
          <cell r="AH8">
            <v>0</v>
          </cell>
          <cell r="AI8">
            <v>1</v>
          </cell>
          <cell r="AJ8">
            <v>90</v>
          </cell>
          <cell r="AK8">
            <v>0</v>
          </cell>
          <cell r="AL8">
            <v>0</v>
          </cell>
          <cell r="AM8">
            <v>0</v>
          </cell>
          <cell r="AN8">
            <v>0</v>
          </cell>
          <cell r="AO8">
            <v>3</v>
          </cell>
          <cell r="AP8">
            <v>486</v>
          </cell>
          <cell r="AQ8" t="str">
            <v>ALEXANDRIA</v>
          </cell>
          <cell r="AR8">
            <v>40</v>
          </cell>
          <cell r="AS8">
            <v>5868</v>
          </cell>
          <cell r="AT8">
            <v>39</v>
          </cell>
          <cell r="AU8">
            <v>5788</v>
          </cell>
          <cell r="AV8">
            <v>38</v>
          </cell>
          <cell r="AW8">
            <v>5547</v>
          </cell>
          <cell r="AX8">
            <v>35</v>
          </cell>
          <cell r="AY8">
            <v>5504</v>
          </cell>
          <cell r="AZ8">
            <v>0</v>
          </cell>
          <cell r="BA8">
            <v>0</v>
          </cell>
        </row>
        <row r="9">
          <cell r="B9" t="str">
            <v>ALPHARETTA</v>
          </cell>
          <cell r="C9">
            <v>3</v>
          </cell>
          <cell r="D9">
            <v>558</v>
          </cell>
          <cell r="E9">
            <v>2</v>
          </cell>
          <cell r="F9">
            <v>275</v>
          </cell>
          <cell r="G9">
            <v>19</v>
          </cell>
          <cell r="H9">
            <v>2349</v>
          </cell>
          <cell r="I9">
            <v>1</v>
          </cell>
          <cell r="J9">
            <v>150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t="str">
            <v>ALPHARETTA</v>
          </cell>
          <cell r="AR9">
            <v>27</v>
          </cell>
          <cell r="AS9">
            <v>3053</v>
          </cell>
          <cell r="AT9">
            <v>25</v>
          </cell>
          <cell r="AU9">
            <v>2778</v>
          </cell>
          <cell r="AV9">
            <v>22</v>
          </cell>
          <cell r="AW9">
            <v>2220</v>
          </cell>
          <cell r="AX9">
            <v>27</v>
          </cell>
          <cell r="AY9">
            <v>3056</v>
          </cell>
          <cell r="AZ9">
            <v>0</v>
          </cell>
          <cell r="BA9">
            <v>0</v>
          </cell>
        </row>
        <row r="10">
          <cell r="B10" t="str">
            <v>ANAHEIM CBD</v>
          </cell>
          <cell r="C10">
            <v>0</v>
          </cell>
          <cell r="D10">
            <v>0</v>
          </cell>
          <cell r="E10">
            <v>7</v>
          </cell>
          <cell r="F10">
            <v>1817</v>
          </cell>
          <cell r="G10">
            <v>10</v>
          </cell>
          <cell r="H10">
            <v>2179</v>
          </cell>
          <cell r="I10">
            <v>5</v>
          </cell>
          <cell r="J10">
            <v>916</v>
          </cell>
          <cell r="K10">
            <v>1</v>
          </cell>
          <cell r="L10">
            <v>128</v>
          </cell>
          <cell r="M10">
            <v>2</v>
          </cell>
          <cell r="N10">
            <v>394</v>
          </cell>
          <cell r="O10">
            <v>3</v>
          </cell>
          <cell r="P10">
            <v>522</v>
          </cell>
          <cell r="Q10">
            <v>3</v>
          </cell>
          <cell r="R10">
            <v>1325</v>
          </cell>
          <cell r="S10">
            <v>1</v>
          </cell>
          <cell r="T10">
            <v>117</v>
          </cell>
          <cell r="U10">
            <v>1</v>
          </cell>
          <cell r="V10">
            <v>128</v>
          </cell>
          <cell r="W10">
            <v>0</v>
          </cell>
          <cell r="X10">
            <v>0</v>
          </cell>
          <cell r="Y10">
            <v>5</v>
          </cell>
          <cell r="Z10">
            <v>1719</v>
          </cell>
          <cell r="AA10">
            <v>0</v>
          </cell>
          <cell r="AB10">
            <v>0</v>
          </cell>
          <cell r="AC10">
            <v>0</v>
          </cell>
          <cell r="AD10">
            <v>0</v>
          </cell>
          <cell r="AE10">
            <v>0</v>
          </cell>
          <cell r="AF10">
            <v>0</v>
          </cell>
          <cell r="AG10">
            <v>0</v>
          </cell>
          <cell r="AH10">
            <v>0</v>
          </cell>
          <cell r="AI10">
            <v>5</v>
          </cell>
          <cell r="AJ10">
            <v>1719</v>
          </cell>
          <cell r="AK10">
            <v>0</v>
          </cell>
          <cell r="AL10">
            <v>0</v>
          </cell>
          <cell r="AM10">
            <v>1</v>
          </cell>
          <cell r="AN10">
            <v>128</v>
          </cell>
          <cell r="AO10">
            <v>0</v>
          </cell>
          <cell r="AP10">
            <v>0</v>
          </cell>
          <cell r="AQ10" t="str">
            <v>ANAHEIM CBD</v>
          </cell>
          <cell r="AR10">
            <v>124</v>
          </cell>
          <cell r="AS10">
            <v>20910</v>
          </cell>
          <cell r="AT10">
            <v>117</v>
          </cell>
          <cell r="AU10">
            <v>19093</v>
          </cell>
          <cell r="AV10">
            <v>117</v>
          </cell>
          <cell r="AW10">
            <v>19093</v>
          </cell>
          <cell r="AX10">
            <v>114</v>
          </cell>
          <cell r="AY10">
            <v>17728</v>
          </cell>
          <cell r="AZ10">
            <v>2</v>
          </cell>
          <cell r="BA10">
            <v>394</v>
          </cell>
        </row>
        <row r="11">
          <cell r="B11" t="str">
            <v>ARLINGTON</v>
          </cell>
          <cell r="C11">
            <v>0</v>
          </cell>
          <cell r="D11">
            <v>0</v>
          </cell>
          <cell r="E11">
            <v>0</v>
          </cell>
          <cell r="F11">
            <v>0</v>
          </cell>
          <cell r="G11">
            <v>1</v>
          </cell>
          <cell r="H11">
            <v>176</v>
          </cell>
          <cell r="I11">
            <v>0</v>
          </cell>
          <cell r="J11">
            <v>0</v>
          </cell>
          <cell r="K11">
            <v>3</v>
          </cell>
          <cell r="L11">
            <v>686</v>
          </cell>
          <cell r="M11">
            <v>1</v>
          </cell>
          <cell r="N11">
            <v>220</v>
          </cell>
          <cell r="O11">
            <v>4</v>
          </cell>
          <cell r="P11">
            <v>906</v>
          </cell>
          <cell r="Q11">
            <v>1</v>
          </cell>
          <cell r="R11">
            <v>227</v>
          </cell>
          <cell r="S11">
            <v>0</v>
          </cell>
          <cell r="T11">
            <v>0</v>
          </cell>
          <cell r="U11">
            <v>2</v>
          </cell>
          <cell r="V11">
            <v>350</v>
          </cell>
          <cell r="W11">
            <v>1</v>
          </cell>
          <cell r="X11">
            <v>336</v>
          </cell>
          <cell r="Y11">
            <v>2</v>
          </cell>
          <cell r="Z11">
            <v>447</v>
          </cell>
          <cell r="AA11">
            <v>0</v>
          </cell>
          <cell r="AB11">
            <v>0</v>
          </cell>
          <cell r="AC11">
            <v>0</v>
          </cell>
          <cell r="AD11">
            <v>0</v>
          </cell>
          <cell r="AE11">
            <v>0</v>
          </cell>
          <cell r="AF11">
            <v>0</v>
          </cell>
          <cell r="AG11">
            <v>0</v>
          </cell>
          <cell r="AH11">
            <v>0</v>
          </cell>
          <cell r="AI11">
            <v>2</v>
          </cell>
          <cell r="AJ11">
            <v>447</v>
          </cell>
          <cell r="AK11">
            <v>0</v>
          </cell>
          <cell r="AL11">
            <v>0</v>
          </cell>
          <cell r="AM11">
            <v>2</v>
          </cell>
          <cell r="AN11">
            <v>350</v>
          </cell>
          <cell r="AO11">
            <v>1</v>
          </cell>
          <cell r="AP11">
            <v>336</v>
          </cell>
          <cell r="AQ11" t="str">
            <v>ARLINGTON</v>
          </cell>
          <cell r="AR11">
            <v>37</v>
          </cell>
          <cell r="AS11">
            <v>9842</v>
          </cell>
          <cell r="AT11">
            <v>37</v>
          </cell>
          <cell r="AU11">
            <v>9842</v>
          </cell>
          <cell r="AV11">
            <v>37</v>
          </cell>
          <cell r="AW11">
            <v>9842</v>
          </cell>
          <cell r="AX11">
            <v>37</v>
          </cell>
          <cell r="AY11">
            <v>9478</v>
          </cell>
          <cell r="AZ11">
            <v>1</v>
          </cell>
          <cell r="BA11">
            <v>220</v>
          </cell>
        </row>
        <row r="12">
          <cell r="B12" t="str">
            <v>ATLANTA AIRPORT</v>
          </cell>
          <cell r="C12">
            <v>2</v>
          </cell>
          <cell r="D12">
            <v>269</v>
          </cell>
          <cell r="E12">
            <v>3</v>
          </cell>
          <cell r="F12">
            <v>263</v>
          </cell>
          <cell r="G12">
            <v>13</v>
          </cell>
          <cell r="H12">
            <v>1512</v>
          </cell>
          <cell r="I12">
            <v>3</v>
          </cell>
          <cell r="J12">
            <v>263</v>
          </cell>
          <cell r="K12">
            <v>1</v>
          </cell>
          <cell r="L12">
            <v>153</v>
          </cell>
          <cell r="M12">
            <v>3</v>
          </cell>
          <cell r="N12">
            <v>431</v>
          </cell>
          <cell r="O12">
            <v>4</v>
          </cell>
          <cell r="P12">
            <v>584</v>
          </cell>
          <cell r="Q12">
            <v>1</v>
          </cell>
          <cell r="R12">
            <v>100</v>
          </cell>
          <cell r="S12">
            <v>0</v>
          </cell>
          <cell r="T12">
            <v>0</v>
          </cell>
          <cell r="U12">
            <v>1</v>
          </cell>
          <cell r="V12">
            <v>153</v>
          </cell>
          <cell r="W12">
            <v>3</v>
          </cell>
          <cell r="X12">
            <v>431</v>
          </cell>
          <cell r="Y12">
            <v>1</v>
          </cell>
          <cell r="Z12">
            <v>100</v>
          </cell>
          <cell r="AA12">
            <v>0</v>
          </cell>
          <cell r="AB12">
            <v>0</v>
          </cell>
          <cell r="AC12">
            <v>0</v>
          </cell>
          <cell r="AD12">
            <v>0</v>
          </cell>
          <cell r="AE12">
            <v>0</v>
          </cell>
          <cell r="AF12">
            <v>0</v>
          </cell>
          <cell r="AG12">
            <v>0</v>
          </cell>
          <cell r="AH12">
            <v>0</v>
          </cell>
          <cell r="AI12">
            <v>1</v>
          </cell>
          <cell r="AJ12">
            <v>100</v>
          </cell>
          <cell r="AK12">
            <v>0</v>
          </cell>
          <cell r="AL12">
            <v>0</v>
          </cell>
          <cell r="AM12">
            <v>1</v>
          </cell>
          <cell r="AN12">
            <v>153</v>
          </cell>
          <cell r="AO12">
            <v>3</v>
          </cell>
          <cell r="AP12">
            <v>431</v>
          </cell>
          <cell r="AQ12" t="str">
            <v>ATLANTA AIRPORT</v>
          </cell>
          <cell r="AR12">
            <v>57</v>
          </cell>
          <cell r="AS12">
            <v>9796</v>
          </cell>
          <cell r="AT12">
            <v>54</v>
          </cell>
          <cell r="AU12">
            <v>9533</v>
          </cell>
          <cell r="AV12">
            <v>52</v>
          </cell>
          <cell r="AW12">
            <v>9264</v>
          </cell>
          <cell r="AX12">
            <v>57</v>
          </cell>
          <cell r="AY12">
            <v>9452</v>
          </cell>
          <cell r="AZ12">
            <v>0</v>
          </cell>
          <cell r="BA12">
            <v>0</v>
          </cell>
        </row>
        <row r="13">
          <cell r="B13" t="str">
            <v>ATLANTA DOWNTOWN</v>
          </cell>
          <cell r="C13">
            <v>0</v>
          </cell>
          <cell r="D13">
            <v>0</v>
          </cell>
          <cell r="E13">
            <v>3</v>
          </cell>
          <cell r="F13">
            <v>788</v>
          </cell>
          <cell r="G13">
            <v>8</v>
          </cell>
          <cell r="H13">
            <v>1737</v>
          </cell>
          <cell r="I13">
            <v>2</v>
          </cell>
          <cell r="J13">
            <v>372</v>
          </cell>
          <cell r="K13">
            <v>2</v>
          </cell>
          <cell r="L13">
            <v>843</v>
          </cell>
          <cell r="M13">
            <v>0</v>
          </cell>
          <cell r="N13">
            <v>0</v>
          </cell>
          <cell r="O13">
            <v>2</v>
          </cell>
          <cell r="P13">
            <v>843</v>
          </cell>
          <cell r="Q13">
            <v>0</v>
          </cell>
          <cell r="R13">
            <v>0</v>
          </cell>
          <cell r="S13">
            <v>0</v>
          </cell>
          <cell r="T13">
            <v>0</v>
          </cell>
          <cell r="U13">
            <v>0</v>
          </cell>
          <cell r="V13">
            <v>0</v>
          </cell>
          <cell r="W13">
            <v>1</v>
          </cell>
          <cell r="X13">
            <v>250</v>
          </cell>
          <cell r="Y13">
            <v>1</v>
          </cell>
          <cell r="Z13">
            <v>593</v>
          </cell>
          <cell r="AA13">
            <v>0</v>
          </cell>
          <cell r="AB13">
            <v>0</v>
          </cell>
          <cell r="AC13">
            <v>0</v>
          </cell>
          <cell r="AD13">
            <v>0</v>
          </cell>
          <cell r="AE13">
            <v>0</v>
          </cell>
          <cell r="AF13">
            <v>0</v>
          </cell>
          <cell r="AG13">
            <v>0</v>
          </cell>
          <cell r="AH13">
            <v>0</v>
          </cell>
          <cell r="AI13">
            <v>1</v>
          </cell>
          <cell r="AJ13">
            <v>593</v>
          </cell>
          <cell r="AK13">
            <v>0</v>
          </cell>
          <cell r="AL13">
            <v>0</v>
          </cell>
          <cell r="AM13">
            <v>0</v>
          </cell>
          <cell r="AN13">
            <v>0</v>
          </cell>
          <cell r="AO13">
            <v>1</v>
          </cell>
          <cell r="AP13">
            <v>250</v>
          </cell>
          <cell r="AQ13" t="str">
            <v>ATLANTA DOWNTOWN</v>
          </cell>
          <cell r="AR13">
            <v>58</v>
          </cell>
          <cell r="AS13">
            <v>15526</v>
          </cell>
          <cell r="AT13">
            <v>55</v>
          </cell>
          <cell r="AU13">
            <v>14738</v>
          </cell>
          <cell r="AV13">
            <v>55</v>
          </cell>
          <cell r="AW13">
            <v>14738</v>
          </cell>
          <cell r="AX13">
            <v>57</v>
          </cell>
          <cell r="AY13">
            <v>15178</v>
          </cell>
          <cell r="AZ13">
            <v>1</v>
          </cell>
          <cell r="BA13">
            <v>593</v>
          </cell>
        </row>
        <row r="14">
          <cell r="B14" t="str">
            <v>ATLANTA EAST</v>
          </cell>
          <cell r="C14">
            <v>1</v>
          </cell>
          <cell r="D14">
            <v>47</v>
          </cell>
          <cell r="E14">
            <v>3</v>
          </cell>
          <cell r="F14">
            <v>208</v>
          </cell>
          <cell r="G14">
            <v>21</v>
          </cell>
          <cell r="H14">
            <v>1541</v>
          </cell>
          <cell r="I14">
            <v>2</v>
          </cell>
          <cell r="J14">
            <v>146</v>
          </cell>
          <cell r="K14">
            <v>3</v>
          </cell>
          <cell r="L14">
            <v>220</v>
          </cell>
          <cell r="M14">
            <v>2</v>
          </cell>
          <cell r="N14">
            <v>156</v>
          </cell>
          <cell r="O14">
            <v>5</v>
          </cell>
          <cell r="P14">
            <v>376</v>
          </cell>
          <cell r="Q14">
            <v>1</v>
          </cell>
          <cell r="R14">
            <v>90</v>
          </cell>
          <cell r="S14">
            <v>0</v>
          </cell>
          <cell r="T14">
            <v>0</v>
          </cell>
          <cell r="U14">
            <v>3</v>
          </cell>
          <cell r="V14">
            <v>220</v>
          </cell>
          <cell r="W14">
            <v>2</v>
          </cell>
          <cell r="X14">
            <v>156</v>
          </cell>
          <cell r="Y14">
            <v>1</v>
          </cell>
          <cell r="Z14">
            <v>90</v>
          </cell>
          <cell r="AA14">
            <v>0</v>
          </cell>
          <cell r="AB14">
            <v>0</v>
          </cell>
          <cell r="AC14">
            <v>0</v>
          </cell>
          <cell r="AD14">
            <v>0</v>
          </cell>
          <cell r="AE14">
            <v>0</v>
          </cell>
          <cell r="AF14">
            <v>0</v>
          </cell>
          <cell r="AG14">
            <v>0</v>
          </cell>
          <cell r="AH14">
            <v>0</v>
          </cell>
          <cell r="AI14">
            <v>1</v>
          </cell>
          <cell r="AJ14">
            <v>90</v>
          </cell>
          <cell r="AK14">
            <v>0</v>
          </cell>
          <cell r="AL14">
            <v>0</v>
          </cell>
          <cell r="AM14">
            <v>3</v>
          </cell>
          <cell r="AN14">
            <v>220</v>
          </cell>
          <cell r="AO14">
            <v>2</v>
          </cell>
          <cell r="AP14">
            <v>156</v>
          </cell>
          <cell r="AQ14" t="str">
            <v>ATLANTA EAST</v>
          </cell>
          <cell r="AR14">
            <v>89</v>
          </cell>
          <cell r="AS14">
            <v>7805</v>
          </cell>
          <cell r="AT14">
            <v>86</v>
          </cell>
          <cell r="AU14">
            <v>7597</v>
          </cell>
          <cell r="AV14">
            <v>85</v>
          </cell>
          <cell r="AW14">
            <v>7550</v>
          </cell>
          <cell r="AX14">
            <v>79</v>
          </cell>
          <cell r="AY14">
            <v>6869</v>
          </cell>
          <cell r="AZ14">
            <v>0</v>
          </cell>
          <cell r="BA14">
            <v>0</v>
          </cell>
        </row>
        <row r="15">
          <cell r="B15" t="str">
            <v>ATLANTA GALLERIA AREA</v>
          </cell>
          <cell r="C15">
            <v>0</v>
          </cell>
          <cell r="D15">
            <v>0</v>
          </cell>
          <cell r="E15">
            <v>0</v>
          </cell>
          <cell r="F15">
            <v>0</v>
          </cell>
          <cell r="G15">
            <v>13</v>
          </cell>
          <cell r="H15">
            <v>1391</v>
          </cell>
          <cell r="I15">
            <v>1</v>
          </cell>
          <cell r="J15">
            <v>72</v>
          </cell>
          <cell r="K15">
            <v>0</v>
          </cell>
          <cell r="L15">
            <v>0</v>
          </cell>
          <cell r="M15">
            <v>1</v>
          </cell>
          <cell r="N15">
            <v>86</v>
          </cell>
          <cell r="O15">
            <v>1</v>
          </cell>
          <cell r="P15">
            <v>86</v>
          </cell>
          <cell r="Q15">
            <v>0</v>
          </cell>
          <cell r="R15">
            <v>0</v>
          </cell>
          <cell r="S15">
            <v>1</v>
          </cell>
          <cell r="T15">
            <v>72</v>
          </cell>
          <cell r="U15">
            <v>0</v>
          </cell>
          <cell r="V15">
            <v>0</v>
          </cell>
          <cell r="W15">
            <v>1</v>
          </cell>
          <cell r="X15">
            <v>86</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1</v>
          </cell>
          <cell r="AP15">
            <v>86</v>
          </cell>
          <cell r="AQ15" t="str">
            <v>ATLANTA GALLERIA AREA</v>
          </cell>
          <cell r="AR15">
            <v>50</v>
          </cell>
          <cell r="AS15">
            <v>7473</v>
          </cell>
          <cell r="AT15">
            <v>50</v>
          </cell>
          <cell r="AU15">
            <v>7473</v>
          </cell>
          <cell r="AV15">
            <v>50</v>
          </cell>
          <cell r="AW15">
            <v>7473</v>
          </cell>
          <cell r="AX15">
            <v>49</v>
          </cell>
          <cell r="AY15">
            <v>7194</v>
          </cell>
          <cell r="AZ15">
            <v>0</v>
          </cell>
          <cell r="BA15">
            <v>0</v>
          </cell>
        </row>
        <row r="16">
          <cell r="B16" t="str">
            <v>ATLANTA NORTH</v>
          </cell>
          <cell r="C16">
            <v>5</v>
          </cell>
          <cell r="D16">
            <v>385</v>
          </cell>
          <cell r="E16">
            <v>3</v>
          </cell>
          <cell r="F16">
            <v>284</v>
          </cell>
          <cell r="G16">
            <v>26</v>
          </cell>
          <cell r="H16">
            <v>2702</v>
          </cell>
          <cell r="I16">
            <v>4</v>
          </cell>
          <cell r="J16">
            <v>355</v>
          </cell>
          <cell r="K16">
            <v>2</v>
          </cell>
          <cell r="L16">
            <v>156</v>
          </cell>
          <cell r="M16">
            <v>3</v>
          </cell>
          <cell r="N16">
            <v>439</v>
          </cell>
          <cell r="O16">
            <v>5</v>
          </cell>
          <cell r="P16">
            <v>595</v>
          </cell>
          <cell r="Q16">
            <v>2</v>
          </cell>
          <cell r="R16">
            <v>170</v>
          </cell>
          <cell r="S16">
            <v>1</v>
          </cell>
          <cell r="T16">
            <v>71</v>
          </cell>
          <cell r="U16">
            <v>2</v>
          </cell>
          <cell r="V16">
            <v>156</v>
          </cell>
          <cell r="W16">
            <v>1</v>
          </cell>
          <cell r="X16">
            <v>70</v>
          </cell>
          <cell r="Y16">
            <v>4</v>
          </cell>
          <cell r="Z16">
            <v>539</v>
          </cell>
          <cell r="AA16">
            <v>0</v>
          </cell>
          <cell r="AB16">
            <v>0</v>
          </cell>
          <cell r="AC16">
            <v>0</v>
          </cell>
          <cell r="AD16">
            <v>0</v>
          </cell>
          <cell r="AE16">
            <v>0</v>
          </cell>
          <cell r="AF16">
            <v>0</v>
          </cell>
          <cell r="AG16">
            <v>0</v>
          </cell>
          <cell r="AH16">
            <v>0</v>
          </cell>
          <cell r="AI16">
            <v>4</v>
          </cell>
          <cell r="AJ16">
            <v>539</v>
          </cell>
          <cell r="AK16">
            <v>0</v>
          </cell>
          <cell r="AL16">
            <v>0</v>
          </cell>
          <cell r="AM16">
            <v>2</v>
          </cell>
          <cell r="AN16">
            <v>156</v>
          </cell>
          <cell r="AO16">
            <v>1</v>
          </cell>
          <cell r="AP16">
            <v>70</v>
          </cell>
          <cell r="AQ16" t="str">
            <v>ATLANTA NORTH</v>
          </cell>
          <cell r="AR16">
            <v>59</v>
          </cell>
          <cell r="AS16">
            <v>8853</v>
          </cell>
          <cell r="AT16">
            <v>56</v>
          </cell>
          <cell r="AU16">
            <v>8569</v>
          </cell>
          <cell r="AV16">
            <v>51</v>
          </cell>
          <cell r="AW16">
            <v>8184</v>
          </cell>
          <cell r="AX16">
            <v>57</v>
          </cell>
          <cell r="AY16">
            <v>8261</v>
          </cell>
          <cell r="AZ16">
            <v>2</v>
          </cell>
          <cell r="BA16">
            <v>369</v>
          </cell>
        </row>
        <row r="17">
          <cell r="B17" t="str">
            <v>ATLANTA NORTH CENTRAL</v>
          </cell>
          <cell r="C17">
            <v>2</v>
          </cell>
          <cell r="D17">
            <v>186</v>
          </cell>
          <cell r="E17">
            <v>0</v>
          </cell>
          <cell r="F17">
            <v>0</v>
          </cell>
          <cell r="G17">
            <v>13</v>
          </cell>
          <cell r="H17">
            <v>1447</v>
          </cell>
          <cell r="I17">
            <v>1</v>
          </cell>
          <cell r="J17">
            <v>80</v>
          </cell>
          <cell r="K17">
            <v>0</v>
          </cell>
          <cell r="L17">
            <v>0</v>
          </cell>
          <cell r="M17">
            <v>0</v>
          </cell>
          <cell r="N17">
            <v>0</v>
          </cell>
          <cell r="O17">
            <v>0</v>
          </cell>
          <cell r="P17">
            <v>0</v>
          </cell>
          <cell r="Q17">
            <v>2</v>
          </cell>
          <cell r="R17">
            <v>645</v>
          </cell>
          <cell r="S17">
            <v>1</v>
          </cell>
          <cell r="T17">
            <v>80</v>
          </cell>
          <cell r="U17">
            <v>0</v>
          </cell>
          <cell r="V17">
            <v>0</v>
          </cell>
          <cell r="W17">
            <v>0</v>
          </cell>
          <cell r="X17">
            <v>0</v>
          </cell>
          <cell r="Y17">
            <v>1</v>
          </cell>
          <cell r="Z17">
            <v>220</v>
          </cell>
          <cell r="AA17">
            <v>1</v>
          </cell>
          <cell r="AB17">
            <v>425</v>
          </cell>
          <cell r="AC17">
            <v>0</v>
          </cell>
          <cell r="AD17">
            <v>0</v>
          </cell>
          <cell r="AE17">
            <v>0</v>
          </cell>
          <cell r="AF17">
            <v>0</v>
          </cell>
          <cell r="AG17">
            <v>0</v>
          </cell>
          <cell r="AH17">
            <v>0</v>
          </cell>
          <cell r="AI17">
            <v>2</v>
          </cell>
          <cell r="AJ17">
            <v>645</v>
          </cell>
          <cell r="AK17">
            <v>0</v>
          </cell>
          <cell r="AL17">
            <v>0</v>
          </cell>
          <cell r="AM17">
            <v>0</v>
          </cell>
          <cell r="AN17">
            <v>0</v>
          </cell>
          <cell r="AO17">
            <v>0</v>
          </cell>
          <cell r="AP17">
            <v>0</v>
          </cell>
          <cell r="AQ17" t="str">
            <v>ATLANTA NORTH CENTRAL</v>
          </cell>
          <cell r="AR17">
            <v>40</v>
          </cell>
          <cell r="AS17">
            <v>7148</v>
          </cell>
          <cell r="AT17">
            <v>40</v>
          </cell>
          <cell r="AU17">
            <v>7148</v>
          </cell>
          <cell r="AV17">
            <v>38</v>
          </cell>
          <cell r="AW17">
            <v>6962</v>
          </cell>
          <cell r="AX17">
            <v>41</v>
          </cell>
          <cell r="AY17">
            <v>7455</v>
          </cell>
          <cell r="AZ17">
            <v>0</v>
          </cell>
          <cell r="BA17">
            <v>0</v>
          </cell>
        </row>
        <row r="18">
          <cell r="B18" t="str">
            <v>ATLANTA NORTHEAST</v>
          </cell>
          <cell r="C18">
            <v>1</v>
          </cell>
          <cell r="D18">
            <v>43</v>
          </cell>
          <cell r="E18">
            <v>2</v>
          </cell>
          <cell r="F18">
            <v>168</v>
          </cell>
          <cell r="G18">
            <v>23</v>
          </cell>
          <cell r="H18">
            <v>2337</v>
          </cell>
          <cell r="I18">
            <v>2</v>
          </cell>
          <cell r="J18">
            <v>168</v>
          </cell>
          <cell r="K18">
            <v>2</v>
          </cell>
          <cell r="L18">
            <v>112</v>
          </cell>
          <cell r="M18">
            <v>2</v>
          </cell>
          <cell r="N18">
            <v>225</v>
          </cell>
          <cell r="O18">
            <v>4</v>
          </cell>
          <cell r="P18">
            <v>337</v>
          </cell>
          <cell r="Q18">
            <v>2</v>
          </cell>
          <cell r="R18">
            <v>183</v>
          </cell>
          <cell r="S18">
            <v>0</v>
          </cell>
          <cell r="T18">
            <v>0</v>
          </cell>
          <cell r="U18">
            <v>2</v>
          </cell>
          <cell r="V18">
            <v>112</v>
          </cell>
          <cell r="W18">
            <v>1</v>
          </cell>
          <cell r="X18">
            <v>125</v>
          </cell>
          <cell r="Y18">
            <v>3</v>
          </cell>
          <cell r="Z18">
            <v>283</v>
          </cell>
          <cell r="AA18">
            <v>0</v>
          </cell>
          <cell r="AB18">
            <v>0</v>
          </cell>
          <cell r="AC18">
            <v>0</v>
          </cell>
          <cell r="AD18">
            <v>0</v>
          </cell>
          <cell r="AE18">
            <v>0</v>
          </cell>
          <cell r="AF18">
            <v>0</v>
          </cell>
          <cell r="AG18">
            <v>0</v>
          </cell>
          <cell r="AH18">
            <v>0</v>
          </cell>
          <cell r="AI18">
            <v>3</v>
          </cell>
          <cell r="AJ18">
            <v>283</v>
          </cell>
          <cell r="AK18">
            <v>0</v>
          </cell>
          <cell r="AL18">
            <v>0</v>
          </cell>
          <cell r="AM18">
            <v>2</v>
          </cell>
          <cell r="AN18">
            <v>112</v>
          </cell>
          <cell r="AO18">
            <v>1</v>
          </cell>
          <cell r="AP18">
            <v>125</v>
          </cell>
          <cell r="AQ18" t="str">
            <v>ATLANTA NORTHEAST</v>
          </cell>
          <cell r="AR18">
            <v>77</v>
          </cell>
          <cell r="AS18">
            <v>9675</v>
          </cell>
          <cell r="AT18">
            <v>75</v>
          </cell>
          <cell r="AU18">
            <v>9507</v>
          </cell>
          <cell r="AV18">
            <v>74</v>
          </cell>
          <cell r="AW18">
            <v>9464</v>
          </cell>
          <cell r="AX18">
            <v>81</v>
          </cell>
          <cell r="AY18">
            <v>9968</v>
          </cell>
          <cell r="AZ18">
            <v>1</v>
          </cell>
          <cell r="BA18">
            <v>100</v>
          </cell>
        </row>
        <row r="19">
          <cell r="B19" t="str">
            <v>ATLANTA NORTHWEST</v>
          </cell>
          <cell r="C19">
            <v>11</v>
          </cell>
          <cell r="D19">
            <v>1005</v>
          </cell>
          <cell r="E19">
            <v>2</v>
          </cell>
          <cell r="F19">
            <v>83</v>
          </cell>
          <cell r="G19">
            <v>28</v>
          </cell>
          <cell r="H19">
            <v>2382</v>
          </cell>
          <cell r="I19">
            <v>1</v>
          </cell>
          <cell r="J19">
            <v>39</v>
          </cell>
          <cell r="K19">
            <v>1</v>
          </cell>
          <cell r="L19">
            <v>60</v>
          </cell>
          <cell r="M19">
            <v>1</v>
          </cell>
          <cell r="N19">
            <v>114</v>
          </cell>
          <cell r="O19">
            <v>2</v>
          </cell>
          <cell r="P19">
            <v>174</v>
          </cell>
          <cell r="Q19">
            <v>2</v>
          </cell>
          <cell r="R19">
            <v>251</v>
          </cell>
          <cell r="S19">
            <v>0</v>
          </cell>
          <cell r="T19">
            <v>0</v>
          </cell>
          <cell r="U19">
            <v>1</v>
          </cell>
          <cell r="V19">
            <v>60</v>
          </cell>
          <cell r="W19">
            <v>1</v>
          </cell>
          <cell r="X19">
            <v>114</v>
          </cell>
          <cell r="Y19">
            <v>2</v>
          </cell>
          <cell r="Z19">
            <v>251</v>
          </cell>
          <cell r="AA19">
            <v>0</v>
          </cell>
          <cell r="AB19">
            <v>0</v>
          </cell>
          <cell r="AC19">
            <v>0</v>
          </cell>
          <cell r="AD19">
            <v>0</v>
          </cell>
          <cell r="AE19">
            <v>0</v>
          </cell>
          <cell r="AF19">
            <v>0</v>
          </cell>
          <cell r="AG19">
            <v>0</v>
          </cell>
          <cell r="AH19">
            <v>0</v>
          </cell>
          <cell r="AI19">
            <v>2</v>
          </cell>
          <cell r="AJ19">
            <v>251</v>
          </cell>
          <cell r="AK19">
            <v>0</v>
          </cell>
          <cell r="AL19">
            <v>0</v>
          </cell>
          <cell r="AM19">
            <v>1</v>
          </cell>
          <cell r="AN19">
            <v>60</v>
          </cell>
          <cell r="AO19">
            <v>1</v>
          </cell>
          <cell r="AP19">
            <v>114</v>
          </cell>
          <cell r="AQ19" t="str">
            <v>ATLANTA NORTHWEST</v>
          </cell>
          <cell r="AR19">
            <v>98</v>
          </cell>
          <cell r="AS19">
            <v>9271</v>
          </cell>
          <cell r="AT19">
            <v>96</v>
          </cell>
          <cell r="AU19">
            <v>9188</v>
          </cell>
          <cell r="AV19">
            <v>85</v>
          </cell>
          <cell r="AW19">
            <v>8183</v>
          </cell>
          <cell r="AX19">
            <v>89</v>
          </cell>
          <cell r="AY19">
            <v>8355</v>
          </cell>
          <cell r="AZ19">
            <v>0</v>
          </cell>
          <cell r="BA19">
            <v>0</v>
          </cell>
        </row>
        <row r="20">
          <cell r="B20" t="str">
            <v>ATLANTA SOUTH</v>
          </cell>
          <cell r="C20">
            <v>5</v>
          </cell>
          <cell r="D20">
            <v>316</v>
          </cell>
          <cell r="E20">
            <v>8</v>
          </cell>
          <cell r="F20">
            <v>474</v>
          </cell>
          <cell r="G20">
            <v>25</v>
          </cell>
          <cell r="H20">
            <v>1750</v>
          </cell>
          <cell r="I20">
            <v>8</v>
          </cell>
          <cell r="J20">
            <v>474</v>
          </cell>
          <cell r="K20">
            <v>3</v>
          </cell>
          <cell r="L20">
            <v>183</v>
          </cell>
          <cell r="M20">
            <v>1</v>
          </cell>
          <cell r="N20">
            <v>225</v>
          </cell>
          <cell r="O20">
            <v>4</v>
          </cell>
          <cell r="P20">
            <v>408</v>
          </cell>
          <cell r="Q20">
            <v>4</v>
          </cell>
          <cell r="R20">
            <v>551</v>
          </cell>
          <cell r="S20">
            <v>0</v>
          </cell>
          <cell r="T20">
            <v>0</v>
          </cell>
          <cell r="U20">
            <v>3</v>
          </cell>
          <cell r="V20">
            <v>183</v>
          </cell>
          <cell r="W20">
            <v>0</v>
          </cell>
          <cell r="X20">
            <v>0</v>
          </cell>
          <cell r="Y20">
            <v>5</v>
          </cell>
          <cell r="Z20">
            <v>776</v>
          </cell>
          <cell r="AA20">
            <v>0</v>
          </cell>
          <cell r="AB20">
            <v>0</v>
          </cell>
          <cell r="AC20">
            <v>0</v>
          </cell>
          <cell r="AD20">
            <v>0</v>
          </cell>
          <cell r="AE20">
            <v>0</v>
          </cell>
          <cell r="AF20">
            <v>0</v>
          </cell>
          <cell r="AG20">
            <v>0</v>
          </cell>
          <cell r="AH20">
            <v>0</v>
          </cell>
          <cell r="AI20">
            <v>5</v>
          </cell>
          <cell r="AJ20">
            <v>776</v>
          </cell>
          <cell r="AK20">
            <v>0</v>
          </cell>
          <cell r="AL20">
            <v>0</v>
          </cell>
          <cell r="AM20">
            <v>3</v>
          </cell>
          <cell r="AN20">
            <v>183</v>
          </cell>
          <cell r="AO20">
            <v>0</v>
          </cell>
          <cell r="AP20">
            <v>0</v>
          </cell>
          <cell r="AQ20" t="str">
            <v>ATLANTA SOUTH</v>
          </cell>
          <cell r="AR20">
            <v>105</v>
          </cell>
          <cell r="AS20">
            <v>8440</v>
          </cell>
          <cell r="AT20">
            <v>97</v>
          </cell>
          <cell r="AU20">
            <v>7966</v>
          </cell>
          <cell r="AV20">
            <v>92</v>
          </cell>
          <cell r="AW20">
            <v>7650</v>
          </cell>
          <cell r="AX20">
            <v>107</v>
          </cell>
          <cell r="AY20">
            <v>8552</v>
          </cell>
          <cell r="AZ20">
            <v>1</v>
          </cell>
          <cell r="BA20">
            <v>225</v>
          </cell>
        </row>
        <row r="21">
          <cell r="B21" t="str">
            <v>ATLANTA-OTHER</v>
          </cell>
          <cell r="C21">
            <v>11</v>
          </cell>
          <cell r="D21">
            <v>1107</v>
          </cell>
          <cell r="E21">
            <v>13</v>
          </cell>
          <cell r="F21">
            <v>957</v>
          </cell>
          <cell r="G21">
            <v>91</v>
          </cell>
          <cell r="H21">
            <v>8478</v>
          </cell>
          <cell r="I21">
            <v>13</v>
          </cell>
          <cell r="J21">
            <v>922</v>
          </cell>
          <cell r="K21">
            <v>6</v>
          </cell>
          <cell r="L21">
            <v>403</v>
          </cell>
          <cell r="M21">
            <v>4</v>
          </cell>
          <cell r="N21">
            <v>467</v>
          </cell>
          <cell r="O21">
            <v>10</v>
          </cell>
          <cell r="P21">
            <v>870</v>
          </cell>
          <cell r="Q21">
            <v>7</v>
          </cell>
          <cell r="R21">
            <v>1286</v>
          </cell>
          <cell r="S21">
            <v>2</v>
          </cell>
          <cell r="T21">
            <v>152</v>
          </cell>
          <cell r="U21">
            <v>6</v>
          </cell>
          <cell r="V21">
            <v>403</v>
          </cell>
          <cell r="W21">
            <v>3</v>
          </cell>
          <cell r="X21">
            <v>242</v>
          </cell>
          <cell r="Y21">
            <v>7</v>
          </cell>
          <cell r="Z21">
            <v>1086</v>
          </cell>
          <cell r="AA21">
            <v>1</v>
          </cell>
          <cell r="AB21">
            <v>425</v>
          </cell>
          <cell r="AC21">
            <v>0</v>
          </cell>
          <cell r="AD21">
            <v>0</v>
          </cell>
          <cell r="AE21">
            <v>0</v>
          </cell>
          <cell r="AF21">
            <v>0</v>
          </cell>
          <cell r="AG21">
            <v>0</v>
          </cell>
          <cell r="AH21">
            <v>0</v>
          </cell>
          <cell r="AI21">
            <v>8</v>
          </cell>
          <cell r="AJ21">
            <v>1511</v>
          </cell>
          <cell r="AK21">
            <v>0</v>
          </cell>
          <cell r="AL21">
            <v>0</v>
          </cell>
          <cell r="AM21">
            <v>6</v>
          </cell>
          <cell r="AN21">
            <v>403</v>
          </cell>
          <cell r="AO21">
            <v>3</v>
          </cell>
          <cell r="AP21">
            <v>242</v>
          </cell>
          <cell r="AQ21" t="str">
            <v>ATLANTA-OTHER</v>
          </cell>
          <cell r="AR21">
            <v>311</v>
          </cell>
          <cell r="AS21">
            <v>33919</v>
          </cell>
          <cell r="AT21">
            <v>298</v>
          </cell>
          <cell r="AU21">
            <v>32962</v>
          </cell>
          <cell r="AV21">
            <v>287</v>
          </cell>
          <cell r="AW21">
            <v>31855</v>
          </cell>
          <cell r="AX21">
            <v>303</v>
          </cell>
          <cell r="AY21">
            <v>33126</v>
          </cell>
          <cell r="AZ21">
            <v>1</v>
          </cell>
          <cell r="BA21">
            <v>225</v>
          </cell>
        </row>
        <row r="22">
          <cell r="B22" t="str">
            <v>BETHESDA-SILVER SPRING</v>
          </cell>
          <cell r="C22">
            <v>1</v>
          </cell>
          <cell r="D22">
            <v>78</v>
          </cell>
          <cell r="E22">
            <v>0</v>
          </cell>
          <cell r="F22">
            <v>0</v>
          </cell>
          <cell r="G22">
            <v>1</v>
          </cell>
          <cell r="H22">
            <v>78</v>
          </cell>
          <cell r="I22">
            <v>0</v>
          </cell>
          <cell r="J22">
            <v>0</v>
          </cell>
          <cell r="K22">
            <v>0</v>
          </cell>
          <cell r="L22">
            <v>0</v>
          </cell>
          <cell r="M22">
            <v>1</v>
          </cell>
          <cell r="N22">
            <v>250</v>
          </cell>
          <cell r="O22">
            <v>1</v>
          </cell>
          <cell r="P22">
            <v>250</v>
          </cell>
          <cell r="Q22">
            <v>1</v>
          </cell>
          <cell r="R22">
            <v>175</v>
          </cell>
          <cell r="S22">
            <v>0</v>
          </cell>
          <cell r="T22">
            <v>0</v>
          </cell>
          <cell r="U22">
            <v>0</v>
          </cell>
          <cell r="V22">
            <v>0</v>
          </cell>
          <cell r="W22">
            <v>0</v>
          </cell>
          <cell r="X22">
            <v>0</v>
          </cell>
          <cell r="Y22">
            <v>2</v>
          </cell>
          <cell r="Z22">
            <v>425</v>
          </cell>
          <cell r="AA22">
            <v>0</v>
          </cell>
          <cell r="AB22">
            <v>0</v>
          </cell>
          <cell r="AC22">
            <v>0</v>
          </cell>
          <cell r="AD22">
            <v>0</v>
          </cell>
          <cell r="AE22">
            <v>0</v>
          </cell>
          <cell r="AF22">
            <v>0</v>
          </cell>
          <cell r="AG22">
            <v>0</v>
          </cell>
          <cell r="AH22">
            <v>0</v>
          </cell>
          <cell r="AI22">
            <v>2</v>
          </cell>
          <cell r="AJ22">
            <v>425</v>
          </cell>
          <cell r="AK22">
            <v>0</v>
          </cell>
          <cell r="AL22">
            <v>0</v>
          </cell>
          <cell r="AM22">
            <v>0</v>
          </cell>
          <cell r="AN22">
            <v>0</v>
          </cell>
          <cell r="AO22">
            <v>0</v>
          </cell>
          <cell r="AP22">
            <v>0</v>
          </cell>
          <cell r="AQ22" t="str">
            <v>BETHESDA-SILVER SPRING</v>
          </cell>
          <cell r="AR22">
            <v>35</v>
          </cell>
          <cell r="AS22">
            <v>5177</v>
          </cell>
          <cell r="AT22">
            <v>35</v>
          </cell>
          <cell r="AU22">
            <v>5177</v>
          </cell>
          <cell r="AV22">
            <v>34</v>
          </cell>
          <cell r="AW22">
            <v>5099</v>
          </cell>
          <cell r="AX22">
            <v>36</v>
          </cell>
          <cell r="AY22">
            <v>5183</v>
          </cell>
          <cell r="AZ22">
            <v>1</v>
          </cell>
          <cell r="BA22">
            <v>250</v>
          </cell>
        </row>
        <row r="23">
          <cell r="B23" t="str">
            <v>BLOOMINGTON</v>
          </cell>
          <cell r="C23">
            <v>1</v>
          </cell>
          <cell r="D23">
            <v>200</v>
          </cell>
          <cell r="E23">
            <v>1</v>
          </cell>
          <cell r="F23">
            <v>127</v>
          </cell>
          <cell r="G23">
            <v>12</v>
          </cell>
          <cell r="H23">
            <v>1627</v>
          </cell>
          <cell r="I23">
            <v>1</v>
          </cell>
          <cell r="J23">
            <v>127</v>
          </cell>
          <cell r="K23">
            <v>1</v>
          </cell>
          <cell r="L23">
            <v>104</v>
          </cell>
          <cell r="M23">
            <v>2</v>
          </cell>
          <cell r="N23">
            <v>525</v>
          </cell>
          <cell r="O23">
            <v>3</v>
          </cell>
          <cell r="P23">
            <v>629</v>
          </cell>
          <cell r="Q23">
            <v>0</v>
          </cell>
          <cell r="R23">
            <v>0</v>
          </cell>
          <cell r="S23">
            <v>0</v>
          </cell>
          <cell r="T23">
            <v>0</v>
          </cell>
          <cell r="U23">
            <v>1</v>
          </cell>
          <cell r="V23">
            <v>104</v>
          </cell>
          <cell r="W23">
            <v>0</v>
          </cell>
          <cell r="X23">
            <v>0</v>
          </cell>
          <cell r="Y23">
            <v>2</v>
          </cell>
          <cell r="Z23">
            <v>525</v>
          </cell>
          <cell r="AA23">
            <v>0</v>
          </cell>
          <cell r="AB23">
            <v>0</v>
          </cell>
          <cell r="AC23">
            <v>0</v>
          </cell>
          <cell r="AD23">
            <v>0</v>
          </cell>
          <cell r="AE23">
            <v>0</v>
          </cell>
          <cell r="AF23">
            <v>0</v>
          </cell>
          <cell r="AG23">
            <v>0</v>
          </cell>
          <cell r="AH23">
            <v>0</v>
          </cell>
          <cell r="AI23">
            <v>2</v>
          </cell>
          <cell r="AJ23">
            <v>525</v>
          </cell>
          <cell r="AK23">
            <v>0</v>
          </cell>
          <cell r="AL23">
            <v>0</v>
          </cell>
          <cell r="AM23">
            <v>1</v>
          </cell>
          <cell r="AN23">
            <v>104</v>
          </cell>
          <cell r="AO23">
            <v>0</v>
          </cell>
          <cell r="AP23">
            <v>0</v>
          </cell>
          <cell r="AQ23" t="str">
            <v>BLOOMINGTON</v>
          </cell>
          <cell r="AR23">
            <v>37</v>
          </cell>
          <cell r="AS23">
            <v>7059</v>
          </cell>
          <cell r="AT23">
            <v>36</v>
          </cell>
          <cell r="AU23">
            <v>6932</v>
          </cell>
          <cell r="AV23">
            <v>35</v>
          </cell>
          <cell r="AW23">
            <v>6732</v>
          </cell>
          <cell r="AX23">
            <v>40</v>
          </cell>
          <cell r="AY23">
            <v>8375</v>
          </cell>
          <cell r="AZ23">
            <v>2</v>
          </cell>
          <cell r="BA23">
            <v>525</v>
          </cell>
        </row>
        <row r="24">
          <cell r="B24" t="str">
            <v>BOSTON CBD</v>
          </cell>
          <cell r="C24">
            <v>4</v>
          </cell>
          <cell r="D24">
            <v>693</v>
          </cell>
          <cell r="E24">
            <v>5</v>
          </cell>
          <cell r="F24">
            <v>860</v>
          </cell>
          <cell r="G24">
            <v>16</v>
          </cell>
          <cell r="H24">
            <v>3371</v>
          </cell>
          <cell r="I24">
            <v>3</v>
          </cell>
          <cell r="J24">
            <v>394</v>
          </cell>
          <cell r="K24">
            <v>5</v>
          </cell>
          <cell r="L24">
            <v>968</v>
          </cell>
          <cell r="M24">
            <v>10</v>
          </cell>
          <cell r="N24">
            <v>2892</v>
          </cell>
          <cell r="O24">
            <v>15</v>
          </cell>
          <cell r="P24">
            <v>3860</v>
          </cell>
          <cell r="Q24">
            <v>5</v>
          </cell>
          <cell r="R24">
            <v>1275</v>
          </cell>
          <cell r="S24">
            <v>1</v>
          </cell>
          <cell r="T24">
            <v>33</v>
          </cell>
          <cell r="U24">
            <v>2</v>
          </cell>
          <cell r="V24">
            <v>340</v>
          </cell>
          <cell r="W24">
            <v>5</v>
          </cell>
          <cell r="X24">
            <v>902</v>
          </cell>
          <cell r="Y24">
            <v>10</v>
          </cell>
          <cell r="Z24">
            <v>2793</v>
          </cell>
          <cell r="AA24">
            <v>2</v>
          </cell>
          <cell r="AB24">
            <v>450</v>
          </cell>
          <cell r="AC24">
            <v>1</v>
          </cell>
          <cell r="AD24">
            <v>650</v>
          </cell>
          <cell r="AE24">
            <v>0</v>
          </cell>
          <cell r="AF24">
            <v>0</v>
          </cell>
          <cell r="AG24">
            <v>0</v>
          </cell>
          <cell r="AH24">
            <v>0</v>
          </cell>
          <cell r="AI24">
            <v>13</v>
          </cell>
          <cell r="AJ24">
            <v>3893</v>
          </cell>
          <cell r="AK24">
            <v>0</v>
          </cell>
          <cell r="AL24">
            <v>0</v>
          </cell>
          <cell r="AM24">
            <v>2</v>
          </cell>
          <cell r="AN24">
            <v>340</v>
          </cell>
          <cell r="AO24">
            <v>5</v>
          </cell>
          <cell r="AP24">
            <v>902</v>
          </cell>
          <cell r="AQ24" t="str">
            <v>BOSTON CBD</v>
          </cell>
          <cell r="AR24">
            <v>63</v>
          </cell>
          <cell r="AS24">
            <v>15527</v>
          </cell>
          <cell r="AT24">
            <v>58</v>
          </cell>
          <cell r="AU24">
            <v>14667</v>
          </cell>
          <cell r="AV24">
            <v>54</v>
          </cell>
          <cell r="AW24">
            <v>13974</v>
          </cell>
          <cell r="AX24">
            <v>57</v>
          </cell>
          <cell r="AY24">
            <v>14783</v>
          </cell>
          <cell r="AZ24">
            <v>8</v>
          </cell>
          <cell r="BA24">
            <v>2618</v>
          </cell>
        </row>
        <row r="25">
          <cell r="B25" t="str">
            <v>BOSTON NORTH</v>
          </cell>
          <cell r="C25">
            <v>2</v>
          </cell>
          <cell r="D25">
            <v>290</v>
          </cell>
          <cell r="E25">
            <v>3</v>
          </cell>
          <cell r="F25">
            <v>265</v>
          </cell>
          <cell r="G25">
            <v>17</v>
          </cell>
          <cell r="H25">
            <v>2212</v>
          </cell>
          <cell r="I25">
            <v>2</v>
          </cell>
          <cell r="J25">
            <v>157</v>
          </cell>
          <cell r="K25">
            <v>5</v>
          </cell>
          <cell r="L25">
            <v>615</v>
          </cell>
          <cell r="M25">
            <v>1</v>
          </cell>
          <cell r="N25">
            <v>150</v>
          </cell>
          <cell r="O25">
            <v>6</v>
          </cell>
          <cell r="P25">
            <v>765</v>
          </cell>
          <cell r="Q25">
            <v>1</v>
          </cell>
          <cell r="R25">
            <v>85</v>
          </cell>
          <cell r="S25">
            <v>0</v>
          </cell>
          <cell r="T25">
            <v>0</v>
          </cell>
          <cell r="U25">
            <v>5</v>
          </cell>
          <cell r="V25">
            <v>615</v>
          </cell>
          <cell r="W25">
            <v>1</v>
          </cell>
          <cell r="X25">
            <v>150</v>
          </cell>
          <cell r="Y25">
            <v>1</v>
          </cell>
          <cell r="Z25">
            <v>85</v>
          </cell>
          <cell r="AA25">
            <v>0</v>
          </cell>
          <cell r="AB25">
            <v>0</v>
          </cell>
          <cell r="AC25">
            <v>0</v>
          </cell>
          <cell r="AD25">
            <v>0</v>
          </cell>
          <cell r="AE25">
            <v>0</v>
          </cell>
          <cell r="AF25">
            <v>0</v>
          </cell>
          <cell r="AG25">
            <v>0</v>
          </cell>
          <cell r="AH25">
            <v>0</v>
          </cell>
          <cell r="AI25">
            <v>1</v>
          </cell>
          <cell r="AJ25">
            <v>85</v>
          </cell>
          <cell r="AK25">
            <v>0</v>
          </cell>
          <cell r="AL25">
            <v>0</v>
          </cell>
          <cell r="AM25">
            <v>5</v>
          </cell>
          <cell r="AN25">
            <v>615</v>
          </cell>
          <cell r="AO25">
            <v>1</v>
          </cell>
          <cell r="AP25">
            <v>150</v>
          </cell>
          <cell r="AQ25" t="str">
            <v>BOSTON NORTH</v>
          </cell>
          <cell r="AR25">
            <v>58</v>
          </cell>
          <cell r="AS25">
            <v>8264</v>
          </cell>
          <cell r="AT25">
            <v>55</v>
          </cell>
          <cell r="AU25">
            <v>7999</v>
          </cell>
          <cell r="AV25">
            <v>53</v>
          </cell>
          <cell r="AW25">
            <v>7709</v>
          </cell>
          <cell r="AX25">
            <v>52</v>
          </cell>
          <cell r="AY25">
            <v>7705</v>
          </cell>
          <cell r="AZ25">
            <v>0</v>
          </cell>
          <cell r="BA25">
            <v>0</v>
          </cell>
        </row>
        <row r="26">
          <cell r="B26" t="str">
            <v>BOSTON SOUTH/SOUTHWEST</v>
          </cell>
          <cell r="C26">
            <v>1</v>
          </cell>
          <cell r="D26">
            <v>125</v>
          </cell>
          <cell r="E26">
            <v>1</v>
          </cell>
          <cell r="F26">
            <v>181</v>
          </cell>
          <cell r="G26">
            <v>3</v>
          </cell>
          <cell r="H26">
            <v>387</v>
          </cell>
          <cell r="I26">
            <v>1</v>
          </cell>
          <cell r="J26">
            <v>181</v>
          </cell>
          <cell r="K26">
            <v>0</v>
          </cell>
          <cell r="L26">
            <v>0</v>
          </cell>
          <cell r="M26">
            <v>0</v>
          </cell>
          <cell r="N26">
            <v>0</v>
          </cell>
          <cell r="O26">
            <v>0</v>
          </cell>
          <cell r="P26">
            <v>0</v>
          </cell>
          <cell r="Q26">
            <v>2</v>
          </cell>
          <cell r="R26">
            <v>253</v>
          </cell>
          <cell r="S26">
            <v>0</v>
          </cell>
          <cell r="T26">
            <v>0</v>
          </cell>
          <cell r="U26">
            <v>0</v>
          </cell>
          <cell r="V26">
            <v>0</v>
          </cell>
          <cell r="W26">
            <v>0</v>
          </cell>
          <cell r="X26">
            <v>0</v>
          </cell>
          <cell r="Y26">
            <v>2</v>
          </cell>
          <cell r="Z26">
            <v>253</v>
          </cell>
          <cell r="AA26">
            <v>0</v>
          </cell>
          <cell r="AB26">
            <v>0</v>
          </cell>
          <cell r="AC26">
            <v>0</v>
          </cell>
          <cell r="AD26">
            <v>0</v>
          </cell>
          <cell r="AE26">
            <v>0</v>
          </cell>
          <cell r="AF26">
            <v>0</v>
          </cell>
          <cell r="AG26">
            <v>0</v>
          </cell>
          <cell r="AH26">
            <v>0</v>
          </cell>
          <cell r="AI26">
            <v>2</v>
          </cell>
          <cell r="AJ26">
            <v>253</v>
          </cell>
          <cell r="AK26">
            <v>0</v>
          </cell>
          <cell r="AL26">
            <v>0</v>
          </cell>
          <cell r="AM26">
            <v>0</v>
          </cell>
          <cell r="AN26">
            <v>0</v>
          </cell>
          <cell r="AO26">
            <v>0</v>
          </cell>
          <cell r="AP26">
            <v>0</v>
          </cell>
          <cell r="AQ26" t="str">
            <v>BOSTON SOUTH/SOUTHWEST</v>
          </cell>
          <cell r="AR26">
            <v>17</v>
          </cell>
          <cell r="AS26">
            <v>2488</v>
          </cell>
          <cell r="AT26">
            <v>16</v>
          </cell>
          <cell r="AU26">
            <v>2307</v>
          </cell>
          <cell r="AV26">
            <v>15</v>
          </cell>
          <cell r="AW26">
            <v>2182</v>
          </cell>
          <cell r="AX26">
            <v>27</v>
          </cell>
          <cell r="AY26">
            <v>4328</v>
          </cell>
          <cell r="AZ26">
            <v>0</v>
          </cell>
          <cell r="BA26">
            <v>0</v>
          </cell>
        </row>
        <row r="27">
          <cell r="B27" t="str">
            <v>BOSTON SOUTHSHORE</v>
          </cell>
          <cell r="C27">
            <v>2</v>
          </cell>
          <cell r="D27">
            <v>128</v>
          </cell>
          <cell r="E27">
            <v>5</v>
          </cell>
          <cell r="F27">
            <v>813</v>
          </cell>
          <cell r="G27">
            <v>12</v>
          </cell>
          <cell r="H27">
            <v>1443</v>
          </cell>
          <cell r="I27">
            <v>5</v>
          </cell>
          <cell r="J27">
            <v>813</v>
          </cell>
          <cell r="K27">
            <v>3</v>
          </cell>
          <cell r="L27">
            <v>388</v>
          </cell>
          <cell r="M27">
            <v>0</v>
          </cell>
          <cell r="N27">
            <v>0</v>
          </cell>
          <cell r="O27">
            <v>3</v>
          </cell>
          <cell r="P27">
            <v>388</v>
          </cell>
          <cell r="Q27">
            <v>1</v>
          </cell>
          <cell r="R27">
            <v>100</v>
          </cell>
          <cell r="S27">
            <v>1</v>
          </cell>
          <cell r="T27">
            <v>103</v>
          </cell>
          <cell r="U27">
            <v>2</v>
          </cell>
          <cell r="V27">
            <v>138</v>
          </cell>
          <cell r="W27">
            <v>0</v>
          </cell>
          <cell r="X27">
            <v>0</v>
          </cell>
          <cell r="Y27">
            <v>2</v>
          </cell>
          <cell r="Z27">
            <v>350</v>
          </cell>
          <cell r="AA27">
            <v>0</v>
          </cell>
          <cell r="AB27">
            <v>0</v>
          </cell>
          <cell r="AC27">
            <v>0</v>
          </cell>
          <cell r="AD27">
            <v>0</v>
          </cell>
          <cell r="AE27">
            <v>0</v>
          </cell>
          <cell r="AF27">
            <v>0</v>
          </cell>
          <cell r="AG27">
            <v>0</v>
          </cell>
          <cell r="AH27">
            <v>0</v>
          </cell>
          <cell r="AI27">
            <v>2</v>
          </cell>
          <cell r="AJ27">
            <v>350</v>
          </cell>
          <cell r="AK27">
            <v>0</v>
          </cell>
          <cell r="AL27">
            <v>0</v>
          </cell>
          <cell r="AM27">
            <v>2</v>
          </cell>
          <cell r="AN27">
            <v>138</v>
          </cell>
          <cell r="AO27">
            <v>0</v>
          </cell>
          <cell r="AP27">
            <v>0</v>
          </cell>
          <cell r="AQ27" t="str">
            <v>BOSTON SOUTHSHORE</v>
          </cell>
          <cell r="AR27">
            <v>60</v>
          </cell>
          <cell r="AS27">
            <v>7430</v>
          </cell>
          <cell r="AT27">
            <v>55</v>
          </cell>
          <cell r="AU27">
            <v>6617</v>
          </cell>
          <cell r="AV27">
            <v>53</v>
          </cell>
          <cell r="AW27">
            <v>6489</v>
          </cell>
          <cell r="AX27">
            <v>47</v>
          </cell>
          <cell r="AY27">
            <v>4818</v>
          </cell>
          <cell r="AZ27">
            <v>1</v>
          </cell>
          <cell r="BA27">
            <v>250</v>
          </cell>
        </row>
        <row r="28">
          <cell r="B28" t="str">
            <v>CAMBRIDGE-LEXINGTON</v>
          </cell>
          <cell r="C28">
            <v>1</v>
          </cell>
          <cell r="D28">
            <v>148</v>
          </cell>
          <cell r="E28">
            <v>0</v>
          </cell>
          <cell r="F28">
            <v>0</v>
          </cell>
          <cell r="G28">
            <v>4</v>
          </cell>
          <cell r="H28">
            <v>679</v>
          </cell>
          <cell r="I28">
            <v>0</v>
          </cell>
          <cell r="J28">
            <v>0</v>
          </cell>
          <cell r="K28">
            <v>2</v>
          </cell>
          <cell r="L28">
            <v>350</v>
          </cell>
          <cell r="M28">
            <v>2</v>
          </cell>
          <cell r="N28">
            <v>301</v>
          </cell>
          <cell r="O28">
            <v>4</v>
          </cell>
          <cell r="P28">
            <v>651</v>
          </cell>
          <cell r="Q28">
            <v>0</v>
          </cell>
          <cell r="R28">
            <v>0</v>
          </cell>
          <cell r="S28">
            <v>0</v>
          </cell>
          <cell r="T28">
            <v>0</v>
          </cell>
          <cell r="U28">
            <v>1</v>
          </cell>
          <cell r="V28">
            <v>114</v>
          </cell>
          <cell r="W28">
            <v>2</v>
          </cell>
          <cell r="X28">
            <v>316</v>
          </cell>
          <cell r="Y28">
            <v>1</v>
          </cell>
          <cell r="Z28">
            <v>221</v>
          </cell>
          <cell r="AA28">
            <v>0</v>
          </cell>
          <cell r="AB28">
            <v>0</v>
          </cell>
          <cell r="AC28">
            <v>0</v>
          </cell>
          <cell r="AD28">
            <v>0</v>
          </cell>
          <cell r="AE28">
            <v>0</v>
          </cell>
          <cell r="AF28">
            <v>0</v>
          </cell>
          <cell r="AG28">
            <v>0</v>
          </cell>
          <cell r="AH28">
            <v>0</v>
          </cell>
          <cell r="AI28">
            <v>1</v>
          </cell>
          <cell r="AJ28">
            <v>221</v>
          </cell>
          <cell r="AK28">
            <v>0</v>
          </cell>
          <cell r="AL28">
            <v>0</v>
          </cell>
          <cell r="AM28">
            <v>1</v>
          </cell>
          <cell r="AN28">
            <v>114</v>
          </cell>
          <cell r="AO28">
            <v>2</v>
          </cell>
          <cell r="AP28">
            <v>316</v>
          </cell>
          <cell r="AQ28" t="str">
            <v>CAMBRIDGE-LEXINGTON</v>
          </cell>
          <cell r="AR28">
            <v>23</v>
          </cell>
          <cell r="AS28">
            <v>4571</v>
          </cell>
          <cell r="AT28">
            <v>23</v>
          </cell>
          <cell r="AU28">
            <v>4571</v>
          </cell>
          <cell r="AV28">
            <v>22</v>
          </cell>
          <cell r="AW28">
            <v>4423</v>
          </cell>
          <cell r="AX28">
            <v>34</v>
          </cell>
          <cell r="AY28">
            <v>5529</v>
          </cell>
          <cell r="AZ28">
            <v>1</v>
          </cell>
          <cell r="BA28">
            <v>221</v>
          </cell>
        </row>
        <row r="29">
          <cell r="B29" t="str">
            <v>CARLSBAD-OCEANSIDE</v>
          </cell>
          <cell r="C29">
            <v>3</v>
          </cell>
          <cell r="D29">
            <v>371</v>
          </cell>
          <cell r="E29">
            <v>1</v>
          </cell>
          <cell r="F29">
            <v>150</v>
          </cell>
          <cell r="G29">
            <v>8</v>
          </cell>
          <cell r="H29">
            <v>1407</v>
          </cell>
          <cell r="I29">
            <v>1</v>
          </cell>
          <cell r="J29">
            <v>150</v>
          </cell>
          <cell r="K29">
            <v>1</v>
          </cell>
          <cell r="L29">
            <v>108</v>
          </cell>
          <cell r="M29">
            <v>1</v>
          </cell>
          <cell r="N29">
            <v>250</v>
          </cell>
          <cell r="O29">
            <v>2</v>
          </cell>
          <cell r="P29">
            <v>358</v>
          </cell>
          <cell r="Q29">
            <v>4</v>
          </cell>
          <cell r="R29">
            <v>307</v>
          </cell>
          <cell r="S29">
            <v>0</v>
          </cell>
          <cell r="T29">
            <v>0</v>
          </cell>
          <cell r="U29">
            <v>1</v>
          </cell>
          <cell r="V29">
            <v>108</v>
          </cell>
          <cell r="W29">
            <v>0</v>
          </cell>
          <cell r="X29">
            <v>0</v>
          </cell>
          <cell r="Y29">
            <v>5</v>
          </cell>
          <cell r="Z29">
            <v>557</v>
          </cell>
          <cell r="AA29">
            <v>0</v>
          </cell>
          <cell r="AB29">
            <v>0</v>
          </cell>
          <cell r="AC29">
            <v>0</v>
          </cell>
          <cell r="AD29">
            <v>0</v>
          </cell>
          <cell r="AE29">
            <v>0</v>
          </cell>
          <cell r="AF29">
            <v>0</v>
          </cell>
          <cell r="AG29">
            <v>0</v>
          </cell>
          <cell r="AH29">
            <v>0</v>
          </cell>
          <cell r="AI29">
            <v>5</v>
          </cell>
          <cell r="AJ29">
            <v>557</v>
          </cell>
          <cell r="AK29">
            <v>0</v>
          </cell>
          <cell r="AL29">
            <v>0</v>
          </cell>
          <cell r="AM29">
            <v>1</v>
          </cell>
          <cell r="AN29">
            <v>108</v>
          </cell>
          <cell r="AO29">
            <v>0</v>
          </cell>
          <cell r="AP29">
            <v>0</v>
          </cell>
          <cell r="AQ29" t="str">
            <v>CARLSBAD-OCEANSIDE</v>
          </cell>
          <cell r="AR29">
            <v>42</v>
          </cell>
          <cell r="AS29">
            <v>5158</v>
          </cell>
          <cell r="AT29">
            <v>41</v>
          </cell>
          <cell r="AU29">
            <v>5008</v>
          </cell>
          <cell r="AV29">
            <v>38</v>
          </cell>
          <cell r="AW29">
            <v>4637</v>
          </cell>
          <cell r="AX29">
            <v>37</v>
          </cell>
          <cell r="AY29">
            <v>3741</v>
          </cell>
          <cell r="AZ29">
            <v>1</v>
          </cell>
          <cell r="BA29">
            <v>250</v>
          </cell>
        </row>
        <row r="30">
          <cell r="B30" t="str">
            <v>CHESAPEAKE/PORTSMOUTH</v>
          </cell>
          <cell r="C30">
            <v>1</v>
          </cell>
          <cell r="D30">
            <v>135</v>
          </cell>
          <cell r="E30">
            <v>2</v>
          </cell>
          <cell r="F30">
            <v>341</v>
          </cell>
          <cell r="G30">
            <v>8</v>
          </cell>
          <cell r="H30">
            <v>970</v>
          </cell>
          <cell r="I30">
            <v>1</v>
          </cell>
          <cell r="J30">
            <v>91</v>
          </cell>
          <cell r="K30">
            <v>0</v>
          </cell>
          <cell r="L30">
            <v>0</v>
          </cell>
          <cell r="M30">
            <v>2</v>
          </cell>
          <cell r="N30">
            <v>178</v>
          </cell>
          <cell r="O30">
            <v>2</v>
          </cell>
          <cell r="P30">
            <v>178</v>
          </cell>
          <cell r="Q30">
            <v>0</v>
          </cell>
          <cell r="R30">
            <v>0</v>
          </cell>
          <cell r="S30">
            <v>0</v>
          </cell>
          <cell r="T30">
            <v>0</v>
          </cell>
          <cell r="U30">
            <v>0</v>
          </cell>
          <cell r="V30">
            <v>0</v>
          </cell>
          <cell r="W30">
            <v>2</v>
          </cell>
          <cell r="X30">
            <v>178</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2</v>
          </cell>
          <cell r="AP30">
            <v>178</v>
          </cell>
          <cell r="AQ30" t="str">
            <v>CHESAPEAKE/PORTSMOUTH</v>
          </cell>
          <cell r="AR30">
            <v>42</v>
          </cell>
          <cell r="AS30">
            <v>3744</v>
          </cell>
          <cell r="AT30">
            <v>40</v>
          </cell>
          <cell r="AU30">
            <v>3403</v>
          </cell>
          <cell r="AV30">
            <v>39</v>
          </cell>
          <cell r="AW30">
            <v>3268</v>
          </cell>
          <cell r="AX30">
            <v>36</v>
          </cell>
          <cell r="AY30">
            <v>3450</v>
          </cell>
          <cell r="AZ30">
            <v>0</v>
          </cell>
          <cell r="BA30">
            <v>0</v>
          </cell>
        </row>
        <row r="31">
          <cell r="B31" t="str">
            <v>CHICAGO AIRPORT</v>
          </cell>
          <cell r="C31">
            <v>2</v>
          </cell>
          <cell r="D31">
            <v>425</v>
          </cell>
          <cell r="E31">
            <v>3</v>
          </cell>
          <cell r="F31">
            <v>455</v>
          </cell>
          <cell r="G31">
            <v>11</v>
          </cell>
          <cell r="H31">
            <v>1947</v>
          </cell>
          <cell r="I31">
            <v>2</v>
          </cell>
          <cell r="J31">
            <v>405</v>
          </cell>
          <cell r="K31">
            <v>1</v>
          </cell>
          <cell r="L31">
            <v>362</v>
          </cell>
          <cell r="M31">
            <v>2</v>
          </cell>
          <cell r="N31">
            <v>313</v>
          </cell>
          <cell r="O31">
            <v>3</v>
          </cell>
          <cell r="P31">
            <v>675</v>
          </cell>
          <cell r="Q31">
            <v>2</v>
          </cell>
          <cell r="R31">
            <v>1229</v>
          </cell>
          <cell r="S31">
            <v>0</v>
          </cell>
          <cell r="T31">
            <v>0</v>
          </cell>
          <cell r="U31">
            <v>1</v>
          </cell>
          <cell r="V31">
            <v>362</v>
          </cell>
          <cell r="W31">
            <v>1</v>
          </cell>
          <cell r="X31">
            <v>61</v>
          </cell>
          <cell r="Y31">
            <v>3</v>
          </cell>
          <cell r="Z31">
            <v>1481</v>
          </cell>
          <cell r="AA31">
            <v>0</v>
          </cell>
          <cell r="AB31">
            <v>0</v>
          </cell>
          <cell r="AC31">
            <v>0</v>
          </cell>
          <cell r="AD31">
            <v>0</v>
          </cell>
          <cell r="AE31">
            <v>0</v>
          </cell>
          <cell r="AF31">
            <v>0</v>
          </cell>
          <cell r="AG31">
            <v>0</v>
          </cell>
          <cell r="AH31">
            <v>0</v>
          </cell>
          <cell r="AI31">
            <v>3</v>
          </cell>
          <cell r="AJ31">
            <v>1481</v>
          </cell>
          <cell r="AK31">
            <v>0</v>
          </cell>
          <cell r="AL31">
            <v>0</v>
          </cell>
          <cell r="AM31">
            <v>1</v>
          </cell>
          <cell r="AN31">
            <v>362</v>
          </cell>
          <cell r="AO31">
            <v>1</v>
          </cell>
          <cell r="AP31">
            <v>61</v>
          </cell>
          <cell r="AQ31" t="str">
            <v>CHICAGO AIRPORT</v>
          </cell>
          <cell r="AR31">
            <v>49</v>
          </cell>
          <cell r="AS31">
            <v>10518</v>
          </cell>
          <cell r="AT31">
            <v>46</v>
          </cell>
          <cell r="AU31">
            <v>10063</v>
          </cell>
          <cell r="AV31">
            <v>44</v>
          </cell>
          <cell r="AW31">
            <v>9638</v>
          </cell>
          <cell r="AX31">
            <v>47</v>
          </cell>
          <cell r="AY31">
            <v>10841</v>
          </cell>
          <cell r="AZ31">
            <v>1</v>
          </cell>
          <cell r="BA31">
            <v>252</v>
          </cell>
        </row>
        <row r="32">
          <cell r="B32" t="str">
            <v>CHICAGO CBD</v>
          </cell>
          <cell r="C32">
            <v>1</v>
          </cell>
          <cell r="D32">
            <v>203</v>
          </cell>
          <cell r="E32">
            <v>4</v>
          </cell>
          <cell r="F32">
            <v>1291</v>
          </cell>
          <cell r="G32">
            <v>16</v>
          </cell>
          <cell r="H32">
            <v>4493</v>
          </cell>
          <cell r="I32">
            <v>4</v>
          </cell>
          <cell r="J32">
            <v>1291</v>
          </cell>
          <cell r="K32">
            <v>1</v>
          </cell>
          <cell r="L32">
            <v>412</v>
          </cell>
          <cell r="M32">
            <v>3</v>
          </cell>
          <cell r="N32">
            <v>920</v>
          </cell>
          <cell r="O32">
            <v>4</v>
          </cell>
          <cell r="P32">
            <v>1332</v>
          </cell>
          <cell r="Q32">
            <v>4</v>
          </cell>
          <cell r="R32">
            <v>887</v>
          </cell>
          <cell r="S32">
            <v>0</v>
          </cell>
          <cell r="T32">
            <v>0</v>
          </cell>
          <cell r="U32">
            <v>1</v>
          </cell>
          <cell r="V32">
            <v>412</v>
          </cell>
          <cell r="W32">
            <v>0</v>
          </cell>
          <cell r="X32">
            <v>0</v>
          </cell>
          <cell r="Y32">
            <v>6</v>
          </cell>
          <cell r="Z32">
            <v>1557</v>
          </cell>
          <cell r="AA32">
            <v>1</v>
          </cell>
          <cell r="AB32">
            <v>250</v>
          </cell>
          <cell r="AC32">
            <v>0</v>
          </cell>
          <cell r="AD32">
            <v>0</v>
          </cell>
          <cell r="AE32">
            <v>0</v>
          </cell>
          <cell r="AF32">
            <v>0</v>
          </cell>
          <cell r="AG32">
            <v>0</v>
          </cell>
          <cell r="AH32">
            <v>0</v>
          </cell>
          <cell r="AI32">
            <v>7</v>
          </cell>
          <cell r="AJ32">
            <v>1807</v>
          </cell>
          <cell r="AK32">
            <v>0</v>
          </cell>
          <cell r="AL32">
            <v>0</v>
          </cell>
          <cell r="AM32">
            <v>1</v>
          </cell>
          <cell r="AN32">
            <v>412</v>
          </cell>
          <cell r="AO32">
            <v>0</v>
          </cell>
          <cell r="AP32">
            <v>0</v>
          </cell>
          <cell r="AQ32" t="str">
            <v>CHICAGO CBD</v>
          </cell>
          <cell r="AR32">
            <v>116</v>
          </cell>
          <cell r="AS32">
            <v>32496</v>
          </cell>
          <cell r="AT32">
            <v>112</v>
          </cell>
          <cell r="AU32">
            <v>31205</v>
          </cell>
          <cell r="AV32">
            <v>111</v>
          </cell>
          <cell r="AW32">
            <v>31002</v>
          </cell>
          <cell r="AX32">
            <v>103</v>
          </cell>
          <cell r="AY32">
            <v>31083</v>
          </cell>
          <cell r="AZ32">
            <v>3</v>
          </cell>
          <cell r="BA32">
            <v>920</v>
          </cell>
        </row>
        <row r="33">
          <cell r="B33" t="str">
            <v>CHICAGO DUPAGE CO.</v>
          </cell>
          <cell r="C33">
            <v>6</v>
          </cell>
          <cell r="D33">
            <v>616</v>
          </cell>
          <cell r="E33">
            <v>1</v>
          </cell>
          <cell r="F33">
            <v>127</v>
          </cell>
          <cell r="G33">
            <v>27</v>
          </cell>
          <cell r="H33">
            <v>3136</v>
          </cell>
          <cell r="I33">
            <v>2</v>
          </cell>
          <cell r="J33">
            <v>239</v>
          </cell>
          <cell r="K33">
            <v>4</v>
          </cell>
          <cell r="L33">
            <v>413</v>
          </cell>
          <cell r="M33">
            <v>5</v>
          </cell>
          <cell r="N33">
            <v>568</v>
          </cell>
          <cell r="O33">
            <v>9</v>
          </cell>
          <cell r="P33">
            <v>981</v>
          </cell>
          <cell r="Q33">
            <v>0</v>
          </cell>
          <cell r="R33">
            <v>0</v>
          </cell>
          <cell r="S33">
            <v>1</v>
          </cell>
          <cell r="T33">
            <v>112</v>
          </cell>
          <cell r="U33">
            <v>3</v>
          </cell>
          <cell r="V33">
            <v>257</v>
          </cell>
          <cell r="W33">
            <v>4</v>
          </cell>
          <cell r="X33">
            <v>454</v>
          </cell>
          <cell r="Y33">
            <v>2</v>
          </cell>
          <cell r="Z33">
            <v>270</v>
          </cell>
          <cell r="AA33">
            <v>0</v>
          </cell>
          <cell r="AB33">
            <v>0</v>
          </cell>
          <cell r="AC33">
            <v>0</v>
          </cell>
          <cell r="AD33">
            <v>0</v>
          </cell>
          <cell r="AE33">
            <v>0</v>
          </cell>
          <cell r="AF33">
            <v>0</v>
          </cell>
          <cell r="AG33">
            <v>0</v>
          </cell>
          <cell r="AH33">
            <v>0</v>
          </cell>
          <cell r="AI33">
            <v>2</v>
          </cell>
          <cell r="AJ33">
            <v>270</v>
          </cell>
          <cell r="AK33">
            <v>0</v>
          </cell>
          <cell r="AL33">
            <v>0</v>
          </cell>
          <cell r="AM33">
            <v>3</v>
          </cell>
          <cell r="AN33">
            <v>257</v>
          </cell>
          <cell r="AO33">
            <v>4</v>
          </cell>
          <cell r="AP33">
            <v>454</v>
          </cell>
          <cell r="AQ33" t="str">
            <v>CHICAGO DUPAGE CO.</v>
          </cell>
          <cell r="AR33">
            <v>98</v>
          </cell>
          <cell r="AS33">
            <v>14953</v>
          </cell>
          <cell r="AT33">
            <v>97</v>
          </cell>
          <cell r="AU33">
            <v>14826</v>
          </cell>
          <cell r="AV33">
            <v>91</v>
          </cell>
          <cell r="AW33">
            <v>14210</v>
          </cell>
          <cell r="AX33">
            <v>94</v>
          </cell>
          <cell r="AY33">
            <v>13975</v>
          </cell>
          <cell r="AZ33">
            <v>2</v>
          </cell>
          <cell r="BA33">
            <v>270</v>
          </cell>
        </row>
        <row r="34">
          <cell r="B34" t="str">
            <v>CHICAGO NORTH</v>
          </cell>
          <cell r="C34">
            <v>3</v>
          </cell>
          <cell r="D34">
            <v>508</v>
          </cell>
          <cell r="E34">
            <v>1</v>
          </cell>
          <cell r="F34">
            <v>178</v>
          </cell>
          <cell r="G34">
            <v>4</v>
          </cell>
          <cell r="H34">
            <v>686</v>
          </cell>
          <cell r="I34">
            <v>1</v>
          </cell>
          <cell r="J34">
            <v>178</v>
          </cell>
          <cell r="K34">
            <v>1</v>
          </cell>
          <cell r="L34">
            <v>110</v>
          </cell>
          <cell r="M34">
            <v>0</v>
          </cell>
          <cell r="N34">
            <v>0</v>
          </cell>
          <cell r="O34">
            <v>1</v>
          </cell>
          <cell r="P34">
            <v>110</v>
          </cell>
          <cell r="Q34">
            <v>1</v>
          </cell>
          <cell r="R34">
            <v>89</v>
          </cell>
          <cell r="S34">
            <v>0</v>
          </cell>
          <cell r="T34">
            <v>0</v>
          </cell>
          <cell r="U34">
            <v>1</v>
          </cell>
          <cell r="V34">
            <v>110</v>
          </cell>
          <cell r="W34">
            <v>0</v>
          </cell>
          <cell r="X34">
            <v>0</v>
          </cell>
          <cell r="Y34">
            <v>1</v>
          </cell>
          <cell r="Z34">
            <v>89</v>
          </cell>
          <cell r="AA34">
            <v>0</v>
          </cell>
          <cell r="AB34">
            <v>0</v>
          </cell>
          <cell r="AC34">
            <v>0</v>
          </cell>
          <cell r="AD34">
            <v>0</v>
          </cell>
          <cell r="AE34">
            <v>0</v>
          </cell>
          <cell r="AF34">
            <v>0</v>
          </cell>
          <cell r="AG34">
            <v>0</v>
          </cell>
          <cell r="AH34">
            <v>0</v>
          </cell>
          <cell r="AI34">
            <v>1</v>
          </cell>
          <cell r="AJ34">
            <v>89</v>
          </cell>
          <cell r="AK34">
            <v>0</v>
          </cell>
          <cell r="AL34">
            <v>0</v>
          </cell>
          <cell r="AM34">
            <v>1</v>
          </cell>
          <cell r="AN34">
            <v>110</v>
          </cell>
          <cell r="AO34">
            <v>0</v>
          </cell>
          <cell r="AP34">
            <v>0</v>
          </cell>
          <cell r="AQ34" t="str">
            <v>CHICAGO NORTH</v>
          </cell>
          <cell r="AR34">
            <v>33</v>
          </cell>
          <cell r="AS34">
            <v>5123</v>
          </cell>
          <cell r="AT34">
            <v>32</v>
          </cell>
          <cell r="AU34">
            <v>4945</v>
          </cell>
          <cell r="AV34">
            <v>29</v>
          </cell>
          <cell r="AW34">
            <v>4437</v>
          </cell>
          <cell r="AX34">
            <v>34</v>
          </cell>
          <cell r="AY34">
            <v>5299</v>
          </cell>
          <cell r="AZ34">
            <v>0</v>
          </cell>
          <cell r="BA34">
            <v>0</v>
          </cell>
        </row>
        <row r="35">
          <cell r="B35" t="str">
            <v>CHICAGO NORTHWEST</v>
          </cell>
          <cell r="C35">
            <v>3</v>
          </cell>
          <cell r="D35">
            <v>365</v>
          </cell>
          <cell r="E35">
            <v>5</v>
          </cell>
          <cell r="F35">
            <v>450</v>
          </cell>
          <cell r="G35">
            <v>25</v>
          </cell>
          <cell r="H35">
            <v>2588</v>
          </cell>
          <cell r="I35">
            <v>5</v>
          </cell>
          <cell r="J35">
            <v>492</v>
          </cell>
          <cell r="K35">
            <v>3</v>
          </cell>
          <cell r="L35">
            <v>456</v>
          </cell>
          <cell r="M35">
            <v>5</v>
          </cell>
          <cell r="N35">
            <v>560</v>
          </cell>
          <cell r="O35">
            <v>8</v>
          </cell>
          <cell r="P35">
            <v>1016</v>
          </cell>
          <cell r="Q35">
            <v>1</v>
          </cell>
          <cell r="R35">
            <v>80</v>
          </cell>
          <cell r="S35">
            <v>1</v>
          </cell>
          <cell r="T35">
            <v>128</v>
          </cell>
          <cell r="U35">
            <v>3</v>
          </cell>
          <cell r="V35">
            <v>456</v>
          </cell>
          <cell r="W35">
            <v>4</v>
          </cell>
          <cell r="X35">
            <v>398</v>
          </cell>
          <cell r="Y35">
            <v>2</v>
          </cell>
          <cell r="Z35">
            <v>242</v>
          </cell>
          <cell r="AA35">
            <v>0</v>
          </cell>
          <cell r="AB35">
            <v>0</v>
          </cell>
          <cell r="AC35">
            <v>0</v>
          </cell>
          <cell r="AD35">
            <v>0</v>
          </cell>
          <cell r="AE35">
            <v>0</v>
          </cell>
          <cell r="AF35">
            <v>0</v>
          </cell>
          <cell r="AG35">
            <v>0</v>
          </cell>
          <cell r="AH35">
            <v>0</v>
          </cell>
          <cell r="AI35">
            <v>2</v>
          </cell>
          <cell r="AJ35">
            <v>242</v>
          </cell>
          <cell r="AK35">
            <v>0</v>
          </cell>
          <cell r="AL35">
            <v>0</v>
          </cell>
          <cell r="AM35">
            <v>3</v>
          </cell>
          <cell r="AN35">
            <v>456</v>
          </cell>
          <cell r="AO35">
            <v>4</v>
          </cell>
          <cell r="AP35">
            <v>398</v>
          </cell>
          <cell r="AQ35" t="str">
            <v>CHICAGO NORTHWEST</v>
          </cell>
          <cell r="AR35">
            <v>85</v>
          </cell>
          <cell r="AS35">
            <v>11121</v>
          </cell>
          <cell r="AT35">
            <v>80</v>
          </cell>
          <cell r="AU35">
            <v>10671</v>
          </cell>
          <cell r="AV35">
            <v>77</v>
          </cell>
          <cell r="AW35">
            <v>10306</v>
          </cell>
          <cell r="AX35">
            <v>75</v>
          </cell>
          <cell r="AY35">
            <v>10063</v>
          </cell>
          <cell r="AZ35">
            <v>1</v>
          </cell>
          <cell r="BA35">
            <v>162</v>
          </cell>
        </row>
        <row r="36">
          <cell r="B36" t="str">
            <v>CHICAGO SOUTH</v>
          </cell>
          <cell r="C36">
            <v>3</v>
          </cell>
          <cell r="D36">
            <v>342</v>
          </cell>
          <cell r="E36">
            <v>3</v>
          </cell>
          <cell r="F36">
            <v>226</v>
          </cell>
          <cell r="G36">
            <v>14</v>
          </cell>
          <cell r="H36">
            <v>1216</v>
          </cell>
          <cell r="I36">
            <v>2</v>
          </cell>
          <cell r="J36">
            <v>167</v>
          </cell>
          <cell r="K36">
            <v>0</v>
          </cell>
          <cell r="L36">
            <v>0</v>
          </cell>
          <cell r="M36">
            <v>4</v>
          </cell>
          <cell r="N36">
            <v>295</v>
          </cell>
          <cell r="O36">
            <v>4</v>
          </cell>
          <cell r="P36">
            <v>295</v>
          </cell>
          <cell r="Q36">
            <v>2</v>
          </cell>
          <cell r="R36">
            <v>122</v>
          </cell>
          <cell r="S36">
            <v>1</v>
          </cell>
          <cell r="T36">
            <v>85</v>
          </cell>
          <cell r="U36">
            <v>1</v>
          </cell>
          <cell r="V36">
            <v>60</v>
          </cell>
          <cell r="W36">
            <v>2</v>
          </cell>
          <cell r="X36">
            <v>141</v>
          </cell>
          <cell r="Y36">
            <v>3</v>
          </cell>
          <cell r="Z36">
            <v>216</v>
          </cell>
          <cell r="AA36">
            <v>0</v>
          </cell>
          <cell r="AB36">
            <v>0</v>
          </cell>
          <cell r="AC36">
            <v>0</v>
          </cell>
          <cell r="AD36">
            <v>0</v>
          </cell>
          <cell r="AE36">
            <v>0</v>
          </cell>
          <cell r="AF36">
            <v>0</v>
          </cell>
          <cell r="AG36">
            <v>0</v>
          </cell>
          <cell r="AH36">
            <v>0</v>
          </cell>
          <cell r="AI36">
            <v>3</v>
          </cell>
          <cell r="AJ36">
            <v>216</v>
          </cell>
          <cell r="AK36">
            <v>0</v>
          </cell>
          <cell r="AL36">
            <v>0</v>
          </cell>
          <cell r="AM36">
            <v>1</v>
          </cell>
          <cell r="AN36">
            <v>60</v>
          </cell>
          <cell r="AO36">
            <v>2</v>
          </cell>
          <cell r="AP36">
            <v>141</v>
          </cell>
          <cell r="AQ36" t="str">
            <v>CHICAGO SOUTH</v>
          </cell>
          <cell r="AR36">
            <v>66</v>
          </cell>
          <cell r="AS36">
            <v>5878</v>
          </cell>
          <cell r="AT36">
            <v>63</v>
          </cell>
          <cell r="AU36">
            <v>5652</v>
          </cell>
          <cell r="AV36">
            <v>60</v>
          </cell>
          <cell r="AW36">
            <v>5310</v>
          </cell>
          <cell r="AX36">
            <v>62</v>
          </cell>
          <cell r="AY36">
            <v>5474</v>
          </cell>
          <cell r="AZ36">
            <v>1</v>
          </cell>
          <cell r="BA36">
            <v>94</v>
          </cell>
        </row>
        <row r="37">
          <cell r="B37" t="str">
            <v>CHICAGO-MIDWAY</v>
          </cell>
          <cell r="C37">
            <v>1</v>
          </cell>
          <cell r="D37">
            <v>86</v>
          </cell>
          <cell r="E37">
            <v>0</v>
          </cell>
          <cell r="F37">
            <v>0</v>
          </cell>
          <cell r="G37">
            <v>4</v>
          </cell>
          <cell r="H37">
            <v>478</v>
          </cell>
          <cell r="I37">
            <v>0</v>
          </cell>
          <cell r="J37">
            <v>0</v>
          </cell>
          <cell r="K37">
            <v>1</v>
          </cell>
          <cell r="L37">
            <v>202</v>
          </cell>
          <cell r="M37">
            <v>2</v>
          </cell>
          <cell r="N37">
            <v>295</v>
          </cell>
          <cell r="O37">
            <v>3</v>
          </cell>
          <cell r="P37">
            <v>497</v>
          </cell>
          <cell r="Q37">
            <v>2</v>
          </cell>
          <cell r="R37">
            <v>330</v>
          </cell>
          <cell r="S37">
            <v>0</v>
          </cell>
          <cell r="T37">
            <v>0</v>
          </cell>
          <cell r="U37">
            <v>1</v>
          </cell>
          <cell r="V37">
            <v>202</v>
          </cell>
          <cell r="W37">
            <v>1</v>
          </cell>
          <cell r="X37">
            <v>150</v>
          </cell>
          <cell r="Y37">
            <v>3</v>
          </cell>
          <cell r="Z37">
            <v>475</v>
          </cell>
          <cell r="AA37">
            <v>0</v>
          </cell>
          <cell r="AB37">
            <v>0</v>
          </cell>
          <cell r="AC37">
            <v>0</v>
          </cell>
          <cell r="AD37">
            <v>0</v>
          </cell>
          <cell r="AE37">
            <v>0</v>
          </cell>
          <cell r="AF37">
            <v>0</v>
          </cell>
          <cell r="AG37">
            <v>0</v>
          </cell>
          <cell r="AH37">
            <v>0</v>
          </cell>
          <cell r="AI37">
            <v>3</v>
          </cell>
          <cell r="AJ37">
            <v>475</v>
          </cell>
          <cell r="AK37">
            <v>0</v>
          </cell>
          <cell r="AL37">
            <v>0</v>
          </cell>
          <cell r="AM37">
            <v>1</v>
          </cell>
          <cell r="AN37">
            <v>202</v>
          </cell>
          <cell r="AO37">
            <v>1</v>
          </cell>
          <cell r="AP37">
            <v>150</v>
          </cell>
          <cell r="AQ37" t="str">
            <v>CHICAGO-MIDWAY</v>
          </cell>
          <cell r="AR37">
            <v>45</v>
          </cell>
          <cell r="AS37">
            <v>4291</v>
          </cell>
          <cell r="AT37">
            <v>45</v>
          </cell>
          <cell r="AU37">
            <v>4291</v>
          </cell>
          <cell r="AV37">
            <v>44</v>
          </cell>
          <cell r="AW37">
            <v>4205</v>
          </cell>
          <cell r="AX37">
            <v>40</v>
          </cell>
          <cell r="AY37">
            <v>3340</v>
          </cell>
          <cell r="AZ37">
            <v>1</v>
          </cell>
          <cell r="BA37">
            <v>145</v>
          </cell>
        </row>
        <row r="38">
          <cell r="B38" t="str">
            <v>CHICAGO-OTHER</v>
          </cell>
          <cell r="C38">
            <v>4</v>
          </cell>
          <cell r="D38">
            <v>594</v>
          </cell>
          <cell r="E38">
            <v>1</v>
          </cell>
          <cell r="F38">
            <v>178</v>
          </cell>
          <cell r="G38">
            <v>8</v>
          </cell>
          <cell r="H38">
            <v>1164</v>
          </cell>
          <cell r="I38">
            <v>1</v>
          </cell>
          <cell r="J38">
            <v>178</v>
          </cell>
          <cell r="K38">
            <v>2</v>
          </cell>
          <cell r="L38">
            <v>312</v>
          </cell>
          <cell r="M38">
            <v>2</v>
          </cell>
          <cell r="N38">
            <v>295</v>
          </cell>
          <cell r="O38">
            <v>4</v>
          </cell>
          <cell r="P38">
            <v>607</v>
          </cell>
          <cell r="Q38">
            <v>3</v>
          </cell>
          <cell r="R38">
            <v>419</v>
          </cell>
          <cell r="S38">
            <v>0</v>
          </cell>
          <cell r="T38">
            <v>0</v>
          </cell>
          <cell r="U38">
            <v>2</v>
          </cell>
          <cell r="V38">
            <v>312</v>
          </cell>
          <cell r="W38">
            <v>1</v>
          </cell>
          <cell r="X38">
            <v>150</v>
          </cell>
          <cell r="Y38">
            <v>4</v>
          </cell>
          <cell r="Z38">
            <v>564</v>
          </cell>
          <cell r="AA38">
            <v>0</v>
          </cell>
          <cell r="AB38">
            <v>0</v>
          </cell>
          <cell r="AC38">
            <v>0</v>
          </cell>
          <cell r="AD38">
            <v>0</v>
          </cell>
          <cell r="AE38">
            <v>0</v>
          </cell>
          <cell r="AF38">
            <v>0</v>
          </cell>
          <cell r="AG38">
            <v>0</v>
          </cell>
          <cell r="AH38">
            <v>0</v>
          </cell>
          <cell r="AI38">
            <v>4</v>
          </cell>
          <cell r="AJ38">
            <v>564</v>
          </cell>
          <cell r="AK38">
            <v>0</v>
          </cell>
          <cell r="AL38">
            <v>0</v>
          </cell>
          <cell r="AM38">
            <v>2</v>
          </cell>
          <cell r="AN38">
            <v>312</v>
          </cell>
          <cell r="AO38">
            <v>1</v>
          </cell>
          <cell r="AP38">
            <v>150</v>
          </cell>
          <cell r="AQ38" t="str">
            <v>CHICAGO-OTHER</v>
          </cell>
          <cell r="AR38">
            <v>78</v>
          </cell>
          <cell r="AS38">
            <v>9414</v>
          </cell>
          <cell r="AT38">
            <v>77</v>
          </cell>
          <cell r="AU38">
            <v>9236</v>
          </cell>
          <cell r="AV38">
            <v>73</v>
          </cell>
          <cell r="AW38">
            <v>8642</v>
          </cell>
          <cell r="AX38">
            <v>74</v>
          </cell>
          <cell r="AY38">
            <v>8639</v>
          </cell>
          <cell r="AZ38">
            <v>1</v>
          </cell>
          <cell r="BA38">
            <v>145</v>
          </cell>
        </row>
        <row r="39">
          <cell r="B39" t="str">
            <v>CLEARWATER</v>
          </cell>
          <cell r="C39">
            <v>0</v>
          </cell>
          <cell r="D39">
            <v>0</v>
          </cell>
          <cell r="E39">
            <v>3</v>
          </cell>
          <cell r="F39">
            <v>324</v>
          </cell>
          <cell r="G39">
            <v>10</v>
          </cell>
          <cell r="H39">
            <v>987</v>
          </cell>
          <cell r="I39">
            <v>3</v>
          </cell>
          <cell r="J39">
            <v>324</v>
          </cell>
          <cell r="K39">
            <v>1</v>
          </cell>
          <cell r="L39">
            <v>50</v>
          </cell>
          <cell r="M39">
            <v>0</v>
          </cell>
          <cell r="N39">
            <v>0</v>
          </cell>
          <cell r="O39">
            <v>1</v>
          </cell>
          <cell r="P39">
            <v>50</v>
          </cell>
          <cell r="Q39">
            <v>3</v>
          </cell>
          <cell r="R39">
            <v>289</v>
          </cell>
          <cell r="S39">
            <v>0</v>
          </cell>
          <cell r="T39">
            <v>0</v>
          </cell>
          <cell r="U39">
            <v>1</v>
          </cell>
          <cell r="V39">
            <v>50</v>
          </cell>
          <cell r="W39">
            <v>0</v>
          </cell>
          <cell r="X39">
            <v>0</v>
          </cell>
          <cell r="Y39">
            <v>3</v>
          </cell>
          <cell r="Z39">
            <v>289</v>
          </cell>
          <cell r="AA39">
            <v>0</v>
          </cell>
          <cell r="AB39">
            <v>0</v>
          </cell>
          <cell r="AC39">
            <v>0</v>
          </cell>
          <cell r="AD39">
            <v>0</v>
          </cell>
          <cell r="AE39">
            <v>0</v>
          </cell>
          <cell r="AF39">
            <v>0</v>
          </cell>
          <cell r="AG39">
            <v>0</v>
          </cell>
          <cell r="AH39">
            <v>0</v>
          </cell>
          <cell r="AI39">
            <v>3</v>
          </cell>
          <cell r="AJ39">
            <v>289</v>
          </cell>
          <cell r="AK39">
            <v>0</v>
          </cell>
          <cell r="AL39">
            <v>0</v>
          </cell>
          <cell r="AM39">
            <v>1</v>
          </cell>
          <cell r="AN39">
            <v>50</v>
          </cell>
          <cell r="AO39">
            <v>0</v>
          </cell>
          <cell r="AP39">
            <v>0</v>
          </cell>
          <cell r="AQ39" t="str">
            <v>CLEARWATER</v>
          </cell>
          <cell r="AR39">
            <v>90</v>
          </cell>
          <cell r="AS39">
            <v>8506</v>
          </cell>
          <cell r="AT39">
            <v>87</v>
          </cell>
          <cell r="AU39">
            <v>8182</v>
          </cell>
          <cell r="AV39">
            <v>87</v>
          </cell>
          <cell r="AW39">
            <v>8182</v>
          </cell>
          <cell r="AX39">
            <v>87</v>
          </cell>
          <cell r="AY39">
            <v>7541</v>
          </cell>
          <cell r="AZ39">
            <v>0</v>
          </cell>
          <cell r="BA39">
            <v>0</v>
          </cell>
        </row>
        <row r="40">
          <cell r="B40" t="str">
            <v>DALLAS NORTH</v>
          </cell>
          <cell r="C40">
            <v>4</v>
          </cell>
          <cell r="D40">
            <v>777</v>
          </cell>
          <cell r="E40">
            <v>2</v>
          </cell>
          <cell r="F40">
            <v>371</v>
          </cell>
          <cell r="G40">
            <v>25</v>
          </cell>
          <cell r="H40">
            <v>3420</v>
          </cell>
          <cell r="I40">
            <v>2</v>
          </cell>
          <cell r="J40">
            <v>266</v>
          </cell>
          <cell r="K40">
            <v>0</v>
          </cell>
          <cell r="L40">
            <v>0</v>
          </cell>
          <cell r="M40">
            <v>0</v>
          </cell>
          <cell r="N40">
            <v>0</v>
          </cell>
          <cell r="O40">
            <v>0</v>
          </cell>
          <cell r="P40">
            <v>0</v>
          </cell>
          <cell r="Q40">
            <v>0</v>
          </cell>
          <cell r="R40">
            <v>0</v>
          </cell>
          <cell r="S40">
            <v>1</v>
          </cell>
          <cell r="T40">
            <v>139</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t="str">
            <v>DALLAS NORTH</v>
          </cell>
          <cell r="AR40">
            <v>62</v>
          </cell>
          <cell r="AS40">
            <v>10360</v>
          </cell>
          <cell r="AT40">
            <v>60</v>
          </cell>
          <cell r="AU40">
            <v>9989</v>
          </cell>
          <cell r="AV40">
            <v>56</v>
          </cell>
          <cell r="AW40">
            <v>9212</v>
          </cell>
          <cell r="AX40">
            <v>64</v>
          </cell>
          <cell r="AY40">
            <v>11582</v>
          </cell>
          <cell r="AZ40">
            <v>0</v>
          </cell>
          <cell r="BA40">
            <v>0</v>
          </cell>
        </row>
        <row r="41">
          <cell r="B41" t="str">
            <v>DALLAS NORTH AREA</v>
          </cell>
          <cell r="C41">
            <v>5</v>
          </cell>
          <cell r="D41">
            <v>711</v>
          </cell>
          <cell r="E41">
            <v>6</v>
          </cell>
          <cell r="F41">
            <v>536</v>
          </cell>
          <cell r="G41">
            <v>24</v>
          </cell>
          <cell r="H41">
            <v>2742</v>
          </cell>
          <cell r="I41">
            <v>5</v>
          </cell>
          <cell r="J41">
            <v>420</v>
          </cell>
          <cell r="K41">
            <v>1</v>
          </cell>
          <cell r="L41">
            <v>150</v>
          </cell>
          <cell r="M41">
            <v>1</v>
          </cell>
          <cell r="N41">
            <v>86</v>
          </cell>
          <cell r="O41">
            <v>2</v>
          </cell>
          <cell r="P41">
            <v>236</v>
          </cell>
          <cell r="Q41">
            <v>1</v>
          </cell>
          <cell r="R41">
            <v>300</v>
          </cell>
          <cell r="S41">
            <v>1</v>
          </cell>
          <cell r="T41">
            <v>63</v>
          </cell>
          <cell r="U41">
            <v>1</v>
          </cell>
          <cell r="V41">
            <v>150</v>
          </cell>
          <cell r="W41">
            <v>1</v>
          </cell>
          <cell r="X41">
            <v>86</v>
          </cell>
          <cell r="Y41">
            <v>1</v>
          </cell>
          <cell r="Z41">
            <v>300</v>
          </cell>
          <cell r="AA41">
            <v>0</v>
          </cell>
          <cell r="AB41">
            <v>0</v>
          </cell>
          <cell r="AC41">
            <v>0</v>
          </cell>
          <cell r="AD41">
            <v>0</v>
          </cell>
          <cell r="AE41">
            <v>0</v>
          </cell>
          <cell r="AF41">
            <v>0</v>
          </cell>
          <cell r="AG41">
            <v>0</v>
          </cell>
          <cell r="AH41">
            <v>0</v>
          </cell>
          <cell r="AI41">
            <v>1</v>
          </cell>
          <cell r="AJ41">
            <v>300</v>
          </cell>
          <cell r="AK41">
            <v>0</v>
          </cell>
          <cell r="AL41">
            <v>0</v>
          </cell>
          <cell r="AM41">
            <v>1</v>
          </cell>
          <cell r="AN41">
            <v>150</v>
          </cell>
          <cell r="AO41">
            <v>1</v>
          </cell>
          <cell r="AP41">
            <v>86</v>
          </cell>
          <cell r="AQ41" t="str">
            <v>DALLAS NORTH AREA</v>
          </cell>
          <cell r="AR41">
            <v>51</v>
          </cell>
          <cell r="AS41">
            <v>5101</v>
          </cell>
          <cell r="AT41">
            <v>45</v>
          </cell>
          <cell r="AU41">
            <v>4565</v>
          </cell>
          <cell r="AV41">
            <v>40</v>
          </cell>
          <cell r="AW41">
            <v>3854</v>
          </cell>
          <cell r="AX41">
            <v>54</v>
          </cell>
          <cell r="AY41">
            <v>5113</v>
          </cell>
          <cell r="AZ41">
            <v>0</v>
          </cell>
          <cell r="BA41">
            <v>0</v>
          </cell>
        </row>
        <row r="42">
          <cell r="B42" t="str">
            <v>DALLAS NORTHWEST</v>
          </cell>
          <cell r="C42">
            <v>2</v>
          </cell>
          <cell r="D42">
            <v>231</v>
          </cell>
          <cell r="E42">
            <v>0</v>
          </cell>
          <cell r="F42">
            <v>0</v>
          </cell>
          <cell r="G42">
            <v>12</v>
          </cell>
          <cell r="H42">
            <v>1386</v>
          </cell>
          <cell r="I42">
            <v>0</v>
          </cell>
          <cell r="J42">
            <v>0</v>
          </cell>
          <cell r="K42">
            <v>1</v>
          </cell>
          <cell r="L42">
            <v>258</v>
          </cell>
          <cell r="M42">
            <v>0</v>
          </cell>
          <cell r="N42">
            <v>0</v>
          </cell>
          <cell r="O42">
            <v>1</v>
          </cell>
          <cell r="P42">
            <v>258</v>
          </cell>
          <cell r="Q42">
            <v>1</v>
          </cell>
          <cell r="R42">
            <v>300</v>
          </cell>
          <cell r="S42">
            <v>0</v>
          </cell>
          <cell r="T42">
            <v>0</v>
          </cell>
          <cell r="U42">
            <v>1</v>
          </cell>
          <cell r="V42">
            <v>258</v>
          </cell>
          <cell r="W42">
            <v>0</v>
          </cell>
          <cell r="X42">
            <v>0</v>
          </cell>
          <cell r="Y42">
            <v>1</v>
          </cell>
          <cell r="Z42">
            <v>300</v>
          </cell>
          <cell r="AA42">
            <v>0</v>
          </cell>
          <cell r="AB42">
            <v>0</v>
          </cell>
          <cell r="AC42">
            <v>0</v>
          </cell>
          <cell r="AD42">
            <v>0</v>
          </cell>
          <cell r="AE42">
            <v>0</v>
          </cell>
          <cell r="AF42">
            <v>0</v>
          </cell>
          <cell r="AG42">
            <v>0</v>
          </cell>
          <cell r="AH42">
            <v>0</v>
          </cell>
          <cell r="AI42">
            <v>1</v>
          </cell>
          <cell r="AJ42">
            <v>300</v>
          </cell>
          <cell r="AK42">
            <v>0</v>
          </cell>
          <cell r="AL42">
            <v>0</v>
          </cell>
          <cell r="AM42">
            <v>1</v>
          </cell>
          <cell r="AN42">
            <v>258</v>
          </cell>
          <cell r="AO42">
            <v>0</v>
          </cell>
          <cell r="AP42">
            <v>0</v>
          </cell>
          <cell r="AQ42" t="str">
            <v>DALLAS NORTHWEST</v>
          </cell>
          <cell r="AR42">
            <v>47</v>
          </cell>
          <cell r="AS42">
            <v>6933</v>
          </cell>
          <cell r="AT42">
            <v>47</v>
          </cell>
          <cell r="AU42">
            <v>6933</v>
          </cell>
          <cell r="AV42">
            <v>45</v>
          </cell>
          <cell r="AW42">
            <v>6702</v>
          </cell>
          <cell r="AX42">
            <v>43</v>
          </cell>
          <cell r="AY42">
            <v>5996</v>
          </cell>
          <cell r="AZ42">
            <v>0</v>
          </cell>
          <cell r="BA42">
            <v>0</v>
          </cell>
        </row>
        <row r="43">
          <cell r="B43" t="str">
            <v>DALLAS SOUTH-EAST</v>
          </cell>
          <cell r="C43">
            <v>6</v>
          </cell>
          <cell r="D43">
            <v>292</v>
          </cell>
          <cell r="E43">
            <v>3</v>
          </cell>
          <cell r="F43">
            <v>190</v>
          </cell>
          <cell r="G43">
            <v>24</v>
          </cell>
          <cell r="H43">
            <v>1514</v>
          </cell>
          <cell r="I43">
            <v>3</v>
          </cell>
          <cell r="J43">
            <v>199</v>
          </cell>
          <cell r="K43">
            <v>0</v>
          </cell>
          <cell r="L43">
            <v>0</v>
          </cell>
          <cell r="M43">
            <v>3</v>
          </cell>
          <cell r="N43">
            <v>210</v>
          </cell>
          <cell r="O43">
            <v>3</v>
          </cell>
          <cell r="P43">
            <v>210</v>
          </cell>
          <cell r="Q43">
            <v>2</v>
          </cell>
          <cell r="R43">
            <v>160</v>
          </cell>
          <cell r="S43">
            <v>1</v>
          </cell>
          <cell r="T43">
            <v>74</v>
          </cell>
          <cell r="U43">
            <v>1</v>
          </cell>
          <cell r="V43">
            <v>75</v>
          </cell>
          <cell r="W43">
            <v>2</v>
          </cell>
          <cell r="X43">
            <v>135</v>
          </cell>
          <cell r="Y43">
            <v>2</v>
          </cell>
          <cell r="Z43">
            <v>160</v>
          </cell>
          <cell r="AA43">
            <v>0</v>
          </cell>
          <cell r="AB43">
            <v>0</v>
          </cell>
          <cell r="AC43">
            <v>0</v>
          </cell>
          <cell r="AD43">
            <v>0</v>
          </cell>
          <cell r="AE43">
            <v>0</v>
          </cell>
          <cell r="AF43">
            <v>0</v>
          </cell>
          <cell r="AG43">
            <v>0</v>
          </cell>
          <cell r="AH43">
            <v>0</v>
          </cell>
          <cell r="AI43">
            <v>2</v>
          </cell>
          <cell r="AJ43">
            <v>160</v>
          </cell>
          <cell r="AK43">
            <v>0</v>
          </cell>
          <cell r="AL43">
            <v>0</v>
          </cell>
          <cell r="AM43">
            <v>1</v>
          </cell>
          <cell r="AN43">
            <v>75</v>
          </cell>
          <cell r="AO43">
            <v>2</v>
          </cell>
          <cell r="AP43">
            <v>135</v>
          </cell>
          <cell r="AQ43" t="str">
            <v>DALLAS SOUTH-EAST</v>
          </cell>
          <cell r="AR43">
            <v>78</v>
          </cell>
          <cell r="AS43">
            <v>4996</v>
          </cell>
          <cell r="AT43">
            <v>75</v>
          </cell>
          <cell r="AU43">
            <v>4806</v>
          </cell>
          <cell r="AV43">
            <v>69</v>
          </cell>
          <cell r="AW43">
            <v>4514</v>
          </cell>
          <cell r="AX43">
            <v>77</v>
          </cell>
          <cell r="AY43">
            <v>6235</v>
          </cell>
          <cell r="AZ43">
            <v>0</v>
          </cell>
          <cell r="BA43">
            <v>0</v>
          </cell>
        </row>
        <row r="44">
          <cell r="B44" t="str">
            <v>DALLAS-OTHER</v>
          </cell>
          <cell r="C44">
            <v>12</v>
          </cell>
          <cell r="D44">
            <v>1053</v>
          </cell>
          <cell r="E44">
            <v>9</v>
          </cell>
          <cell r="F44">
            <v>726</v>
          </cell>
          <cell r="G44">
            <v>56</v>
          </cell>
          <cell r="H44">
            <v>5128</v>
          </cell>
          <cell r="I44">
            <v>8</v>
          </cell>
          <cell r="J44">
            <v>619</v>
          </cell>
          <cell r="K44">
            <v>2</v>
          </cell>
          <cell r="L44">
            <v>450</v>
          </cell>
          <cell r="M44">
            <v>5</v>
          </cell>
          <cell r="N44">
            <v>366</v>
          </cell>
          <cell r="O44">
            <v>7</v>
          </cell>
          <cell r="P44">
            <v>816</v>
          </cell>
          <cell r="Q44">
            <v>3</v>
          </cell>
          <cell r="R44">
            <v>460</v>
          </cell>
          <cell r="S44">
            <v>2</v>
          </cell>
          <cell r="T44">
            <v>137</v>
          </cell>
          <cell r="U44">
            <v>2</v>
          </cell>
          <cell r="V44">
            <v>225</v>
          </cell>
          <cell r="W44">
            <v>4</v>
          </cell>
          <cell r="X44">
            <v>291</v>
          </cell>
          <cell r="Y44">
            <v>3</v>
          </cell>
          <cell r="Z44">
            <v>460</v>
          </cell>
          <cell r="AA44">
            <v>1</v>
          </cell>
          <cell r="AB44">
            <v>300</v>
          </cell>
          <cell r="AC44">
            <v>0</v>
          </cell>
          <cell r="AD44">
            <v>0</v>
          </cell>
          <cell r="AE44">
            <v>0</v>
          </cell>
          <cell r="AF44">
            <v>0</v>
          </cell>
          <cell r="AG44">
            <v>0</v>
          </cell>
          <cell r="AH44">
            <v>0</v>
          </cell>
          <cell r="AI44">
            <v>4</v>
          </cell>
          <cell r="AJ44">
            <v>760</v>
          </cell>
          <cell r="AK44">
            <v>0</v>
          </cell>
          <cell r="AL44">
            <v>0</v>
          </cell>
          <cell r="AM44">
            <v>2</v>
          </cell>
          <cell r="AN44">
            <v>225</v>
          </cell>
          <cell r="AO44">
            <v>4</v>
          </cell>
          <cell r="AP44">
            <v>291</v>
          </cell>
          <cell r="AQ44" t="str">
            <v>DALLAS-OTHER</v>
          </cell>
          <cell r="AR44">
            <v>158</v>
          </cell>
          <cell r="AS44">
            <v>12986</v>
          </cell>
          <cell r="AT44">
            <v>149</v>
          </cell>
          <cell r="AU44">
            <v>12260</v>
          </cell>
          <cell r="AV44">
            <v>137</v>
          </cell>
          <cell r="AW44">
            <v>11207</v>
          </cell>
          <cell r="AX44">
            <v>179</v>
          </cell>
          <cell r="AY44">
            <v>16994</v>
          </cell>
          <cell r="AZ44">
            <v>1</v>
          </cell>
          <cell r="BA44">
            <v>300</v>
          </cell>
        </row>
        <row r="45">
          <cell r="B45" t="str">
            <v>DALLAS/MARKET CENTER</v>
          </cell>
          <cell r="C45">
            <v>4</v>
          </cell>
          <cell r="D45">
            <v>714</v>
          </cell>
          <cell r="E45">
            <v>1</v>
          </cell>
          <cell r="F45">
            <v>81</v>
          </cell>
          <cell r="G45">
            <v>16</v>
          </cell>
          <cell r="H45">
            <v>4450</v>
          </cell>
          <cell r="I45">
            <v>0</v>
          </cell>
          <cell r="J45">
            <v>0</v>
          </cell>
          <cell r="K45">
            <v>2</v>
          </cell>
          <cell r="L45">
            <v>253</v>
          </cell>
          <cell r="M45">
            <v>2</v>
          </cell>
          <cell r="N45">
            <v>650</v>
          </cell>
          <cell r="O45">
            <v>4</v>
          </cell>
          <cell r="P45">
            <v>903</v>
          </cell>
          <cell r="Q45">
            <v>1</v>
          </cell>
          <cell r="R45">
            <v>100</v>
          </cell>
          <cell r="S45">
            <v>0</v>
          </cell>
          <cell r="T45">
            <v>0</v>
          </cell>
          <cell r="U45">
            <v>1</v>
          </cell>
          <cell r="V45">
            <v>148</v>
          </cell>
          <cell r="W45">
            <v>1</v>
          </cell>
          <cell r="X45">
            <v>105</v>
          </cell>
          <cell r="Y45">
            <v>3</v>
          </cell>
          <cell r="Z45">
            <v>750</v>
          </cell>
          <cell r="AA45">
            <v>0</v>
          </cell>
          <cell r="AB45">
            <v>0</v>
          </cell>
          <cell r="AC45">
            <v>0</v>
          </cell>
          <cell r="AD45">
            <v>0</v>
          </cell>
          <cell r="AE45">
            <v>0</v>
          </cell>
          <cell r="AF45">
            <v>0</v>
          </cell>
          <cell r="AG45">
            <v>0</v>
          </cell>
          <cell r="AH45">
            <v>0</v>
          </cell>
          <cell r="AI45">
            <v>3</v>
          </cell>
          <cell r="AJ45">
            <v>750</v>
          </cell>
          <cell r="AK45">
            <v>0</v>
          </cell>
          <cell r="AL45">
            <v>0</v>
          </cell>
          <cell r="AM45">
            <v>1</v>
          </cell>
          <cell r="AN45">
            <v>148</v>
          </cell>
          <cell r="AO45">
            <v>1</v>
          </cell>
          <cell r="AP45">
            <v>105</v>
          </cell>
          <cell r="AQ45" t="str">
            <v>DALLAS/MARKET CENTER</v>
          </cell>
          <cell r="AR45">
            <v>60</v>
          </cell>
          <cell r="AS45">
            <v>15507</v>
          </cell>
          <cell r="AT45">
            <v>59</v>
          </cell>
          <cell r="AU45">
            <v>15426</v>
          </cell>
          <cell r="AV45">
            <v>55</v>
          </cell>
          <cell r="AW45">
            <v>14712</v>
          </cell>
          <cell r="AX45">
            <v>54</v>
          </cell>
          <cell r="AY45">
            <v>15650</v>
          </cell>
          <cell r="AZ45">
            <v>2</v>
          </cell>
          <cell r="BA45">
            <v>650</v>
          </cell>
        </row>
        <row r="46">
          <cell r="B46" t="str">
            <v>DENVER AIRPORT/EAST</v>
          </cell>
          <cell r="C46">
            <v>0</v>
          </cell>
          <cell r="D46">
            <v>0</v>
          </cell>
          <cell r="E46">
            <v>1</v>
          </cell>
          <cell r="F46">
            <v>68</v>
          </cell>
          <cell r="G46">
            <v>18</v>
          </cell>
          <cell r="H46">
            <v>2300</v>
          </cell>
          <cell r="I46">
            <v>1</v>
          </cell>
          <cell r="J46">
            <v>68</v>
          </cell>
          <cell r="K46">
            <v>1</v>
          </cell>
          <cell r="L46">
            <v>174</v>
          </cell>
          <cell r="M46">
            <v>1</v>
          </cell>
          <cell r="N46">
            <v>525</v>
          </cell>
          <cell r="O46">
            <v>2</v>
          </cell>
          <cell r="P46">
            <v>699</v>
          </cell>
          <cell r="Q46">
            <v>1</v>
          </cell>
          <cell r="R46">
            <v>92</v>
          </cell>
          <cell r="S46">
            <v>0</v>
          </cell>
          <cell r="T46">
            <v>0</v>
          </cell>
          <cell r="U46">
            <v>0</v>
          </cell>
          <cell r="V46">
            <v>0</v>
          </cell>
          <cell r="W46">
            <v>1</v>
          </cell>
          <cell r="X46">
            <v>174</v>
          </cell>
          <cell r="Y46">
            <v>2</v>
          </cell>
          <cell r="Z46">
            <v>617</v>
          </cell>
          <cell r="AA46">
            <v>0</v>
          </cell>
          <cell r="AB46">
            <v>0</v>
          </cell>
          <cell r="AC46">
            <v>0</v>
          </cell>
          <cell r="AD46">
            <v>0</v>
          </cell>
          <cell r="AE46">
            <v>0</v>
          </cell>
          <cell r="AF46">
            <v>0</v>
          </cell>
          <cell r="AG46">
            <v>0</v>
          </cell>
          <cell r="AH46">
            <v>0</v>
          </cell>
          <cell r="AI46">
            <v>2</v>
          </cell>
          <cell r="AJ46">
            <v>617</v>
          </cell>
          <cell r="AK46">
            <v>0</v>
          </cell>
          <cell r="AL46">
            <v>0</v>
          </cell>
          <cell r="AM46">
            <v>0</v>
          </cell>
          <cell r="AN46">
            <v>0</v>
          </cell>
          <cell r="AO46">
            <v>1</v>
          </cell>
          <cell r="AP46">
            <v>174</v>
          </cell>
          <cell r="AQ46" t="str">
            <v>DENVER AIRPORT/EAST</v>
          </cell>
          <cell r="AR46">
            <v>63</v>
          </cell>
          <cell r="AS46">
            <v>9825</v>
          </cell>
          <cell r="AT46">
            <v>62</v>
          </cell>
          <cell r="AU46">
            <v>9757</v>
          </cell>
          <cell r="AV46">
            <v>62</v>
          </cell>
          <cell r="AW46">
            <v>9757</v>
          </cell>
          <cell r="AX46">
            <v>63</v>
          </cell>
          <cell r="AY46">
            <v>9667</v>
          </cell>
          <cell r="AZ46">
            <v>1</v>
          </cell>
          <cell r="BA46">
            <v>525</v>
          </cell>
        </row>
        <row r="47">
          <cell r="B47" t="str">
            <v>DENVER CBD</v>
          </cell>
          <cell r="C47">
            <v>1</v>
          </cell>
          <cell r="D47">
            <v>122</v>
          </cell>
          <cell r="E47">
            <v>0</v>
          </cell>
          <cell r="F47">
            <v>0</v>
          </cell>
          <cell r="G47">
            <v>5</v>
          </cell>
          <cell r="H47">
            <v>691</v>
          </cell>
          <cell r="I47">
            <v>0</v>
          </cell>
          <cell r="J47">
            <v>0</v>
          </cell>
          <cell r="K47">
            <v>0</v>
          </cell>
          <cell r="L47">
            <v>0</v>
          </cell>
          <cell r="M47">
            <v>2</v>
          </cell>
          <cell r="N47">
            <v>1280</v>
          </cell>
          <cell r="O47">
            <v>2</v>
          </cell>
          <cell r="P47">
            <v>1280</v>
          </cell>
          <cell r="Q47">
            <v>1</v>
          </cell>
          <cell r="R47">
            <v>100</v>
          </cell>
          <cell r="S47">
            <v>0</v>
          </cell>
          <cell r="T47">
            <v>0</v>
          </cell>
          <cell r="U47">
            <v>0</v>
          </cell>
          <cell r="V47">
            <v>0</v>
          </cell>
          <cell r="W47">
            <v>0</v>
          </cell>
          <cell r="X47">
            <v>0</v>
          </cell>
          <cell r="Y47">
            <v>2</v>
          </cell>
          <cell r="Z47">
            <v>280</v>
          </cell>
          <cell r="AA47">
            <v>0</v>
          </cell>
          <cell r="AB47">
            <v>0</v>
          </cell>
          <cell r="AC47">
            <v>1</v>
          </cell>
          <cell r="AD47">
            <v>1100</v>
          </cell>
          <cell r="AE47">
            <v>0</v>
          </cell>
          <cell r="AF47">
            <v>0</v>
          </cell>
          <cell r="AG47">
            <v>0</v>
          </cell>
          <cell r="AH47">
            <v>0</v>
          </cell>
          <cell r="AI47">
            <v>3</v>
          </cell>
          <cell r="AJ47">
            <v>1380</v>
          </cell>
          <cell r="AK47">
            <v>0</v>
          </cell>
          <cell r="AL47">
            <v>0</v>
          </cell>
          <cell r="AM47">
            <v>0</v>
          </cell>
          <cell r="AN47">
            <v>0</v>
          </cell>
          <cell r="AO47">
            <v>0</v>
          </cell>
          <cell r="AP47">
            <v>0</v>
          </cell>
          <cell r="AQ47" t="str">
            <v>DENVER CBD</v>
          </cell>
          <cell r="AR47">
            <v>34</v>
          </cell>
          <cell r="AS47">
            <v>6790</v>
          </cell>
          <cell r="AT47">
            <v>34</v>
          </cell>
          <cell r="AU47">
            <v>6790</v>
          </cell>
          <cell r="AV47">
            <v>33</v>
          </cell>
          <cell r="AW47">
            <v>6668</v>
          </cell>
          <cell r="AX47">
            <v>30</v>
          </cell>
          <cell r="AY47">
            <v>6742</v>
          </cell>
          <cell r="AZ47">
            <v>2</v>
          </cell>
          <cell r="BA47">
            <v>1280</v>
          </cell>
        </row>
        <row r="48">
          <cell r="B48" t="str">
            <v>DENVER NORTH</v>
          </cell>
          <cell r="C48">
            <v>4</v>
          </cell>
          <cell r="D48">
            <v>727</v>
          </cell>
          <cell r="E48">
            <v>0</v>
          </cell>
          <cell r="F48">
            <v>0</v>
          </cell>
          <cell r="G48">
            <v>13</v>
          </cell>
          <cell r="H48">
            <v>1789</v>
          </cell>
          <cell r="I48">
            <v>0</v>
          </cell>
          <cell r="J48">
            <v>0</v>
          </cell>
          <cell r="K48">
            <v>2</v>
          </cell>
          <cell r="L48">
            <v>396</v>
          </cell>
          <cell r="M48">
            <v>5</v>
          </cell>
          <cell r="N48">
            <v>727</v>
          </cell>
          <cell r="O48">
            <v>7</v>
          </cell>
          <cell r="P48">
            <v>1123</v>
          </cell>
          <cell r="Q48">
            <v>1</v>
          </cell>
          <cell r="R48">
            <v>121</v>
          </cell>
          <cell r="S48">
            <v>0</v>
          </cell>
          <cell r="T48">
            <v>0</v>
          </cell>
          <cell r="U48">
            <v>2</v>
          </cell>
          <cell r="V48">
            <v>396</v>
          </cell>
          <cell r="W48">
            <v>4</v>
          </cell>
          <cell r="X48">
            <v>427</v>
          </cell>
          <cell r="Y48">
            <v>1</v>
          </cell>
          <cell r="Z48">
            <v>300</v>
          </cell>
          <cell r="AA48">
            <v>1</v>
          </cell>
          <cell r="AB48">
            <v>121</v>
          </cell>
          <cell r="AC48">
            <v>0</v>
          </cell>
          <cell r="AD48">
            <v>0</v>
          </cell>
          <cell r="AE48">
            <v>0</v>
          </cell>
          <cell r="AF48">
            <v>0</v>
          </cell>
          <cell r="AG48">
            <v>0</v>
          </cell>
          <cell r="AH48">
            <v>0</v>
          </cell>
          <cell r="AI48">
            <v>2</v>
          </cell>
          <cell r="AJ48">
            <v>421</v>
          </cell>
          <cell r="AK48">
            <v>0</v>
          </cell>
          <cell r="AL48">
            <v>0</v>
          </cell>
          <cell r="AM48">
            <v>2</v>
          </cell>
          <cell r="AN48">
            <v>396</v>
          </cell>
          <cell r="AO48">
            <v>4</v>
          </cell>
          <cell r="AP48">
            <v>427</v>
          </cell>
          <cell r="AQ48" t="str">
            <v>DENVER NORTH</v>
          </cell>
          <cell r="AR48">
            <v>30</v>
          </cell>
          <cell r="AS48">
            <v>3665</v>
          </cell>
          <cell r="AT48">
            <v>30</v>
          </cell>
          <cell r="AU48">
            <v>3665</v>
          </cell>
          <cell r="AV48">
            <v>26</v>
          </cell>
          <cell r="AW48">
            <v>2938</v>
          </cell>
          <cell r="AX48">
            <v>31</v>
          </cell>
          <cell r="AY48">
            <v>3705</v>
          </cell>
          <cell r="AZ48">
            <v>1</v>
          </cell>
          <cell r="BA48">
            <v>300</v>
          </cell>
        </row>
        <row r="49">
          <cell r="B49" t="str">
            <v>DENVER SOUTH</v>
          </cell>
          <cell r="C49">
            <v>4</v>
          </cell>
          <cell r="D49">
            <v>360</v>
          </cell>
          <cell r="E49">
            <v>3</v>
          </cell>
          <cell r="F49">
            <v>260</v>
          </cell>
          <cell r="G49">
            <v>20</v>
          </cell>
          <cell r="H49">
            <v>1914</v>
          </cell>
          <cell r="I49">
            <v>2</v>
          </cell>
          <cell r="J49">
            <v>192</v>
          </cell>
          <cell r="K49">
            <v>2</v>
          </cell>
          <cell r="L49">
            <v>353</v>
          </cell>
          <cell r="M49">
            <v>3</v>
          </cell>
          <cell r="N49">
            <v>341</v>
          </cell>
          <cell r="O49">
            <v>5</v>
          </cell>
          <cell r="P49">
            <v>694</v>
          </cell>
          <cell r="Q49">
            <v>4</v>
          </cell>
          <cell r="R49">
            <v>442</v>
          </cell>
          <cell r="S49">
            <v>0</v>
          </cell>
          <cell r="T49">
            <v>0</v>
          </cell>
          <cell r="U49">
            <v>1</v>
          </cell>
          <cell r="V49">
            <v>74</v>
          </cell>
          <cell r="W49">
            <v>4</v>
          </cell>
          <cell r="X49">
            <v>620</v>
          </cell>
          <cell r="Y49">
            <v>4</v>
          </cell>
          <cell r="Z49">
            <v>442</v>
          </cell>
          <cell r="AA49">
            <v>0</v>
          </cell>
          <cell r="AB49">
            <v>0</v>
          </cell>
          <cell r="AC49">
            <v>0</v>
          </cell>
          <cell r="AD49">
            <v>0</v>
          </cell>
          <cell r="AE49">
            <v>0</v>
          </cell>
          <cell r="AF49">
            <v>0</v>
          </cell>
          <cell r="AG49">
            <v>0</v>
          </cell>
          <cell r="AH49">
            <v>0</v>
          </cell>
          <cell r="AI49">
            <v>4</v>
          </cell>
          <cell r="AJ49">
            <v>442</v>
          </cell>
          <cell r="AK49">
            <v>0</v>
          </cell>
          <cell r="AL49">
            <v>0</v>
          </cell>
          <cell r="AM49">
            <v>1</v>
          </cell>
          <cell r="AN49">
            <v>74</v>
          </cell>
          <cell r="AO49">
            <v>4</v>
          </cell>
          <cell r="AP49">
            <v>620</v>
          </cell>
          <cell r="AQ49" t="str">
            <v>DENVER SOUTH</v>
          </cell>
          <cell r="AR49">
            <v>40</v>
          </cell>
          <cell r="AS49">
            <v>6197</v>
          </cell>
          <cell r="AT49">
            <v>37</v>
          </cell>
          <cell r="AU49">
            <v>5937</v>
          </cell>
          <cell r="AV49">
            <v>33</v>
          </cell>
          <cell r="AW49">
            <v>5577</v>
          </cell>
          <cell r="AX49">
            <v>44</v>
          </cell>
          <cell r="AY49">
            <v>6128</v>
          </cell>
          <cell r="AZ49">
            <v>0</v>
          </cell>
          <cell r="BA49">
            <v>0</v>
          </cell>
        </row>
        <row r="50">
          <cell r="B50" t="str">
            <v>DENVER WEST</v>
          </cell>
          <cell r="C50">
            <v>2</v>
          </cell>
          <cell r="D50">
            <v>198</v>
          </cell>
          <cell r="E50">
            <v>1</v>
          </cell>
          <cell r="F50">
            <v>65</v>
          </cell>
          <cell r="G50">
            <v>12</v>
          </cell>
          <cell r="H50">
            <v>1219</v>
          </cell>
          <cell r="I50">
            <v>1</v>
          </cell>
          <cell r="J50">
            <v>65</v>
          </cell>
          <cell r="K50">
            <v>0</v>
          </cell>
          <cell r="L50">
            <v>0</v>
          </cell>
          <cell r="M50">
            <v>1</v>
          </cell>
          <cell r="N50">
            <v>123</v>
          </cell>
          <cell r="O50">
            <v>1</v>
          </cell>
          <cell r="P50">
            <v>123</v>
          </cell>
          <cell r="Q50">
            <v>1</v>
          </cell>
          <cell r="R50">
            <v>100</v>
          </cell>
          <cell r="S50">
            <v>0</v>
          </cell>
          <cell r="T50">
            <v>0</v>
          </cell>
          <cell r="U50">
            <v>0</v>
          </cell>
          <cell r="V50">
            <v>0</v>
          </cell>
          <cell r="W50">
            <v>2</v>
          </cell>
          <cell r="X50">
            <v>223</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1</v>
          </cell>
          <cell r="AP50">
            <v>123</v>
          </cell>
          <cell r="AQ50" t="str">
            <v>DENVER WEST</v>
          </cell>
          <cell r="AR50">
            <v>36</v>
          </cell>
          <cell r="AS50">
            <v>4185</v>
          </cell>
          <cell r="AT50">
            <v>35</v>
          </cell>
          <cell r="AU50">
            <v>4120</v>
          </cell>
          <cell r="AV50">
            <v>33</v>
          </cell>
          <cell r="AW50">
            <v>3922</v>
          </cell>
          <cell r="AX50">
            <v>40</v>
          </cell>
          <cell r="AY50">
            <v>4399</v>
          </cell>
          <cell r="AZ50">
            <v>0</v>
          </cell>
          <cell r="BA50">
            <v>0</v>
          </cell>
        </row>
        <row r="51">
          <cell r="B51" t="str">
            <v>DETROIT NORTH</v>
          </cell>
          <cell r="C51">
            <v>6</v>
          </cell>
          <cell r="D51">
            <v>789</v>
          </cell>
          <cell r="E51">
            <v>0</v>
          </cell>
          <cell r="F51">
            <v>0</v>
          </cell>
          <cell r="G51">
            <v>20</v>
          </cell>
          <cell r="H51">
            <v>2362</v>
          </cell>
          <cell r="I51">
            <v>1</v>
          </cell>
          <cell r="J51">
            <v>100</v>
          </cell>
          <cell r="K51">
            <v>2</v>
          </cell>
          <cell r="L51">
            <v>233</v>
          </cell>
          <cell r="M51">
            <v>5</v>
          </cell>
          <cell r="N51">
            <v>459</v>
          </cell>
          <cell r="O51">
            <v>7</v>
          </cell>
          <cell r="P51">
            <v>692</v>
          </cell>
          <cell r="Q51">
            <v>3</v>
          </cell>
          <cell r="R51">
            <v>416</v>
          </cell>
          <cell r="S51">
            <v>1</v>
          </cell>
          <cell r="T51">
            <v>100</v>
          </cell>
          <cell r="U51">
            <v>2</v>
          </cell>
          <cell r="V51">
            <v>233</v>
          </cell>
          <cell r="W51">
            <v>1</v>
          </cell>
          <cell r="X51">
            <v>63</v>
          </cell>
          <cell r="Y51">
            <v>7</v>
          </cell>
          <cell r="Z51">
            <v>812</v>
          </cell>
          <cell r="AA51">
            <v>0</v>
          </cell>
          <cell r="AB51">
            <v>0</v>
          </cell>
          <cell r="AC51">
            <v>0</v>
          </cell>
          <cell r="AD51">
            <v>0</v>
          </cell>
          <cell r="AE51">
            <v>0</v>
          </cell>
          <cell r="AF51">
            <v>0</v>
          </cell>
          <cell r="AG51">
            <v>0</v>
          </cell>
          <cell r="AH51">
            <v>0</v>
          </cell>
          <cell r="AI51">
            <v>7</v>
          </cell>
          <cell r="AJ51">
            <v>812</v>
          </cell>
          <cell r="AK51">
            <v>0</v>
          </cell>
          <cell r="AL51">
            <v>0</v>
          </cell>
          <cell r="AM51">
            <v>2</v>
          </cell>
          <cell r="AN51">
            <v>233</v>
          </cell>
          <cell r="AO51">
            <v>1</v>
          </cell>
          <cell r="AP51">
            <v>63</v>
          </cell>
          <cell r="AQ51" t="str">
            <v>DETROIT NORTH</v>
          </cell>
          <cell r="AR51">
            <v>61</v>
          </cell>
          <cell r="AS51">
            <v>7734</v>
          </cell>
          <cell r="AT51">
            <v>61</v>
          </cell>
          <cell r="AU51">
            <v>7734</v>
          </cell>
          <cell r="AV51">
            <v>55</v>
          </cell>
          <cell r="AW51">
            <v>6945</v>
          </cell>
          <cell r="AX51">
            <v>64</v>
          </cell>
          <cell r="AY51">
            <v>8094</v>
          </cell>
          <cell r="AZ51">
            <v>4</v>
          </cell>
          <cell r="BA51">
            <v>396</v>
          </cell>
        </row>
        <row r="52">
          <cell r="B52" t="str">
            <v>DETROIT NORTHEAST</v>
          </cell>
          <cell r="C52">
            <v>4</v>
          </cell>
          <cell r="D52">
            <v>316</v>
          </cell>
          <cell r="E52">
            <v>5</v>
          </cell>
          <cell r="F52">
            <v>510</v>
          </cell>
          <cell r="G52">
            <v>18</v>
          </cell>
          <cell r="H52">
            <v>1703</v>
          </cell>
          <cell r="I52">
            <v>5</v>
          </cell>
          <cell r="J52">
            <v>510</v>
          </cell>
          <cell r="K52">
            <v>2</v>
          </cell>
          <cell r="L52">
            <v>159</v>
          </cell>
          <cell r="M52">
            <v>1</v>
          </cell>
          <cell r="N52">
            <v>100</v>
          </cell>
          <cell r="O52">
            <v>3</v>
          </cell>
          <cell r="P52">
            <v>259</v>
          </cell>
          <cell r="Q52">
            <v>0</v>
          </cell>
          <cell r="R52">
            <v>0</v>
          </cell>
          <cell r="S52">
            <v>0</v>
          </cell>
          <cell r="T52">
            <v>0</v>
          </cell>
          <cell r="U52">
            <v>1</v>
          </cell>
          <cell r="V52">
            <v>79</v>
          </cell>
          <cell r="W52">
            <v>2</v>
          </cell>
          <cell r="X52">
            <v>180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1</v>
          </cell>
          <cell r="AN52">
            <v>79</v>
          </cell>
          <cell r="AO52">
            <v>2</v>
          </cell>
          <cell r="AP52">
            <v>180</v>
          </cell>
          <cell r="AQ52" t="str">
            <v>DETROIT NORTHEAST</v>
          </cell>
          <cell r="AR52">
            <v>58</v>
          </cell>
          <cell r="AS52">
            <v>5793</v>
          </cell>
          <cell r="AT52">
            <v>53</v>
          </cell>
          <cell r="AU52">
            <v>5283</v>
          </cell>
          <cell r="AV52">
            <v>49</v>
          </cell>
          <cell r="AW52">
            <v>4967</v>
          </cell>
          <cell r="AX52">
            <v>60</v>
          </cell>
          <cell r="AY52">
            <v>5870</v>
          </cell>
          <cell r="AZ52">
            <v>0</v>
          </cell>
          <cell r="BA52">
            <v>0</v>
          </cell>
        </row>
        <row r="53">
          <cell r="B53" t="str">
            <v>DETROIT NORTHWEST</v>
          </cell>
          <cell r="C53">
            <v>2</v>
          </cell>
          <cell r="D53">
            <v>273</v>
          </cell>
          <cell r="E53">
            <v>1</v>
          </cell>
          <cell r="F53">
            <v>109</v>
          </cell>
          <cell r="G53">
            <v>10</v>
          </cell>
          <cell r="H53">
            <v>1116</v>
          </cell>
          <cell r="I53">
            <v>2</v>
          </cell>
          <cell r="J53">
            <v>184</v>
          </cell>
          <cell r="K53">
            <v>3</v>
          </cell>
          <cell r="L53">
            <v>260</v>
          </cell>
          <cell r="M53">
            <v>3</v>
          </cell>
          <cell r="N53">
            <v>260</v>
          </cell>
          <cell r="O53">
            <v>6</v>
          </cell>
          <cell r="P53">
            <v>520</v>
          </cell>
          <cell r="Q53">
            <v>0</v>
          </cell>
          <cell r="R53">
            <v>0</v>
          </cell>
          <cell r="S53">
            <v>1</v>
          </cell>
          <cell r="T53">
            <v>75</v>
          </cell>
          <cell r="U53">
            <v>2</v>
          </cell>
          <cell r="V53">
            <v>172</v>
          </cell>
          <cell r="W53">
            <v>3</v>
          </cell>
          <cell r="X53">
            <v>288</v>
          </cell>
          <cell r="Y53">
            <v>1</v>
          </cell>
          <cell r="Z53">
            <v>60</v>
          </cell>
          <cell r="AA53">
            <v>0</v>
          </cell>
          <cell r="AB53">
            <v>0</v>
          </cell>
          <cell r="AC53">
            <v>0</v>
          </cell>
          <cell r="AD53">
            <v>0</v>
          </cell>
          <cell r="AE53">
            <v>0</v>
          </cell>
          <cell r="AF53">
            <v>0</v>
          </cell>
          <cell r="AG53">
            <v>0</v>
          </cell>
          <cell r="AH53">
            <v>0</v>
          </cell>
          <cell r="AI53">
            <v>1</v>
          </cell>
          <cell r="AJ53">
            <v>60</v>
          </cell>
          <cell r="AK53">
            <v>0</v>
          </cell>
          <cell r="AL53">
            <v>0</v>
          </cell>
          <cell r="AM53">
            <v>2</v>
          </cell>
          <cell r="AN53">
            <v>172</v>
          </cell>
          <cell r="AO53">
            <v>3</v>
          </cell>
          <cell r="AP53">
            <v>288</v>
          </cell>
          <cell r="AQ53" t="str">
            <v>DETROIT NORTHWEST</v>
          </cell>
          <cell r="AR53">
            <v>39</v>
          </cell>
          <cell r="AS53">
            <v>5445</v>
          </cell>
          <cell r="AT53">
            <v>38</v>
          </cell>
          <cell r="AU53">
            <v>5336</v>
          </cell>
          <cell r="AV53">
            <v>36</v>
          </cell>
          <cell r="AW53">
            <v>5063</v>
          </cell>
          <cell r="AX53">
            <v>42</v>
          </cell>
          <cell r="AY53">
            <v>5639</v>
          </cell>
          <cell r="AZ53">
            <v>1</v>
          </cell>
          <cell r="BA53">
            <v>60</v>
          </cell>
        </row>
        <row r="54">
          <cell r="B54" t="str">
            <v>DETROIT SOUTHWEST-AIRPORT</v>
          </cell>
          <cell r="C54">
            <v>5</v>
          </cell>
          <cell r="D54">
            <v>532</v>
          </cell>
          <cell r="E54">
            <v>7</v>
          </cell>
          <cell r="F54">
            <v>524</v>
          </cell>
          <cell r="G54">
            <v>25</v>
          </cell>
          <cell r="H54">
            <v>2404</v>
          </cell>
          <cell r="I54">
            <v>8</v>
          </cell>
          <cell r="J54">
            <v>640</v>
          </cell>
          <cell r="K54">
            <v>2</v>
          </cell>
          <cell r="L54">
            <v>412</v>
          </cell>
          <cell r="M54">
            <v>5</v>
          </cell>
          <cell r="N54">
            <v>419</v>
          </cell>
          <cell r="O54">
            <v>7</v>
          </cell>
          <cell r="P54">
            <v>831</v>
          </cell>
          <cell r="Q54">
            <v>2</v>
          </cell>
          <cell r="R54">
            <v>186</v>
          </cell>
          <cell r="S54">
            <v>2</v>
          </cell>
          <cell r="T54">
            <v>186</v>
          </cell>
          <cell r="U54">
            <v>1</v>
          </cell>
          <cell r="V54">
            <v>8</v>
          </cell>
          <cell r="W54">
            <v>5</v>
          </cell>
          <cell r="X54">
            <v>723</v>
          </cell>
          <cell r="Y54">
            <v>3</v>
          </cell>
          <cell r="Z54">
            <v>286</v>
          </cell>
          <cell r="AA54">
            <v>0</v>
          </cell>
          <cell r="AB54">
            <v>0</v>
          </cell>
          <cell r="AC54">
            <v>0</v>
          </cell>
          <cell r="AD54">
            <v>0</v>
          </cell>
          <cell r="AE54">
            <v>0</v>
          </cell>
          <cell r="AF54">
            <v>0</v>
          </cell>
          <cell r="AG54">
            <v>0</v>
          </cell>
          <cell r="AH54">
            <v>0</v>
          </cell>
          <cell r="AI54">
            <v>3</v>
          </cell>
          <cell r="AJ54">
            <v>286</v>
          </cell>
          <cell r="AK54">
            <v>0</v>
          </cell>
          <cell r="AL54">
            <v>0</v>
          </cell>
          <cell r="AM54">
            <v>1</v>
          </cell>
          <cell r="AN54">
            <v>8</v>
          </cell>
          <cell r="AO54">
            <v>5</v>
          </cell>
          <cell r="AP54">
            <v>723</v>
          </cell>
          <cell r="AQ54" t="str">
            <v>DETROIT SOUTHWEST-AIRPORT</v>
          </cell>
          <cell r="AR54">
            <v>99</v>
          </cell>
          <cell r="AS54">
            <v>11200</v>
          </cell>
          <cell r="AT54">
            <v>92</v>
          </cell>
          <cell r="AU54">
            <v>10676</v>
          </cell>
          <cell r="AV54">
            <v>87</v>
          </cell>
          <cell r="AW54">
            <v>10144</v>
          </cell>
          <cell r="AX54">
            <v>90</v>
          </cell>
          <cell r="AY54">
            <v>10605</v>
          </cell>
          <cell r="AZ54">
            <v>1</v>
          </cell>
          <cell r="BA54">
            <v>100</v>
          </cell>
        </row>
        <row r="55">
          <cell r="B55" t="str">
            <v>DETROIT/DEARBORN</v>
          </cell>
          <cell r="C55">
            <v>0</v>
          </cell>
          <cell r="D55">
            <v>0</v>
          </cell>
          <cell r="E55">
            <v>1</v>
          </cell>
          <cell r="F55">
            <v>148</v>
          </cell>
          <cell r="G55">
            <v>3</v>
          </cell>
          <cell r="H55">
            <v>314</v>
          </cell>
          <cell r="I55">
            <v>1</v>
          </cell>
          <cell r="J55">
            <v>93</v>
          </cell>
          <cell r="K55">
            <v>0</v>
          </cell>
          <cell r="L55">
            <v>0</v>
          </cell>
          <cell r="M55">
            <v>1</v>
          </cell>
          <cell r="N55">
            <v>198</v>
          </cell>
          <cell r="O55">
            <v>1</v>
          </cell>
          <cell r="P55">
            <v>198</v>
          </cell>
          <cell r="Q55">
            <v>1</v>
          </cell>
          <cell r="R55">
            <v>100</v>
          </cell>
          <cell r="S55">
            <v>1</v>
          </cell>
          <cell r="T55">
            <v>93</v>
          </cell>
          <cell r="U55">
            <v>0</v>
          </cell>
          <cell r="V55">
            <v>0</v>
          </cell>
          <cell r="W55">
            <v>0</v>
          </cell>
          <cell r="X55">
            <v>0</v>
          </cell>
          <cell r="Y55">
            <v>2</v>
          </cell>
          <cell r="Z55">
            <v>298</v>
          </cell>
          <cell r="AA55">
            <v>0</v>
          </cell>
          <cell r="AB55">
            <v>0</v>
          </cell>
          <cell r="AC55">
            <v>0</v>
          </cell>
          <cell r="AD55">
            <v>0</v>
          </cell>
          <cell r="AE55">
            <v>0</v>
          </cell>
          <cell r="AF55">
            <v>0</v>
          </cell>
          <cell r="AG55">
            <v>0</v>
          </cell>
          <cell r="AH55">
            <v>0</v>
          </cell>
          <cell r="AI55">
            <v>2</v>
          </cell>
          <cell r="AJ55">
            <v>298</v>
          </cell>
          <cell r="AK55">
            <v>0</v>
          </cell>
          <cell r="AL55">
            <v>0</v>
          </cell>
          <cell r="AM55">
            <v>0</v>
          </cell>
          <cell r="AN55">
            <v>0</v>
          </cell>
          <cell r="AO55">
            <v>0</v>
          </cell>
          <cell r="AP55">
            <v>0</v>
          </cell>
          <cell r="AQ55" t="str">
            <v>DETROIT/DEARBORN</v>
          </cell>
          <cell r="AR55">
            <v>52</v>
          </cell>
          <cell r="AS55">
            <v>7372</v>
          </cell>
          <cell r="AT55">
            <v>51</v>
          </cell>
          <cell r="AU55">
            <v>7224</v>
          </cell>
          <cell r="AV55">
            <v>51</v>
          </cell>
          <cell r="AW55">
            <v>7224</v>
          </cell>
          <cell r="AX55">
            <v>49</v>
          </cell>
          <cell r="AY55">
            <v>7221</v>
          </cell>
          <cell r="AZ55">
            <v>1</v>
          </cell>
          <cell r="BA55">
            <v>198</v>
          </cell>
        </row>
        <row r="56">
          <cell r="B56" t="str">
            <v>ENGLEWOOD</v>
          </cell>
          <cell r="C56">
            <v>5</v>
          </cell>
          <cell r="D56">
            <v>591</v>
          </cell>
          <cell r="E56">
            <v>0</v>
          </cell>
          <cell r="F56">
            <v>0</v>
          </cell>
          <cell r="G56">
            <v>21</v>
          </cell>
          <cell r="H56">
            <v>2536</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t="str">
            <v>ENGLEWOOD</v>
          </cell>
          <cell r="AR56">
            <v>32</v>
          </cell>
          <cell r="AS56">
            <v>4664</v>
          </cell>
          <cell r="AT56">
            <v>32</v>
          </cell>
          <cell r="AU56">
            <v>4664</v>
          </cell>
          <cell r="AV56">
            <v>27</v>
          </cell>
          <cell r="AW56">
            <v>4073</v>
          </cell>
          <cell r="AX56">
            <v>34</v>
          </cell>
          <cell r="AY56">
            <v>4645</v>
          </cell>
          <cell r="AZ56">
            <v>0</v>
          </cell>
          <cell r="BA56">
            <v>0</v>
          </cell>
        </row>
        <row r="57">
          <cell r="B57" t="str">
            <v>ESSEX COUNTY</v>
          </cell>
          <cell r="C57">
            <v>2</v>
          </cell>
          <cell r="D57">
            <v>217</v>
          </cell>
          <cell r="E57">
            <v>2</v>
          </cell>
          <cell r="F57">
            <v>256</v>
          </cell>
          <cell r="G57">
            <v>10</v>
          </cell>
          <cell r="H57">
            <v>1162</v>
          </cell>
          <cell r="I57">
            <v>2</v>
          </cell>
          <cell r="J57">
            <v>256</v>
          </cell>
          <cell r="K57">
            <v>3</v>
          </cell>
          <cell r="L57">
            <v>307</v>
          </cell>
          <cell r="M57">
            <v>0</v>
          </cell>
          <cell r="N57">
            <v>0</v>
          </cell>
          <cell r="O57">
            <v>3</v>
          </cell>
          <cell r="P57">
            <v>307</v>
          </cell>
          <cell r="Q57">
            <v>1</v>
          </cell>
          <cell r="R57">
            <v>65</v>
          </cell>
          <cell r="S57">
            <v>0</v>
          </cell>
          <cell r="T57">
            <v>0</v>
          </cell>
          <cell r="U57">
            <v>3</v>
          </cell>
          <cell r="V57">
            <v>307</v>
          </cell>
          <cell r="W57">
            <v>0</v>
          </cell>
          <cell r="X57">
            <v>0</v>
          </cell>
          <cell r="Y57">
            <v>1</v>
          </cell>
          <cell r="Z57">
            <v>65</v>
          </cell>
          <cell r="AA57">
            <v>0</v>
          </cell>
          <cell r="AB57">
            <v>0</v>
          </cell>
          <cell r="AC57">
            <v>0</v>
          </cell>
          <cell r="AD57">
            <v>0</v>
          </cell>
          <cell r="AE57">
            <v>0</v>
          </cell>
          <cell r="AF57">
            <v>0</v>
          </cell>
          <cell r="AG57">
            <v>0</v>
          </cell>
          <cell r="AH57">
            <v>0</v>
          </cell>
          <cell r="AI57">
            <v>1</v>
          </cell>
          <cell r="AJ57">
            <v>65</v>
          </cell>
          <cell r="AK57">
            <v>0</v>
          </cell>
          <cell r="AL57">
            <v>0</v>
          </cell>
          <cell r="AM57">
            <v>3</v>
          </cell>
          <cell r="AN57">
            <v>307</v>
          </cell>
          <cell r="AO57">
            <v>0</v>
          </cell>
          <cell r="AP57">
            <v>0</v>
          </cell>
          <cell r="AQ57" t="str">
            <v>ESSEX COUNTY</v>
          </cell>
          <cell r="AR57">
            <v>65</v>
          </cell>
          <cell r="AS57">
            <v>6221</v>
          </cell>
          <cell r="AT57">
            <v>63</v>
          </cell>
          <cell r="AU57">
            <v>5965</v>
          </cell>
          <cell r="AV57">
            <v>61</v>
          </cell>
          <cell r="AW57">
            <v>5748</v>
          </cell>
          <cell r="AX57">
            <v>65</v>
          </cell>
          <cell r="AY57">
            <v>5504</v>
          </cell>
          <cell r="AZ57">
            <v>0</v>
          </cell>
          <cell r="BA57">
            <v>0</v>
          </cell>
        </row>
        <row r="58">
          <cell r="B58" t="str">
            <v>FAIRFAX</v>
          </cell>
          <cell r="C58">
            <v>7</v>
          </cell>
          <cell r="D58">
            <v>999</v>
          </cell>
          <cell r="E58">
            <v>5</v>
          </cell>
          <cell r="F58">
            <v>630</v>
          </cell>
          <cell r="G58">
            <v>28</v>
          </cell>
          <cell r="H58">
            <v>3569</v>
          </cell>
          <cell r="I58">
            <v>5</v>
          </cell>
          <cell r="J58">
            <v>696</v>
          </cell>
          <cell r="K58">
            <v>1</v>
          </cell>
          <cell r="L58">
            <v>233</v>
          </cell>
          <cell r="M58">
            <v>4</v>
          </cell>
          <cell r="N58">
            <v>551</v>
          </cell>
          <cell r="O58">
            <v>5</v>
          </cell>
          <cell r="P58">
            <v>784</v>
          </cell>
          <cell r="Q58">
            <v>3</v>
          </cell>
          <cell r="R58">
            <v>844</v>
          </cell>
          <cell r="S58">
            <v>2</v>
          </cell>
          <cell r="T58">
            <v>273</v>
          </cell>
          <cell r="U58">
            <v>1</v>
          </cell>
          <cell r="V58">
            <v>233</v>
          </cell>
          <cell r="W58">
            <v>2</v>
          </cell>
          <cell r="X58">
            <v>253</v>
          </cell>
          <cell r="Y58">
            <v>4</v>
          </cell>
          <cell r="Z58">
            <v>630</v>
          </cell>
          <cell r="AA58">
            <v>1</v>
          </cell>
          <cell r="AB58">
            <v>512</v>
          </cell>
          <cell r="AC58">
            <v>0</v>
          </cell>
          <cell r="AD58">
            <v>0</v>
          </cell>
          <cell r="AE58">
            <v>0</v>
          </cell>
          <cell r="AF58">
            <v>0</v>
          </cell>
          <cell r="AG58">
            <v>0</v>
          </cell>
          <cell r="AH58">
            <v>0</v>
          </cell>
          <cell r="AI58">
            <v>5</v>
          </cell>
          <cell r="AJ58">
            <v>1142</v>
          </cell>
          <cell r="AK58">
            <v>0</v>
          </cell>
          <cell r="AL58">
            <v>0</v>
          </cell>
          <cell r="AM58">
            <v>1</v>
          </cell>
          <cell r="AN58">
            <v>233</v>
          </cell>
          <cell r="AO58">
            <v>2</v>
          </cell>
          <cell r="AP58">
            <v>253</v>
          </cell>
          <cell r="AQ58" t="str">
            <v>FAIRFAX</v>
          </cell>
          <cell r="AR58">
            <v>78</v>
          </cell>
          <cell r="AS58">
            <v>13582</v>
          </cell>
          <cell r="AT58">
            <v>73</v>
          </cell>
          <cell r="AU58">
            <v>12952</v>
          </cell>
          <cell r="AV58">
            <v>66</v>
          </cell>
          <cell r="AW58">
            <v>11953</v>
          </cell>
          <cell r="AX58">
            <v>77</v>
          </cell>
          <cell r="AY58">
            <v>13648</v>
          </cell>
          <cell r="AZ58">
            <v>2</v>
          </cell>
          <cell r="BA58">
            <v>298</v>
          </cell>
        </row>
        <row r="59">
          <cell r="B59" t="str">
            <v>FREDERICK-ROCKVILLE</v>
          </cell>
          <cell r="C59">
            <v>3</v>
          </cell>
          <cell r="D59">
            <v>318</v>
          </cell>
          <cell r="E59">
            <v>1</v>
          </cell>
          <cell r="F59">
            <v>80</v>
          </cell>
          <cell r="G59">
            <v>15</v>
          </cell>
          <cell r="H59">
            <v>1658</v>
          </cell>
          <cell r="I59">
            <v>1</v>
          </cell>
          <cell r="J59">
            <v>80</v>
          </cell>
          <cell r="K59">
            <v>1</v>
          </cell>
          <cell r="L59">
            <v>90</v>
          </cell>
          <cell r="M59">
            <v>1</v>
          </cell>
          <cell r="N59">
            <v>70</v>
          </cell>
          <cell r="O59">
            <v>2</v>
          </cell>
          <cell r="P59">
            <v>160</v>
          </cell>
          <cell r="Q59">
            <v>2</v>
          </cell>
          <cell r="R59">
            <v>310</v>
          </cell>
          <cell r="S59">
            <v>0</v>
          </cell>
          <cell r="T59">
            <v>0</v>
          </cell>
          <cell r="U59">
            <v>1</v>
          </cell>
          <cell r="V59">
            <v>90</v>
          </cell>
          <cell r="W59">
            <v>1</v>
          </cell>
          <cell r="X59">
            <v>70</v>
          </cell>
          <cell r="Y59">
            <v>2</v>
          </cell>
          <cell r="Z59">
            <v>310</v>
          </cell>
          <cell r="AA59">
            <v>0</v>
          </cell>
          <cell r="AB59">
            <v>0</v>
          </cell>
          <cell r="AC59">
            <v>0</v>
          </cell>
          <cell r="AD59">
            <v>0</v>
          </cell>
          <cell r="AE59">
            <v>0</v>
          </cell>
          <cell r="AF59">
            <v>0</v>
          </cell>
          <cell r="AG59">
            <v>0</v>
          </cell>
          <cell r="AH59">
            <v>0</v>
          </cell>
          <cell r="AI59">
            <v>2</v>
          </cell>
          <cell r="AJ59">
            <v>310</v>
          </cell>
          <cell r="AK59">
            <v>0</v>
          </cell>
          <cell r="AL59">
            <v>0</v>
          </cell>
          <cell r="AM59">
            <v>1</v>
          </cell>
          <cell r="AN59">
            <v>90</v>
          </cell>
          <cell r="AO59">
            <v>1</v>
          </cell>
          <cell r="AP59">
            <v>70</v>
          </cell>
          <cell r="AQ59" t="str">
            <v>FREDERICK-ROCKVILLE</v>
          </cell>
          <cell r="AR59">
            <v>48</v>
          </cell>
          <cell r="AS59">
            <v>6688</v>
          </cell>
          <cell r="AT59">
            <v>47</v>
          </cell>
          <cell r="AU59">
            <v>6608</v>
          </cell>
          <cell r="AV59">
            <v>44</v>
          </cell>
          <cell r="AW59">
            <v>6290</v>
          </cell>
          <cell r="AX59">
            <v>50</v>
          </cell>
          <cell r="AY59">
            <v>6824</v>
          </cell>
          <cell r="AZ59">
            <v>0</v>
          </cell>
          <cell r="BA59">
            <v>0</v>
          </cell>
        </row>
        <row r="60">
          <cell r="B60" t="str">
            <v>HOLLYWOOD-BEVERLY HILLS</v>
          </cell>
          <cell r="C60">
            <v>1</v>
          </cell>
          <cell r="D60">
            <v>50</v>
          </cell>
          <cell r="E60">
            <v>2</v>
          </cell>
          <cell r="F60">
            <v>287</v>
          </cell>
          <cell r="G60">
            <v>8</v>
          </cell>
          <cell r="H60">
            <v>750</v>
          </cell>
          <cell r="I60">
            <v>2</v>
          </cell>
          <cell r="J60">
            <v>287</v>
          </cell>
          <cell r="K60">
            <v>0</v>
          </cell>
          <cell r="L60">
            <v>0</v>
          </cell>
          <cell r="M60">
            <v>2</v>
          </cell>
          <cell r="N60">
            <v>503</v>
          </cell>
          <cell r="O60">
            <v>2</v>
          </cell>
          <cell r="P60">
            <v>503</v>
          </cell>
          <cell r="Q60">
            <v>1</v>
          </cell>
          <cell r="R60">
            <v>192</v>
          </cell>
          <cell r="S60">
            <v>0</v>
          </cell>
          <cell r="T60">
            <v>0</v>
          </cell>
          <cell r="U60">
            <v>0</v>
          </cell>
          <cell r="V60">
            <v>0</v>
          </cell>
          <cell r="W60">
            <v>0</v>
          </cell>
          <cell r="X60">
            <v>0</v>
          </cell>
          <cell r="Y60">
            <v>3</v>
          </cell>
          <cell r="Z60">
            <v>695</v>
          </cell>
          <cell r="AA60">
            <v>0</v>
          </cell>
          <cell r="AB60">
            <v>0</v>
          </cell>
          <cell r="AC60">
            <v>0</v>
          </cell>
          <cell r="AD60">
            <v>0</v>
          </cell>
          <cell r="AE60">
            <v>0</v>
          </cell>
          <cell r="AF60">
            <v>0</v>
          </cell>
          <cell r="AG60">
            <v>0</v>
          </cell>
          <cell r="AH60">
            <v>0</v>
          </cell>
          <cell r="AI60">
            <v>3</v>
          </cell>
          <cell r="AJ60">
            <v>695</v>
          </cell>
          <cell r="AK60">
            <v>0</v>
          </cell>
          <cell r="AL60">
            <v>0</v>
          </cell>
          <cell r="AM60">
            <v>0</v>
          </cell>
          <cell r="AN60">
            <v>0</v>
          </cell>
          <cell r="AO60">
            <v>0</v>
          </cell>
          <cell r="AP60">
            <v>0</v>
          </cell>
          <cell r="AQ60" t="str">
            <v>HOLLYWOOD-BEVERLY HILLS</v>
          </cell>
          <cell r="AR60">
            <v>98</v>
          </cell>
          <cell r="AS60">
            <v>11844</v>
          </cell>
          <cell r="AT60">
            <v>96</v>
          </cell>
          <cell r="AU60">
            <v>11557</v>
          </cell>
          <cell r="AV60">
            <v>95</v>
          </cell>
          <cell r="AW60">
            <v>11507</v>
          </cell>
          <cell r="AX60">
            <v>104</v>
          </cell>
          <cell r="AY60">
            <v>11632</v>
          </cell>
          <cell r="AZ60">
            <v>2</v>
          </cell>
          <cell r="BA60">
            <v>503</v>
          </cell>
        </row>
        <row r="61">
          <cell r="B61" t="str">
            <v>HOUSTON EAST/BAYTOWN</v>
          </cell>
          <cell r="C61">
            <v>6</v>
          </cell>
          <cell r="D61">
            <v>355</v>
          </cell>
          <cell r="E61">
            <v>2</v>
          </cell>
          <cell r="F61">
            <v>114</v>
          </cell>
          <cell r="G61">
            <v>26</v>
          </cell>
          <cell r="H61">
            <v>1816</v>
          </cell>
          <cell r="I61">
            <v>3</v>
          </cell>
          <cell r="J61">
            <v>186</v>
          </cell>
          <cell r="K61">
            <v>1</v>
          </cell>
          <cell r="L61">
            <v>36</v>
          </cell>
          <cell r="M61">
            <v>3</v>
          </cell>
          <cell r="N61">
            <v>242</v>
          </cell>
          <cell r="O61">
            <v>4</v>
          </cell>
          <cell r="P61">
            <v>278</v>
          </cell>
          <cell r="Q61">
            <v>3</v>
          </cell>
          <cell r="R61">
            <v>265</v>
          </cell>
          <cell r="S61">
            <v>1</v>
          </cell>
          <cell r="T61">
            <v>72</v>
          </cell>
          <cell r="U61">
            <v>2</v>
          </cell>
          <cell r="V61">
            <v>96</v>
          </cell>
          <cell r="W61">
            <v>1</v>
          </cell>
          <cell r="X61">
            <v>60</v>
          </cell>
          <cell r="Y61">
            <v>4</v>
          </cell>
          <cell r="Z61">
            <v>387</v>
          </cell>
          <cell r="AA61">
            <v>0</v>
          </cell>
          <cell r="AB61">
            <v>0</v>
          </cell>
          <cell r="AC61">
            <v>0</v>
          </cell>
          <cell r="AD61">
            <v>0</v>
          </cell>
          <cell r="AE61">
            <v>0</v>
          </cell>
          <cell r="AF61">
            <v>0</v>
          </cell>
          <cell r="AG61">
            <v>0</v>
          </cell>
          <cell r="AH61">
            <v>0</v>
          </cell>
          <cell r="AI61">
            <v>4</v>
          </cell>
          <cell r="AJ61">
            <v>387</v>
          </cell>
          <cell r="AK61">
            <v>0</v>
          </cell>
          <cell r="AL61">
            <v>0</v>
          </cell>
          <cell r="AM61">
            <v>2</v>
          </cell>
          <cell r="AN61">
            <v>96</v>
          </cell>
          <cell r="AO61">
            <v>1</v>
          </cell>
          <cell r="AP61">
            <v>60</v>
          </cell>
          <cell r="AQ61" t="str">
            <v>HOUSTON EAST/NASA/BAYTOWN</v>
          </cell>
          <cell r="AR61">
            <v>86</v>
          </cell>
          <cell r="AS61">
            <v>8631</v>
          </cell>
          <cell r="AT61">
            <v>84</v>
          </cell>
          <cell r="AU61">
            <v>8517</v>
          </cell>
          <cell r="AV61">
            <v>78</v>
          </cell>
          <cell r="AW61">
            <v>8162</v>
          </cell>
          <cell r="AX61">
            <v>81</v>
          </cell>
          <cell r="AY61">
            <v>8164</v>
          </cell>
          <cell r="AZ61">
            <v>1</v>
          </cell>
          <cell r="BA61">
            <v>122</v>
          </cell>
        </row>
        <row r="62">
          <cell r="B62" t="str">
            <v>HOUSTON EAST/NASA/BAYTOWN</v>
          </cell>
          <cell r="C62">
            <v>6</v>
          </cell>
          <cell r="D62">
            <v>355</v>
          </cell>
          <cell r="E62">
            <v>2</v>
          </cell>
          <cell r="F62">
            <v>114</v>
          </cell>
          <cell r="G62">
            <v>26</v>
          </cell>
          <cell r="H62">
            <v>1816</v>
          </cell>
          <cell r="I62">
            <v>3</v>
          </cell>
          <cell r="J62">
            <v>186</v>
          </cell>
          <cell r="K62">
            <v>1</v>
          </cell>
          <cell r="L62">
            <v>36</v>
          </cell>
          <cell r="M62">
            <v>3</v>
          </cell>
          <cell r="N62">
            <v>242</v>
          </cell>
          <cell r="O62">
            <v>4</v>
          </cell>
          <cell r="P62">
            <v>278</v>
          </cell>
          <cell r="Q62">
            <v>3</v>
          </cell>
          <cell r="R62">
            <v>265</v>
          </cell>
          <cell r="S62">
            <v>1</v>
          </cell>
          <cell r="T62">
            <v>72</v>
          </cell>
          <cell r="U62">
            <v>2</v>
          </cell>
          <cell r="V62">
            <v>96</v>
          </cell>
          <cell r="W62">
            <v>1</v>
          </cell>
          <cell r="X62">
            <v>60</v>
          </cell>
          <cell r="Y62">
            <v>4</v>
          </cell>
          <cell r="Z62">
            <v>387</v>
          </cell>
          <cell r="AA62">
            <v>0</v>
          </cell>
          <cell r="AB62">
            <v>0</v>
          </cell>
          <cell r="AC62">
            <v>0</v>
          </cell>
          <cell r="AD62">
            <v>0</v>
          </cell>
          <cell r="AE62">
            <v>0</v>
          </cell>
          <cell r="AF62">
            <v>0</v>
          </cell>
          <cell r="AG62">
            <v>0</v>
          </cell>
          <cell r="AH62">
            <v>0</v>
          </cell>
          <cell r="AI62">
            <v>4</v>
          </cell>
          <cell r="AJ62">
            <v>387</v>
          </cell>
          <cell r="AK62">
            <v>0</v>
          </cell>
          <cell r="AL62">
            <v>0</v>
          </cell>
          <cell r="AM62">
            <v>2</v>
          </cell>
          <cell r="AN62">
            <v>96</v>
          </cell>
          <cell r="AO62">
            <v>1</v>
          </cell>
          <cell r="AP62">
            <v>60</v>
          </cell>
          <cell r="AQ62" t="str">
            <v>HOUSTON EAST/NASA/BAYTOWN</v>
          </cell>
          <cell r="AR62">
            <v>86</v>
          </cell>
          <cell r="AS62">
            <v>8631</v>
          </cell>
          <cell r="AT62">
            <v>84</v>
          </cell>
          <cell r="AU62">
            <v>8517</v>
          </cell>
          <cell r="AV62">
            <v>78</v>
          </cell>
          <cell r="AW62">
            <v>8162</v>
          </cell>
          <cell r="AX62">
            <v>81</v>
          </cell>
          <cell r="AY62">
            <v>8164</v>
          </cell>
          <cell r="AZ62">
            <v>1</v>
          </cell>
          <cell r="BA62">
            <v>122</v>
          </cell>
        </row>
        <row r="63">
          <cell r="B63" t="str">
            <v>HOUSTON NORTH</v>
          </cell>
          <cell r="C63">
            <v>14</v>
          </cell>
          <cell r="D63">
            <v>1222</v>
          </cell>
          <cell r="E63">
            <v>13</v>
          </cell>
          <cell r="F63">
            <v>903</v>
          </cell>
          <cell r="G63">
            <v>54</v>
          </cell>
          <cell r="H63">
            <v>4503</v>
          </cell>
          <cell r="I63">
            <v>11</v>
          </cell>
          <cell r="J63">
            <v>865</v>
          </cell>
          <cell r="K63">
            <v>5</v>
          </cell>
          <cell r="L63">
            <v>701</v>
          </cell>
          <cell r="M63">
            <v>3</v>
          </cell>
          <cell r="N63">
            <v>162</v>
          </cell>
          <cell r="O63">
            <v>8</v>
          </cell>
          <cell r="P63">
            <v>863</v>
          </cell>
          <cell r="Q63">
            <v>2</v>
          </cell>
          <cell r="R63">
            <v>225</v>
          </cell>
          <cell r="S63">
            <v>3</v>
          </cell>
          <cell r="T63">
            <v>292</v>
          </cell>
          <cell r="U63">
            <v>6</v>
          </cell>
          <cell r="V63">
            <v>466</v>
          </cell>
          <cell r="W63">
            <v>2</v>
          </cell>
          <cell r="X63">
            <v>397</v>
          </cell>
          <cell r="Y63">
            <v>1</v>
          </cell>
          <cell r="Z63">
            <v>65</v>
          </cell>
          <cell r="AA63">
            <v>1</v>
          </cell>
          <cell r="AB63">
            <v>160</v>
          </cell>
          <cell r="AC63">
            <v>0</v>
          </cell>
          <cell r="AD63">
            <v>0</v>
          </cell>
          <cell r="AE63">
            <v>0</v>
          </cell>
          <cell r="AF63">
            <v>0</v>
          </cell>
          <cell r="AG63">
            <v>0</v>
          </cell>
          <cell r="AH63">
            <v>0</v>
          </cell>
          <cell r="AI63">
            <v>2</v>
          </cell>
          <cell r="AJ63">
            <v>225</v>
          </cell>
          <cell r="AK63">
            <v>0</v>
          </cell>
          <cell r="AL63">
            <v>0</v>
          </cell>
          <cell r="AM63">
            <v>6</v>
          </cell>
          <cell r="AN63">
            <v>466</v>
          </cell>
          <cell r="AO63">
            <v>2</v>
          </cell>
          <cell r="AP63">
            <v>397</v>
          </cell>
          <cell r="AQ63" t="str">
            <v>HOUSTON NORTH</v>
          </cell>
          <cell r="AR63">
            <v>107</v>
          </cell>
          <cell r="AS63">
            <v>12984</v>
          </cell>
          <cell r="AT63">
            <v>94</v>
          </cell>
          <cell r="AU63">
            <v>12081</v>
          </cell>
          <cell r="AV63">
            <v>80</v>
          </cell>
          <cell r="AW63">
            <v>10859</v>
          </cell>
          <cell r="AX63">
            <v>105</v>
          </cell>
          <cell r="AY63">
            <v>12446</v>
          </cell>
          <cell r="AZ63">
            <v>0</v>
          </cell>
          <cell r="BA63">
            <v>0</v>
          </cell>
        </row>
        <row r="64">
          <cell r="B64" t="str">
            <v>HOUSTON NORTHWEST</v>
          </cell>
          <cell r="C64">
            <v>2</v>
          </cell>
          <cell r="D64">
            <v>191</v>
          </cell>
          <cell r="E64">
            <v>6</v>
          </cell>
          <cell r="F64">
            <v>444</v>
          </cell>
          <cell r="G64">
            <v>30</v>
          </cell>
          <cell r="H64">
            <v>2785</v>
          </cell>
          <cell r="I64">
            <v>4</v>
          </cell>
          <cell r="J64">
            <v>236</v>
          </cell>
          <cell r="K64">
            <v>2</v>
          </cell>
          <cell r="L64">
            <v>253</v>
          </cell>
          <cell r="M64">
            <v>1</v>
          </cell>
          <cell r="N64">
            <v>60</v>
          </cell>
          <cell r="O64">
            <v>3</v>
          </cell>
          <cell r="P64">
            <v>313</v>
          </cell>
          <cell r="Q64">
            <v>1</v>
          </cell>
          <cell r="R64">
            <v>52</v>
          </cell>
          <cell r="S64">
            <v>0</v>
          </cell>
          <cell r="T64">
            <v>0</v>
          </cell>
          <cell r="U64">
            <v>2</v>
          </cell>
          <cell r="V64">
            <v>253</v>
          </cell>
          <cell r="W64">
            <v>1</v>
          </cell>
          <cell r="X64">
            <v>60</v>
          </cell>
          <cell r="Y64">
            <v>1</v>
          </cell>
          <cell r="Z64">
            <v>52</v>
          </cell>
          <cell r="AA64">
            <v>0</v>
          </cell>
          <cell r="AB64">
            <v>0</v>
          </cell>
          <cell r="AC64">
            <v>0</v>
          </cell>
          <cell r="AD64">
            <v>0</v>
          </cell>
          <cell r="AE64">
            <v>0</v>
          </cell>
          <cell r="AF64">
            <v>0</v>
          </cell>
          <cell r="AG64">
            <v>0</v>
          </cell>
          <cell r="AH64">
            <v>0</v>
          </cell>
          <cell r="AI64">
            <v>1</v>
          </cell>
          <cell r="AJ64">
            <v>52</v>
          </cell>
          <cell r="AK64">
            <v>0</v>
          </cell>
          <cell r="AL64">
            <v>0</v>
          </cell>
          <cell r="AM64">
            <v>2</v>
          </cell>
          <cell r="AN64">
            <v>253</v>
          </cell>
          <cell r="AO64">
            <v>1</v>
          </cell>
          <cell r="AP64">
            <v>60</v>
          </cell>
          <cell r="AQ64" t="str">
            <v>HOUSTON NORTHWEST</v>
          </cell>
          <cell r="AR64">
            <v>72</v>
          </cell>
          <cell r="AS64">
            <v>8887</v>
          </cell>
          <cell r="AT64">
            <v>66</v>
          </cell>
          <cell r="AU64">
            <v>8443</v>
          </cell>
          <cell r="AV64">
            <v>64</v>
          </cell>
          <cell r="AW64">
            <v>8252</v>
          </cell>
          <cell r="AX64">
            <v>69</v>
          </cell>
          <cell r="AY64">
            <v>8415</v>
          </cell>
          <cell r="AZ64">
            <v>0</v>
          </cell>
          <cell r="BA64">
            <v>0</v>
          </cell>
        </row>
        <row r="65">
          <cell r="B65" t="str">
            <v>HOUSTON SOUTHWEST</v>
          </cell>
          <cell r="C65">
            <v>2</v>
          </cell>
          <cell r="D65">
            <v>145</v>
          </cell>
          <cell r="E65">
            <v>0</v>
          </cell>
          <cell r="F65">
            <v>0</v>
          </cell>
          <cell r="G65">
            <v>15</v>
          </cell>
          <cell r="H65">
            <v>1269</v>
          </cell>
          <cell r="I65">
            <v>0</v>
          </cell>
          <cell r="J65">
            <v>0</v>
          </cell>
          <cell r="K65">
            <v>0</v>
          </cell>
          <cell r="L65">
            <v>0</v>
          </cell>
          <cell r="M65">
            <v>2</v>
          </cell>
          <cell r="N65">
            <v>391</v>
          </cell>
          <cell r="O65">
            <v>2</v>
          </cell>
          <cell r="P65">
            <v>391</v>
          </cell>
          <cell r="Q65">
            <v>1</v>
          </cell>
          <cell r="R65">
            <v>150</v>
          </cell>
          <cell r="S65">
            <v>0</v>
          </cell>
          <cell r="T65">
            <v>0</v>
          </cell>
          <cell r="U65">
            <v>0</v>
          </cell>
          <cell r="V65">
            <v>0</v>
          </cell>
          <cell r="W65">
            <v>1</v>
          </cell>
          <cell r="X65">
            <v>90</v>
          </cell>
          <cell r="Y65">
            <v>1</v>
          </cell>
          <cell r="Z65">
            <v>301</v>
          </cell>
          <cell r="AA65">
            <v>1</v>
          </cell>
          <cell r="AB65">
            <v>150</v>
          </cell>
          <cell r="AC65">
            <v>0</v>
          </cell>
          <cell r="AD65">
            <v>0</v>
          </cell>
          <cell r="AE65">
            <v>0</v>
          </cell>
          <cell r="AF65">
            <v>0</v>
          </cell>
          <cell r="AG65">
            <v>0</v>
          </cell>
          <cell r="AH65">
            <v>0</v>
          </cell>
          <cell r="AI65">
            <v>2</v>
          </cell>
          <cell r="AJ65">
            <v>451</v>
          </cell>
          <cell r="AK65">
            <v>0</v>
          </cell>
          <cell r="AL65">
            <v>0</v>
          </cell>
          <cell r="AM65">
            <v>0</v>
          </cell>
          <cell r="AN65">
            <v>0</v>
          </cell>
          <cell r="AO65">
            <v>1</v>
          </cell>
          <cell r="AP65">
            <v>90</v>
          </cell>
          <cell r="AQ65" t="str">
            <v>HOUSTON SOUTHWEST</v>
          </cell>
          <cell r="AR65">
            <v>42</v>
          </cell>
          <cell r="AS65">
            <v>4587</v>
          </cell>
          <cell r="AT65">
            <v>42</v>
          </cell>
          <cell r="AU65">
            <v>4587</v>
          </cell>
          <cell r="AV65">
            <v>40</v>
          </cell>
          <cell r="AW65">
            <v>4442</v>
          </cell>
          <cell r="AX65">
            <v>41</v>
          </cell>
          <cell r="AY65">
            <v>4451</v>
          </cell>
          <cell r="AZ65">
            <v>1</v>
          </cell>
          <cell r="BA65">
            <v>301</v>
          </cell>
        </row>
        <row r="66">
          <cell r="B66" t="str">
            <v>HOUSTON WEST</v>
          </cell>
          <cell r="C66">
            <v>2</v>
          </cell>
          <cell r="D66">
            <v>436</v>
          </cell>
          <cell r="E66">
            <v>1</v>
          </cell>
          <cell r="F66">
            <v>76</v>
          </cell>
          <cell r="G66">
            <v>22</v>
          </cell>
          <cell r="H66">
            <v>2925</v>
          </cell>
          <cell r="I66">
            <v>1</v>
          </cell>
          <cell r="J66">
            <v>76</v>
          </cell>
          <cell r="K66">
            <v>1</v>
          </cell>
          <cell r="L66">
            <v>69</v>
          </cell>
          <cell r="M66">
            <v>1</v>
          </cell>
          <cell r="N66">
            <v>38</v>
          </cell>
          <cell r="O66">
            <v>2</v>
          </cell>
          <cell r="P66">
            <v>107</v>
          </cell>
          <cell r="Q66">
            <v>1</v>
          </cell>
          <cell r="R66">
            <v>100</v>
          </cell>
          <cell r="S66">
            <v>0</v>
          </cell>
          <cell r="T66">
            <v>0</v>
          </cell>
          <cell r="U66">
            <v>1</v>
          </cell>
          <cell r="V66">
            <v>69</v>
          </cell>
          <cell r="W66">
            <v>1</v>
          </cell>
          <cell r="X66">
            <v>38</v>
          </cell>
          <cell r="Y66">
            <v>1</v>
          </cell>
          <cell r="Z66">
            <v>100</v>
          </cell>
          <cell r="AA66">
            <v>0</v>
          </cell>
          <cell r="AB66">
            <v>0</v>
          </cell>
          <cell r="AC66">
            <v>0</v>
          </cell>
          <cell r="AD66">
            <v>0</v>
          </cell>
          <cell r="AE66">
            <v>0</v>
          </cell>
          <cell r="AF66">
            <v>0</v>
          </cell>
          <cell r="AG66">
            <v>0</v>
          </cell>
          <cell r="AH66">
            <v>0</v>
          </cell>
          <cell r="AI66">
            <v>1</v>
          </cell>
          <cell r="AJ66">
            <v>100</v>
          </cell>
          <cell r="AK66">
            <v>0</v>
          </cell>
          <cell r="AL66">
            <v>0</v>
          </cell>
          <cell r="AM66">
            <v>1</v>
          </cell>
          <cell r="AN66">
            <v>69</v>
          </cell>
          <cell r="AO66">
            <v>1</v>
          </cell>
          <cell r="AP66">
            <v>38</v>
          </cell>
          <cell r="AQ66" t="str">
            <v>HOUSTON WEST</v>
          </cell>
          <cell r="AR66">
            <v>49</v>
          </cell>
          <cell r="AS66">
            <v>9664</v>
          </cell>
          <cell r="AT66">
            <v>48</v>
          </cell>
          <cell r="AU66">
            <v>9588</v>
          </cell>
          <cell r="AV66">
            <v>46</v>
          </cell>
          <cell r="AW66">
            <v>9152</v>
          </cell>
          <cell r="AX66">
            <v>54</v>
          </cell>
          <cell r="AY66">
            <v>10616</v>
          </cell>
          <cell r="AZ66">
            <v>0</v>
          </cell>
          <cell r="BA66">
            <v>0</v>
          </cell>
        </row>
        <row r="67">
          <cell r="B67" t="str">
            <v>HOUSTON/SOUTH</v>
          </cell>
          <cell r="C67">
            <v>3</v>
          </cell>
          <cell r="D67">
            <v>141</v>
          </cell>
          <cell r="E67">
            <v>4</v>
          </cell>
          <cell r="F67">
            <v>455</v>
          </cell>
          <cell r="G67">
            <v>14</v>
          </cell>
          <cell r="H67">
            <v>1121</v>
          </cell>
          <cell r="I67">
            <v>3</v>
          </cell>
          <cell r="J67">
            <v>413</v>
          </cell>
          <cell r="K67">
            <v>7</v>
          </cell>
          <cell r="L67">
            <v>2178</v>
          </cell>
          <cell r="M67">
            <v>4</v>
          </cell>
          <cell r="N67">
            <v>344</v>
          </cell>
          <cell r="O67">
            <v>11</v>
          </cell>
          <cell r="P67">
            <v>2522</v>
          </cell>
          <cell r="Q67">
            <v>4</v>
          </cell>
          <cell r="R67">
            <v>724</v>
          </cell>
          <cell r="S67">
            <v>0</v>
          </cell>
          <cell r="T67">
            <v>0</v>
          </cell>
          <cell r="U67">
            <v>4</v>
          </cell>
          <cell r="V67">
            <v>613</v>
          </cell>
          <cell r="W67">
            <v>6</v>
          </cell>
          <cell r="X67">
            <v>709</v>
          </cell>
          <cell r="Y67">
            <v>5</v>
          </cell>
          <cell r="Z67">
            <v>1924</v>
          </cell>
          <cell r="AA67">
            <v>0</v>
          </cell>
          <cell r="AB67">
            <v>0</v>
          </cell>
          <cell r="AC67">
            <v>0</v>
          </cell>
          <cell r="AD67">
            <v>0</v>
          </cell>
          <cell r="AE67">
            <v>0</v>
          </cell>
          <cell r="AF67">
            <v>0</v>
          </cell>
          <cell r="AG67">
            <v>0</v>
          </cell>
          <cell r="AH67">
            <v>0</v>
          </cell>
          <cell r="AI67">
            <v>5</v>
          </cell>
          <cell r="AJ67">
            <v>1924</v>
          </cell>
          <cell r="AK67">
            <v>0</v>
          </cell>
          <cell r="AL67">
            <v>0</v>
          </cell>
          <cell r="AM67">
            <v>4</v>
          </cell>
          <cell r="AN67">
            <v>613</v>
          </cell>
          <cell r="AO67">
            <v>6</v>
          </cell>
          <cell r="AP67">
            <v>709</v>
          </cell>
          <cell r="AQ67" t="str">
            <v>HOUSTON/SOUTH</v>
          </cell>
          <cell r="AR67">
            <v>48</v>
          </cell>
          <cell r="AS67">
            <v>7416</v>
          </cell>
          <cell r="AT67">
            <v>44</v>
          </cell>
          <cell r="AU67">
            <v>6961</v>
          </cell>
          <cell r="AV67">
            <v>41</v>
          </cell>
          <cell r="AW67">
            <v>6820</v>
          </cell>
          <cell r="AX67">
            <v>48</v>
          </cell>
          <cell r="AY67">
            <v>8321</v>
          </cell>
          <cell r="AZ67">
            <v>1</v>
          </cell>
          <cell r="BA67">
            <v>1200</v>
          </cell>
        </row>
        <row r="68">
          <cell r="B68" t="str">
            <v>IRVING NORTH</v>
          </cell>
          <cell r="C68">
            <v>6</v>
          </cell>
          <cell r="D68">
            <v>764</v>
          </cell>
          <cell r="E68">
            <v>3</v>
          </cell>
          <cell r="F68">
            <v>235</v>
          </cell>
          <cell r="G68">
            <v>31</v>
          </cell>
          <cell r="H68">
            <v>3704</v>
          </cell>
          <cell r="I68">
            <v>2</v>
          </cell>
          <cell r="J68">
            <v>135</v>
          </cell>
          <cell r="K68">
            <v>2</v>
          </cell>
          <cell r="L68">
            <v>321</v>
          </cell>
          <cell r="M68">
            <v>2</v>
          </cell>
          <cell r="N68">
            <v>239</v>
          </cell>
          <cell r="O68">
            <v>4</v>
          </cell>
          <cell r="P68">
            <v>560</v>
          </cell>
          <cell r="Q68">
            <v>0</v>
          </cell>
          <cell r="R68">
            <v>0</v>
          </cell>
          <cell r="S68">
            <v>0</v>
          </cell>
          <cell r="T68">
            <v>0</v>
          </cell>
          <cell r="U68">
            <v>2</v>
          </cell>
          <cell r="V68">
            <v>321</v>
          </cell>
          <cell r="W68">
            <v>2</v>
          </cell>
          <cell r="X68">
            <v>239</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2</v>
          </cell>
          <cell r="AN68">
            <v>321</v>
          </cell>
          <cell r="AO68">
            <v>2</v>
          </cell>
          <cell r="AP68">
            <v>239</v>
          </cell>
          <cell r="AQ68" t="str">
            <v>IRVING NORTH</v>
          </cell>
          <cell r="AR68">
            <v>73</v>
          </cell>
          <cell r="AS68">
            <v>11464</v>
          </cell>
          <cell r="AT68">
            <v>70</v>
          </cell>
          <cell r="AU68">
            <v>11229</v>
          </cell>
          <cell r="AV68">
            <v>64</v>
          </cell>
          <cell r="AW68">
            <v>10465</v>
          </cell>
          <cell r="AX68">
            <v>46</v>
          </cell>
          <cell r="AY68">
            <v>7660</v>
          </cell>
          <cell r="AZ68">
            <v>0</v>
          </cell>
          <cell r="BA68">
            <v>0</v>
          </cell>
        </row>
        <row r="69">
          <cell r="B69" t="str">
            <v>IRVING SOUTH/GRAND PRAIRIE</v>
          </cell>
          <cell r="C69">
            <v>1</v>
          </cell>
          <cell r="D69">
            <v>50</v>
          </cell>
          <cell r="E69">
            <v>0</v>
          </cell>
          <cell r="F69">
            <v>0</v>
          </cell>
          <cell r="G69">
            <v>8</v>
          </cell>
          <cell r="H69">
            <v>872</v>
          </cell>
          <cell r="I69">
            <v>0</v>
          </cell>
          <cell r="J69">
            <v>0</v>
          </cell>
          <cell r="K69">
            <v>1</v>
          </cell>
          <cell r="L69">
            <v>300</v>
          </cell>
          <cell r="M69">
            <v>1</v>
          </cell>
          <cell r="N69">
            <v>70</v>
          </cell>
          <cell r="O69">
            <v>2</v>
          </cell>
          <cell r="P69">
            <v>370</v>
          </cell>
          <cell r="Q69">
            <v>0</v>
          </cell>
          <cell r="R69">
            <v>0</v>
          </cell>
          <cell r="S69">
            <v>0</v>
          </cell>
          <cell r="T69">
            <v>0</v>
          </cell>
          <cell r="U69">
            <v>0</v>
          </cell>
          <cell r="V69">
            <v>0</v>
          </cell>
          <cell r="W69">
            <v>1</v>
          </cell>
          <cell r="X69">
            <v>70</v>
          </cell>
          <cell r="Y69">
            <v>0</v>
          </cell>
          <cell r="Z69">
            <v>0</v>
          </cell>
          <cell r="AA69">
            <v>1</v>
          </cell>
          <cell r="AB69">
            <v>300</v>
          </cell>
          <cell r="AC69">
            <v>0</v>
          </cell>
          <cell r="AD69">
            <v>0</v>
          </cell>
          <cell r="AE69">
            <v>0</v>
          </cell>
          <cell r="AF69">
            <v>0</v>
          </cell>
          <cell r="AG69">
            <v>0</v>
          </cell>
          <cell r="AH69">
            <v>0</v>
          </cell>
          <cell r="AI69">
            <v>1</v>
          </cell>
          <cell r="AJ69">
            <v>300</v>
          </cell>
          <cell r="AK69">
            <v>0</v>
          </cell>
          <cell r="AL69">
            <v>0</v>
          </cell>
          <cell r="AM69">
            <v>0</v>
          </cell>
          <cell r="AN69">
            <v>0</v>
          </cell>
          <cell r="AO69">
            <v>1</v>
          </cell>
          <cell r="AP69">
            <v>70</v>
          </cell>
          <cell r="AQ69" t="str">
            <v>IRVING SOUTH/GRAND PRAIRIE</v>
          </cell>
          <cell r="AR69">
            <v>29</v>
          </cell>
          <cell r="AS69">
            <v>2889</v>
          </cell>
          <cell r="AT69">
            <v>29</v>
          </cell>
          <cell r="AU69">
            <v>2889</v>
          </cell>
          <cell r="AV69">
            <v>28</v>
          </cell>
          <cell r="AW69">
            <v>2839</v>
          </cell>
          <cell r="AX69">
            <v>48</v>
          </cell>
          <cell r="AY69">
            <v>5646</v>
          </cell>
          <cell r="AZ69">
            <v>1</v>
          </cell>
          <cell r="BA69">
            <v>300</v>
          </cell>
        </row>
        <row r="70">
          <cell r="B70" t="str">
            <v>KISSIMMEE EAST</v>
          </cell>
          <cell r="C70">
            <v>2</v>
          </cell>
          <cell r="D70">
            <v>215</v>
          </cell>
          <cell r="E70">
            <v>1</v>
          </cell>
          <cell r="F70">
            <v>162</v>
          </cell>
          <cell r="G70">
            <v>6</v>
          </cell>
          <cell r="H70">
            <v>2083</v>
          </cell>
          <cell r="I70">
            <v>2</v>
          </cell>
          <cell r="J70">
            <v>1568</v>
          </cell>
          <cell r="K70">
            <v>1</v>
          </cell>
          <cell r="L70">
            <v>2880</v>
          </cell>
          <cell r="M70">
            <v>2</v>
          </cell>
          <cell r="N70">
            <v>1464</v>
          </cell>
          <cell r="O70">
            <v>3</v>
          </cell>
          <cell r="P70">
            <v>4344</v>
          </cell>
          <cell r="Q70">
            <v>0</v>
          </cell>
          <cell r="R70">
            <v>0</v>
          </cell>
          <cell r="S70">
            <v>1</v>
          </cell>
          <cell r="T70">
            <v>1406</v>
          </cell>
          <cell r="U70">
            <v>0</v>
          </cell>
          <cell r="V70">
            <v>0</v>
          </cell>
          <cell r="W70">
            <v>1</v>
          </cell>
          <cell r="X70">
            <v>2880</v>
          </cell>
          <cell r="Y70">
            <v>1</v>
          </cell>
          <cell r="Z70">
            <v>264</v>
          </cell>
          <cell r="AA70">
            <v>1</v>
          </cell>
          <cell r="AB70">
            <v>1200</v>
          </cell>
          <cell r="AC70">
            <v>0</v>
          </cell>
          <cell r="AD70">
            <v>0</v>
          </cell>
          <cell r="AE70">
            <v>0</v>
          </cell>
          <cell r="AF70">
            <v>0</v>
          </cell>
          <cell r="AG70">
            <v>0</v>
          </cell>
          <cell r="AH70">
            <v>0</v>
          </cell>
          <cell r="AI70">
            <v>2</v>
          </cell>
          <cell r="AJ70">
            <v>1464</v>
          </cell>
          <cell r="AK70">
            <v>0</v>
          </cell>
          <cell r="AL70">
            <v>0</v>
          </cell>
          <cell r="AM70">
            <v>0</v>
          </cell>
          <cell r="AN70">
            <v>0</v>
          </cell>
          <cell r="AO70">
            <v>1</v>
          </cell>
          <cell r="AP70">
            <v>2880</v>
          </cell>
          <cell r="AQ70" t="str">
            <v>KISSIMMEE EAST</v>
          </cell>
          <cell r="AR70">
            <v>101</v>
          </cell>
          <cell r="AS70">
            <v>18773</v>
          </cell>
          <cell r="AT70">
            <v>100</v>
          </cell>
          <cell r="AU70">
            <v>18611</v>
          </cell>
          <cell r="AV70">
            <v>98</v>
          </cell>
          <cell r="AW70">
            <v>18396</v>
          </cell>
          <cell r="AX70">
            <v>104</v>
          </cell>
          <cell r="AY70">
            <v>13730</v>
          </cell>
          <cell r="AZ70">
            <v>2</v>
          </cell>
          <cell r="BA70">
            <v>1464</v>
          </cell>
        </row>
        <row r="71">
          <cell r="B71" t="str">
            <v>KISSIMMEE WEST</v>
          </cell>
          <cell r="C71">
            <v>0</v>
          </cell>
          <cell r="D71">
            <v>0</v>
          </cell>
          <cell r="E71">
            <v>0</v>
          </cell>
          <cell r="F71">
            <v>0</v>
          </cell>
          <cell r="G71">
            <v>3</v>
          </cell>
          <cell r="H71">
            <v>383</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t="str">
            <v>KISSIMMEE WEST</v>
          </cell>
          <cell r="AR71">
            <v>34</v>
          </cell>
          <cell r="AS71">
            <v>10473</v>
          </cell>
          <cell r="AT71">
            <v>34</v>
          </cell>
          <cell r="AU71">
            <v>10473</v>
          </cell>
          <cell r="AV71">
            <v>34</v>
          </cell>
          <cell r="AW71">
            <v>10473</v>
          </cell>
          <cell r="AX71">
            <v>36</v>
          </cell>
          <cell r="AY71">
            <v>11368</v>
          </cell>
          <cell r="AZ71">
            <v>0</v>
          </cell>
          <cell r="BA71">
            <v>0</v>
          </cell>
        </row>
        <row r="72">
          <cell r="B72" t="str">
            <v>LA JOLLA-POINT LOMA</v>
          </cell>
          <cell r="C72">
            <v>0</v>
          </cell>
          <cell r="D72">
            <v>0</v>
          </cell>
          <cell r="E72">
            <v>0</v>
          </cell>
          <cell r="F72">
            <v>0</v>
          </cell>
          <cell r="G72">
            <v>0</v>
          </cell>
          <cell r="H72">
            <v>0</v>
          </cell>
          <cell r="I72">
            <v>0</v>
          </cell>
          <cell r="J72">
            <v>0</v>
          </cell>
          <cell r="K72">
            <v>1</v>
          </cell>
          <cell r="L72">
            <v>175</v>
          </cell>
          <cell r="M72">
            <v>4</v>
          </cell>
          <cell r="N72">
            <v>438</v>
          </cell>
          <cell r="O72">
            <v>5</v>
          </cell>
          <cell r="P72">
            <v>613</v>
          </cell>
          <cell r="Q72">
            <v>3</v>
          </cell>
          <cell r="R72">
            <v>752</v>
          </cell>
          <cell r="S72">
            <v>0</v>
          </cell>
          <cell r="T72">
            <v>0</v>
          </cell>
          <cell r="U72">
            <v>2</v>
          </cell>
          <cell r="V72">
            <v>203</v>
          </cell>
          <cell r="W72">
            <v>2</v>
          </cell>
          <cell r="X72">
            <v>200</v>
          </cell>
          <cell r="Y72">
            <v>4</v>
          </cell>
          <cell r="Z72">
            <v>962</v>
          </cell>
          <cell r="AA72">
            <v>0</v>
          </cell>
          <cell r="AB72">
            <v>0</v>
          </cell>
          <cell r="AC72">
            <v>0</v>
          </cell>
          <cell r="AD72">
            <v>0</v>
          </cell>
          <cell r="AE72">
            <v>0</v>
          </cell>
          <cell r="AF72">
            <v>0</v>
          </cell>
          <cell r="AG72">
            <v>0</v>
          </cell>
          <cell r="AH72">
            <v>0</v>
          </cell>
          <cell r="AI72">
            <v>4</v>
          </cell>
          <cell r="AJ72">
            <v>962</v>
          </cell>
          <cell r="AK72">
            <v>0</v>
          </cell>
          <cell r="AL72">
            <v>0</v>
          </cell>
          <cell r="AM72">
            <v>2</v>
          </cell>
          <cell r="AN72">
            <v>203</v>
          </cell>
          <cell r="AO72">
            <v>2</v>
          </cell>
          <cell r="AP72">
            <v>200</v>
          </cell>
          <cell r="AQ72" t="str">
            <v>LA JOLLA-POINT LOMA</v>
          </cell>
          <cell r="AR72">
            <v>63</v>
          </cell>
          <cell r="AS72">
            <v>8340</v>
          </cell>
          <cell r="AT72">
            <v>63</v>
          </cell>
          <cell r="AU72">
            <v>8340</v>
          </cell>
          <cell r="AV72">
            <v>63</v>
          </cell>
          <cell r="AW72">
            <v>8340</v>
          </cell>
          <cell r="AX72">
            <v>68</v>
          </cell>
          <cell r="AY72">
            <v>8277</v>
          </cell>
          <cell r="AZ72">
            <v>1</v>
          </cell>
          <cell r="BA72">
            <v>210</v>
          </cell>
        </row>
        <row r="73">
          <cell r="B73" t="str">
            <v>LAKE BUENA VISTA</v>
          </cell>
          <cell r="C73">
            <v>2</v>
          </cell>
          <cell r="D73">
            <v>176</v>
          </cell>
          <cell r="E73">
            <v>2</v>
          </cell>
          <cell r="F73">
            <v>1503</v>
          </cell>
          <cell r="G73">
            <v>12</v>
          </cell>
          <cell r="H73">
            <v>7138</v>
          </cell>
          <cell r="I73">
            <v>2</v>
          </cell>
          <cell r="J73">
            <v>1503</v>
          </cell>
          <cell r="K73">
            <v>0</v>
          </cell>
          <cell r="L73">
            <v>0</v>
          </cell>
          <cell r="M73">
            <v>3</v>
          </cell>
          <cell r="N73">
            <v>970</v>
          </cell>
          <cell r="O73">
            <v>3</v>
          </cell>
          <cell r="P73">
            <v>970</v>
          </cell>
          <cell r="Q73">
            <v>3</v>
          </cell>
          <cell r="R73">
            <v>840</v>
          </cell>
          <cell r="S73">
            <v>0</v>
          </cell>
          <cell r="T73">
            <v>0</v>
          </cell>
          <cell r="U73">
            <v>0</v>
          </cell>
          <cell r="V73">
            <v>0</v>
          </cell>
          <cell r="W73">
            <v>0</v>
          </cell>
          <cell r="X73">
            <v>0</v>
          </cell>
          <cell r="Y73">
            <v>5</v>
          </cell>
          <cell r="Z73">
            <v>1540</v>
          </cell>
          <cell r="AA73">
            <v>1</v>
          </cell>
          <cell r="AB73">
            <v>270</v>
          </cell>
          <cell r="AC73">
            <v>0</v>
          </cell>
          <cell r="AD73">
            <v>0</v>
          </cell>
          <cell r="AE73">
            <v>0</v>
          </cell>
          <cell r="AF73">
            <v>0</v>
          </cell>
          <cell r="AG73">
            <v>0</v>
          </cell>
          <cell r="AH73">
            <v>0</v>
          </cell>
          <cell r="AI73">
            <v>6</v>
          </cell>
          <cell r="AJ73">
            <v>1810</v>
          </cell>
          <cell r="AK73">
            <v>0</v>
          </cell>
          <cell r="AL73">
            <v>0</v>
          </cell>
          <cell r="AM73">
            <v>0</v>
          </cell>
          <cell r="AN73">
            <v>0</v>
          </cell>
          <cell r="AO73">
            <v>0</v>
          </cell>
          <cell r="AP73">
            <v>0</v>
          </cell>
          <cell r="AQ73" t="str">
            <v>LAKE BUENA VISTA</v>
          </cell>
          <cell r="AR73">
            <v>46</v>
          </cell>
          <cell r="AS73">
            <v>33924</v>
          </cell>
          <cell r="AT73">
            <v>44</v>
          </cell>
          <cell r="AU73">
            <v>32421</v>
          </cell>
          <cell r="AV73">
            <v>42</v>
          </cell>
          <cell r="AW73">
            <v>32245</v>
          </cell>
          <cell r="AX73">
            <v>49</v>
          </cell>
          <cell r="AY73">
            <v>33055</v>
          </cell>
          <cell r="AZ73">
            <v>3</v>
          </cell>
          <cell r="BA73">
            <v>970</v>
          </cell>
        </row>
        <row r="74">
          <cell r="B74" t="str">
            <v>LAS VEGAS STRIP</v>
          </cell>
          <cell r="C74">
            <v>4</v>
          </cell>
          <cell r="D74">
            <v>3514</v>
          </cell>
          <cell r="E74">
            <v>0</v>
          </cell>
          <cell r="F74">
            <v>0</v>
          </cell>
          <cell r="G74">
            <v>16</v>
          </cell>
          <cell r="H74">
            <v>18011</v>
          </cell>
          <cell r="I74">
            <v>1</v>
          </cell>
          <cell r="J74">
            <v>716</v>
          </cell>
          <cell r="K74">
            <v>1</v>
          </cell>
          <cell r="L74">
            <v>303</v>
          </cell>
          <cell r="M74">
            <v>1</v>
          </cell>
          <cell r="N74">
            <v>2455</v>
          </cell>
          <cell r="O74">
            <v>2</v>
          </cell>
          <cell r="P74">
            <v>2758</v>
          </cell>
          <cell r="Q74">
            <v>0</v>
          </cell>
          <cell r="R74">
            <v>0</v>
          </cell>
          <cell r="S74">
            <v>1</v>
          </cell>
          <cell r="T74">
            <v>716</v>
          </cell>
          <cell r="U74">
            <v>1</v>
          </cell>
          <cell r="V74">
            <v>303</v>
          </cell>
          <cell r="W74">
            <v>0</v>
          </cell>
          <cell r="X74">
            <v>0</v>
          </cell>
          <cell r="Y74">
            <v>1</v>
          </cell>
          <cell r="Z74">
            <v>2455</v>
          </cell>
          <cell r="AA74">
            <v>0</v>
          </cell>
          <cell r="AB74">
            <v>0</v>
          </cell>
          <cell r="AC74">
            <v>0</v>
          </cell>
          <cell r="AD74">
            <v>0</v>
          </cell>
          <cell r="AE74">
            <v>0</v>
          </cell>
          <cell r="AF74">
            <v>0</v>
          </cell>
          <cell r="AG74">
            <v>0</v>
          </cell>
          <cell r="AH74">
            <v>0</v>
          </cell>
          <cell r="AI74">
            <v>1</v>
          </cell>
          <cell r="AJ74">
            <v>2455</v>
          </cell>
          <cell r="AK74">
            <v>0</v>
          </cell>
          <cell r="AL74">
            <v>0</v>
          </cell>
          <cell r="AM74">
            <v>1</v>
          </cell>
          <cell r="AN74">
            <v>303</v>
          </cell>
          <cell r="AO74">
            <v>0</v>
          </cell>
          <cell r="AP74">
            <v>0</v>
          </cell>
          <cell r="AQ74" t="str">
            <v>LAS VEGAS STRIP</v>
          </cell>
          <cell r="AR74">
            <v>89</v>
          </cell>
          <cell r="AS74">
            <v>79010</v>
          </cell>
          <cell r="AT74">
            <v>89</v>
          </cell>
          <cell r="AU74">
            <v>79010</v>
          </cell>
          <cell r="AV74">
            <v>85</v>
          </cell>
          <cell r="AW74">
            <v>75496</v>
          </cell>
          <cell r="AX74">
            <v>89</v>
          </cell>
          <cell r="AY74">
            <v>79010</v>
          </cell>
          <cell r="AZ74">
            <v>1</v>
          </cell>
          <cell r="BA74">
            <v>2455</v>
          </cell>
        </row>
        <row r="75">
          <cell r="B75" t="str">
            <v>LAS VEGAS-NORTH</v>
          </cell>
          <cell r="C75">
            <v>3</v>
          </cell>
          <cell r="D75">
            <v>350</v>
          </cell>
          <cell r="E75">
            <v>1</v>
          </cell>
          <cell r="F75">
            <v>87</v>
          </cell>
          <cell r="G75">
            <v>4</v>
          </cell>
          <cell r="H75">
            <v>437</v>
          </cell>
          <cell r="I75">
            <v>1</v>
          </cell>
          <cell r="J75">
            <v>87</v>
          </cell>
          <cell r="K75">
            <v>1</v>
          </cell>
          <cell r="L75">
            <v>200</v>
          </cell>
          <cell r="M75">
            <v>1</v>
          </cell>
          <cell r="N75">
            <v>463</v>
          </cell>
          <cell r="O75">
            <v>2</v>
          </cell>
          <cell r="P75">
            <v>663</v>
          </cell>
          <cell r="Q75">
            <v>3</v>
          </cell>
          <cell r="R75">
            <v>550</v>
          </cell>
          <cell r="S75">
            <v>0</v>
          </cell>
          <cell r="T75">
            <v>0</v>
          </cell>
          <cell r="U75">
            <v>1</v>
          </cell>
          <cell r="V75">
            <v>200</v>
          </cell>
          <cell r="W75">
            <v>0</v>
          </cell>
          <cell r="X75">
            <v>0</v>
          </cell>
          <cell r="Y75">
            <v>4</v>
          </cell>
          <cell r="Z75">
            <v>1013</v>
          </cell>
          <cell r="AA75">
            <v>0</v>
          </cell>
          <cell r="AB75">
            <v>0</v>
          </cell>
          <cell r="AC75">
            <v>0</v>
          </cell>
          <cell r="AD75">
            <v>0</v>
          </cell>
          <cell r="AE75">
            <v>0</v>
          </cell>
          <cell r="AF75">
            <v>0</v>
          </cell>
          <cell r="AG75">
            <v>0</v>
          </cell>
          <cell r="AH75">
            <v>0</v>
          </cell>
          <cell r="AI75">
            <v>4</v>
          </cell>
          <cell r="AJ75">
            <v>1013</v>
          </cell>
          <cell r="AK75">
            <v>0</v>
          </cell>
          <cell r="AL75">
            <v>0</v>
          </cell>
          <cell r="AM75">
            <v>1</v>
          </cell>
          <cell r="AN75">
            <v>200</v>
          </cell>
          <cell r="AO75">
            <v>0</v>
          </cell>
          <cell r="AP75">
            <v>0</v>
          </cell>
          <cell r="AQ75" t="str">
            <v>LAS VEGAS-NORTH</v>
          </cell>
          <cell r="AR75">
            <v>79</v>
          </cell>
          <cell r="AS75">
            <v>14225</v>
          </cell>
          <cell r="AT75">
            <v>78</v>
          </cell>
          <cell r="AU75">
            <v>14138</v>
          </cell>
          <cell r="AV75">
            <v>75</v>
          </cell>
          <cell r="AW75">
            <v>13788</v>
          </cell>
          <cell r="AX75">
            <v>79</v>
          </cell>
          <cell r="AY75">
            <v>14225</v>
          </cell>
          <cell r="AZ75">
            <v>1</v>
          </cell>
          <cell r="BA75">
            <v>463</v>
          </cell>
        </row>
        <row r="76">
          <cell r="B76" t="str">
            <v>LAS VEGAS-SOUTH</v>
          </cell>
          <cell r="C76">
            <v>1</v>
          </cell>
          <cell r="D76">
            <v>154</v>
          </cell>
          <cell r="E76">
            <v>5</v>
          </cell>
          <cell r="F76">
            <v>1875</v>
          </cell>
          <cell r="G76">
            <v>27</v>
          </cell>
          <cell r="H76">
            <v>10038</v>
          </cell>
          <cell r="I76">
            <v>4</v>
          </cell>
          <cell r="J76">
            <v>1774</v>
          </cell>
          <cell r="K76">
            <v>3</v>
          </cell>
          <cell r="L76">
            <v>628</v>
          </cell>
          <cell r="M76">
            <v>5</v>
          </cell>
          <cell r="N76">
            <v>710</v>
          </cell>
          <cell r="O76">
            <v>8</v>
          </cell>
          <cell r="P76">
            <v>1338</v>
          </cell>
          <cell r="Q76">
            <v>5</v>
          </cell>
          <cell r="R76">
            <v>2492</v>
          </cell>
          <cell r="S76">
            <v>0</v>
          </cell>
          <cell r="T76">
            <v>0</v>
          </cell>
          <cell r="U76">
            <v>3</v>
          </cell>
          <cell r="V76">
            <v>628</v>
          </cell>
          <cell r="W76">
            <v>4</v>
          </cell>
          <cell r="X76">
            <v>550</v>
          </cell>
          <cell r="Y76">
            <v>5</v>
          </cell>
          <cell r="Z76">
            <v>2452</v>
          </cell>
          <cell r="AA76">
            <v>1</v>
          </cell>
          <cell r="AB76">
            <v>200</v>
          </cell>
          <cell r="AC76">
            <v>0</v>
          </cell>
          <cell r="AD76">
            <v>0</v>
          </cell>
          <cell r="AE76">
            <v>0</v>
          </cell>
          <cell r="AF76">
            <v>0</v>
          </cell>
          <cell r="AG76">
            <v>0</v>
          </cell>
          <cell r="AH76">
            <v>0</v>
          </cell>
          <cell r="AI76">
            <v>6</v>
          </cell>
          <cell r="AJ76">
            <v>2652</v>
          </cell>
          <cell r="AK76">
            <v>0</v>
          </cell>
          <cell r="AL76">
            <v>0</v>
          </cell>
          <cell r="AM76">
            <v>3</v>
          </cell>
          <cell r="AN76">
            <v>628</v>
          </cell>
          <cell r="AO76">
            <v>4</v>
          </cell>
          <cell r="AP76">
            <v>550</v>
          </cell>
          <cell r="AQ76" t="str">
            <v>LAS VEGAS-SOUTH</v>
          </cell>
          <cell r="AR76">
            <v>145</v>
          </cell>
          <cell r="AS76">
            <v>36567</v>
          </cell>
          <cell r="AT76">
            <v>140</v>
          </cell>
          <cell r="AU76">
            <v>34692</v>
          </cell>
          <cell r="AV76">
            <v>139</v>
          </cell>
          <cell r="AW76">
            <v>34538</v>
          </cell>
          <cell r="AX76">
            <v>145</v>
          </cell>
          <cell r="AY76">
            <v>36567</v>
          </cell>
          <cell r="AZ76">
            <v>1</v>
          </cell>
          <cell r="BA76">
            <v>160</v>
          </cell>
        </row>
        <row r="77">
          <cell r="B77" t="str">
            <v>LONG BEACH</v>
          </cell>
          <cell r="C77">
            <v>0</v>
          </cell>
          <cell r="D77">
            <v>0</v>
          </cell>
          <cell r="E77">
            <v>0</v>
          </cell>
          <cell r="F77">
            <v>0</v>
          </cell>
          <cell r="G77">
            <v>1</v>
          </cell>
          <cell r="H77">
            <v>134</v>
          </cell>
          <cell r="I77">
            <v>0</v>
          </cell>
          <cell r="J77">
            <v>0</v>
          </cell>
          <cell r="K77">
            <v>0</v>
          </cell>
          <cell r="L77">
            <v>0</v>
          </cell>
          <cell r="M77">
            <v>1</v>
          </cell>
          <cell r="N77">
            <v>162</v>
          </cell>
          <cell r="O77">
            <v>1</v>
          </cell>
          <cell r="P77">
            <v>162</v>
          </cell>
          <cell r="Q77">
            <v>3</v>
          </cell>
          <cell r="R77">
            <v>699</v>
          </cell>
          <cell r="S77">
            <v>0</v>
          </cell>
          <cell r="T77">
            <v>0</v>
          </cell>
          <cell r="U77">
            <v>0</v>
          </cell>
          <cell r="V77">
            <v>0</v>
          </cell>
          <cell r="W77">
            <v>1</v>
          </cell>
          <cell r="X77">
            <v>162</v>
          </cell>
          <cell r="Y77">
            <v>3</v>
          </cell>
          <cell r="Z77">
            <v>699</v>
          </cell>
          <cell r="AA77">
            <v>0</v>
          </cell>
          <cell r="AB77">
            <v>0</v>
          </cell>
          <cell r="AC77">
            <v>0</v>
          </cell>
          <cell r="AD77">
            <v>0</v>
          </cell>
          <cell r="AE77">
            <v>0</v>
          </cell>
          <cell r="AF77">
            <v>0</v>
          </cell>
          <cell r="AG77">
            <v>0</v>
          </cell>
          <cell r="AH77">
            <v>0</v>
          </cell>
          <cell r="AI77">
            <v>3</v>
          </cell>
          <cell r="AJ77">
            <v>699</v>
          </cell>
          <cell r="AK77">
            <v>0</v>
          </cell>
          <cell r="AL77">
            <v>0</v>
          </cell>
          <cell r="AM77">
            <v>0</v>
          </cell>
          <cell r="AN77">
            <v>0</v>
          </cell>
          <cell r="AO77">
            <v>1</v>
          </cell>
          <cell r="AP77">
            <v>162</v>
          </cell>
          <cell r="AQ77" t="str">
            <v>LONG BEACH</v>
          </cell>
          <cell r="AR77">
            <v>36</v>
          </cell>
          <cell r="AS77">
            <v>4914</v>
          </cell>
          <cell r="AT77">
            <v>36</v>
          </cell>
          <cell r="AU77">
            <v>4914</v>
          </cell>
          <cell r="AV77">
            <v>36</v>
          </cell>
          <cell r="AW77">
            <v>4914</v>
          </cell>
          <cell r="AX77">
            <v>34</v>
          </cell>
          <cell r="AY77">
            <v>5070</v>
          </cell>
          <cell r="AZ77">
            <v>0</v>
          </cell>
          <cell r="BA77">
            <v>0</v>
          </cell>
        </row>
        <row r="78">
          <cell r="B78" t="str">
            <v>LOS ANGELES AIRPORT</v>
          </cell>
          <cell r="C78">
            <v>1</v>
          </cell>
          <cell r="D78">
            <v>162</v>
          </cell>
          <cell r="E78">
            <v>2</v>
          </cell>
          <cell r="F78">
            <v>180</v>
          </cell>
          <cell r="G78">
            <v>5</v>
          </cell>
          <cell r="H78">
            <v>587</v>
          </cell>
          <cell r="I78">
            <v>1</v>
          </cell>
          <cell r="J78">
            <v>150</v>
          </cell>
          <cell r="K78">
            <v>1</v>
          </cell>
          <cell r="L78">
            <v>53</v>
          </cell>
          <cell r="M78">
            <v>1</v>
          </cell>
          <cell r="N78">
            <v>50</v>
          </cell>
          <cell r="O78">
            <v>2</v>
          </cell>
          <cell r="P78">
            <v>103</v>
          </cell>
          <cell r="Q78">
            <v>0</v>
          </cell>
          <cell r="R78">
            <v>0</v>
          </cell>
          <cell r="S78">
            <v>0</v>
          </cell>
          <cell r="T78">
            <v>0</v>
          </cell>
          <cell r="U78">
            <v>1</v>
          </cell>
          <cell r="V78">
            <v>53</v>
          </cell>
          <cell r="W78">
            <v>1</v>
          </cell>
          <cell r="X78">
            <v>50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1</v>
          </cell>
          <cell r="AN78">
            <v>53</v>
          </cell>
          <cell r="AO78">
            <v>1</v>
          </cell>
          <cell r="AP78">
            <v>50</v>
          </cell>
          <cell r="AQ78" t="str">
            <v>LOS ANGELES AIRPORT</v>
          </cell>
          <cell r="AR78">
            <v>74</v>
          </cell>
          <cell r="AS78">
            <v>14426</v>
          </cell>
          <cell r="AT78">
            <v>72</v>
          </cell>
          <cell r="AU78">
            <v>14246</v>
          </cell>
          <cell r="AV78">
            <v>71</v>
          </cell>
          <cell r="AW78">
            <v>14084</v>
          </cell>
          <cell r="AX78">
            <v>79</v>
          </cell>
          <cell r="AY78">
            <v>15696</v>
          </cell>
          <cell r="AZ78">
            <v>0</v>
          </cell>
          <cell r="BA78">
            <v>0</v>
          </cell>
        </row>
        <row r="79">
          <cell r="B79" t="str">
            <v>LOS ANGELES CBD</v>
          </cell>
          <cell r="C79">
            <v>0</v>
          </cell>
          <cell r="D79">
            <v>0</v>
          </cell>
          <cell r="E79">
            <v>0</v>
          </cell>
          <cell r="F79">
            <v>0</v>
          </cell>
          <cell r="G79">
            <v>0</v>
          </cell>
          <cell r="H79">
            <v>0</v>
          </cell>
          <cell r="I79">
            <v>0</v>
          </cell>
          <cell r="J79">
            <v>0</v>
          </cell>
          <cell r="K79">
            <v>1</v>
          </cell>
          <cell r="L79">
            <v>207</v>
          </cell>
          <cell r="M79">
            <v>0</v>
          </cell>
          <cell r="N79">
            <v>0</v>
          </cell>
          <cell r="O79">
            <v>1</v>
          </cell>
          <cell r="P79">
            <v>207</v>
          </cell>
          <cell r="Q79">
            <v>0</v>
          </cell>
          <cell r="R79">
            <v>0</v>
          </cell>
          <cell r="S79">
            <v>0</v>
          </cell>
          <cell r="T79">
            <v>0</v>
          </cell>
          <cell r="U79">
            <v>1</v>
          </cell>
          <cell r="V79">
            <v>207</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1</v>
          </cell>
          <cell r="AN79">
            <v>207</v>
          </cell>
          <cell r="AO79">
            <v>0</v>
          </cell>
          <cell r="AP79">
            <v>0</v>
          </cell>
          <cell r="AQ79" t="str">
            <v>LOS ANGELES CBD</v>
          </cell>
          <cell r="AR79">
            <v>97</v>
          </cell>
          <cell r="AS79">
            <v>14780</v>
          </cell>
          <cell r="AT79">
            <v>97</v>
          </cell>
          <cell r="AU79">
            <v>14780</v>
          </cell>
          <cell r="AV79">
            <v>97</v>
          </cell>
          <cell r="AW79">
            <v>14780</v>
          </cell>
          <cell r="AX79">
            <v>132</v>
          </cell>
          <cell r="AY79">
            <v>16199</v>
          </cell>
          <cell r="AZ79">
            <v>0</v>
          </cell>
          <cell r="BA79">
            <v>0</v>
          </cell>
        </row>
        <row r="80">
          <cell r="B80" t="str">
            <v>LOS ANGELES EAST</v>
          </cell>
          <cell r="C80">
            <v>0</v>
          </cell>
          <cell r="D80">
            <v>0</v>
          </cell>
          <cell r="E80">
            <v>0</v>
          </cell>
          <cell r="F80">
            <v>0</v>
          </cell>
          <cell r="G80">
            <v>6</v>
          </cell>
          <cell r="H80">
            <v>656</v>
          </cell>
          <cell r="I80">
            <v>0</v>
          </cell>
          <cell r="J80">
            <v>0</v>
          </cell>
          <cell r="K80">
            <v>0</v>
          </cell>
          <cell r="L80">
            <v>0</v>
          </cell>
          <cell r="M80">
            <v>1</v>
          </cell>
          <cell r="N80">
            <v>180</v>
          </cell>
          <cell r="O80">
            <v>1</v>
          </cell>
          <cell r="P80">
            <v>180</v>
          </cell>
          <cell r="Q80">
            <v>0</v>
          </cell>
          <cell r="R80">
            <v>0</v>
          </cell>
          <cell r="S80">
            <v>0</v>
          </cell>
          <cell r="T80">
            <v>0</v>
          </cell>
          <cell r="U80">
            <v>0</v>
          </cell>
          <cell r="V80">
            <v>0</v>
          </cell>
          <cell r="W80">
            <v>0</v>
          </cell>
          <cell r="X80">
            <v>0</v>
          </cell>
          <cell r="Y80">
            <v>1</v>
          </cell>
          <cell r="Z80">
            <v>180</v>
          </cell>
          <cell r="AA80">
            <v>0</v>
          </cell>
          <cell r="AB80">
            <v>0</v>
          </cell>
          <cell r="AC80">
            <v>0</v>
          </cell>
          <cell r="AD80">
            <v>0</v>
          </cell>
          <cell r="AE80">
            <v>0</v>
          </cell>
          <cell r="AF80">
            <v>0</v>
          </cell>
          <cell r="AG80">
            <v>0</v>
          </cell>
          <cell r="AH80">
            <v>0</v>
          </cell>
          <cell r="AI80">
            <v>1</v>
          </cell>
          <cell r="AJ80">
            <v>180</v>
          </cell>
          <cell r="AK80">
            <v>0</v>
          </cell>
          <cell r="AL80">
            <v>0</v>
          </cell>
          <cell r="AM80">
            <v>0</v>
          </cell>
          <cell r="AN80">
            <v>0</v>
          </cell>
          <cell r="AO80">
            <v>0</v>
          </cell>
          <cell r="AP80">
            <v>0</v>
          </cell>
          <cell r="AQ80" t="str">
            <v>LOS ANGELES EAST</v>
          </cell>
          <cell r="AR80">
            <v>93</v>
          </cell>
          <cell r="AS80">
            <v>8118</v>
          </cell>
          <cell r="AT80">
            <v>93</v>
          </cell>
          <cell r="AU80">
            <v>8118</v>
          </cell>
          <cell r="AV80">
            <v>93</v>
          </cell>
          <cell r="AW80">
            <v>8118</v>
          </cell>
          <cell r="AX80">
            <v>107</v>
          </cell>
          <cell r="AY80">
            <v>9188</v>
          </cell>
          <cell r="AZ80">
            <v>1</v>
          </cell>
          <cell r="BA80">
            <v>180</v>
          </cell>
        </row>
        <row r="81">
          <cell r="B81" t="str">
            <v>LOS ANGELES NORTH</v>
          </cell>
          <cell r="C81">
            <v>4</v>
          </cell>
          <cell r="D81">
            <v>407</v>
          </cell>
          <cell r="E81">
            <v>1</v>
          </cell>
          <cell r="F81">
            <v>90</v>
          </cell>
          <cell r="G81">
            <v>10</v>
          </cell>
          <cell r="H81">
            <v>1062</v>
          </cell>
          <cell r="I81">
            <v>0</v>
          </cell>
          <cell r="J81">
            <v>0</v>
          </cell>
          <cell r="K81">
            <v>3</v>
          </cell>
          <cell r="L81">
            <v>354</v>
          </cell>
          <cell r="M81">
            <v>1</v>
          </cell>
          <cell r="N81">
            <v>105</v>
          </cell>
          <cell r="O81">
            <v>4</v>
          </cell>
          <cell r="P81">
            <v>459</v>
          </cell>
          <cell r="Q81">
            <v>1</v>
          </cell>
          <cell r="R81">
            <v>250</v>
          </cell>
          <cell r="S81">
            <v>0</v>
          </cell>
          <cell r="T81">
            <v>0</v>
          </cell>
          <cell r="U81">
            <v>3</v>
          </cell>
          <cell r="V81">
            <v>354</v>
          </cell>
          <cell r="W81">
            <v>0</v>
          </cell>
          <cell r="X81">
            <v>0</v>
          </cell>
          <cell r="Y81">
            <v>2</v>
          </cell>
          <cell r="Z81">
            <v>355</v>
          </cell>
          <cell r="AA81">
            <v>0</v>
          </cell>
          <cell r="AB81">
            <v>0</v>
          </cell>
          <cell r="AC81">
            <v>0</v>
          </cell>
          <cell r="AD81">
            <v>0</v>
          </cell>
          <cell r="AE81">
            <v>0</v>
          </cell>
          <cell r="AF81">
            <v>0</v>
          </cell>
          <cell r="AG81">
            <v>0</v>
          </cell>
          <cell r="AH81">
            <v>0</v>
          </cell>
          <cell r="AI81">
            <v>2</v>
          </cell>
          <cell r="AJ81">
            <v>355</v>
          </cell>
          <cell r="AK81">
            <v>0</v>
          </cell>
          <cell r="AL81">
            <v>0</v>
          </cell>
          <cell r="AM81">
            <v>3</v>
          </cell>
          <cell r="AN81">
            <v>354</v>
          </cell>
          <cell r="AO81">
            <v>0</v>
          </cell>
          <cell r="AP81">
            <v>0</v>
          </cell>
          <cell r="AQ81" t="str">
            <v>LOS ANGELES NORTH</v>
          </cell>
          <cell r="AR81">
            <v>86</v>
          </cell>
          <cell r="AS81">
            <v>8393</v>
          </cell>
          <cell r="AT81">
            <v>85</v>
          </cell>
          <cell r="AU81">
            <v>8303</v>
          </cell>
          <cell r="AV81">
            <v>81</v>
          </cell>
          <cell r="AW81">
            <v>7896</v>
          </cell>
          <cell r="AX81">
            <v>90</v>
          </cell>
          <cell r="AY81">
            <v>8755</v>
          </cell>
          <cell r="AZ81">
            <v>1</v>
          </cell>
          <cell r="BA81">
            <v>105</v>
          </cell>
        </row>
        <row r="82">
          <cell r="B82" t="str">
            <v>LOS ANGELES SOUTHEAST</v>
          </cell>
          <cell r="C82">
            <v>0</v>
          </cell>
          <cell r="D82">
            <v>0</v>
          </cell>
          <cell r="E82">
            <v>1</v>
          </cell>
          <cell r="F82">
            <v>194</v>
          </cell>
          <cell r="G82">
            <v>3</v>
          </cell>
          <cell r="H82">
            <v>548</v>
          </cell>
          <cell r="I82">
            <v>1</v>
          </cell>
          <cell r="J82">
            <v>194</v>
          </cell>
          <cell r="K82">
            <v>2</v>
          </cell>
          <cell r="L82">
            <v>335</v>
          </cell>
          <cell r="M82">
            <v>0</v>
          </cell>
          <cell r="N82">
            <v>0</v>
          </cell>
          <cell r="O82">
            <v>2</v>
          </cell>
          <cell r="P82">
            <v>335</v>
          </cell>
          <cell r="Q82">
            <v>0</v>
          </cell>
          <cell r="R82">
            <v>0</v>
          </cell>
          <cell r="S82">
            <v>0</v>
          </cell>
          <cell r="T82">
            <v>0</v>
          </cell>
          <cell r="U82">
            <v>1</v>
          </cell>
          <cell r="V82">
            <v>121</v>
          </cell>
          <cell r="W82">
            <v>1</v>
          </cell>
          <cell r="X82">
            <v>214</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1</v>
          </cell>
          <cell r="AN82">
            <v>121</v>
          </cell>
          <cell r="AO82">
            <v>1</v>
          </cell>
          <cell r="AP82">
            <v>214</v>
          </cell>
          <cell r="AQ82" t="str">
            <v>LOS ANGELES SOUTHEAST</v>
          </cell>
          <cell r="AR82">
            <v>62</v>
          </cell>
          <cell r="AS82">
            <v>5611</v>
          </cell>
          <cell r="AT82">
            <v>61</v>
          </cell>
          <cell r="AU82">
            <v>5417</v>
          </cell>
          <cell r="AV82">
            <v>61</v>
          </cell>
          <cell r="AW82">
            <v>5417</v>
          </cell>
          <cell r="AX82">
            <v>65</v>
          </cell>
          <cell r="AY82">
            <v>5758</v>
          </cell>
          <cell r="AZ82">
            <v>0</v>
          </cell>
          <cell r="BA82">
            <v>0</v>
          </cell>
        </row>
        <row r="83">
          <cell r="B83" t="str">
            <v>LOS ANGELES SOUTHWEST</v>
          </cell>
          <cell r="C83">
            <v>1</v>
          </cell>
          <cell r="D83">
            <v>88</v>
          </cell>
          <cell r="E83">
            <v>4</v>
          </cell>
          <cell r="F83">
            <v>493</v>
          </cell>
          <cell r="G83">
            <v>13</v>
          </cell>
          <cell r="H83">
            <v>1508</v>
          </cell>
          <cell r="I83">
            <v>2</v>
          </cell>
          <cell r="J83">
            <v>308</v>
          </cell>
          <cell r="K83">
            <v>1</v>
          </cell>
          <cell r="L83">
            <v>71</v>
          </cell>
          <cell r="M83">
            <v>2</v>
          </cell>
          <cell r="N83">
            <v>510</v>
          </cell>
          <cell r="O83">
            <v>3</v>
          </cell>
          <cell r="P83">
            <v>581</v>
          </cell>
          <cell r="Q83">
            <v>0</v>
          </cell>
          <cell r="R83">
            <v>0</v>
          </cell>
          <cell r="S83">
            <v>0</v>
          </cell>
          <cell r="T83">
            <v>0</v>
          </cell>
          <cell r="U83">
            <v>1</v>
          </cell>
          <cell r="V83">
            <v>71</v>
          </cell>
          <cell r="W83">
            <v>1</v>
          </cell>
          <cell r="X83">
            <v>60</v>
          </cell>
          <cell r="Y83">
            <v>0</v>
          </cell>
          <cell r="Z83">
            <v>0</v>
          </cell>
          <cell r="AA83">
            <v>1</v>
          </cell>
          <cell r="AB83">
            <v>450</v>
          </cell>
          <cell r="AC83">
            <v>0</v>
          </cell>
          <cell r="AD83">
            <v>0</v>
          </cell>
          <cell r="AE83">
            <v>0</v>
          </cell>
          <cell r="AF83">
            <v>0</v>
          </cell>
          <cell r="AG83">
            <v>0</v>
          </cell>
          <cell r="AH83">
            <v>0</v>
          </cell>
          <cell r="AI83">
            <v>1</v>
          </cell>
          <cell r="AJ83">
            <v>450</v>
          </cell>
          <cell r="AK83">
            <v>0</v>
          </cell>
          <cell r="AL83">
            <v>0</v>
          </cell>
          <cell r="AM83">
            <v>1</v>
          </cell>
          <cell r="AN83">
            <v>71</v>
          </cell>
          <cell r="AO83">
            <v>1</v>
          </cell>
          <cell r="AP83">
            <v>60</v>
          </cell>
          <cell r="AQ83" t="str">
            <v>LOS ANGELES SOUTHWEST</v>
          </cell>
          <cell r="AR83">
            <v>121</v>
          </cell>
          <cell r="AS83">
            <v>12630</v>
          </cell>
          <cell r="AT83">
            <v>117</v>
          </cell>
          <cell r="AU83">
            <v>12137</v>
          </cell>
          <cell r="AV83">
            <v>116</v>
          </cell>
          <cell r="AW83">
            <v>12049</v>
          </cell>
          <cell r="AX83">
            <v>117</v>
          </cell>
          <cell r="AY83">
            <v>10995</v>
          </cell>
          <cell r="AZ83">
            <v>1</v>
          </cell>
          <cell r="BA83">
            <v>450</v>
          </cell>
        </row>
        <row r="84">
          <cell r="B84" t="str">
            <v>LOS ANGELES-OTHER</v>
          </cell>
          <cell r="C84">
            <v>1</v>
          </cell>
          <cell r="D84">
            <v>310</v>
          </cell>
          <cell r="E84">
            <v>1</v>
          </cell>
          <cell r="F84">
            <v>194</v>
          </cell>
          <cell r="G84">
            <v>13</v>
          </cell>
          <cell r="H84">
            <v>1874</v>
          </cell>
          <cell r="I84">
            <v>2</v>
          </cell>
          <cell r="J84">
            <v>334</v>
          </cell>
          <cell r="K84">
            <v>3</v>
          </cell>
          <cell r="L84">
            <v>525</v>
          </cell>
          <cell r="M84">
            <v>4</v>
          </cell>
          <cell r="N84">
            <v>872</v>
          </cell>
          <cell r="O84">
            <v>7</v>
          </cell>
          <cell r="P84">
            <v>1397</v>
          </cell>
          <cell r="Q84">
            <v>4</v>
          </cell>
          <cell r="R84">
            <v>899</v>
          </cell>
          <cell r="S84">
            <v>1</v>
          </cell>
          <cell r="T84">
            <v>140</v>
          </cell>
          <cell r="U84">
            <v>2</v>
          </cell>
          <cell r="V84">
            <v>311</v>
          </cell>
          <cell r="W84">
            <v>2</v>
          </cell>
          <cell r="X84">
            <v>376</v>
          </cell>
          <cell r="Y84">
            <v>7</v>
          </cell>
          <cell r="Z84">
            <v>1609</v>
          </cell>
          <cell r="AA84">
            <v>0</v>
          </cell>
          <cell r="AB84">
            <v>0</v>
          </cell>
          <cell r="AC84">
            <v>0</v>
          </cell>
          <cell r="AD84">
            <v>0</v>
          </cell>
          <cell r="AE84">
            <v>0</v>
          </cell>
          <cell r="AF84">
            <v>0</v>
          </cell>
          <cell r="AG84">
            <v>0</v>
          </cell>
          <cell r="AH84">
            <v>0</v>
          </cell>
          <cell r="AI84">
            <v>7</v>
          </cell>
          <cell r="AJ84">
            <v>1609</v>
          </cell>
          <cell r="AK84">
            <v>0</v>
          </cell>
          <cell r="AL84">
            <v>0</v>
          </cell>
          <cell r="AM84">
            <v>2</v>
          </cell>
          <cell r="AN84">
            <v>311</v>
          </cell>
          <cell r="AO84">
            <v>2</v>
          </cell>
          <cell r="AP84">
            <v>376</v>
          </cell>
          <cell r="AQ84" t="str">
            <v>LOS ANGELES-OTHER</v>
          </cell>
          <cell r="AR84">
            <v>235</v>
          </cell>
          <cell r="AS84">
            <v>23252</v>
          </cell>
          <cell r="AT84">
            <v>234</v>
          </cell>
          <cell r="AU84">
            <v>23058</v>
          </cell>
          <cell r="AV84">
            <v>233</v>
          </cell>
          <cell r="AW84">
            <v>22748</v>
          </cell>
          <cell r="AX84">
            <v>249</v>
          </cell>
          <cell r="AY84">
            <v>25052</v>
          </cell>
          <cell r="AZ84">
            <v>1</v>
          </cell>
          <cell r="BA84">
            <v>180</v>
          </cell>
        </row>
        <row r="85">
          <cell r="B85" t="str">
            <v>MANHATTAN-EAST</v>
          </cell>
          <cell r="C85">
            <v>6</v>
          </cell>
          <cell r="D85">
            <v>891</v>
          </cell>
          <cell r="E85">
            <v>2</v>
          </cell>
          <cell r="F85">
            <v>189</v>
          </cell>
          <cell r="G85">
            <v>17</v>
          </cell>
          <cell r="H85">
            <v>2166</v>
          </cell>
          <cell r="I85">
            <v>2</v>
          </cell>
          <cell r="J85">
            <v>189</v>
          </cell>
          <cell r="K85">
            <v>0</v>
          </cell>
          <cell r="L85">
            <v>0</v>
          </cell>
          <cell r="M85">
            <v>1</v>
          </cell>
          <cell r="N85">
            <v>182</v>
          </cell>
          <cell r="O85">
            <v>1</v>
          </cell>
          <cell r="P85">
            <v>182</v>
          </cell>
          <cell r="Q85">
            <v>2</v>
          </cell>
          <cell r="R85">
            <v>238</v>
          </cell>
          <cell r="S85">
            <v>0</v>
          </cell>
          <cell r="T85">
            <v>0</v>
          </cell>
          <cell r="U85">
            <v>0</v>
          </cell>
          <cell r="V85">
            <v>0</v>
          </cell>
          <cell r="W85">
            <v>1</v>
          </cell>
          <cell r="X85">
            <v>182</v>
          </cell>
          <cell r="Y85">
            <v>2</v>
          </cell>
          <cell r="Z85">
            <v>238</v>
          </cell>
          <cell r="AA85">
            <v>0</v>
          </cell>
          <cell r="AB85">
            <v>0</v>
          </cell>
          <cell r="AC85">
            <v>0</v>
          </cell>
          <cell r="AD85">
            <v>0</v>
          </cell>
          <cell r="AE85">
            <v>0</v>
          </cell>
          <cell r="AF85">
            <v>0</v>
          </cell>
          <cell r="AG85">
            <v>0</v>
          </cell>
          <cell r="AH85">
            <v>0</v>
          </cell>
          <cell r="AI85">
            <v>2</v>
          </cell>
          <cell r="AJ85">
            <v>238</v>
          </cell>
          <cell r="AK85">
            <v>0</v>
          </cell>
          <cell r="AL85">
            <v>0</v>
          </cell>
          <cell r="AM85">
            <v>0</v>
          </cell>
          <cell r="AN85">
            <v>0</v>
          </cell>
          <cell r="AO85">
            <v>1</v>
          </cell>
          <cell r="AP85">
            <v>182</v>
          </cell>
          <cell r="AQ85" t="str">
            <v>MANHATTAN-EAST</v>
          </cell>
          <cell r="AR85">
            <v>98</v>
          </cell>
          <cell r="AS85">
            <v>25394</v>
          </cell>
          <cell r="AT85">
            <v>96</v>
          </cell>
          <cell r="AU85">
            <v>25205</v>
          </cell>
          <cell r="AV85">
            <v>90</v>
          </cell>
          <cell r="AW85">
            <v>24314</v>
          </cell>
          <cell r="AX85">
            <v>92</v>
          </cell>
          <cell r="AY85">
            <v>23351</v>
          </cell>
          <cell r="AZ85">
            <v>0</v>
          </cell>
          <cell r="BA85">
            <v>0</v>
          </cell>
        </row>
        <row r="86">
          <cell r="B86" t="str">
            <v>MANHATTAN-WEST</v>
          </cell>
          <cell r="C86">
            <v>6</v>
          </cell>
          <cell r="D86">
            <v>2136</v>
          </cell>
          <cell r="E86">
            <v>5</v>
          </cell>
          <cell r="F86">
            <v>839</v>
          </cell>
          <cell r="G86">
            <v>17</v>
          </cell>
          <cell r="H86">
            <v>4223</v>
          </cell>
          <cell r="I86">
            <v>4</v>
          </cell>
          <cell r="J86">
            <v>715</v>
          </cell>
          <cell r="K86">
            <v>4</v>
          </cell>
          <cell r="L86">
            <v>1416</v>
          </cell>
          <cell r="M86">
            <v>1</v>
          </cell>
          <cell r="N86">
            <v>158</v>
          </cell>
          <cell r="O86">
            <v>5</v>
          </cell>
          <cell r="P86">
            <v>1574</v>
          </cell>
          <cell r="Q86">
            <v>4</v>
          </cell>
          <cell r="R86">
            <v>793</v>
          </cell>
          <cell r="S86">
            <v>1</v>
          </cell>
          <cell r="T86">
            <v>83</v>
          </cell>
          <cell r="U86">
            <v>1</v>
          </cell>
          <cell r="V86">
            <v>144</v>
          </cell>
          <cell r="W86">
            <v>4</v>
          </cell>
          <cell r="X86">
            <v>1430</v>
          </cell>
          <cell r="Y86">
            <v>4</v>
          </cell>
          <cell r="Z86">
            <v>793</v>
          </cell>
          <cell r="AA86">
            <v>0</v>
          </cell>
          <cell r="AB86">
            <v>0</v>
          </cell>
          <cell r="AC86">
            <v>0</v>
          </cell>
          <cell r="AD86">
            <v>0</v>
          </cell>
          <cell r="AE86">
            <v>0</v>
          </cell>
          <cell r="AF86">
            <v>0</v>
          </cell>
          <cell r="AG86">
            <v>0</v>
          </cell>
          <cell r="AH86">
            <v>0</v>
          </cell>
          <cell r="AI86">
            <v>4</v>
          </cell>
          <cell r="AJ86">
            <v>793</v>
          </cell>
          <cell r="AK86">
            <v>0</v>
          </cell>
          <cell r="AL86">
            <v>0</v>
          </cell>
          <cell r="AM86">
            <v>1</v>
          </cell>
          <cell r="AN86">
            <v>144</v>
          </cell>
          <cell r="AO86">
            <v>4</v>
          </cell>
          <cell r="AP86">
            <v>1430</v>
          </cell>
          <cell r="AQ86" t="str">
            <v>MANHATTAN-WEST</v>
          </cell>
          <cell r="AR86">
            <v>98</v>
          </cell>
          <cell r="AS86">
            <v>35556</v>
          </cell>
          <cell r="AT86">
            <v>93</v>
          </cell>
          <cell r="AU86">
            <v>34717</v>
          </cell>
          <cell r="AV86">
            <v>87</v>
          </cell>
          <cell r="AW86">
            <v>32581</v>
          </cell>
          <cell r="AX86">
            <v>101</v>
          </cell>
          <cell r="AY86">
            <v>36549</v>
          </cell>
          <cell r="AZ86">
            <v>0</v>
          </cell>
          <cell r="BA86">
            <v>0</v>
          </cell>
        </row>
        <row r="87">
          <cell r="B87" t="str">
            <v xml:space="preserve">MESA/CHANDLER </v>
          </cell>
          <cell r="C87">
            <v>3</v>
          </cell>
          <cell r="D87">
            <v>356</v>
          </cell>
          <cell r="E87">
            <v>0</v>
          </cell>
          <cell r="F87">
            <v>0</v>
          </cell>
          <cell r="G87">
            <v>15</v>
          </cell>
          <cell r="H87">
            <v>1675</v>
          </cell>
          <cell r="I87">
            <v>0</v>
          </cell>
          <cell r="J87">
            <v>0</v>
          </cell>
          <cell r="K87">
            <v>1</v>
          </cell>
          <cell r="L87">
            <v>500</v>
          </cell>
          <cell r="M87">
            <v>1</v>
          </cell>
          <cell r="N87">
            <v>347</v>
          </cell>
          <cell r="O87">
            <v>2</v>
          </cell>
          <cell r="P87">
            <v>847</v>
          </cell>
          <cell r="Q87">
            <v>1</v>
          </cell>
          <cell r="R87">
            <v>60</v>
          </cell>
          <cell r="S87">
            <v>0</v>
          </cell>
          <cell r="T87">
            <v>0</v>
          </cell>
          <cell r="U87">
            <v>1</v>
          </cell>
          <cell r="V87">
            <v>500</v>
          </cell>
          <cell r="W87">
            <v>0</v>
          </cell>
          <cell r="X87">
            <v>0</v>
          </cell>
          <cell r="Y87">
            <v>2</v>
          </cell>
          <cell r="Z87">
            <v>407</v>
          </cell>
          <cell r="AA87">
            <v>0</v>
          </cell>
          <cell r="AB87">
            <v>0</v>
          </cell>
          <cell r="AC87">
            <v>0</v>
          </cell>
          <cell r="AD87">
            <v>0</v>
          </cell>
          <cell r="AE87">
            <v>0</v>
          </cell>
          <cell r="AF87">
            <v>0</v>
          </cell>
          <cell r="AG87">
            <v>0</v>
          </cell>
          <cell r="AH87">
            <v>0</v>
          </cell>
          <cell r="AI87">
            <v>2</v>
          </cell>
          <cell r="AJ87">
            <v>407</v>
          </cell>
          <cell r="AK87">
            <v>0</v>
          </cell>
          <cell r="AL87">
            <v>0</v>
          </cell>
          <cell r="AM87">
            <v>1</v>
          </cell>
          <cell r="AN87">
            <v>500</v>
          </cell>
          <cell r="AO87">
            <v>0</v>
          </cell>
          <cell r="AP87">
            <v>0</v>
          </cell>
          <cell r="AQ87" t="str">
            <v xml:space="preserve">MESA/CHANDLER </v>
          </cell>
          <cell r="AR87">
            <v>55</v>
          </cell>
          <cell r="AS87">
            <v>6122</v>
          </cell>
          <cell r="AT87">
            <v>55</v>
          </cell>
          <cell r="AU87">
            <v>6122</v>
          </cell>
          <cell r="AV87">
            <v>52</v>
          </cell>
          <cell r="AW87">
            <v>5766</v>
          </cell>
          <cell r="AX87">
            <v>55</v>
          </cell>
          <cell r="AY87">
            <v>6310</v>
          </cell>
          <cell r="AZ87">
            <v>1</v>
          </cell>
          <cell r="BA87">
            <v>347</v>
          </cell>
        </row>
        <row r="88">
          <cell r="B88" t="str">
            <v>METARIE-AIRPORT</v>
          </cell>
          <cell r="C88">
            <v>6</v>
          </cell>
          <cell r="D88">
            <v>549</v>
          </cell>
          <cell r="E88">
            <v>7</v>
          </cell>
          <cell r="F88">
            <v>570</v>
          </cell>
          <cell r="G88">
            <v>26</v>
          </cell>
          <cell r="H88">
            <v>2276</v>
          </cell>
          <cell r="I88">
            <v>6</v>
          </cell>
          <cell r="J88">
            <v>436</v>
          </cell>
          <cell r="K88">
            <v>5</v>
          </cell>
          <cell r="L88">
            <v>560</v>
          </cell>
          <cell r="M88">
            <v>3</v>
          </cell>
          <cell r="N88">
            <v>414</v>
          </cell>
          <cell r="O88">
            <v>8</v>
          </cell>
          <cell r="P88">
            <v>974</v>
          </cell>
          <cell r="Q88">
            <v>3</v>
          </cell>
          <cell r="R88">
            <v>315</v>
          </cell>
          <cell r="S88">
            <v>1</v>
          </cell>
          <cell r="T88">
            <v>68</v>
          </cell>
          <cell r="U88">
            <v>4</v>
          </cell>
          <cell r="V88">
            <v>498</v>
          </cell>
          <cell r="W88">
            <v>2</v>
          </cell>
          <cell r="X88">
            <v>142</v>
          </cell>
          <cell r="Y88">
            <v>5</v>
          </cell>
          <cell r="Z88">
            <v>649</v>
          </cell>
          <cell r="AA88">
            <v>0</v>
          </cell>
          <cell r="AB88">
            <v>0</v>
          </cell>
          <cell r="AC88">
            <v>0</v>
          </cell>
          <cell r="AD88">
            <v>0</v>
          </cell>
          <cell r="AE88">
            <v>0</v>
          </cell>
          <cell r="AF88">
            <v>0</v>
          </cell>
          <cell r="AG88">
            <v>0</v>
          </cell>
          <cell r="AH88">
            <v>0</v>
          </cell>
          <cell r="AI88">
            <v>5</v>
          </cell>
          <cell r="AJ88">
            <v>649</v>
          </cell>
          <cell r="AK88">
            <v>0</v>
          </cell>
          <cell r="AL88">
            <v>0</v>
          </cell>
          <cell r="AM88">
            <v>4</v>
          </cell>
          <cell r="AN88">
            <v>498</v>
          </cell>
          <cell r="AO88">
            <v>2</v>
          </cell>
          <cell r="AP88">
            <v>142</v>
          </cell>
          <cell r="AQ88" t="str">
            <v>METARIE-AIRPORT</v>
          </cell>
          <cell r="AR88">
            <v>80</v>
          </cell>
          <cell r="AS88">
            <v>9589</v>
          </cell>
          <cell r="AT88">
            <v>73</v>
          </cell>
          <cell r="AU88">
            <v>9019</v>
          </cell>
          <cell r="AV88">
            <v>67</v>
          </cell>
          <cell r="AW88">
            <v>8470</v>
          </cell>
          <cell r="AX88">
            <v>70</v>
          </cell>
          <cell r="AY88">
            <v>9069</v>
          </cell>
          <cell r="AZ88">
            <v>2</v>
          </cell>
          <cell r="BA88">
            <v>334</v>
          </cell>
        </row>
        <row r="89">
          <cell r="B89" t="str">
            <v>MIAMI AIRPORT-CIVIC CENTER</v>
          </cell>
          <cell r="C89">
            <v>4</v>
          </cell>
          <cell r="D89">
            <v>567</v>
          </cell>
          <cell r="E89">
            <v>1</v>
          </cell>
          <cell r="F89">
            <v>109</v>
          </cell>
          <cell r="G89">
            <v>17</v>
          </cell>
          <cell r="H89">
            <v>2113</v>
          </cell>
          <cell r="I89">
            <v>0</v>
          </cell>
          <cell r="J89">
            <v>0</v>
          </cell>
          <cell r="K89">
            <v>0</v>
          </cell>
          <cell r="L89">
            <v>0</v>
          </cell>
          <cell r="M89">
            <v>3</v>
          </cell>
          <cell r="N89">
            <v>380</v>
          </cell>
          <cell r="O89">
            <v>3</v>
          </cell>
          <cell r="P89">
            <v>380</v>
          </cell>
          <cell r="Q89">
            <v>1</v>
          </cell>
          <cell r="R89">
            <v>175</v>
          </cell>
          <cell r="S89">
            <v>0</v>
          </cell>
          <cell r="T89">
            <v>0</v>
          </cell>
          <cell r="U89">
            <v>0</v>
          </cell>
          <cell r="V89">
            <v>0</v>
          </cell>
          <cell r="W89">
            <v>1</v>
          </cell>
          <cell r="X89">
            <v>118</v>
          </cell>
          <cell r="Y89">
            <v>3</v>
          </cell>
          <cell r="Z89">
            <v>437</v>
          </cell>
          <cell r="AA89">
            <v>0</v>
          </cell>
          <cell r="AB89">
            <v>0</v>
          </cell>
          <cell r="AC89">
            <v>0</v>
          </cell>
          <cell r="AD89">
            <v>0</v>
          </cell>
          <cell r="AE89">
            <v>0</v>
          </cell>
          <cell r="AF89">
            <v>0</v>
          </cell>
          <cell r="AG89">
            <v>0</v>
          </cell>
          <cell r="AH89">
            <v>0</v>
          </cell>
          <cell r="AI89">
            <v>3</v>
          </cell>
          <cell r="AJ89">
            <v>437</v>
          </cell>
          <cell r="AK89">
            <v>0</v>
          </cell>
          <cell r="AL89">
            <v>0</v>
          </cell>
          <cell r="AM89">
            <v>0</v>
          </cell>
          <cell r="AN89">
            <v>0</v>
          </cell>
          <cell r="AO89">
            <v>1</v>
          </cell>
          <cell r="AP89">
            <v>118</v>
          </cell>
          <cell r="AQ89" t="str">
            <v>MIAMI AIRPORT-CIVIC CENTER</v>
          </cell>
          <cell r="AR89">
            <v>64</v>
          </cell>
          <cell r="AS89">
            <v>11306</v>
          </cell>
          <cell r="AT89">
            <v>63</v>
          </cell>
          <cell r="AU89">
            <v>11197</v>
          </cell>
          <cell r="AV89">
            <v>59</v>
          </cell>
          <cell r="AW89">
            <v>10630</v>
          </cell>
          <cell r="AX89">
            <v>64</v>
          </cell>
          <cell r="AY89">
            <v>12006</v>
          </cell>
          <cell r="AZ89">
            <v>2</v>
          </cell>
          <cell r="BA89">
            <v>262</v>
          </cell>
        </row>
        <row r="90">
          <cell r="B90" t="str">
            <v>MIAMI BEACH</v>
          </cell>
          <cell r="C90">
            <v>1</v>
          </cell>
          <cell r="D90">
            <v>239</v>
          </cell>
          <cell r="E90">
            <v>2</v>
          </cell>
          <cell r="F90">
            <v>528</v>
          </cell>
          <cell r="G90">
            <v>8</v>
          </cell>
          <cell r="H90">
            <v>1921</v>
          </cell>
          <cell r="I90">
            <v>1</v>
          </cell>
          <cell r="J90">
            <v>324</v>
          </cell>
          <cell r="K90">
            <v>7</v>
          </cell>
          <cell r="L90">
            <v>1448</v>
          </cell>
          <cell r="M90">
            <v>3</v>
          </cell>
          <cell r="N90">
            <v>355</v>
          </cell>
          <cell r="O90">
            <v>10</v>
          </cell>
          <cell r="P90">
            <v>1803</v>
          </cell>
          <cell r="Q90">
            <v>2</v>
          </cell>
          <cell r="R90">
            <v>177</v>
          </cell>
          <cell r="S90">
            <v>0</v>
          </cell>
          <cell r="T90">
            <v>0</v>
          </cell>
          <cell r="U90">
            <v>5</v>
          </cell>
          <cell r="V90">
            <v>1277</v>
          </cell>
          <cell r="W90">
            <v>3</v>
          </cell>
          <cell r="X90">
            <v>287</v>
          </cell>
          <cell r="Y90">
            <v>4</v>
          </cell>
          <cell r="Z90">
            <v>416</v>
          </cell>
          <cell r="AA90">
            <v>0</v>
          </cell>
          <cell r="AB90">
            <v>0</v>
          </cell>
          <cell r="AC90">
            <v>0</v>
          </cell>
          <cell r="AD90">
            <v>0</v>
          </cell>
          <cell r="AE90">
            <v>0</v>
          </cell>
          <cell r="AF90">
            <v>0</v>
          </cell>
          <cell r="AG90">
            <v>0</v>
          </cell>
          <cell r="AH90">
            <v>0</v>
          </cell>
          <cell r="AI90">
            <v>4</v>
          </cell>
          <cell r="AJ90">
            <v>416</v>
          </cell>
          <cell r="AK90">
            <v>0</v>
          </cell>
          <cell r="AL90">
            <v>0</v>
          </cell>
          <cell r="AM90">
            <v>5</v>
          </cell>
          <cell r="AN90">
            <v>1277</v>
          </cell>
          <cell r="AO90">
            <v>3</v>
          </cell>
          <cell r="AP90">
            <v>287</v>
          </cell>
          <cell r="AQ90" t="str">
            <v>MIAMI BEACH</v>
          </cell>
          <cell r="AR90">
            <v>147</v>
          </cell>
          <cell r="AS90">
            <v>19424</v>
          </cell>
          <cell r="AT90">
            <v>145</v>
          </cell>
          <cell r="AU90">
            <v>18896</v>
          </cell>
          <cell r="AV90">
            <v>144</v>
          </cell>
          <cell r="AW90">
            <v>18657</v>
          </cell>
          <cell r="AX90">
            <v>144</v>
          </cell>
          <cell r="AY90">
            <v>18700</v>
          </cell>
          <cell r="AZ90">
            <v>2</v>
          </cell>
          <cell r="BA90">
            <v>239</v>
          </cell>
        </row>
        <row r="91">
          <cell r="B91" t="str">
            <v>MIAMI DOWNTOWN-NORTH</v>
          </cell>
          <cell r="C91">
            <v>2</v>
          </cell>
          <cell r="D91">
            <v>629</v>
          </cell>
          <cell r="E91">
            <v>2</v>
          </cell>
          <cell r="F91">
            <v>238</v>
          </cell>
          <cell r="G91">
            <v>6</v>
          </cell>
          <cell r="H91">
            <v>1131</v>
          </cell>
          <cell r="I91">
            <v>3</v>
          </cell>
          <cell r="J91">
            <v>336</v>
          </cell>
          <cell r="K91">
            <v>4</v>
          </cell>
          <cell r="L91">
            <v>767</v>
          </cell>
          <cell r="M91">
            <v>2</v>
          </cell>
          <cell r="N91">
            <v>294</v>
          </cell>
          <cell r="O91">
            <v>6</v>
          </cell>
          <cell r="P91">
            <v>1061</v>
          </cell>
          <cell r="Q91">
            <v>2</v>
          </cell>
          <cell r="R91">
            <v>236</v>
          </cell>
          <cell r="S91">
            <v>1</v>
          </cell>
          <cell r="T91">
            <v>98</v>
          </cell>
          <cell r="U91">
            <v>3</v>
          </cell>
          <cell r="V91">
            <v>564</v>
          </cell>
          <cell r="W91">
            <v>2</v>
          </cell>
          <cell r="X91">
            <v>345</v>
          </cell>
          <cell r="Y91">
            <v>3</v>
          </cell>
          <cell r="Z91">
            <v>388</v>
          </cell>
          <cell r="AA91">
            <v>0</v>
          </cell>
          <cell r="AB91">
            <v>0</v>
          </cell>
          <cell r="AC91">
            <v>0</v>
          </cell>
          <cell r="AD91">
            <v>0</v>
          </cell>
          <cell r="AE91">
            <v>0</v>
          </cell>
          <cell r="AF91">
            <v>0</v>
          </cell>
          <cell r="AG91">
            <v>0</v>
          </cell>
          <cell r="AH91">
            <v>0</v>
          </cell>
          <cell r="AI91">
            <v>3</v>
          </cell>
          <cell r="AJ91">
            <v>388</v>
          </cell>
          <cell r="AK91">
            <v>0</v>
          </cell>
          <cell r="AL91">
            <v>0</v>
          </cell>
          <cell r="AM91">
            <v>3</v>
          </cell>
          <cell r="AN91">
            <v>564</v>
          </cell>
          <cell r="AO91">
            <v>2</v>
          </cell>
          <cell r="AP91">
            <v>345</v>
          </cell>
          <cell r="AQ91" t="str">
            <v>MIAMI DOWNTOWN-NORTH</v>
          </cell>
          <cell r="AR91">
            <v>33</v>
          </cell>
          <cell r="AS91">
            <v>7819</v>
          </cell>
          <cell r="AT91">
            <v>31</v>
          </cell>
          <cell r="AU91">
            <v>7581</v>
          </cell>
          <cell r="AV91">
            <v>29</v>
          </cell>
          <cell r="AW91">
            <v>6952</v>
          </cell>
          <cell r="AX91">
            <v>39</v>
          </cell>
          <cell r="AY91">
            <v>8219</v>
          </cell>
          <cell r="AZ91">
            <v>1</v>
          </cell>
          <cell r="BA91">
            <v>152</v>
          </cell>
        </row>
        <row r="92">
          <cell r="B92" t="str">
            <v>MIAMI SOUTH</v>
          </cell>
          <cell r="C92">
            <v>1</v>
          </cell>
          <cell r="D92">
            <v>140</v>
          </cell>
          <cell r="E92">
            <v>2</v>
          </cell>
          <cell r="F92">
            <v>586</v>
          </cell>
          <cell r="G92">
            <v>6</v>
          </cell>
          <cell r="H92">
            <v>1248</v>
          </cell>
          <cell r="I92">
            <v>2</v>
          </cell>
          <cell r="J92">
            <v>586</v>
          </cell>
          <cell r="K92">
            <v>3</v>
          </cell>
          <cell r="L92">
            <v>494</v>
          </cell>
          <cell r="M92">
            <v>3</v>
          </cell>
          <cell r="N92">
            <v>356</v>
          </cell>
          <cell r="O92">
            <v>6</v>
          </cell>
          <cell r="P92">
            <v>850</v>
          </cell>
          <cell r="Q92">
            <v>1</v>
          </cell>
          <cell r="R92">
            <v>200</v>
          </cell>
          <cell r="S92">
            <v>0</v>
          </cell>
          <cell r="T92">
            <v>0</v>
          </cell>
          <cell r="U92">
            <v>3</v>
          </cell>
          <cell r="V92">
            <v>494</v>
          </cell>
          <cell r="W92">
            <v>2</v>
          </cell>
          <cell r="X92">
            <v>256</v>
          </cell>
          <cell r="Y92">
            <v>2</v>
          </cell>
          <cell r="Z92">
            <v>300</v>
          </cell>
          <cell r="AA92">
            <v>0</v>
          </cell>
          <cell r="AB92">
            <v>0</v>
          </cell>
          <cell r="AC92">
            <v>0</v>
          </cell>
          <cell r="AD92">
            <v>0</v>
          </cell>
          <cell r="AE92">
            <v>0</v>
          </cell>
          <cell r="AF92">
            <v>0</v>
          </cell>
          <cell r="AG92">
            <v>0</v>
          </cell>
          <cell r="AH92">
            <v>0</v>
          </cell>
          <cell r="AI92">
            <v>2</v>
          </cell>
          <cell r="AJ92">
            <v>300</v>
          </cell>
          <cell r="AK92">
            <v>0</v>
          </cell>
          <cell r="AL92">
            <v>0</v>
          </cell>
          <cell r="AM92">
            <v>3</v>
          </cell>
          <cell r="AN92">
            <v>494</v>
          </cell>
          <cell r="AO92">
            <v>2</v>
          </cell>
          <cell r="AP92">
            <v>256</v>
          </cell>
          <cell r="AQ92" t="str">
            <v>MIAMI SOUTH</v>
          </cell>
          <cell r="AR92">
            <v>47</v>
          </cell>
          <cell r="AS92">
            <v>6428</v>
          </cell>
          <cell r="AT92">
            <v>45</v>
          </cell>
          <cell r="AU92">
            <v>5842</v>
          </cell>
          <cell r="AV92">
            <v>44</v>
          </cell>
          <cell r="AW92">
            <v>5702</v>
          </cell>
          <cell r="AX92">
            <v>46</v>
          </cell>
          <cell r="AY92">
            <v>5964</v>
          </cell>
          <cell r="AZ92">
            <v>1</v>
          </cell>
          <cell r="BA92">
            <v>100</v>
          </cell>
        </row>
        <row r="93">
          <cell r="B93" t="str">
            <v>MINNEAPOLIS CBD</v>
          </cell>
          <cell r="C93">
            <v>1</v>
          </cell>
          <cell r="D93">
            <v>131</v>
          </cell>
          <cell r="E93">
            <v>3</v>
          </cell>
          <cell r="F93">
            <v>477</v>
          </cell>
          <cell r="G93">
            <v>9</v>
          </cell>
          <cell r="H93">
            <v>1129</v>
          </cell>
          <cell r="I93">
            <v>1</v>
          </cell>
          <cell r="J93">
            <v>225</v>
          </cell>
          <cell r="K93">
            <v>3</v>
          </cell>
          <cell r="L93">
            <v>425</v>
          </cell>
          <cell r="M93">
            <v>0</v>
          </cell>
          <cell r="N93">
            <v>0</v>
          </cell>
          <cell r="O93">
            <v>3</v>
          </cell>
          <cell r="P93">
            <v>425</v>
          </cell>
          <cell r="Q93">
            <v>0</v>
          </cell>
          <cell r="R93">
            <v>0</v>
          </cell>
          <cell r="S93">
            <v>0</v>
          </cell>
          <cell r="T93">
            <v>0</v>
          </cell>
          <cell r="U93">
            <v>3</v>
          </cell>
          <cell r="V93">
            <v>425</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3</v>
          </cell>
          <cell r="AN93">
            <v>425</v>
          </cell>
          <cell r="AO93">
            <v>0</v>
          </cell>
          <cell r="AP93">
            <v>0</v>
          </cell>
          <cell r="AQ93" t="str">
            <v>MINNEAPOLIS CBD</v>
          </cell>
          <cell r="AR93">
            <v>55</v>
          </cell>
          <cell r="AS93">
            <v>9868</v>
          </cell>
          <cell r="AT93">
            <v>52</v>
          </cell>
          <cell r="AU93">
            <v>9391</v>
          </cell>
          <cell r="AV93">
            <v>51</v>
          </cell>
          <cell r="AW93">
            <v>9260</v>
          </cell>
          <cell r="AX93">
            <v>45</v>
          </cell>
          <cell r="AY93">
            <v>7868</v>
          </cell>
          <cell r="AZ93">
            <v>0</v>
          </cell>
          <cell r="BA93">
            <v>0</v>
          </cell>
        </row>
        <row r="94">
          <cell r="B94" t="str">
            <v>MINNEAPOLIS NORTH AREA</v>
          </cell>
          <cell r="C94">
            <v>4</v>
          </cell>
          <cell r="D94">
            <v>279</v>
          </cell>
          <cell r="E94">
            <v>1</v>
          </cell>
          <cell r="F94">
            <v>41</v>
          </cell>
          <cell r="G94">
            <v>11</v>
          </cell>
          <cell r="H94">
            <v>884</v>
          </cell>
          <cell r="I94">
            <v>1</v>
          </cell>
          <cell r="J94">
            <v>41</v>
          </cell>
          <cell r="K94">
            <v>1</v>
          </cell>
          <cell r="L94">
            <v>120</v>
          </cell>
          <cell r="M94">
            <v>1</v>
          </cell>
          <cell r="N94">
            <v>140</v>
          </cell>
          <cell r="O94">
            <v>2</v>
          </cell>
          <cell r="P94">
            <v>260</v>
          </cell>
          <cell r="Q94">
            <v>1</v>
          </cell>
          <cell r="R94">
            <v>100</v>
          </cell>
          <cell r="S94">
            <v>0</v>
          </cell>
          <cell r="T94">
            <v>0</v>
          </cell>
          <cell r="U94">
            <v>1</v>
          </cell>
          <cell r="V94">
            <v>120</v>
          </cell>
          <cell r="W94">
            <v>1</v>
          </cell>
          <cell r="X94">
            <v>140</v>
          </cell>
          <cell r="Y94">
            <v>1</v>
          </cell>
          <cell r="Z94">
            <v>100</v>
          </cell>
          <cell r="AA94">
            <v>0</v>
          </cell>
          <cell r="AB94">
            <v>0</v>
          </cell>
          <cell r="AC94">
            <v>0</v>
          </cell>
          <cell r="AD94">
            <v>0</v>
          </cell>
          <cell r="AE94">
            <v>0</v>
          </cell>
          <cell r="AF94">
            <v>0</v>
          </cell>
          <cell r="AG94">
            <v>0</v>
          </cell>
          <cell r="AH94">
            <v>0</v>
          </cell>
          <cell r="AI94">
            <v>1</v>
          </cell>
          <cell r="AJ94">
            <v>100</v>
          </cell>
          <cell r="AK94">
            <v>0</v>
          </cell>
          <cell r="AL94">
            <v>0</v>
          </cell>
          <cell r="AM94">
            <v>1</v>
          </cell>
          <cell r="AN94">
            <v>120</v>
          </cell>
          <cell r="AO94">
            <v>1</v>
          </cell>
          <cell r="AP94">
            <v>140</v>
          </cell>
          <cell r="AQ94" t="str">
            <v>MINNEAPOLIS NORTH AREA</v>
          </cell>
          <cell r="AR94">
            <v>46</v>
          </cell>
          <cell r="AS94">
            <v>3455</v>
          </cell>
          <cell r="AT94">
            <v>45</v>
          </cell>
          <cell r="AU94">
            <v>3414</v>
          </cell>
          <cell r="AV94">
            <v>41</v>
          </cell>
          <cell r="AW94">
            <v>3135</v>
          </cell>
          <cell r="AX94">
            <v>67</v>
          </cell>
          <cell r="AY94">
            <v>5537</v>
          </cell>
          <cell r="AZ94">
            <v>0</v>
          </cell>
          <cell r="BA94">
            <v>0</v>
          </cell>
        </row>
        <row r="95">
          <cell r="B95" t="str">
            <v>MINNEAPOLIS SOUTH AREA</v>
          </cell>
          <cell r="C95">
            <v>2</v>
          </cell>
          <cell r="D95">
            <v>186</v>
          </cell>
          <cell r="E95">
            <v>3</v>
          </cell>
          <cell r="F95">
            <v>287</v>
          </cell>
          <cell r="G95">
            <v>30</v>
          </cell>
          <cell r="H95">
            <v>2703</v>
          </cell>
          <cell r="I95">
            <v>3</v>
          </cell>
          <cell r="J95">
            <v>352</v>
          </cell>
          <cell r="K95">
            <v>2</v>
          </cell>
          <cell r="L95">
            <v>186</v>
          </cell>
          <cell r="M95">
            <v>2</v>
          </cell>
          <cell r="N95">
            <v>120</v>
          </cell>
          <cell r="O95">
            <v>4</v>
          </cell>
          <cell r="P95">
            <v>306</v>
          </cell>
          <cell r="Q95">
            <v>2</v>
          </cell>
          <cell r="R95">
            <v>113</v>
          </cell>
          <cell r="S95">
            <v>1</v>
          </cell>
          <cell r="T95">
            <v>127</v>
          </cell>
          <cell r="U95">
            <v>2</v>
          </cell>
          <cell r="V95">
            <v>186</v>
          </cell>
          <cell r="W95">
            <v>2</v>
          </cell>
          <cell r="X95">
            <v>120</v>
          </cell>
          <cell r="Y95">
            <v>2</v>
          </cell>
          <cell r="Z95">
            <v>113</v>
          </cell>
          <cell r="AA95">
            <v>0</v>
          </cell>
          <cell r="AB95">
            <v>0</v>
          </cell>
          <cell r="AC95">
            <v>0</v>
          </cell>
          <cell r="AD95">
            <v>0</v>
          </cell>
          <cell r="AE95">
            <v>0</v>
          </cell>
          <cell r="AF95">
            <v>0</v>
          </cell>
          <cell r="AG95">
            <v>0</v>
          </cell>
          <cell r="AH95">
            <v>0</v>
          </cell>
          <cell r="AI95">
            <v>2</v>
          </cell>
          <cell r="AJ95">
            <v>113</v>
          </cell>
          <cell r="AK95">
            <v>0</v>
          </cell>
          <cell r="AL95">
            <v>0</v>
          </cell>
          <cell r="AM95">
            <v>2</v>
          </cell>
          <cell r="AN95">
            <v>186</v>
          </cell>
          <cell r="AO95">
            <v>2</v>
          </cell>
          <cell r="AP95">
            <v>120</v>
          </cell>
          <cell r="AQ95" t="str">
            <v>MINNEAPOLIS SOUTH AREA</v>
          </cell>
          <cell r="AR95">
            <v>76</v>
          </cell>
          <cell r="AS95">
            <v>7134</v>
          </cell>
          <cell r="AT95">
            <v>73</v>
          </cell>
          <cell r="AU95">
            <v>6847</v>
          </cell>
          <cell r="AV95">
            <v>71</v>
          </cell>
          <cell r="AW95">
            <v>6661</v>
          </cell>
          <cell r="AX95">
            <v>65</v>
          </cell>
          <cell r="AY95">
            <v>5685</v>
          </cell>
          <cell r="AZ95">
            <v>0</v>
          </cell>
          <cell r="BA95">
            <v>0</v>
          </cell>
        </row>
        <row r="96">
          <cell r="B96" t="str">
            <v>MISSION VALLEY</v>
          </cell>
          <cell r="C96">
            <v>0</v>
          </cell>
          <cell r="D96">
            <v>0</v>
          </cell>
          <cell r="E96">
            <v>0</v>
          </cell>
          <cell r="F96">
            <v>0</v>
          </cell>
          <cell r="G96">
            <v>3</v>
          </cell>
          <cell r="H96">
            <v>365</v>
          </cell>
          <cell r="I96">
            <v>0</v>
          </cell>
          <cell r="J96">
            <v>0</v>
          </cell>
          <cell r="K96">
            <v>2</v>
          </cell>
          <cell r="L96">
            <v>282</v>
          </cell>
          <cell r="M96">
            <v>1</v>
          </cell>
          <cell r="N96">
            <v>66</v>
          </cell>
          <cell r="O96">
            <v>3</v>
          </cell>
          <cell r="P96">
            <v>348</v>
          </cell>
          <cell r="Q96">
            <v>1</v>
          </cell>
          <cell r="R96">
            <v>192</v>
          </cell>
          <cell r="S96">
            <v>0</v>
          </cell>
          <cell r="T96">
            <v>0</v>
          </cell>
          <cell r="U96">
            <v>1</v>
          </cell>
          <cell r="V96">
            <v>145</v>
          </cell>
          <cell r="W96">
            <v>2</v>
          </cell>
          <cell r="X96">
            <v>203</v>
          </cell>
          <cell r="Y96">
            <v>1</v>
          </cell>
          <cell r="Z96">
            <v>192</v>
          </cell>
          <cell r="AA96">
            <v>0</v>
          </cell>
          <cell r="AB96">
            <v>0</v>
          </cell>
          <cell r="AC96">
            <v>0</v>
          </cell>
          <cell r="AD96">
            <v>0</v>
          </cell>
          <cell r="AE96">
            <v>0</v>
          </cell>
          <cell r="AF96">
            <v>0</v>
          </cell>
          <cell r="AG96">
            <v>0</v>
          </cell>
          <cell r="AH96">
            <v>0</v>
          </cell>
          <cell r="AI96">
            <v>1</v>
          </cell>
          <cell r="AJ96">
            <v>192</v>
          </cell>
          <cell r="AK96">
            <v>0</v>
          </cell>
          <cell r="AL96">
            <v>0</v>
          </cell>
          <cell r="AM96">
            <v>1</v>
          </cell>
          <cell r="AN96">
            <v>145</v>
          </cell>
          <cell r="AO96">
            <v>2</v>
          </cell>
          <cell r="AP96">
            <v>203</v>
          </cell>
          <cell r="AQ96" t="str">
            <v>MISSION VALLEY</v>
          </cell>
          <cell r="AR96">
            <v>56</v>
          </cell>
          <cell r="AS96">
            <v>9782</v>
          </cell>
          <cell r="AT96">
            <v>56</v>
          </cell>
          <cell r="AU96">
            <v>9782</v>
          </cell>
          <cell r="AV96">
            <v>56</v>
          </cell>
          <cell r="AW96">
            <v>9782</v>
          </cell>
          <cell r="AX96">
            <v>58</v>
          </cell>
          <cell r="AY96">
            <v>9987</v>
          </cell>
          <cell r="AZ96">
            <v>0</v>
          </cell>
          <cell r="BA96">
            <v>0</v>
          </cell>
        </row>
        <row r="97">
          <cell r="B97" t="str">
            <v>NASHVILLE AREA NORTH</v>
          </cell>
          <cell r="C97">
            <v>3</v>
          </cell>
          <cell r="D97">
            <v>258</v>
          </cell>
          <cell r="E97">
            <v>3</v>
          </cell>
          <cell r="F97">
            <v>212</v>
          </cell>
          <cell r="G97">
            <v>13</v>
          </cell>
          <cell r="H97">
            <v>1062</v>
          </cell>
          <cell r="I97">
            <v>3</v>
          </cell>
          <cell r="J97">
            <v>222</v>
          </cell>
          <cell r="K97">
            <v>0</v>
          </cell>
          <cell r="L97">
            <v>0</v>
          </cell>
          <cell r="M97">
            <v>2</v>
          </cell>
          <cell r="N97">
            <v>159</v>
          </cell>
          <cell r="O97">
            <v>2</v>
          </cell>
          <cell r="P97">
            <v>159</v>
          </cell>
          <cell r="Q97">
            <v>0</v>
          </cell>
          <cell r="R97">
            <v>0</v>
          </cell>
          <cell r="S97">
            <v>1</v>
          </cell>
          <cell r="T97">
            <v>74</v>
          </cell>
          <cell r="U97">
            <v>0</v>
          </cell>
          <cell r="V97">
            <v>0</v>
          </cell>
          <cell r="W97">
            <v>1</v>
          </cell>
          <cell r="X97">
            <v>59</v>
          </cell>
          <cell r="Y97">
            <v>1</v>
          </cell>
          <cell r="Z97">
            <v>100</v>
          </cell>
          <cell r="AA97">
            <v>0</v>
          </cell>
          <cell r="AB97">
            <v>0</v>
          </cell>
          <cell r="AC97">
            <v>0</v>
          </cell>
          <cell r="AD97">
            <v>0</v>
          </cell>
          <cell r="AE97">
            <v>0</v>
          </cell>
          <cell r="AF97">
            <v>0</v>
          </cell>
          <cell r="AG97">
            <v>0</v>
          </cell>
          <cell r="AH97">
            <v>0</v>
          </cell>
          <cell r="AI97">
            <v>1</v>
          </cell>
          <cell r="AJ97">
            <v>100</v>
          </cell>
          <cell r="AK97">
            <v>0</v>
          </cell>
          <cell r="AL97">
            <v>0</v>
          </cell>
          <cell r="AM97">
            <v>0</v>
          </cell>
          <cell r="AN97">
            <v>0</v>
          </cell>
          <cell r="AO97">
            <v>1</v>
          </cell>
          <cell r="AP97">
            <v>59</v>
          </cell>
          <cell r="AQ97" t="str">
            <v>NASHVILLE AREA NORTH</v>
          </cell>
          <cell r="AR97">
            <v>55</v>
          </cell>
          <cell r="AS97">
            <v>3965</v>
          </cell>
          <cell r="AT97">
            <v>52</v>
          </cell>
          <cell r="AU97">
            <v>3753</v>
          </cell>
          <cell r="AV97">
            <v>49</v>
          </cell>
          <cell r="AW97">
            <v>3495</v>
          </cell>
          <cell r="AX97">
            <v>53</v>
          </cell>
          <cell r="AY97">
            <v>3825</v>
          </cell>
          <cell r="AZ97">
            <v>1</v>
          </cell>
          <cell r="BA97">
            <v>100</v>
          </cell>
        </row>
        <row r="98">
          <cell r="B98" t="str">
            <v>NASHVILLE AREA SOUTH</v>
          </cell>
          <cell r="C98">
            <v>3</v>
          </cell>
          <cell r="D98">
            <v>180</v>
          </cell>
          <cell r="E98">
            <v>1</v>
          </cell>
          <cell r="F98">
            <v>247</v>
          </cell>
          <cell r="G98">
            <v>33</v>
          </cell>
          <cell r="H98">
            <v>3073</v>
          </cell>
          <cell r="I98">
            <v>1</v>
          </cell>
          <cell r="J98">
            <v>247</v>
          </cell>
          <cell r="K98">
            <v>3</v>
          </cell>
          <cell r="L98">
            <v>242</v>
          </cell>
          <cell r="M98">
            <v>0</v>
          </cell>
          <cell r="N98">
            <v>0</v>
          </cell>
          <cell r="O98">
            <v>3</v>
          </cell>
          <cell r="P98">
            <v>242</v>
          </cell>
          <cell r="Q98">
            <v>0</v>
          </cell>
          <cell r="R98">
            <v>0</v>
          </cell>
          <cell r="S98">
            <v>0</v>
          </cell>
          <cell r="T98">
            <v>0</v>
          </cell>
          <cell r="U98">
            <v>3</v>
          </cell>
          <cell r="V98">
            <v>242</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3</v>
          </cell>
          <cell r="AN98">
            <v>242</v>
          </cell>
          <cell r="AO98">
            <v>0</v>
          </cell>
          <cell r="AP98">
            <v>0</v>
          </cell>
          <cell r="AQ98" t="str">
            <v>NASHVILLE AREA SOUTH</v>
          </cell>
          <cell r="AR98">
            <v>81</v>
          </cell>
          <cell r="AS98">
            <v>7775</v>
          </cell>
          <cell r="AT98">
            <v>80</v>
          </cell>
          <cell r="AU98">
            <v>7528</v>
          </cell>
          <cell r="AV98">
            <v>77</v>
          </cell>
          <cell r="AW98">
            <v>7348</v>
          </cell>
          <cell r="AX98">
            <v>77</v>
          </cell>
          <cell r="AY98">
            <v>7259</v>
          </cell>
          <cell r="AZ98">
            <v>0</v>
          </cell>
          <cell r="BA98">
            <v>0</v>
          </cell>
        </row>
        <row r="99">
          <cell r="B99" t="str">
            <v>NASHVILLE DOWNTOWN &amp; SOUTH</v>
          </cell>
          <cell r="C99">
            <v>2</v>
          </cell>
          <cell r="D99">
            <v>401</v>
          </cell>
          <cell r="E99">
            <v>2</v>
          </cell>
          <cell r="F99">
            <v>515</v>
          </cell>
          <cell r="G99">
            <v>8</v>
          </cell>
          <cell r="H99">
            <v>1465</v>
          </cell>
          <cell r="I99">
            <v>2</v>
          </cell>
          <cell r="J99">
            <v>515</v>
          </cell>
          <cell r="K99">
            <v>1</v>
          </cell>
          <cell r="L99">
            <v>114</v>
          </cell>
          <cell r="M99">
            <v>0</v>
          </cell>
          <cell r="N99">
            <v>0</v>
          </cell>
          <cell r="O99">
            <v>1</v>
          </cell>
          <cell r="P99">
            <v>114</v>
          </cell>
          <cell r="Q99">
            <v>1</v>
          </cell>
          <cell r="R99">
            <v>100</v>
          </cell>
          <cell r="S99">
            <v>0</v>
          </cell>
          <cell r="T99">
            <v>0</v>
          </cell>
          <cell r="U99">
            <v>1</v>
          </cell>
          <cell r="V99">
            <v>114</v>
          </cell>
          <cell r="W99">
            <v>0</v>
          </cell>
          <cell r="X99">
            <v>0</v>
          </cell>
          <cell r="Y99">
            <v>1</v>
          </cell>
          <cell r="Z99">
            <v>100</v>
          </cell>
          <cell r="AA99">
            <v>0</v>
          </cell>
          <cell r="AB99">
            <v>0</v>
          </cell>
          <cell r="AC99">
            <v>0</v>
          </cell>
          <cell r="AD99">
            <v>0</v>
          </cell>
          <cell r="AE99">
            <v>0</v>
          </cell>
          <cell r="AF99">
            <v>0</v>
          </cell>
          <cell r="AG99">
            <v>0</v>
          </cell>
          <cell r="AH99">
            <v>0</v>
          </cell>
          <cell r="AI99">
            <v>1</v>
          </cell>
          <cell r="AJ99">
            <v>100</v>
          </cell>
          <cell r="AK99">
            <v>0</v>
          </cell>
          <cell r="AL99">
            <v>0</v>
          </cell>
          <cell r="AM99">
            <v>1</v>
          </cell>
          <cell r="AN99">
            <v>114</v>
          </cell>
          <cell r="AO99">
            <v>0</v>
          </cell>
          <cell r="AP99">
            <v>0</v>
          </cell>
          <cell r="AQ99" t="str">
            <v>NASHVILLE DOWNTOWN &amp; SOUTH</v>
          </cell>
          <cell r="AR99">
            <v>35</v>
          </cell>
          <cell r="AS99">
            <v>5922</v>
          </cell>
          <cell r="AT99">
            <v>33</v>
          </cell>
          <cell r="AU99">
            <v>5407</v>
          </cell>
          <cell r="AV99">
            <v>31</v>
          </cell>
          <cell r="AW99">
            <v>5006</v>
          </cell>
          <cell r="AX99">
            <v>33</v>
          </cell>
          <cell r="AY99">
            <v>5731</v>
          </cell>
          <cell r="AZ99">
            <v>0</v>
          </cell>
          <cell r="BA99">
            <v>0</v>
          </cell>
        </row>
        <row r="100">
          <cell r="B100" t="str">
            <v>NASHVILLE EAST AIRPORT</v>
          </cell>
          <cell r="C100">
            <v>2</v>
          </cell>
          <cell r="D100">
            <v>236</v>
          </cell>
          <cell r="E100">
            <v>4</v>
          </cell>
          <cell r="F100">
            <v>420</v>
          </cell>
          <cell r="G100">
            <v>16</v>
          </cell>
          <cell r="H100">
            <v>1697</v>
          </cell>
          <cell r="I100">
            <v>4</v>
          </cell>
          <cell r="J100">
            <v>420</v>
          </cell>
          <cell r="K100">
            <v>0</v>
          </cell>
          <cell r="L100">
            <v>0</v>
          </cell>
          <cell r="M100">
            <v>0</v>
          </cell>
          <cell r="N100">
            <v>0</v>
          </cell>
          <cell r="O100">
            <v>0</v>
          </cell>
          <cell r="P100">
            <v>0</v>
          </cell>
          <cell r="Q100">
            <v>1</v>
          </cell>
          <cell r="R100">
            <v>100</v>
          </cell>
          <cell r="S100">
            <v>0</v>
          </cell>
          <cell r="T100">
            <v>0</v>
          </cell>
          <cell r="U100">
            <v>0</v>
          </cell>
          <cell r="V100">
            <v>0</v>
          </cell>
          <cell r="W100">
            <v>0</v>
          </cell>
          <cell r="X100">
            <v>0</v>
          </cell>
          <cell r="Y100">
            <v>1</v>
          </cell>
          <cell r="Z100">
            <v>100</v>
          </cell>
          <cell r="AA100">
            <v>0</v>
          </cell>
          <cell r="AB100">
            <v>0</v>
          </cell>
          <cell r="AC100">
            <v>0</v>
          </cell>
          <cell r="AD100">
            <v>0</v>
          </cell>
          <cell r="AE100">
            <v>0</v>
          </cell>
          <cell r="AF100">
            <v>0</v>
          </cell>
          <cell r="AG100">
            <v>0</v>
          </cell>
          <cell r="AH100">
            <v>0</v>
          </cell>
          <cell r="AI100">
            <v>1</v>
          </cell>
          <cell r="AJ100">
            <v>100</v>
          </cell>
          <cell r="AK100">
            <v>0</v>
          </cell>
          <cell r="AL100">
            <v>0</v>
          </cell>
          <cell r="AM100">
            <v>0</v>
          </cell>
          <cell r="AN100">
            <v>0</v>
          </cell>
          <cell r="AO100">
            <v>0</v>
          </cell>
          <cell r="AP100">
            <v>0</v>
          </cell>
          <cell r="AQ100" t="str">
            <v>NASHVILLE EAST AIRPORT</v>
          </cell>
          <cell r="AR100">
            <v>74</v>
          </cell>
          <cell r="AS100">
            <v>12862</v>
          </cell>
          <cell r="AT100">
            <v>70</v>
          </cell>
          <cell r="AU100">
            <v>12442</v>
          </cell>
          <cell r="AV100">
            <v>68</v>
          </cell>
          <cell r="AW100">
            <v>12206</v>
          </cell>
          <cell r="AX100">
            <v>77</v>
          </cell>
          <cell r="AY100">
            <v>13114</v>
          </cell>
          <cell r="AZ100">
            <v>0</v>
          </cell>
          <cell r="BA100">
            <v>0</v>
          </cell>
        </row>
        <row r="101">
          <cell r="B101" t="str">
            <v>NASHVILLE METRO CENTER-NORTH</v>
          </cell>
          <cell r="C101">
            <v>1</v>
          </cell>
          <cell r="D101">
            <v>78</v>
          </cell>
          <cell r="E101">
            <v>0</v>
          </cell>
          <cell r="F101">
            <v>0</v>
          </cell>
          <cell r="G101">
            <v>1</v>
          </cell>
          <cell r="H101">
            <v>78</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t="str">
            <v>NASHVILLE METRO CENTER-NORTH</v>
          </cell>
          <cell r="AR101">
            <v>32</v>
          </cell>
          <cell r="AS101">
            <v>3232</v>
          </cell>
          <cell r="AT101">
            <v>32</v>
          </cell>
          <cell r="AU101">
            <v>3232</v>
          </cell>
          <cell r="AV101">
            <v>31</v>
          </cell>
          <cell r="AW101">
            <v>3154</v>
          </cell>
          <cell r="AX101">
            <v>28</v>
          </cell>
          <cell r="AY101">
            <v>2770</v>
          </cell>
          <cell r="AZ101">
            <v>0</v>
          </cell>
          <cell r="BA101">
            <v>0</v>
          </cell>
        </row>
        <row r="102">
          <cell r="B102" t="str">
            <v>NEW ORLEANS CBD</v>
          </cell>
          <cell r="C102">
            <v>6</v>
          </cell>
          <cell r="D102">
            <v>1417</v>
          </cell>
          <cell r="E102">
            <v>8</v>
          </cell>
          <cell r="F102">
            <v>1457</v>
          </cell>
          <cell r="G102">
            <v>28</v>
          </cell>
          <cell r="H102">
            <v>4887</v>
          </cell>
          <cell r="I102">
            <v>7</v>
          </cell>
          <cell r="J102">
            <v>1148</v>
          </cell>
          <cell r="K102">
            <v>5</v>
          </cell>
          <cell r="L102">
            <v>1230</v>
          </cell>
          <cell r="M102">
            <v>4</v>
          </cell>
          <cell r="N102">
            <v>1319</v>
          </cell>
          <cell r="O102">
            <v>9</v>
          </cell>
          <cell r="P102">
            <v>2549</v>
          </cell>
          <cell r="Q102">
            <v>3</v>
          </cell>
          <cell r="R102">
            <v>825</v>
          </cell>
          <cell r="S102">
            <v>1</v>
          </cell>
          <cell r="T102">
            <v>100</v>
          </cell>
          <cell r="U102">
            <v>5</v>
          </cell>
          <cell r="V102">
            <v>1230</v>
          </cell>
          <cell r="W102">
            <v>0</v>
          </cell>
          <cell r="X102">
            <v>0</v>
          </cell>
          <cell r="Y102">
            <v>6</v>
          </cell>
          <cell r="Z102">
            <v>1449</v>
          </cell>
          <cell r="AA102">
            <v>1</v>
          </cell>
          <cell r="AB102">
            <v>695</v>
          </cell>
          <cell r="AC102">
            <v>0</v>
          </cell>
          <cell r="AD102">
            <v>0</v>
          </cell>
          <cell r="AE102">
            <v>0</v>
          </cell>
          <cell r="AF102">
            <v>0</v>
          </cell>
          <cell r="AG102">
            <v>0</v>
          </cell>
          <cell r="AH102">
            <v>0</v>
          </cell>
          <cell r="AI102">
            <v>7</v>
          </cell>
          <cell r="AJ102">
            <v>2144</v>
          </cell>
          <cell r="AK102">
            <v>0</v>
          </cell>
          <cell r="AL102">
            <v>0</v>
          </cell>
          <cell r="AM102">
            <v>5</v>
          </cell>
          <cell r="AN102">
            <v>1230</v>
          </cell>
          <cell r="AO102">
            <v>0</v>
          </cell>
          <cell r="AP102">
            <v>0</v>
          </cell>
          <cell r="AQ102" t="str">
            <v>NEW ORLEANS CBD</v>
          </cell>
          <cell r="AR102">
            <v>87</v>
          </cell>
          <cell r="AS102">
            <v>22457</v>
          </cell>
          <cell r="AT102">
            <v>79</v>
          </cell>
          <cell r="AU102">
            <v>21000</v>
          </cell>
          <cell r="AV102">
            <v>73</v>
          </cell>
          <cell r="AW102">
            <v>19583</v>
          </cell>
          <cell r="AX102">
            <v>86</v>
          </cell>
          <cell r="AY102">
            <v>20712</v>
          </cell>
          <cell r="AZ102">
            <v>4</v>
          </cell>
          <cell r="BA102">
            <v>1319</v>
          </cell>
        </row>
        <row r="103">
          <cell r="B103" t="str">
            <v>NEW ORLEANS EAST/FRENCH QTR</v>
          </cell>
          <cell r="C103">
            <v>4</v>
          </cell>
          <cell r="D103">
            <v>523</v>
          </cell>
          <cell r="E103">
            <v>2</v>
          </cell>
          <cell r="F103">
            <v>83</v>
          </cell>
          <cell r="G103">
            <v>9</v>
          </cell>
          <cell r="H103">
            <v>742</v>
          </cell>
          <cell r="I103">
            <v>2</v>
          </cell>
          <cell r="J103">
            <v>83</v>
          </cell>
          <cell r="K103">
            <v>0</v>
          </cell>
          <cell r="L103">
            <v>0</v>
          </cell>
          <cell r="M103">
            <v>1</v>
          </cell>
          <cell r="N103">
            <v>80</v>
          </cell>
          <cell r="O103">
            <v>1</v>
          </cell>
          <cell r="P103">
            <v>80</v>
          </cell>
          <cell r="Q103">
            <v>1</v>
          </cell>
          <cell r="R103">
            <v>84</v>
          </cell>
          <cell r="S103">
            <v>0</v>
          </cell>
          <cell r="T103">
            <v>0</v>
          </cell>
          <cell r="U103">
            <v>0</v>
          </cell>
          <cell r="V103">
            <v>0</v>
          </cell>
          <cell r="W103">
            <v>1</v>
          </cell>
          <cell r="X103">
            <v>80</v>
          </cell>
          <cell r="Y103">
            <v>1</v>
          </cell>
          <cell r="Z103">
            <v>84</v>
          </cell>
          <cell r="AA103">
            <v>0</v>
          </cell>
          <cell r="AB103">
            <v>0</v>
          </cell>
          <cell r="AC103">
            <v>0</v>
          </cell>
          <cell r="AD103">
            <v>0</v>
          </cell>
          <cell r="AE103">
            <v>0</v>
          </cell>
          <cell r="AF103">
            <v>0</v>
          </cell>
          <cell r="AG103">
            <v>0</v>
          </cell>
          <cell r="AH103">
            <v>0</v>
          </cell>
          <cell r="AI103">
            <v>1</v>
          </cell>
          <cell r="AJ103">
            <v>84</v>
          </cell>
          <cell r="AK103">
            <v>0</v>
          </cell>
          <cell r="AL103">
            <v>0</v>
          </cell>
          <cell r="AM103">
            <v>0</v>
          </cell>
          <cell r="AN103">
            <v>0</v>
          </cell>
          <cell r="AO103">
            <v>1</v>
          </cell>
          <cell r="AP103">
            <v>80</v>
          </cell>
          <cell r="AQ103" t="str">
            <v>NEW ORLEANS EAST/FRENCH QUARTER</v>
          </cell>
          <cell r="AR103">
            <v>35</v>
          </cell>
          <cell r="AS103">
            <v>2953</v>
          </cell>
          <cell r="AT103">
            <v>33</v>
          </cell>
          <cell r="AU103">
            <v>2870</v>
          </cell>
          <cell r="AV103">
            <v>29</v>
          </cell>
          <cell r="AW103">
            <v>2347</v>
          </cell>
          <cell r="AX103">
            <v>42</v>
          </cell>
          <cell r="AY103">
            <v>3542</v>
          </cell>
          <cell r="AZ103">
            <v>0</v>
          </cell>
          <cell r="BA103">
            <v>0</v>
          </cell>
        </row>
        <row r="104">
          <cell r="B104" t="str">
            <v>NEW ORLEANS EAST/FRENCH QUARTER</v>
          </cell>
          <cell r="C104">
            <v>4</v>
          </cell>
          <cell r="D104">
            <v>523</v>
          </cell>
          <cell r="E104">
            <v>2</v>
          </cell>
          <cell r="F104">
            <v>83</v>
          </cell>
          <cell r="G104">
            <v>9</v>
          </cell>
          <cell r="H104">
            <v>742</v>
          </cell>
          <cell r="I104">
            <v>2</v>
          </cell>
          <cell r="J104">
            <v>83</v>
          </cell>
          <cell r="K104">
            <v>0</v>
          </cell>
          <cell r="L104">
            <v>0</v>
          </cell>
          <cell r="M104">
            <v>1</v>
          </cell>
          <cell r="N104">
            <v>80</v>
          </cell>
          <cell r="O104">
            <v>1</v>
          </cell>
          <cell r="P104">
            <v>80</v>
          </cell>
          <cell r="Q104">
            <v>1</v>
          </cell>
          <cell r="R104">
            <v>84</v>
          </cell>
          <cell r="S104">
            <v>0</v>
          </cell>
          <cell r="T104">
            <v>0</v>
          </cell>
          <cell r="U104">
            <v>0</v>
          </cell>
          <cell r="V104">
            <v>0</v>
          </cell>
          <cell r="W104">
            <v>1</v>
          </cell>
          <cell r="X104">
            <v>80</v>
          </cell>
          <cell r="Y104">
            <v>1</v>
          </cell>
          <cell r="Z104">
            <v>84</v>
          </cell>
          <cell r="AA104">
            <v>0</v>
          </cell>
          <cell r="AB104">
            <v>0</v>
          </cell>
          <cell r="AC104">
            <v>0</v>
          </cell>
          <cell r="AD104">
            <v>0</v>
          </cell>
          <cell r="AE104">
            <v>0</v>
          </cell>
          <cell r="AF104">
            <v>0</v>
          </cell>
          <cell r="AG104">
            <v>0</v>
          </cell>
          <cell r="AH104">
            <v>0</v>
          </cell>
          <cell r="AI104">
            <v>1</v>
          </cell>
          <cell r="AJ104">
            <v>84</v>
          </cell>
          <cell r="AK104">
            <v>0</v>
          </cell>
          <cell r="AL104">
            <v>0</v>
          </cell>
          <cell r="AM104">
            <v>0</v>
          </cell>
          <cell r="AN104">
            <v>0</v>
          </cell>
          <cell r="AO104">
            <v>1</v>
          </cell>
          <cell r="AP104">
            <v>80</v>
          </cell>
          <cell r="AQ104" t="str">
            <v>NEW ORLEANS EAST/FRENCH QUARTER</v>
          </cell>
          <cell r="AR104">
            <v>35</v>
          </cell>
          <cell r="AS104">
            <v>2953</v>
          </cell>
          <cell r="AT104">
            <v>33</v>
          </cell>
          <cell r="AU104">
            <v>2870</v>
          </cell>
          <cell r="AV104">
            <v>29</v>
          </cell>
          <cell r="AW104">
            <v>2347</v>
          </cell>
          <cell r="AX104">
            <v>42</v>
          </cell>
          <cell r="AY104">
            <v>3542</v>
          </cell>
          <cell r="AZ104">
            <v>0</v>
          </cell>
          <cell r="BA104">
            <v>0</v>
          </cell>
        </row>
        <row r="105">
          <cell r="B105" t="str">
            <v>NEW YORK NY AREA</v>
          </cell>
          <cell r="C105">
            <v>2</v>
          </cell>
          <cell r="D105">
            <v>82</v>
          </cell>
          <cell r="E105">
            <v>8</v>
          </cell>
          <cell r="F105">
            <v>1125</v>
          </cell>
          <cell r="G105">
            <v>14</v>
          </cell>
          <cell r="H105">
            <v>2126</v>
          </cell>
          <cell r="I105">
            <v>9</v>
          </cell>
          <cell r="J105">
            <v>1423</v>
          </cell>
          <cell r="K105">
            <v>4</v>
          </cell>
          <cell r="L105">
            <v>430</v>
          </cell>
          <cell r="M105">
            <v>3</v>
          </cell>
          <cell r="N105">
            <v>378</v>
          </cell>
          <cell r="O105">
            <v>7</v>
          </cell>
          <cell r="P105">
            <v>808</v>
          </cell>
          <cell r="Q105">
            <v>5</v>
          </cell>
          <cell r="R105">
            <v>699</v>
          </cell>
          <cell r="S105">
            <v>1</v>
          </cell>
          <cell r="T105">
            <v>298</v>
          </cell>
          <cell r="U105">
            <v>4</v>
          </cell>
          <cell r="V105">
            <v>430</v>
          </cell>
          <cell r="W105">
            <v>2</v>
          </cell>
          <cell r="X105">
            <v>158</v>
          </cell>
          <cell r="Y105">
            <v>5</v>
          </cell>
          <cell r="Z105">
            <v>639</v>
          </cell>
          <cell r="AA105">
            <v>1</v>
          </cell>
          <cell r="AB105">
            <v>280</v>
          </cell>
          <cell r="AC105">
            <v>0</v>
          </cell>
          <cell r="AD105">
            <v>0</v>
          </cell>
          <cell r="AE105">
            <v>0</v>
          </cell>
          <cell r="AF105">
            <v>0</v>
          </cell>
          <cell r="AG105">
            <v>0</v>
          </cell>
          <cell r="AH105">
            <v>0</v>
          </cell>
          <cell r="AI105">
            <v>6</v>
          </cell>
          <cell r="AJ105">
            <v>919</v>
          </cell>
          <cell r="AK105">
            <v>0</v>
          </cell>
          <cell r="AL105">
            <v>0</v>
          </cell>
          <cell r="AM105">
            <v>4</v>
          </cell>
          <cell r="AN105">
            <v>430</v>
          </cell>
          <cell r="AO105">
            <v>2</v>
          </cell>
          <cell r="AP105">
            <v>158</v>
          </cell>
          <cell r="AQ105" t="str">
            <v>NEW YORK NY AREA</v>
          </cell>
          <cell r="AR105">
            <v>59</v>
          </cell>
          <cell r="AS105">
            <v>8973</v>
          </cell>
          <cell r="AT105">
            <v>51</v>
          </cell>
          <cell r="AU105">
            <v>7848</v>
          </cell>
          <cell r="AV105">
            <v>49</v>
          </cell>
          <cell r="AW105">
            <v>7766</v>
          </cell>
          <cell r="AX105">
            <v>61</v>
          </cell>
          <cell r="AY105">
            <v>7562</v>
          </cell>
          <cell r="AZ105">
            <v>1</v>
          </cell>
          <cell r="BA105">
            <v>220</v>
          </cell>
        </row>
        <row r="106">
          <cell r="B106" t="str">
            <v>NEWPORT NEWS/HAMPTON</v>
          </cell>
          <cell r="C106">
            <v>2</v>
          </cell>
          <cell r="D106">
            <v>219</v>
          </cell>
          <cell r="E106">
            <v>1</v>
          </cell>
          <cell r="F106">
            <v>168</v>
          </cell>
          <cell r="G106">
            <v>10</v>
          </cell>
          <cell r="H106">
            <v>1111</v>
          </cell>
          <cell r="I106">
            <v>1</v>
          </cell>
          <cell r="J106">
            <v>129</v>
          </cell>
          <cell r="K106">
            <v>0</v>
          </cell>
          <cell r="L106">
            <v>0</v>
          </cell>
          <cell r="M106">
            <v>3</v>
          </cell>
          <cell r="N106">
            <v>280</v>
          </cell>
          <cell r="O106">
            <v>3</v>
          </cell>
          <cell r="P106">
            <v>280</v>
          </cell>
          <cell r="Q106">
            <v>2</v>
          </cell>
          <cell r="R106">
            <v>210</v>
          </cell>
          <cell r="S106">
            <v>1</v>
          </cell>
          <cell r="T106">
            <v>129</v>
          </cell>
          <cell r="U106">
            <v>0</v>
          </cell>
          <cell r="V106">
            <v>0</v>
          </cell>
          <cell r="W106">
            <v>3</v>
          </cell>
          <cell r="X106">
            <v>280</v>
          </cell>
          <cell r="Y106">
            <v>2</v>
          </cell>
          <cell r="Z106">
            <v>210</v>
          </cell>
          <cell r="AA106">
            <v>0</v>
          </cell>
          <cell r="AB106">
            <v>0</v>
          </cell>
          <cell r="AC106">
            <v>0</v>
          </cell>
          <cell r="AD106">
            <v>0</v>
          </cell>
          <cell r="AE106">
            <v>0</v>
          </cell>
          <cell r="AF106">
            <v>0</v>
          </cell>
          <cell r="AG106">
            <v>0</v>
          </cell>
          <cell r="AH106">
            <v>0</v>
          </cell>
          <cell r="AI106">
            <v>2</v>
          </cell>
          <cell r="AJ106">
            <v>210</v>
          </cell>
          <cell r="AK106">
            <v>0</v>
          </cell>
          <cell r="AL106">
            <v>0</v>
          </cell>
          <cell r="AM106">
            <v>0</v>
          </cell>
          <cell r="AN106">
            <v>0</v>
          </cell>
          <cell r="AO106">
            <v>3</v>
          </cell>
          <cell r="AP106">
            <v>280</v>
          </cell>
          <cell r="AQ106" t="str">
            <v>NEWPORT NEWS/HAMPTON</v>
          </cell>
          <cell r="AR106">
            <v>67</v>
          </cell>
          <cell r="AS106">
            <v>6595</v>
          </cell>
          <cell r="AT106">
            <v>66</v>
          </cell>
          <cell r="AU106">
            <v>6427</v>
          </cell>
          <cell r="AV106">
            <v>64</v>
          </cell>
          <cell r="AW106">
            <v>6208</v>
          </cell>
          <cell r="AX106">
            <v>60</v>
          </cell>
          <cell r="AY106">
            <v>5640</v>
          </cell>
          <cell r="AZ106">
            <v>0</v>
          </cell>
          <cell r="BA106">
            <v>0</v>
          </cell>
        </row>
        <row r="107">
          <cell r="B107" t="str">
            <v>NORFOLK CITY</v>
          </cell>
          <cell r="C107">
            <v>2</v>
          </cell>
          <cell r="D107">
            <v>217</v>
          </cell>
          <cell r="E107">
            <v>2</v>
          </cell>
          <cell r="F107">
            <v>234</v>
          </cell>
          <cell r="G107">
            <v>7</v>
          </cell>
          <cell r="H107">
            <v>764</v>
          </cell>
          <cell r="I107">
            <v>2</v>
          </cell>
          <cell r="J107">
            <v>234</v>
          </cell>
          <cell r="K107">
            <v>2</v>
          </cell>
          <cell r="L107">
            <v>300</v>
          </cell>
          <cell r="M107">
            <v>0</v>
          </cell>
          <cell r="N107">
            <v>0</v>
          </cell>
          <cell r="O107">
            <v>2</v>
          </cell>
          <cell r="P107">
            <v>300</v>
          </cell>
          <cell r="Q107">
            <v>1</v>
          </cell>
          <cell r="R107">
            <v>100</v>
          </cell>
          <cell r="S107">
            <v>0</v>
          </cell>
          <cell r="T107">
            <v>0</v>
          </cell>
          <cell r="U107">
            <v>1</v>
          </cell>
          <cell r="V107">
            <v>140</v>
          </cell>
          <cell r="W107">
            <v>1</v>
          </cell>
          <cell r="X107">
            <v>160</v>
          </cell>
          <cell r="Y107">
            <v>1</v>
          </cell>
          <cell r="Z107">
            <v>100</v>
          </cell>
          <cell r="AA107">
            <v>0</v>
          </cell>
          <cell r="AB107">
            <v>0</v>
          </cell>
          <cell r="AC107">
            <v>0</v>
          </cell>
          <cell r="AD107">
            <v>0</v>
          </cell>
          <cell r="AE107">
            <v>0</v>
          </cell>
          <cell r="AF107">
            <v>0</v>
          </cell>
          <cell r="AG107">
            <v>0</v>
          </cell>
          <cell r="AH107">
            <v>0</v>
          </cell>
          <cell r="AI107">
            <v>1</v>
          </cell>
          <cell r="AJ107">
            <v>100</v>
          </cell>
          <cell r="AK107">
            <v>0</v>
          </cell>
          <cell r="AL107">
            <v>0</v>
          </cell>
          <cell r="AM107">
            <v>1</v>
          </cell>
          <cell r="AN107">
            <v>140</v>
          </cell>
          <cell r="AO107">
            <v>1</v>
          </cell>
          <cell r="AP107">
            <v>160</v>
          </cell>
          <cell r="AQ107" t="str">
            <v>NORFOLK CITY</v>
          </cell>
          <cell r="AR107">
            <v>45</v>
          </cell>
          <cell r="AS107">
            <v>5099</v>
          </cell>
          <cell r="AT107">
            <v>43</v>
          </cell>
          <cell r="AU107">
            <v>4865</v>
          </cell>
          <cell r="AV107">
            <v>41</v>
          </cell>
          <cell r="AW107">
            <v>4648</v>
          </cell>
          <cell r="AX107">
            <v>39</v>
          </cell>
          <cell r="AY107">
            <v>4745</v>
          </cell>
          <cell r="AZ107">
            <v>0</v>
          </cell>
          <cell r="BA107">
            <v>0</v>
          </cell>
        </row>
        <row r="108">
          <cell r="B108" t="str">
            <v>OAHU AREA</v>
          </cell>
          <cell r="C108">
            <v>0</v>
          </cell>
          <cell r="D108">
            <v>0</v>
          </cell>
          <cell r="E108">
            <v>0</v>
          </cell>
          <cell r="F108">
            <v>0</v>
          </cell>
          <cell r="G108">
            <v>1</v>
          </cell>
          <cell r="H108">
            <v>48</v>
          </cell>
          <cell r="I108">
            <v>0</v>
          </cell>
          <cell r="J108">
            <v>0</v>
          </cell>
          <cell r="K108">
            <v>0</v>
          </cell>
          <cell r="L108">
            <v>0</v>
          </cell>
          <cell r="M108">
            <v>0</v>
          </cell>
          <cell r="N108">
            <v>0</v>
          </cell>
          <cell r="O108">
            <v>0</v>
          </cell>
          <cell r="P108">
            <v>0</v>
          </cell>
          <cell r="Q108">
            <v>1</v>
          </cell>
          <cell r="R108">
            <v>243</v>
          </cell>
          <cell r="S108">
            <v>0</v>
          </cell>
          <cell r="T108">
            <v>0</v>
          </cell>
          <cell r="U108">
            <v>0</v>
          </cell>
          <cell r="V108">
            <v>0</v>
          </cell>
          <cell r="W108">
            <v>0</v>
          </cell>
          <cell r="X108">
            <v>0</v>
          </cell>
          <cell r="Y108">
            <v>1</v>
          </cell>
          <cell r="Z108">
            <v>243</v>
          </cell>
          <cell r="AA108">
            <v>0</v>
          </cell>
          <cell r="AB108">
            <v>0</v>
          </cell>
          <cell r="AC108">
            <v>0</v>
          </cell>
          <cell r="AD108">
            <v>0</v>
          </cell>
          <cell r="AE108">
            <v>0</v>
          </cell>
          <cell r="AF108">
            <v>0</v>
          </cell>
          <cell r="AG108">
            <v>0</v>
          </cell>
          <cell r="AH108">
            <v>0</v>
          </cell>
          <cell r="AI108">
            <v>1</v>
          </cell>
          <cell r="AJ108">
            <v>243</v>
          </cell>
          <cell r="AK108">
            <v>0</v>
          </cell>
          <cell r="AL108">
            <v>0</v>
          </cell>
          <cell r="AM108">
            <v>0</v>
          </cell>
          <cell r="AN108">
            <v>0</v>
          </cell>
          <cell r="AO108">
            <v>0</v>
          </cell>
          <cell r="AP108">
            <v>0</v>
          </cell>
          <cell r="AQ108" t="str">
            <v>OAHU AREA</v>
          </cell>
          <cell r="AR108">
            <v>12</v>
          </cell>
          <cell r="AS108">
            <v>3764</v>
          </cell>
          <cell r="AT108">
            <v>12</v>
          </cell>
          <cell r="AU108">
            <v>3764</v>
          </cell>
          <cell r="AV108">
            <v>12</v>
          </cell>
          <cell r="AW108">
            <v>3764</v>
          </cell>
          <cell r="AX108">
            <v>15</v>
          </cell>
          <cell r="AY108">
            <v>3699</v>
          </cell>
          <cell r="AZ108">
            <v>0</v>
          </cell>
          <cell r="BA108">
            <v>0</v>
          </cell>
        </row>
        <row r="109">
          <cell r="B109" t="str">
            <v>ORANGE COUNTY NORTHWEST</v>
          </cell>
          <cell r="C109">
            <v>0</v>
          </cell>
          <cell r="D109">
            <v>0</v>
          </cell>
          <cell r="E109">
            <v>0</v>
          </cell>
          <cell r="F109">
            <v>0</v>
          </cell>
          <cell r="G109">
            <v>2</v>
          </cell>
          <cell r="H109">
            <v>219</v>
          </cell>
          <cell r="I109">
            <v>0</v>
          </cell>
          <cell r="J109">
            <v>0</v>
          </cell>
          <cell r="K109">
            <v>1</v>
          </cell>
          <cell r="L109">
            <v>155</v>
          </cell>
          <cell r="M109">
            <v>0</v>
          </cell>
          <cell r="N109">
            <v>0</v>
          </cell>
          <cell r="O109">
            <v>1</v>
          </cell>
          <cell r="P109">
            <v>155</v>
          </cell>
          <cell r="Q109">
            <v>0</v>
          </cell>
          <cell r="R109">
            <v>0</v>
          </cell>
          <cell r="S109">
            <v>0</v>
          </cell>
          <cell r="T109">
            <v>0</v>
          </cell>
          <cell r="U109">
            <v>1</v>
          </cell>
          <cell r="V109">
            <v>155</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1</v>
          </cell>
          <cell r="AN109">
            <v>155</v>
          </cell>
          <cell r="AO109">
            <v>0</v>
          </cell>
          <cell r="AP109">
            <v>0</v>
          </cell>
          <cell r="AQ109" t="str">
            <v>ORANGE COUNTY NORTHWEST</v>
          </cell>
          <cell r="AR109">
            <v>63</v>
          </cell>
          <cell r="AS109">
            <v>6067</v>
          </cell>
          <cell r="AT109">
            <v>63</v>
          </cell>
          <cell r="AU109">
            <v>6067</v>
          </cell>
          <cell r="AV109">
            <v>63</v>
          </cell>
          <cell r="AW109">
            <v>6067</v>
          </cell>
          <cell r="AX109">
            <v>62</v>
          </cell>
          <cell r="AY109">
            <v>6081</v>
          </cell>
          <cell r="AZ109">
            <v>0</v>
          </cell>
          <cell r="BA109">
            <v>0</v>
          </cell>
        </row>
        <row r="110">
          <cell r="B110" t="str">
            <v>ORANGE COUNTY SOUTH-EAST</v>
          </cell>
          <cell r="C110">
            <v>2</v>
          </cell>
          <cell r="D110">
            <v>551</v>
          </cell>
          <cell r="E110">
            <v>2</v>
          </cell>
          <cell r="F110">
            <v>599</v>
          </cell>
          <cell r="G110">
            <v>9</v>
          </cell>
          <cell r="H110">
            <v>1984</v>
          </cell>
          <cell r="I110">
            <v>2</v>
          </cell>
          <cell r="J110">
            <v>631</v>
          </cell>
          <cell r="K110">
            <v>3</v>
          </cell>
          <cell r="L110">
            <v>993</v>
          </cell>
          <cell r="M110">
            <v>2</v>
          </cell>
          <cell r="N110">
            <v>313</v>
          </cell>
          <cell r="O110">
            <v>5</v>
          </cell>
          <cell r="P110">
            <v>1306</v>
          </cell>
          <cell r="Q110">
            <v>2</v>
          </cell>
          <cell r="R110">
            <v>362</v>
          </cell>
          <cell r="S110">
            <v>1</v>
          </cell>
          <cell r="T110">
            <v>256</v>
          </cell>
          <cell r="U110">
            <v>2</v>
          </cell>
          <cell r="V110">
            <v>474</v>
          </cell>
          <cell r="W110">
            <v>2</v>
          </cell>
          <cell r="X110">
            <v>631</v>
          </cell>
          <cell r="Y110">
            <v>3</v>
          </cell>
          <cell r="Z110">
            <v>563</v>
          </cell>
          <cell r="AA110">
            <v>0</v>
          </cell>
          <cell r="AB110">
            <v>0</v>
          </cell>
          <cell r="AC110">
            <v>0</v>
          </cell>
          <cell r="AD110">
            <v>0</v>
          </cell>
          <cell r="AE110">
            <v>0</v>
          </cell>
          <cell r="AF110">
            <v>0</v>
          </cell>
          <cell r="AG110">
            <v>0</v>
          </cell>
          <cell r="AH110">
            <v>0</v>
          </cell>
          <cell r="AI110">
            <v>3</v>
          </cell>
          <cell r="AJ110">
            <v>563</v>
          </cell>
          <cell r="AK110">
            <v>0</v>
          </cell>
          <cell r="AL110">
            <v>0</v>
          </cell>
          <cell r="AM110">
            <v>2</v>
          </cell>
          <cell r="AN110">
            <v>474</v>
          </cell>
          <cell r="AO110">
            <v>2</v>
          </cell>
          <cell r="AP110">
            <v>631</v>
          </cell>
          <cell r="AQ110" t="str">
            <v>ORANGE COUNTY SOUTH-EAST</v>
          </cell>
          <cell r="AR110">
            <v>87</v>
          </cell>
          <cell r="AS110">
            <v>10808</v>
          </cell>
          <cell r="AT110">
            <v>85</v>
          </cell>
          <cell r="AU110">
            <v>10209</v>
          </cell>
          <cell r="AV110">
            <v>83</v>
          </cell>
          <cell r="AW110">
            <v>9658</v>
          </cell>
          <cell r="AX110">
            <v>102</v>
          </cell>
          <cell r="AY110">
            <v>12093</v>
          </cell>
          <cell r="AZ110">
            <v>1</v>
          </cell>
          <cell r="BA110">
            <v>201</v>
          </cell>
        </row>
        <row r="111">
          <cell r="B111" t="str">
            <v>ORANGE COUNTY SOUTH-WEST</v>
          </cell>
          <cell r="C111">
            <v>1</v>
          </cell>
          <cell r="D111">
            <v>116</v>
          </cell>
          <cell r="E111">
            <v>6</v>
          </cell>
          <cell r="F111">
            <v>1032</v>
          </cell>
          <cell r="G111">
            <v>12</v>
          </cell>
          <cell r="H111">
            <v>1874</v>
          </cell>
          <cell r="I111">
            <v>5</v>
          </cell>
          <cell r="J111">
            <v>868</v>
          </cell>
          <cell r="K111">
            <v>3</v>
          </cell>
          <cell r="L111">
            <v>495</v>
          </cell>
          <cell r="M111">
            <v>1</v>
          </cell>
          <cell r="N111">
            <v>156</v>
          </cell>
          <cell r="O111">
            <v>4</v>
          </cell>
          <cell r="P111">
            <v>651</v>
          </cell>
          <cell r="Q111">
            <v>0</v>
          </cell>
          <cell r="R111">
            <v>0</v>
          </cell>
          <cell r="S111">
            <v>0</v>
          </cell>
          <cell r="T111">
            <v>0</v>
          </cell>
          <cell r="U111">
            <v>1</v>
          </cell>
          <cell r="V111">
            <v>90</v>
          </cell>
          <cell r="W111">
            <v>2</v>
          </cell>
          <cell r="X111">
            <v>405</v>
          </cell>
          <cell r="Y111">
            <v>1</v>
          </cell>
          <cell r="Z111">
            <v>156</v>
          </cell>
          <cell r="AA111">
            <v>0</v>
          </cell>
          <cell r="AB111">
            <v>0</v>
          </cell>
          <cell r="AC111">
            <v>0</v>
          </cell>
          <cell r="AD111">
            <v>0</v>
          </cell>
          <cell r="AE111">
            <v>0</v>
          </cell>
          <cell r="AF111">
            <v>0</v>
          </cell>
          <cell r="AG111">
            <v>0</v>
          </cell>
          <cell r="AH111">
            <v>0</v>
          </cell>
          <cell r="AI111">
            <v>1</v>
          </cell>
          <cell r="AJ111">
            <v>156</v>
          </cell>
          <cell r="AK111">
            <v>0</v>
          </cell>
          <cell r="AL111">
            <v>0</v>
          </cell>
          <cell r="AM111">
            <v>1</v>
          </cell>
          <cell r="AN111">
            <v>90</v>
          </cell>
          <cell r="AO111">
            <v>2</v>
          </cell>
          <cell r="AP111">
            <v>405</v>
          </cell>
          <cell r="AQ111" t="str">
            <v>ORANGE COUNTY SOUTH-WEST</v>
          </cell>
          <cell r="AR111">
            <v>101</v>
          </cell>
          <cell r="AS111">
            <v>13343</v>
          </cell>
          <cell r="AT111">
            <v>95</v>
          </cell>
          <cell r="AU111">
            <v>12311</v>
          </cell>
          <cell r="AV111">
            <v>94</v>
          </cell>
          <cell r="AW111">
            <v>12195</v>
          </cell>
          <cell r="AX111">
            <v>94</v>
          </cell>
          <cell r="AY111">
            <v>12762</v>
          </cell>
          <cell r="AZ111">
            <v>1</v>
          </cell>
          <cell r="BA111">
            <v>156</v>
          </cell>
        </row>
        <row r="112">
          <cell r="B112" t="str">
            <v>ORLANDO CBD</v>
          </cell>
          <cell r="C112">
            <v>2</v>
          </cell>
          <cell r="D112">
            <v>266</v>
          </cell>
          <cell r="E112">
            <v>2</v>
          </cell>
          <cell r="F112">
            <v>372</v>
          </cell>
          <cell r="G112">
            <v>13</v>
          </cell>
          <cell r="H112">
            <v>1864</v>
          </cell>
          <cell r="I112">
            <v>1</v>
          </cell>
          <cell r="J112">
            <v>250</v>
          </cell>
          <cell r="K112">
            <v>1</v>
          </cell>
          <cell r="L112">
            <v>105</v>
          </cell>
          <cell r="M112">
            <v>1</v>
          </cell>
          <cell r="N112">
            <v>350</v>
          </cell>
          <cell r="O112">
            <v>2</v>
          </cell>
          <cell r="P112">
            <v>455</v>
          </cell>
          <cell r="Q112">
            <v>0</v>
          </cell>
          <cell r="R112">
            <v>0</v>
          </cell>
          <cell r="S112">
            <v>0</v>
          </cell>
          <cell r="T112">
            <v>0</v>
          </cell>
          <cell r="U112">
            <v>1</v>
          </cell>
          <cell r="V112">
            <v>105</v>
          </cell>
          <cell r="W112">
            <v>0</v>
          </cell>
          <cell r="X112">
            <v>0</v>
          </cell>
          <cell r="Y112">
            <v>1</v>
          </cell>
          <cell r="Z112">
            <v>350</v>
          </cell>
          <cell r="AA112">
            <v>0</v>
          </cell>
          <cell r="AB112">
            <v>0</v>
          </cell>
          <cell r="AC112">
            <v>0</v>
          </cell>
          <cell r="AD112">
            <v>0</v>
          </cell>
          <cell r="AE112">
            <v>0</v>
          </cell>
          <cell r="AF112">
            <v>0</v>
          </cell>
          <cell r="AG112">
            <v>0</v>
          </cell>
          <cell r="AH112">
            <v>0</v>
          </cell>
          <cell r="AI112">
            <v>1</v>
          </cell>
          <cell r="AJ112">
            <v>350</v>
          </cell>
          <cell r="AK112">
            <v>0</v>
          </cell>
          <cell r="AL112">
            <v>0</v>
          </cell>
          <cell r="AM112">
            <v>1</v>
          </cell>
          <cell r="AN112">
            <v>105</v>
          </cell>
          <cell r="AO112">
            <v>0</v>
          </cell>
          <cell r="AP112">
            <v>0</v>
          </cell>
          <cell r="AQ112" t="str">
            <v>ORLANDO CBD</v>
          </cell>
          <cell r="AR112">
            <v>42</v>
          </cell>
          <cell r="AS112">
            <v>6372</v>
          </cell>
          <cell r="AT112">
            <v>40</v>
          </cell>
          <cell r="AU112">
            <v>6000</v>
          </cell>
          <cell r="AV112">
            <v>38</v>
          </cell>
          <cell r="AW112">
            <v>5734</v>
          </cell>
          <cell r="AX112">
            <v>42</v>
          </cell>
          <cell r="AY112">
            <v>6797</v>
          </cell>
          <cell r="AZ112">
            <v>1</v>
          </cell>
          <cell r="BA112">
            <v>350</v>
          </cell>
        </row>
        <row r="113">
          <cell r="B113" t="str">
            <v>ORLANDO NORTH</v>
          </cell>
          <cell r="C113">
            <v>4</v>
          </cell>
          <cell r="D113">
            <v>438</v>
          </cell>
          <cell r="E113">
            <v>1</v>
          </cell>
          <cell r="F113">
            <v>83</v>
          </cell>
          <cell r="G113">
            <v>17</v>
          </cell>
          <cell r="H113">
            <v>1860</v>
          </cell>
          <cell r="I113">
            <v>1</v>
          </cell>
          <cell r="J113">
            <v>83</v>
          </cell>
          <cell r="K113">
            <v>3</v>
          </cell>
          <cell r="L113">
            <v>538</v>
          </cell>
          <cell r="M113">
            <v>2</v>
          </cell>
          <cell r="N113">
            <v>282</v>
          </cell>
          <cell r="O113">
            <v>5</v>
          </cell>
          <cell r="P113">
            <v>820</v>
          </cell>
          <cell r="Q113">
            <v>3</v>
          </cell>
          <cell r="R113">
            <v>650</v>
          </cell>
          <cell r="S113">
            <v>0</v>
          </cell>
          <cell r="T113">
            <v>0</v>
          </cell>
          <cell r="U113">
            <v>2</v>
          </cell>
          <cell r="V113">
            <v>413</v>
          </cell>
          <cell r="W113">
            <v>2</v>
          </cell>
          <cell r="X113">
            <v>247</v>
          </cell>
          <cell r="Y113">
            <v>3</v>
          </cell>
          <cell r="Z113">
            <v>610</v>
          </cell>
          <cell r="AA113">
            <v>1</v>
          </cell>
          <cell r="AB113">
            <v>200</v>
          </cell>
          <cell r="AC113">
            <v>0</v>
          </cell>
          <cell r="AD113">
            <v>0</v>
          </cell>
          <cell r="AE113">
            <v>0</v>
          </cell>
          <cell r="AF113">
            <v>0</v>
          </cell>
          <cell r="AG113">
            <v>0</v>
          </cell>
          <cell r="AH113">
            <v>0</v>
          </cell>
          <cell r="AI113">
            <v>4</v>
          </cell>
          <cell r="AJ113">
            <v>810</v>
          </cell>
          <cell r="AK113">
            <v>0</v>
          </cell>
          <cell r="AL113">
            <v>0</v>
          </cell>
          <cell r="AM113">
            <v>2</v>
          </cell>
          <cell r="AN113">
            <v>413</v>
          </cell>
          <cell r="AO113">
            <v>2</v>
          </cell>
          <cell r="AP113">
            <v>247</v>
          </cell>
          <cell r="AQ113" t="str">
            <v>ORLANDO NORTH</v>
          </cell>
          <cell r="AR113">
            <v>49</v>
          </cell>
          <cell r="AS113">
            <v>6317</v>
          </cell>
          <cell r="AT113">
            <v>48</v>
          </cell>
          <cell r="AU113">
            <v>6234</v>
          </cell>
          <cell r="AV113">
            <v>44</v>
          </cell>
          <cell r="AW113">
            <v>5796</v>
          </cell>
          <cell r="AX113">
            <v>48</v>
          </cell>
          <cell r="AY113">
            <v>6397</v>
          </cell>
          <cell r="AZ113">
            <v>1</v>
          </cell>
          <cell r="BA113">
            <v>160</v>
          </cell>
        </row>
        <row r="114">
          <cell r="B114" t="str">
            <v>ORLANDO SOUTH</v>
          </cell>
          <cell r="C114">
            <v>1</v>
          </cell>
          <cell r="D114">
            <v>95</v>
          </cell>
          <cell r="E114">
            <v>1</v>
          </cell>
          <cell r="F114">
            <v>74</v>
          </cell>
          <cell r="G114">
            <v>14</v>
          </cell>
          <cell r="H114">
            <v>1796</v>
          </cell>
          <cell r="I114">
            <v>1</v>
          </cell>
          <cell r="J114">
            <v>74</v>
          </cell>
          <cell r="K114">
            <v>1</v>
          </cell>
          <cell r="L114">
            <v>136</v>
          </cell>
          <cell r="M114">
            <v>3</v>
          </cell>
          <cell r="N114">
            <v>320</v>
          </cell>
          <cell r="O114">
            <v>4</v>
          </cell>
          <cell r="P114">
            <v>456</v>
          </cell>
          <cell r="Q114">
            <v>2</v>
          </cell>
          <cell r="R114">
            <v>325</v>
          </cell>
          <cell r="S114">
            <v>0</v>
          </cell>
          <cell r="T114">
            <v>0</v>
          </cell>
          <cell r="U114">
            <v>1</v>
          </cell>
          <cell r="V114">
            <v>136</v>
          </cell>
          <cell r="W114">
            <v>2</v>
          </cell>
          <cell r="X114">
            <v>220</v>
          </cell>
          <cell r="Y114">
            <v>2</v>
          </cell>
          <cell r="Z114">
            <v>225</v>
          </cell>
          <cell r="AA114">
            <v>1</v>
          </cell>
          <cell r="AB114">
            <v>200</v>
          </cell>
          <cell r="AC114">
            <v>0</v>
          </cell>
          <cell r="AD114">
            <v>0</v>
          </cell>
          <cell r="AE114">
            <v>0</v>
          </cell>
          <cell r="AF114">
            <v>0</v>
          </cell>
          <cell r="AG114">
            <v>0</v>
          </cell>
          <cell r="AH114">
            <v>0</v>
          </cell>
          <cell r="AI114">
            <v>3</v>
          </cell>
          <cell r="AJ114">
            <v>425</v>
          </cell>
          <cell r="AK114">
            <v>0</v>
          </cell>
          <cell r="AL114">
            <v>0</v>
          </cell>
          <cell r="AM114">
            <v>1</v>
          </cell>
          <cell r="AN114">
            <v>136</v>
          </cell>
          <cell r="AO114">
            <v>2</v>
          </cell>
          <cell r="AP114">
            <v>220</v>
          </cell>
          <cell r="AQ114" t="str">
            <v>ORLANDO SOUTH</v>
          </cell>
          <cell r="AR114">
            <v>55</v>
          </cell>
          <cell r="AS114">
            <v>9598</v>
          </cell>
          <cell r="AT114">
            <v>54</v>
          </cell>
          <cell r="AU114">
            <v>9524</v>
          </cell>
          <cell r="AV114">
            <v>53</v>
          </cell>
          <cell r="AW114">
            <v>9429</v>
          </cell>
          <cell r="AX114">
            <v>53</v>
          </cell>
          <cell r="AY114">
            <v>9574</v>
          </cell>
          <cell r="AZ114">
            <v>1</v>
          </cell>
          <cell r="BA114">
            <v>100</v>
          </cell>
        </row>
        <row r="115">
          <cell r="B115" t="str">
            <v>ORLANDO-INTERNATIONAL DRIVE</v>
          </cell>
          <cell r="C115">
            <v>9</v>
          </cell>
          <cell r="D115">
            <v>2312</v>
          </cell>
          <cell r="E115">
            <v>6</v>
          </cell>
          <cell r="F115">
            <v>1450</v>
          </cell>
          <cell r="G115">
            <v>36</v>
          </cell>
          <cell r="H115">
            <v>7327</v>
          </cell>
          <cell r="I115">
            <v>5</v>
          </cell>
          <cell r="J115">
            <v>950</v>
          </cell>
          <cell r="K115">
            <v>7</v>
          </cell>
          <cell r="L115">
            <v>3311</v>
          </cell>
          <cell r="M115">
            <v>8</v>
          </cell>
          <cell r="N115">
            <v>5415</v>
          </cell>
          <cell r="O115">
            <v>15</v>
          </cell>
          <cell r="P115">
            <v>8726</v>
          </cell>
          <cell r="Q115">
            <v>2</v>
          </cell>
          <cell r="R115">
            <v>1720</v>
          </cell>
          <cell r="S115">
            <v>1</v>
          </cell>
          <cell r="T115">
            <v>350</v>
          </cell>
          <cell r="U115">
            <v>3</v>
          </cell>
          <cell r="V115">
            <v>602</v>
          </cell>
          <cell r="W115">
            <v>5</v>
          </cell>
          <cell r="X115">
            <v>1162</v>
          </cell>
          <cell r="Y115">
            <v>6</v>
          </cell>
          <cell r="Z115">
            <v>4782</v>
          </cell>
          <cell r="AA115">
            <v>3</v>
          </cell>
          <cell r="AB115">
            <v>3900</v>
          </cell>
          <cell r="AC115">
            <v>0</v>
          </cell>
          <cell r="AD115">
            <v>0</v>
          </cell>
          <cell r="AE115">
            <v>0</v>
          </cell>
          <cell r="AF115">
            <v>0</v>
          </cell>
          <cell r="AG115">
            <v>0</v>
          </cell>
          <cell r="AH115">
            <v>0</v>
          </cell>
          <cell r="AI115">
            <v>9</v>
          </cell>
          <cell r="AJ115">
            <v>8682</v>
          </cell>
          <cell r="AK115">
            <v>0</v>
          </cell>
          <cell r="AL115">
            <v>0</v>
          </cell>
          <cell r="AM115">
            <v>3</v>
          </cell>
          <cell r="AN115">
            <v>602</v>
          </cell>
          <cell r="AO115">
            <v>5</v>
          </cell>
          <cell r="AP115">
            <v>1162</v>
          </cell>
          <cell r="AQ115" t="str">
            <v>ORLANDO-INTERNATIONAL DRIVE</v>
          </cell>
          <cell r="AR115">
            <v>106</v>
          </cell>
          <cell r="AS115">
            <v>34125</v>
          </cell>
          <cell r="AT115">
            <v>100</v>
          </cell>
          <cell r="AU115">
            <v>32675</v>
          </cell>
          <cell r="AV115">
            <v>91</v>
          </cell>
          <cell r="AW115">
            <v>30363</v>
          </cell>
          <cell r="AX115">
            <v>102</v>
          </cell>
          <cell r="AY115">
            <v>32860</v>
          </cell>
          <cell r="AZ115">
            <v>7</v>
          </cell>
          <cell r="BA115">
            <v>6962</v>
          </cell>
        </row>
        <row r="116">
          <cell r="B116" t="str">
            <v>ORLANDO-OTHER</v>
          </cell>
          <cell r="C116">
            <v>4</v>
          </cell>
          <cell r="D116">
            <v>438</v>
          </cell>
          <cell r="E116">
            <v>1</v>
          </cell>
          <cell r="F116">
            <v>83</v>
          </cell>
          <cell r="G116">
            <v>20</v>
          </cell>
          <cell r="H116">
            <v>2243</v>
          </cell>
          <cell r="I116">
            <v>1</v>
          </cell>
          <cell r="J116">
            <v>83</v>
          </cell>
          <cell r="K116">
            <v>3</v>
          </cell>
          <cell r="L116">
            <v>538</v>
          </cell>
          <cell r="M116">
            <v>2</v>
          </cell>
          <cell r="N116">
            <v>282</v>
          </cell>
          <cell r="O116">
            <v>5</v>
          </cell>
          <cell r="P116">
            <v>820</v>
          </cell>
          <cell r="Q116">
            <v>3</v>
          </cell>
          <cell r="R116">
            <v>650</v>
          </cell>
          <cell r="S116">
            <v>0</v>
          </cell>
          <cell r="T116">
            <v>0</v>
          </cell>
          <cell r="U116">
            <v>2</v>
          </cell>
          <cell r="V116">
            <v>413</v>
          </cell>
          <cell r="W116">
            <v>2</v>
          </cell>
          <cell r="X116">
            <v>247</v>
          </cell>
          <cell r="Y116">
            <v>3</v>
          </cell>
          <cell r="Z116">
            <v>610</v>
          </cell>
          <cell r="AA116">
            <v>1</v>
          </cell>
          <cell r="AB116">
            <v>200</v>
          </cell>
          <cell r="AC116">
            <v>0</v>
          </cell>
          <cell r="AD116">
            <v>0</v>
          </cell>
          <cell r="AE116">
            <v>0</v>
          </cell>
          <cell r="AF116">
            <v>0</v>
          </cell>
          <cell r="AG116">
            <v>0</v>
          </cell>
          <cell r="AH116">
            <v>0</v>
          </cell>
          <cell r="AI116">
            <v>4</v>
          </cell>
          <cell r="AJ116">
            <v>810</v>
          </cell>
          <cell r="AK116">
            <v>0</v>
          </cell>
          <cell r="AL116">
            <v>0</v>
          </cell>
          <cell r="AM116">
            <v>2</v>
          </cell>
          <cell r="AN116">
            <v>413</v>
          </cell>
          <cell r="AO116">
            <v>2</v>
          </cell>
          <cell r="AP116">
            <v>247</v>
          </cell>
          <cell r="AQ116" t="str">
            <v>ORLANDO-OTHER</v>
          </cell>
          <cell r="AR116">
            <v>83</v>
          </cell>
          <cell r="AS116">
            <v>16790</v>
          </cell>
          <cell r="AT116">
            <v>82</v>
          </cell>
          <cell r="AU116">
            <v>16707</v>
          </cell>
          <cell r="AV116">
            <v>78</v>
          </cell>
          <cell r="AW116">
            <v>16269</v>
          </cell>
          <cell r="AX116">
            <v>84</v>
          </cell>
          <cell r="AY116">
            <v>17765</v>
          </cell>
          <cell r="AZ116">
            <v>1</v>
          </cell>
          <cell r="BA116">
            <v>160</v>
          </cell>
        </row>
        <row r="117">
          <cell r="B117" t="str">
            <v>PASADENA/GLENDALE/BURBANK</v>
          </cell>
          <cell r="C117">
            <v>1</v>
          </cell>
          <cell r="D117">
            <v>310</v>
          </cell>
          <cell r="E117">
            <v>0</v>
          </cell>
          <cell r="F117">
            <v>0</v>
          </cell>
          <cell r="G117">
            <v>3</v>
          </cell>
          <cell r="H117">
            <v>536</v>
          </cell>
          <cell r="I117">
            <v>1</v>
          </cell>
          <cell r="J117">
            <v>140</v>
          </cell>
          <cell r="K117">
            <v>1</v>
          </cell>
          <cell r="L117">
            <v>190</v>
          </cell>
          <cell r="M117">
            <v>2</v>
          </cell>
          <cell r="N117">
            <v>530</v>
          </cell>
          <cell r="O117">
            <v>3</v>
          </cell>
          <cell r="P117">
            <v>720</v>
          </cell>
          <cell r="Q117">
            <v>1</v>
          </cell>
          <cell r="R117">
            <v>200</v>
          </cell>
          <cell r="S117">
            <v>1</v>
          </cell>
          <cell r="T117">
            <v>140</v>
          </cell>
          <cell r="U117">
            <v>1</v>
          </cell>
          <cell r="V117">
            <v>190</v>
          </cell>
          <cell r="W117">
            <v>0</v>
          </cell>
          <cell r="X117">
            <v>0</v>
          </cell>
          <cell r="Y117">
            <v>3</v>
          </cell>
          <cell r="Z117">
            <v>730</v>
          </cell>
          <cell r="AA117">
            <v>0</v>
          </cell>
          <cell r="AB117">
            <v>0</v>
          </cell>
          <cell r="AC117">
            <v>0</v>
          </cell>
          <cell r="AD117">
            <v>0</v>
          </cell>
          <cell r="AE117">
            <v>0</v>
          </cell>
          <cell r="AF117">
            <v>0</v>
          </cell>
          <cell r="AG117">
            <v>0</v>
          </cell>
          <cell r="AH117">
            <v>0</v>
          </cell>
          <cell r="AI117">
            <v>3</v>
          </cell>
          <cell r="AJ117">
            <v>730</v>
          </cell>
          <cell r="AK117">
            <v>0</v>
          </cell>
          <cell r="AL117">
            <v>0</v>
          </cell>
          <cell r="AM117">
            <v>1</v>
          </cell>
          <cell r="AN117">
            <v>190</v>
          </cell>
          <cell r="AO117">
            <v>0</v>
          </cell>
          <cell r="AP117">
            <v>0</v>
          </cell>
          <cell r="AQ117" t="str">
            <v>PASADENA/GLENDALE/BURBANK</v>
          </cell>
          <cell r="AR117">
            <v>44</v>
          </cell>
          <cell r="AS117">
            <v>4609</v>
          </cell>
          <cell r="AT117">
            <v>44</v>
          </cell>
          <cell r="AU117">
            <v>4609</v>
          </cell>
          <cell r="AV117">
            <v>43</v>
          </cell>
          <cell r="AW117">
            <v>4299</v>
          </cell>
          <cell r="AX117">
            <v>43</v>
          </cell>
          <cell r="AY117">
            <v>5036</v>
          </cell>
          <cell r="AZ117">
            <v>2</v>
          </cell>
          <cell r="BA117">
            <v>530</v>
          </cell>
        </row>
        <row r="118">
          <cell r="B118" t="str">
            <v>PHILA AIRPORT/STADIUM</v>
          </cell>
          <cell r="C118">
            <v>0</v>
          </cell>
          <cell r="D118">
            <v>0</v>
          </cell>
          <cell r="E118">
            <v>0</v>
          </cell>
          <cell r="F118">
            <v>0</v>
          </cell>
          <cell r="G118">
            <v>5</v>
          </cell>
          <cell r="H118">
            <v>620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t="str">
            <v>PHILA AIRPORT/STADIUM</v>
          </cell>
          <cell r="AR118">
            <v>26</v>
          </cell>
          <cell r="AS118">
            <v>4834</v>
          </cell>
          <cell r="AT118">
            <v>26</v>
          </cell>
          <cell r="AU118">
            <v>4834</v>
          </cell>
          <cell r="AV118">
            <v>26</v>
          </cell>
          <cell r="AW118">
            <v>4834</v>
          </cell>
          <cell r="AX118">
            <v>23</v>
          </cell>
          <cell r="AY118">
            <v>4470</v>
          </cell>
          <cell r="AZ118">
            <v>0</v>
          </cell>
          <cell r="BA118">
            <v>0</v>
          </cell>
        </row>
        <row r="119">
          <cell r="B119" t="str">
            <v>PHILA CENTER CITY</v>
          </cell>
          <cell r="C119">
            <v>5</v>
          </cell>
          <cell r="D119">
            <v>1848</v>
          </cell>
          <cell r="E119">
            <v>2</v>
          </cell>
          <cell r="F119">
            <v>274</v>
          </cell>
          <cell r="G119">
            <v>12</v>
          </cell>
          <cell r="H119">
            <v>3555</v>
          </cell>
          <cell r="I119">
            <v>1</v>
          </cell>
          <cell r="J119">
            <v>250</v>
          </cell>
          <cell r="K119">
            <v>1</v>
          </cell>
          <cell r="L119">
            <v>269</v>
          </cell>
          <cell r="M119">
            <v>0</v>
          </cell>
          <cell r="N119">
            <v>0</v>
          </cell>
          <cell r="O119">
            <v>1</v>
          </cell>
          <cell r="P119">
            <v>269</v>
          </cell>
          <cell r="Q119">
            <v>1</v>
          </cell>
          <cell r="R119">
            <v>360</v>
          </cell>
          <cell r="S119">
            <v>0</v>
          </cell>
          <cell r="T119">
            <v>0</v>
          </cell>
          <cell r="U119">
            <v>1</v>
          </cell>
          <cell r="V119">
            <v>269</v>
          </cell>
          <cell r="W119">
            <v>0</v>
          </cell>
          <cell r="X119">
            <v>0</v>
          </cell>
          <cell r="Y119">
            <v>1</v>
          </cell>
          <cell r="Z119">
            <v>360</v>
          </cell>
          <cell r="AA119">
            <v>0</v>
          </cell>
          <cell r="AB119">
            <v>0</v>
          </cell>
          <cell r="AC119">
            <v>0</v>
          </cell>
          <cell r="AD119">
            <v>0</v>
          </cell>
          <cell r="AE119">
            <v>0</v>
          </cell>
          <cell r="AF119">
            <v>0</v>
          </cell>
          <cell r="AG119">
            <v>0</v>
          </cell>
          <cell r="AH119">
            <v>0</v>
          </cell>
          <cell r="AI119">
            <v>1</v>
          </cell>
          <cell r="AJ119">
            <v>360</v>
          </cell>
          <cell r="AK119">
            <v>0</v>
          </cell>
          <cell r="AL119">
            <v>0</v>
          </cell>
          <cell r="AM119">
            <v>1</v>
          </cell>
          <cell r="AN119">
            <v>269</v>
          </cell>
          <cell r="AO119">
            <v>0</v>
          </cell>
          <cell r="AP119">
            <v>0</v>
          </cell>
          <cell r="AQ119" t="str">
            <v>PHILA CENTER CITY</v>
          </cell>
          <cell r="AR119">
            <v>42</v>
          </cell>
          <cell r="AS119">
            <v>11464</v>
          </cell>
          <cell r="AT119">
            <v>40</v>
          </cell>
          <cell r="AU119">
            <v>11190</v>
          </cell>
          <cell r="AV119">
            <v>35</v>
          </cell>
          <cell r="AW119">
            <v>9342</v>
          </cell>
          <cell r="AX119">
            <v>37</v>
          </cell>
          <cell r="AY119">
            <v>10862</v>
          </cell>
          <cell r="AZ119">
            <v>0</v>
          </cell>
          <cell r="BA119">
            <v>0</v>
          </cell>
        </row>
        <row r="120">
          <cell r="B120" t="str">
            <v>PHILA NORTHEAST-LOWER BUCKS</v>
          </cell>
          <cell r="C120">
            <v>0</v>
          </cell>
          <cell r="D120">
            <v>0</v>
          </cell>
          <cell r="E120">
            <v>0</v>
          </cell>
          <cell r="F120">
            <v>0</v>
          </cell>
          <cell r="G120">
            <v>2</v>
          </cell>
          <cell r="H120">
            <v>165</v>
          </cell>
          <cell r="I120">
            <v>1</v>
          </cell>
          <cell r="J120">
            <v>64</v>
          </cell>
          <cell r="K120">
            <v>1</v>
          </cell>
          <cell r="L120">
            <v>118</v>
          </cell>
          <cell r="M120">
            <v>0</v>
          </cell>
          <cell r="N120">
            <v>0</v>
          </cell>
          <cell r="O120">
            <v>1</v>
          </cell>
          <cell r="P120">
            <v>118</v>
          </cell>
          <cell r="Q120">
            <v>0</v>
          </cell>
          <cell r="R120">
            <v>0</v>
          </cell>
          <cell r="S120">
            <v>1</v>
          </cell>
          <cell r="T120">
            <v>64</v>
          </cell>
          <cell r="U120">
            <v>1</v>
          </cell>
          <cell r="V120">
            <v>118</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1</v>
          </cell>
          <cell r="AN120">
            <v>118</v>
          </cell>
          <cell r="AO120">
            <v>0</v>
          </cell>
          <cell r="AP120">
            <v>0</v>
          </cell>
          <cell r="AQ120" t="str">
            <v>PHILA NORTHEAST-LOWER BUCKS</v>
          </cell>
          <cell r="AR120">
            <v>21</v>
          </cell>
          <cell r="AS120">
            <v>2648</v>
          </cell>
          <cell r="AT120">
            <v>21</v>
          </cell>
          <cell r="AU120">
            <v>2648</v>
          </cell>
          <cell r="AV120">
            <v>21</v>
          </cell>
          <cell r="AW120">
            <v>2648</v>
          </cell>
          <cell r="AX120">
            <v>28</v>
          </cell>
          <cell r="AY120">
            <v>3076</v>
          </cell>
          <cell r="AZ120">
            <v>0</v>
          </cell>
          <cell r="BA120">
            <v>0</v>
          </cell>
        </row>
        <row r="121">
          <cell r="B121" t="str">
            <v>PHILA NORTHERN SUBURBS</v>
          </cell>
          <cell r="C121">
            <v>0</v>
          </cell>
          <cell r="D121">
            <v>0</v>
          </cell>
          <cell r="E121">
            <v>4</v>
          </cell>
          <cell r="F121">
            <v>474</v>
          </cell>
          <cell r="G121">
            <v>14</v>
          </cell>
          <cell r="H121">
            <v>1757</v>
          </cell>
          <cell r="I121">
            <v>6</v>
          </cell>
          <cell r="J121">
            <v>799</v>
          </cell>
          <cell r="K121">
            <v>0</v>
          </cell>
          <cell r="L121">
            <v>0</v>
          </cell>
          <cell r="M121">
            <v>4</v>
          </cell>
          <cell r="N121">
            <v>469</v>
          </cell>
          <cell r="O121">
            <v>4</v>
          </cell>
          <cell r="P121">
            <v>469</v>
          </cell>
          <cell r="Q121">
            <v>3</v>
          </cell>
          <cell r="R121">
            <v>304</v>
          </cell>
          <cell r="S121">
            <v>2</v>
          </cell>
          <cell r="T121">
            <v>325</v>
          </cell>
          <cell r="U121">
            <v>0</v>
          </cell>
          <cell r="V121">
            <v>0</v>
          </cell>
          <cell r="W121">
            <v>3</v>
          </cell>
          <cell r="X121">
            <v>331</v>
          </cell>
          <cell r="Y121">
            <v>4</v>
          </cell>
          <cell r="Z121">
            <v>442</v>
          </cell>
          <cell r="AA121">
            <v>0</v>
          </cell>
          <cell r="AB121">
            <v>0</v>
          </cell>
          <cell r="AC121">
            <v>0</v>
          </cell>
          <cell r="AD121">
            <v>0</v>
          </cell>
          <cell r="AE121">
            <v>0</v>
          </cell>
          <cell r="AF121">
            <v>0</v>
          </cell>
          <cell r="AG121">
            <v>0</v>
          </cell>
          <cell r="AH121">
            <v>0</v>
          </cell>
          <cell r="AI121">
            <v>4</v>
          </cell>
          <cell r="AJ121">
            <v>442</v>
          </cell>
          <cell r="AK121">
            <v>0</v>
          </cell>
          <cell r="AL121">
            <v>0</v>
          </cell>
          <cell r="AM121">
            <v>0</v>
          </cell>
          <cell r="AN121">
            <v>0</v>
          </cell>
          <cell r="AO121">
            <v>3</v>
          </cell>
          <cell r="AP121">
            <v>331</v>
          </cell>
          <cell r="AQ121" t="str">
            <v>PHILA NORTHERN SUBURBS</v>
          </cell>
          <cell r="AR121">
            <v>46</v>
          </cell>
          <cell r="AS121">
            <v>5130</v>
          </cell>
          <cell r="AT121">
            <v>42</v>
          </cell>
          <cell r="AU121">
            <v>4656</v>
          </cell>
          <cell r="AV121">
            <v>42</v>
          </cell>
          <cell r="AW121">
            <v>4656</v>
          </cell>
          <cell r="AX121">
            <v>54</v>
          </cell>
          <cell r="AY121">
            <v>4492</v>
          </cell>
          <cell r="AZ121">
            <v>1</v>
          </cell>
          <cell r="BA121">
            <v>138</v>
          </cell>
        </row>
        <row r="122">
          <cell r="B122" t="str">
            <v>PHILA WESTERN SUBURBS</v>
          </cell>
          <cell r="C122">
            <v>5</v>
          </cell>
          <cell r="D122">
            <v>625</v>
          </cell>
          <cell r="E122">
            <v>2</v>
          </cell>
          <cell r="F122">
            <v>229</v>
          </cell>
          <cell r="G122">
            <v>15</v>
          </cell>
          <cell r="H122">
            <v>1684</v>
          </cell>
          <cell r="I122">
            <v>2</v>
          </cell>
          <cell r="J122">
            <v>229</v>
          </cell>
          <cell r="K122">
            <v>0</v>
          </cell>
          <cell r="L122">
            <v>0</v>
          </cell>
          <cell r="M122">
            <v>3</v>
          </cell>
          <cell r="N122">
            <v>520</v>
          </cell>
          <cell r="O122">
            <v>3</v>
          </cell>
          <cell r="P122">
            <v>520</v>
          </cell>
          <cell r="Q122">
            <v>0</v>
          </cell>
          <cell r="R122">
            <v>0</v>
          </cell>
          <cell r="S122">
            <v>0</v>
          </cell>
          <cell r="T122">
            <v>0</v>
          </cell>
          <cell r="U122">
            <v>0</v>
          </cell>
          <cell r="V122">
            <v>0</v>
          </cell>
          <cell r="W122">
            <v>2</v>
          </cell>
          <cell r="X122">
            <v>245</v>
          </cell>
          <cell r="Y122">
            <v>1</v>
          </cell>
          <cell r="Z122">
            <v>275</v>
          </cell>
          <cell r="AA122">
            <v>0</v>
          </cell>
          <cell r="AB122">
            <v>0</v>
          </cell>
          <cell r="AC122">
            <v>0</v>
          </cell>
          <cell r="AD122">
            <v>0</v>
          </cell>
          <cell r="AE122">
            <v>0</v>
          </cell>
          <cell r="AF122">
            <v>0</v>
          </cell>
          <cell r="AG122">
            <v>0</v>
          </cell>
          <cell r="AH122">
            <v>0</v>
          </cell>
          <cell r="AI122">
            <v>1</v>
          </cell>
          <cell r="AJ122">
            <v>275</v>
          </cell>
          <cell r="AK122">
            <v>0</v>
          </cell>
          <cell r="AL122">
            <v>0</v>
          </cell>
          <cell r="AM122">
            <v>0</v>
          </cell>
          <cell r="AN122">
            <v>0</v>
          </cell>
          <cell r="AO122">
            <v>2</v>
          </cell>
          <cell r="AP122">
            <v>245</v>
          </cell>
          <cell r="AQ122" t="str">
            <v>PHILA WESTERN SUBURBS</v>
          </cell>
          <cell r="AR122">
            <v>57</v>
          </cell>
          <cell r="AS122">
            <v>8332</v>
          </cell>
          <cell r="AT122">
            <v>55</v>
          </cell>
          <cell r="AU122">
            <v>8103</v>
          </cell>
          <cell r="AV122">
            <v>50</v>
          </cell>
          <cell r="AW122">
            <v>7478</v>
          </cell>
          <cell r="AX122">
            <v>60</v>
          </cell>
          <cell r="AY122">
            <v>8063</v>
          </cell>
          <cell r="AZ122">
            <v>1</v>
          </cell>
          <cell r="BA122">
            <v>275</v>
          </cell>
        </row>
        <row r="123">
          <cell r="B123" t="str">
            <v>PHOENIX AIRPORT</v>
          </cell>
          <cell r="C123">
            <v>3</v>
          </cell>
          <cell r="D123">
            <v>493</v>
          </cell>
          <cell r="E123">
            <v>0</v>
          </cell>
          <cell r="F123">
            <v>0</v>
          </cell>
          <cell r="G123">
            <v>8</v>
          </cell>
          <cell r="H123">
            <v>1400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t="str">
            <v>PHOENIX AIRPORT</v>
          </cell>
          <cell r="AR123">
            <v>32</v>
          </cell>
          <cell r="AS123">
            <v>4607</v>
          </cell>
          <cell r="AT123">
            <v>32</v>
          </cell>
          <cell r="AU123">
            <v>4607</v>
          </cell>
          <cell r="AV123">
            <v>29</v>
          </cell>
          <cell r="AW123">
            <v>4114</v>
          </cell>
          <cell r="AX123">
            <v>30</v>
          </cell>
          <cell r="AY123">
            <v>4447</v>
          </cell>
          <cell r="AZ123">
            <v>0</v>
          </cell>
          <cell r="BA123">
            <v>0</v>
          </cell>
        </row>
        <row r="124">
          <cell r="B124" t="str">
            <v>PHOENIX EAST</v>
          </cell>
          <cell r="C124">
            <v>0</v>
          </cell>
          <cell r="D124">
            <v>0</v>
          </cell>
          <cell r="E124">
            <v>1</v>
          </cell>
          <cell r="F124">
            <v>121</v>
          </cell>
          <cell r="G124">
            <v>9</v>
          </cell>
          <cell r="H124">
            <v>1017</v>
          </cell>
          <cell r="I124">
            <v>2</v>
          </cell>
          <cell r="J124">
            <v>228</v>
          </cell>
          <cell r="K124">
            <v>0</v>
          </cell>
          <cell r="L124">
            <v>0</v>
          </cell>
          <cell r="M124">
            <v>2</v>
          </cell>
          <cell r="N124">
            <v>280</v>
          </cell>
          <cell r="O124">
            <v>2</v>
          </cell>
          <cell r="P124">
            <v>280</v>
          </cell>
          <cell r="Q124">
            <v>1</v>
          </cell>
          <cell r="R124">
            <v>300</v>
          </cell>
          <cell r="S124">
            <v>1</v>
          </cell>
          <cell r="T124">
            <v>107</v>
          </cell>
          <cell r="U124">
            <v>0</v>
          </cell>
          <cell r="V124">
            <v>0</v>
          </cell>
          <cell r="W124">
            <v>1</v>
          </cell>
          <cell r="X124">
            <v>80</v>
          </cell>
          <cell r="Y124">
            <v>2</v>
          </cell>
          <cell r="Z124">
            <v>500</v>
          </cell>
          <cell r="AA124">
            <v>0</v>
          </cell>
          <cell r="AB124">
            <v>0</v>
          </cell>
          <cell r="AC124">
            <v>0</v>
          </cell>
          <cell r="AD124">
            <v>0</v>
          </cell>
          <cell r="AE124">
            <v>0</v>
          </cell>
          <cell r="AF124">
            <v>0</v>
          </cell>
          <cell r="AG124">
            <v>0</v>
          </cell>
          <cell r="AH124">
            <v>0</v>
          </cell>
          <cell r="AI124">
            <v>2</v>
          </cell>
          <cell r="AJ124">
            <v>500</v>
          </cell>
          <cell r="AK124">
            <v>0</v>
          </cell>
          <cell r="AL124">
            <v>0</v>
          </cell>
          <cell r="AM124">
            <v>0</v>
          </cell>
          <cell r="AN124">
            <v>0</v>
          </cell>
          <cell r="AO124">
            <v>1</v>
          </cell>
          <cell r="AP124">
            <v>80</v>
          </cell>
          <cell r="AQ124" t="str">
            <v>PHOENIX EAST</v>
          </cell>
          <cell r="AR124">
            <v>40</v>
          </cell>
          <cell r="AS124">
            <v>8468</v>
          </cell>
          <cell r="AT124">
            <v>39</v>
          </cell>
          <cell r="AU124">
            <v>8347</v>
          </cell>
          <cell r="AV124">
            <v>39</v>
          </cell>
          <cell r="AW124">
            <v>8347</v>
          </cell>
          <cell r="AX124">
            <v>38</v>
          </cell>
          <cell r="AY124">
            <v>8339</v>
          </cell>
          <cell r="AZ124">
            <v>1</v>
          </cell>
          <cell r="BA124">
            <v>200</v>
          </cell>
        </row>
        <row r="125">
          <cell r="B125" t="str">
            <v>PHOENIX WEST</v>
          </cell>
          <cell r="C125">
            <v>2</v>
          </cell>
          <cell r="D125">
            <v>236</v>
          </cell>
          <cell r="E125">
            <v>3</v>
          </cell>
          <cell r="F125">
            <v>295</v>
          </cell>
          <cell r="G125">
            <v>37</v>
          </cell>
          <cell r="H125">
            <v>4080</v>
          </cell>
          <cell r="I125">
            <v>3</v>
          </cell>
          <cell r="J125">
            <v>295</v>
          </cell>
          <cell r="K125">
            <v>1</v>
          </cell>
          <cell r="L125">
            <v>950</v>
          </cell>
          <cell r="M125">
            <v>1</v>
          </cell>
          <cell r="N125">
            <v>75</v>
          </cell>
          <cell r="O125">
            <v>2</v>
          </cell>
          <cell r="P125">
            <v>1025</v>
          </cell>
          <cell r="Q125">
            <v>2</v>
          </cell>
          <cell r="R125">
            <v>164</v>
          </cell>
          <cell r="S125">
            <v>0</v>
          </cell>
          <cell r="T125">
            <v>0</v>
          </cell>
          <cell r="U125">
            <v>0</v>
          </cell>
          <cell r="V125">
            <v>0</v>
          </cell>
          <cell r="W125">
            <v>2</v>
          </cell>
          <cell r="X125">
            <v>1050</v>
          </cell>
          <cell r="Y125">
            <v>2</v>
          </cell>
          <cell r="Z125">
            <v>139</v>
          </cell>
          <cell r="AA125">
            <v>0</v>
          </cell>
          <cell r="AB125">
            <v>0</v>
          </cell>
          <cell r="AC125">
            <v>0</v>
          </cell>
          <cell r="AD125">
            <v>0</v>
          </cell>
          <cell r="AE125">
            <v>0</v>
          </cell>
          <cell r="AF125">
            <v>0</v>
          </cell>
          <cell r="AG125">
            <v>0</v>
          </cell>
          <cell r="AH125">
            <v>0</v>
          </cell>
          <cell r="AI125">
            <v>2</v>
          </cell>
          <cell r="AJ125">
            <v>139</v>
          </cell>
          <cell r="AK125">
            <v>0</v>
          </cell>
          <cell r="AL125">
            <v>0</v>
          </cell>
          <cell r="AM125">
            <v>0</v>
          </cell>
          <cell r="AN125">
            <v>0</v>
          </cell>
          <cell r="AO125">
            <v>1</v>
          </cell>
          <cell r="AP125">
            <v>950</v>
          </cell>
          <cell r="AQ125" t="str">
            <v>PHOENIX WEST</v>
          </cell>
          <cell r="AR125">
            <v>108</v>
          </cell>
          <cell r="AS125">
            <v>13450</v>
          </cell>
          <cell r="AT125">
            <v>105</v>
          </cell>
          <cell r="AU125">
            <v>13155</v>
          </cell>
          <cell r="AV125">
            <v>103</v>
          </cell>
          <cell r="AW125">
            <v>12919</v>
          </cell>
          <cell r="AX125">
            <v>102</v>
          </cell>
          <cell r="AY125">
            <v>12580</v>
          </cell>
          <cell r="AZ125">
            <v>1</v>
          </cell>
          <cell r="BA125">
            <v>75</v>
          </cell>
        </row>
        <row r="126">
          <cell r="B126" t="str">
            <v>PLANO/RICHARDSON</v>
          </cell>
          <cell r="C126">
            <v>4</v>
          </cell>
          <cell r="D126">
            <v>300</v>
          </cell>
          <cell r="E126">
            <v>2</v>
          </cell>
          <cell r="F126">
            <v>741</v>
          </cell>
          <cell r="G126">
            <v>24</v>
          </cell>
          <cell r="H126">
            <v>3033</v>
          </cell>
          <cell r="I126">
            <v>1</v>
          </cell>
          <cell r="J126">
            <v>337</v>
          </cell>
          <cell r="K126">
            <v>0</v>
          </cell>
          <cell r="L126">
            <v>0</v>
          </cell>
          <cell r="M126">
            <v>1</v>
          </cell>
          <cell r="N126">
            <v>125</v>
          </cell>
          <cell r="O126">
            <v>1</v>
          </cell>
          <cell r="P126">
            <v>125</v>
          </cell>
          <cell r="Q126">
            <v>1</v>
          </cell>
          <cell r="R126">
            <v>102</v>
          </cell>
          <cell r="S126">
            <v>0</v>
          </cell>
          <cell r="T126">
            <v>0</v>
          </cell>
          <cell r="U126">
            <v>0</v>
          </cell>
          <cell r="V126">
            <v>0</v>
          </cell>
          <cell r="W126">
            <v>1</v>
          </cell>
          <cell r="X126">
            <v>125</v>
          </cell>
          <cell r="Y126">
            <v>1</v>
          </cell>
          <cell r="Z126">
            <v>102</v>
          </cell>
          <cell r="AA126">
            <v>0</v>
          </cell>
          <cell r="AB126">
            <v>0</v>
          </cell>
          <cell r="AC126">
            <v>0</v>
          </cell>
          <cell r="AD126">
            <v>0</v>
          </cell>
          <cell r="AE126">
            <v>0</v>
          </cell>
          <cell r="AF126">
            <v>0</v>
          </cell>
          <cell r="AG126">
            <v>0</v>
          </cell>
          <cell r="AH126">
            <v>0</v>
          </cell>
          <cell r="AI126">
            <v>1</v>
          </cell>
          <cell r="AJ126">
            <v>102</v>
          </cell>
          <cell r="AK126">
            <v>0</v>
          </cell>
          <cell r="AL126">
            <v>0</v>
          </cell>
          <cell r="AM126">
            <v>0</v>
          </cell>
          <cell r="AN126">
            <v>0</v>
          </cell>
          <cell r="AO126">
            <v>1</v>
          </cell>
          <cell r="AP126">
            <v>125</v>
          </cell>
          <cell r="AQ126" t="str">
            <v>PLANO/RICHARDSON</v>
          </cell>
          <cell r="AR126">
            <v>53</v>
          </cell>
          <cell r="AS126">
            <v>6961</v>
          </cell>
          <cell r="AT126">
            <v>51</v>
          </cell>
          <cell r="AU126">
            <v>6220</v>
          </cell>
          <cell r="AV126">
            <v>47</v>
          </cell>
          <cell r="AW126">
            <v>5920</v>
          </cell>
          <cell r="AX126">
            <v>56</v>
          </cell>
          <cell r="AY126">
            <v>7030</v>
          </cell>
          <cell r="AZ126">
            <v>0</v>
          </cell>
          <cell r="BA126">
            <v>0</v>
          </cell>
        </row>
        <row r="127">
          <cell r="B127" t="str">
            <v>S.F.-NOB HILL/WHARF</v>
          </cell>
          <cell r="C127">
            <v>1</v>
          </cell>
          <cell r="D127">
            <v>105</v>
          </cell>
          <cell r="E127">
            <v>1</v>
          </cell>
          <cell r="F127">
            <v>252</v>
          </cell>
          <cell r="G127">
            <v>2</v>
          </cell>
          <cell r="H127">
            <v>357</v>
          </cell>
          <cell r="I127">
            <v>0</v>
          </cell>
          <cell r="J127">
            <v>0</v>
          </cell>
          <cell r="K127">
            <v>0</v>
          </cell>
          <cell r="L127">
            <v>0</v>
          </cell>
          <cell r="M127">
            <v>0</v>
          </cell>
          <cell r="N127">
            <v>0</v>
          </cell>
          <cell r="O127">
            <v>0</v>
          </cell>
          <cell r="P127">
            <v>0</v>
          </cell>
          <cell r="Q127">
            <v>2</v>
          </cell>
          <cell r="R127">
            <v>930</v>
          </cell>
          <cell r="S127">
            <v>0</v>
          </cell>
          <cell r="T127">
            <v>0</v>
          </cell>
          <cell r="U127">
            <v>0</v>
          </cell>
          <cell r="V127">
            <v>0</v>
          </cell>
          <cell r="W127">
            <v>0</v>
          </cell>
          <cell r="X127">
            <v>0</v>
          </cell>
          <cell r="Y127">
            <v>2</v>
          </cell>
          <cell r="Z127">
            <v>930</v>
          </cell>
          <cell r="AA127">
            <v>0</v>
          </cell>
          <cell r="AB127">
            <v>0</v>
          </cell>
          <cell r="AC127">
            <v>0</v>
          </cell>
          <cell r="AD127">
            <v>0</v>
          </cell>
          <cell r="AE127">
            <v>0</v>
          </cell>
          <cell r="AF127">
            <v>0</v>
          </cell>
          <cell r="AG127">
            <v>0</v>
          </cell>
          <cell r="AH127">
            <v>0</v>
          </cell>
          <cell r="AI127">
            <v>2</v>
          </cell>
          <cell r="AJ127">
            <v>930</v>
          </cell>
          <cell r="AK127">
            <v>0</v>
          </cell>
          <cell r="AL127">
            <v>0</v>
          </cell>
          <cell r="AM127">
            <v>0</v>
          </cell>
          <cell r="AN127">
            <v>0</v>
          </cell>
          <cell r="AO127">
            <v>0</v>
          </cell>
          <cell r="AP127">
            <v>0</v>
          </cell>
          <cell r="AQ127" t="str">
            <v>S.F.-NOB HILL/WHARF</v>
          </cell>
          <cell r="AR127">
            <v>127</v>
          </cell>
          <cell r="AS127">
            <v>16340</v>
          </cell>
          <cell r="AT127">
            <v>126</v>
          </cell>
          <cell r="AU127">
            <v>16088</v>
          </cell>
          <cell r="AV127">
            <v>125</v>
          </cell>
          <cell r="AW127">
            <v>15983</v>
          </cell>
          <cell r="AX127">
            <v>131</v>
          </cell>
          <cell r="AY127">
            <v>15428</v>
          </cell>
          <cell r="AZ127">
            <v>0</v>
          </cell>
          <cell r="BA127">
            <v>0</v>
          </cell>
        </row>
        <row r="128">
          <cell r="B128" t="str">
            <v>SAINT LOUIS AIRPORT</v>
          </cell>
          <cell r="C128">
            <v>1</v>
          </cell>
          <cell r="D128">
            <v>175</v>
          </cell>
          <cell r="E128">
            <v>0</v>
          </cell>
          <cell r="F128">
            <v>0</v>
          </cell>
          <cell r="G128">
            <v>4</v>
          </cell>
          <cell r="H128">
            <v>559</v>
          </cell>
          <cell r="I128">
            <v>0</v>
          </cell>
          <cell r="J128">
            <v>0</v>
          </cell>
          <cell r="K128">
            <v>0</v>
          </cell>
          <cell r="L128">
            <v>0</v>
          </cell>
          <cell r="M128">
            <v>1</v>
          </cell>
          <cell r="N128">
            <v>120</v>
          </cell>
          <cell r="O128">
            <v>1</v>
          </cell>
          <cell r="P128">
            <v>120</v>
          </cell>
          <cell r="Q128">
            <v>2</v>
          </cell>
          <cell r="R128">
            <v>200</v>
          </cell>
          <cell r="S128">
            <v>0</v>
          </cell>
          <cell r="T128">
            <v>0</v>
          </cell>
          <cell r="U128">
            <v>0</v>
          </cell>
          <cell r="V128">
            <v>0</v>
          </cell>
          <cell r="W128">
            <v>0</v>
          </cell>
          <cell r="X128">
            <v>0</v>
          </cell>
          <cell r="Y128">
            <v>3</v>
          </cell>
          <cell r="Z128">
            <v>320</v>
          </cell>
          <cell r="AA128">
            <v>0</v>
          </cell>
          <cell r="AB128">
            <v>0</v>
          </cell>
          <cell r="AC128">
            <v>0</v>
          </cell>
          <cell r="AD128">
            <v>0</v>
          </cell>
          <cell r="AE128">
            <v>0</v>
          </cell>
          <cell r="AF128">
            <v>0</v>
          </cell>
          <cell r="AG128">
            <v>0</v>
          </cell>
          <cell r="AH128">
            <v>0</v>
          </cell>
          <cell r="AI128">
            <v>3</v>
          </cell>
          <cell r="AJ128">
            <v>320</v>
          </cell>
          <cell r="AK128">
            <v>0</v>
          </cell>
          <cell r="AL128">
            <v>0</v>
          </cell>
          <cell r="AM128">
            <v>0</v>
          </cell>
          <cell r="AN128">
            <v>0</v>
          </cell>
          <cell r="AO128">
            <v>0</v>
          </cell>
          <cell r="AP128">
            <v>0</v>
          </cell>
          <cell r="AQ128" t="str">
            <v>SAINT LOUIS AIRPORT</v>
          </cell>
          <cell r="AR128">
            <v>35</v>
          </cell>
          <cell r="AS128">
            <v>5785</v>
          </cell>
          <cell r="AT128">
            <v>35</v>
          </cell>
          <cell r="AU128">
            <v>5785</v>
          </cell>
          <cell r="AV128">
            <v>34</v>
          </cell>
          <cell r="AW128">
            <v>5610</v>
          </cell>
          <cell r="AX128">
            <v>35</v>
          </cell>
          <cell r="AY128">
            <v>6007</v>
          </cell>
          <cell r="AZ128">
            <v>1</v>
          </cell>
          <cell r="BA128">
            <v>120</v>
          </cell>
        </row>
        <row r="129">
          <cell r="B129" t="str">
            <v>SAINT LOUIS CBD</v>
          </cell>
          <cell r="C129">
            <v>1</v>
          </cell>
          <cell r="D129">
            <v>362</v>
          </cell>
          <cell r="E129">
            <v>3</v>
          </cell>
          <cell r="F129">
            <v>606</v>
          </cell>
          <cell r="G129">
            <v>5</v>
          </cell>
          <cell r="H129">
            <v>1033</v>
          </cell>
          <cell r="I129">
            <v>2</v>
          </cell>
          <cell r="J129">
            <v>349</v>
          </cell>
          <cell r="K129">
            <v>2</v>
          </cell>
          <cell r="L129">
            <v>1080</v>
          </cell>
          <cell r="M129">
            <v>1</v>
          </cell>
          <cell r="N129">
            <v>212</v>
          </cell>
          <cell r="O129">
            <v>3</v>
          </cell>
          <cell r="P129">
            <v>1292</v>
          </cell>
          <cell r="Q129">
            <v>0</v>
          </cell>
          <cell r="R129">
            <v>0</v>
          </cell>
          <cell r="S129">
            <v>0</v>
          </cell>
          <cell r="T129">
            <v>0</v>
          </cell>
          <cell r="U129">
            <v>1</v>
          </cell>
          <cell r="V129">
            <v>163</v>
          </cell>
          <cell r="W129">
            <v>1</v>
          </cell>
          <cell r="X129">
            <v>917</v>
          </cell>
          <cell r="Y129">
            <v>1</v>
          </cell>
          <cell r="Z129">
            <v>212</v>
          </cell>
          <cell r="AA129">
            <v>0</v>
          </cell>
          <cell r="AB129">
            <v>0</v>
          </cell>
          <cell r="AC129">
            <v>0</v>
          </cell>
          <cell r="AD129">
            <v>0</v>
          </cell>
          <cell r="AE129">
            <v>0</v>
          </cell>
          <cell r="AF129">
            <v>0</v>
          </cell>
          <cell r="AG129">
            <v>0</v>
          </cell>
          <cell r="AH129">
            <v>0</v>
          </cell>
          <cell r="AI129">
            <v>1</v>
          </cell>
          <cell r="AJ129">
            <v>212</v>
          </cell>
          <cell r="AK129">
            <v>0</v>
          </cell>
          <cell r="AL129">
            <v>0</v>
          </cell>
          <cell r="AM129">
            <v>1</v>
          </cell>
          <cell r="AN129">
            <v>163</v>
          </cell>
          <cell r="AO129">
            <v>1</v>
          </cell>
          <cell r="AP129">
            <v>917</v>
          </cell>
          <cell r="AQ129" t="str">
            <v>SAINT LOUIS CBD</v>
          </cell>
          <cell r="AR129">
            <v>39</v>
          </cell>
          <cell r="AS129">
            <v>9266</v>
          </cell>
          <cell r="AT129">
            <v>36</v>
          </cell>
          <cell r="AU129">
            <v>8660</v>
          </cell>
          <cell r="AV129">
            <v>35</v>
          </cell>
          <cell r="AW129">
            <v>8298</v>
          </cell>
          <cell r="AX129">
            <v>32</v>
          </cell>
          <cell r="AY129">
            <v>7783</v>
          </cell>
          <cell r="AZ129">
            <v>1</v>
          </cell>
          <cell r="BA129">
            <v>212</v>
          </cell>
        </row>
        <row r="130">
          <cell r="B130" t="str">
            <v>SAINT LOUIS EAST</v>
          </cell>
          <cell r="C130">
            <v>4</v>
          </cell>
          <cell r="D130">
            <v>315</v>
          </cell>
          <cell r="E130">
            <v>1</v>
          </cell>
          <cell r="F130">
            <v>65</v>
          </cell>
          <cell r="G130">
            <v>21</v>
          </cell>
          <cell r="H130">
            <v>1495</v>
          </cell>
          <cell r="I130">
            <v>0</v>
          </cell>
          <cell r="J130">
            <v>0</v>
          </cell>
          <cell r="K130">
            <v>1</v>
          </cell>
          <cell r="L130">
            <v>125</v>
          </cell>
          <cell r="M130">
            <v>1</v>
          </cell>
          <cell r="N130">
            <v>80</v>
          </cell>
          <cell r="O130">
            <v>2</v>
          </cell>
          <cell r="P130">
            <v>205</v>
          </cell>
          <cell r="Q130">
            <v>1</v>
          </cell>
          <cell r="R130">
            <v>80</v>
          </cell>
          <cell r="S130">
            <v>0</v>
          </cell>
          <cell r="T130">
            <v>0</v>
          </cell>
          <cell r="U130">
            <v>1</v>
          </cell>
          <cell r="V130">
            <v>125</v>
          </cell>
          <cell r="W130">
            <v>1</v>
          </cell>
          <cell r="X130">
            <v>80</v>
          </cell>
          <cell r="Y130">
            <v>1</v>
          </cell>
          <cell r="Z130">
            <v>80</v>
          </cell>
          <cell r="AA130">
            <v>0</v>
          </cell>
          <cell r="AB130">
            <v>0</v>
          </cell>
          <cell r="AC130">
            <v>0</v>
          </cell>
          <cell r="AD130">
            <v>0</v>
          </cell>
          <cell r="AE130">
            <v>0</v>
          </cell>
          <cell r="AF130">
            <v>0</v>
          </cell>
          <cell r="AG130">
            <v>0</v>
          </cell>
          <cell r="AH130">
            <v>0</v>
          </cell>
          <cell r="AI130">
            <v>1</v>
          </cell>
          <cell r="AJ130">
            <v>80</v>
          </cell>
          <cell r="AK130">
            <v>0</v>
          </cell>
          <cell r="AL130">
            <v>0</v>
          </cell>
          <cell r="AM130">
            <v>1</v>
          </cell>
          <cell r="AN130">
            <v>125</v>
          </cell>
          <cell r="AO130">
            <v>1</v>
          </cell>
          <cell r="AP130">
            <v>80</v>
          </cell>
          <cell r="AQ130" t="str">
            <v>SAINT LOUIS EAST</v>
          </cell>
          <cell r="AR130">
            <v>62</v>
          </cell>
          <cell r="AS130">
            <v>4476</v>
          </cell>
          <cell r="AT130">
            <v>61</v>
          </cell>
          <cell r="AU130">
            <v>4411</v>
          </cell>
          <cell r="AV130">
            <v>57</v>
          </cell>
          <cell r="AW130">
            <v>4096</v>
          </cell>
          <cell r="AX130">
            <v>71</v>
          </cell>
          <cell r="AY130">
            <v>5061</v>
          </cell>
          <cell r="AZ130">
            <v>0</v>
          </cell>
          <cell r="BA130">
            <v>0</v>
          </cell>
        </row>
        <row r="131">
          <cell r="B131" t="str">
            <v>SAINT LOUIS NORTHWEST</v>
          </cell>
          <cell r="C131">
            <v>0</v>
          </cell>
          <cell r="D131">
            <v>0</v>
          </cell>
          <cell r="E131">
            <v>1</v>
          </cell>
          <cell r="F131">
            <v>71</v>
          </cell>
          <cell r="G131">
            <v>16</v>
          </cell>
          <cell r="H131">
            <v>2017</v>
          </cell>
          <cell r="I131">
            <v>1</v>
          </cell>
          <cell r="J131">
            <v>71</v>
          </cell>
          <cell r="K131">
            <v>2</v>
          </cell>
          <cell r="L131">
            <v>184</v>
          </cell>
          <cell r="M131">
            <v>2</v>
          </cell>
          <cell r="N131">
            <v>220</v>
          </cell>
          <cell r="O131">
            <v>4</v>
          </cell>
          <cell r="P131">
            <v>404</v>
          </cell>
          <cell r="Q131">
            <v>1</v>
          </cell>
          <cell r="R131">
            <v>539</v>
          </cell>
          <cell r="S131">
            <v>0</v>
          </cell>
          <cell r="T131">
            <v>0</v>
          </cell>
          <cell r="U131">
            <v>2</v>
          </cell>
          <cell r="V131">
            <v>184</v>
          </cell>
          <cell r="W131">
            <v>2</v>
          </cell>
          <cell r="X131">
            <v>220</v>
          </cell>
          <cell r="Y131">
            <v>0</v>
          </cell>
          <cell r="Z131">
            <v>0</v>
          </cell>
          <cell r="AA131">
            <v>1</v>
          </cell>
          <cell r="AB131">
            <v>539</v>
          </cell>
          <cell r="AC131">
            <v>0</v>
          </cell>
          <cell r="AD131">
            <v>0</v>
          </cell>
          <cell r="AE131">
            <v>0</v>
          </cell>
          <cell r="AF131">
            <v>0</v>
          </cell>
          <cell r="AG131">
            <v>0</v>
          </cell>
          <cell r="AH131">
            <v>0</v>
          </cell>
          <cell r="AI131">
            <v>1</v>
          </cell>
          <cell r="AJ131">
            <v>539</v>
          </cell>
          <cell r="AK131">
            <v>0</v>
          </cell>
          <cell r="AL131">
            <v>0</v>
          </cell>
          <cell r="AM131">
            <v>2</v>
          </cell>
          <cell r="AN131">
            <v>184</v>
          </cell>
          <cell r="AO131">
            <v>2</v>
          </cell>
          <cell r="AP131">
            <v>220</v>
          </cell>
          <cell r="AQ131" t="str">
            <v>SAINT LOUIS NORTHWEST</v>
          </cell>
          <cell r="AR131">
            <v>55</v>
          </cell>
          <cell r="AS131">
            <v>6993</v>
          </cell>
          <cell r="AT131">
            <v>54</v>
          </cell>
          <cell r="AU131">
            <v>6922</v>
          </cell>
          <cell r="AV131">
            <v>54</v>
          </cell>
          <cell r="AW131">
            <v>6922</v>
          </cell>
          <cell r="AX131">
            <v>54</v>
          </cell>
          <cell r="AY131">
            <v>7017</v>
          </cell>
          <cell r="AZ131">
            <v>0</v>
          </cell>
          <cell r="BA131">
            <v>0</v>
          </cell>
        </row>
        <row r="132">
          <cell r="B132" t="str">
            <v>SAINT LOUIS SOUTHWEST</v>
          </cell>
          <cell r="C132">
            <v>4</v>
          </cell>
          <cell r="D132">
            <v>433</v>
          </cell>
          <cell r="E132">
            <v>2</v>
          </cell>
          <cell r="F132">
            <v>155</v>
          </cell>
          <cell r="G132">
            <v>14</v>
          </cell>
          <cell r="H132">
            <v>1306</v>
          </cell>
          <cell r="I132">
            <v>1</v>
          </cell>
          <cell r="J132">
            <v>71</v>
          </cell>
          <cell r="K132">
            <v>1</v>
          </cell>
          <cell r="L132">
            <v>100</v>
          </cell>
          <cell r="M132">
            <v>5</v>
          </cell>
          <cell r="N132">
            <v>732</v>
          </cell>
          <cell r="O132">
            <v>6</v>
          </cell>
          <cell r="P132">
            <v>832</v>
          </cell>
          <cell r="Q132">
            <v>0</v>
          </cell>
          <cell r="R132">
            <v>0</v>
          </cell>
          <cell r="S132">
            <v>0</v>
          </cell>
          <cell r="T132">
            <v>0</v>
          </cell>
          <cell r="U132">
            <v>1</v>
          </cell>
          <cell r="V132">
            <v>100</v>
          </cell>
          <cell r="W132">
            <v>3</v>
          </cell>
          <cell r="X132">
            <v>279</v>
          </cell>
          <cell r="Y132">
            <v>2</v>
          </cell>
          <cell r="Z132">
            <v>453</v>
          </cell>
          <cell r="AA132">
            <v>0</v>
          </cell>
          <cell r="AB132">
            <v>0</v>
          </cell>
          <cell r="AC132">
            <v>0</v>
          </cell>
          <cell r="AD132">
            <v>0</v>
          </cell>
          <cell r="AE132">
            <v>0</v>
          </cell>
          <cell r="AF132">
            <v>0</v>
          </cell>
          <cell r="AG132">
            <v>0</v>
          </cell>
          <cell r="AH132">
            <v>0</v>
          </cell>
          <cell r="AI132">
            <v>2</v>
          </cell>
          <cell r="AJ132">
            <v>453</v>
          </cell>
          <cell r="AK132">
            <v>0</v>
          </cell>
          <cell r="AL132">
            <v>0</v>
          </cell>
          <cell r="AM132">
            <v>1</v>
          </cell>
          <cell r="AN132">
            <v>100</v>
          </cell>
          <cell r="AO132">
            <v>3</v>
          </cell>
          <cell r="AP132">
            <v>279</v>
          </cell>
          <cell r="AQ132" t="str">
            <v>SAINT LOUIS SOUTHWEST</v>
          </cell>
          <cell r="AR132">
            <v>49</v>
          </cell>
          <cell r="AS132">
            <v>5335</v>
          </cell>
          <cell r="AT132">
            <v>47</v>
          </cell>
          <cell r="AU132">
            <v>5180</v>
          </cell>
          <cell r="AV132">
            <v>43</v>
          </cell>
          <cell r="AW132">
            <v>4747</v>
          </cell>
          <cell r="AX132">
            <v>51</v>
          </cell>
          <cell r="AY132">
            <v>5426</v>
          </cell>
          <cell r="AZ132">
            <v>2</v>
          </cell>
          <cell r="BA132">
            <v>453</v>
          </cell>
        </row>
        <row r="133">
          <cell r="B133" t="str">
            <v>SAINT PAUL</v>
          </cell>
          <cell r="C133">
            <v>2</v>
          </cell>
          <cell r="D133">
            <v>133</v>
          </cell>
          <cell r="E133">
            <v>1</v>
          </cell>
          <cell r="F133">
            <v>120</v>
          </cell>
          <cell r="G133">
            <v>11</v>
          </cell>
          <cell r="H133">
            <v>986</v>
          </cell>
          <cell r="I133">
            <v>1</v>
          </cell>
          <cell r="J133">
            <v>120</v>
          </cell>
          <cell r="K133">
            <v>1</v>
          </cell>
          <cell r="L133">
            <v>70</v>
          </cell>
          <cell r="M133">
            <v>1</v>
          </cell>
          <cell r="N133">
            <v>83</v>
          </cell>
          <cell r="O133">
            <v>2</v>
          </cell>
          <cell r="P133">
            <v>153</v>
          </cell>
          <cell r="Q133">
            <v>1</v>
          </cell>
          <cell r="R133">
            <v>83</v>
          </cell>
          <cell r="S133">
            <v>0</v>
          </cell>
          <cell r="T133">
            <v>0</v>
          </cell>
          <cell r="U133">
            <v>1</v>
          </cell>
          <cell r="V133">
            <v>70</v>
          </cell>
          <cell r="W133">
            <v>0</v>
          </cell>
          <cell r="X133">
            <v>0</v>
          </cell>
          <cell r="Y133">
            <v>2</v>
          </cell>
          <cell r="Z133">
            <v>166</v>
          </cell>
          <cell r="AA133">
            <v>0</v>
          </cell>
          <cell r="AB133">
            <v>0</v>
          </cell>
          <cell r="AC133">
            <v>0</v>
          </cell>
          <cell r="AD133">
            <v>0</v>
          </cell>
          <cell r="AE133">
            <v>0</v>
          </cell>
          <cell r="AF133">
            <v>0</v>
          </cell>
          <cell r="AG133">
            <v>0</v>
          </cell>
          <cell r="AH133">
            <v>0</v>
          </cell>
          <cell r="AI133">
            <v>2</v>
          </cell>
          <cell r="AJ133">
            <v>166</v>
          </cell>
          <cell r="AK133">
            <v>0</v>
          </cell>
          <cell r="AL133">
            <v>0</v>
          </cell>
          <cell r="AM133">
            <v>1</v>
          </cell>
          <cell r="AN133">
            <v>70</v>
          </cell>
          <cell r="AO133">
            <v>0</v>
          </cell>
          <cell r="AP133">
            <v>0</v>
          </cell>
          <cell r="AQ133" t="str">
            <v>SAINT PAUL</v>
          </cell>
          <cell r="AR133">
            <v>43</v>
          </cell>
          <cell r="AS133">
            <v>5587</v>
          </cell>
          <cell r="AT133">
            <v>42</v>
          </cell>
          <cell r="AU133">
            <v>5467</v>
          </cell>
          <cell r="AV133">
            <v>40</v>
          </cell>
          <cell r="AW133">
            <v>5334</v>
          </cell>
          <cell r="AX133">
            <v>46</v>
          </cell>
          <cell r="AY133">
            <v>5652</v>
          </cell>
          <cell r="AZ133">
            <v>1</v>
          </cell>
          <cell r="BA133">
            <v>83</v>
          </cell>
        </row>
        <row r="134">
          <cell r="B134" t="str">
            <v>SAINT PETERSBURG</v>
          </cell>
          <cell r="C134">
            <v>1</v>
          </cell>
          <cell r="D134">
            <v>130</v>
          </cell>
          <cell r="E134">
            <v>1</v>
          </cell>
          <cell r="F134">
            <v>205</v>
          </cell>
          <cell r="G134">
            <v>3</v>
          </cell>
          <cell r="H134">
            <v>467</v>
          </cell>
          <cell r="I134">
            <v>1</v>
          </cell>
          <cell r="J134">
            <v>205</v>
          </cell>
          <cell r="K134">
            <v>1</v>
          </cell>
          <cell r="L134">
            <v>92</v>
          </cell>
          <cell r="M134">
            <v>0</v>
          </cell>
          <cell r="N134">
            <v>0</v>
          </cell>
          <cell r="O134">
            <v>1</v>
          </cell>
          <cell r="P134">
            <v>92</v>
          </cell>
          <cell r="Q134">
            <v>0</v>
          </cell>
          <cell r="R134">
            <v>0</v>
          </cell>
          <cell r="S134">
            <v>0</v>
          </cell>
          <cell r="T134">
            <v>0</v>
          </cell>
          <cell r="U134">
            <v>0</v>
          </cell>
          <cell r="V134">
            <v>0</v>
          </cell>
          <cell r="W134">
            <v>1</v>
          </cell>
          <cell r="X134">
            <v>92</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1</v>
          </cell>
          <cell r="AP134">
            <v>92</v>
          </cell>
          <cell r="AQ134" t="str">
            <v>SAINT PETERSBURG</v>
          </cell>
          <cell r="AR134">
            <v>99</v>
          </cell>
          <cell r="AS134">
            <v>9584</v>
          </cell>
          <cell r="AT134">
            <v>98</v>
          </cell>
          <cell r="AU134">
            <v>9379</v>
          </cell>
          <cell r="AV134">
            <v>97</v>
          </cell>
          <cell r="AW134">
            <v>9249</v>
          </cell>
          <cell r="AX134">
            <v>96</v>
          </cell>
          <cell r="AY134">
            <v>8924</v>
          </cell>
          <cell r="AZ134">
            <v>0</v>
          </cell>
          <cell r="BA134">
            <v>0</v>
          </cell>
        </row>
        <row r="135">
          <cell r="B135" t="str">
            <v>SAN DIEGO CBD</v>
          </cell>
          <cell r="C135">
            <v>1</v>
          </cell>
          <cell r="D135">
            <v>252</v>
          </cell>
          <cell r="E135">
            <v>2</v>
          </cell>
          <cell r="F135">
            <v>207</v>
          </cell>
          <cell r="G135">
            <v>6</v>
          </cell>
          <cell r="H135">
            <v>889</v>
          </cell>
          <cell r="I135">
            <v>2</v>
          </cell>
          <cell r="J135">
            <v>207</v>
          </cell>
          <cell r="K135">
            <v>2</v>
          </cell>
          <cell r="L135">
            <v>1011</v>
          </cell>
          <cell r="M135">
            <v>4</v>
          </cell>
          <cell r="N135">
            <v>897</v>
          </cell>
          <cell r="O135">
            <v>6</v>
          </cell>
          <cell r="P135">
            <v>1908</v>
          </cell>
          <cell r="Q135">
            <v>6</v>
          </cell>
          <cell r="R135">
            <v>2266</v>
          </cell>
          <cell r="S135">
            <v>0</v>
          </cell>
          <cell r="T135">
            <v>0</v>
          </cell>
          <cell r="U135">
            <v>1</v>
          </cell>
          <cell r="V135">
            <v>261</v>
          </cell>
          <cell r="W135">
            <v>2</v>
          </cell>
          <cell r="X135">
            <v>930</v>
          </cell>
          <cell r="Y135">
            <v>8</v>
          </cell>
          <cell r="Z135">
            <v>2733</v>
          </cell>
          <cell r="AA135">
            <v>1</v>
          </cell>
          <cell r="AB135">
            <v>250</v>
          </cell>
          <cell r="AC135">
            <v>0</v>
          </cell>
          <cell r="AD135">
            <v>0</v>
          </cell>
          <cell r="AE135">
            <v>0</v>
          </cell>
          <cell r="AF135">
            <v>0</v>
          </cell>
          <cell r="AG135">
            <v>0</v>
          </cell>
          <cell r="AH135">
            <v>0</v>
          </cell>
          <cell r="AI135">
            <v>9</v>
          </cell>
          <cell r="AJ135">
            <v>2983</v>
          </cell>
          <cell r="AK135">
            <v>0</v>
          </cell>
          <cell r="AL135">
            <v>0</v>
          </cell>
          <cell r="AM135">
            <v>1</v>
          </cell>
          <cell r="AN135">
            <v>261</v>
          </cell>
          <cell r="AO135">
            <v>2</v>
          </cell>
          <cell r="AP135">
            <v>930</v>
          </cell>
          <cell r="AQ135" t="str">
            <v>SAN DIEGO CBD</v>
          </cell>
          <cell r="AR135">
            <v>80</v>
          </cell>
          <cell r="AS135">
            <v>13992</v>
          </cell>
          <cell r="AT135">
            <v>78</v>
          </cell>
          <cell r="AU135">
            <v>13785</v>
          </cell>
          <cell r="AV135">
            <v>77</v>
          </cell>
          <cell r="AW135">
            <v>13533</v>
          </cell>
          <cell r="AX135">
            <v>60</v>
          </cell>
          <cell r="AY135">
            <v>12471</v>
          </cell>
          <cell r="AZ135">
            <v>3</v>
          </cell>
          <cell r="BA135">
            <v>717</v>
          </cell>
        </row>
        <row r="136">
          <cell r="B136" t="str">
            <v>SAN DIEGO NORTH</v>
          </cell>
          <cell r="C136">
            <v>5</v>
          </cell>
          <cell r="D136">
            <v>442</v>
          </cell>
          <cell r="E136">
            <v>1</v>
          </cell>
          <cell r="F136">
            <v>70</v>
          </cell>
          <cell r="G136">
            <v>14</v>
          </cell>
          <cell r="H136">
            <v>1793</v>
          </cell>
          <cell r="I136">
            <v>5</v>
          </cell>
          <cell r="J136">
            <v>847</v>
          </cell>
          <cell r="K136">
            <v>2</v>
          </cell>
          <cell r="L136">
            <v>491</v>
          </cell>
          <cell r="M136">
            <v>2</v>
          </cell>
          <cell r="N136">
            <v>202</v>
          </cell>
          <cell r="O136">
            <v>4</v>
          </cell>
          <cell r="P136">
            <v>693</v>
          </cell>
          <cell r="Q136">
            <v>4</v>
          </cell>
          <cell r="R136">
            <v>490</v>
          </cell>
          <cell r="S136">
            <v>4</v>
          </cell>
          <cell r="T136">
            <v>777</v>
          </cell>
          <cell r="U136">
            <v>1</v>
          </cell>
          <cell r="V136">
            <v>100</v>
          </cell>
          <cell r="W136">
            <v>3</v>
          </cell>
          <cell r="X136">
            <v>593</v>
          </cell>
          <cell r="Y136">
            <v>4</v>
          </cell>
          <cell r="Z136">
            <v>490</v>
          </cell>
          <cell r="AA136">
            <v>0</v>
          </cell>
          <cell r="AB136">
            <v>0</v>
          </cell>
          <cell r="AC136">
            <v>0</v>
          </cell>
          <cell r="AD136">
            <v>0</v>
          </cell>
          <cell r="AE136">
            <v>0</v>
          </cell>
          <cell r="AF136">
            <v>0</v>
          </cell>
          <cell r="AG136">
            <v>0</v>
          </cell>
          <cell r="AH136">
            <v>0</v>
          </cell>
          <cell r="AI136">
            <v>4</v>
          </cell>
          <cell r="AJ136">
            <v>490</v>
          </cell>
          <cell r="AK136">
            <v>0</v>
          </cell>
          <cell r="AL136">
            <v>0</v>
          </cell>
          <cell r="AM136">
            <v>1</v>
          </cell>
          <cell r="AN136">
            <v>100</v>
          </cell>
          <cell r="AO136">
            <v>3</v>
          </cell>
          <cell r="AP136">
            <v>593</v>
          </cell>
          <cell r="AQ136" t="str">
            <v>SAN DIEGO NORTH</v>
          </cell>
          <cell r="AR136">
            <v>121</v>
          </cell>
          <cell r="AS136">
            <v>10491</v>
          </cell>
          <cell r="AT136">
            <v>120</v>
          </cell>
          <cell r="AU136">
            <v>10421</v>
          </cell>
          <cell r="AV136">
            <v>115</v>
          </cell>
          <cell r="AW136">
            <v>9979</v>
          </cell>
          <cell r="AX136">
            <v>121</v>
          </cell>
          <cell r="AY136">
            <v>9401</v>
          </cell>
          <cell r="AZ136">
            <v>0</v>
          </cell>
          <cell r="BA136">
            <v>0</v>
          </cell>
        </row>
        <row r="137">
          <cell r="B137" t="str">
            <v>SAN DIEGO SOUTH</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t="str">
            <v>SAN DIEGO SOUTH</v>
          </cell>
          <cell r="AR137">
            <v>66</v>
          </cell>
          <cell r="AS137">
            <v>4664</v>
          </cell>
          <cell r="AT137">
            <v>66</v>
          </cell>
          <cell r="AU137">
            <v>4664</v>
          </cell>
          <cell r="AV137">
            <v>66</v>
          </cell>
          <cell r="AW137">
            <v>4664</v>
          </cell>
          <cell r="AX137">
            <v>71</v>
          </cell>
          <cell r="AY137">
            <v>5313</v>
          </cell>
          <cell r="AZ137">
            <v>0</v>
          </cell>
          <cell r="BA137">
            <v>0</v>
          </cell>
        </row>
        <row r="138">
          <cell r="B138" t="str">
            <v>SAN FRANCISCO AIRPORT</v>
          </cell>
          <cell r="C138">
            <v>3</v>
          </cell>
          <cell r="D138">
            <v>540</v>
          </cell>
          <cell r="E138">
            <v>4</v>
          </cell>
          <cell r="F138">
            <v>427</v>
          </cell>
          <cell r="G138">
            <v>11</v>
          </cell>
          <cell r="H138">
            <v>1392</v>
          </cell>
          <cell r="I138">
            <v>3</v>
          </cell>
          <cell r="J138">
            <v>275</v>
          </cell>
          <cell r="K138">
            <v>2</v>
          </cell>
          <cell r="L138">
            <v>254</v>
          </cell>
          <cell r="M138">
            <v>0</v>
          </cell>
          <cell r="N138">
            <v>0</v>
          </cell>
          <cell r="O138">
            <v>2</v>
          </cell>
          <cell r="P138">
            <v>254</v>
          </cell>
          <cell r="Q138">
            <v>1</v>
          </cell>
          <cell r="R138">
            <v>102</v>
          </cell>
          <cell r="S138">
            <v>0</v>
          </cell>
          <cell r="T138">
            <v>0</v>
          </cell>
          <cell r="U138">
            <v>1</v>
          </cell>
          <cell r="V138">
            <v>77</v>
          </cell>
          <cell r="W138">
            <v>1</v>
          </cell>
          <cell r="X138">
            <v>177</v>
          </cell>
          <cell r="Y138">
            <v>1</v>
          </cell>
          <cell r="Z138">
            <v>102</v>
          </cell>
          <cell r="AA138">
            <v>0</v>
          </cell>
          <cell r="AB138">
            <v>0</v>
          </cell>
          <cell r="AC138">
            <v>0</v>
          </cell>
          <cell r="AD138">
            <v>0</v>
          </cell>
          <cell r="AE138">
            <v>0</v>
          </cell>
          <cell r="AF138">
            <v>0</v>
          </cell>
          <cell r="AG138">
            <v>0</v>
          </cell>
          <cell r="AH138">
            <v>0</v>
          </cell>
          <cell r="AI138">
            <v>1</v>
          </cell>
          <cell r="AJ138">
            <v>102</v>
          </cell>
          <cell r="AK138">
            <v>0</v>
          </cell>
          <cell r="AL138">
            <v>0</v>
          </cell>
          <cell r="AM138">
            <v>1</v>
          </cell>
          <cell r="AN138">
            <v>77</v>
          </cell>
          <cell r="AO138">
            <v>1</v>
          </cell>
          <cell r="AP138">
            <v>177</v>
          </cell>
          <cell r="AQ138" t="str">
            <v>SAN FRANCISCO AIRPORT</v>
          </cell>
          <cell r="AR138">
            <v>44</v>
          </cell>
          <cell r="AS138">
            <v>8735</v>
          </cell>
          <cell r="AT138">
            <v>40</v>
          </cell>
          <cell r="AU138">
            <v>8308</v>
          </cell>
          <cell r="AV138">
            <v>37</v>
          </cell>
          <cell r="AW138">
            <v>7768</v>
          </cell>
          <cell r="AX138">
            <v>43</v>
          </cell>
          <cell r="AY138">
            <v>8107</v>
          </cell>
          <cell r="AZ138">
            <v>0</v>
          </cell>
          <cell r="BA138">
            <v>0</v>
          </cell>
        </row>
        <row r="139">
          <cell r="B139" t="str">
            <v>SAN FRANCISCO AREA</v>
          </cell>
          <cell r="C139">
            <v>3</v>
          </cell>
          <cell r="D139">
            <v>234</v>
          </cell>
          <cell r="E139">
            <v>3</v>
          </cell>
          <cell r="F139">
            <v>409</v>
          </cell>
          <cell r="G139">
            <v>20</v>
          </cell>
          <cell r="H139">
            <v>1841</v>
          </cell>
          <cell r="I139">
            <v>2</v>
          </cell>
          <cell r="J139">
            <v>148</v>
          </cell>
          <cell r="K139">
            <v>7</v>
          </cell>
          <cell r="L139">
            <v>386</v>
          </cell>
          <cell r="M139">
            <v>7</v>
          </cell>
          <cell r="N139">
            <v>1114</v>
          </cell>
          <cell r="O139">
            <v>14</v>
          </cell>
          <cell r="P139">
            <v>1500</v>
          </cell>
          <cell r="Q139">
            <v>1</v>
          </cell>
          <cell r="R139">
            <v>160</v>
          </cell>
          <cell r="S139">
            <v>0</v>
          </cell>
          <cell r="T139">
            <v>0</v>
          </cell>
          <cell r="U139">
            <v>7</v>
          </cell>
          <cell r="V139">
            <v>386</v>
          </cell>
          <cell r="W139">
            <v>2</v>
          </cell>
          <cell r="X139">
            <v>198</v>
          </cell>
          <cell r="Y139">
            <v>6</v>
          </cell>
          <cell r="Z139">
            <v>1076</v>
          </cell>
          <cell r="AA139">
            <v>0</v>
          </cell>
          <cell r="AB139">
            <v>0</v>
          </cell>
          <cell r="AC139">
            <v>0</v>
          </cell>
          <cell r="AD139">
            <v>0</v>
          </cell>
          <cell r="AE139">
            <v>0</v>
          </cell>
          <cell r="AF139">
            <v>0</v>
          </cell>
          <cell r="AG139">
            <v>0</v>
          </cell>
          <cell r="AH139">
            <v>0</v>
          </cell>
          <cell r="AI139">
            <v>6</v>
          </cell>
          <cell r="AJ139">
            <v>1076</v>
          </cell>
          <cell r="AK139">
            <v>0</v>
          </cell>
          <cell r="AL139">
            <v>0</v>
          </cell>
          <cell r="AM139">
            <v>7</v>
          </cell>
          <cell r="AN139">
            <v>386</v>
          </cell>
          <cell r="AO139">
            <v>2</v>
          </cell>
          <cell r="AP139">
            <v>198</v>
          </cell>
          <cell r="AQ139" t="str">
            <v>SAN FRANCISCO AREA</v>
          </cell>
          <cell r="AR139">
            <v>87</v>
          </cell>
          <cell r="AS139">
            <v>7770</v>
          </cell>
          <cell r="AT139">
            <v>84</v>
          </cell>
          <cell r="AU139">
            <v>7361</v>
          </cell>
          <cell r="AV139">
            <v>81</v>
          </cell>
          <cell r="AW139">
            <v>7127</v>
          </cell>
          <cell r="AX139">
            <v>105</v>
          </cell>
          <cell r="AY139">
            <v>8447</v>
          </cell>
          <cell r="AZ139">
            <v>5</v>
          </cell>
          <cell r="BA139">
            <v>916</v>
          </cell>
        </row>
        <row r="140">
          <cell r="B140" t="str">
            <v>SAN FRANCISCO-MARKET ST</v>
          </cell>
          <cell r="C140">
            <v>0</v>
          </cell>
          <cell r="D140">
            <v>0</v>
          </cell>
          <cell r="E140">
            <v>2</v>
          </cell>
          <cell r="F140">
            <v>682</v>
          </cell>
          <cell r="G140">
            <v>5</v>
          </cell>
          <cell r="H140">
            <v>1665</v>
          </cell>
          <cell r="I140">
            <v>3</v>
          </cell>
          <cell r="J140">
            <v>1044</v>
          </cell>
          <cell r="K140">
            <v>2</v>
          </cell>
          <cell r="L140">
            <v>537</v>
          </cell>
          <cell r="M140">
            <v>3</v>
          </cell>
          <cell r="N140">
            <v>1172</v>
          </cell>
          <cell r="O140">
            <v>5</v>
          </cell>
          <cell r="P140">
            <v>1709</v>
          </cell>
          <cell r="Q140">
            <v>1</v>
          </cell>
          <cell r="R140">
            <v>203</v>
          </cell>
          <cell r="S140">
            <v>1</v>
          </cell>
          <cell r="T140">
            <v>362</v>
          </cell>
          <cell r="U140">
            <v>0</v>
          </cell>
          <cell r="V140">
            <v>0</v>
          </cell>
          <cell r="W140">
            <v>2</v>
          </cell>
          <cell r="X140">
            <v>537</v>
          </cell>
          <cell r="Y140">
            <v>3</v>
          </cell>
          <cell r="Z140">
            <v>803</v>
          </cell>
          <cell r="AA140">
            <v>1</v>
          </cell>
          <cell r="AB140">
            <v>572</v>
          </cell>
          <cell r="AC140">
            <v>0</v>
          </cell>
          <cell r="AD140">
            <v>0</v>
          </cell>
          <cell r="AE140">
            <v>0</v>
          </cell>
          <cell r="AF140">
            <v>0</v>
          </cell>
          <cell r="AG140">
            <v>0</v>
          </cell>
          <cell r="AH140">
            <v>0</v>
          </cell>
          <cell r="AI140">
            <v>4</v>
          </cell>
          <cell r="AJ140">
            <v>1375</v>
          </cell>
          <cell r="AK140">
            <v>0</v>
          </cell>
          <cell r="AL140">
            <v>0</v>
          </cell>
          <cell r="AM140">
            <v>0</v>
          </cell>
          <cell r="AN140">
            <v>0</v>
          </cell>
          <cell r="AO140">
            <v>2</v>
          </cell>
          <cell r="AP140">
            <v>537</v>
          </cell>
          <cell r="AQ140" t="str">
            <v>SAN FRANCISCO-MARKET ST</v>
          </cell>
          <cell r="AR140">
            <v>102</v>
          </cell>
          <cell r="AS140">
            <v>18395</v>
          </cell>
          <cell r="AT140">
            <v>100</v>
          </cell>
          <cell r="AU140">
            <v>17713</v>
          </cell>
          <cell r="AV140">
            <v>100</v>
          </cell>
          <cell r="AW140">
            <v>17713</v>
          </cell>
          <cell r="AX140">
            <v>78</v>
          </cell>
          <cell r="AY140">
            <v>16649</v>
          </cell>
          <cell r="AZ140">
            <v>3</v>
          </cell>
          <cell r="BA140">
            <v>1172</v>
          </cell>
        </row>
        <row r="141">
          <cell r="B141" t="str">
            <v>SCOTTSDALE</v>
          </cell>
          <cell r="C141">
            <v>2</v>
          </cell>
          <cell r="D141">
            <v>292</v>
          </cell>
          <cell r="E141">
            <v>1</v>
          </cell>
          <cell r="F141">
            <v>82</v>
          </cell>
          <cell r="G141">
            <v>19</v>
          </cell>
          <cell r="H141">
            <v>2801</v>
          </cell>
          <cell r="I141">
            <v>0</v>
          </cell>
          <cell r="J141">
            <v>0</v>
          </cell>
          <cell r="K141">
            <v>2</v>
          </cell>
          <cell r="L141">
            <v>870</v>
          </cell>
          <cell r="M141">
            <v>2</v>
          </cell>
          <cell r="N141">
            <v>1000</v>
          </cell>
          <cell r="O141">
            <v>4</v>
          </cell>
          <cell r="P141">
            <v>1870</v>
          </cell>
          <cell r="Q141">
            <v>1</v>
          </cell>
          <cell r="R141">
            <v>100</v>
          </cell>
          <cell r="S141">
            <v>0</v>
          </cell>
          <cell r="T141">
            <v>0</v>
          </cell>
          <cell r="U141">
            <v>0</v>
          </cell>
          <cell r="V141">
            <v>0</v>
          </cell>
          <cell r="W141">
            <v>2</v>
          </cell>
          <cell r="X141">
            <v>870</v>
          </cell>
          <cell r="Y141">
            <v>2</v>
          </cell>
          <cell r="Z141">
            <v>350</v>
          </cell>
          <cell r="AA141">
            <v>1</v>
          </cell>
          <cell r="AB141">
            <v>750</v>
          </cell>
          <cell r="AC141">
            <v>0</v>
          </cell>
          <cell r="AD141">
            <v>0</v>
          </cell>
          <cell r="AE141">
            <v>0</v>
          </cell>
          <cell r="AF141">
            <v>0</v>
          </cell>
          <cell r="AG141">
            <v>0</v>
          </cell>
          <cell r="AH141">
            <v>0</v>
          </cell>
          <cell r="AI141">
            <v>3</v>
          </cell>
          <cell r="AJ141">
            <v>1100</v>
          </cell>
          <cell r="AK141">
            <v>0</v>
          </cell>
          <cell r="AL141">
            <v>0</v>
          </cell>
          <cell r="AM141">
            <v>0</v>
          </cell>
          <cell r="AN141">
            <v>0</v>
          </cell>
          <cell r="AO141">
            <v>2</v>
          </cell>
          <cell r="AP141">
            <v>870</v>
          </cell>
          <cell r="AQ141" t="str">
            <v>SCOTTSDALE</v>
          </cell>
          <cell r="AR141">
            <v>71</v>
          </cell>
          <cell r="AS141">
            <v>13396</v>
          </cell>
          <cell r="AT141">
            <v>70</v>
          </cell>
          <cell r="AU141">
            <v>13314</v>
          </cell>
          <cell r="AV141">
            <v>68</v>
          </cell>
          <cell r="AW141">
            <v>13022</v>
          </cell>
          <cell r="AX141">
            <v>74</v>
          </cell>
          <cell r="AY141">
            <v>13840</v>
          </cell>
          <cell r="AZ141">
            <v>2</v>
          </cell>
          <cell r="BA141">
            <v>1000</v>
          </cell>
        </row>
        <row r="142">
          <cell r="B142" t="str">
            <v>SEATTLE AIRPORT</v>
          </cell>
          <cell r="C142">
            <v>3</v>
          </cell>
          <cell r="D142">
            <v>352</v>
          </cell>
          <cell r="E142">
            <v>2</v>
          </cell>
          <cell r="F142">
            <v>421</v>
          </cell>
          <cell r="G142">
            <v>10</v>
          </cell>
          <cell r="H142">
            <v>1350</v>
          </cell>
          <cell r="I142">
            <v>0</v>
          </cell>
          <cell r="J142">
            <v>0</v>
          </cell>
          <cell r="K142">
            <v>1</v>
          </cell>
          <cell r="L142">
            <v>137</v>
          </cell>
          <cell r="M142">
            <v>1</v>
          </cell>
          <cell r="N142">
            <v>95</v>
          </cell>
          <cell r="O142">
            <v>2</v>
          </cell>
          <cell r="P142">
            <v>232</v>
          </cell>
          <cell r="Q142">
            <v>2</v>
          </cell>
          <cell r="R142">
            <v>261</v>
          </cell>
          <cell r="S142">
            <v>0</v>
          </cell>
          <cell r="T142">
            <v>0</v>
          </cell>
          <cell r="U142">
            <v>1</v>
          </cell>
          <cell r="V142">
            <v>137</v>
          </cell>
          <cell r="W142">
            <v>1</v>
          </cell>
          <cell r="X142">
            <v>95</v>
          </cell>
          <cell r="Y142">
            <v>2</v>
          </cell>
          <cell r="Z142">
            <v>261</v>
          </cell>
          <cell r="AA142">
            <v>0</v>
          </cell>
          <cell r="AB142">
            <v>0</v>
          </cell>
          <cell r="AC142">
            <v>0</v>
          </cell>
          <cell r="AD142">
            <v>0</v>
          </cell>
          <cell r="AE142">
            <v>0</v>
          </cell>
          <cell r="AF142">
            <v>0</v>
          </cell>
          <cell r="AG142">
            <v>0</v>
          </cell>
          <cell r="AH142">
            <v>0</v>
          </cell>
          <cell r="AI142">
            <v>2</v>
          </cell>
          <cell r="AJ142">
            <v>261</v>
          </cell>
          <cell r="AK142">
            <v>0</v>
          </cell>
          <cell r="AL142">
            <v>0</v>
          </cell>
          <cell r="AM142">
            <v>1</v>
          </cell>
          <cell r="AN142">
            <v>137</v>
          </cell>
          <cell r="AO142">
            <v>1</v>
          </cell>
          <cell r="AP142">
            <v>95</v>
          </cell>
          <cell r="AQ142" t="str">
            <v>SEATTLE AIRPORT</v>
          </cell>
          <cell r="AR142">
            <v>61</v>
          </cell>
          <cell r="AS142">
            <v>7925</v>
          </cell>
          <cell r="AT142">
            <v>59</v>
          </cell>
          <cell r="AU142">
            <v>7504</v>
          </cell>
          <cell r="AV142">
            <v>56</v>
          </cell>
          <cell r="AW142">
            <v>7152</v>
          </cell>
          <cell r="AX142">
            <v>64</v>
          </cell>
          <cell r="AY142">
            <v>8493</v>
          </cell>
          <cell r="AZ142">
            <v>0</v>
          </cell>
          <cell r="BA142">
            <v>0</v>
          </cell>
        </row>
        <row r="143">
          <cell r="B143" t="str">
            <v>SEATTLE CBD</v>
          </cell>
          <cell r="C143">
            <v>1</v>
          </cell>
          <cell r="D143">
            <v>24</v>
          </cell>
          <cell r="E143">
            <v>4</v>
          </cell>
          <cell r="F143">
            <v>961</v>
          </cell>
          <cell r="G143">
            <v>15</v>
          </cell>
          <cell r="H143">
            <v>2576</v>
          </cell>
          <cell r="I143">
            <v>4</v>
          </cell>
          <cell r="J143">
            <v>961</v>
          </cell>
          <cell r="K143">
            <v>4</v>
          </cell>
          <cell r="L143">
            <v>793</v>
          </cell>
          <cell r="M143">
            <v>0</v>
          </cell>
          <cell r="N143">
            <v>0</v>
          </cell>
          <cell r="O143">
            <v>4</v>
          </cell>
          <cell r="P143">
            <v>793</v>
          </cell>
          <cell r="Q143">
            <v>0</v>
          </cell>
          <cell r="R143">
            <v>0</v>
          </cell>
          <cell r="S143">
            <v>0</v>
          </cell>
          <cell r="T143">
            <v>0</v>
          </cell>
          <cell r="U143">
            <v>1</v>
          </cell>
          <cell r="V143">
            <v>100</v>
          </cell>
          <cell r="W143">
            <v>3</v>
          </cell>
          <cell r="X143">
            <v>693</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1</v>
          </cell>
          <cell r="AN143">
            <v>100</v>
          </cell>
          <cell r="AO143">
            <v>3</v>
          </cell>
          <cell r="AP143">
            <v>693</v>
          </cell>
          <cell r="AQ143" t="str">
            <v>SEATTLE CBD</v>
          </cell>
          <cell r="AR143">
            <v>81</v>
          </cell>
          <cell r="AS143">
            <v>12118</v>
          </cell>
          <cell r="AT143">
            <v>77</v>
          </cell>
          <cell r="AU143">
            <v>11157</v>
          </cell>
          <cell r="AV143">
            <v>76</v>
          </cell>
          <cell r="AW143">
            <v>11133</v>
          </cell>
          <cell r="AX143">
            <v>82</v>
          </cell>
          <cell r="AY143">
            <v>12101</v>
          </cell>
          <cell r="AZ143">
            <v>0</v>
          </cell>
          <cell r="BA143">
            <v>0</v>
          </cell>
        </row>
        <row r="144">
          <cell r="B144" t="str">
            <v>SEATTLE NORTH</v>
          </cell>
          <cell r="C144">
            <v>2</v>
          </cell>
          <cell r="D144">
            <v>167</v>
          </cell>
          <cell r="E144">
            <v>1</v>
          </cell>
          <cell r="F144">
            <v>101</v>
          </cell>
          <cell r="G144">
            <v>17</v>
          </cell>
          <cell r="H144">
            <v>1569</v>
          </cell>
          <cell r="I144">
            <v>2</v>
          </cell>
          <cell r="J144">
            <v>163</v>
          </cell>
          <cell r="K144">
            <v>1</v>
          </cell>
          <cell r="L144">
            <v>107</v>
          </cell>
          <cell r="M144">
            <v>0</v>
          </cell>
          <cell r="N144">
            <v>0</v>
          </cell>
          <cell r="O144">
            <v>1</v>
          </cell>
          <cell r="P144">
            <v>107</v>
          </cell>
          <cell r="Q144">
            <v>0</v>
          </cell>
          <cell r="R144">
            <v>0</v>
          </cell>
          <cell r="S144">
            <v>1</v>
          </cell>
          <cell r="T144">
            <v>62</v>
          </cell>
          <cell r="U144">
            <v>1</v>
          </cell>
          <cell r="V144">
            <v>107</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1</v>
          </cell>
          <cell r="AN144">
            <v>107</v>
          </cell>
          <cell r="AO144">
            <v>0</v>
          </cell>
          <cell r="AP144">
            <v>0</v>
          </cell>
          <cell r="AQ144" t="str">
            <v>SEATTLE NORTH</v>
          </cell>
          <cell r="AR144">
            <v>64</v>
          </cell>
          <cell r="AS144">
            <v>5183</v>
          </cell>
          <cell r="AT144">
            <v>63</v>
          </cell>
          <cell r="AU144">
            <v>5082</v>
          </cell>
          <cell r="AV144">
            <v>61</v>
          </cell>
          <cell r="AW144">
            <v>4915</v>
          </cell>
          <cell r="AX144">
            <v>54</v>
          </cell>
          <cell r="AY144">
            <v>4826</v>
          </cell>
          <cell r="AZ144">
            <v>0</v>
          </cell>
          <cell r="BA144">
            <v>0</v>
          </cell>
        </row>
        <row r="145">
          <cell r="B145" t="str">
            <v>SEATTLE SOUTH &amp; EAST</v>
          </cell>
          <cell r="C145">
            <v>5</v>
          </cell>
          <cell r="D145">
            <v>577</v>
          </cell>
          <cell r="E145">
            <v>0</v>
          </cell>
          <cell r="F145">
            <v>0</v>
          </cell>
          <cell r="G145">
            <v>26</v>
          </cell>
          <cell r="H145">
            <v>2933</v>
          </cell>
          <cell r="I145">
            <v>0</v>
          </cell>
          <cell r="J145">
            <v>0</v>
          </cell>
          <cell r="K145">
            <v>3</v>
          </cell>
          <cell r="L145">
            <v>430</v>
          </cell>
          <cell r="M145">
            <v>2</v>
          </cell>
          <cell r="N145">
            <v>140</v>
          </cell>
          <cell r="O145">
            <v>5</v>
          </cell>
          <cell r="P145">
            <v>570</v>
          </cell>
          <cell r="Q145">
            <v>5</v>
          </cell>
          <cell r="R145">
            <v>1315</v>
          </cell>
          <cell r="S145">
            <v>0</v>
          </cell>
          <cell r="T145">
            <v>0</v>
          </cell>
          <cell r="U145">
            <v>3</v>
          </cell>
          <cell r="V145">
            <v>167</v>
          </cell>
          <cell r="W145">
            <v>2</v>
          </cell>
          <cell r="X145">
            <v>403</v>
          </cell>
          <cell r="Y145">
            <v>4</v>
          </cell>
          <cell r="Z145">
            <v>765</v>
          </cell>
          <cell r="AA145">
            <v>1</v>
          </cell>
          <cell r="AB145">
            <v>550</v>
          </cell>
          <cell r="AC145">
            <v>0</v>
          </cell>
          <cell r="AD145">
            <v>0</v>
          </cell>
          <cell r="AE145">
            <v>0</v>
          </cell>
          <cell r="AF145">
            <v>0</v>
          </cell>
          <cell r="AG145">
            <v>0</v>
          </cell>
          <cell r="AH145">
            <v>0</v>
          </cell>
          <cell r="AI145">
            <v>5</v>
          </cell>
          <cell r="AJ145">
            <v>1315</v>
          </cell>
          <cell r="AK145">
            <v>0</v>
          </cell>
          <cell r="AL145">
            <v>0</v>
          </cell>
          <cell r="AM145">
            <v>3</v>
          </cell>
          <cell r="AN145">
            <v>167</v>
          </cell>
          <cell r="AO145">
            <v>2</v>
          </cell>
          <cell r="AP145">
            <v>403</v>
          </cell>
          <cell r="AQ145" t="str">
            <v>SEATTLE SOUTH &amp; EAST</v>
          </cell>
          <cell r="AR145">
            <v>86</v>
          </cell>
          <cell r="AS145">
            <v>10024</v>
          </cell>
          <cell r="AT145">
            <v>86</v>
          </cell>
          <cell r="AU145">
            <v>10024</v>
          </cell>
          <cell r="AV145">
            <v>81</v>
          </cell>
          <cell r="AW145">
            <v>9447</v>
          </cell>
          <cell r="AX145">
            <v>86</v>
          </cell>
          <cell r="AY145">
            <v>8838</v>
          </cell>
          <cell r="AZ145">
            <v>0</v>
          </cell>
          <cell r="BA145">
            <v>0</v>
          </cell>
        </row>
        <row r="146">
          <cell r="B146" t="str">
            <v>SOUTH JERSEY</v>
          </cell>
          <cell r="C146">
            <v>3</v>
          </cell>
          <cell r="D146">
            <v>230</v>
          </cell>
          <cell r="E146">
            <v>1</v>
          </cell>
          <cell r="F146">
            <v>125</v>
          </cell>
          <cell r="G146">
            <v>17</v>
          </cell>
          <cell r="H146">
            <v>1514</v>
          </cell>
          <cell r="I146">
            <v>1</v>
          </cell>
          <cell r="J146">
            <v>125</v>
          </cell>
          <cell r="K146">
            <v>3</v>
          </cell>
          <cell r="L146">
            <v>244</v>
          </cell>
          <cell r="M146">
            <v>3</v>
          </cell>
          <cell r="N146">
            <v>281</v>
          </cell>
          <cell r="O146">
            <v>6</v>
          </cell>
          <cell r="P146">
            <v>525</v>
          </cell>
          <cell r="Q146">
            <v>0</v>
          </cell>
          <cell r="R146">
            <v>0</v>
          </cell>
          <cell r="S146">
            <v>0</v>
          </cell>
          <cell r="T146">
            <v>0</v>
          </cell>
          <cell r="U146">
            <v>3</v>
          </cell>
          <cell r="V146">
            <v>244</v>
          </cell>
          <cell r="W146">
            <v>2</v>
          </cell>
          <cell r="X146">
            <v>179</v>
          </cell>
          <cell r="Y146">
            <v>1</v>
          </cell>
          <cell r="Z146">
            <v>102</v>
          </cell>
          <cell r="AA146">
            <v>0</v>
          </cell>
          <cell r="AB146">
            <v>0</v>
          </cell>
          <cell r="AC146">
            <v>0</v>
          </cell>
          <cell r="AD146">
            <v>0</v>
          </cell>
          <cell r="AE146">
            <v>0</v>
          </cell>
          <cell r="AF146">
            <v>0</v>
          </cell>
          <cell r="AG146">
            <v>0</v>
          </cell>
          <cell r="AH146">
            <v>0</v>
          </cell>
          <cell r="AI146">
            <v>1</v>
          </cell>
          <cell r="AJ146">
            <v>102</v>
          </cell>
          <cell r="AK146">
            <v>0</v>
          </cell>
          <cell r="AL146">
            <v>0</v>
          </cell>
          <cell r="AM146">
            <v>3</v>
          </cell>
          <cell r="AN146">
            <v>244</v>
          </cell>
          <cell r="AO146">
            <v>2</v>
          </cell>
          <cell r="AP146">
            <v>179</v>
          </cell>
          <cell r="AQ146" t="str">
            <v>SOUTH JERSEY</v>
          </cell>
          <cell r="AR146">
            <v>85</v>
          </cell>
          <cell r="AS146">
            <v>7827</v>
          </cell>
          <cell r="AT146">
            <v>84</v>
          </cell>
          <cell r="AU146">
            <v>7702</v>
          </cell>
          <cell r="AV146">
            <v>81</v>
          </cell>
          <cell r="AW146">
            <v>7472</v>
          </cell>
          <cell r="AX146">
            <v>75</v>
          </cell>
          <cell r="AY146">
            <v>7311</v>
          </cell>
          <cell r="AZ146">
            <v>1</v>
          </cell>
          <cell r="BA146">
            <v>102</v>
          </cell>
        </row>
        <row r="147">
          <cell r="B147" t="str">
            <v>ST. LOUIS AIRPORT</v>
          </cell>
          <cell r="C147">
            <v>1</v>
          </cell>
          <cell r="D147">
            <v>175</v>
          </cell>
          <cell r="E147">
            <v>0</v>
          </cell>
          <cell r="F147">
            <v>0</v>
          </cell>
          <cell r="G147">
            <v>4</v>
          </cell>
          <cell r="H147">
            <v>559</v>
          </cell>
          <cell r="I147">
            <v>0</v>
          </cell>
          <cell r="J147">
            <v>0</v>
          </cell>
          <cell r="K147">
            <v>0</v>
          </cell>
          <cell r="L147">
            <v>0</v>
          </cell>
          <cell r="M147">
            <v>1</v>
          </cell>
          <cell r="N147">
            <v>120</v>
          </cell>
          <cell r="O147">
            <v>1</v>
          </cell>
          <cell r="P147">
            <v>120</v>
          </cell>
          <cell r="Q147">
            <v>2</v>
          </cell>
          <cell r="R147">
            <v>200</v>
          </cell>
          <cell r="S147">
            <v>0</v>
          </cell>
          <cell r="T147">
            <v>0</v>
          </cell>
          <cell r="U147">
            <v>0</v>
          </cell>
          <cell r="V147">
            <v>0</v>
          </cell>
          <cell r="W147">
            <v>0</v>
          </cell>
          <cell r="X147">
            <v>0</v>
          </cell>
          <cell r="Y147">
            <v>3</v>
          </cell>
          <cell r="Z147">
            <v>320</v>
          </cell>
          <cell r="AA147">
            <v>0</v>
          </cell>
          <cell r="AB147">
            <v>0</v>
          </cell>
          <cell r="AC147">
            <v>0</v>
          </cell>
          <cell r="AD147">
            <v>0</v>
          </cell>
          <cell r="AE147">
            <v>0</v>
          </cell>
          <cell r="AF147">
            <v>0</v>
          </cell>
          <cell r="AG147">
            <v>0</v>
          </cell>
          <cell r="AH147">
            <v>0</v>
          </cell>
          <cell r="AI147">
            <v>3</v>
          </cell>
          <cell r="AJ147">
            <v>320</v>
          </cell>
          <cell r="AK147">
            <v>0</v>
          </cell>
          <cell r="AL147">
            <v>0</v>
          </cell>
          <cell r="AM147">
            <v>0</v>
          </cell>
          <cell r="AN147">
            <v>0</v>
          </cell>
          <cell r="AO147">
            <v>0</v>
          </cell>
          <cell r="AP147">
            <v>0</v>
          </cell>
          <cell r="AQ147" t="str">
            <v>SAINT LOUIS AIRPORT</v>
          </cell>
          <cell r="AR147">
            <v>35</v>
          </cell>
          <cell r="AS147">
            <v>5785</v>
          </cell>
          <cell r="AT147">
            <v>35</v>
          </cell>
          <cell r="AU147">
            <v>5785</v>
          </cell>
          <cell r="AV147">
            <v>34</v>
          </cell>
          <cell r="AW147">
            <v>5610</v>
          </cell>
          <cell r="AX147">
            <v>35</v>
          </cell>
          <cell r="AY147">
            <v>6007</v>
          </cell>
          <cell r="AZ147">
            <v>1</v>
          </cell>
          <cell r="BA147">
            <v>120</v>
          </cell>
        </row>
        <row r="148">
          <cell r="B148" t="str">
            <v>ST. LOUIS CBD</v>
          </cell>
          <cell r="C148">
            <v>1</v>
          </cell>
          <cell r="D148">
            <v>362</v>
          </cell>
          <cell r="E148">
            <v>3</v>
          </cell>
          <cell r="F148">
            <v>606</v>
          </cell>
          <cell r="G148">
            <v>5</v>
          </cell>
          <cell r="H148">
            <v>1033</v>
          </cell>
          <cell r="I148">
            <v>2</v>
          </cell>
          <cell r="J148">
            <v>349</v>
          </cell>
          <cell r="K148">
            <v>2</v>
          </cell>
          <cell r="L148">
            <v>1080</v>
          </cell>
          <cell r="M148">
            <v>1</v>
          </cell>
          <cell r="N148">
            <v>212</v>
          </cell>
          <cell r="O148">
            <v>3</v>
          </cell>
          <cell r="P148">
            <v>1292</v>
          </cell>
          <cell r="Q148">
            <v>0</v>
          </cell>
          <cell r="R148">
            <v>0</v>
          </cell>
          <cell r="S148">
            <v>0</v>
          </cell>
          <cell r="T148">
            <v>0</v>
          </cell>
          <cell r="U148">
            <v>1</v>
          </cell>
          <cell r="V148">
            <v>163</v>
          </cell>
          <cell r="W148">
            <v>1</v>
          </cell>
          <cell r="X148">
            <v>917</v>
          </cell>
          <cell r="Y148">
            <v>1</v>
          </cell>
          <cell r="Z148">
            <v>212</v>
          </cell>
          <cell r="AA148">
            <v>0</v>
          </cell>
          <cell r="AB148">
            <v>0</v>
          </cell>
          <cell r="AC148">
            <v>0</v>
          </cell>
          <cell r="AD148">
            <v>0</v>
          </cell>
          <cell r="AE148">
            <v>0</v>
          </cell>
          <cell r="AF148">
            <v>0</v>
          </cell>
          <cell r="AG148">
            <v>0</v>
          </cell>
          <cell r="AH148">
            <v>0</v>
          </cell>
          <cell r="AI148">
            <v>1</v>
          </cell>
          <cell r="AJ148">
            <v>212</v>
          </cell>
          <cell r="AK148">
            <v>0</v>
          </cell>
          <cell r="AL148">
            <v>0</v>
          </cell>
          <cell r="AM148">
            <v>1</v>
          </cell>
          <cell r="AN148">
            <v>163</v>
          </cell>
          <cell r="AO148">
            <v>1</v>
          </cell>
          <cell r="AP148">
            <v>917</v>
          </cell>
          <cell r="AQ148" t="str">
            <v>SAINT LOUIS CBD</v>
          </cell>
          <cell r="AR148">
            <v>39</v>
          </cell>
          <cell r="AS148">
            <v>9266</v>
          </cell>
          <cell r="AT148">
            <v>36</v>
          </cell>
          <cell r="AU148">
            <v>8660</v>
          </cell>
          <cell r="AV148">
            <v>35</v>
          </cell>
          <cell r="AW148">
            <v>8298</v>
          </cell>
          <cell r="AX148">
            <v>32</v>
          </cell>
          <cell r="AY148">
            <v>7783</v>
          </cell>
          <cell r="AZ148">
            <v>1</v>
          </cell>
          <cell r="BA148">
            <v>212</v>
          </cell>
        </row>
        <row r="149">
          <cell r="B149" t="str">
            <v>ST. LOUIS EAST</v>
          </cell>
          <cell r="C149">
            <v>4</v>
          </cell>
          <cell r="D149">
            <v>315</v>
          </cell>
          <cell r="E149">
            <v>1</v>
          </cell>
          <cell r="F149">
            <v>65</v>
          </cell>
          <cell r="G149">
            <v>21</v>
          </cell>
          <cell r="H149">
            <v>1495</v>
          </cell>
          <cell r="I149">
            <v>0</v>
          </cell>
          <cell r="J149">
            <v>0</v>
          </cell>
          <cell r="K149">
            <v>1</v>
          </cell>
          <cell r="L149">
            <v>125</v>
          </cell>
          <cell r="M149">
            <v>1</v>
          </cell>
          <cell r="N149">
            <v>80</v>
          </cell>
          <cell r="O149">
            <v>2</v>
          </cell>
          <cell r="P149">
            <v>205</v>
          </cell>
          <cell r="Q149">
            <v>1</v>
          </cell>
          <cell r="R149">
            <v>80</v>
          </cell>
          <cell r="S149">
            <v>0</v>
          </cell>
          <cell r="T149">
            <v>0</v>
          </cell>
          <cell r="U149">
            <v>1</v>
          </cell>
          <cell r="V149">
            <v>125</v>
          </cell>
          <cell r="W149">
            <v>1</v>
          </cell>
          <cell r="X149">
            <v>80</v>
          </cell>
          <cell r="Y149">
            <v>1</v>
          </cell>
          <cell r="Z149">
            <v>80</v>
          </cell>
          <cell r="AA149">
            <v>0</v>
          </cell>
          <cell r="AB149">
            <v>0</v>
          </cell>
          <cell r="AC149">
            <v>0</v>
          </cell>
          <cell r="AD149">
            <v>0</v>
          </cell>
          <cell r="AE149">
            <v>0</v>
          </cell>
          <cell r="AF149">
            <v>0</v>
          </cell>
          <cell r="AG149">
            <v>0</v>
          </cell>
          <cell r="AH149">
            <v>0</v>
          </cell>
          <cell r="AI149">
            <v>1</v>
          </cell>
          <cell r="AJ149">
            <v>80</v>
          </cell>
          <cell r="AK149">
            <v>0</v>
          </cell>
          <cell r="AL149">
            <v>0</v>
          </cell>
          <cell r="AM149">
            <v>1</v>
          </cell>
          <cell r="AN149">
            <v>125</v>
          </cell>
          <cell r="AO149">
            <v>1</v>
          </cell>
          <cell r="AP149">
            <v>80</v>
          </cell>
          <cell r="AQ149" t="str">
            <v>SAINT LOUIS EAST</v>
          </cell>
          <cell r="AR149">
            <v>62</v>
          </cell>
          <cell r="AS149">
            <v>4476</v>
          </cell>
          <cell r="AT149">
            <v>61</v>
          </cell>
          <cell r="AU149">
            <v>4411</v>
          </cell>
          <cell r="AV149">
            <v>57</v>
          </cell>
          <cell r="AW149">
            <v>4096</v>
          </cell>
          <cell r="AX149">
            <v>71</v>
          </cell>
          <cell r="AY149">
            <v>5061</v>
          </cell>
          <cell r="AZ149">
            <v>0</v>
          </cell>
          <cell r="BA149">
            <v>0</v>
          </cell>
        </row>
        <row r="150">
          <cell r="B150" t="str">
            <v>ST. LOUIS NORTHWEST</v>
          </cell>
          <cell r="C150">
            <v>0</v>
          </cell>
          <cell r="D150">
            <v>0</v>
          </cell>
          <cell r="E150">
            <v>1</v>
          </cell>
          <cell r="F150">
            <v>71</v>
          </cell>
          <cell r="G150">
            <v>16</v>
          </cell>
          <cell r="H150">
            <v>2017</v>
          </cell>
          <cell r="I150">
            <v>1</v>
          </cell>
          <cell r="J150">
            <v>71</v>
          </cell>
          <cell r="K150">
            <v>2</v>
          </cell>
          <cell r="L150">
            <v>184</v>
          </cell>
          <cell r="M150">
            <v>2</v>
          </cell>
          <cell r="N150">
            <v>220</v>
          </cell>
          <cell r="O150">
            <v>4</v>
          </cell>
          <cell r="P150">
            <v>404</v>
          </cell>
          <cell r="Q150">
            <v>1</v>
          </cell>
          <cell r="R150">
            <v>539</v>
          </cell>
          <cell r="S150">
            <v>0</v>
          </cell>
          <cell r="T150">
            <v>0</v>
          </cell>
          <cell r="U150">
            <v>2</v>
          </cell>
          <cell r="V150">
            <v>184</v>
          </cell>
          <cell r="W150">
            <v>2</v>
          </cell>
          <cell r="X150">
            <v>220</v>
          </cell>
          <cell r="Y150">
            <v>0</v>
          </cell>
          <cell r="Z150">
            <v>0</v>
          </cell>
          <cell r="AA150">
            <v>1</v>
          </cell>
          <cell r="AB150">
            <v>539</v>
          </cell>
          <cell r="AC150">
            <v>0</v>
          </cell>
          <cell r="AD150">
            <v>0</v>
          </cell>
          <cell r="AE150">
            <v>0</v>
          </cell>
          <cell r="AF150">
            <v>0</v>
          </cell>
          <cell r="AG150">
            <v>0</v>
          </cell>
          <cell r="AH150">
            <v>0</v>
          </cell>
          <cell r="AI150">
            <v>1</v>
          </cell>
          <cell r="AJ150">
            <v>539</v>
          </cell>
          <cell r="AK150">
            <v>0</v>
          </cell>
          <cell r="AL150">
            <v>0</v>
          </cell>
          <cell r="AM150">
            <v>2</v>
          </cell>
          <cell r="AN150">
            <v>184</v>
          </cell>
          <cell r="AO150">
            <v>2</v>
          </cell>
          <cell r="AP150">
            <v>220</v>
          </cell>
          <cell r="AQ150" t="str">
            <v>SAINT LOUIS NORTHWEST</v>
          </cell>
          <cell r="AR150">
            <v>55</v>
          </cell>
          <cell r="AS150">
            <v>6993</v>
          </cell>
          <cell r="AT150">
            <v>54</v>
          </cell>
          <cell r="AU150">
            <v>6922</v>
          </cell>
          <cell r="AV150">
            <v>54</v>
          </cell>
          <cell r="AW150">
            <v>6922</v>
          </cell>
          <cell r="AX150">
            <v>54</v>
          </cell>
          <cell r="AY150">
            <v>7017</v>
          </cell>
          <cell r="AZ150">
            <v>0</v>
          </cell>
          <cell r="BA150">
            <v>0</v>
          </cell>
        </row>
        <row r="151">
          <cell r="B151" t="str">
            <v>ST. LOUIS SOUTHWEST</v>
          </cell>
          <cell r="C151">
            <v>4</v>
          </cell>
          <cell r="D151">
            <v>433</v>
          </cell>
          <cell r="E151">
            <v>2</v>
          </cell>
          <cell r="F151">
            <v>155</v>
          </cell>
          <cell r="G151">
            <v>14</v>
          </cell>
          <cell r="H151">
            <v>1306</v>
          </cell>
          <cell r="I151">
            <v>1</v>
          </cell>
          <cell r="J151">
            <v>71</v>
          </cell>
          <cell r="K151">
            <v>1</v>
          </cell>
          <cell r="L151">
            <v>100</v>
          </cell>
          <cell r="M151">
            <v>5</v>
          </cell>
          <cell r="N151">
            <v>732</v>
          </cell>
          <cell r="O151">
            <v>6</v>
          </cell>
          <cell r="P151">
            <v>832</v>
          </cell>
          <cell r="Q151">
            <v>0</v>
          </cell>
          <cell r="R151">
            <v>0</v>
          </cell>
          <cell r="S151">
            <v>0</v>
          </cell>
          <cell r="T151">
            <v>0</v>
          </cell>
          <cell r="U151">
            <v>1</v>
          </cell>
          <cell r="V151">
            <v>100</v>
          </cell>
          <cell r="W151">
            <v>3</v>
          </cell>
          <cell r="X151">
            <v>279</v>
          </cell>
          <cell r="Y151">
            <v>2</v>
          </cell>
          <cell r="Z151">
            <v>453</v>
          </cell>
          <cell r="AA151">
            <v>0</v>
          </cell>
          <cell r="AB151">
            <v>0</v>
          </cell>
          <cell r="AC151">
            <v>0</v>
          </cell>
          <cell r="AD151">
            <v>0</v>
          </cell>
          <cell r="AE151">
            <v>0</v>
          </cell>
          <cell r="AF151">
            <v>0</v>
          </cell>
          <cell r="AG151">
            <v>0</v>
          </cell>
          <cell r="AH151">
            <v>0</v>
          </cell>
          <cell r="AI151">
            <v>2</v>
          </cell>
          <cell r="AJ151">
            <v>453</v>
          </cell>
          <cell r="AK151">
            <v>0</v>
          </cell>
          <cell r="AL151">
            <v>0</v>
          </cell>
          <cell r="AM151">
            <v>1</v>
          </cell>
          <cell r="AN151">
            <v>100</v>
          </cell>
          <cell r="AO151">
            <v>3</v>
          </cell>
          <cell r="AP151">
            <v>279</v>
          </cell>
          <cell r="AQ151" t="str">
            <v>SAINT LOUIS SOUTHWEST</v>
          </cell>
          <cell r="AR151">
            <v>49</v>
          </cell>
          <cell r="AS151">
            <v>5335</v>
          </cell>
          <cell r="AT151">
            <v>47</v>
          </cell>
          <cell r="AU151">
            <v>5180</v>
          </cell>
          <cell r="AV151">
            <v>43</v>
          </cell>
          <cell r="AW151">
            <v>4747</v>
          </cell>
          <cell r="AX151">
            <v>51</v>
          </cell>
          <cell r="AY151">
            <v>5426</v>
          </cell>
          <cell r="AZ151">
            <v>2</v>
          </cell>
          <cell r="BA151">
            <v>453</v>
          </cell>
        </row>
        <row r="152">
          <cell r="B152" t="str">
            <v>ST. PAUL</v>
          </cell>
          <cell r="C152">
            <v>2</v>
          </cell>
          <cell r="D152">
            <v>133</v>
          </cell>
          <cell r="E152">
            <v>1</v>
          </cell>
          <cell r="F152">
            <v>120</v>
          </cell>
          <cell r="G152">
            <v>11</v>
          </cell>
          <cell r="H152">
            <v>986</v>
          </cell>
          <cell r="I152">
            <v>1</v>
          </cell>
          <cell r="J152">
            <v>120</v>
          </cell>
          <cell r="K152">
            <v>1</v>
          </cell>
          <cell r="L152">
            <v>70</v>
          </cell>
          <cell r="M152">
            <v>1</v>
          </cell>
          <cell r="N152">
            <v>83</v>
          </cell>
          <cell r="O152">
            <v>2</v>
          </cell>
          <cell r="P152">
            <v>153</v>
          </cell>
          <cell r="Q152">
            <v>1</v>
          </cell>
          <cell r="R152">
            <v>83</v>
          </cell>
          <cell r="S152">
            <v>0</v>
          </cell>
          <cell r="T152">
            <v>0</v>
          </cell>
          <cell r="U152">
            <v>1</v>
          </cell>
          <cell r="V152">
            <v>70</v>
          </cell>
          <cell r="W152">
            <v>0</v>
          </cell>
          <cell r="X152">
            <v>0</v>
          </cell>
          <cell r="Y152">
            <v>2</v>
          </cell>
          <cell r="Z152">
            <v>166</v>
          </cell>
          <cell r="AA152">
            <v>0</v>
          </cell>
          <cell r="AB152">
            <v>0</v>
          </cell>
          <cell r="AC152">
            <v>0</v>
          </cell>
          <cell r="AD152">
            <v>0</v>
          </cell>
          <cell r="AE152">
            <v>0</v>
          </cell>
          <cell r="AF152">
            <v>0</v>
          </cell>
          <cell r="AG152">
            <v>0</v>
          </cell>
          <cell r="AH152">
            <v>0</v>
          </cell>
          <cell r="AI152">
            <v>2</v>
          </cell>
          <cell r="AJ152">
            <v>166</v>
          </cell>
          <cell r="AK152">
            <v>0</v>
          </cell>
          <cell r="AL152">
            <v>0</v>
          </cell>
          <cell r="AM152">
            <v>1</v>
          </cell>
          <cell r="AN152">
            <v>70</v>
          </cell>
          <cell r="AO152">
            <v>0</v>
          </cell>
          <cell r="AP152">
            <v>0</v>
          </cell>
          <cell r="AQ152" t="str">
            <v>SAINT PAUL</v>
          </cell>
          <cell r="AR152">
            <v>43</v>
          </cell>
          <cell r="AS152">
            <v>5587</v>
          </cell>
          <cell r="AT152">
            <v>42</v>
          </cell>
          <cell r="AU152">
            <v>5467</v>
          </cell>
          <cell r="AV152">
            <v>40</v>
          </cell>
          <cell r="AW152">
            <v>5334</v>
          </cell>
          <cell r="AX152">
            <v>46</v>
          </cell>
          <cell r="AY152">
            <v>5652</v>
          </cell>
          <cell r="AZ152">
            <v>1</v>
          </cell>
          <cell r="BA152">
            <v>83</v>
          </cell>
        </row>
        <row r="153">
          <cell r="B153" t="str">
            <v>ST. PETERSBURG</v>
          </cell>
          <cell r="C153">
            <v>1</v>
          </cell>
          <cell r="D153">
            <v>130</v>
          </cell>
          <cell r="E153">
            <v>1</v>
          </cell>
          <cell r="F153">
            <v>205</v>
          </cell>
          <cell r="G153">
            <v>3</v>
          </cell>
          <cell r="H153">
            <v>467</v>
          </cell>
          <cell r="I153">
            <v>1</v>
          </cell>
          <cell r="J153">
            <v>205</v>
          </cell>
          <cell r="K153">
            <v>1</v>
          </cell>
          <cell r="L153">
            <v>92</v>
          </cell>
          <cell r="M153">
            <v>0</v>
          </cell>
          <cell r="N153">
            <v>0</v>
          </cell>
          <cell r="O153">
            <v>1</v>
          </cell>
          <cell r="P153">
            <v>92</v>
          </cell>
          <cell r="Q153">
            <v>0</v>
          </cell>
          <cell r="R153">
            <v>0</v>
          </cell>
          <cell r="S153">
            <v>0</v>
          </cell>
          <cell r="T153">
            <v>0</v>
          </cell>
          <cell r="U153">
            <v>0</v>
          </cell>
          <cell r="V153">
            <v>0</v>
          </cell>
          <cell r="W153">
            <v>1</v>
          </cell>
          <cell r="X153">
            <v>92</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1</v>
          </cell>
          <cell r="AP153">
            <v>92</v>
          </cell>
          <cell r="AQ153" t="str">
            <v>SAINT PETERSBURG</v>
          </cell>
          <cell r="AR153">
            <v>99</v>
          </cell>
          <cell r="AS153">
            <v>9584</v>
          </cell>
          <cell r="AT153">
            <v>98</v>
          </cell>
          <cell r="AU153">
            <v>9379</v>
          </cell>
          <cell r="AV153">
            <v>97</v>
          </cell>
          <cell r="AW153">
            <v>9249</v>
          </cell>
          <cell r="AX153">
            <v>96</v>
          </cell>
          <cell r="AY153">
            <v>8924</v>
          </cell>
          <cell r="AZ153">
            <v>0</v>
          </cell>
          <cell r="BA153">
            <v>0</v>
          </cell>
        </row>
        <row r="154">
          <cell r="B154" t="str">
            <v>SUBURBAN MARYLAND SOUTH</v>
          </cell>
          <cell r="C154">
            <v>2</v>
          </cell>
          <cell r="D154">
            <v>169</v>
          </cell>
          <cell r="E154">
            <v>0</v>
          </cell>
          <cell r="F154">
            <v>0</v>
          </cell>
          <cell r="G154">
            <v>6</v>
          </cell>
          <cell r="H154">
            <v>503</v>
          </cell>
          <cell r="I154">
            <v>0</v>
          </cell>
          <cell r="J154">
            <v>0</v>
          </cell>
          <cell r="K154">
            <v>1</v>
          </cell>
          <cell r="L154">
            <v>120</v>
          </cell>
          <cell r="M154">
            <v>0</v>
          </cell>
          <cell r="N154">
            <v>0</v>
          </cell>
          <cell r="O154">
            <v>1</v>
          </cell>
          <cell r="P154">
            <v>120</v>
          </cell>
          <cell r="Q154">
            <v>2</v>
          </cell>
          <cell r="R154">
            <v>202</v>
          </cell>
          <cell r="S154">
            <v>0</v>
          </cell>
          <cell r="T154">
            <v>0</v>
          </cell>
          <cell r="U154">
            <v>1</v>
          </cell>
          <cell r="V154">
            <v>120</v>
          </cell>
          <cell r="W154">
            <v>0</v>
          </cell>
          <cell r="X154">
            <v>0</v>
          </cell>
          <cell r="Y154">
            <v>2</v>
          </cell>
          <cell r="Z154">
            <v>202</v>
          </cell>
          <cell r="AA154">
            <v>0</v>
          </cell>
          <cell r="AB154">
            <v>0</v>
          </cell>
          <cell r="AC154">
            <v>0</v>
          </cell>
          <cell r="AD154">
            <v>0</v>
          </cell>
          <cell r="AE154">
            <v>0</v>
          </cell>
          <cell r="AF154">
            <v>0</v>
          </cell>
          <cell r="AG154">
            <v>0</v>
          </cell>
          <cell r="AH154">
            <v>0</v>
          </cell>
          <cell r="AI154">
            <v>2</v>
          </cell>
          <cell r="AJ154">
            <v>202</v>
          </cell>
          <cell r="AK154">
            <v>0</v>
          </cell>
          <cell r="AL154">
            <v>0</v>
          </cell>
          <cell r="AM154">
            <v>1</v>
          </cell>
          <cell r="AN154">
            <v>120</v>
          </cell>
          <cell r="AO154">
            <v>0</v>
          </cell>
          <cell r="AP154">
            <v>0</v>
          </cell>
          <cell r="AQ154" t="str">
            <v>SUBURBAN MARYLAND SOUTH</v>
          </cell>
          <cell r="AR154">
            <v>49</v>
          </cell>
          <cell r="AS154">
            <v>5471</v>
          </cell>
          <cell r="AT154">
            <v>49</v>
          </cell>
          <cell r="AU154">
            <v>5471</v>
          </cell>
          <cell r="AV154">
            <v>47</v>
          </cell>
          <cell r="AW154">
            <v>5302</v>
          </cell>
          <cell r="AX154">
            <v>51</v>
          </cell>
          <cell r="AY154">
            <v>5793</v>
          </cell>
          <cell r="AZ154">
            <v>0</v>
          </cell>
          <cell r="BA154">
            <v>0</v>
          </cell>
        </row>
        <row r="155">
          <cell r="B155" t="str">
            <v>SUBURBAN VIRGINIA AREA</v>
          </cell>
          <cell r="C155">
            <v>4</v>
          </cell>
          <cell r="D155">
            <v>392</v>
          </cell>
          <cell r="E155">
            <v>5</v>
          </cell>
          <cell r="F155">
            <v>530</v>
          </cell>
          <cell r="G155">
            <v>23</v>
          </cell>
          <cell r="H155">
            <v>2129</v>
          </cell>
          <cell r="I155">
            <v>2</v>
          </cell>
          <cell r="J155">
            <v>194</v>
          </cell>
          <cell r="K155">
            <v>2</v>
          </cell>
          <cell r="L155">
            <v>161</v>
          </cell>
          <cell r="M155">
            <v>7</v>
          </cell>
          <cell r="N155">
            <v>755</v>
          </cell>
          <cell r="O155">
            <v>9</v>
          </cell>
          <cell r="P155">
            <v>916</v>
          </cell>
          <cell r="Q155">
            <v>7</v>
          </cell>
          <cell r="R155">
            <v>1108</v>
          </cell>
          <cell r="S155">
            <v>0</v>
          </cell>
          <cell r="T155">
            <v>0</v>
          </cell>
          <cell r="U155">
            <v>2</v>
          </cell>
          <cell r="V155">
            <v>161</v>
          </cell>
          <cell r="W155">
            <v>6</v>
          </cell>
          <cell r="X155">
            <v>628</v>
          </cell>
          <cell r="Y155">
            <v>4</v>
          </cell>
          <cell r="Z155">
            <v>602</v>
          </cell>
          <cell r="AA155">
            <v>0</v>
          </cell>
          <cell r="AB155">
            <v>0</v>
          </cell>
          <cell r="AC155">
            <v>4</v>
          </cell>
          <cell r="AD155">
            <v>633</v>
          </cell>
          <cell r="AE155">
            <v>0</v>
          </cell>
          <cell r="AF155">
            <v>0</v>
          </cell>
          <cell r="AG155">
            <v>0</v>
          </cell>
          <cell r="AH155">
            <v>0</v>
          </cell>
          <cell r="AI155">
            <v>8</v>
          </cell>
          <cell r="AJ155">
            <v>1235</v>
          </cell>
          <cell r="AK155">
            <v>0</v>
          </cell>
          <cell r="AL155">
            <v>0</v>
          </cell>
          <cell r="AM155">
            <v>2</v>
          </cell>
          <cell r="AN155">
            <v>161</v>
          </cell>
          <cell r="AO155">
            <v>6</v>
          </cell>
          <cell r="AP155">
            <v>628</v>
          </cell>
          <cell r="AQ155" t="str">
            <v>SUBURBAN VIRGINIA AREA</v>
          </cell>
          <cell r="AR155">
            <v>56</v>
          </cell>
          <cell r="AS155">
            <v>7007</v>
          </cell>
          <cell r="AT155">
            <v>51</v>
          </cell>
          <cell r="AU155">
            <v>6477</v>
          </cell>
          <cell r="AV155">
            <v>47</v>
          </cell>
          <cell r="AW155">
            <v>6085</v>
          </cell>
          <cell r="AX155">
            <v>57</v>
          </cell>
          <cell r="AY155">
            <v>6978</v>
          </cell>
          <cell r="AZ155">
            <v>1</v>
          </cell>
          <cell r="BA155">
            <v>127</v>
          </cell>
        </row>
        <row r="156">
          <cell r="B156" t="str">
            <v>TAMPA DOWNTOWN-AIRPORT</v>
          </cell>
          <cell r="C156">
            <v>2</v>
          </cell>
          <cell r="D156">
            <v>826</v>
          </cell>
          <cell r="E156">
            <v>4</v>
          </cell>
          <cell r="F156">
            <v>458</v>
          </cell>
          <cell r="G156">
            <v>14</v>
          </cell>
          <cell r="H156">
            <v>2390</v>
          </cell>
          <cell r="I156">
            <v>2</v>
          </cell>
          <cell r="J156">
            <v>309</v>
          </cell>
          <cell r="K156">
            <v>1</v>
          </cell>
          <cell r="L156">
            <v>85</v>
          </cell>
          <cell r="M156">
            <v>4</v>
          </cell>
          <cell r="N156">
            <v>673</v>
          </cell>
          <cell r="O156">
            <v>5</v>
          </cell>
          <cell r="P156">
            <v>758</v>
          </cell>
          <cell r="Q156">
            <v>2</v>
          </cell>
          <cell r="R156">
            <v>355</v>
          </cell>
          <cell r="S156">
            <v>0</v>
          </cell>
          <cell r="T156">
            <v>0</v>
          </cell>
          <cell r="U156">
            <v>1</v>
          </cell>
          <cell r="V156">
            <v>85</v>
          </cell>
          <cell r="W156">
            <v>1</v>
          </cell>
          <cell r="X156">
            <v>152</v>
          </cell>
          <cell r="Y156">
            <v>5</v>
          </cell>
          <cell r="Z156">
            <v>876</v>
          </cell>
          <cell r="AA156">
            <v>0</v>
          </cell>
          <cell r="AB156">
            <v>0</v>
          </cell>
          <cell r="AC156">
            <v>0</v>
          </cell>
          <cell r="AD156">
            <v>0</v>
          </cell>
          <cell r="AE156">
            <v>0</v>
          </cell>
          <cell r="AF156">
            <v>0</v>
          </cell>
          <cell r="AG156">
            <v>0</v>
          </cell>
          <cell r="AH156">
            <v>0</v>
          </cell>
          <cell r="AI156">
            <v>5</v>
          </cell>
          <cell r="AJ156">
            <v>876</v>
          </cell>
          <cell r="AK156">
            <v>0</v>
          </cell>
          <cell r="AL156">
            <v>0</v>
          </cell>
          <cell r="AM156">
            <v>1</v>
          </cell>
          <cell r="AN156">
            <v>85</v>
          </cell>
          <cell r="AO156">
            <v>1</v>
          </cell>
          <cell r="AP156">
            <v>152</v>
          </cell>
          <cell r="AQ156" t="str">
            <v>TAMPA DOWNTOWN-AIRPORT</v>
          </cell>
          <cell r="AR156">
            <v>51</v>
          </cell>
          <cell r="AS156">
            <v>9869</v>
          </cell>
          <cell r="AT156">
            <v>47</v>
          </cell>
          <cell r="AU156">
            <v>9411</v>
          </cell>
          <cell r="AV156">
            <v>45</v>
          </cell>
          <cell r="AW156">
            <v>8585</v>
          </cell>
          <cell r="AX156">
            <v>46</v>
          </cell>
          <cell r="AY156">
            <v>9696</v>
          </cell>
          <cell r="AZ156">
            <v>3</v>
          </cell>
          <cell r="BA156">
            <v>521</v>
          </cell>
        </row>
        <row r="157">
          <cell r="B157" t="str">
            <v>TAMPA EAST</v>
          </cell>
          <cell r="C157">
            <v>2</v>
          </cell>
          <cell r="D157">
            <v>220</v>
          </cell>
          <cell r="E157">
            <v>0</v>
          </cell>
          <cell r="F157">
            <v>0</v>
          </cell>
          <cell r="G157">
            <v>13</v>
          </cell>
          <cell r="H157">
            <v>1337</v>
          </cell>
          <cell r="I157">
            <v>1</v>
          </cell>
          <cell r="J157">
            <v>152</v>
          </cell>
          <cell r="K157">
            <v>0</v>
          </cell>
          <cell r="L157">
            <v>0</v>
          </cell>
          <cell r="M157">
            <v>3</v>
          </cell>
          <cell r="N157">
            <v>413</v>
          </cell>
          <cell r="O157">
            <v>3</v>
          </cell>
          <cell r="P157">
            <v>413</v>
          </cell>
          <cell r="Q157">
            <v>3</v>
          </cell>
          <cell r="R157">
            <v>268</v>
          </cell>
          <cell r="S157">
            <v>1</v>
          </cell>
          <cell r="T157">
            <v>152</v>
          </cell>
          <cell r="U157">
            <v>0</v>
          </cell>
          <cell r="V157">
            <v>0</v>
          </cell>
          <cell r="W157">
            <v>2</v>
          </cell>
          <cell r="X157">
            <v>330</v>
          </cell>
          <cell r="Y157">
            <v>4</v>
          </cell>
          <cell r="Z157">
            <v>351</v>
          </cell>
          <cell r="AA157">
            <v>0</v>
          </cell>
          <cell r="AB157">
            <v>0</v>
          </cell>
          <cell r="AC157">
            <v>0</v>
          </cell>
          <cell r="AD157">
            <v>0</v>
          </cell>
          <cell r="AE157">
            <v>0</v>
          </cell>
          <cell r="AF157">
            <v>0</v>
          </cell>
          <cell r="AG157">
            <v>0</v>
          </cell>
          <cell r="AH157">
            <v>0</v>
          </cell>
          <cell r="AI157">
            <v>4</v>
          </cell>
          <cell r="AJ157">
            <v>351</v>
          </cell>
          <cell r="AK157">
            <v>0</v>
          </cell>
          <cell r="AL157">
            <v>0</v>
          </cell>
          <cell r="AM157">
            <v>0</v>
          </cell>
          <cell r="AN157">
            <v>0</v>
          </cell>
          <cell r="AO157">
            <v>2</v>
          </cell>
          <cell r="AP157">
            <v>330</v>
          </cell>
          <cell r="AQ157" t="str">
            <v>TAMPA EAST</v>
          </cell>
          <cell r="AR157">
            <v>43</v>
          </cell>
          <cell r="AS157">
            <v>4669</v>
          </cell>
          <cell r="AT157">
            <v>43</v>
          </cell>
          <cell r="AU157">
            <v>4669</v>
          </cell>
          <cell r="AV157">
            <v>41</v>
          </cell>
          <cell r="AW157">
            <v>4449</v>
          </cell>
          <cell r="AX157">
            <v>39</v>
          </cell>
          <cell r="AY157">
            <v>4109</v>
          </cell>
          <cell r="AZ157">
            <v>1</v>
          </cell>
          <cell r="BA157">
            <v>83</v>
          </cell>
        </row>
        <row r="158">
          <cell r="B158" t="str">
            <v>TAMPA NORTH-BUSCH GARDENS</v>
          </cell>
          <cell r="C158">
            <v>1</v>
          </cell>
          <cell r="D158">
            <v>150</v>
          </cell>
          <cell r="E158">
            <v>0</v>
          </cell>
          <cell r="F158">
            <v>0</v>
          </cell>
          <cell r="G158">
            <v>15</v>
          </cell>
          <cell r="H158">
            <v>1604</v>
          </cell>
          <cell r="I158">
            <v>0</v>
          </cell>
          <cell r="J158">
            <v>0</v>
          </cell>
          <cell r="K158">
            <v>0</v>
          </cell>
          <cell r="L158">
            <v>0</v>
          </cell>
          <cell r="M158">
            <v>1</v>
          </cell>
          <cell r="N158">
            <v>100</v>
          </cell>
          <cell r="O158">
            <v>1</v>
          </cell>
          <cell r="P158">
            <v>100</v>
          </cell>
          <cell r="Q158">
            <v>2</v>
          </cell>
          <cell r="R158">
            <v>135</v>
          </cell>
          <cell r="S158">
            <v>0</v>
          </cell>
          <cell r="T158">
            <v>0</v>
          </cell>
          <cell r="U158">
            <v>0</v>
          </cell>
          <cell r="V158">
            <v>0</v>
          </cell>
          <cell r="W158">
            <v>1</v>
          </cell>
          <cell r="X158">
            <v>100</v>
          </cell>
          <cell r="Y158">
            <v>2</v>
          </cell>
          <cell r="Z158">
            <v>135</v>
          </cell>
          <cell r="AA158">
            <v>0</v>
          </cell>
          <cell r="AB158">
            <v>0</v>
          </cell>
          <cell r="AC158">
            <v>0</v>
          </cell>
          <cell r="AD158">
            <v>0</v>
          </cell>
          <cell r="AE158">
            <v>0</v>
          </cell>
          <cell r="AF158">
            <v>0</v>
          </cell>
          <cell r="AG158">
            <v>0</v>
          </cell>
          <cell r="AH158">
            <v>0</v>
          </cell>
          <cell r="AI158">
            <v>2</v>
          </cell>
          <cell r="AJ158">
            <v>135</v>
          </cell>
          <cell r="AK158">
            <v>0</v>
          </cell>
          <cell r="AL158">
            <v>0</v>
          </cell>
          <cell r="AM158">
            <v>0</v>
          </cell>
          <cell r="AN158">
            <v>0</v>
          </cell>
          <cell r="AO158">
            <v>1</v>
          </cell>
          <cell r="AP158">
            <v>100</v>
          </cell>
          <cell r="AQ158" t="str">
            <v>TAMPA NORTH-BUSCH GARDENS</v>
          </cell>
          <cell r="AR158">
            <v>41</v>
          </cell>
          <cell r="AS158">
            <v>5451</v>
          </cell>
          <cell r="AT158">
            <v>41</v>
          </cell>
          <cell r="AU158">
            <v>5451</v>
          </cell>
          <cell r="AV158">
            <v>40</v>
          </cell>
          <cell r="AW158">
            <v>5301</v>
          </cell>
          <cell r="AX158">
            <v>43</v>
          </cell>
          <cell r="AY158">
            <v>5604</v>
          </cell>
          <cell r="AZ158">
            <v>0</v>
          </cell>
          <cell r="BA158">
            <v>0</v>
          </cell>
        </row>
        <row r="159">
          <cell r="B159" t="str">
            <v>TARPON SPRINGS/NEW PORT RICHEY</v>
          </cell>
          <cell r="C159">
            <v>0</v>
          </cell>
          <cell r="D159">
            <v>0</v>
          </cell>
          <cell r="E159">
            <v>1</v>
          </cell>
          <cell r="F159">
            <v>82</v>
          </cell>
          <cell r="G159">
            <v>3</v>
          </cell>
          <cell r="H159">
            <v>253</v>
          </cell>
          <cell r="I159">
            <v>1</v>
          </cell>
          <cell r="J159">
            <v>82</v>
          </cell>
          <cell r="K159">
            <v>2</v>
          </cell>
          <cell r="L159">
            <v>183</v>
          </cell>
          <cell r="M159">
            <v>0</v>
          </cell>
          <cell r="N159">
            <v>0</v>
          </cell>
          <cell r="O159">
            <v>2</v>
          </cell>
          <cell r="P159">
            <v>183</v>
          </cell>
          <cell r="Q159">
            <v>0</v>
          </cell>
          <cell r="R159">
            <v>0</v>
          </cell>
          <cell r="S159">
            <v>0</v>
          </cell>
          <cell r="T159">
            <v>0</v>
          </cell>
          <cell r="U159">
            <v>0</v>
          </cell>
          <cell r="V159">
            <v>0</v>
          </cell>
          <cell r="W159">
            <v>2</v>
          </cell>
          <cell r="X159">
            <v>183</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2</v>
          </cell>
          <cell r="AP159">
            <v>183</v>
          </cell>
          <cell r="AQ159" t="str">
            <v>TARPON SPRINGS/NEW PORT RICHEY</v>
          </cell>
          <cell r="AR159">
            <v>30</v>
          </cell>
          <cell r="AS159">
            <v>3776</v>
          </cell>
          <cell r="AT159">
            <v>29</v>
          </cell>
          <cell r="AU159">
            <v>3694</v>
          </cell>
          <cell r="AV159">
            <v>29</v>
          </cell>
          <cell r="AW159">
            <v>3694</v>
          </cell>
          <cell r="AX159">
            <v>27</v>
          </cell>
          <cell r="AY159">
            <v>3278</v>
          </cell>
          <cell r="AZ159">
            <v>0</v>
          </cell>
          <cell r="BA159">
            <v>0</v>
          </cell>
        </row>
        <row r="160">
          <cell r="B160" t="str">
            <v>TEMPE</v>
          </cell>
          <cell r="C160">
            <v>2</v>
          </cell>
          <cell r="D160">
            <v>266</v>
          </cell>
          <cell r="E160">
            <v>0</v>
          </cell>
          <cell r="F160">
            <v>0</v>
          </cell>
          <cell r="G160">
            <v>17</v>
          </cell>
          <cell r="H160">
            <v>1878</v>
          </cell>
          <cell r="I160">
            <v>0</v>
          </cell>
          <cell r="J160">
            <v>0</v>
          </cell>
          <cell r="K160">
            <v>0</v>
          </cell>
          <cell r="L160">
            <v>0</v>
          </cell>
          <cell r="M160">
            <v>0</v>
          </cell>
          <cell r="N160">
            <v>0</v>
          </cell>
          <cell r="O160">
            <v>0</v>
          </cell>
          <cell r="P160">
            <v>0</v>
          </cell>
          <cell r="Q160">
            <v>1</v>
          </cell>
          <cell r="R160">
            <v>125</v>
          </cell>
          <cell r="S160">
            <v>0</v>
          </cell>
          <cell r="T160">
            <v>0</v>
          </cell>
          <cell r="U160">
            <v>0</v>
          </cell>
          <cell r="V160">
            <v>0</v>
          </cell>
          <cell r="W160">
            <v>0</v>
          </cell>
          <cell r="X160">
            <v>0</v>
          </cell>
          <cell r="Y160">
            <v>1</v>
          </cell>
          <cell r="Z160">
            <v>125</v>
          </cell>
          <cell r="AA160">
            <v>0</v>
          </cell>
          <cell r="AB160">
            <v>0</v>
          </cell>
          <cell r="AC160">
            <v>0</v>
          </cell>
          <cell r="AD160">
            <v>0</v>
          </cell>
          <cell r="AE160">
            <v>0</v>
          </cell>
          <cell r="AF160">
            <v>0</v>
          </cell>
          <cell r="AG160">
            <v>0</v>
          </cell>
          <cell r="AH160">
            <v>0</v>
          </cell>
          <cell r="AI160">
            <v>1</v>
          </cell>
          <cell r="AJ160">
            <v>125</v>
          </cell>
          <cell r="AK160">
            <v>0</v>
          </cell>
          <cell r="AL160">
            <v>0</v>
          </cell>
          <cell r="AM160">
            <v>0</v>
          </cell>
          <cell r="AN160">
            <v>0</v>
          </cell>
          <cell r="AO160">
            <v>0</v>
          </cell>
          <cell r="AP160">
            <v>0</v>
          </cell>
          <cell r="AQ160" t="str">
            <v>TEMPE</v>
          </cell>
          <cell r="AR160">
            <v>45</v>
          </cell>
          <cell r="AS160">
            <v>5518</v>
          </cell>
          <cell r="AT160">
            <v>45</v>
          </cell>
          <cell r="AU160">
            <v>5518</v>
          </cell>
          <cell r="AV160">
            <v>43</v>
          </cell>
          <cell r="AW160">
            <v>5252</v>
          </cell>
          <cell r="AX160">
            <v>44</v>
          </cell>
          <cell r="AY160">
            <v>5530</v>
          </cell>
          <cell r="AZ160">
            <v>0</v>
          </cell>
          <cell r="BA160">
            <v>0</v>
          </cell>
        </row>
        <row r="161">
          <cell r="B161" t="str">
            <v>VIRGINIA BEACH CITY</v>
          </cell>
          <cell r="C161">
            <v>0</v>
          </cell>
          <cell r="D161">
            <v>0</v>
          </cell>
          <cell r="E161">
            <v>0</v>
          </cell>
          <cell r="F161">
            <v>0</v>
          </cell>
          <cell r="G161">
            <v>2</v>
          </cell>
          <cell r="H161">
            <v>233</v>
          </cell>
          <cell r="I161">
            <v>0</v>
          </cell>
          <cell r="J161">
            <v>0</v>
          </cell>
          <cell r="K161">
            <v>1</v>
          </cell>
          <cell r="L161">
            <v>86</v>
          </cell>
          <cell r="M161">
            <v>2</v>
          </cell>
          <cell r="N161">
            <v>218</v>
          </cell>
          <cell r="O161">
            <v>3</v>
          </cell>
          <cell r="P161">
            <v>304</v>
          </cell>
          <cell r="Q161">
            <v>2</v>
          </cell>
          <cell r="R161">
            <v>560</v>
          </cell>
          <cell r="S161">
            <v>0</v>
          </cell>
          <cell r="T161">
            <v>0</v>
          </cell>
          <cell r="U161">
            <v>1</v>
          </cell>
          <cell r="V161">
            <v>86</v>
          </cell>
          <cell r="W161">
            <v>1</v>
          </cell>
          <cell r="X161">
            <v>100</v>
          </cell>
          <cell r="Y161">
            <v>2</v>
          </cell>
          <cell r="Z161">
            <v>378</v>
          </cell>
          <cell r="AA161">
            <v>1</v>
          </cell>
          <cell r="AB161">
            <v>300</v>
          </cell>
          <cell r="AC161">
            <v>0</v>
          </cell>
          <cell r="AD161">
            <v>0</v>
          </cell>
          <cell r="AE161">
            <v>0</v>
          </cell>
          <cell r="AF161">
            <v>0</v>
          </cell>
          <cell r="AG161">
            <v>0</v>
          </cell>
          <cell r="AH161">
            <v>0</v>
          </cell>
          <cell r="AI161">
            <v>3</v>
          </cell>
          <cell r="AJ161">
            <v>678</v>
          </cell>
          <cell r="AK161">
            <v>0</v>
          </cell>
          <cell r="AL161">
            <v>0</v>
          </cell>
          <cell r="AM161">
            <v>1</v>
          </cell>
          <cell r="AN161">
            <v>86</v>
          </cell>
          <cell r="AO161">
            <v>1</v>
          </cell>
          <cell r="AP161">
            <v>100</v>
          </cell>
          <cell r="AQ161" t="str">
            <v>VIRGINIA BEACH CITY</v>
          </cell>
          <cell r="AR161">
            <v>92</v>
          </cell>
          <cell r="AS161">
            <v>9825</v>
          </cell>
          <cell r="AT161">
            <v>92</v>
          </cell>
          <cell r="AU161">
            <v>9825</v>
          </cell>
          <cell r="AV161">
            <v>92</v>
          </cell>
          <cell r="AW161">
            <v>9825</v>
          </cell>
          <cell r="AX161">
            <v>103</v>
          </cell>
          <cell r="AY161">
            <v>10373</v>
          </cell>
          <cell r="AZ161">
            <v>1</v>
          </cell>
          <cell r="BA161">
            <v>118</v>
          </cell>
        </row>
        <row r="162">
          <cell r="B162" t="str">
            <v>WAIKIKI</v>
          </cell>
          <cell r="C162">
            <v>0</v>
          </cell>
          <cell r="D162">
            <v>0</v>
          </cell>
          <cell r="E162">
            <v>1</v>
          </cell>
          <cell r="F162">
            <v>453</v>
          </cell>
          <cell r="G162">
            <v>1</v>
          </cell>
          <cell r="H162">
            <v>453</v>
          </cell>
          <cell r="I162">
            <v>1</v>
          </cell>
          <cell r="J162">
            <v>453</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t="str">
            <v>WAIKIKI</v>
          </cell>
          <cell r="AR162">
            <v>95</v>
          </cell>
          <cell r="AS162">
            <v>32742</v>
          </cell>
          <cell r="AT162">
            <v>94</v>
          </cell>
          <cell r="AU162">
            <v>32289</v>
          </cell>
          <cell r="AV162">
            <v>94</v>
          </cell>
          <cell r="AW162">
            <v>32289</v>
          </cell>
          <cell r="AX162">
            <v>97</v>
          </cell>
          <cell r="AY162">
            <v>31207</v>
          </cell>
          <cell r="AZ162">
            <v>0</v>
          </cell>
          <cell r="BA162">
            <v>0</v>
          </cell>
        </row>
        <row r="163">
          <cell r="B163" t="str">
            <v>WASHINGTON, DC-CBD</v>
          </cell>
          <cell r="C163">
            <v>5</v>
          </cell>
          <cell r="D163">
            <v>1126</v>
          </cell>
          <cell r="E163">
            <v>1</v>
          </cell>
          <cell r="F163">
            <v>175</v>
          </cell>
          <cell r="G163">
            <v>9</v>
          </cell>
          <cell r="H163">
            <v>1849</v>
          </cell>
          <cell r="I163">
            <v>1</v>
          </cell>
          <cell r="J163">
            <v>175</v>
          </cell>
          <cell r="K163">
            <v>3</v>
          </cell>
          <cell r="L163">
            <v>490</v>
          </cell>
          <cell r="M163">
            <v>2</v>
          </cell>
          <cell r="N163">
            <v>783</v>
          </cell>
          <cell r="O163">
            <v>5</v>
          </cell>
          <cell r="P163">
            <v>1273</v>
          </cell>
          <cell r="Q163">
            <v>3</v>
          </cell>
          <cell r="R163">
            <v>867</v>
          </cell>
          <cell r="S163">
            <v>0</v>
          </cell>
          <cell r="T163">
            <v>0</v>
          </cell>
          <cell r="U163">
            <v>3</v>
          </cell>
          <cell r="V163">
            <v>490</v>
          </cell>
          <cell r="W163">
            <v>0</v>
          </cell>
          <cell r="X163">
            <v>0</v>
          </cell>
          <cell r="Y163">
            <v>5</v>
          </cell>
          <cell r="Z163">
            <v>1650</v>
          </cell>
          <cell r="AA163">
            <v>0</v>
          </cell>
          <cell r="AB163">
            <v>0</v>
          </cell>
          <cell r="AC163">
            <v>0</v>
          </cell>
          <cell r="AD163">
            <v>0</v>
          </cell>
          <cell r="AE163">
            <v>0</v>
          </cell>
          <cell r="AF163">
            <v>0</v>
          </cell>
          <cell r="AG163">
            <v>0</v>
          </cell>
          <cell r="AH163">
            <v>0</v>
          </cell>
          <cell r="AI163">
            <v>5</v>
          </cell>
          <cell r="AJ163">
            <v>1650</v>
          </cell>
          <cell r="AK163">
            <v>0</v>
          </cell>
          <cell r="AL163">
            <v>0</v>
          </cell>
          <cell r="AM163">
            <v>3</v>
          </cell>
          <cell r="AN163">
            <v>490</v>
          </cell>
          <cell r="AO163">
            <v>0</v>
          </cell>
          <cell r="AP163">
            <v>0</v>
          </cell>
          <cell r="AQ163" t="str">
            <v>WASHINGTON, DC-CBD</v>
          </cell>
          <cell r="AR163">
            <v>113</v>
          </cell>
          <cell r="AS163">
            <v>26343</v>
          </cell>
          <cell r="AT163">
            <v>112</v>
          </cell>
          <cell r="AU163">
            <v>26168</v>
          </cell>
          <cell r="AV163">
            <v>107</v>
          </cell>
          <cell r="AW163">
            <v>25042</v>
          </cell>
          <cell r="AX163">
            <v>105</v>
          </cell>
          <cell r="AY163">
            <v>25318</v>
          </cell>
          <cell r="AZ163">
            <v>2</v>
          </cell>
          <cell r="BA163">
            <v>783</v>
          </cell>
        </row>
        <row r="164">
          <cell r="B164" t="str">
            <v>WASHINGTON, DC-OTHER</v>
          </cell>
          <cell r="C164">
            <v>4</v>
          </cell>
          <cell r="D164">
            <v>488</v>
          </cell>
          <cell r="E164">
            <v>1</v>
          </cell>
          <cell r="F164">
            <v>80</v>
          </cell>
          <cell r="G164">
            <v>12</v>
          </cell>
          <cell r="H164">
            <v>1292</v>
          </cell>
          <cell r="I164">
            <v>1</v>
          </cell>
          <cell r="J164">
            <v>80</v>
          </cell>
          <cell r="K164">
            <v>2</v>
          </cell>
          <cell r="L164">
            <v>360</v>
          </cell>
          <cell r="M164">
            <v>3</v>
          </cell>
          <cell r="N164">
            <v>496</v>
          </cell>
          <cell r="O164">
            <v>5</v>
          </cell>
          <cell r="P164">
            <v>856</v>
          </cell>
          <cell r="Q164">
            <v>4</v>
          </cell>
          <cell r="R164">
            <v>467</v>
          </cell>
          <cell r="S164">
            <v>0</v>
          </cell>
          <cell r="T164">
            <v>0</v>
          </cell>
          <cell r="U164">
            <v>1</v>
          </cell>
          <cell r="V164">
            <v>120</v>
          </cell>
          <cell r="W164">
            <v>3</v>
          </cell>
          <cell r="X164">
            <v>486</v>
          </cell>
          <cell r="Y164">
            <v>5</v>
          </cell>
          <cell r="Z164">
            <v>717</v>
          </cell>
          <cell r="AA164">
            <v>0</v>
          </cell>
          <cell r="AB164">
            <v>0</v>
          </cell>
          <cell r="AC164">
            <v>0</v>
          </cell>
          <cell r="AD164">
            <v>0</v>
          </cell>
          <cell r="AE164">
            <v>0</v>
          </cell>
          <cell r="AF164">
            <v>0</v>
          </cell>
          <cell r="AG164">
            <v>0</v>
          </cell>
          <cell r="AH164">
            <v>0</v>
          </cell>
          <cell r="AI164">
            <v>5</v>
          </cell>
          <cell r="AJ164">
            <v>717</v>
          </cell>
          <cell r="AK164">
            <v>0</v>
          </cell>
          <cell r="AL164">
            <v>0</v>
          </cell>
          <cell r="AM164">
            <v>1</v>
          </cell>
          <cell r="AN164">
            <v>120</v>
          </cell>
          <cell r="AO164">
            <v>3</v>
          </cell>
          <cell r="AP164">
            <v>486</v>
          </cell>
          <cell r="AQ164" t="str">
            <v>WASHINGTON, DC-OTHER</v>
          </cell>
          <cell r="AR164">
            <v>124</v>
          </cell>
          <cell r="AS164">
            <v>16516</v>
          </cell>
          <cell r="AT164">
            <v>123</v>
          </cell>
          <cell r="AU164">
            <v>16436</v>
          </cell>
          <cell r="AV164">
            <v>119</v>
          </cell>
          <cell r="AW164">
            <v>15948</v>
          </cell>
          <cell r="AX164">
            <v>122</v>
          </cell>
          <cell r="AY164">
            <v>16480</v>
          </cell>
          <cell r="AZ164">
            <v>1</v>
          </cell>
          <cell r="BA164">
            <v>250</v>
          </cell>
        </row>
        <row r="165">
          <cell r="B165" t="str">
            <v>WESTCHESTER-ROCKLAND</v>
          </cell>
          <cell r="C165">
            <v>4</v>
          </cell>
          <cell r="D165">
            <v>506</v>
          </cell>
          <cell r="E165">
            <v>1</v>
          </cell>
          <cell r="F165">
            <v>124</v>
          </cell>
          <cell r="G165">
            <v>5</v>
          </cell>
          <cell r="H165">
            <v>630</v>
          </cell>
          <cell r="I165">
            <v>1</v>
          </cell>
          <cell r="J165">
            <v>124</v>
          </cell>
          <cell r="K165">
            <v>0</v>
          </cell>
          <cell r="L165">
            <v>0</v>
          </cell>
          <cell r="M165">
            <v>4</v>
          </cell>
          <cell r="N165">
            <v>474</v>
          </cell>
          <cell r="O165">
            <v>4</v>
          </cell>
          <cell r="P165">
            <v>474</v>
          </cell>
          <cell r="Q165">
            <v>2</v>
          </cell>
          <cell r="R165">
            <v>232</v>
          </cell>
          <cell r="S165">
            <v>0</v>
          </cell>
          <cell r="T165">
            <v>0</v>
          </cell>
          <cell r="U165">
            <v>0</v>
          </cell>
          <cell r="V165">
            <v>0</v>
          </cell>
          <cell r="W165">
            <v>3</v>
          </cell>
          <cell r="X165">
            <v>334</v>
          </cell>
          <cell r="Y165">
            <v>3</v>
          </cell>
          <cell r="Z165">
            <v>372</v>
          </cell>
          <cell r="AA165">
            <v>0</v>
          </cell>
          <cell r="AB165">
            <v>0</v>
          </cell>
          <cell r="AC165">
            <v>0</v>
          </cell>
          <cell r="AD165">
            <v>0</v>
          </cell>
          <cell r="AE165">
            <v>0</v>
          </cell>
          <cell r="AF165">
            <v>0</v>
          </cell>
          <cell r="AG165">
            <v>0</v>
          </cell>
          <cell r="AH165">
            <v>0</v>
          </cell>
          <cell r="AI165">
            <v>3</v>
          </cell>
          <cell r="AJ165">
            <v>372</v>
          </cell>
          <cell r="AK165">
            <v>0</v>
          </cell>
          <cell r="AL165">
            <v>0</v>
          </cell>
          <cell r="AM165">
            <v>0</v>
          </cell>
          <cell r="AN165">
            <v>0</v>
          </cell>
          <cell r="AO165">
            <v>3</v>
          </cell>
          <cell r="AP165">
            <v>334</v>
          </cell>
          <cell r="AQ165" t="str">
            <v>WESTCHESTER-ROCKLAND</v>
          </cell>
          <cell r="AR165">
            <v>40</v>
          </cell>
          <cell r="AS165">
            <v>6289</v>
          </cell>
          <cell r="AT165">
            <v>39</v>
          </cell>
          <cell r="AU165">
            <v>6165</v>
          </cell>
          <cell r="AV165">
            <v>35</v>
          </cell>
          <cell r="AW165">
            <v>5659</v>
          </cell>
          <cell r="AX165">
            <v>45</v>
          </cell>
          <cell r="AY165">
            <v>6744</v>
          </cell>
          <cell r="AZ165">
            <v>1</v>
          </cell>
          <cell r="BA165">
            <v>140</v>
          </cell>
        </row>
        <row r="166">
          <cell r="B166" t="str">
            <v>WILLIAMSBURG</v>
          </cell>
          <cell r="C166">
            <v>4</v>
          </cell>
          <cell r="D166">
            <v>370</v>
          </cell>
          <cell r="E166">
            <v>1</v>
          </cell>
          <cell r="F166">
            <v>300</v>
          </cell>
          <cell r="G166">
            <v>9</v>
          </cell>
          <cell r="H166">
            <v>1017</v>
          </cell>
          <cell r="I166">
            <v>1</v>
          </cell>
          <cell r="J166">
            <v>300</v>
          </cell>
          <cell r="K166">
            <v>0</v>
          </cell>
          <cell r="L166">
            <v>0</v>
          </cell>
          <cell r="M166">
            <v>2</v>
          </cell>
          <cell r="N166">
            <v>225</v>
          </cell>
          <cell r="O166">
            <v>2</v>
          </cell>
          <cell r="P166">
            <v>225</v>
          </cell>
          <cell r="Q166">
            <v>0</v>
          </cell>
          <cell r="R166">
            <v>0</v>
          </cell>
          <cell r="S166">
            <v>0</v>
          </cell>
          <cell r="T166">
            <v>0</v>
          </cell>
          <cell r="U166">
            <v>0</v>
          </cell>
          <cell r="V166">
            <v>0</v>
          </cell>
          <cell r="W166">
            <v>2</v>
          </cell>
          <cell r="X166">
            <v>225</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2</v>
          </cell>
          <cell r="AP166">
            <v>225</v>
          </cell>
          <cell r="AQ166" t="str">
            <v>WILLIAMSBURG</v>
          </cell>
          <cell r="AR166">
            <v>83</v>
          </cell>
          <cell r="AS166">
            <v>9752</v>
          </cell>
          <cell r="AT166">
            <v>82</v>
          </cell>
          <cell r="AU166">
            <v>9452</v>
          </cell>
          <cell r="AV166">
            <v>78</v>
          </cell>
          <cell r="AW166">
            <v>9082</v>
          </cell>
          <cell r="AX166">
            <v>82</v>
          </cell>
          <cell r="AY166">
            <v>9957</v>
          </cell>
          <cell r="AZ166">
            <v>0</v>
          </cell>
          <cell r="BA166">
            <v>0</v>
          </cell>
        </row>
      </sheetData>
      <sheetData sheetId="7" refreshError="1"/>
      <sheetData sheetId="8" refreshError="1">
        <row r="10">
          <cell r="B10" t="str">
            <v>ANAHEIM-SANTA ANA, CA</v>
          </cell>
          <cell r="C10">
            <v>4</v>
          </cell>
          <cell r="D10">
            <v>1289</v>
          </cell>
          <cell r="E10">
            <v>2</v>
          </cell>
          <cell r="F10">
            <v>890</v>
          </cell>
          <cell r="G10">
            <v>1</v>
          </cell>
          <cell r="H10">
            <v>254</v>
          </cell>
          <cell r="I10">
            <v>3</v>
          </cell>
          <cell r="J10">
            <v>1144</v>
          </cell>
          <cell r="K10">
            <v>0</v>
          </cell>
          <cell r="L10">
            <v>0</v>
          </cell>
          <cell r="M10">
            <v>1</v>
          </cell>
          <cell r="N10">
            <v>174</v>
          </cell>
          <cell r="O10">
            <v>3</v>
          </cell>
          <cell r="P10">
            <v>373</v>
          </cell>
          <cell r="Q10">
            <v>2</v>
          </cell>
          <cell r="R10">
            <v>357</v>
          </cell>
          <cell r="S10">
            <v>5</v>
          </cell>
          <cell r="T10">
            <v>730</v>
          </cell>
          <cell r="U10">
            <v>1</v>
          </cell>
          <cell r="V10">
            <v>162</v>
          </cell>
          <cell r="W10">
            <v>1</v>
          </cell>
          <cell r="X10">
            <v>264</v>
          </cell>
          <cell r="Y10">
            <v>0</v>
          </cell>
          <cell r="Z10">
            <v>0</v>
          </cell>
          <cell r="AA10">
            <v>0</v>
          </cell>
          <cell r="AB10">
            <v>0</v>
          </cell>
          <cell r="AC10">
            <v>0</v>
          </cell>
          <cell r="AD10">
            <v>0</v>
          </cell>
          <cell r="AE10">
            <v>0</v>
          </cell>
          <cell r="AF10">
            <v>0</v>
          </cell>
          <cell r="AG10">
            <v>1</v>
          </cell>
          <cell r="AH10">
            <v>143</v>
          </cell>
          <cell r="AI10">
            <v>1</v>
          </cell>
          <cell r="AJ10">
            <v>103</v>
          </cell>
          <cell r="AK10">
            <v>1</v>
          </cell>
          <cell r="AL10">
            <v>140</v>
          </cell>
          <cell r="AM10">
            <v>2</v>
          </cell>
          <cell r="AN10">
            <v>243</v>
          </cell>
          <cell r="AO10">
            <v>2</v>
          </cell>
          <cell r="AP10">
            <v>400</v>
          </cell>
          <cell r="AQ10">
            <v>2</v>
          </cell>
          <cell r="AR10">
            <v>241</v>
          </cell>
          <cell r="AS10">
            <v>0</v>
          </cell>
          <cell r="AT10">
            <v>0</v>
          </cell>
          <cell r="AU10">
            <v>1</v>
          </cell>
          <cell r="AV10">
            <v>112</v>
          </cell>
          <cell r="AW10">
            <v>1</v>
          </cell>
          <cell r="AX10">
            <v>112</v>
          </cell>
          <cell r="AY10">
            <v>1</v>
          </cell>
          <cell r="AZ10">
            <v>75</v>
          </cell>
          <cell r="BA10">
            <v>3</v>
          </cell>
          <cell r="BB10">
            <v>304</v>
          </cell>
          <cell r="BC10">
            <v>2</v>
          </cell>
          <cell r="BD10">
            <v>405</v>
          </cell>
          <cell r="BE10">
            <v>0</v>
          </cell>
          <cell r="BF10">
            <v>0</v>
          </cell>
          <cell r="BG10">
            <v>2</v>
          </cell>
          <cell r="BH10">
            <v>405</v>
          </cell>
          <cell r="BI10">
            <v>1</v>
          </cell>
          <cell r="BJ10">
            <v>1050</v>
          </cell>
          <cell r="BK10" t="str">
            <v>ANAHEIM-SANTA ANA, CA</v>
          </cell>
        </row>
        <row r="11">
          <cell r="B11" t="str">
            <v>ATLANTA, GA</v>
          </cell>
          <cell r="C11">
            <v>2</v>
          </cell>
          <cell r="D11">
            <v>236</v>
          </cell>
          <cell r="E11">
            <v>1</v>
          </cell>
          <cell r="F11">
            <v>593</v>
          </cell>
          <cell r="G11">
            <v>0</v>
          </cell>
          <cell r="H11">
            <v>0</v>
          </cell>
          <cell r="I11">
            <v>1</v>
          </cell>
          <cell r="J11">
            <v>593</v>
          </cell>
          <cell r="K11">
            <v>2</v>
          </cell>
          <cell r="L11">
            <v>671</v>
          </cell>
          <cell r="M11">
            <v>3</v>
          </cell>
          <cell r="N11">
            <v>391</v>
          </cell>
          <cell r="O11">
            <v>1</v>
          </cell>
          <cell r="P11">
            <v>153</v>
          </cell>
          <cell r="Q11">
            <v>4</v>
          </cell>
          <cell r="R11">
            <v>574</v>
          </cell>
          <cell r="S11">
            <v>5</v>
          </cell>
          <cell r="T11">
            <v>727</v>
          </cell>
          <cell r="U11">
            <v>3</v>
          </cell>
          <cell r="V11">
            <v>428</v>
          </cell>
          <cell r="W11">
            <v>2</v>
          </cell>
          <cell r="X11">
            <v>158</v>
          </cell>
          <cell r="Y11">
            <v>0</v>
          </cell>
          <cell r="Z11">
            <v>0</v>
          </cell>
          <cell r="AA11">
            <v>0</v>
          </cell>
          <cell r="AB11">
            <v>0</v>
          </cell>
          <cell r="AC11">
            <v>0</v>
          </cell>
          <cell r="AD11">
            <v>0</v>
          </cell>
          <cell r="AE11">
            <v>1</v>
          </cell>
          <cell r="AF11">
            <v>52</v>
          </cell>
          <cell r="AG11">
            <v>9</v>
          </cell>
          <cell r="AH11">
            <v>674</v>
          </cell>
          <cell r="AI11">
            <v>7</v>
          </cell>
          <cell r="AJ11">
            <v>478</v>
          </cell>
          <cell r="AK11">
            <v>6</v>
          </cell>
          <cell r="AL11">
            <v>571</v>
          </cell>
          <cell r="AM11">
            <v>13</v>
          </cell>
          <cell r="AN11">
            <v>1049</v>
          </cell>
          <cell r="AO11">
            <v>3</v>
          </cell>
          <cell r="AP11">
            <v>241</v>
          </cell>
          <cell r="AQ11">
            <v>8</v>
          </cell>
          <cell r="AR11">
            <v>460</v>
          </cell>
          <cell r="AS11">
            <v>4</v>
          </cell>
          <cell r="AT11">
            <v>253</v>
          </cell>
          <cell r="AU11">
            <v>1</v>
          </cell>
          <cell r="AV11">
            <v>86</v>
          </cell>
          <cell r="AW11">
            <v>5</v>
          </cell>
          <cell r="AX11">
            <v>339</v>
          </cell>
          <cell r="AY11">
            <v>4</v>
          </cell>
          <cell r="AZ11">
            <v>498</v>
          </cell>
          <cell r="BA11">
            <v>1</v>
          </cell>
          <cell r="BB11">
            <v>200</v>
          </cell>
          <cell r="BC11">
            <v>1</v>
          </cell>
          <cell r="BD11">
            <v>250</v>
          </cell>
          <cell r="BE11">
            <v>2</v>
          </cell>
          <cell r="BF11">
            <v>445</v>
          </cell>
          <cell r="BG11">
            <v>3</v>
          </cell>
          <cell r="BH11">
            <v>695</v>
          </cell>
          <cell r="BI11">
            <v>1</v>
          </cell>
          <cell r="BJ11">
            <v>100</v>
          </cell>
          <cell r="BK11" t="str">
            <v>ATLANTA, GA</v>
          </cell>
        </row>
        <row r="12">
          <cell r="B12" t="str">
            <v>BOSTON, MA</v>
          </cell>
          <cell r="C12">
            <v>2</v>
          </cell>
          <cell r="D12">
            <v>657</v>
          </cell>
          <cell r="E12">
            <v>2</v>
          </cell>
          <cell r="F12">
            <v>523</v>
          </cell>
          <cell r="G12">
            <v>4</v>
          </cell>
          <cell r="H12">
            <v>1681</v>
          </cell>
          <cell r="I12">
            <v>6</v>
          </cell>
          <cell r="J12">
            <v>2204</v>
          </cell>
          <cell r="K12">
            <v>0</v>
          </cell>
          <cell r="L12">
            <v>0</v>
          </cell>
          <cell r="M12">
            <v>5</v>
          </cell>
          <cell r="N12">
            <v>633</v>
          </cell>
          <cell r="O12">
            <v>7</v>
          </cell>
          <cell r="P12">
            <v>1068</v>
          </cell>
          <cell r="Q12">
            <v>1</v>
          </cell>
          <cell r="R12">
            <v>150</v>
          </cell>
          <cell r="S12">
            <v>8</v>
          </cell>
          <cell r="T12">
            <v>1218</v>
          </cell>
          <cell r="U12">
            <v>2</v>
          </cell>
          <cell r="V12">
            <v>213</v>
          </cell>
          <cell r="W12">
            <v>2</v>
          </cell>
          <cell r="X12">
            <v>218</v>
          </cell>
          <cell r="Y12">
            <v>2</v>
          </cell>
          <cell r="Z12">
            <v>123</v>
          </cell>
          <cell r="AA12">
            <v>1</v>
          </cell>
          <cell r="AB12">
            <v>80</v>
          </cell>
          <cell r="AC12">
            <v>3</v>
          </cell>
          <cell r="AD12">
            <v>203</v>
          </cell>
          <cell r="AE12">
            <v>0</v>
          </cell>
          <cell r="AF12">
            <v>0</v>
          </cell>
          <cell r="AG12">
            <v>1</v>
          </cell>
          <cell r="AH12">
            <v>65</v>
          </cell>
          <cell r="AI12">
            <v>1</v>
          </cell>
          <cell r="AJ12">
            <v>114</v>
          </cell>
          <cell r="AK12">
            <v>2</v>
          </cell>
          <cell r="AL12">
            <v>287</v>
          </cell>
          <cell r="AM12">
            <v>3</v>
          </cell>
          <cell r="AN12">
            <v>401</v>
          </cell>
          <cell r="AO12">
            <v>0</v>
          </cell>
          <cell r="AP12">
            <v>0</v>
          </cell>
          <cell r="AQ12">
            <v>2</v>
          </cell>
          <cell r="AR12">
            <v>195</v>
          </cell>
          <cell r="AS12">
            <v>1</v>
          </cell>
          <cell r="AT12">
            <v>117</v>
          </cell>
          <cell r="AU12">
            <v>0</v>
          </cell>
          <cell r="AV12">
            <v>0</v>
          </cell>
          <cell r="AW12">
            <v>1</v>
          </cell>
          <cell r="AX12">
            <v>117</v>
          </cell>
          <cell r="AY12">
            <v>0</v>
          </cell>
          <cell r="AZ12">
            <v>0</v>
          </cell>
          <cell r="BA12">
            <v>1</v>
          </cell>
          <cell r="BB12">
            <v>33</v>
          </cell>
          <cell r="BC12">
            <v>5</v>
          </cell>
          <cell r="BD12">
            <v>683</v>
          </cell>
          <cell r="BE12">
            <v>5</v>
          </cell>
          <cell r="BF12">
            <v>1145</v>
          </cell>
          <cell r="BG12">
            <v>10</v>
          </cell>
          <cell r="BH12">
            <v>1828</v>
          </cell>
          <cell r="BI12">
            <v>8</v>
          </cell>
          <cell r="BJ12">
            <v>1565</v>
          </cell>
          <cell r="BK12" t="str">
            <v>BOSTON, MA</v>
          </cell>
        </row>
        <row r="13">
          <cell r="B13" t="str">
            <v>CHICAGO, IL</v>
          </cell>
          <cell r="C13">
            <v>2</v>
          </cell>
          <cell r="D13">
            <v>767</v>
          </cell>
          <cell r="E13">
            <v>3</v>
          </cell>
          <cell r="F13">
            <v>1069</v>
          </cell>
          <cell r="G13">
            <v>0</v>
          </cell>
          <cell r="H13">
            <v>0</v>
          </cell>
          <cell r="I13">
            <v>3</v>
          </cell>
          <cell r="J13">
            <v>1069</v>
          </cell>
          <cell r="K13">
            <v>1</v>
          </cell>
          <cell r="L13">
            <v>954</v>
          </cell>
          <cell r="M13">
            <v>4</v>
          </cell>
          <cell r="N13">
            <v>680</v>
          </cell>
          <cell r="O13">
            <v>3</v>
          </cell>
          <cell r="P13">
            <v>346</v>
          </cell>
          <cell r="Q13">
            <v>12</v>
          </cell>
          <cell r="R13">
            <v>1930</v>
          </cell>
          <cell r="S13">
            <v>15</v>
          </cell>
          <cell r="T13">
            <v>2276</v>
          </cell>
          <cell r="U13">
            <v>4</v>
          </cell>
          <cell r="V13">
            <v>694</v>
          </cell>
          <cell r="W13">
            <v>1</v>
          </cell>
          <cell r="X13">
            <v>85</v>
          </cell>
          <cell r="Y13">
            <v>1</v>
          </cell>
          <cell r="Z13">
            <v>202</v>
          </cell>
          <cell r="AA13">
            <v>1</v>
          </cell>
          <cell r="AB13">
            <v>100</v>
          </cell>
          <cell r="AC13">
            <v>2</v>
          </cell>
          <cell r="AD13">
            <v>302</v>
          </cell>
          <cell r="AE13">
            <v>2</v>
          </cell>
          <cell r="AF13">
            <v>390</v>
          </cell>
          <cell r="AG13">
            <v>6</v>
          </cell>
          <cell r="AH13">
            <v>723</v>
          </cell>
          <cell r="AI13">
            <v>3</v>
          </cell>
          <cell r="AJ13">
            <v>271</v>
          </cell>
          <cell r="AK13">
            <v>6</v>
          </cell>
          <cell r="AL13">
            <v>477</v>
          </cell>
          <cell r="AM13">
            <v>9</v>
          </cell>
          <cell r="AN13">
            <v>748</v>
          </cell>
          <cell r="AO13">
            <v>3</v>
          </cell>
          <cell r="AP13">
            <v>419</v>
          </cell>
          <cell r="AQ13">
            <v>2</v>
          </cell>
          <cell r="AR13">
            <v>178</v>
          </cell>
          <cell r="AS13">
            <v>0</v>
          </cell>
          <cell r="AT13">
            <v>0</v>
          </cell>
          <cell r="AU13">
            <v>1</v>
          </cell>
          <cell r="AV13">
            <v>59</v>
          </cell>
          <cell r="AW13">
            <v>1</v>
          </cell>
          <cell r="AX13">
            <v>59</v>
          </cell>
          <cell r="AY13">
            <v>1</v>
          </cell>
          <cell r="AZ13">
            <v>80</v>
          </cell>
          <cell r="BA13">
            <v>1</v>
          </cell>
          <cell r="BB13">
            <v>339</v>
          </cell>
          <cell r="BC13">
            <v>1</v>
          </cell>
          <cell r="BD13">
            <v>67</v>
          </cell>
          <cell r="BE13">
            <v>1</v>
          </cell>
          <cell r="BF13">
            <v>385</v>
          </cell>
          <cell r="BG13">
            <v>2</v>
          </cell>
          <cell r="BH13">
            <v>452</v>
          </cell>
          <cell r="BI13">
            <v>1</v>
          </cell>
          <cell r="BJ13">
            <v>200</v>
          </cell>
          <cell r="BK13" t="str">
            <v>CHICAGO, IL</v>
          </cell>
        </row>
        <row r="14">
          <cell r="B14" t="str">
            <v>DALLAS, TX</v>
          </cell>
          <cell r="C14">
            <v>1</v>
          </cell>
          <cell r="D14">
            <v>337</v>
          </cell>
          <cell r="E14">
            <v>2</v>
          </cell>
          <cell r="F14">
            <v>558</v>
          </cell>
          <cell r="G14">
            <v>2</v>
          </cell>
          <cell r="H14">
            <v>650</v>
          </cell>
          <cell r="I14">
            <v>4</v>
          </cell>
          <cell r="J14">
            <v>1208</v>
          </cell>
          <cell r="K14">
            <v>0</v>
          </cell>
          <cell r="L14">
            <v>0</v>
          </cell>
          <cell r="M14">
            <v>1</v>
          </cell>
          <cell r="N14">
            <v>139</v>
          </cell>
          <cell r="O14">
            <v>2</v>
          </cell>
          <cell r="P14">
            <v>303</v>
          </cell>
          <cell r="Q14">
            <v>3</v>
          </cell>
          <cell r="R14">
            <v>364</v>
          </cell>
          <cell r="S14">
            <v>5</v>
          </cell>
          <cell r="T14">
            <v>667</v>
          </cell>
          <cell r="U14">
            <v>1</v>
          </cell>
          <cell r="V14">
            <v>102</v>
          </cell>
          <cell r="W14">
            <v>1</v>
          </cell>
          <cell r="X14">
            <v>65</v>
          </cell>
          <cell r="Y14">
            <v>0</v>
          </cell>
          <cell r="Z14">
            <v>0</v>
          </cell>
          <cell r="AA14">
            <v>0</v>
          </cell>
          <cell r="AB14">
            <v>0</v>
          </cell>
          <cell r="AC14">
            <v>0</v>
          </cell>
          <cell r="AD14">
            <v>0</v>
          </cell>
          <cell r="AE14">
            <v>0</v>
          </cell>
          <cell r="AF14">
            <v>0</v>
          </cell>
          <cell r="AG14">
            <v>7</v>
          </cell>
          <cell r="AH14">
            <v>574</v>
          </cell>
          <cell r="AI14">
            <v>2</v>
          </cell>
          <cell r="AJ14">
            <v>273</v>
          </cell>
          <cell r="AK14">
            <v>5</v>
          </cell>
          <cell r="AL14">
            <v>366</v>
          </cell>
          <cell r="AM14">
            <v>7</v>
          </cell>
          <cell r="AN14">
            <v>639</v>
          </cell>
          <cell r="AO14">
            <v>1</v>
          </cell>
          <cell r="AP14">
            <v>100</v>
          </cell>
          <cell r="AQ14">
            <v>3</v>
          </cell>
          <cell r="AR14">
            <v>242</v>
          </cell>
          <cell r="AS14">
            <v>0</v>
          </cell>
          <cell r="AT14">
            <v>0</v>
          </cell>
          <cell r="AU14">
            <v>0</v>
          </cell>
          <cell r="AV14">
            <v>0</v>
          </cell>
          <cell r="AW14">
            <v>0</v>
          </cell>
          <cell r="AX14">
            <v>0</v>
          </cell>
          <cell r="AY14">
            <v>2</v>
          </cell>
          <cell r="AZ14">
            <v>160</v>
          </cell>
          <cell r="BA14">
            <v>0</v>
          </cell>
          <cell r="BB14">
            <v>0</v>
          </cell>
          <cell r="BC14">
            <v>1</v>
          </cell>
          <cell r="BD14">
            <v>148</v>
          </cell>
          <cell r="BE14">
            <v>0</v>
          </cell>
          <cell r="BF14">
            <v>0</v>
          </cell>
          <cell r="BG14">
            <v>1</v>
          </cell>
          <cell r="BH14">
            <v>148</v>
          </cell>
          <cell r="BI14">
            <v>2</v>
          </cell>
          <cell r="BJ14">
            <v>600</v>
          </cell>
          <cell r="BK14" t="str">
            <v>DALLAS, TX</v>
          </cell>
        </row>
        <row r="15">
          <cell r="B15" t="str">
            <v>DENVER, CO</v>
          </cell>
          <cell r="C15">
            <v>0</v>
          </cell>
          <cell r="D15">
            <v>0</v>
          </cell>
          <cell r="E15">
            <v>3</v>
          </cell>
          <cell r="F15">
            <v>685</v>
          </cell>
          <cell r="G15">
            <v>3</v>
          </cell>
          <cell r="H15">
            <v>1925</v>
          </cell>
          <cell r="I15">
            <v>6</v>
          </cell>
          <cell r="J15">
            <v>2610</v>
          </cell>
          <cell r="K15">
            <v>0</v>
          </cell>
          <cell r="L15">
            <v>0</v>
          </cell>
          <cell r="M15">
            <v>0</v>
          </cell>
          <cell r="N15">
            <v>0</v>
          </cell>
          <cell r="O15">
            <v>1</v>
          </cell>
          <cell r="P15">
            <v>164</v>
          </cell>
          <cell r="Q15">
            <v>2</v>
          </cell>
          <cell r="R15">
            <v>243</v>
          </cell>
          <cell r="S15">
            <v>3</v>
          </cell>
          <cell r="T15">
            <v>407</v>
          </cell>
          <cell r="U15">
            <v>0</v>
          </cell>
          <cell r="V15">
            <v>0</v>
          </cell>
          <cell r="W15">
            <v>1</v>
          </cell>
          <cell r="X15">
            <v>68</v>
          </cell>
          <cell r="Y15">
            <v>0</v>
          </cell>
          <cell r="Z15">
            <v>0</v>
          </cell>
          <cell r="AA15">
            <v>0</v>
          </cell>
          <cell r="AB15">
            <v>0</v>
          </cell>
          <cell r="AC15">
            <v>0</v>
          </cell>
          <cell r="AD15">
            <v>0</v>
          </cell>
          <cell r="AE15">
            <v>1</v>
          </cell>
          <cell r="AF15">
            <v>150</v>
          </cell>
          <cell r="AG15">
            <v>3</v>
          </cell>
          <cell r="AH15">
            <v>257</v>
          </cell>
          <cell r="AI15">
            <v>0</v>
          </cell>
          <cell r="AJ15">
            <v>0</v>
          </cell>
          <cell r="AK15">
            <v>4</v>
          </cell>
          <cell r="AL15">
            <v>502</v>
          </cell>
          <cell r="AM15">
            <v>4</v>
          </cell>
          <cell r="AN15">
            <v>502</v>
          </cell>
          <cell r="AO15">
            <v>4</v>
          </cell>
          <cell r="AP15">
            <v>402</v>
          </cell>
          <cell r="AQ15">
            <v>0</v>
          </cell>
          <cell r="AR15">
            <v>0</v>
          </cell>
          <cell r="AS15">
            <v>1</v>
          </cell>
          <cell r="AT15">
            <v>74</v>
          </cell>
          <cell r="AU15">
            <v>3</v>
          </cell>
          <cell r="AV15">
            <v>326</v>
          </cell>
          <cell r="AW15">
            <v>4</v>
          </cell>
          <cell r="AX15">
            <v>400</v>
          </cell>
          <cell r="AY15">
            <v>3</v>
          </cell>
          <cell r="AZ15">
            <v>303</v>
          </cell>
          <cell r="BA15">
            <v>0</v>
          </cell>
          <cell r="BB15">
            <v>0</v>
          </cell>
          <cell r="BC15">
            <v>0</v>
          </cell>
          <cell r="BD15">
            <v>0</v>
          </cell>
          <cell r="BE15">
            <v>0</v>
          </cell>
          <cell r="BF15">
            <v>0</v>
          </cell>
          <cell r="BG15">
            <v>0</v>
          </cell>
          <cell r="BH15">
            <v>0</v>
          </cell>
          <cell r="BI15">
            <v>0</v>
          </cell>
          <cell r="BJ15">
            <v>0</v>
          </cell>
          <cell r="BK15" t="str">
            <v>DENVER, CO</v>
          </cell>
        </row>
        <row r="16">
          <cell r="B16" t="str">
            <v>DETROIT, MI</v>
          </cell>
          <cell r="C16">
            <v>0</v>
          </cell>
          <cell r="D16">
            <v>0</v>
          </cell>
          <cell r="E16">
            <v>1</v>
          </cell>
          <cell r="F16">
            <v>404</v>
          </cell>
          <cell r="G16">
            <v>0</v>
          </cell>
          <cell r="H16">
            <v>0</v>
          </cell>
          <cell r="I16">
            <v>1</v>
          </cell>
          <cell r="J16">
            <v>404</v>
          </cell>
          <cell r="K16">
            <v>1</v>
          </cell>
          <cell r="L16">
            <v>250</v>
          </cell>
          <cell r="M16">
            <v>1</v>
          </cell>
          <cell r="N16">
            <v>124</v>
          </cell>
          <cell r="O16">
            <v>3</v>
          </cell>
          <cell r="P16">
            <v>319</v>
          </cell>
          <cell r="Q16">
            <v>6</v>
          </cell>
          <cell r="R16">
            <v>670</v>
          </cell>
          <cell r="S16">
            <v>9</v>
          </cell>
          <cell r="T16">
            <v>989</v>
          </cell>
          <cell r="U16">
            <v>2</v>
          </cell>
          <cell r="V16">
            <v>186</v>
          </cell>
          <cell r="W16">
            <v>1</v>
          </cell>
          <cell r="X16">
            <v>90</v>
          </cell>
          <cell r="Y16">
            <v>0</v>
          </cell>
          <cell r="Z16">
            <v>0</v>
          </cell>
          <cell r="AA16">
            <v>0</v>
          </cell>
          <cell r="AB16">
            <v>0</v>
          </cell>
          <cell r="AC16">
            <v>0</v>
          </cell>
          <cell r="AD16">
            <v>0</v>
          </cell>
          <cell r="AE16">
            <v>1</v>
          </cell>
          <cell r="AF16">
            <v>100</v>
          </cell>
          <cell r="AG16">
            <v>9</v>
          </cell>
          <cell r="AH16">
            <v>769</v>
          </cell>
          <cell r="AI16">
            <v>4</v>
          </cell>
          <cell r="AJ16">
            <v>333</v>
          </cell>
          <cell r="AK16">
            <v>8</v>
          </cell>
          <cell r="AL16">
            <v>686</v>
          </cell>
          <cell r="AM16">
            <v>12</v>
          </cell>
          <cell r="AN16">
            <v>1019</v>
          </cell>
          <cell r="AO16">
            <v>0</v>
          </cell>
          <cell r="AP16">
            <v>0</v>
          </cell>
          <cell r="AQ16">
            <v>5</v>
          </cell>
          <cell r="AR16">
            <v>467</v>
          </cell>
          <cell r="AS16">
            <v>0</v>
          </cell>
          <cell r="AT16">
            <v>0</v>
          </cell>
          <cell r="AU16">
            <v>1</v>
          </cell>
          <cell r="AV16">
            <v>80</v>
          </cell>
          <cell r="AW16">
            <v>1</v>
          </cell>
          <cell r="AX16">
            <v>80</v>
          </cell>
          <cell r="AY16">
            <v>1</v>
          </cell>
          <cell r="AZ16">
            <v>66</v>
          </cell>
          <cell r="BA16">
            <v>1</v>
          </cell>
          <cell r="BB16">
            <v>77</v>
          </cell>
          <cell r="BC16">
            <v>1</v>
          </cell>
          <cell r="BD16">
            <v>8</v>
          </cell>
          <cell r="BE16">
            <v>0</v>
          </cell>
          <cell r="BF16">
            <v>0</v>
          </cell>
          <cell r="BG16">
            <v>1</v>
          </cell>
          <cell r="BH16">
            <v>8</v>
          </cell>
          <cell r="BI16">
            <v>1</v>
          </cell>
          <cell r="BJ16">
            <v>100</v>
          </cell>
          <cell r="BK16" t="str">
            <v>DETROIT, MI</v>
          </cell>
        </row>
        <row r="17">
          <cell r="B17" t="str">
            <v>HOUSTON, TX</v>
          </cell>
          <cell r="C17">
            <v>0</v>
          </cell>
          <cell r="D17">
            <v>0</v>
          </cell>
          <cell r="E17">
            <v>2</v>
          </cell>
          <cell r="F17">
            <v>1545</v>
          </cell>
          <cell r="G17">
            <v>1</v>
          </cell>
          <cell r="H17">
            <v>301</v>
          </cell>
          <cell r="I17">
            <v>3</v>
          </cell>
          <cell r="J17">
            <v>1846</v>
          </cell>
          <cell r="K17">
            <v>1</v>
          </cell>
          <cell r="L17">
            <v>291</v>
          </cell>
          <cell r="M17">
            <v>6</v>
          </cell>
          <cell r="N17">
            <v>777</v>
          </cell>
          <cell r="O17">
            <v>5</v>
          </cell>
          <cell r="P17">
            <v>725</v>
          </cell>
          <cell r="Q17">
            <v>4</v>
          </cell>
          <cell r="R17">
            <v>311</v>
          </cell>
          <cell r="S17">
            <v>9</v>
          </cell>
          <cell r="T17">
            <v>1036</v>
          </cell>
          <cell r="U17">
            <v>0</v>
          </cell>
          <cell r="V17">
            <v>0</v>
          </cell>
          <cell r="W17">
            <v>2</v>
          </cell>
          <cell r="X17">
            <v>136</v>
          </cell>
          <cell r="Y17">
            <v>2</v>
          </cell>
          <cell r="Z17">
            <v>151</v>
          </cell>
          <cell r="AA17">
            <v>0</v>
          </cell>
          <cell r="AB17">
            <v>0</v>
          </cell>
          <cell r="AC17">
            <v>2</v>
          </cell>
          <cell r="AD17">
            <v>151</v>
          </cell>
          <cell r="AE17">
            <v>0</v>
          </cell>
          <cell r="AF17">
            <v>0</v>
          </cell>
          <cell r="AG17">
            <v>8</v>
          </cell>
          <cell r="AH17">
            <v>584</v>
          </cell>
          <cell r="AI17">
            <v>1</v>
          </cell>
          <cell r="AJ17">
            <v>50</v>
          </cell>
          <cell r="AK17">
            <v>4</v>
          </cell>
          <cell r="AL17">
            <v>248</v>
          </cell>
          <cell r="AM17">
            <v>5</v>
          </cell>
          <cell r="AN17">
            <v>298</v>
          </cell>
          <cell r="AO17">
            <v>6</v>
          </cell>
          <cell r="AP17">
            <v>550</v>
          </cell>
          <cell r="AQ17">
            <v>6</v>
          </cell>
          <cell r="AR17">
            <v>279</v>
          </cell>
          <cell r="AS17">
            <v>3</v>
          </cell>
          <cell r="AT17">
            <v>124</v>
          </cell>
          <cell r="AU17">
            <v>3</v>
          </cell>
          <cell r="AV17">
            <v>172</v>
          </cell>
          <cell r="AW17">
            <v>6</v>
          </cell>
          <cell r="AX17">
            <v>296</v>
          </cell>
          <cell r="AY17">
            <v>3</v>
          </cell>
          <cell r="AZ17">
            <v>375</v>
          </cell>
          <cell r="BA17">
            <v>0</v>
          </cell>
          <cell r="BB17">
            <v>0</v>
          </cell>
          <cell r="BC17">
            <v>3</v>
          </cell>
          <cell r="BD17">
            <v>642</v>
          </cell>
          <cell r="BE17">
            <v>2</v>
          </cell>
          <cell r="BF17">
            <v>205</v>
          </cell>
          <cell r="BG17">
            <v>5</v>
          </cell>
          <cell r="BH17">
            <v>847</v>
          </cell>
          <cell r="BI17">
            <v>2</v>
          </cell>
          <cell r="BJ17">
            <v>300</v>
          </cell>
          <cell r="BK17" t="str">
            <v>HOUSTON, TX</v>
          </cell>
        </row>
        <row r="18">
          <cell r="B18" t="str">
            <v>LAS VEGAS, NV</v>
          </cell>
          <cell r="C18">
            <v>0</v>
          </cell>
          <cell r="D18">
            <v>0</v>
          </cell>
          <cell r="E18">
            <v>1</v>
          </cell>
          <cell r="F18">
            <v>350</v>
          </cell>
          <cell r="G18">
            <v>1</v>
          </cell>
          <cell r="H18">
            <v>463</v>
          </cell>
          <cell r="I18">
            <v>2</v>
          </cell>
          <cell r="J18">
            <v>813</v>
          </cell>
          <cell r="K18">
            <v>0</v>
          </cell>
          <cell r="L18">
            <v>0</v>
          </cell>
          <cell r="M18">
            <v>0</v>
          </cell>
          <cell r="N18">
            <v>0</v>
          </cell>
          <cell r="O18">
            <v>0</v>
          </cell>
          <cell r="P18">
            <v>0</v>
          </cell>
          <cell r="Q18">
            <v>3</v>
          </cell>
          <cell r="R18">
            <v>429</v>
          </cell>
          <cell r="S18">
            <v>3</v>
          </cell>
          <cell r="T18">
            <v>429</v>
          </cell>
          <cell r="U18">
            <v>1</v>
          </cell>
          <cell r="V18">
            <v>82</v>
          </cell>
          <cell r="W18">
            <v>0</v>
          </cell>
          <cell r="X18">
            <v>0</v>
          </cell>
          <cell r="Y18">
            <v>1</v>
          </cell>
          <cell r="Z18">
            <v>128</v>
          </cell>
          <cell r="AA18">
            <v>0</v>
          </cell>
          <cell r="AB18">
            <v>0</v>
          </cell>
          <cell r="AC18">
            <v>1</v>
          </cell>
          <cell r="AD18">
            <v>128</v>
          </cell>
          <cell r="AE18">
            <v>0</v>
          </cell>
          <cell r="AF18">
            <v>0</v>
          </cell>
          <cell r="AG18">
            <v>2</v>
          </cell>
          <cell r="AH18">
            <v>187</v>
          </cell>
          <cell r="AI18">
            <v>0</v>
          </cell>
          <cell r="AJ18">
            <v>0</v>
          </cell>
          <cell r="AK18">
            <v>2</v>
          </cell>
          <cell r="AL18">
            <v>281</v>
          </cell>
          <cell r="AM18">
            <v>2</v>
          </cell>
          <cell r="AN18">
            <v>281</v>
          </cell>
          <cell r="AO18">
            <v>3</v>
          </cell>
          <cell r="AP18">
            <v>350</v>
          </cell>
          <cell r="AQ18">
            <v>0</v>
          </cell>
          <cell r="AR18">
            <v>0</v>
          </cell>
          <cell r="AS18">
            <v>0</v>
          </cell>
          <cell r="AT18">
            <v>0</v>
          </cell>
          <cell r="AU18">
            <v>0</v>
          </cell>
          <cell r="AV18">
            <v>0</v>
          </cell>
          <cell r="AW18">
            <v>0</v>
          </cell>
          <cell r="AX18">
            <v>0</v>
          </cell>
          <cell r="AY18">
            <v>2</v>
          </cell>
          <cell r="AZ18">
            <v>360</v>
          </cell>
          <cell r="BA18">
            <v>4</v>
          </cell>
          <cell r="BB18">
            <v>2390</v>
          </cell>
          <cell r="BC18">
            <v>3</v>
          </cell>
          <cell r="BD18">
            <v>653</v>
          </cell>
          <cell r="BE18">
            <v>1</v>
          </cell>
          <cell r="BF18">
            <v>2455</v>
          </cell>
          <cell r="BG18">
            <v>4</v>
          </cell>
          <cell r="BH18">
            <v>3108</v>
          </cell>
          <cell r="BI18">
            <v>2</v>
          </cell>
          <cell r="BJ18">
            <v>2250</v>
          </cell>
          <cell r="BK18" t="str">
            <v>LAS VEGAS, NV</v>
          </cell>
        </row>
        <row r="19">
          <cell r="B19" t="str">
            <v>LOS ANGELES-LONG BEACH, CA</v>
          </cell>
          <cell r="C19">
            <v>1</v>
          </cell>
          <cell r="D19">
            <v>240</v>
          </cell>
          <cell r="E19">
            <v>0</v>
          </cell>
          <cell r="F19">
            <v>0</v>
          </cell>
          <cell r="G19">
            <v>2</v>
          </cell>
          <cell r="H19">
            <v>457</v>
          </cell>
          <cell r="I19">
            <v>2</v>
          </cell>
          <cell r="J19">
            <v>457</v>
          </cell>
          <cell r="K19">
            <v>1</v>
          </cell>
          <cell r="L19">
            <v>430</v>
          </cell>
          <cell r="M19">
            <v>3</v>
          </cell>
          <cell r="N19">
            <v>508</v>
          </cell>
          <cell r="O19">
            <v>4</v>
          </cell>
          <cell r="P19">
            <v>506</v>
          </cell>
          <cell r="Q19">
            <v>1</v>
          </cell>
          <cell r="R19">
            <v>253</v>
          </cell>
          <cell r="S19">
            <v>5</v>
          </cell>
          <cell r="T19">
            <v>759</v>
          </cell>
          <cell r="U19">
            <v>1</v>
          </cell>
          <cell r="V19">
            <v>192</v>
          </cell>
          <cell r="W19">
            <v>0</v>
          </cell>
          <cell r="X19">
            <v>0</v>
          </cell>
          <cell r="Y19">
            <v>1</v>
          </cell>
          <cell r="Z19">
            <v>214</v>
          </cell>
          <cell r="AA19">
            <v>1</v>
          </cell>
          <cell r="AB19">
            <v>60</v>
          </cell>
          <cell r="AC19">
            <v>2</v>
          </cell>
          <cell r="AD19">
            <v>274</v>
          </cell>
          <cell r="AE19">
            <v>1</v>
          </cell>
          <cell r="AF19">
            <v>69</v>
          </cell>
          <cell r="AG19">
            <v>2</v>
          </cell>
          <cell r="AH19">
            <v>191</v>
          </cell>
          <cell r="AI19">
            <v>3</v>
          </cell>
          <cell r="AJ19">
            <v>283</v>
          </cell>
          <cell r="AK19">
            <v>0</v>
          </cell>
          <cell r="AL19">
            <v>0</v>
          </cell>
          <cell r="AM19">
            <v>3</v>
          </cell>
          <cell r="AN19">
            <v>283</v>
          </cell>
          <cell r="AO19">
            <v>2</v>
          </cell>
          <cell r="AP19">
            <v>400</v>
          </cell>
          <cell r="AQ19">
            <v>1</v>
          </cell>
          <cell r="AR19">
            <v>140</v>
          </cell>
          <cell r="AS19">
            <v>0</v>
          </cell>
          <cell r="AT19">
            <v>0</v>
          </cell>
          <cell r="AU19">
            <v>1</v>
          </cell>
          <cell r="AV19">
            <v>50</v>
          </cell>
          <cell r="AW19">
            <v>1</v>
          </cell>
          <cell r="AX19">
            <v>50</v>
          </cell>
          <cell r="AY19">
            <v>1</v>
          </cell>
          <cell r="AZ19">
            <v>250</v>
          </cell>
          <cell r="BA19">
            <v>0</v>
          </cell>
          <cell r="BB19">
            <v>0</v>
          </cell>
          <cell r="BC19">
            <v>1</v>
          </cell>
          <cell r="BD19">
            <v>207</v>
          </cell>
          <cell r="BE19">
            <v>5</v>
          </cell>
          <cell r="BF19">
            <v>1220</v>
          </cell>
          <cell r="BG19">
            <v>6</v>
          </cell>
          <cell r="BH19">
            <v>1427</v>
          </cell>
          <cell r="BI19">
            <v>0</v>
          </cell>
          <cell r="BJ19">
            <v>0</v>
          </cell>
          <cell r="BK19" t="str">
            <v>LOS ANGELES-LONG BEACH, CA</v>
          </cell>
        </row>
        <row r="20">
          <cell r="B20" t="str">
            <v>MIAMI-HIALEAH, FL</v>
          </cell>
          <cell r="C20">
            <v>1</v>
          </cell>
          <cell r="D20">
            <v>490</v>
          </cell>
          <cell r="E20">
            <v>3</v>
          </cell>
          <cell r="F20">
            <v>711</v>
          </cell>
          <cell r="G20">
            <v>2</v>
          </cell>
          <cell r="H20">
            <v>270</v>
          </cell>
          <cell r="I20">
            <v>5</v>
          </cell>
          <cell r="J20">
            <v>981</v>
          </cell>
          <cell r="K20">
            <v>0</v>
          </cell>
          <cell r="L20">
            <v>0</v>
          </cell>
          <cell r="M20">
            <v>0</v>
          </cell>
          <cell r="N20">
            <v>0</v>
          </cell>
          <cell r="O20">
            <v>5</v>
          </cell>
          <cell r="P20">
            <v>1010</v>
          </cell>
          <cell r="Q20">
            <v>4</v>
          </cell>
          <cell r="R20">
            <v>557</v>
          </cell>
          <cell r="S20">
            <v>9</v>
          </cell>
          <cell r="T20">
            <v>1567</v>
          </cell>
          <cell r="U20">
            <v>3</v>
          </cell>
          <cell r="V20">
            <v>411</v>
          </cell>
          <cell r="W20">
            <v>0</v>
          </cell>
          <cell r="X20">
            <v>0</v>
          </cell>
          <cell r="Y20">
            <v>0</v>
          </cell>
          <cell r="Z20">
            <v>0</v>
          </cell>
          <cell r="AA20">
            <v>1</v>
          </cell>
          <cell r="AB20">
            <v>100</v>
          </cell>
          <cell r="AC20">
            <v>1</v>
          </cell>
          <cell r="AD20">
            <v>100</v>
          </cell>
          <cell r="AE20">
            <v>0</v>
          </cell>
          <cell r="AF20">
            <v>0</v>
          </cell>
          <cell r="AG20">
            <v>1</v>
          </cell>
          <cell r="AH20">
            <v>131</v>
          </cell>
          <cell r="AI20">
            <v>0</v>
          </cell>
          <cell r="AJ20">
            <v>0</v>
          </cell>
          <cell r="AK20">
            <v>2</v>
          </cell>
          <cell r="AL20">
            <v>196</v>
          </cell>
          <cell r="AM20">
            <v>2</v>
          </cell>
          <cell r="AN20">
            <v>196</v>
          </cell>
          <cell r="AO20">
            <v>1</v>
          </cell>
          <cell r="AP20">
            <v>200</v>
          </cell>
          <cell r="AQ20">
            <v>3</v>
          </cell>
          <cell r="AR20">
            <v>301</v>
          </cell>
          <cell r="AS20">
            <v>0</v>
          </cell>
          <cell r="AT20">
            <v>0</v>
          </cell>
          <cell r="AU20">
            <v>1</v>
          </cell>
          <cell r="AV20">
            <v>162</v>
          </cell>
          <cell r="AW20">
            <v>1</v>
          </cell>
          <cell r="AX20">
            <v>162</v>
          </cell>
          <cell r="AY20">
            <v>0</v>
          </cell>
          <cell r="AZ20">
            <v>0</v>
          </cell>
          <cell r="BA20">
            <v>1</v>
          </cell>
          <cell r="BB20">
            <v>324</v>
          </cell>
          <cell r="BC20">
            <v>6</v>
          </cell>
          <cell r="BD20">
            <v>988</v>
          </cell>
          <cell r="BE20">
            <v>1</v>
          </cell>
          <cell r="BF20">
            <v>100</v>
          </cell>
          <cell r="BG20">
            <v>7</v>
          </cell>
          <cell r="BH20">
            <v>1088</v>
          </cell>
          <cell r="BI20">
            <v>2</v>
          </cell>
          <cell r="BJ20">
            <v>177</v>
          </cell>
          <cell r="BK20" t="str">
            <v>MIAMI-HIALEAH, FL</v>
          </cell>
        </row>
        <row r="21">
          <cell r="B21" t="str">
            <v>MINNEAPOLIS-SAINT PAUL, MN-WI</v>
          </cell>
          <cell r="C21">
            <v>0</v>
          </cell>
          <cell r="D21">
            <v>0</v>
          </cell>
          <cell r="E21">
            <v>1</v>
          </cell>
          <cell r="F21">
            <v>256</v>
          </cell>
          <cell r="G21">
            <v>0</v>
          </cell>
          <cell r="H21">
            <v>0</v>
          </cell>
          <cell r="I21">
            <v>1</v>
          </cell>
          <cell r="J21">
            <v>256</v>
          </cell>
          <cell r="K21">
            <v>0</v>
          </cell>
          <cell r="L21">
            <v>0</v>
          </cell>
          <cell r="M21">
            <v>4</v>
          </cell>
          <cell r="N21">
            <v>591</v>
          </cell>
          <cell r="O21">
            <v>2</v>
          </cell>
          <cell r="P21">
            <v>224</v>
          </cell>
          <cell r="Q21">
            <v>0</v>
          </cell>
          <cell r="R21">
            <v>0</v>
          </cell>
          <cell r="S21">
            <v>2</v>
          </cell>
          <cell r="T21">
            <v>224</v>
          </cell>
          <cell r="U21">
            <v>0</v>
          </cell>
          <cell r="V21">
            <v>0</v>
          </cell>
          <cell r="W21">
            <v>0</v>
          </cell>
          <cell r="X21">
            <v>0</v>
          </cell>
          <cell r="Y21">
            <v>0</v>
          </cell>
          <cell r="Z21">
            <v>0</v>
          </cell>
          <cell r="AA21">
            <v>2</v>
          </cell>
          <cell r="AB21">
            <v>240</v>
          </cell>
          <cell r="AC21">
            <v>2</v>
          </cell>
          <cell r="AD21">
            <v>240</v>
          </cell>
          <cell r="AE21">
            <v>0</v>
          </cell>
          <cell r="AF21">
            <v>0</v>
          </cell>
          <cell r="AG21">
            <v>2</v>
          </cell>
          <cell r="AH21">
            <v>233</v>
          </cell>
          <cell r="AI21">
            <v>2</v>
          </cell>
          <cell r="AJ21">
            <v>169</v>
          </cell>
          <cell r="AK21">
            <v>0</v>
          </cell>
          <cell r="AL21">
            <v>0</v>
          </cell>
          <cell r="AM21">
            <v>2</v>
          </cell>
          <cell r="AN21">
            <v>169</v>
          </cell>
          <cell r="AO21">
            <v>1</v>
          </cell>
          <cell r="AP21">
            <v>100</v>
          </cell>
          <cell r="AQ21">
            <v>1</v>
          </cell>
          <cell r="AR21">
            <v>41</v>
          </cell>
          <cell r="AS21">
            <v>2</v>
          </cell>
          <cell r="AT21">
            <v>136</v>
          </cell>
          <cell r="AU21">
            <v>3</v>
          </cell>
          <cell r="AV21">
            <v>228</v>
          </cell>
          <cell r="AW21">
            <v>5</v>
          </cell>
          <cell r="AX21">
            <v>364</v>
          </cell>
          <cell r="AY21">
            <v>3</v>
          </cell>
          <cell r="AZ21">
            <v>196</v>
          </cell>
          <cell r="BA21">
            <v>0</v>
          </cell>
          <cell r="BB21">
            <v>0</v>
          </cell>
          <cell r="BC21">
            <v>1</v>
          </cell>
          <cell r="BD21">
            <v>120</v>
          </cell>
          <cell r="BE21">
            <v>1</v>
          </cell>
          <cell r="BF21">
            <v>400</v>
          </cell>
          <cell r="BG21">
            <v>2</v>
          </cell>
          <cell r="BH21">
            <v>520</v>
          </cell>
          <cell r="BI21">
            <v>0</v>
          </cell>
          <cell r="BJ21">
            <v>0</v>
          </cell>
          <cell r="BK21" t="str">
            <v>MINNEAPOLIS-SAINT PAUL, MN-WI</v>
          </cell>
        </row>
        <row r="22">
          <cell r="B22" t="str">
            <v>NASHVILLE, TN</v>
          </cell>
          <cell r="C22">
            <v>3</v>
          </cell>
          <cell r="D22">
            <v>762</v>
          </cell>
          <cell r="E22">
            <v>0</v>
          </cell>
          <cell r="F22">
            <v>0</v>
          </cell>
          <cell r="G22">
            <v>0</v>
          </cell>
          <cell r="H22">
            <v>0</v>
          </cell>
          <cell r="I22">
            <v>0</v>
          </cell>
          <cell r="J22">
            <v>0</v>
          </cell>
          <cell r="K22">
            <v>0</v>
          </cell>
          <cell r="L22">
            <v>0</v>
          </cell>
          <cell r="M22">
            <v>1</v>
          </cell>
          <cell r="N22">
            <v>110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6</v>
          </cell>
          <cell r="AH22">
            <v>532</v>
          </cell>
          <cell r="AI22">
            <v>2</v>
          </cell>
          <cell r="AJ22">
            <v>187</v>
          </cell>
          <cell r="AK22">
            <v>2</v>
          </cell>
          <cell r="AL22">
            <v>159</v>
          </cell>
          <cell r="AM22">
            <v>4</v>
          </cell>
          <cell r="AN22">
            <v>346</v>
          </cell>
          <cell r="AO22">
            <v>2</v>
          </cell>
          <cell r="AP22">
            <v>200</v>
          </cell>
          <cell r="AQ22">
            <v>0</v>
          </cell>
          <cell r="AR22">
            <v>0</v>
          </cell>
          <cell r="AS22">
            <v>2</v>
          </cell>
          <cell r="AT22">
            <v>169</v>
          </cell>
          <cell r="AU22">
            <v>0</v>
          </cell>
          <cell r="AV22">
            <v>0</v>
          </cell>
          <cell r="AW22">
            <v>2</v>
          </cell>
          <cell r="AX22">
            <v>169</v>
          </cell>
          <cell r="AY22">
            <v>0</v>
          </cell>
          <cell r="AZ22">
            <v>0</v>
          </cell>
          <cell r="BA22">
            <v>0</v>
          </cell>
          <cell r="BB22">
            <v>0</v>
          </cell>
          <cell r="BC22">
            <v>0</v>
          </cell>
          <cell r="BD22">
            <v>0</v>
          </cell>
          <cell r="BE22">
            <v>0</v>
          </cell>
          <cell r="BF22">
            <v>0</v>
          </cell>
          <cell r="BG22">
            <v>0</v>
          </cell>
          <cell r="BH22">
            <v>0</v>
          </cell>
          <cell r="BI22">
            <v>0</v>
          </cell>
          <cell r="BJ22">
            <v>0</v>
          </cell>
          <cell r="BK22" t="str">
            <v>NASHVILLE, TN</v>
          </cell>
        </row>
        <row r="23">
          <cell r="B23" t="str">
            <v>NEW ORLEANS, LA</v>
          </cell>
          <cell r="C23">
            <v>1</v>
          </cell>
          <cell r="D23">
            <v>280</v>
          </cell>
          <cell r="E23">
            <v>1</v>
          </cell>
          <cell r="F23">
            <v>182</v>
          </cell>
          <cell r="G23">
            <v>2</v>
          </cell>
          <cell r="H23">
            <v>401</v>
          </cell>
          <cell r="I23">
            <v>3</v>
          </cell>
          <cell r="J23">
            <v>583</v>
          </cell>
          <cell r="K23">
            <v>1</v>
          </cell>
          <cell r="L23">
            <v>500</v>
          </cell>
          <cell r="M23">
            <v>1</v>
          </cell>
          <cell r="N23">
            <v>208</v>
          </cell>
          <cell r="O23">
            <v>2</v>
          </cell>
          <cell r="P23">
            <v>682</v>
          </cell>
          <cell r="Q23">
            <v>1</v>
          </cell>
          <cell r="R23">
            <v>142</v>
          </cell>
          <cell r="S23">
            <v>3</v>
          </cell>
          <cell r="T23">
            <v>824</v>
          </cell>
          <cell r="U23">
            <v>0</v>
          </cell>
          <cell r="V23">
            <v>0</v>
          </cell>
          <cell r="W23">
            <v>3</v>
          </cell>
          <cell r="X23">
            <v>261</v>
          </cell>
          <cell r="Y23">
            <v>2</v>
          </cell>
          <cell r="Z23">
            <v>221</v>
          </cell>
          <cell r="AA23">
            <v>0</v>
          </cell>
          <cell r="AB23">
            <v>0</v>
          </cell>
          <cell r="AC23">
            <v>2</v>
          </cell>
          <cell r="AD23">
            <v>221</v>
          </cell>
          <cell r="AE23">
            <v>0</v>
          </cell>
          <cell r="AF23">
            <v>0</v>
          </cell>
          <cell r="AG23">
            <v>4</v>
          </cell>
          <cell r="AH23">
            <v>241</v>
          </cell>
          <cell r="AI23">
            <v>3</v>
          </cell>
          <cell r="AJ23">
            <v>283</v>
          </cell>
          <cell r="AK23">
            <v>3</v>
          </cell>
          <cell r="AL23">
            <v>345</v>
          </cell>
          <cell r="AM23">
            <v>6</v>
          </cell>
          <cell r="AN23">
            <v>628</v>
          </cell>
          <cell r="AO23">
            <v>2</v>
          </cell>
          <cell r="AP23">
            <v>234</v>
          </cell>
          <cell r="AQ23">
            <v>1</v>
          </cell>
          <cell r="AR23">
            <v>59</v>
          </cell>
          <cell r="AS23">
            <v>0</v>
          </cell>
          <cell r="AT23">
            <v>0</v>
          </cell>
          <cell r="AU23">
            <v>0</v>
          </cell>
          <cell r="AV23">
            <v>0</v>
          </cell>
          <cell r="AW23">
            <v>0</v>
          </cell>
          <cell r="AX23">
            <v>0</v>
          </cell>
          <cell r="AY23">
            <v>3</v>
          </cell>
          <cell r="AZ23">
            <v>315</v>
          </cell>
          <cell r="BA23">
            <v>5</v>
          </cell>
          <cell r="BB23">
            <v>618</v>
          </cell>
          <cell r="BC23">
            <v>2</v>
          </cell>
          <cell r="BD23">
            <v>422</v>
          </cell>
          <cell r="BE23">
            <v>2</v>
          </cell>
          <cell r="BF23">
            <v>925</v>
          </cell>
          <cell r="BG23">
            <v>4</v>
          </cell>
          <cell r="BH23">
            <v>1347</v>
          </cell>
          <cell r="BI23">
            <v>1</v>
          </cell>
          <cell r="BJ23">
            <v>175</v>
          </cell>
          <cell r="BK23" t="str">
            <v>NEW ORLEANS, LA</v>
          </cell>
        </row>
        <row r="24">
          <cell r="B24" t="str">
            <v>NEW YORK, NY</v>
          </cell>
          <cell r="C24">
            <v>2</v>
          </cell>
          <cell r="D24">
            <v>807</v>
          </cell>
          <cell r="E24">
            <v>1</v>
          </cell>
          <cell r="F24">
            <v>863</v>
          </cell>
          <cell r="G24">
            <v>0</v>
          </cell>
          <cell r="H24">
            <v>0</v>
          </cell>
          <cell r="I24">
            <v>1</v>
          </cell>
          <cell r="J24">
            <v>863</v>
          </cell>
          <cell r="K24">
            <v>2</v>
          </cell>
          <cell r="L24">
            <v>430</v>
          </cell>
          <cell r="M24">
            <v>2</v>
          </cell>
          <cell r="N24">
            <v>314</v>
          </cell>
          <cell r="O24">
            <v>0</v>
          </cell>
          <cell r="P24">
            <v>0</v>
          </cell>
          <cell r="Q24">
            <v>3</v>
          </cell>
          <cell r="R24">
            <v>384</v>
          </cell>
          <cell r="S24">
            <v>3</v>
          </cell>
          <cell r="T24">
            <v>384</v>
          </cell>
          <cell r="U24">
            <v>1</v>
          </cell>
          <cell r="V24">
            <v>420</v>
          </cell>
          <cell r="W24">
            <v>3</v>
          </cell>
          <cell r="X24">
            <v>410</v>
          </cell>
          <cell r="Y24">
            <v>2</v>
          </cell>
          <cell r="Z24">
            <v>217</v>
          </cell>
          <cell r="AA24">
            <v>0</v>
          </cell>
          <cell r="AB24">
            <v>0</v>
          </cell>
          <cell r="AC24">
            <v>2</v>
          </cell>
          <cell r="AD24">
            <v>217</v>
          </cell>
          <cell r="AE24">
            <v>2</v>
          </cell>
          <cell r="AF24">
            <v>276</v>
          </cell>
          <cell r="AG24">
            <v>5</v>
          </cell>
          <cell r="AH24">
            <v>549</v>
          </cell>
          <cell r="AI24">
            <v>2</v>
          </cell>
          <cell r="AJ24">
            <v>274</v>
          </cell>
          <cell r="AK24">
            <v>2</v>
          </cell>
          <cell r="AL24">
            <v>310</v>
          </cell>
          <cell r="AM24">
            <v>4</v>
          </cell>
          <cell r="AN24">
            <v>584</v>
          </cell>
          <cell r="AO24">
            <v>4</v>
          </cell>
          <cell r="AP24">
            <v>332</v>
          </cell>
          <cell r="AQ24">
            <v>2</v>
          </cell>
          <cell r="AR24">
            <v>163</v>
          </cell>
          <cell r="AS24">
            <v>2</v>
          </cell>
          <cell r="AT24">
            <v>241</v>
          </cell>
          <cell r="AU24">
            <v>2</v>
          </cell>
          <cell r="AV24">
            <v>158</v>
          </cell>
          <cell r="AW24">
            <v>4</v>
          </cell>
          <cell r="AX24">
            <v>399</v>
          </cell>
          <cell r="AY24">
            <v>0</v>
          </cell>
          <cell r="AZ24">
            <v>0</v>
          </cell>
          <cell r="BA24">
            <v>2</v>
          </cell>
          <cell r="BB24">
            <v>208</v>
          </cell>
          <cell r="BC24">
            <v>1</v>
          </cell>
          <cell r="BD24">
            <v>251</v>
          </cell>
          <cell r="BE24">
            <v>2</v>
          </cell>
          <cell r="BF24">
            <v>340</v>
          </cell>
          <cell r="BG24">
            <v>3</v>
          </cell>
          <cell r="BH24">
            <v>591</v>
          </cell>
          <cell r="BI24">
            <v>4</v>
          </cell>
          <cell r="BJ24">
            <v>504</v>
          </cell>
          <cell r="BK24" t="str">
            <v>NEW YORK, NY</v>
          </cell>
        </row>
        <row r="25">
          <cell r="B25" t="str">
            <v>NORFOLK-VIRGINIA BEACH, VA</v>
          </cell>
          <cell r="C25">
            <v>0</v>
          </cell>
          <cell r="D25">
            <v>0</v>
          </cell>
          <cell r="E25">
            <v>0</v>
          </cell>
          <cell r="F25">
            <v>0</v>
          </cell>
          <cell r="G25">
            <v>0</v>
          </cell>
          <cell r="H25">
            <v>0</v>
          </cell>
          <cell r="I25">
            <v>0</v>
          </cell>
          <cell r="J25">
            <v>0</v>
          </cell>
          <cell r="K25">
            <v>1</v>
          </cell>
          <cell r="L25">
            <v>300</v>
          </cell>
          <cell r="M25">
            <v>0</v>
          </cell>
          <cell r="N25">
            <v>0</v>
          </cell>
          <cell r="O25">
            <v>2</v>
          </cell>
          <cell r="P25">
            <v>300</v>
          </cell>
          <cell r="Q25">
            <v>2</v>
          </cell>
          <cell r="R25">
            <v>208</v>
          </cell>
          <cell r="S25">
            <v>4</v>
          </cell>
          <cell r="T25">
            <v>508</v>
          </cell>
          <cell r="U25">
            <v>0</v>
          </cell>
          <cell r="V25">
            <v>0</v>
          </cell>
          <cell r="W25">
            <v>1</v>
          </cell>
          <cell r="X25">
            <v>127</v>
          </cell>
          <cell r="Y25">
            <v>0</v>
          </cell>
          <cell r="Z25">
            <v>0</v>
          </cell>
          <cell r="AA25">
            <v>0</v>
          </cell>
          <cell r="AB25">
            <v>0</v>
          </cell>
          <cell r="AC25">
            <v>0</v>
          </cell>
          <cell r="AD25">
            <v>0</v>
          </cell>
          <cell r="AE25">
            <v>0</v>
          </cell>
          <cell r="AF25">
            <v>0</v>
          </cell>
          <cell r="AG25">
            <v>1</v>
          </cell>
          <cell r="AH25">
            <v>107</v>
          </cell>
          <cell r="AI25">
            <v>0</v>
          </cell>
          <cell r="AJ25">
            <v>0</v>
          </cell>
          <cell r="AK25">
            <v>7</v>
          </cell>
          <cell r="AL25">
            <v>693</v>
          </cell>
          <cell r="AM25">
            <v>7</v>
          </cell>
          <cell r="AN25">
            <v>693</v>
          </cell>
          <cell r="AO25">
            <v>2</v>
          </cell>
          <cell r="AP25">
            <v>210</v>
          </cell>
          <cell r="AQ25">
            <v>1</v>
          </cell>
          <cell r="AR25">
            <v>91</v>
          </cell>
          <cell r="AS25">
            <v>0</v>
          </cell>
          <cell r="AT25">
            <v>0</v>
          </cell>
          <cell r="AU25">
            <v>0</v>
          </cell>
          <cell r="AV25">
            <v>0</v>
          </cell>
          <cell r="AW25">
            <v>0</v>
          </cell>
          <cell r="AX25">
            <v>0</v>
          </cell>
          <cell r="AY25">
            <v>0</v>
          </cell>
          <cell r="AZ25">
            <v>0</v>
          </cell>
          <cell r="BA25">
            <v>2</v>
          </cell>
          <cell r="BB25">
            <v>429</v>
          </cell>
          <cell r="BC25">
            <v>1</v>
          </cell>
          <cell r="BD25">
            <v>86</v>
          </cell>
          <cell r="BE25">
            <v>0</v>
          </cell>
          <cell r="BF25">
            <v>0</v>
          </cell>
          <cell r="BG25">
            <v>1</v>
          </cell>
          <cell r="BH25">
            <v>86</v>
          </cell>
          <cell r="BI25">
            <v>2</v>
          </cell>
          <cell r="BJ25">
            <v>360</v>
          </cell>
          <cell r="BK25" t="str">
            <v>NORFOLK-VIRGINIA BEACH, VA</v>
          </cell>
        </row>
        <row r="26">
          <cell r="B26" t="str">
            <v>OAHU ISLAND</v>
          </cell>
          <cell r="C26">
            <v>1</v>
          </cell>
          <cell r="D26">
            <v>453</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1</v>
          </cell>
          <cell r="V26">
            <v>243</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t="str">
            <v>OAHU ISLAND</v>
          </cell>
        </row>
        <row r="27">
          <cell r="B27" t="str">
            <v>ORLANDO, FL</v>
          </cell>
          <cell r="C27">
            <v>1</v>
          </cell>
          <cell r="D27">
            <v>250</v>
          </cell>
          <cell r="E27">
            <v>4</v>
          </cell>
          <cell r="F27">
            <v>2889</v>
          </cell>
          <cell r="G27">
            <v>5</v>
          </cell>
          <cell r="H27">
            <v>3462</v>
          </cell>
          <cell r="I27">
            <v>9</v>
          </cell>
          <cell r="J27">
            <v>6351</v>
          </cell>
          <cell r="K27">
            <v>1</v>
          </cell>
          <cell r="L27">
            <v>1500</v>
          </cell>
          <cell r="M27">
            <v>3</v>
          </cell>
          <cell r="N27">
            <v>793</v>
          </cell>
          <cell r="O27">
            <v>3</v>
          </cell>
          <cell r="P27">
            <v>619</v>
          </cell>
          <cell r="Q27">
            <v>2</v>
          </cell>
          <cell r="R27">
            <v>220</v>
          </cell>
          <cell r="S27">
            <v>5</v>
          </cell>
          <cell r="T27">
            <v>839</v>
          </cell>
          <cell r="U27">
            <v>1</v>
          </cell>
          <cell r="V27">
            <v>125</v>
          </cell>
          <cell r="W27">
            <v>1</v>
          </cell>
          <cell r="X27">
            <v>150</v>
          </cell>
          <cell r="Y27">
            <v>0</v>
          </cell>
          <cell r="Z27">
            <v>0</v>
          </cell>
          <cell r="AA27">
            <v>0</v>
          </cell>
          <cell r="AB27">
            <v>0</v>
          </cell>
          <cell r="AC27">
            <v>0</v>
          </cell>
          <cell r="AD27">
            <v>0</v>
          </cell>
          <cell r="AE27">
            <v>0</v>
          </cell>
          <cell r="AF27">
            <v>0</v>
          </cell>
          <cell r="AG27">
            <v>4</v>
          </cell>
          <cell r="AH27">
            <v>453</v>
          </cell>
          <cell r="AI27">
            <v>5</v>
          </cell>
          <cell r="AJ27">
            <v>582</v>
          </cell>
          <cell r="AK27">
            <v>3</v>
          </cell>
          <cell r="AL27">
            <v>426</v>
          </cell>
          <cell r="AM27">
            <v>8</v>
          </cell>
          <cell r="AN27">
            <v>1008</v>
          </cell>
          <cell r="AO27">
            <v>1</v>
          </cell>
          <cell r="AP27">
            <v>220</v>
          </cell>
          <cell r="AQ27">
            <v>1</v>
          </cell>
          <cell r="AR27">
            <v>83</v>
          </cell>
          <cell r="AS27">
            <v>0</v>
          </cell>
          <cell r="AT27">
            <v>0</v>
          </cell>
          <cell r="AU27">
            <v>3</v>
          </cell>
          <cell r="AV27">
            <v>519</v>
          </cell>
          <cell r="AW27">
            <v>3</v>
          </cell>
          <cell r="AX27">
            <v>519</v>
          </cell>
          <cell r="AY27">
            <v>6</v>
          </cell>
          <cell r="AZ27">
            <v>1340</v>
          </cell>
          <cell r="BA27">
            <v>2</v>
          </cell>
          <cell r="BB27">
            <v>2699</v>
          </cell>
          <cell r="BC27">
            <v>1</v>
          </cell>
          <cell r="BD27">
            <v>2880</v>
          </cell>
          <cell r="BE27">
            <v>6</v>
          </cell>
          <cell r="BF27">
            <v>4174</v>
          </cell>
          <cell r="BG27">
            <v>7</v>
          </cell>
          <cell r="BH27">
            <v>7054</v>
          </cell>
          <cell r="BI27">
            <v>1</v>
          </cell>
          <cell r="BJ27">
            <v>350</v>
          </cell>
          <cell r="BK27" t="str">
            <v>ORLANDO, FL</v>
          </cell>
        </row>
        <row r="28">
          <cell r="B28" t="str">
            <v>PHILADELPHIA, PA-NJ</v>
          </cell>
          <cell r="C28">
            <v>0</v>
          </cell>
          <cell r="D28">
            <v>0</v>
          </cell>
          <cell r="E28">
            <v>0</v>
          </cell>
          <cell r="F28">
            <v>0</v>
          </cell>
          <cell r="G28">
            <v>0</v>
          </cell>
          <cell r="H28">
            <v>0</v>
          </cell>
          <cell r="I28">
            <v>0</v>
          </cell>
          <cell r="J28">
            <v>0</v>
          </cell>
          <cell r="K28">
            <v>1</v>
          </cell>
          <cell r="L28">
            <v>360</v>
          </cell>
          <cell r="M28">
            <v>6</v>
          </cell>
          <cell r="N28">
            <v>880</v>
          </cell>
          <cell r="O28">
            <v>2</v>
          </cell>
          <cell r="P28">
            <v>387</v>
          </cell>
          <cell r="Q28">
            <v>3</v>
          </cell>
          <cell r="R28">
            <v>322</v>
          </cell>
          <cell r="S28">
            <v>5</v>
          </cell>
          <cell r="T28">
            <v>709</v>
          </cell>
          <cell r="U28">
            <v>1</v>
          </cell>
          <cell r="V28">
            <v>114</v>
          </cell>
          <cell r="W28">
            <v>0</v>
          </cell>
          <cell r="X28">
            <v>0</v>
          </cell>
          <cell r="Y28">
            <v>0</v>
          </cell>
          <cell r="Z28">
            <v>0</v>
          </cell>
          <cell r="AA28">
            <v>0</v>
          </cell>
          <cell r="AB28">
            <v>0</v>
          </cell>
          <cell r="AC28">
            <v>0</v>
          </cell>
          <cell r="AD28">
            <v>0</v>
          </cell>
          <cell r="AE28">
            <v>0</v>
          </cell>
          <cell r="AF28">
            <v>0</v>
          </cell>
          <cell r="AG28">
            <v>4</v>
          </cell>
          <cell r="AH28">
            <v>471</v>
          </cell>
          <cell r="AI28">
            <v>3</v>
          </cell>
          <cell r="AJ28">
            <v>244</v>
          </cell>
          <cell r="AK28">
            <v>4</v>
          </cell>
          <cell r="AL28">
            <v>401</v>
          </cell>
          <cell r="AM28">
            <v>7</v>
          </cell>
          <cell r="AN28">
            <v>645</v>
          </cell>
          <cell r="AO28">
            <v>1</v>
          </cell>
          <cell r="AP28">
            <v>70</v>
          </cell>
          <cell r="AQ28">
            <v>1</v>
          </cell>
          <cell r="AR28">
            <v>116</v>
          </cell>
          <cell r="AS28">
            <v>0</v>
          </cell>
          <cell r="AT28">
            <v>0</v>
          </cell>
          <cell r="AU28">
            <v>1</v>
          </cell>
          <cell r="AV28">
            <v>134</v>
          </cell>
          <cell r="AW28">
            <v>1</v>
          </cell>
          <cell r="AX28">
            <v>134</v>
          </cell>
          <cell r="AY28">
            <v>1</v>
          </cell>
          <cell r="AZ28">
            <v>120</v>
          </cell>
          <cell r="BA28">
            <v>0</v>
          </cell>
          <cell r="BB28">
            <v>0</v>
          </cell>
          <cell r="BC28">
            <v>0</v>
          </cell>
          <cell r="BD28">
            <v>0</v>
          </cell>
          <cell r="BE28">
            <v>2</v>
          </cell>
          <cell r="BF28">
            <v>413</v>
          </cell>
          <cell r="BG28">
            <v>2</v>
          </cell>
          <cell r="BH28">
            <v>413</v>
          </cell>
          <cell r="BI28">
            <v>0</v>
          </cell>
          <cell r="BJ28">
            <v>0</v>
          </cell>
          <cell r="BK28" t="str">
            <v>PHILADELPHIA, PA-NJ</v>
          </cell>
        </row>
        <row r="29">
          <cell r="B29" t="str">
            <v>PHOENIX, AZ</v>
          </cell>
          <cell r="C29">
            <v>0</v>
          </cell>
          <cell r="D29">
            <v>0</v>
          </cell>
          <cell r="E29">
            <v>3</v>
          </cell>
          <cell r="F29">
            <v>2200</v>
          </cell>
          <cell r="G29">
            <v>1</v>
          </cell>
          <cell r="H29">
            <v>250</v>
          </cell>
          <cell r="I29">
            <v>4</v>
          </cell>
          <cell r="J29">
            <v>2450</v>
          </cell>
          <cell r="K29">
            <v>0</v>
          </cell>
          <cell r="L29">
            <v>0</v>
          </cell>
          <cell r="M29">
            <v>0</v>
          </cell>
          <cell r="N29">
            <v>0</v>
          </cell>
          <cell r="O29">
            <v>1</v>
          </cell>
          <cell r="P29">
            <v>120</v>
          </cell>
          <cell r="Q29">
            <v>0</v>
          </cell>
          <cell r="R29">
            <v>0</v>
          </cell>
          <cell r="S29">
            <v>1</v>
          </cell>
          <cell r="T29">
            <v>120</v>
          </cell>
          <cell r="U29">
            <v>0</v>
          </cell>
          <cell r="V29">
            <v>0</v>
          </cell>
          <cell r="W29">
            <v>0</v>
          </cell>
          <cell r="X29">
            <v>0</v>
          </cell>
          <cell r="Y29">
            <v>0</v>
          </cell>
          <cell r="Z29">
            <v>0</v>
          </cell>
          <cell r="AA29">
            <v>0</v>
          </cell>
          <cell r="AB29">
            <v>0</v>
          </cell>
          <cell r="AC29">
            <v>0</v>
          </cell>
          <cell r="AD29">
            <v>0</v>
          </cell>
          <cell r="AE29">
            <v>1</v>
          </cell>
          <cell r="AF29">
            <v>64</v>
          </cell>
          <cell r="AG29">
            <v>3</v>
          </cell>
          <cell r="AH29">
            <v>281</v>
          </cell>
          <cell r="AI29">
            <v>0</v>
          </cell>
          <cell r="AJ29">
            <v>0</v>
          </cell>
          <cell r="AK29">
            <v>1</v>
          </cell>
          <cell r="AL29">
            <v>80</v>
          </cell>
          <cell r="AM29">
            <v>1</v>
          </cell>
          <cell r="AN29">
            <v>80</v>
          </cell>
          <cell r="AO29">
            <v>3</v>
          </cell>
          <cell r="AP29">
            <v>325</v>
          </cell>
          <cell r="AQ29">
            <v>2</v>
          </cell>
          <cell r="AR29">
            <v>242</v>
          </cell>
          <cell r="AS29">
            <v>0</v>
          </cell>
          <cell r="AT29">
            <v>0</v>
          </cell>
          <cell r="AU29">
            <v>1</v>
          </cell>
          <cell r="AV29">
            <v>75</v>
          </cell>
          <cell r="AW29">
            <v>1</v>
          </cell>
          <cell r="AX29">
            <v>75</v>
          </cell>
          <cell r="AY29">
            <v>1</v>
          </cell>
          <cell r="AZ29">
            <v>60</v>
          </cell>
          <cell r="BA29">
            <v>0</v>
          </cell>
          <cell r="BB29">
            <v>0</v>
          </cell>
          <cell r="BC29">
            <v>0</v>
          </cell>
          <cell r="BD29">
            <v>0</v>
          </cell>
          <cell r="BE29">
            <v>3</v>
          </cell>
          <cell r="BF29">
            <v>1297</v>
          </cell>
          <cell r="BG29">
            <v>3</v>
          </cell>
          <cell r="BH29">
            <v>1297</v>
          </cell>
          <cell r="BI29">
            <v>1</v>
          </cell>
          <cell r="BJ29">
            <v>300</v>
          </cell>
          <cell r="BK29" t="str">
            <v>PHOENIX, AZ</v>
          </cell>
        </row>
        <row r="30">
          <cell r="B30" t="str">
            <v>SAINT LOUIS, MO-IL</v>
          </cell>
          <cell r="C30">
            <v>1</v>
          </cell>
          <cell r="D30">
            <v>288</v>
          </cell>
          <cell r="E30">
            <v>2</v>
          </cell>
          <cell r="F30">
            <v>1080</v>
          </cell>
          <cell r="G30">
            <v>2</v>
          </cell>
          <cell r="H30">
            <v>505</v>
          </cell>
          <cell r="I30">
            <v>4</v>
          </cell>
          <cell r="J30">
            <v>1585</v>
          </cell>
          <cell r="K30">
            <v>0</v>
          </cell>
          <cell r="L30">
            <v>0</v>
          </cell>
          <cell r="M30">
            <v>0</v>
          </cell>
          <cell r="N30">
            <v>0</v>
          </cell>
          <cell r="O30">
            <v>1</v>
          </cell>
          <cell r="P30">
            <v>104</v>
          </cell>
          <cell r="Q30">
            <v>0</v>
          </cell>
          <cell r="R30">
            <v>0</v>
          </cell>
          <cell r="S30">
            <v>1</v>
          </cell>
          <cell r="T30">
            <v>104</v>
          </cell>
          <cell r="U30">
            <v>1</v>
          </cell>
          <cell r="V30">
            <v>539</v>
          </cell>
          <cell r="W30">
            <v>0</v>
          </cell>
          <cell r="X30">
            <v>0</v>
          </cell>
          <cell r="Y30">
            <v>1</v>
          </cell>
          <cell r="Z30">
            <v>125</v>
          </cell>
          <cell r="AA30">
            <v>0</v>
          </cell>
          <cell r="AB30">
            <v>0</v>
          </cell>
          <cell r="AC30">
            <v>1</v>
          </cell>
          <cell r="AD30">
            <v>125</v>
          </cell>
          <cell r="AE30">
            <v>0</v>
          </cell>
          <cell r="AF30">
            <v>0</v>
          </cell>
          <cell r="AG30">
            <v>2</v>
          </cell>
          <cell r="AH30">
            <v>142</v>
          </cell>
          <cell r="AI30">
            <v>1</v>
          </cell>
          <cell r="AJ30">
            <v>80</v>
          </cell>
          <cell r="AK30">
            <v>5</v>
          </cell>
          <cell r="AL30">
            <v>560</v>
          </cell>
          <cell r="AM30">
            <v>6</v>
          </cell>
          <cell r="AN30">
            <v>640</v>
          </cell>
          <cell r="AO30">
            <v>1</v>
          </cell>
          <cell r="AP30">
            <v>80</v>
          </cell>
          <cell r="AQ30">
            <v>0</v>
          </cell>
          <cell r="AR30">
            <v>0</v>
          </cell>
          <cell r="AS30">
            <v>1</v>
          </cell>
          <cell r="AT30">
            <v>100</v>
          </cell>
          <cell r="AU30">
            <v>2</v>
          </cell>
          <cell r="AV30">
            <v>179</v>
          </cell>
          <cell r="AW30">
            <v>3</v>
          </cell>
          <cell r="AX30">
            <v>279</v>
          </cell>
          <cell r="AY30">
            <v>0</v>
          </cell>
          <cell r="AZ30">
            <v>0</v>
          </cell>
          <cell r="BA30">
            <v>1</v>
          </cell>
          <cell r="BB30">
            <v>61</v>
          </cell>
          <cell r="BC30">
            <v>0</v>
          </cell>
          <cell r="BD30">
            <v>0</v>
          </cell>
          <cell r="BE30">
            <v>1</v>
          </cell>
          <cell r="BF30">
            <v>120</v>
          </cell>
          <cell r="BG30">
            <v>1</v>
          </cell>
          <cell r="BH30">
            <v>120</v>
          </cell>
          <cell r="BI30">
            <v>2</v>
          </cell>
          <cell r="BJ30">
            <v>200</v>
          </cell>
          <cell r="BK30" t="str">
            <v>SAINT LOUIS, MO-IL</v>
          </cell>
        </row>
        <row r="31">
          <cell r="B31" t="str">
            <v>SAN DIEGO, CA</v>
          </cell>
          <cell r="C31">
            <v>2</v>
          </cell>
          <cell r="D31">
            <v>314</v>
          </cell>
          <cell r="E31">
            <v>2</v>
          </cell>
          <cell r="F31">
            <v>1011</v>
          </cell>
          <cell r="G31">
            <v>2</v>
          </cell>
          <cell r="H31">
            <v>584</v>
          </cell>
          <cell r="I31">
            <v>4</v>
          </cell>
          <cell r="J31">
            <v>1595</v>
          </cell>
          <cell r="K31">
            <v>1</v>
          </cell>
          <cell r="L31">
            <v>500</v>
          </cell>
          <cell r="M31">
            <v>1</v>
          </cell>
          <cell r="N31">
            <v>245</v>
          </cell>
          <cell r="O31">
            <v>1</v>
          </cell>
          <cell r="P31">
            <v>137</v>
          </cell>
          <cell r="Q31">
            <v>4</v>
          </cell>
          <cell r="R31">
            <v>474</v>
          </cell>
          <cell r="S31">
            <v>5</v>
          </cell>
          <cell r="T31">
            <v>611</v>
          </cell>
          <cell r="U31">
            <v>4</v>
          </cell>
          <cell r="V31">
            <v>399</v>
          </cell>
          <cell r="W31">
            <v>0</v>
          </cell>
          <cell r="X31">
            <v>0</v>
          </cell>
          <cell r="Y31">
            <v>0</v>
          </cell>
          <cell r="Z31">
            <v>0</v>
          </cell>
          <cell r="AA31">
            <v>1</v>
          </cell>
          <cell r="AB31">
            <v>28</v>
          </cell>
          <cell r="AC31">
            <v>1</v>
          </cell>
          <cell r="AD31">
            <v>28</v>
          </cell>
          <cell r="AE31">
            <v>1</v>
          </cell>
          <cell r="AF31">
            <v>100</v>
          </cell>
          <cell r="AG31">
            <v>4</v>
          </cell>
          <cell r="AH31">
            <v>495</v>
          </cell>
          <cell r="AI31">
            <v>1</v>
          </cell>
          <cell r="AJ31">
            <v>100</v>
          </cell>
          <cell r="AK31">
            <v>2</v>
          </cell>
          <cell r="AL31">
            <v>246</v>
          </cell>
          <cell r="AM31">
            <v>3</v>
          </cell>
          <cell r="AN31">
            <v>346</v>
          </cell>
          <cell r="AO31">
            <v>3</v>
          </cell>
          <cell r="AP31">
            <v>391</v>
          </cell>
          <cell r="AQ31">
            <v>0</v>
          </cell>
          <cell r="AR31">
            <v>0</v>
          </cell>
          <cell r="AS31">
            <v>2</v>
          </cell>
          <cell r="AT31">
            <v>253</v>
          </cell>
          <cell r="AU31">
            <v>0</v>
          </cell>
          <cell r="AV31">
            <v>0</v>
          </cell>
          <cell r="AW31">
            <v>2</v>
          </cell>
          <cell r="AX31">
            <v>253</v>
          </cell>
          <cell r="AY31">
            <v>3</v>
          </cell>
          <cell r="AZ31">
            <v>275</v>
          </cell>
          <cell r="BA31">
            <v>1</v>
          </cell>
          <cell r="BB31">
            <v>150</v>
          </cell>
          <cell r="BC31">
            <v>2</v>
          </cell>
          <cell r="BD31">
            <v>566</v>
          </cell>
          <cell r="BE31">
            <v>3</v>
          </cell>
          <cell r="BF31">
            <v>521</v>
          </cell>
          <cell r="BG31">
            <v>5</v>
          </cell>
          <cell r="BH31">
            <v>1087</v>
          </cell>
          <cell r="BI31">
            <v>6</v>
          </cell>
          <cell r="BJ31">
            <v>2342</v>
          </cell>
          <cell r="BK31" t="str">
            <v>SAN DIEGO, CA</v>
          </cell>
        </row>
        <row r="32">
          <cell r="B32" t="str">
            <v>SAN FRANCISCO/SAN MATEO</v>
          </cell>
          <cell r="C32">
            <v>2</v>
          </cell>
          <cell r="D32">
            <v>639</v>
          </cell>
          <cell r="E32">
            <v>1</v>
          </cell>
          <cell r="F32">
            <v>269</v>
          </cell>
          <cell r="G32">
            <v>3</v>
          </cell>
          <cell r="H32">
            <v>1282</v>
          </cell>
          <cell r="I32">
            <v>4</v>
          </cell>
          <cell r="J32">
            <v>1551</v>
          </cell>
          <cell r="K32">
            <v>1</v>
          </cell>
          <cell r="L32">
            <v>430</v>
          </cell>
          <cell r="M32">
            <v>1</v>
          </cell>
          <cell r="N32">
            <v>405</v>
          </cell>
          <cell r="O32">
            <v>1</v>
          </cell>
          <cell r="P32">
            <v>177</v>
          </cell>
          <cell r="Q32">
            <v>2</v>
          </cell>
          <cell r="R32">
            <v>394</v>
          </cell>
          <cell r="S32">
            <v>3</v>
          </cell>
          <cell r="T32">
            <v>571</v>
          </cell>
          <cell r="U32">
            <v>1</v>
          </cell>
          <cell r="V32">
            <v>160</v>
          </cell>
          <cell r="W32">
            <v>2</v>
          </cell>
          <cell r="X32">
            <v>186</v>
          </cell>
          <cell r="Y32">
            <v>0</v>
          </cell>
          <cell r="Z32">
            <v>0</v>
          </cell>
          <cell r="AA32">
            <v>0</v>
          </cell>
          <cell r="AB32">
            <v>0</v>
          </cell>
          <cell r="AC32">
            <v>0</v>
          </cell>
          <cell r="AD32">
            <v>0</v>
          </cell>
          <cell r="AE32">
            <v>0</v>
          </cell>
          <cell r="AF32">
            <v>0</v>
          </cell>
          <cell r="AG32">
            <v>3</v>
          </cell>
          <cell r="AH32">
            <v>237</v>
          </cell>
          <cell r="AI32">
            <v>3</v>
          </cell>
          <cell r="AJ32">
            <v>272</v>
          </cell>
          <cell r="AK32">
            <v>1</v>
          </cell>
          <cell r="AL32">
            <v>103</v>
          </cell>
          <cell r="AM32">
            <v>4</v>
          </cell>
          <cell r="AN32">
            <v>375</v>
          </cell>
          <cell r="AO32">
            <v>0</v>
          </cell>
          <cell r="AP32">
            <v>0</v>
          </cell>
          <cell r="AQ32">
            <v>0</v>
          </cell>
          <cell r="AR32">
            <v>0</v>
          </cell>
          <cell r="AS32">
            <v>2</v>
          </cell>
          <cell r="AT32">
            <v>78</v>
          </cell>
          <cell r="AU32">
            <v>2</v>
          </cell>
          <cell r="AV32">
            <v>203</v>
          </cell>
          <cell r="AW32">
            <v>4</v>
          </cell>
          <cell r="AX32">
            <v>281</v>
          </cell>
          <cell r="AY32">
            <v>0</v>
          </cell>
          <cell r="AZ32">
            <v>0</v>
          </cell>
          <cell r="BA32">
            <v>0</v>
          </cell>
          <cell r="BB32">
            <v>0</v>
          </cell>
          <cell r="BC32">
            <v>4</v>
          </cell>
          <cell r="BD32">
            <v>381</v>
          </cell>
          <cell r="BE32">
            <v>2</v>
          </cell>
          <cell r="BF32">
            <v>304</v>
          </cell>
          <cell r="BG32">
            <v>6</v>
          </cell>
          <cell r="BH32">
            <v>685</v>
          </cell>
          <cell r="BI32">
            <v>3</v>
          </cell>
          <cell r="BJ32">
            <v>805</v>
          </cell>
          <cell r="BK32" t="str">
            <v>SAN FRANCISCO/SAN MATEO</v>
          </cell>
        </row>
        <row r="33">
          <cell r="B33" t="str">
            <v>SEATTLE, WA</v>
          </cell>
          <cell r="C33">
            <v>1</v>
          </cell>
          <cell r="D33">
            <v>425</v>
          </cell>
          <cell r="E33">
            <v>2</v>
          </cell>
          <cell r="F33">
            <v>643</v>
          </cell>
          <cell r="G33">
            <v>0</v>
          </cell>
          <cell r="H33">
            <v>0</v>
          </cell>
          <cell r="I33">
            <v>2</v>
          </cell>
          <cell r="J33">
            <v>643</v>
          </cell>
          <cell r="K33">
            <v>2</v>
          </cell>
          <cell r="L33">
            <v>812</v>
          </cell>
          <cell r="M33">
            <v>1</v>
          </cell>
          <cell r="N33">
            <v>234</v>
          </cell>
          <cell r="O33">
            <v>0</v>
          </cell>
          <cell r="P33">
            <v>0</v>
          </cell>
          <cell r="Q33">
            <v>0</v>
          </cell>
          <cell r="R33">
            <v>0</v>
          </cell>
          <cell r="S33">
            <v>0</v>
          </cell>
          <cell r="T33">
            <v>0</v>
          </cell>
          <cell r="U33">
            <v>2</v>
          </cell>
          <cell r="V33">
            <v>351</v>
          </cell>
          <cell r="W33">
            <v>1</v>
          </cell>
          <cell r="X33">
            <v>200</v>
          </cell>
          <cell r="Y33">
            <v>1</v>
          </cell>
          <cell r="Z33">
            <v>65</v>
          </cell>
          <cell r="AA33">
            <v>0</v>
          </cell>
          <cell r="AB33">
            <v>0</v>
          </cell>
          <cell r="AC33">
            <v>1</v>
          </cell>
          <cell r="AD33">
            <v>65</v>
          </cell>
          <cell r="AE33">
            <v>0</v>
          </cell>
          <cell r="AF33">
            <v>0</v>
          </cell>
          <cell r="AG33">
            <v>2</v>
          </cell>
          <cell r="AH33">
            <v>164</v>
          </cell>
          <cell r="AI33">
            <v>1</v>
          </cell>
          <cell r="AJ33">
            <v>137</v>
          </cell>
          <cell r="AK33">
            <v>0</v>
          </cell>
          <cell r="AL33">
            <v>0</v>
          </cell>
          <cell r="AM33">
            <v>1</v>
          </cell>
          <cell r="AN33">
            <v>137</v>
          </cell>
          <cell r="AO33">
            <v>2</v>
          </cell>
          <cell r="AP33">
            <v>261</v>
          </cell>
          <cell r="AQ33">
            <v>1</v>
          </cell>
          <cell r="AR33">
            <v>101</v>
          </cell>
          <cell r="AS33">
            <v>1</v>
          </cell>
          <cell r="AT33">
            <v>107</v>
          </cell>
          <cell r="AU33">
            <v>0</v>
          </cell>
          <cell r="AV33">
            <v>0</v>
          </cell>
          <cell r="AW33">
            <v>1</v>
          </cell>
          <cell r="AX33">
            <v>107</v>
          </cell>
          <cell r="AY33">
            <v>0</v>
          </cell>
          <cell r="AZ33">
            <v>0</v>
          </cell>
          <cell r="BA33">
            <v>0</v>
          </cell>
          <cell r="BB33">
            <v>0</v>
          </cell>
          <cell r="BC33">
            <v>4</v>
          </cell>
          <cell r="BD33">
            <v>515</v>
          </cell>
          <cell r="BE33">
            <v>3</v>
          </cell>
          <cell r="BF33">
            <v>235</v>
          </cell>
          <cell r="BG33">
            <v>7</v>
          </cell>
          <cell r="BH33">
            <v>750</v>
          </cell>
          <cell r="BI33">
            <v>1</v>
          </cell>
          <cell r="BJ33">
            <v>152</v>
          </cell>
          <cell r="BK33" t="str">
            <v>SEATTLE, WA</v>
          </cell>
        </row>
        <row r="34">
          <cell r="B34" t="str">
            <v>TAMPA-SAINT PETERSBURG, FL</v>
          </cell>
          <cell r="C34">
            <v>0</v>
          </cell>
          <cell r="D34">
            <v>0</v>
          </cell>
          <cell r="E34">
            <v>0</v>
          </cell>
          <cell r="F34">
            <v>0</v>
          </cell>
          <cell r="G34">
            <v>1</v>
          </cell>
          <cell r="H34">
            <v>300</v>
          </cell>
          <cell r="I34">
            <v>1</v>
          </cell>
          <cell r="J34">
            <v>300</v>
          </cell>
          <cell r="K34">
            <v>0</v>
          </cell>
          <cell r="L34">
            <v>0</v>
          </cell>
          <cell r="M34">
            <v>4</v>
          </cell>
          <cell r="N34">
            <v>666</v>
          </cell>
          <cell r="O34">
            <v>1</v>
          </cell>
          <cell r="P34">
            <v>99</v>
          </cell>
          <cell r="Q34">
            <v>0</v>
          </cell>
          <cell r="R34">
            <v>0</v>
          </cell>
          <cell r="S34">
            <v>1</v>
          </cell>
          <cell r="T34">
            <v>99</v>
          </cell>
          <cell r="U34">
            <v>2</v>
          </cell>
          <cell r="V34">
            <v>199</v>
          </cell>
          <cell r="W34">
            <v>0</v>
          </cell>
          <cell r="X34">
            <v>0</v>
          </cell>
          <cell r="Y34">
            <v>0</v>
          </cell>
          <cell r="Z34">
            <v>0</v>
          </cell>
          <cell r="AA34">
            <v>0</v>
          </cell>
          <cell r="AB34">
            <v>0</v>
          </cell>
          <cell r="AC34">
            <v>0</v>
          </cell>
          <cell r="AD34">
            <v>0</v>
          </cell>
          <cell r="AE34">
            <v>1</v>
          </cell>
          <cell r="AF34">
            <v>70</v>
          </cell>
          <cell r="AG34">
            <v>3</v>
          </cell>
          <cell r="AH34">
            <v>285</v>
          </cell>
          <cell r="AI34">
            <v>4</v>
          </cell>
          <cell r="AJ34">
            <v>311</v>
          </cell>
          <cell r="AK34">
            <v>2</v>
          </cell>
          <cell r="AL34">
            <v>180</v>
          </cell>
          <cell r="AM34">
            <v>6</v>
          </cell>
          <cell r="AN34">
            <v>491</v>
          </cell>
          <cell r="AO34">
            <v>2</v>
          </cell>
          <cell r="AP34">
            <v>195</v>
          </cell>
          <cell r="AQ34">
            <v>1</v>
          </cell>
          <cell r="AR34">
            <v>121</v>
          </cell>
          <cell r="AS34">
            <v>0</v>
          </cell>
          <cell r="AT34">
            <v>0</v>
          </cell>
          <cell r="AU34">
            <v>3</v>
          </cell>
          <cell r="AV34">
            <v>304</v>
          </cell>
          <cell r="AW34">
            <v>3</v>
          </cell>
          <cell r="AX34">
            <v>304</v>
          </cell>
          <cell r="AY34">
            <v>3</v>
          </cell>
          <cell r="AZ34">
            <v>298</v>
          </cell>
          <cell r="BA34">
            <v>0</v>
          </cell>
          <cell r="BB34">
            <v>0</v>
          </cell>
          <cell r="BC34">
            <v>0</v>
          </cell>
          <cell r="BD34">
            <v>0</v>
          </cell>
          <cell r="BE34">
            <v>2</v>
          </cell>
          <cell r="BF34">
            <v>402</v>
          </cell>
          <cell r="BG34">
            <v>2</v>
          </cell>
          <cell r="BH34">
            <v>402</v>
          </cell>
          <cell r="BI34">
            <v>2</v>
          </cell>
          <cell r="BJ34">
            <v>285</v>
          </cell>
          <cell r="BK34" t="str">
            <v>TAMPA-SAINT PETERSBURG, FL</v>
          </cell>
        </row>
        <row r="35">
          <cell r="B35" t="str">
            <v>WASHINGTON, DC-MD-VA</v>
          </cell>
          <cell r="C35">
            <v>0</v>
          </cell>
          <cell r="D35">
            <v>0</v>
          </cell>
          <cell r="E35">
            <v>3</v>
          </cell>
          <cell r="F35">
            <v>654</v>
          </cell>
          <cell r="G35">
            <v>3</v>
          </cell>
          <cell r="H35">
            <v>783</v>
          </cell>
          <cell r="I35">
            <v>6</v>
          </cell>
          <cell r="J35">
            <v>1437</v>
          </cell>
          <cell r="K35">
            <v>1</v>
          </cell>
          <cell r="L35">
            <v>512</v>
          </cell>
          <cell r="M35">
            <v>4</v>
          </cell>
          <cell r="N35">
            <v>639</v>
          </cell>
          <cell r="O35">
            <v>4</v>
          </cell>
          <cell r="P35">
            <v>639</v>
          </cell>
          <cell r="Q35">
            <v>5</v>
          </cell>
          <cell r="R35">
            <v>628</v>
          </cell>
          <cell r="S35">
            <v>9</v>
          </cell>
          <cell r="T35">
            <v>1267</v>
          </cell>
          <cell r="U35">
            <v>11</v>
          </cell>
          <cell r="V35">
            <v>1975</v>
          </cell>
          <cell r="W35">
            <v>0</v>
          </cell>
          <cell r="X35">
            <v>0</v>
          </cell>
          <cell r="Y35">
            <v>1</v>
          </cell>
          <cell r="Z35">
            <v>233</v>
          </cell>
          <cell r="AA35">
            <v>0</v>
          </cell>
          <cell r="AB35">
            <v>0</v>
          </cell>
          <cell r="AC35">
            <v>1</v>
          </cell>
          <cell r="AD35">
            <v>233</v>
          </cell>
          <cell r="AE35">
            <v>0</v>
          </cell>
          <cell r="AF35">
            <v>0</v>
          </cell>
          <cell r="AG35">
            <v>6</v>
          </cell>
          <cell r="AH35">
            <v>586</v>
          </cell>
          <cell r="AI35">
            <v>2</v>
          </cell>
          <cell r="AJ35">
            <v>262</v>
          </cell>
          <cell r="AK35">
            <v>8</v>
          </cell>
          <cell r="AL35">
            <v>844</v>
          </cell>
          <cell r="AM35">
            <v>10</v>
          </cell>
          <cell r="AN35">
            <v>1106</v>
          </cell>
          <cell r="AO35">
            <v>4</v>
          </cell>
          <cell r="AP35">
            <v>409</v>
          </cell>
          <cell r="AQ35">
            <v>0</v>
          </cell>
          <cell r="AR35">
            <v>0</v>
          </cell>
          <cell r="AS35">
            <v>1</v>
          </cell>
          <cell r="AT35">
            <v>60</v>
          </cell>
          <cell r="AU35">
            <v>0</v>
          </cell>
          <cell r="AV35">
            <v>0</v>
          </cell>
          <cell r="AW35">
            <v>1</v>
          </cell>
          <cell r="AX35">
            <v>60</v>
          </cell>
          <cell r="AY35">
            <v>2</v>
          </cell>
          <cell r="AZ35">
            <v>372</v>
          </cell>
          <cell r="BA35">
            <v>0</v>
          </cell>
          <cell r="BB35">
            <v>0</v>
          </cell>
          <cell r="BC35">
            <v>1</v>
          </cell>
          <cell r="BD35">
            <v>172</v>
          </cell>
          <cell r="BE35">
            <v>2</v>
          </cell>
          <cell r="BF35">
            <v>620</v>
          </cell>
          <cell r="BG35">
            <v>3</v>
          </cell>
          <cell r="BH35">
            <v>792</v>
          </cell>
          <cell r="BI35">
            <v>2</v>
          </cell>
          <cell r="BJ35">
            <v>555</v>
          </cell>
          <cell r="BK35" t="str">
            <v>WASHINGTON, DC-MD-VA</v>
          </cell>
        </row>
        <row r="57">
          <cell r="B57" t="str">
            <v>ANAHEIM-SANTA ANA, CA</v>
          </cell>
          <cell r="C57">
            <v>3</v>
          </cell>
          <cell r="D57">
            <v>1033</v>
          </cell>
          <cell r="E57">
            <v>1</v>
          </cell>
          <cell r="F57">
            <v>371</v>
          </cell>
          <cell r="G57">
            <v>1</v>
          </cell>
          <cell r="H57">
            <v>519</v>
          </cell>
          <cell r="I57">
            <v>1</v>
          </cell>
          <cell r="J57">
            <v>254</v>
          </cell>
          <cell r="K57">
            <v>1</v>
          </cell>
          <cell r="L57">
            <v>174</v>
          </cell>
          <cell r="M57">
            <v>3</v>
          </cell>
          <cell r="N57">
            <v>373</v>
          </cell>
          <cell r="O57">
            <v>0</v>
          </cell>
          <cell r="P57">
            <v>0</v>
          </cell>
          <cell r="Q57">
            <v>3</v>
          </cell>
          <cell r="R57">
            <v>519</v>
          </cell>
          <cell r="S57">
            <v>1</v>
          </cell>
          <cell r="T57">
            <v>264</v>
          </cell>
          <cell r="U57">
            <v>0</v>
          </cell>
          <cell r="V57">
            <v>0</v>
          </cell>
          <cell r="W57">
            <v>0</v>
          </cell>
          <cell r="X57">
            <v>0</v>
          </cell>
          <cell r="Y57">
            <v>0</v>
          </cell>
          <cell r="Z57">
            <v>0</v>
          </cell>
          <cell r="AA57">
            <v>2</v>
          </cell>
          <cell r="AB57">
            <v>367</v>
          </cell>
          <cell r="AC57">
            <v>1</v>
          </cell>
          <cell r="AD57">
            <v>103</v>
          </cell>
          <cell r="AE57">
            <v>0</v>
          </cell>
          <cell r="AF57">
            <v>0</v>
          </cell>
          <cell r="AG57">
            <v>3</v>
          </cell>
          <cell r="AH57">
            <v>540</v>
          </cell>
          <cell r="AI57">
            <v>3</v>
          </cell>
          <cell r="AJ57">
            <v>412</v>
          </cell>
          <cell r="AK57">
            <v>0</v>
          </cell>
          <cell r="AL57">
            <v>0</v>
          </cell>
          <cell r="AM57">
            <v>1</v>
          </cell>
          <cell r="AN57">
            <v>112</v>
          </cell>
          <cell r="AO57">
            <v>1</v>
          </cell>
          <cell r="AP57">
            <v>75</v>
          </cell>
          <cell r="AQ57">
            <v>5</v>
          </cell>
          <cell r="AR57">
            <v>1198</v>
          </cell>
          <cell r="AS57">
            <v>0</v>
          </cell>
          <cell r="AT57">
            <v>0</v>
          </cell>
          <cell r="AU57">
            <v>2</v>
          </cell>
          <cell r="AV57">
            <v>405</v>
          </cell>
          <cell r="AW57">
            <v>1</v>
          </cell>
          <cell r="AX57">
            <v>1050</v>
          </cell>
          <cell r="AY57">
            <v>1</v>
          </cell>
          <cell r="AZ57">
            <v>371</v>
          </cell>
          <cell r="BA57">
            <v>1</v>
          </cell>
          <cell r="BB57">
            <v>519</v>
          </cell>
          <cell r="BC57">
            <v>1</v>
          </cell>
          <cell r="BD57">
            <v>254</v>
          </cell>
          <cell r="BE57">
            <v>3</v>
          </cell>
          <cell r="BF57">
            <v>373</v>
          </cell>
          <cell r="BG57">
            <v>0</v>
          </cell>
          <cell r="BH57">
            <v>0</v>
          </cell>
          <cell r="BI57">
            <v>2</v>
          </cell>
          <cell r="BJ57">
            <v>357</v>
          </cell>
          <cell r="BK57">
            <v>0</v>
          </cell>
          <cell r="BL57">
            <v>0</v>
          </cell>
          <cell r="BM57">
            <v>0</v>
          </cell>
          <cell r="BN57">
            <v>0</v>
          </cell>
          <cell r="BO57">
            <v>0</v>
          </cell>
          <cell r="BP57">
            <v>0</v>
          </cell>
          <cell r="BQ57">
            <v>1</v>
          </cell>
          <cell r="BR57">
            <v>103</v>
          </cell>
          <cell r="BS57">
            <v>0</v>
          </cell>
          <cell r="BT57">
            <v>0</v>
          </cell>
          <cell r="BU57">
            <v>1</v>
          </cell>
          <cell r="BV57">
            <v>140</v>
          </cell>
          <cell r="BW57">
            <v>0</v>
          </cell>
          <cell r="BX57">
            <v>0</v>
          </cell>
          <cell r="BY57">
            <v>1</v>
          </cell>
          <cell r="BZ57">
            <v>112</v>
          </cell>
          <cell r="CA57">
            <v>0</v>
          </cell>
          <cell r="CB57">
            <v>0</v>
          </cell>
          <cell r="CC57">
            <v>0</v>
          </cell>
          <cell r="CD57">
            <v>0</v>
          </cell>
          <cell r="CE57">
            <v>2</v>
          </cell>
          <cell r="CF57">
            <v>405</v>
          </cell>
          <cell r="CG57">
            <v>0</v>
          </cell>
          <cell r="CH57">
            <v>0</v>
          </cell>
          <cell r="CI57" t="str">
            <v>ANAHEIM-SANTA ANA, CA</v>
          </cell>
        </row>
        <row r="58">
          <cell r="B58" t="str">
            <v>ATLANTA, GA</v>
          </cell>
          <cell r="C58">
            <v>2</v>
          </cell>
          <cell r="D58">
            <v>236</v>
          </cell>
          <cell r="E58">
            <v>0</v>
          </cell>
          <cell r="F58">
            <v>0</v>
          </cell>
          <cell r="G58">
            <v>0</v>
          </cell>
          <cell r="H58">
            <v>0</v>
          </cell>
          <cell r="I58">
            <v>3</v>
          </cell>
          <cell r="J58">
            <v>1264</v>
          </cell>
          <cell r="K58">
            <v>4</v>
          </cell>
          <cell r="L58">
            <v>516</v>
          </cell>
          <cell r="M58">
            <v>1</v>
          </cell>
          <cell r="N58">
            <v>153</v>
          </cell>
          <cell r="O58">
            <v>3</v>
          </cell>
          <cell r="P58">
            <v>425</v>
          </cell>
          <cell r="Q58">
            <v>4</v>
          </cell>
          <cell r="R58">
            <v>577</v>
          </cell>
          <cell r="S58">
            <v>3</v>
          </cell>
          <cell r="T58">
            <v>202</v>
          </cell>
          <cell r="U58">
            <v>0</v>
          </cell>
          <cell r="V58">
            <v>0</v>
          </cell>
          <cell r="W58">
            <v>0</v>
          </cell>
          <cell r="X58">
            <v>0</v>
          </cell>
          <cell r="Y58">
            <v>1</v>
          </cell>
          <cell r="Z58">
            <v>52</v>
          </cell>
          <cell r="AA58">
            <v>7</v>
          </cell>
          <cell r="AB58">
            <v>513</v>
          </cell>
          <cell r="AC58">
            <v>7</v>
          </cell>
          <cell r="AD58">
            <v>478</v>
          </cell>
          <cell r="AE58">
            <v>5</v>
          </cell>
          <cell r="AF58">
            <v>471</v>
          </cell>
          <cell r="AG58">
            <v>4</v>
          </cell>
          <cell r="AH58">
            <v>341</v>
          </cell>
          <cell r="AI58">
            <v>8</v>
          </cell>
          <cell r="AJ58">
            <v>460</v>
          </cell>
          <cell r="AK58">
            <v>4</v>
          </cell>
          <cell r="AL58">
            <v>253</v>
          </cell>
          <cell r="AM58">
            <v>1</v>
          </cell>
          <cell r="AN58">
            <v>86</v>
          </cell>
          <cell r="AO58">
            <v>4</v>
          </cell>
          <cell r="AP58">
            <v>498</v>
          </cell>
          <cell r="AQ58">
            <v>2</v>
          </cell>
          <cell r="AR58">
            <v>616</v>
          </cell>
          <cell r="AS58">
            <v>0</v>
          </cell>
          <cell r="AT58">
            <v>0</v>
          </cell>
          <cell r="AU58">
            <v>1</v>
          </cell>
          <cell r="AV58">
            <v>250</v>
          </cell>
          <cell r="AW58">
            <v>3</v>
          </cell>
          <cell r="AX58">
            <v>545</v>
          </cell>
          <cell r="AY58">
            <v>0</v>
          </cell>
          <cell r="AZ58">
            <v>0</v>
          </cell>
          <cell r="BA58">
            <v>0</v>
          </cell>
          <cell r="BB58">
            <v>0</v>
          </cell>
          <cell r="BC58">
            <v>1</v>
          </cell>
          <cell r="BD58">
            <v>593</v>
          </cell>
          <cell r="BE58">
            <v>1</v>
          </cell>
          <cell r="BF58">
            <v>153</v>
          </cell>
          <cell r="BG58">
            <v>3</v>
          </cell>
          <cell r="BH58">
            <v>425</v>
          </cell>
          <cell r="BI58">
            <v>1</v>
          </cell>
          <cell r="BJ58">
            <v>149</v>
          </cell>
          <cell r="BK58">
            <v>0</v>
          </cell>
          <cell r="BL58">
            <v>0</v>
          </cell>
          <cell r="BM58">
            <v>0</v>
          </cell>
          <cell r="BN58">
            <v>0</v>
          </cell>
          <cell r="BO58">
            <v>0</v>
          </cell>
          <cell r="BP58">
            <v>0</v>
          </cell>
          <cell r="BQ58">
            <v>7</v>
          </cell>
          <cell r="BR58">
            <v>478</v>
          </cell>
          <cell r="BS58">
            <v>5</v>
          </cell>
          <cell r="BT58">
            <v>471</v>
          </cell>
          <cell r="BU58">
            <v>1</v>
          </cell>
          <cell r="BV58">
            <v>100</v>
          </cell>
          <cell r="BW58">
            <v>4</v>
          </cell>
          <cell r="BX58">
            <v>253</v>
          </cell>
          <cell r="BY58">
            <v>1</v>
          </cell>
          <cell r="BZ58">
            <v>86</v>
          </cell>
          <cell r="CA58">
            <v>0</v>
          </cell>
          <cell r="CB58">
            <v>0</v>
          </cell>
          <cell r="CC58">
            <v>0</v>
          </cell>
          <cell r="CD58">
            <v>0</v>
          </cell>
          <cell r="CE58">
            <v>1</v>
          </cell>
          <cell r="CF58">
            <v>250</v>
          </cell>
          <cell r="CG58">
            <v>2</v>
          </cell>
          <cell r="CH58">
            <v>445</v>
          </cell>
          <cell r="CI58" t="str">
            <v>ATLANTA, GA</v>
          </cell>
        </row>
        <row r="59">
          <cell r="B59" t="str">
            <v>BOSTON, MA</v>
          </cell>
          <cell r="C59">
            <v>3</v>
          </cell>
          <cell r="D59">
            <v>837</v>
          </cell>
          <cell r="E59">
            <v>0</v>
          </cell>
          <cell r="F59">
            <v>0</v>
          </cell>
          <cell r="G59">
            <v>1</v>
          </cell>
          <cell r="H59">
            <v>273</v>
          </cell>
          <cell r="I59">
            <v>5</v>
          </cell>
          <cell r="J59">
            <v>1931</v>
          </cell>
          <cell r="K59">
            <v>6</v>
          </cell>
          <cell r="L59">
            <v>741</v>
          </cell>
          <cell r="M59">
            <v>5</v>
          </cell>
          <cell r="N59">
            <v>713</v>
          </cell>
          <cell r="O59">
            <v>3</v>
          </cell>
          <cell r="P59">
            <v>505</v>
          </cell>
          <cell r="Q59">
            <v>2</v>
          </cell>
          <cell r="R59">
            <v>213</v>
          </cell>
          <cell r="S59">
            <v>3</v>
          </cell>
          <cell r="T59">
            <v>310</v>
          </cell>
          <cell r="U59">
            <v>2</v>
          </cell>
          <cell r="V59">
            <v>123</v>
          </cell>
          <cell r="W59">
            <v>1</v>
          </cell>
          <cell r="X59">
            <v>80</v>
          </cell>
          <cell r="Y59">
            <v>0</v>
          </cell>
          <cell r="Z59">
            <v>0</v>
          </cell>
          <cell r="AA59">
            <v>3</v>
          </cell>
          <cell r="AB59">
            <v>395</v>
          </cell>
          <cell r="AC59">
            <v>1</v>
          </cell>
          <cell r="AD59">
            <v>114</v>
          </cell>
          <cell r="AE59">
            <v>1</v>
          </cell>
          <cell r="AF59">
            <v>112</v>
          </cell>
          <cell r="AG59">
            <v>1</v>
          </cell>
          <cell r="AH59">
            <v>175</v>
          </cell>
          <cell r="AI59">
            <v>1</v>
          </cell>
          <cell r="AJ59">
            <v>92</v>
          </cell>
          <cell r="AK59">
            <v>1</v>
          </cell>
          <cell r="AL59">
            <v>117</v>
          </cell>
          <cell r="AM59">
            <v>0</v>
          </cell>
          <cell r="AN59">
            <v>0</v>
          </cell>
          <cell r="AO59">
            <v>0</v>
          </cell>
          <cell r="AP59">
            <v>0</v>
          </cell>
          <cell r="AQ59">
            <v>0</v>
          </cell>
          <cell r="AR59">
            <v>0</v>
          </cell>
          <cell r="AS59">
            <v>4</v>
          </cell>
          <cell r="AT59">
            <v>447</v>
          </cell>
          <cell r="AU59">
            <v>2</v>
          </cell>
          <cell r="AV59">
            <v>398</v>
          </cell>
          <cell r="AW59">
            <v>12</v>
          </cell>
          <cell r="AX59">
            <v>2548</v>
          </cell>
          <cell r="AY59">
            <v>0</v>
          </cell>
          <cell r="AZ59">
            <v>0</v>
          </cell>
          <cell r="BA59">
            <v>1</v>
          </cell>
          <cell r="BB59">
            <v>273</v>
          </cell>
          <cell r="BC59">
            <v>5</v>
          </cell>
          <cell r="BD59">
            <v>1931</v>
          </cell>
          <cell r="BE59">
            <v>5</v>
          </cell>
          <cell r="BF59">
            <v>713</v>
          </cell>
          <cell r="BG59">
            <v>3</v>
          </cell>
          <cell r="BH59">
            <v>505</v>
          </cell>
          <cell r="BI59">
            <v>0</v>
          </cell>
          <cell r="BJ59">
            <v>0</v>
          </cell>
          <cell r="BK59">
            <v>2</v>
          </cell>
          <cell r="BL59">
            <v>123</v>
          </cell>
          <cell r="BM59">
            <v>1</v>
          </cell>
          <cell r="BN59">
            <v>80</v>
          </cell>
          <cell r="BO59">
            <v>0</v>
          </cell>
          <cell r="BP59">
            <v>0</v>
          </cell>
          <cell r="BQ59">
            <v>1</v>
          </cell>
          <cell r="BR59">
            <v>114</v>
          </cell>
          <cell r="BS59">
            <v>1</v>
          </cell>
          <cell r="BT59">
            <v>112</v>
          </cell>
          <cell r="BU59">
            <v>1</v>
          </cell>
          <cell r="BV59">
            <v>175</v>
          </cell>
          <cell r="BW59">
            <v>1</v>
          </cell>
          <cell r="BX59">
            <v>117</v>
          </cell>
          <cell r="BY59">
            <v>0</v>
          </cell>
          <cell r="BZ59">
            <v>0</v>
          </cell>
          <cell r="CA59">
            <v>0</v>
          </cell>
          <cell r="CB59">
            <v>0</v>
          </cell>
          <cell r="CC59">
            <v>4</v>
          </cell>
          <cell r="CD59">
            <v>447</v>
          </cell>
          <cell r="CE59">
            <v>2</v>
          </cell>
          <cell r="CF59">
            <v>398</v>
          </cell>
          <cell r="CG59">
            <v>4</v>
          </cell>
          <cell r="CH59">
            <v>983</v>
          </cell>
          <cell r="CI59" t="str">
            <v>BOSTON, MA</v>
          </cell>
        </row>
        <row r="60">
          <cell r="B60" t="str">
            <v>CHICAGO, IL</v>
          </cell>
          <cell r="C60">
            <v>2</v>
          </cell>
          <cell r="D60">
            <v>767</v>
          </cell>
          <cell r="E60">
            <v>3</v>
          </cell>
          <cell r="F60">
            <v>1069</v>
          </cell>
          <cell r="G60">
            <v>0</v>
          </cell>
          <cell r="H60">
            <v>0</v>
          </cell>
          <cell r="I60">
            <v>1</v>
          </cell>
          <cell r="J60">
            <v>954</v>
          </cell>
          <cell r="K60">
            <v>4</v>
          </cell>
          <cell r="L60">
            <v>680</v>
          </cell>
          <cell r="M60">
            <v>2</v>
          </cell>
          <cell r="N60">
            <v>190</v>
          </cell>
          <cell r="O60">
            <v>5</v>
          </cell>
          <cell r="P60">
            <v>628</v>
          </cell>
          <cell r="Q60">
            <v>12</v>
          </cell>
          <cell r="R60">
            <v>2152</v>
          </cell>
          <cell r="S60">
            <v>1</v>
          </cell>
          <cell r="T60">
            <v>50</v>
          </cell>
          <cell r="U60">
            <v>1</v>
          </cell>
          <cell r="V60">
            <v>202</v>
          </cell>
          <cell r="W60">
            <v>1</v>
          </cell>
          <cell r="X60">
            <v>100</v>
          </cell>
          <cell r="Y60">
            <v>2</v>
          </cell>
          <cell r="Z60">
            <v>390</v>
          </cell>
          <cell r="AA60">
            <v>7</v>
          </cell>
          <cell r="AB60">
            <v>781</v>
          </cell>
          <cell r="AC60">
            <v>4</v>
          </cell>
          <cell r="AD60">
            <v>331</v>
          </cell>
          <cell r="AE60">
            <v>5</v>
          </cell>
          <cell r="AF60">
            <v>417</v>
          </cell>
          <cell r="AG60">
            <v>3</v>
          </cell>
          <cell r="AH60">
            <v>419</v>
          </cell>
          <cell r="AI60">
            <v>2</v>
          </cell>
          <cell r="AJ60">
            <v>110</v>
          </cell>
          <cell r="AK60">
            <v>0</v>
          </cell>
          <cell r="AL60">
            <v>0</v>
          </cell>
          <cell r="AM60">
            <v>1</v>
          </cell>
          <cell r="AN60">
            <v>59</v>
          </cell>
          <cell r="AO60">
            <v>1</v>
          </cell>
          <cell r="AP60">
            <v>80</v>
          </cell>
          <cell r="AQ60">
            <v>1</v>
          </cell>
          <cell r="AR60">
            <v>339</v>
          </cell>
          <cell r="AS60">
            <v>1</v>
          </cell>
          <cell r="AT60">
            <v>67</v>
          </cell>
          <cell r="AU60">
            <v>0</v>
          </cell>
          <cell r="AV60">
            <v>0</v>
          </cell>
          <cell r="AW60">
            <v>2</v>
          </cell>
          <cell r="AX60">
            <v>585</v>
          </cell>
          <cell r="AY60">
            <v>3</v>
          </cell>
          <cell r="AZ60">
            <v>1069</v>
          </cell>
          <cell r="BA60">
            <v>0</v>
          </cell>
          <cell r="BB60">
            <v>0</v>
          </cell>
          <cell r="BC60">
            <v>0</v>
          </cell>
          <cell r="BD60">
            <v>0</v>
          </cell>
          <cell r="BE60">
            <v>2</v>
          </cell>
          <cell r="BF60">
            <v>190</v>
          </cell>
          <cell r="BG60">
            <v>5</v>
          </cell>
          <cell r="BH60">
            <v>628</v>
          </cell>
          <cell r="BI60">
            <v>8</v>
          </cell>
          <cell r="BJ60">
            <v>1458</v>
          </cell>
          <cell r="BK60">
            <v>1</v>
          </cell>
          <cell r="BL60">
            <v>202</v>
          </cell>
          <cell r="BM60">
            <v>1</v>
          </cell>
          <cell r="BN60">
            <v>100</v>
          </cell>
          <cell r="BO60">
            <v>0</v>
          </cell>
          <cell r="BP60">
            <v>0</v>
          </cell>
          <cell r="BQ60">
            <v>4</v>
          </cell>
          <cell r="BR60">
            <v>331</v>
          </cell>
          <cell r="BS60">
            <v>5</v>
          </cell>
          <cell r="BT60">
            <v>417</v>
          </cell>
          <cell r="BU60">
            <v>0</v>
          </cell>
          <cell r="BV60">
            <v>0</v>
          </cell>
          <cell r="BW60">
            <v>0</v>
          </cell>
          <cell r="BX60">
            <v>0</v>
          </cell>
          <cell r="BY60">
            <v>1</v>
          </cell>
          <cell r="BZ60">
            <v>59</v>
          </cell>
          <cell r="CA60">
            <v>0</v>
          </cell>
          <cell r="CB60">
            <v>0</v>
          </cell>
          <cell r="CC60">
            <v>1</v>
          </cell>
          <cell r="CD60">
            <v>67</v>
          </cell>
          <cell r="CE60">
            <v>0</v>
          </cell>
          <cell r="CF60">
            <v>0</v>
          </cell>
          <cell r="CG60">
            <v>1</v>
          </cell>
          <cell r="CH60">
            <v>385</v>
          </cell>
          <cell r="CI60" t="str">
            <v>CHICAGO, IL</v>
          </cell>
        </row>
        <row r="61">
          <cell r="B61" t="str">
            <v>DALLAS, TX</v>
          </cell>
          <cell r="C61">
            <v>3</v>
          </cell>
          <cell r="D61">
            <v>985</v>
          </cell>
          <cell r="E61">
            <v>1</v>
          </cell>
          <cell r="F61">
            <v>258</v>
          </cell>
          <cell r="G61">
            <v>0</v>
          </cell>
          <cell r="H61">
            <v>0</v>
          </cell>
          <cell r="I61">
            <v>3</v>
          </cell>
          <cell r="J61">
            <v>950</v>
          </cell>
          <cell r="K61">
            <v>2</v>
          </cell>
          <cell r="L61">
            <v>221</v>
          </cell>
          <cell r="M61">
            <v>2</v>
          </cell>
          <cell r="N61">
            <v>303</v>
          </cell>
          <cell r="O61">
            <v>3</v>
          </cell>
          <cell r="P61">
            <v>364</v>
          </cell>
          <cell r="Q61">
            <v>1</v>
          </cell>
          <cell r="R61">
            <v>102</v>
          </cell>
          <cell r="S61">
            <v>1</v>
          </cell>
          <cell r="T61">
            <v>65</v>
          </cell>
          <cell r="U61">
            <v>0</v>
          </cell>
          <cell r="V61">
            <v>0</v>
          </cell>
          <cell r="W61">
            <v>0</v>
          </cell>
          <cell r="X61">
            <v>0</v>
          </cell>
          <cell r="Y61">
            <v>0</v>
          </cell>
          <cell r="Z61">
            <v>0</v>
          </cell>
          <cell r="AA61">
            <v>5</v>
          </cell>
          <cell r="AB61">
            <v>437</v>
          </cell>
          <cell r="AC61">
            <v>2</v>
          </cell>
          <cell r="AD61">
            <v>243</v>
          </cell>
          <cell r="AE61">
            <v>5</v>
          </cell>
          <cell r="AF61">
            <v>396</v>
          </cell>
          <cell r="AG61">
            <v>1</v>
          </cell>
          <cell r="AH61">
            <v>100</v>
          </cell>
          <cell r="AI61">
            <v>6</v>
          </cell>
          <cell r="AJ61">
            <v>446</v>
          </cell>
          <cell r="AK61">
            <v>0</v>
          </cell>
          <cell r="AL61">
            <v>0</v>
          </cell>
          <cell r="AM61">
            <v>0</v>
          </cell>
          <cell r="AN61">
            <v>0</v>
          </cell>
          <cell r="AO61">
            <v>2</v>
          </cell>
          <cell r="AP61">
            <v>160</v>
          </cell>
          <cell r="AQ61">
            <v>0</v>
          </cell>
          <cell r="AR61">
            <v>0</v>
          </cell>
          <cell r="AS61">
            <v>1</v>
          </cell>
          <cell r="AT61">
            <v>148</v>
          </cell>
          <cell r="AU61">
            <v>0</v>
          </cell>
          <cell r="AV61">
            <v>0</v>
          </cell>
          <cell r="AW61">
            <v>2</v>
          </cell>
          <cell r="AX61">
            <v>600</v>
          </cell>
          <cell r="AY61">
            <v>1</v>
          </cell>
          <cell r="AZ61">
            <v>258</v>
          </cell>
          <cell r="BA61">
            <v>0</v>
          </cell>
          <cell r="BB61">
            <v>0</v>
          </cell>
          <cell r="BC61">
            <v>3</v>
          </cell>
          <cell r="BD61">
            <v>950</v>
          </cell>
          <cell r="BE61">
            <v>2</v>
          </cell>
          <cell r="BF61">
            <v>303</v>
          </cell>
          <cell r="BG61">
            <v>3</v>
          </cell>
          <cell r="BH61">
            <v>364</v>
          </cell>
          <cell r="BI61">
            <v>0</v>
          </cell>
          <cell r="BJ61">
            <v>0</v>
          </cell>
          <cell r="BK61">
            <v>0</v>
          </cell>
          <cell r="BL61">
            <v>0</v>
          </cell>
          <cell r="BM61">
            <v>0</v>
          </cell>
          <cell r="BN61">
            <v>0</v>
          </cell>
          <cell r="BO61">
            <v>0</v>
          </cell>
          <cell r="BP61">
            <v>0</v>
          </cell>
          <cell r="BQ61">
            <v>2</v>
          </cell>
          <cell r="BR61">
            <v>243</v>
          </cell>
          <cell r="BS61">
            <v>5</v>
          </cell>
          <cell r="BT61">
            <v>396</v>
          </cell>
          <cell r="BU61">
            <v>0</v>
          </cell>
          <cell r="BV61">
            <v>0</v>
          </cell>
          <cell r="BW61">
            <v>0</v>
          </cell>
          <cell r="BX61">
            <v>0</v>
          </cell>
          <cell r="BY61">
            <v>0</v>
          </cell>
          <cell r="BZ61">
            <v>0</v>
          </cell>
          <cell r="CA61">
            <v>0</v>
          </cell>
          <cell r="CB61">
            <v>0</v>
          </cell>
          <cell r="CC61">
            <v>1</v>
          </cell>
          <cell r="CD61">
            <v>148</v>
          </cell>
          <cell r="CE61">
            <v>0</v>
          </cell>
          <cell r="CF61">
            <v>0</v>
          </cell>
          <cell r="CG61">
            <v>0</v>
          </cell>
          <cell r="CH61">
            <v>0</v>
          </cell>
          <cell r="CI61" t="str">
            <v>DALLAS, TX</v>
          </cell>
        </row>
        <row r="62">
          <cell r="B62" t="str">
            <v>DENVER, CO</v>
          </cell>
          <cell r="C62">
            <v>0</v>
          </cell>
          <cell r="D62">
            <v>0</v>
          </cell>
          <cell r="E62">
            <v>1</v>
          </cell>
          <cell r="F62">
            <v>232</v>
          </cell>
          <cell r="G62">
            <v>2</v>
          </cell>
          <cell r="H62">
            <v>453</v>
          </cell>
          <cell r="I62">
            <v>3</v>
          </cell>
          <cell r="J62">
            <v>1925</v>
          </cell>
          <cell r="K62">
            <v>0</v>
          </cell>
          <cell r="L62">
            <v>0</v>
          </cell>
          <cell r="M62">
            <v>1</v>
          </cell>
          <cell r="N62">
            <v>164</v>
          </cell>
          <cell r="O62">
            <v>2</v>
          </cell>
          <cell r="P62">
            <v>243</v>
          </cell>
          <cell r="Q62">
            <v>0</v>
          </cell>
          <cell r="R62">
            <v>0</v>
          </cell>
          <cell r="S62">
            <v>1</v>
          </cell>
          <cell r="T62">
            <v>68</v>
          </cell>
          <cell r="U62">
            <v>0</v>
          </cell>
          <cell r="V62">
            <v>0</v>
          </cell>
          <cell r="W62">
            <v>0</v>
          </cell>
          <cell r="X62">
            <v>0</v>
          </cell>
          <cell r="Y62">
            <v>1</v>
          </cell>
          <cell r="Z62">
            <v>150</v>
          </cell>
          <cell r="AA62">
            <v>4</v>
          </cell>
          <cell r="AB62">
            <v>325</v>
          </cell>
          <cell r="AC62">
            <v>0</v>
          </cell>
          <cell r="AD62">
            <v>0</v>
          </cell>
          <cell r="AE62">
            <v>4</v>
          </cell>
          <cell r="AF62">
            <v>422</v>
          </cell>
          <cell r="AG62">
            <v>4</v>
          </cell>
          <cell r="AH62">
            <v>482</v>
          </cell>
          <cell r="AI62">
            <v>0</v>
          </cell>
          <cell r="AJ62">
            <v>0</v>
          </cell>
          <cell r="AK62">
            <v>1</v>
          </cell>
          <cell r="AL62">
            <v>74</v>
          </cell>
          <cell r="AM62">
            <v>3</v>
          </cell>
          <cell r="AN62">
            <v>326</v>
          </cell>
          <cell r="AO62">
            <v>3</v>
          </cell>
          <cell r="AP62">
            <v>303</v>
          </cell>
          <cell r="AQ62">
            <v>0</v>
          </cell>
          <cell r="AR62">
            <v>0</v>
          </cell>
          <cell r="AS62">
            <v>0</v>
          </cell>
          <cell r="AT62">
            <v>0</v>
          </cell>
          <cell r="AU62">
            <v>0</v>
          </cell>
          <cell r="AV62">
            <v>0</v>
          </cell>
          <cell r="AW62">
            <v>0</v>
          </cell>
          <cell r="AX62">
            <v>0</v>
          </cell>
          <cell r="AY62">
            <v>1</v>
          </cell>
          <cell r="AZ62">
            <v>232</v>
          </cell>
          <cell r="BA62">
            <v>2</v>
          </cell>
          <cell r="BB62">
            <v>453</v>
          </cell>
          <cell r="BC62">
            <v>3</v>
          </cell>
          <cell r="BD62">
            <v>1925</v>
          </cell>
          <cell r="BE62">
            <v>1</v>
          </cell>
          <cell r="BF62">
            <v>164</v>
          </cell>
          <cell r="BG62">
            <v>2</v>
          </cell>
          <cell r="BH62">
            <v>243</v>
          </cell>
          <cell r="BI62">
            <v>0</v>
          </cell>
          <cell r="BJ62">
            <v>0</v>
          </cell>
          <cell r="BK62">
            <v>0</v>
          </cell>
          <cell r="BL62">
            <v>0</v>
          </cell>
          <cell r="BM62">
            <v>0</v>
          </cell>
          <cell r="BN62">
            <v>0</v>
          </cell>
          <cell r="BO62">
            <v>0</v>
          </cell>
          <cell r="BP62">
            <v>0</v>
          </cell>
          <cell r="BQ62">
            <v>0</v>
          </cell>
          <cell r="BR62">
            <v>0</v>
          </cell>
          <cell r="BS62">
            <v>3</v>
          </cell>
          <cell r="BT62">
            <v>322</v>
          </cell>
          <cell r="BU62">
            <v>1</v>
          </cell>
          <cell r="BV62">
            <v>180</v>
          </cell>
          <cell r="BW62">
            <v>1</v>
          </cell>
          <cell r="BX62">
            <v>74</v>
          </cell>
          <cell r="BY62">
            <v>3</v>
          </cell>
          <cell r="BZ62">
            <v>326</v>
          </cell>
          <cell r="CA62">
            <v>0</v>
          </cell>
          <cell r="CB62">
            <v>0</v>
          </cell>
          <cell r="CC62">
            <v>0</v>
          </cell>
          <cell r="CD62">
            <v>0</v>
          </cell>
          <cell r="CE62">
            <v>0</v>
          </cell>
          <cell r="CF62">
            <v>0</v>
          </cell>
          <cell r="CG62">
            <v>0</v>
          </cell>
          <cell r="CH62">
            <v>0</v>
          </cell>
          <cell r="CI62" t="str">
            <v>DENVER, CO</v>
          </cell>
        </row>
        <row r="63">
          <cell r="B63" t="str">
            <v>DETROIT, MI</v>
          </cell>
          <cell r="C63">
            <v>0</v>
          </cell>
          <cell r="D63">
            <v>0</v>
          </cell>
          <cell r="E63">
            <v>0</v>
          </cell>
          <cell r="F63">
            <v>0</v>
          </cell>
          <cell r="G63">
            <v>1</v>
          </cell>
          <cell r="H63">
            <v>404</v>
          </cell>
          <cell r="I63">
            <v>1</v>
          </cell>
          <cell r="J63">
            <v>250</v>
          </cell>
          <cell r="K63">
            <v>1</v>
          </cell>
          <cell r="L63">
            <v>124</v>
          </cell>
          <cell r="M63">
            <v>3</v>
          </cell>
          <cell r="N63">
            <v>319</v>
          </cell>
          <cell r="O63">
            <v>2</v>
          </cell>
          <cell r="P63">
            <v>168</v>
          </cell>
          <cell r="Q63">
            <v>6</v>
          </cell>
          <cell r="R63">
            <v>688</v>
          </cell>
          <cell r="S63">
            <v>1</v>
          </cell>
          <cell r="T63">
            <v>90</v>
          </cell>
          <cell r="U63">
            <v>0</v>
          </cell>
          <cell r="V63">
            <v>0</v>
          </cell>
          <cell r="W63">
            <v>0</v>
          </cell>
          <cell r="X63">
            <v>0</v>
          </cell>
          <cell r="Y63">
            <v>1</v>
          </cell>
          <cell r="Z63">
            <v>100</v>
          </cell>
          <cell r="AA63">
            <v>8</v>
          </cell>
          <cell r="AB63">
            <v>736</v>
          </cell>
          <cell r="AC63">
            <v>2</v>
          </cell>
          <cell r="AD63">
            <v>165</v>
          </cell>
          <cell r="AE63">
            <v>7</v>
          </cell>
          <cell r="AF63">
            <v>602</v>
          </cell>
          <cell r="AG63">
            <v>3</v>
          </cell>
          <cell r="AH63">
            <v>252</v>
          </cell>
          <cell r="AI63">
            <v>3</v>
          </cell>
          <cell r="AJ63">
            <v>264</v>
          </cell>
          <cell r="AK63">
            <v>0</v>
          </cell>
          <cell r="AL63">
            <v>0</v>
          </cell>
          <cell r="AM63">
            <v>1</v>
          </cell>
          <cell r="AN63">
            <v>80</v>
          </cell>
          <cell r="AO63">
            <v>1</v>
          </cell>
          <cell r="AP63">
            <v>66</v>
          </cell>
          <cell r="AQ63">
            <v>1</v>
          </cell>
          <cell r="AR63">
            <v>77</v>
          </cell>
          <cell r="AS63">
            <v>1</v>
          </cell>
          <cell r="AT63">
            <v>8</v>
          </cell>
          <cell r="AU63">
            <v>0</v>
          </cell>
          <cell r="AV63">
            <v>0</v>
          </cell>
          <cell r="AW63">
            <v>1</v>
          </cell>
          <cell r="AX63">
            <v>100</v>
          </cell>
          <cell r="AY63">
            <v>0</v>
          </cell>
          <cell r="AZ63">
            <v>0</v>
          </cell>
          <cell r="BA63">
            <v>1</v>
          </cell>
          <cell r="BB63">
            <v>404</v>
          </cell>
          <cell r="BC63">
            <v>0</v>
          </cell>
          <cell r="BD63">
            <v>0</v>
          </cell>
          <cell r="BE63">
            <v>3</v>
          </cell>
          <cell r="BF63">
            <v>319</v>
          </cell>
          <cell r="BG63">
            <v>2</v>
          </cell>
          <cell r="BH63">
            <v>168</v>
          </cell>
          <cell r="BI63">
            <v>4</v>
          </cell>
          <cell r="BJ63">
            <v>502</v>
          </cell>
          <cell r="BK63">
            <v>0</v>
          </cell>
          <cell r="BL63">
            <v>0</v>
          </cell>
          <cell r="BM63">
            <v>0</v>
          </cell>
          <cell r="BN63">
            <v>0</v>
          </cell>
          <cell r="BO63">
            <v>0</v>
          </cell>
          <cell r="BP63">
            <v>0</v>
          </cell>
          <cell r="BQ63">
            <v>2</v>
          </cell>
          <cell r="BR63">
            <v>165</v>
          </cell>
          <cell r="BS63">
            <v>7</v>
          </cell>
          <cell r="BT63">
            <v>602</v>
          </cell>
          <cell r="BU63">
            <v>3</v>
          </cell>
          <cell r="BV63">
            <v>252</v>
          </cell>
          <cell r="BW63">
            <v>0</v>
          </cell>
          <cell r="BX63">
            <v>0</v>
          </cell>
          <cell r="BY63">
            <v>1</v>
          </cell>
          <cell r="BZ63">
            <v>80</v>
          </cell>
          <cell r="CA63">
            <v>0</v>
          </cell>
          <cell r="CB63">
            <v>0</v>
          </cell>
          <cell r="CC63">
            <v>1</v>
          </cell>
          <cell r="CD63">
            <v>8</v>
          </cell>
          <cell r="CE63">
            <v>0</v>
          </cell>
          <cell r="CF63">
            <v>0</v>
          </cell>
          <cell r="CG63">
            <v>0</v>
          </cell>
          <cell r="CH63">
            <v>0</v>
          </cell>
          <cell r="CI63" t="str">
            <v>DETROIT, MI</v>
          </cell>
        </row>
        <row r="64">
          <cell r="B64" t="str">
            <v>HOUSTON, TX</v>
          </cell>
          <cell r="C64">
            <v>0</v>
          </cell>
          <cell r="D64">
            <v>0</v>
          </cell>
          <cell r="E64">
            <v>0</v>
          </cell>
          <cell r="F64">
            <v>0</v>
          </cell>
          <cell r="G64">
            <v>1</v>
          </cell>
          <cell r="H64">
            <v>345</v>
          </cell>
          <cell r="I64">
            <v>3</v>
          </cell>
          <cell r="J64">
            <v>1792</v>
          </cell>
          <cell r="K64">
            <v>4</v>
          </cell>
          <cell r="L64">
            <v>545</v>
          </cell>
          <cell r="M64">
            <v>5</v>
          </cell>
          <cell r="N64">
            <v>725</v>
          </cell>
          <cell r="O64">
            <v>3</v>
          </cell>
          <cell r="P64">
            <v>189</v>
          </cell>
          <cell r="Q64">
            <v>1</v>
          </cell>
          <cell r="R64">
            <v>122</v>
          </cell>
          <cell r="S64">
            <v>2</v>
          </cell>
          <cell r="T64">
            <v>134</v>
          </cell>
          <cell r="U64">
            <v>2</v>
          </cell>
          <cell r="V64">
            <v>151</v>
          </cell>
          <cell r="W64">
            <v>0</v>
          </cell>
          <cell r="X64">
            <v>0</v>
          </cell>
          <cell r="Y64">
            <v>0</v>
          </cell>
          <cell r="Z64">
            <v>0</v>
          </cell>
          <cell r="AA64">
            <v>9</v>
          </cell>
          <cell r="AB64">
            <v>625</v>
          </cell>
          <cell r="AC64">
            <v>3</v>
          </cell>
          <cell r="AD64">
            <v>170</v>
          </cell>
          <cell r="AE64">
            <v>2</v>
          </cell>
          <cell r="AF64">
            <v>128</v>
          </cell>
          <cell r="AG64">
            <v>6</v>
          </cell>
          <cell r="AH64">
            <v>550</v>
          </cell>
          <cell r="AI64">
            <v>11</v>
          </cell>
          <cell r="AJ64">
            <v>688</v>
          </cell>
          <cell r="AK64">
            <v>3</v>
          </cell>
          <cell r="AL64">
            <v>124</v>
          </cell>
          <cell r="AM64">
            <v>3</v>
          </cell>
          <cell r="AN64">
            <v>172</v>
          </cell>
          <cell r="AO64">
            <v>3</v>
          </cell>
          <cell r="AP64">
            <v>375</v>
          </cell>
          <cell r="AQ64">
            <v>0</v>
          </cell>
          <cell r="AR64">
            <v>0</v>
          </cell>
          <cell r="AS64">
            <v>2</v>
          </cell>
          <cell r="AT64">
            <v>327</v>
          </cell>
          <cell r="AU64">
            <v>3</v>
          </cell>
          <cell r="AV64">
            <v>520</v>
          </cell>
          <cell r="AW64">
            <v>2</v>
          </cell>
          <cell r="AX64">
            <v>300</v>
          </cell>
          <cell r="AY64">
            <v>0</v>
          </cell>
          <cell r="AZ64">
            <v>0</v>
          </cell>
          <cell r="BA64">
            <v>1</v>
          </cell>
          <cell r="BB64">
            <v>345</v>
          </cell>
          <cell r="BC64">
            <v>2</v>
          </cell>
          <cell r="BD64">
            <v>1501</v>
          </cell>
          <cell r="BE64">
            <v>5</v>
          </cell>
          <cell r="BF64">
            <v>725</v>
          </cell>
          <cell r="BG64">
            <v>3</v>
          </cell>
          <cell r="BH64">
            <v>189</v>
          </cell>
          <cell r="BI64">
            <v>1</v>
          </cell>
          <cell r="BJ64">
            <v>122</v>
          </cell>
          <cell r="BK64">
            <v>2</v>
          </cell>
          <cell r="BL64">
            <v>151</v>
          </cell>
          <cell r="BM64">
            <v>0</v>
          </cell>
          <cell r="BN64">
            <v>0</v>
          </cell>
          <cell r="BO64">
            <v>0</v>
          </cell>
          <cell r="BP64">
            <v>0</v>
          </cell>
          <cell r="BQ64">
            <v>3</v>
          </cell>
          <cell r="BR64">
            <v>170</v>
          </cell>
          <cell r="BS64">
            <v>2</v>
          </cell>
          <cell r="BT64">
            <v>128</v>
          </cell>
          <cell r="BU64">
            <v>0</v>
          </cell>
          <cell r="BV64">
            <v>0</v>
          </cell>
          <cell r="BW64">
            <v>3</v>
          </cell>
          <cell r="BX64">
            <v>124</v>
          </cell>
          <cell r="BY64">
            <v>3</v>
          </cell>
          <cell r="BZ64">
            <v>172</v>
          </cell>
          <cell r="CA64">
            <v>0</v>
          </cell>
          <cell r="CB64">
            <v>0</v>
          </cell>
          <cell r="CC64">
            <v>2</v>
          </cell>
          <cell r="CD64">
            <v>327</v>
          </cell>
          <cell r="CE64">
            <v>3</v>
          </cell>
          <cell r="CF64">
            <v>520</v>
          </cell>
          <cell r="CG64">
            <v>0</v>
          </cell>
          <cell r="CH64">
            <v>0</v>
          </cell>
          <cell r="CI64" t="str">
            <v>HOUSTON, TX</v>
          </cell>
        </row>
        <row r="65">
          <cell r="B65" t="str">
            <v>LAS VEGAS, NV</v>
          </cell>
          <cell r="C65">
            <v>0</v>
          </cell>
          <cell r="D65">
            <v>0</v>
          </cell>
          <cell r="E65">
            <v>1</v>
          </cell>
          <cell r="F65">
            <v>350</v>
          </cell>
          <cell r="G65">
            <v>0</v>
          </cell>
          <cell r="H65">
            <v>0</v>
          </cell>
          <cell r="I65">
            <v>1</v>
          </cell>
          <cell r="J65">
            <v>463</v>
          </cell>
          <cell r="K65">
            <v>0</v>
          </cell>
          <cell r="L65">
            <v>0</v>
          </cell>
          <cell r="M65">
            <v>0</v>
          </cell>
          <cell r="N65">
            <v>0</v>
          </cell>
          <cell r="O65">
            <v>2</v>
          </cell>
          <cell r="P65">
            <v>269</v>
          </cell>
          <cell r="Q65">
            <v>2</v>
          </cell>
          <cell r="R65">
            <v>242</v>
          </cell>
          <cell r="S65">
            <v>0</v>
          </cell>
          <cell r="T65">
            <v>0</v>
          </cell>
          <cell r="U65">
            <v>1</v>
          </cell>
          <cell r="V65">
            <v>128</v>
          </cell>
          <cell r="W65">
            <v>0</v>
          </cell>
          <cell r="X65">
            <v>0</v>
          </cell>
          <cell r="Y65">
            <v>0</v>
          </cell>
          <cell r="Z65">
            <v>0</v>
          </cell>
          <cell r="AA65">
            <v>3</v>
          </cell>
          <cell r="AB65">
            <v>288</v>
          </cell>
          <cell r="AC65">
            <v>0</v>
          </cell>
          <cell r="AD65">
            <v>0</v>
          </cell>
          <cell r="AE65">
            <v>2</v>
          </cell>
          <cell r="AF65">
            <v>281</v>
          </cell>
          <cell r="AG65">
            <v>3</v>
          </cell>
          <cell r="AH65">
            <v>350</v>
          </cell>
          <cell r="AI65">
            <v>0</v>
          </cell>
          <cell r="AJ65">
            <v>0</v>
          </cell>
          <cell r="AK65">
            <v>0</v>
          </cell>
          <cell r="AL65">
            <v>0</v>
          </cell>
          <cell r="AM65">
            <v>0</v>
          </cell>
          <cell r="AN65">
            <v>0</v>
          </cell>
          <cell r="AO65">
            <v>2</v>
          </cell>
          <cell r="AP65">
            <v>360</v>
          </cell>
          <cell r="AQ65">
            <v>3</v>
          </cell>
          <cell r="AR65">
            <v>1674</v>
          </cell>
          <cell r="AS65">
            <v>3</v>
          </cell>
          <cell r="AT65">
            <v>653</v>
          </cell>
          <cell r="AU65">
            <v>0</v>
          </cell>
          <cell r="AV65">
            <v>0</v>
          </cell>
          <cell r="AW65">
            <v>3</v>
          </cell>
          <cell r="AX65">
            <v>4705</v>
          </cell>
          <cell r="AY65">
            <v>1</v>
          </cell>
          <cell r="AZ65">
            <v>350</v>
          </cell>
          <cell r="BA65">
            <v>0</v>
          </cell>
          <cell r="BB65">
            <v>0</v>
          </cell>
          <cell r="BC65">
            <v>1</v>
          </cell>
          <cell r="BD65">
            <v>463</v>
          </cell>
          <cell r="BE65">
            <v>0</v>
          </cell>
          <cell r="BF65">
            <v>0</v>
          </cell>
          <cell r="BG65">
            <v>2</v>
          </cell>
          <cell r="BH65">
            <v>269</v>
          </cell>
          <cell r="BI65">
            <v>1</v>
          </cell>
          <cell r="BJ65">
            <v>160</v>
          </cell>
          <cell r="BK65">
            <v>1</v>
          </cell>
          <cell r="BL65">
            <v>128</v>
          </cell>
          <cell r="BM65">
            <v>0</v>
          </cell>
          <cell r="BN65">
            <v>0</v>
          </cell>
          <cell r="BO65">
            <v>0</v>
          </cell>
          <cell r="BP65">
            <v>0</v>
          </cell>
          <cell r="BQ65">
            <v>0</v>
          </cell>
          <cell r="BR65">
            <v>0</v>
          </cell>
          <cell r="BS65">
            <v>2</v>
          </cell>
          <cell r="BT65">
            <v>281</v>
          </cell>
          <cell r="BU65">
            <v>0</v>
          </cell>
          <cell r="BV65">
            <v>0</v>
          </cell>
          <cell r="BW65">
            <v>0</v>
          </cell>
          <cell r="BX65">
            <v>0</v>
          </cell>
          <cell r="BY65">
            <v>0</v>
          </cell>
          <cell r="BZ65">
            <v>0</v>
          </cell>
          <cell r="CA65">
            <v>0</v>
          </cell>
          <cell r="CB65">
            <v>0</v>
          </cell>
          <cell r="CC65">
            <v>3</v>
          </cell>
          <cell r="CD65">
            <v>653</v>
          </cell>
          <cell r="CE65">
            <v>0</v>
          </cell>
          <cell r="CF65">
            <v>0</v>
          </cell>
          <cell r="CG65">
            <v>1</v>
          </cell>
          <cell r="CH65">
            <v>2455</v>
          </cell>
          <cell r="CI65" t="str">
            <v>LAS VEGAS, NV</v>
          </cell>
        </row>
        <row r="66">
          <cell r="B66" t="str">
            <v>LOS ANGELES-LONG BEACH, CA</v>
          </cell>
          <cell r="C66">
            <v>1</v>
          </cell>
          <cell r="D66">
            <v>240</v>
          </cell>
          <cell r="E66">
            <v>0</v>
          </cell>
          <cell r="F66">
            <v>0</v>
          </cell>
          <cell r="G66">
            <v>0</v>
          </cell>
          <cell r="H66">
            <v>0</v>
          </cell>
          <cell r="I66">
            <v>3</v>
          </cell>
          <cell r="J66">
            <v>887</v>
          </cell>
          <cell r="K66">
            <v>4</v>
          </cell>
          <cell r="L66">
            <v>598</v>
          </cell>
          <cell r="M66">
            <v>4</v>
          </cell>
          <cell r="N66">
            <v>506</v>
          </cell>
          <cell r="O66">
            <v>0</v>
          </cell>
          <cell r="P66">
            <v>0</v>
          </cell>
          <cell r="Q66">
            <v>2</v>
          </cell>
          <cell r="R66">
            <v>445</v>
          </cell>
          <cell r="S66">
            <v>1</v>
          </cell>
          <cell r="T66">
            <v>105</v>
          </cell>
          <cell r="U66">
            <v>0</v>
          </cell>
          <cell r="V66">
            <v>0</v>
          </cell>
          <cell r="W66">
            <v>2</v>
          </cell>
          <cell r="X66">
            <v>274</v>
          </cell>
          <cell r="Y66">
            <v>1</v>
          </cell>
          <cell r="Z66">
            <v>69</v>
          </cell>
          <cell r="AA66">
            <v>3</v>
          </cell>
          <cell r="AB66">
            <v>271</v>
          </cell>
          <cell r="AC66">
            <v>3</v>
          </cell>
          <cell r="AD66">
            <v>283</v>
          </cell>
          <cell r="AE66">
            <v>0</v>
          </cell>
          <cell r="AF66">
            <v>0</v>
          </cell>
          <cell r="AG66">
            <v>2</v>
          </cell>
          <cell r="AH66">
            <v>400</v>
          </cell>
          <cell r="AI66">
            <v>1</v>
          </cell>
          <cell r="AJ66">
            <v>30</v>
          </cell>
          <cell r="AK66">
            <v>0</v>
          </cell>
          <cell r="AL66">
            <v>0</v>
          </cell>
          <cell r="AM66">
            <v>1</v>
          </cell>
          <cell r="AN66">
            <v>50</v>
          </cell>
          <cell r="AO66">
            <v>1</v>
          </cell>
          <cell r="AP66">
            <v>250</v>
          </cell>
          <cell r="AQ66">
            <v>0</v>
          </cell>
          <cell r="AR66">
            <v>0</v>
          </cell>
          <cell r="AS66">
            <v>1</v>
          </cell>
          <cell r="AT66">
            <v>207</v>
          </cell>
          <cell r="AU66">
            <v>1</v>
          </cell>
          <cell r="AV66">
            <v>162</v>
          </cell>
          <cell r="AW66">
            <v>4</v>
          </cell>
          <cell r="AX66">
            <v>1058</v>
          </cell>
          <cell r="AY66">
            <v>0</v>
          </cell>
          <cell r="AZ66">
            <v>0</v>
          </cell>
          <cell r="BA66">
            <v>0</v>
          </cell>
          <cell r="BB66">
            <v>0</v>
          </cell>
          <cell r="BC66">
            <v>2</v>
          </cell>
          <cell r="BD66">
            <v>457</v>
          </cell>
          <cell r="BE66">
            <v>4</v>
          </cell>
          <cell r="BF66">
            <v>506</v>
          </cell>
          <cell r="BG66">
            <v>0</v>
          </cell>
          <cell r="BH66">
            <v>0</v>
          </cell>
          <cell r="BI66">
            <v>1</v>
          </cell>
          <cell r="BJ66">
            <v>253</v>
          </cell>
          <cell r="BK66">
            <v>0</v>
          </cell>
          <cell r="BL66">
            <v>0</v>
          </cell>
          <cell r="BM66">
            <v>2</v>
          </cell>
          <cell r="BN66">
            <v>274</v>
          </cell>
          <cell r="BO66">
            <v>0</v>
          </cell>
          <cell r="BP66">
            <v>0</v>
          </cell>
          <cell r="BQ66">
            <v>3</v>
          </cell>
          <cell r="BR66">
            <v>283</v>
          </cell>
          <cell r="BS66">
            <v>0</v>
          </cell>
          <cell r="BT66">
            <v>0</v>
          </cell>
          <cell r="BU66">
            <v>0</v>
          </cell>
          <cell r="BV66">
            <v>0</v>
          </cell>
          <cell r="BW66">
            <v>0</v>
          </cell>
          <cell r="BX66">
            <v>0</v>
          </cell>
          <cell r="BY66">
            <v>1</v>
          </cell>
          <cell r="BZ66">
            <v>50</v>
          </cell>
          <cell r="CA66">
            <v>0</v>
          </cell>
          <cell r="CB66">
            <v>0</v>
          </cell>
          <cell r="CC66">
            <v>1</v>
          </cell>
          <cell r="CD66">
            <v>207</v>
          </cell>
          <cell r="CE66">
            <v>1</v>
          </cell>
          <cell r="CF66">
            <v>162</v>
          </cell>
          <cell r="CG66">
            <v>4</v>
          </cell>
          <cell r="CH66">
            <v>1058</v>
          </cell>
          <cell r="CI66" t="str">
            <v>LOS ANGELES-LONG BEACH, CA</v>
          </cell>
        </row>
        <row r="67">
          <cell r="B67" t="str">
            <v>MIAMI-HIALEAH, FL</v>
          </cell>
          <cell r="C67">
            <v>1</v>
          </cell>
          <cell r="D67">
            <v>490</v>
          </cell>
          <cell r="E67">
            <v>3</v>
          </cell>
          <cell r="F67">
            <v>711</v>
          </cell>
          <cell r="G67">
            <v>1</v>
          </cell>
          <cell r="H67">
            <v>118</v>
          </cell>
          <cell r="I67">
            <v>1</v>
          </cell>
          <cell r="J67">
            <v>152</v>
          </cell>
          <cell r="K67">
            <v>0</v>
          </cell>
          <cell r="L67">
            <v>0</v>
          </cell>
          <cell r="M67">
            <v>5</v>
          </cell>
          <cell r="N67">
            <v>1010</v>
          </cell>
          <cell r="O67">
            <v>3</v>
          </cell>
          <cell r="P67">
            <v>398</v>
          </cell>
          <cell r="Q67">
            <v>4</v>
          </cell>
          <cell r="R67">
            <v>570</v>
          </cell>
          <cell r="S67">
            <v>0</v>
          </cell>
          <cell r="T67">
            <v>0</v>
          </cell>
          <cell r="U67">
            <v>0</v>
          </cell>
          <cell r="V67">
            <v>0</v>
          </cell>
          <cell r="W67">
            <v>0</v>
          </cell>
          <cell r="X67">
            <v>0</v>
          </cell>
          <cell r="Y67">
            <v>1</v>
          </cell>
          <cell r="Z67">
            <v>100</v>
          </cell>
          <cell r="AA67">
            <v>1</v>
          </cell>
          <cell r="AB67">
            <v>131</v>
          </cell>
          <cell r="AC67">
            <v>0</v>
          </cell>
          <cell r="AD67">
            <v>0</v>
          </cell>
          <cell r="AE67">
            <v>1</v>
          </cell>
          <cell r="AF67">
            <v>96</v>
          </cell>
          <cell r="AG67">
            <v>2</v>
          </cell>
          <cell r="AH67">
            <v>300</v>
          </cell>
          <cell r="AI67">
            <v>3</v>
          </cell>
          <cell r="AJ67">
            <v>312</v>
          </cell>
          <cell r="AK67">
            <v>0</v>
          </cell>
          <cell r="AL67">
            <v>0</v>
          </cell>
          <cell r="AM67">
            <v>0</v>
          </cell>
          <cell r="AN67">
            <v>0</v>
          </cell>
          <cell r="AO67">
            <v>1</v>
          </cell>
          <cell r="AP67">
            <v>162</v>
          </cell>
          <cell r="AQ67">
            <v>2</v>
          </cell>
          <cell r="AR67">
            <v>528</v>
          </cell>
          <cell r="AS67">
            <v>3</v>
          </cell>
          <cell r="AT67">
            <v>614</v>
          </cell>
          <cell r="AU67">
            <v>3</v>
          </cell>
          <cell r="AV67">
            <v>394</v>
          </cell>
          <cell r="AW67">
            <v>3</v>
          </cell>
          <cell r="AX67">
            <v>257</v>
          </cell>
          <cell r="AY67">
            <v>3</v>
          </cell>
          <cell r="AZ67">
            <v>711</v>
          </cell>
          <cell r="BA67">
            <v>1</v>
          </cell>
          <cell r="BB67">
            <v>118</v>
          </cell>
          <cell r="BC67">
            <v>1</v>
          </cell>
          <cell r="BD67">
            <v>152</v>
          </cell>
          <cell r="BE67">
            <v>5</v>
          </cell>
          <cell r="BF67">
            <v>1010</v>
          </cell>
          <cell r="BG67">
            <v>3</v>
          </cell>
          <cell r="BH67">
            <v>398</v>
          </cell>
          <cell r="BI67">
            <v>1</v>
          </cell>
          <cell r="BJ67">
            <v>159</v>
          </cell>
          <cell r="BK67">
            <v>0</v>
          </cell>
          <cell r="BL67">
            <v>0</v>
          </cell>
          <cell r="BM67">
            <v>0</v>
          </cell>
          <cell r="BN67">
            <v>0</v>
          </cell>
          <cell r="BO67">
            <v>1</v>
          </cell>
          <cell r="BP67">
            <v>100</v>
          </cell>
          <cell r="BQ67">
            <v>0</v>
          </cell>
          <cell r="BR67">
            <v>0</v>
          </cell>
          <cell r="BS67">
            <v>1</v>
          </cell>
          <cell r="BT67">
            <v>96</v>
          </cell>
          <cell r="BU67">
            <v>1</v>
          </cell>
          <cell r="BV67">
            <v>100</v>
          </cell>
          <cell r="BW67">
            <v>0</v>
          </cell>
          <cell r="BX67">
            <v>0</v>
          </cell>
          <cell r="BY67">
            <v>0</v>
          </cell>
          <cell r="BZ67">
            <v>0</v>
          </cell>
          <cell r="CA67">
            <v>1</v>
          </cell>
          <cell r="CB67">
            <v>162</v>
          </cell>
          <cell r="CC67">
            <v>3</v>
          </cell>
          <cell r="CD67">
            <v>614</v>
          </cell>
          <cell r="CE67">
            <v>3</v>
          </cell>
          <cell r="CF67">
            <v>394</v>
          </cell>
          <cell r="CG67">
            <v>1</v>
          </cell>
          <cell r="CH67">
            <v>80</v>
          </cell>
          <cell r="CI67" t="str">
            <v>MIAMI-HIALEAH, FL</v>
          </cell>
        </row>
        <row r="68">
          <cell r="B68" t="str">
            <v>MINNEAPOLIS-SAINT PAUL, MN-WI</v>
          </cell>
          <cell r="C68">
            <v>0</v>
          </cell>
          <cell r="D68">
            <v>0</v>
          </cell>
          <cell r="E68">
            <v>1</v>
          </cell>
          <cell r="F68">
            <v>256</v>
          </cell>
          <cell r="G68">
            <v>0</v>
          </cell>
          <cell r="H68">
            <v>0</v>
          </cell>
          <cell r="I68">
            <v>0</v>
          </cell>
          <cell r="J68">
            <v>0</v>
          </cell>
          <cell r="K68">
            <v>4</v>
          </cell>
          <cell r="L68">
            <v>594</v>
          </cell>
          <cell r="M68">
            <v>2</v>
          </cell>
          <cell r="N68">
            <v>224</v>
          </cell>
          <cell r="O68">
            <v>0</v>
          </cell>
          <cell r="P68">
            <v>0</v>
          </cell>
          <cell r="Q68">
            <v>0</v>
          </cell>
          <cell r="R68">
            <v>0</v>
          </cell>
          <cell r="S68">
            <v>0</v>
          </cell>
          <cell r="T68">
            <v>0</v>
          </cell>
          <cell r="U68">
            <v>0</v>
          </cell>
          <cell r="V68">
            <v>0</v>
          </cell>
          <cell r="W68">
            <v>2</v>
          </cell>
          <cell r="X68">
            <v>240</v>
          </cell>
          <cell r="Y68">
            <v>0</v>
          </cell>
          <cell r="Z68">
            <v>0</v>
          </cell>
          <cell r="AA68">
            <v>2</v>
          </cell>
          <cell r="AB68">
            <v>233</v>
          </cell>
          <cell r="AC68">
            <v>2</v>
          </cell>
          <cell r="AD68">
            <v>169</v>
          </cell>
          <cell r="AE68">
            <v>0</v>
          </cell>
          <cell r="AF68">
            <v>0</v>
          </cell>
          <cell r="AG68">
            <v>1</v>
          </cell>
          <cell r="AH68">
            <v>100</v>
          </cell>
          <cell r="AI68">
            <v>3</v>
          </cell>
          <cell r="AJ68">
            <v>225</v>
          </cell>
          <cell r="AK68">
            <v>2</v>
          </cell>
          <cell r="AL68">
            <v>136</v>
          </cell>
          <cell r="AM68">
            <v>1</v>
          </cell>
          <cell r="AN68">
            <v>20</v>
          </cell>
          <cell r="AO68">
            <v>5</v>
          </cell>
          <cell r="AP68">
            <v>404</v>
          </cell>
          <cell r="AQ68">
            <v>0</v>
          </cell>
          <cell r="AR68">
            <v>0</v>
          </cell>
          <cell r="AS68">
            <v>1</v>
          </cell>
          <cell r="AT68">
            <v>120</v>
          </cell>
          <cell r="AU68">
            <v>0</v>
          </cell>
          <cell r="AV68">
            <v>0</v>
          </cell>
          <cell r="AW68">
            <v>1</v>
          </cell>
          <cell r="AX68">
            <v>400</v>
          </cell>
          <cell r="AY68">
            <v>1</v>
          </cell>
          <cell r="AZ68">
            <v>256</v>
          </cell>
          <cell r="BA68">
            <v>0</v>
          </cell>
          <cell r="BB68">
            <v>0</v>
          </cell>
          <cell r="BC68">
            <v>0</v>
          </cell>
          <cell r="BD68">
            <v>0</v>
          </cell>
          <cell r="BE68">
            <v>2</v>
          </cell>
          <cell r="BF68">
            <v>224</v>
          </cell>
          <cell r="BG68">
            <v>0</v>
          </cell>
          <cell r="BH68">
            <v>0</v>
          </cell>
          <cell r="BI68">
            <v>0</v>
          </cell>
          <cell r="BJ68">
            <v>0</v>
          </cell>
          <cell r="BK68">
            <v>0</v>
          </cell>
          <cell r="BL68">
            <v>0</v>
          </cell>
          <cell r="BM68">
            <v>2</v>
          </cell>
          <cell r="BN68">
            <v>240</v>
          </cell>
          <cell r="BO68">
            <v>0</v>
          </cell>
          <cell r="BP68">
            <v>0</v>
          </cell>
          <cell r="BQ68">
            <v>2</v>
          </cell>
          <cell r="BR68">
            <v>169</v>
          </cell>
          <cell r="BS68">
            <v>0</v>
          </cell>
          <cell r="BT68">
            <v>0</v>
          </cell>
          <cell r="BU68">
            <v>0</v>
          </cell>
          <cell r="BV68">
            <v>0</v>
          </cell>
          <cell r="BW68">
            <v>2</v>
          </cell>
          <cell r="BX68">
            <v>136</v>
          </cell>
          <cell r="BY68">
            <v>1</v>
          </cell>
          <cell r="BZ68">
            <v>20</v>
          </cell>
          <cell r="CA68">
            <v>2</v>
          </cell>
          <cell r="CB68">
            <v>208</v>
          </cell>
          <cell r="CC68">
            <v>1</v>
          </cell>
          <cell r="CD68">
            <v>120</v>
          </cell>
          <cell r="CE68">
            <v>0</v>
          </cell>
          <cell r="CF68">
            <v>0</v>
          </cell>
          <cell r="CG68">
            <v>1</v>
          </cell>
          <cell r="CH68">
            <v>400</v>
          </cell>
          <cell r="CI68" t="str">
            <v>MINNEAPOLIS-SAINT PAUL, MN-WI</v>
          </cell>
        </row>
        <row r="69">
          <cell r="B69" t="str">
            <v>NASHVILLE, TN</v>
          </cell>
          <cell r="C69">
            <v>3</v>
          </cell>
          <cell r="D69">
            <v>762</v>
          </cell>
          <cell r="E69">
            <v>0</v>
          </cell>
          <cell r="F69">
            <v>0</v>
          </cell>
          <cell r="G69">
            <v>0</v>
          </cell>
          <cell r="H69">
            <v>0</v>
          </cell>
          <cell r="I69">
            <v>0</v>
          </cell>
          <cell r="J69">
            <v>0</v>
          </cell>
          <cell r="K69">
            <v>1</v>
          </cell>
          <cell r="L69">
            <v>110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6</v>
          </cell>
          <cell r="AB69">
            <v>522</v>
          </cell>
          <cell r="AC69">
            <v>2</v>
          </cell>
          <cell r="AD69">
            <v>187</v>
          </cell>
          <cell r="AE69">
            <v>1</v>
          </cell>
          <cell r="AF69">
            <v>59</v>
          </cell>
          <cell r="AG69">
            <v>3</v>
          </cell>
          <cell r="AH69">
            <v>300</v>
          </cell>
          <cell r="AI69">
            <v>0</v>
          </cell>
          <cell r="AJ69">
            <v>0</v>
          </cell>
          <cell r="AK69">
            <v>2</v>
          </cell>
          <cell r="AL69">
            <v>169</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2</v>
          </cell>
          <cell r="BR69">
            <v>187</v>
          </cell>
          <cell r="BS69">
            <v>1</v>
          </cell>
          <cell r="BT69">
            <v>59</v>
          </cell>
          <cell r="BU69">
            <v>1</v>
          </cell>
          <cell r="BV69">
            <v>100</v>
          </cell>
          <cell r="BW69">
            <v>2</v>
          </cell>
          <cell r="BX69">
            <v>169</v>
          </cell>
          <cell r="BY69">
            <v>0</v>
          </cell>
          <cell r="BZ69">
            <v>0</v>
          </cell>
          <cell r="CA69">
            <v>0</v>
          </cell>
          <cell r="CB69">
            <v>0</v>
          </cell>
          <cell r="CC69">
            <v>0</v>
          </cell>
          <cell r="CD69">
            <v>0</v>
          </cell>
          <cell r="CE69">
            <v>0</v>
          </cell>
          <cell r="CF69">
            <v>0</v>
          </cell>
          <cell r="CG69">
            <v>0</v>
          </cell>
          <cell r="CH69">
            <v>0</v>
          </cell>
          <cell r="CI69" t="str">
            <v>NASHVILLE, TN</v>
          </cell>
        </row>
        <row r="70">
          <cell r="B70" t="str">
            <v>NEW ORLEANS, LA</v>
          </cell>
          <cell r="C70">
            <v>1</v>
          </cell>
          <cell r="D70">
            <v>280</v>
          </cell>
          <cell r="E70">
            <v>1</v>
          </cell>
          <cell r="F70">
            <v>182</v>
          </cell>
          <cell r="G70">
            <v>0</v>
          </cell>
          <cell r="H70">
            <v>0</v>
          </cell>
          <cell r="I70">
            <v>3</v>
          </cell>
          <cell r="J70">
            <v>901</v>
          </cell>
          <cell r="K70">
            <v>1</v>
          </cell>
          <cell r="L70">
            <v>208</v>
          </cell>
          <cell r="M70">
            <v>2</v>
          </cell>
          <cell r="N70">
            <v>682</v>
          </cell>
          <cell r="O70">
            <v>0</v>
          </cell>
          <cell r="P70">
            <v>0</v>
          </cell>
          <cell r="Q70">
            <v>1</v>
          </cell>
          <cell r="R70">
            <v>142</v>
          </cell>
          <cell r="S70">
            <v>3</v>
          </cell>
          <cell r="T70">
            <v>320</v>
          </cell>
          <cell r="U70">
            <v>2</v>
          </cell>
          <cell r="V70">
            <v>221</v>
          </cell>
          <cell r="W70">
            <v>0</v>
          </cell>
          <cell r="X70">
            <v>0</v>
          </cell>
          <cell r="Y70">
            <v>0</v>
          </cell>
          <cell r="Z70">
            <v>0</v>
          </cell>
          <cell r="AA70">
            <v>4</v>
          </cell>
          <cell r="AB70">
            <v>253</v>
          </cell>
          <cell r="AC70">
            <v>2</v>
          </cell>
          <cell r="AD70">
            <v>221</v>
          </cell>
          <cell r="AE70">
            <v>3</v>
          </cell>
          <cell r="AF70">
            <v>222</v>
          </cell>
          <cell r="AG70">
            <v>3</v>
          </cell>
          <cell r="AH70">
            <v>419</v>
          </cell>
          <cell r="AI70">
            <v>2</v>
          </cell>
          <cell r="AJ70">
            <v>181</v>
          </cell>
          <cell r="AK70">
            <v>0</v>
          </cell>
          <cell r="AL70">
            <v>0</v>
          </cell>
          <cell r="AM70">
            <v>0</v>
          </cell>
          <cell r="AN70">
            <v>0</v>
          </cell>
          <cell r="AO70">
            <v>3</v>
          </cell>
          <cell r="AP70">
            <v>315</v>
          </cell>
          <cell r="AQ70">
            <v>6</v>
          </cell>
          <cell r="AR70">
            <v>868</v>
          </cell>
          <cell r="AS70">
            <v>2</v>
          </cell>
          <cell r="AT70">
            <v>422</v>
          </cell>
          <cell r="AU70">
            <v>0</v>
          </cell>
          <cell r="AV70">
            <v>0</v>
          </cell>
          <cell r="AW70">
            <v>3</v>
          </cell>
          <cell r="AX70">
            <v>1100</v>
          </cell>
          <cell r="AY70">
            <v>1</v>
          </cell>
          <cell r="AZ70">
            <v>182</v>
          </cell>
          <cell r="BA70">
            <v>0</v>
          </cell>
          <cell r="BB70">
            <v>0</v>
          </cell>
          <cell r="BC70">
            <v>2</v>
          </cell>
          <cell r="BD70">
            <v>401</v>
          </cell>
          <cell r="BE70">
            <v>2</v>
          </cell>
          <cell r="BF70">
            <v>682</v>
          </cell>
          <cell r="BG70">
            <v>0</v>
          </cell>
          <cell r="BH70">
            <v>0</v>
          </cell>
          <cell r="BI70">
            <v>1</v>
          </cell>
          <cell r="BJ70">
            <v>142</v>
          </cell>
          <cell r="BK70">
            <v>2</v>
          </cell>
          <cell r="BL70">
            <v>221</v>
          </cell>
          <cell r="BM70">
            <v>0</v>
          </cell>
          <cell r="BN70">
            <v>0</v>
          </cell>
          <cell r="BO70">
            <v>0</v>
          </cell>
          <cell r="BP70">
            <v>0</v>
          </cell>
          <cell r="BQ70">
            <v>2</v>
          </cell>
          <cell r="BR70">
            <v>221</v>
          </cell>
          <cell r="BS70">
            <v>3</v>
          </cell>
          <cell r="BT70">
            <v>222</v>
          </cell>
          <cell r="BU70">
            <v>1</v>
          </cell>
          <cell r="BV70">
            <v>185</v>
          </cell>
          <cell r="BW70">
            <v>0</v>
          </cell>
          <cell r="BX70">
            <v>0</v>
          </cell>
          <cell r="BY70">
            <v>0</v>
          </cell>
          <cell r="BZ70">
            <v>0</v>
          </cell>
          <cell r="CA70">
            <v>0</v>
          </cell>
          <cell r="CB70">
            <v>0</v>
          </cell>
          <cell r="CC70">
            <v>2</v>
          </cell>
          <cell r="CD70">
            <v>422</v>
          </cell>
          <cell r="CE70">
            <v>0</v>
          </cell>
          <cell r="CF70">
            <v>0</v>
          </cell>
          <cell r="CG70">
            <v>2</v>
          </cell>
          <cell r="CH70">
            <v>925</v>
          </cell>
          <cell r="CI70" t="str">
            <v>NEW ORLEANS, LA</v>
          </cell>
        </row>
        <row r="71">
          <cell r="B71" t="str">
            <v>NEW YORK, NY</v>
          </cell>
          <cell r="C71">
            <v>1</v>
          </cell>
          <cell r="D71">
            <v>509</v>
          </cell>
          <cell r="E71">
            <v>0</v>
          </cell>
          <cell r="F71">
            <v>0</v>
          </cell>
          <cell r="G71">
            <v>1</v>
          </cell>
          <cell r="H71">
            <v>863</v>
          </cell>
          <cell r="I71">
            <v>2</v>
          </cell>
          <cell r="J71">
            <v>430</v>
          </cell>
          <cell r="K71">
            <v>2</v>
          </cell>
          <cell r="L71">
            <v>314</v>
          </cell>
          <cell r="M71">
            <v>0</v>
          </cell>
          <cell r="N71">
            <v>0</v>
          </cell>
          <cell r="O71">
            <v>2</v>
          </cell>
          <cell r="P71">
            <v>244</v>
          </cell>
          <cell r="Q71">
            <v>2</v>
          </cell>
          <cell r="R71">
            <v>560</v>
          </cell>
          <cell r="S71">
            <v>2</v>
          </cell>
          <cell r="T71">
            <v>327</v>
          </cell>
          <cell r="U71">
            <v>1</v>
          </cell>
          <cell r="V71">
            <v>59</v>
          </cell>
          <cell r="W71">
            <v>1</v>
          </cell>
          <cell r="X71">
            <v>158</v>
          </cell>
          <cell r="Y71">
            <v>2</v>
          </cell>
          <cell r="Z71">
            <v>276</v>
          </cell>
          <cell r="AA71">
            <v>5</v>
          </cell>
          <cell r="AB71">
            <v>549</v>
          </cell>
          <cell r="AC71">
            <v>2</v>
          </cell>
          <cell r="AD71">
            <v>274</v>
          </cell>
          <cell r="AE71">
            <v>1</v>
          </cell>
          <cell r="AF71">
            <v>90</v>
          </cell>
          <cell r="AG71">
            <v>5</v>
          </cell>
          <cell r="AH71">
            <v>552</v>
          </cell>
          <cell r="AI71">
            <v>2</v>
          </cell>
          <cell r="AJ71">
            <v>163</v>
          </cell>
          <cell r="AK71">
            <v>2</v>
          </cell>
          <cell r="AL71">
            <v>241</v>
          </cell>
          <cell r="AM71">
            <v>2</v>
          </cell>
          <cell r="AN71">
            <v>158</v>
          </cell>
          <cell r="AO71">
            <v>0</v>
          </cell>
          <cell r="AP71">
            <v>0</v>
          </cell>
          <cell r="AQ71">
            <v>4</v>
          </cell>
          <cell r="AR71">
            <v>415</v>
          </cell>
          <cell r="AS71">
            <v>0</v>
          </cell>
          <cell r="AT71">
            <v>0</v>
          </cell>
          <cell r="AU71">
            <v>3</v>
          </cell>
          <cell r="AV71">
            <v>591</v>
          </cell>
          <cell r="AW71">
            <v>4</v>
          </cell>
          <cell r="AX71">
            <v>504</v>
          </cell>
          <cell r="AY71">
            <v>0</v>
          </cell>
          <cell r="AZ71">
            <v>0</v>
          </cell>
          <cell r="BA71">
            <v>1</v>
          </cell>
          <cell r="BB71">
            <v>863</v>
          </cell>
          <cell r="BC71">
            <v>0</v>
          </cell>
          <cell r="BD71">
            <v>0</v>
          </cell>
          <cell r="BE71">
            <v>0</v>
          </cell>
          <cell r="BF71">
            <v>0</v>
          </cell>
          <cell r="BG71">
            <v>2</v>
          </cell>
          <cell r="BH71">
            <v>244</v>
          </cell>
          <cell r="BI71">
            <v>1</v>
          </cell>
          <cell r="BJ71">
            <v>140</v>
          </cell>
          <cell r="BK71">
            <v>1</v>
          </cell>
          <cell r="BL71">
            <v>59</v>
          </cell>
          <cell r="BM71">
            <v>1</v>
          </cell>
          <cell r="BN71">
            <v>158</v>
          </cell>
          <cell r="BO71">
            <v>0</v>
          </cell>
          <cell r="BP71">
            <v>0</v>
          </cell>
          <cell r="BQ71">
            <v>2</v>
          </cell>
          <cell r="BR71">
            <v>274</v>
          </cell>
          <cell r="BS71">
            <v>1</v>
          </cell>
          <cell r="BT71">
            <v>90</v>
          </cell>
          <cell r="BU71">
            <v>1</v>
          </cell>
          <cell r="BV71">
            <v>220</v>
          </cell>
          <cell r="BW71">
            <v>2</v>
          </cell>
          <cell r="BX71">
            <v>241</v>
          </cell>
          <cell r="BY71">
            <v>2</v>
          </cell>
          <cell r="BZ71">
            <v>158</v>
          </cell>
          <cell r="CA71">
            <v>0</v>
          </cell>
          <cell r="CB71">
            <v>0</v>
          </cell>
          <cell r="CC71">
            <v>0</v>
          </cell>
          <cell r="CD71">
            <v>0</v>
          </cell>
          <cell r="CE71">
            <v>3</v>
          </cell>
          <cell r="CF71">
            <v>591</v>
          </cell>
          <cell r="CG71">
            <v>0</v>
          </cell>
          <cell r="CH71">
            <v>0</v>
          </cell>
          <cell r="CI71" t="str">
            <v>NEW YORK, NY</v>
          </cell>
        </row>
        <row r="72">
          <cell r="B72" t="str">
            <v>NORFOLK-VIRGINIA BEACH, VA</v>
          </cell>
          <cell r="C72">
            <v>1</v>
          </cell>
          <cell r="D72">
            <v>250</v>
          </cell>
          <cell r="E72">
            <v>0</v>
          </cell>
          <cell r="F72">
            <v>0</v>
          </cell>
          <cell r="G72">
            <v>0</v>
          </cell>
          <cell r="H72">
            <v>0</v>
          </cell>
          <cell r="I72">
            <v>1</v>
          </cell>
          <cell r="J72">
            <v>300</v>
          </cell>
          <cell r="K72">
            <v>0</v>
          </cell>
          <cell r="L72">
            <v>0</v>
          </cell>
          <cell r="M72">
            <v>1</v>
          </cell>
          <cell r="N72">
            <v>140</v>
          </cell>
          <cell r="O72">
            <v>2</v>
          </cell>
          <cell r="P72">
            <v>250</v>
          </cell>
          <cell r="Q72">
            <v>1</v>
          </cell>
          <cell r="R72">
            <v>118</v>
          </cell>
          <cell r="S72">
            <v>2</v>
          </cell>
          <cell r="T72">
            <v>295</v>
          </cell>
          <cell r="U72">
            <v>0</v>
          </cell>
          <cell r="V72">
            <v>0</v>
          </cell>
          <cell r="W72">
            <v>0</v>
          </cell>
          <cell r="X72">
            <v>0</v>
          </cell>
          <cell r="Y72">
            <v>0</v>
          </cell>
          <cell r="Z72">
            <v>0</v>
          </cell>
          <cell r="AA72">
            <v>1</v>
          </cell>
          <cell r="AB72">
            <v>107</v>
          </cell>
          <cell r="AC72">
            <v>0</v>
          </cell>
          <cell r="AD72">
            <v>0</v>
          </cell>
          <cell r="AE72">
            <v>7</v>
          </cell>
          <cell r="AF72">
            <v>693</v>
          </cell>
          <cell r="AG72">
            <v>2</v>
          </cell>
          <cell r="AH72">
            <v>210</v>
          </cell>
          <cell r="AI72">
            <v>1</v>
          </cell>
          <cell r="AJ72">
            <v>91</v>
          </cell>
          <cell r="AK72">
            <v>0</v>
          </cell>
          <cell r="AL72">
            <v>0</v>
          </cell>
          <cell r="AM72">
            <v>0</v>
          </cell>
          <cell r="AN72">
            <v>0</v>
          </cell>
          <cell r="AO72">
            <v>0</v>
          </cell>
          <cell r="AP72">
            <v>0</v>
          </cell>
          <cell r="AQ72">
            <v>1</v>
          </cell>
          <cell r="AR72">
            <v>300</v>
          </cell>
          <cell r="AS72">
            <v>1</v>
          </cell>
          <cell r="AT72">
            <v>86</v>
          </cell>
          <cell r="AU72">
            <v>0</v>
          </cell>
          <cell r="AV72">
            <v>0</v>
          </cell>
          <cell r="AW72">
            <v>2</v>
          </cell>
          <cell r="AX72">
            <v>360</v>
          </cell>
          <cell r="AY72">
            <v>0</v>
          </cell>
          <cell r="AZ72">
            <v>0</v>
          </cell>
          <cell r="BA72">
            <v>0</v>
          </cell>
          <cell r="BB72">
            <v>0</v>
          </cell>
          <cell r="BC72">
            <v>0</v>
          </cell>
          <cell r="BD72">
            <v>0</v>
          </cell>
          <cell r="BE72">
            <v>1</v>
          </cell>
          <cell r="BF72">
            <v>140</v>
          </cell>
          <cell r="BG72">
            <v>2</v>
          </cell>
          <cell r="BH72">
            <v>250</v>
          </cell>
          <cell r="BI72">
            <v>1</v>
          </cell>
          <cell r="BJ72">
            <v>118</v>
          </cell>
          <cell r="BK72">
            <v>0</v>
          </cell>
          <cell r="BL72">
            <v>0</v>
          </cell>
          <cell r="BM72">
            <v>0</v>
          </cell>
          <cell r="BN72">
            <v>0</v>
          </cell>
          <cell r="BO72">
            <v>0</v>
          </cell>
          <cell r="BP72">
            <v>0</v>
          </cell>
          <cell r="BQ72">
            <v>0</v>
          </cell>
          <cell r="BR72">
            <v>0</v>
          </cell>
          <cell r="BS72">
            <v>7</v>
          </cell>
          <cell r="BT72">
            <v>693</v>
          </cell>
          <cell r="BU72">
            <v>0</v>
          </cell>
          <cell r="BV72">
            <v>0</v>
          </cell>
          <cell r="BW72">
            <v>0</v>
          </cell>
          <cell r="BX72">
            <v>0</v>
          </cell>
          <cell r="BY72">
            <v>0</v>
          </cell>
          <cell r="BZ72">
            <v>0</v>
          </cell>
          <cell r="CA72">
            <v>0</v>
          </cell>
          <cell r="CB72">
            <v>0</v>
          </cell>
          <cell r="CC72">
            <v>1</v>
          </cell>
          <cell r="CD72">
            <v>86</v>
          </cell>
          <cell r="CE72">
            <v>0</v>
          </cell>
          <cell r="CF72">
            <v>0</v>
          </cell>
          <cell r="CG72">
            <v>0</v>
          </cell>
          <cell r="CH72">
            <v>0</v>
          </cell>
          <cell r="CI72" t="str">
            <v>NORFOLK-VIRGINIA BEACH, VA</v>
          </cell>
        </row>
        <row r="73">
          <cell r="B73" t="str">
            <v>OAHU ISLAND</v>
          </cell>
          <cell r="C73">
            <v>1</v>
          </cell>
          <cell r="D73">
            <v>453</v>
          </cell>
          <cell r="E73">
            <v>0</v>
          </cell>
          <cell r="F73">
            <v>0</v>
          </cell>
          <cell r="G73">
            <v>0</v>
          </cell>
          <cell r="H73">
            <v>0</v>
          </cell>
          <cell r="I73">
            <v>0</v>
          </cell>
          <cell r="J73">
            <v>0</v>
          </cell>
          <cell r="K73">
            <v>0</v>
          </cell>
          <cell r="L73">
            <v>0</v>
          </cell>
          <cell r="M73">
            <v>0</v>
          </cell>
          <cell r="N73">
            <v>0</v>
          </cell>
          <cell r="O73">
            <v>0</v>
          </cell>
          <cell r="P73">
            <v>0</v>
          </cell>
          <cell r="Q73">
            <v>1</v>
          </cell>
          <cell r="R73">
            <v>243</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t="str">
            <v>OAHU ISLAND</v>
          </cell>
        </row>
        <row r="74">
          <cell r="B74" t="str">
            <v>ORLANDO, FL</v>
          </cell>
          <cell r="C74">
            <v>2</v>
          </cell>
          <cell r="D74">
            <v>900</v>
          </cell>
          <cell r="E74">
            <v>1</v>
          </cell>
          <cell r="F74">
            <v>305</v>
          </cell>
          <cell r="G74">
            <v>1</v>
          </cell>
          <cell r="H74">
            <v>584</v>
          </cell>
          <cell r="I74">
            <v>8</v>
          </cell>
          <cell r="J74">
            <v>6962</v>
          </cell>
          <cell r="K74">
            <v>3</v>
          </cell>
          <cell r="L74">
            <v>565</v>
          </cell>
          <cell r="M74">
            <v>2</v>
          </cell>
          <cell r="N74">
            <v>494</v>
          </cell>
          <cell r="O74">
            <v>3</v>
          </cell>
          <cell r="P74">
            <v>345</v>
          </cell>
          <cell r="Q74">
            <v>1</v>
          </cell>
          <cell r="R74">
            <v>125</v>
          </cell>
          <cell r="S74">
            <v>1</v>
          </cell>
          <cell r="T74">
            <v>150</v>
          </cell>
          <cell r="U74">
            <v>0</v>
          </cell>
          <cell r="V74">
            <v>0</v>
          </cell>
          <cell r="W74">
            <v>0</v>
          </cell>
          <cell r="X74">
            <v>0</v>
          </cell>
          <cell r="Y74">
            <v>0</v>
          </cell>
          <cell r="Z74">
            <v>0</v>
          </cell>
          <cell r="AA74">
            <v>5</v>
          </cell>
          <cell r="AB74">
            <v>653</v>
          </cell>
          <cell r="AC74">
            <v>4</v>
          </cell>
          <cell r="AD74">
            <v>457</v>
          </cell>
          <cell r="AE74">
            <v>4</v>
          </cell>
          <cell r="AF74">
            <v>551</v>
          </cell>
          <cell r="AG74">
            <v>1</v>
          </cell>
          <cell r="AH74">
            <v>220</v>
          </cell>
          <cell r="AI74">
            <v>1</v>
          </cell>
          <cell r="AJ74">
            <v>83</v>
          </cell>
          <cell r="AK74">
            <v>0</v>
          </cell>
          <cell r="AL74">
            <v>0</v>
          </cell>
          <cell r="AM74">
            <v>1</v>
          </cell>
          <cell r="AN74">
            <v>149</v>
          </cell>
          <cell r="AO74">
            <v>8</v>
          </cell>
          <cell r="AP74">
            <v>1710</v>
          </cell>
          <cell r="AQ74">
            <v>1</v>
          </cell>
          <cell r="AR74">
            <v>1293</v>
          </cell>
          <cell r="AS74">
            <v>0</v>
          </cell>
          <cell r="AT74">
            <v>0</v>
          </cell>
          <cell r="AU74">
            <v>1</v>
          </cell>
          <cell r="AV74">
            <v>2880</v>
          </cell>
          <cell r="AW74">
            <v>7</v>
          </cell>
          <cell r="AX74">
            <v>4524</v>
          </cell>
          <cell r="AY74">
            <v>1</v>
          </cell>
          <cell r="AZ74">
            <v>305</v>
          </cell>
          <cell r="BA74">
            <v>1</v>
          </cell>
          <cell r="BB74">
            <v>584</v>
          </cell>
          <cell r="BC74">
            <v>7</v>
          </cell>
          <cell r="BD74">
            <v>5462</v>
          </cell>
          <cell r="BE74">
            <v>2</v>
          </cell>
          <cell r="BF74">
            <v>494</v>
          </cell>
          <cell r="BG74">
            <v>3</v>
          </cell>
          <cell r="BH74">
            <v>345</v>
          </cell>
          <cell r="BI74">
            <v>0</v>
          </cell>
          <cell r="BJ74">
            <v>0</v>
          </cell>
          <cell r="BK74">
            <v>0</v>
          </cell>
          <cell r="BL74">
            <v>0</v>
          </cell>
          <cell r="BM74">
            <v>0</v>
          </cell>
          <cell r="BN74">
            <v>0</v>
          </cell>
          <cell r="BO74">
            <v>0</v>
          </cell>
          <cell r="BP74">
            <v>0</v>
          </cell>
          <cell r="BQ74">
            <v>4</v>
          </cell>
          <cell r="BR74">
            <v>457</v>
          </cell>
          <cell r="BS74">
            <v>4</v>
          </cell>
          <cell r="BT74">
            <v>551</v>
          </cell>
          <cell r="BU74">
            <v>0</v>
          </cell>
          <cell r="BV74">
            <v>0</v>
          </cell>
          <cell r="BW74">
            <v>0</v>
          </cell>
          <cell r="BX74">
            <v>0</v>
          </cell>
          <cell r="BY74">
            <v>1</v>
          </cell>
          <cell r="BZ74">
            <v>149</v>
          </cell>
          <cell r="CA74">
            <v>2</v>
          </cell>
          <cell r="CB74">
            <v>370</v>
          </cell>
          <cell r="CC74">
            <v>0</v>
          </cell>
          <cell r="CD74">
            <v>0</v>
          </cell>
          <cell r="CE74">
            <v>1</v>
          </cell>
          <cell r="CF74">
            <v>2880</v>
          </cell>
          <cell r="CG74">
            <v>6</v>
          </cell>
          <cell r="CH74">
            <v>4174</v>
          </cell>
          <cell r="CI74" t="str">
            <v>ORLANDO, FL</v>
          </cell>
        </row>
        <row r="75">
          <cell r="B75" t="str">
            <v>PHILADELPHIA, PA-NJ</v>
          </cell>
          <cell r="C75">
            <v>0</v>
          </cell>
          <cell r="D75">
            <v>0</v>
          </cell>
          <cell r="E75">
            <v>0</v>
          </cell>
          <cell r="F75">
            <v>0</v>
          </cell>
          <cell r="G75">
            <v>0</v>
          </cell>
          <cell r="H75">
            <v>0</v>
          </cell>
          <cell r="I75">
            <v>1</v>
          </cell>
          <cell r="J75">
            <v>360</v>
          </cell>
          <cell r="K75">
            <v>4</v>
          </cell>
          <cell r="L75">
            <v>555</v>
          </cell>
          <cell r="M75">
            <v>2</v>
          </cell>
          <cell r="N75">
            <v>387</v>
          </cell>
          <cell r="O75">
            <v>3</v>
          </cell>
          <cell r="P75">
            <v>322</v>
          </cell>
          <cell r="Q75">
            <v>1</v>
          </cell>
          <cell r="R75">
            <v>114</v>
          </cell>
          <cell r="S75">
            <v>0</v>
          </cell>
          <cell r="T75">
            <v>0</v>
          </cell>
          <cell r="U75">
            <v>0</v>
          </cell>
          <cell r="V75">
            <v>0</v>
          </cell>
          <cell r="W75">
            <v>0</v>
          </cell>
          <cell r="X75">
            <v>0</v>
          </cell>
          <cell r="Y75">
            <v>0</v>
          </cell>
          <cell r="Z75">
            <v>0</v>
          </cell>
          <cell r="AA75">
            <v>3</v>
          </cell>
          <cell r="AB75">
            <v>407</v>
          </cell>
          <cell r="AC75">
            <v>3</v>
          </cell>
          <cell r="AD75">
            <v>244</v>
          </cell>
          <cell r="AE75">
            <v>3</v>
          </cell>
          <cell r="AF75">
            <v>299</v>
          </cell>
          <cell r="AG75">
            <v>2</v>
          </cell>
          <cell r="AH75">
            <v>172</v>
          </cell>
          <cell r="AI75">
            <v>1</v>
          </cell>
          <cell r="AJ75">
            <v>116</v>
          </cell>
          <cell r="AK75">
            <v>0</v>
          </cell>
          <cell r="AL75">
            <v>0</v>
          </cell>
          <cell r="AM75">
            <v>1</v>
          </cell>
          <cell r="AN75">
            <v>134</v>
          </cell>
          <cell r="AO75">
            <v>1</v>
          </cell>
          <cell r="AP75">
            <v>120</v>
          </cell>
          <cell r="AQ75">
            <v>1</v>
          </cell>
          <cell r="AR75">
            <v>24</v>
          </cell>
          <cell r="AS75">
            <v>0</v>
          </cell>
          <cell r="AT75">
            <v>0</v>
          </cell>
          <cell r="AU75">
            <v>0</v>
          </cell>
          <cell r="AV75">
            <v>0</v>
          </cell>
          <cell r="AW75">
            <v>2</v>
          </cell>
          <cell r="AX75">
            <v>413</v>
          </cell>
          <cell r="AY75">
            <v>0</v>
          </cell>
          <cell r="AZ75">
            <v>0</v>
          </cell>
          <cell r="BA75">
            <v>0</v>
          </cell>
          <cell r="BB75">
            <v>0</v>
          </cell>
          <cell r="BC75">
            <v>0</v>
          </cell>
          <cell r="BD75">
            <v>0</v>
          </cell>
          <cell r="BE75">
            <v>2</v>
          </cell>
          <cell r="BF75">
            <v>387</v>
          </cell>
          <cell r="BG75">
            <v>3</v>
          </cell>
          <cell r="BH75">
            <v>322</v>
          </cell>
          <cell r="BI75">
            <v>0</v>
          </cell>
          <cell r="BJ75">
            <v>0</v>
          </cell>
          <cell r="BK75">
            <v>0</v>
          </cell>
          <cell r="BL75">
            <v>0</v>
          </cell>
          <cell r="BM75">
            <v>0</v>
          </cell>
          <cell r="BN75">
            <v>0</v>
          </cell>
          <cell r="BO75">
            <v>0</v>
          </cell>
          <cell r="BP75">
            <v>0</v>
          </cell>
          <cell r="BQ75">
            <v>3</v>
          </cell>
          <cell r="BR75">
            <v>244</v>
          </cell>
          <cell r="BS75">
            <v>3</v>
          </cell>
          <cell r="BT75">
            <v>299</v>
          </cell>
          <cell r="BU75">
            <v>1</v>
          </cell>
          <cell r="BV75">
            <v>102</v>
          </cell>
          <cell r="BW75">
            <v>0</v>
          </cell>
          <cell r="BX75">
            <v>0</v>
          </cell>
          <cell r="BY75">
            <v>1</v>
          </cell>
          <cell r="BZ75">
            <v>134</v>
          </cell>
          <cell r="CA75">
            <v>0</v>
          </cell>
          <cell r="CB75">
            <v>0</v>
          </cell>
          <cell r="CC75">
            <v>0</v>
          </cell>
          <cell r="CD75">
            <v>0</v>
          </cell>
          <cell r="CE75">
            <v>0</v>
          </cell>
          <cell r="CF75">
            <v>0</v>
          </cell>
          <cell r="CG75">
            <v>2</v>
          </cell>
          <cell r="CH75">
            <v>413</v>
          </cell>
          <cell r="CI75" t="str">
            <v>PHILADELPHIA, PA-NJ</v>
          </cell>
        </row>
        <row r="76">
          <cell r="B76" t="str">
            <v>PHOENIX, AZ</v>
          </cell>
          <cell r="C76">
            <v>0</v>
          </cell>
          <cell r="D76">
            <v>0</v>
          </cell>
          <cell r="E76">
            <v>1</v>
          </cell>
          <cell r="F76">
            <v>500</v>
          </cell>
          <cell r="G76">
            <v>2</v>
          </cell>
          <cell r="H76">
            <v>1700</v>
          </cell>
          <cell r="I76">
            <v>1</v>
          </cell>
          <cell r="J76">
            <v>250</v>
          </cell>
          <cell r="K76">
            <v>0</v>
          </cell>
          <cell r="L76">
            <v>0</v>
          </cell>
          <cell r="M76">
            <v>0</v>
          </cell>
          <cell r="N76">
            <v>0</v>
          </cell>
          <cell r="O76">
            <v>1</v>
          </cell>
          <cell r="P76">
            <v>120</v>
          </cell>
          <cell r="Q76">
            <v>0</v>
          </cell>
          <cell r="R76">
            <v>0</v>
          </cell>
          <cell r="S76">
            <v>0</v>
          </cell>
          <cell r="T76">
            <v>0</v>
          </cell>
          <cell r="U76">
            <v>0</v>
          </cell>
          <cell r="V76">
            <v>0</v>
          </cell>
          <cell r="W76">
            <v>0</v>
          </cell>
          <cell r="X76">
            <v>0</v>
          </cell>
          <cell r="Y76">
            <v>1</v>
          </cell>
          <cell r="Z76">
            <v>64</v>
          </cell>
          <cell r="AA76">
            <v>2</v>
          </cell>
          <cell r="AB76">
            <v>174</v>
          </cell>
          <cell r="AC76">
            <v>0</v>
          </cell>
          <cell r="AD76">
            <v>0</v>
          </cell>
          <cell r="AE76">
            <v>2</v>
          </cell>
          <cell r="AF76">
            <v>180</v>
          </cell>
          <cell r="AG76">
            <v>2</v>
          </cell>
          <cell r="AH76">
            <v>225</v>
          </cell>
          <cell r="AI76">
            <v>2</v>
          </cell>
          <cell r="AJ76">
            <v>242</v>
          </cell>
          <cell r="AK76">
            <v>0</v>
          </cell>
          <cell r="AL76">
            <v>0</v>
          </cell>
          <cell r="AM76">
            <v>0</v>
          </cell>
          <cell r="AN76">
            <v>0</v>
          </cell>
          <cell r="AO76">
            <v>2</v>
          </cell>
          <cell r="AP76">
            <v>135</v>
          </cell>
          <cell r="AQ76">
            <v>1</v>
          </cell>
          <cell r="AR76">
            <v>82</v>
          </cell>
          <cell r="AS76">
            <v>0</v>
          </cell>
          <cell r="AT76">
            <v>0</v>
          </cell>
          <cell r="AU76">
            <v>0</v>
          </cell>
          <cell r="AV76">
            <v>0</v>
          </cell>
          <cell r="AW76">
            <v>4</v>
          </cell>
          <cell r="AX76">
            <v>1597</v>
          </cell>
          <cell r="AY76">
            <v>1</v>
          </cell>
          <cell r="AZ76">
            <v>500</v>
          </cell>
          <cell r="BA76">
            <v>2</v>
          </cell>
          <cell r="BB76">
            <v>1700</v>
          </cell>
          <cell r="BC76">
            <v>1</v>
          </cell>
          <cell r="BD76">
            <v>250</v>
          </cell>
          <cell r="BE76">
            <v>0</v>
          </cell>
          <cell r="BF76">
            <v>0</v>
          </cell>
          <cell r="BG76">
            <v>1</v>
          </cell>
          <cell r="BH76">
            <v>120</v>
          </cell>
          <cell r="BI76">
            <v>0</v>
          </cell>
          <cell r="BJ76">
            <v>0</v>
          </cell>
          <cell r="BK76">
            <v>0</v>
          </cell>
          <cell r="BL76">
            <v>0</v>
          </cell>
          <cell r="BM76">
            <v>0</v>
          </cell>
          <cell r="BN76">
            <v>0</v>
          </cell>
          <cell r="BO76">
            <v>0</v>
          </cell>
          <cell r="BP76">
            <v>0</v>
          </cell>
          <cell r="BQ76">
            <v>0</v>
          </cell>
          <cell r="BR76">
            <v>0</v>
          </cell>
          <cell r="BS76">
            <v>1</v>
          </cell>
          <cell r="BT76">
            <v>80</v>
          </cell>
          <cell r="BU76">
            <v>0</v>
          </cell>
          <cell r="BV76">
            <v>0</v>
          </cell>
          <cell r="BW76">
            <v>0</v>
          </cell>
          <cell r="BX76">
            <v>0</v>
          </cell>
          <cell r="BY76">
            <v>0</v>
          </cell>
          <cell r="BZ76">
            <v>0</v>
          </cell>
          <cell r="CA76">
            <v>1</v>
          </cell>
          <cell r="CB76">
            <v>75</v>
          </cell>
          <cell r="CC76">
            <v>0</v>
          </cell>
          <cell r="CD76">
            <v>0</v>
          </cell>
          <cell r="CE76">
            <v>0</v>
          </cell>
          <cell r="CF76">
            <v>0</v>
          </cell>
          <cell r="CG76">
            <v>3</v>
          </cell>
          <cell r="CH76">
            <v>1297</v>
          </cell>
          <cell r="CI76" t="str">
            <v>PHOENIX, AZ</v>
          </cell>
        </row>
        <row r="77">
          <cell r="B77" t="str">
            <v>SAINT LOUIS, MO-IL</v>
          </cell>
          <cell r="C77">
            <v>2</v>
          </cell>
          <cell r="D77">
            <v>545</v>
          </cell>
          <cell r="E77">
            <v>1</v>
          </cell>
          <cell r="F77">
            <v>163</v>
          </cell>
          <cell r="G77">
            <v>1</v>
          </cell>
          <cell r="H77">
            <v>917</v>
          </cell>
          <cell r="I77">
            <v>2</v>
          </cell>
          <cell r="J77">
            <v>505</v>
          </cell>
          <cell r="K77">
            <v>0</v>
          </cell>
          <cell r="L77">
            <v>0</v>
          </cell>
          <cell r="M77">
            <v>1</v>
          </cell>
          <cell r="N77">
            <v>104</v>
          </cell>
          <cell r="O77">
            <v>0</v>
          </cell>
          <cell r="P77">
            <v>0</v>
          </cell>
          <cell r="Q77">
            <v>1</v>
          </cell>
          <cell r="R77">
            <v>539</v>
          </cell>
          <cell r="S77">
            <v>0</v>
          </cell>
          <cell r="T77">
            <v>0</v>
          </cell>
          <cell r="U77">
            <v>1</v>
          </cell>
          <cell r="V77">
            <v>125</v>
          </cell>
          <cell r="W77">
            <v>0</v>
          </cell>
          <cell r="X77">
            <v>0</v>
          </cell>
          <cell r="Y77">
            <v>0</v>
          </cell>
          <cell r="Z77">
            <v>0</v>
          </cell>
          <cell r="AA77">
            <v>3</v>
          </cell>
          <cell r="AB77">
            <v>226</v>
          </cell>
          <cell r="AC77">
            <v>1</v>
          </cell>
          <cell r="AD77">
            <v>80</v>
          </cell>
          <cell r="AE77">
            <v>3</v>
          </cell>
          <cell r="AF77">
            <v>280</v>
          </cell>
          <cell r="AG77">
            <v>3</v>
          </cell>
          <cell r="AH77">
            <v>360</v>
          </cell>
          <cell r="AI77">
            <v>1</v>
          </cell>
          <cell r="AJ77">
            <v>65</v>
          </cell>
          <cell r="AK77">
            <v>1</v>
          </cell>
          <cell r="AL77">
            <v>100</v>
          </cell>
          <cell r="AM77">
            <v>2</v>
          </cell>
          <cell r="AN77">
            <v>179</v>
          </cell>
          <cell r="AO77">
            <v>0</v>
          </cell>
          <cell r="AP77">
            <v>0</v>
          </cell>
          <cell r="AQ77">
            <v>1</v>
          </cell>
          <cell r="AR77">
            <v>61</v>
          </cell>
          <cell r="AS77">
            <v>0</v>
          </cell>
          <cell r="AT77">
            <v>0</v>
          </cell>
          <cell r="AU77">
            <v>1</v>
          </cell>
          <cell r="AV77">
            <v>120</v>
          </cell>
          <cell r="AW77">
            <v>2</v>
          </cell>
          <cell r="AX77">
            <v>200</v>
          </cell>
          <cell r="AY77">
            <v>1</v>
          </cell>
          <cell r="AZ77">
            <v>163</v>
          </cell>
          <cell r="BA77">
            <v>1</v>
          </cell>
          <cell r="BB77">
            <v>917</v>
          </cell>
          <cell r="BC77">
            <v>2</v>
          </cell>
          <cell r="BD77">
            <v>505</v>
          </cell>
          <cell r="BE77">
            <v>1</v>
          </cell>
          <cell r="BF77">
            <v>104</v>
          </cell>
          <cell r="BG77">
            <v>0</v>
          </cell>
          <cell r="BH77">
            <v>0</v>
          </cell>
          <cell r="BI77">
            <v>0</v>
          </cell>
          <cell r="BJ77">
            <v>0</v>
          </cell>
          <cell r="BK77">
            <v>1</v>
          </cell>
          <cell r="BL77">
            <v>125</v>
          </cell>
          <cell r="BM77">
            <v>0</v>
          </cell>
          <cell r="BN77">
            <v>0</v>
          </cell>
          <cell r="BO77">
            <v>0</v>
          </cell>
          <cell r="BP77">
            <v>0</v>
          </cell>
          <cell r="BQ77">
            <v>1</v>
          </cell>
          <cell r="BR77">
            <v>80</v>
          </cell>
          <cell r="BS77">
            <v>3</v>
          </cell>
          <cell r="BT77">
            <v>280</v>
          </cell>
          <cell r="BU77">
            <v>2</v>
          </cell>
          <cell r="BV77">
            <v>280</v>
          </cell>
          <cell r="BW77">
            <v>1</v>
          </cell>
          <cell r="BX77">
            <v>100</v>
          </cell>
          <cell r="BY77">
            <v>2</v>
          </cell>
          <cell r="BZ77">
            <v>179</v>
          </cell>
          <cell r="CA77">
            <v>0</v>
          </cell>
          <cell r="CB77">
            <v>0</v>
          </cell>
          <cell r="CC77">
            <v>0</v>
          </cell>
          <cell r="CD77">
            <v>0</v>
          </cell>
          <cell r="CE77">
            <v>1</v>
          </cell>
          <cell r="CF77">
            <v>120</v>
          </cell>
          <cell r="CG77">
            <v>0</v>
          </cell>
          <cell r="CH77">
            <v>0</v>
          </cell>
          <cell r="CI77" t="str">
            <v>SAINT LOUIS, MO-IL</v>
          </cell>
        </row>
        <row r="78">
          <cell r="B78" t="str">
            <v>SAN DIEGO, CA</v>
          </cell>
          <cell r="C78">
            <v>1</v>
          </cell>
          <cell r="D78">
            <v>30</v>
          </cell>
          <cell r="E78">
            <v>1</v>
          </cell>
          <cell r="F78">
            <v>261</v>
          </cell>
          <cell r="G78">
            <v>1</v>
          </cell>
          <cell r="H78">
            <v>750</v>
          </cell>
          <cell r="I78">
            <v>3</v>
          </cell>
          <cell r="J78">
            <v>1084</v>
          </cell>
          <cell r="K78">
            <v>0</v>
          </cell>
          <cell r="L78">
            <v>0</v>
          </cell>
          <cell r="M78">
            <v>0</v>
          </cell>
          <cell r="N78">
            <v>0</v>
          </cell>
          <cell r="O78">
            <v>4</v>
          </cell>
          <cell r="P78">
            <v>431</v>
          </cell>
          <cell r="Q78">
            <v>5</v>
          </cell>
          <cell r="R78">
            <v>579</v>
          </cell>
          <cell r="S78">
            <v>0</v>
          </cell>
          <cell r="T78">
            <v>0</v>
          </cell>
          <cell r="U78">
            <v>1</v>
          </cell>
          <cell r="V78">
            <v>28</v>
          </cell>
          <cell r="W78">
            <v>0</v>
          </cell>
          <cell r="X78">
            <v>0</v>
          </cell>
          <cell r="Y78">
            <v>1</v>
          </cell>
          <cell r="Z78">
            <v>100</v>
          </cell>
          <cell r="AA78">
            <v>2</v>
          </cell>
          <cell r="AB78">
            <v>247</v>
          </cell>
          <cell r="AC78">
            <v>1</v>
          </cell>
          <cell r="AD78">
            <v>100</v>
          </cell>
          <cell r="AE78">
            <v>2</v>
          </cell>
          <cell r="AF78">
            <v>246</v>
          </cell>
          <cell r="AG78">
            <v>3</v>
          </cell>
          <cell r="AH78">
            <v>391</v>
          </cell>
          <cell r="AI78">
            <v>0</v>
          </cell>
          <cell r="AJ78">
            <v>0</v>
          </cell>
          <cell r="AK78">
            <v>2</v>
          </cell>
          <cell r="AL78">
            <v>253</v>
          </cell>
          <cell r="AM78">
            <v>0</v>
          </cell>
          <cell r="AN78">
            <v>0</v>
          </cell>
          <cell r="AO78">
            <v>3</v>
          </cell>
          <cell r="AP78">
            <v>275</v>
          </cell>
          <cell r="AQ78">
            <v>1</v>
          </cell>
          <cell r="AR78">
            <v>150</v>
          </cell>
          <cell r="AS78">
            <v>1</v>
          </cell>
          <cell r="AT78">
            <v>175</v>
          </cell>
          <cell r="AU78">
            <v>2</v>
          </cell>
          <cell r="AV78">
            <v>499</v>
          </cell>
          <cell r="AW78">
            <v>8</v>
          </cell>
          <cell r="AX78">
            <v>2755</v>
          </cell>
          <cell r="AY78">
            <v>1</v>
          </cell>
          <cell r="AZ78">
            <v>261</v>
          </cell>
          <cell r="BA78">
            <v>1</v>
          </cell>
          <cell r="BB78">
            <v>750</v>
          </cell>
          <cell r="BC78">
            <v>2</v>
          </cell>
          <cell r="BD78">
            <v>584</v>
          </cell>
          <cell r="BE78">
            <v>0</v>
          </cell>
          <cell r="BF78">
            <v>0</v>
          </cell>
          <cell r="BG78">
            <v>4</v>
          </cell>
          <cell r="BH78">
            <v>431</v>
          </cell>
          <cell r="BI78">
            <v>1</v>
          </cell>
          <cell r="BJ78">
            <v>180</v>
          </cell>
          <cell r="BK78">
            <v>1</v>
          </cell>
          <cell r="BL78">
            <v>28</v>
          </cell>
          <cell r="BM78">
            <v>0</v>
          </cell>
          <cell r="BN78">
            <v>0</v>
          </cell>
          <cell r="BO78">
            <v>0</v>
          </cell>
          <cell r="BP78">
            <v>0</v>
          </cell>
          <cell r="BQ78">
            <v>1</v>
          </cell>
          <cell r="BR78">
            <v>100</v>
          </cell>
          <cell r="BS78">
            <v>2</v>
          </cell>
          <cell r="BT78">
            <v>246</v>
          </cell>
          <cell r="BU78">
            <v>0</v>
          </cell>
          <cell r="BV78">
            <v>0</v>
          </cell>
          <cell r="BW78">
            <v>2</v>
          </cell>
          <cell r="BX78">
            <v>253</v>
          </cell>
          <cell r="BY78">
            <v>0</v>
          </cell>
          <cell r="BZ78">
            <v>0</v>
          </cell>
          <cell r="CA78">
            <v>0</v>
          </cell>
          <cell r="CB78">
            <v>0</v>
          </cell>
          <cell r="CC78">
            <v>1</v>
          </cell>
          <cell r="CD78">
            <v>175</v>
          </cell>
          <cell r="CE78">
            <v>2</v>
          </cell>
          <cell r="CF78">
            <v>499</v>
          </cell>
          <cell r="CG78">
            <v>2</v>
          </cell>
          <cell r="CH78">
            <v>413</v>
          </cell>
          <cell r="CI78" t="str">
            <v>SAN DIEGO, CA</v>
          </cell>
        </row>
        <row r="79">
          <cell r="B79" t="str">
            <v>SAN FRANCISCO/SAN MATEO</v>
          </cell>
          <cell r="C79">
            <v>2</v>
          </cell>
          <cell r="D79">
            <v>538</v>
          </cell>
          <cell r="E79">
            <v>0</v>
          </cell>
          <cell r="F79">
            <v>0</v>
          </cell>
          <cell r="G79">
            <v>1</v>
          </cell>
          <cell r="H79">
            <v>269</v>
          </cell>
          <cell r="I79">
            <v>4</v>
          </cell>
          <cell r="J79">
            <v>1712</v>
          </cell>
          <cell r="K79">
            <v>2</v>
          </cell>
          <cell r="L79">
            <v>557</v>
          </cell>
          <cell r="M79">
            <v>0</v>
          </cell>
          <cell r="N79">
            <v>0</v>
          </cell>
          <cell r="O79">
            <v>1</v>
          </cell>
          <cell r="P79">
            <v>177</v>
          </cell>
          <cell r="Q79">
            <v>3</v>
          </cell>
          <cell r="R79">
            <v>554</v>
          </cell>
          <cell r="S79">
            <v>2</v>
          </cell>
          <cell r="T79">
            <v>186</v>
          </cell>
          <cell r="U79">
            <v>0</v>
          </cell>
          <cell r="V79">
            <v>0</v>
          </cell>
          <cell r="W79">
            <v>0</v>
          </cell>
          <cell r="X79">
            <v>0</v>
          </cell>
          <cell r="Y79">
            <v>0</v>
          </cell>
          <cell r="Z79">
            <v>0</v>
          </cell>
          <cell r="AA79">
            <v>4</v>
          </cell>
          <cell r="AB79">
            <v>489</v>
          </cell>
          <cell r="AC79">
            <v>3</v>
          </cell>
          <cell r="AD79">
            <v>272</v>
          </cell>
          <cell r="AE79">
            <v>1</v>
          </cell>
          <cell r="AF79">
            <v>103</v>
          </cell>
          <cell r="AG79">
            <v>0</v>
          </cell>
          <cell r="AH79">
            <v>0</v>
          </cell>
          <cell r="AI79">
            <v>0</v>
          </cell>
          <cell r="AJ79">
            <v>0</v>
          </cell>
          <cell r="AK79">
            <v>2</v>
          </cell>
          <cell r="AL79">
            <v>78</v>
          </cell>
          <cell r="AM79">
            <v>1</v>
          </cell>
          <cell r="AN79">
            <v>95</v>
          </cell>
          <cell r="AO79">
            <v>1</v>
          </cell>
          <cell r="AP79">
            <v>108</v>
          </cell>
          <cell r="AQ79">
            <v>0</v>
          </cell>
          <cell r="AR79">
            <v>0</v>
          </cell>
          <cell r="AS79">
            <v>3</v>
          </cell>
          <cell r="AT79">
            <v>113</v>
          </cell>
          <cell r="AU79">
            <v>1</v>
          </cell>
          <cell r="AV79">
            <v>268</v>
          </cell>
          <cell r="AW79">
            <v>5</v>
          </cell>
          <cell r="AX79">
            <v>1109</v>
          </cell>
          <cell r="AY79">
            <v>0</v>
          </cell>
          <cell r="AZ79">
            <v>0</v>
          </cell>
          <cell r="BA79">
            <v>1</v>
          </cell>
          <cell r="BB79">
            <v>269</v>
          </cell>
          <cell r="BC79">
            <v>3</v>
          </cell>
          <cell r="BD79">
            <v>1282</v>
          </cell>
          <cell r="BE79">
            <v>0</v>
          </cell>
          <cell r="BF79">
            <v>0</v>
          </cell>
          <cell r="BG79">
            <v>1</v>
          </cell>
          <cell r="BH79">
            <v>177</v>
          </cell>
          <cell r="BI79">
            <v>2</v>
          </cell>
          <cell r="BJ79">
            <v>394</v>
          </cell>
          <cell r="BK79">
            <v>0</v>
          </cell>
          <cell r="BL79">
            <v>0</v>
          </cell>
          <cell r="BM79">
            <v>0</v>
          </cell>
          <cell r="BN79">
            <v>0</v>
          </cell>
          <cell r="BO79">
            <v>0</v>
          </cell>
          <cell r="BP79">
            <v>0</v>
          </cell>
          <cell r="BQ79">
            <v>3</v>
          </cell>
          <cell r="BR79">
            <v>272</v>
          </cell>
          <cell r="BS79">
            <v>1</v>
          </cell>
          <cell r="BT79">
            <v>103</v>
          </cell>
          <cell r="BU79">
            <v>0</v>
          </cell>
          <cell r="BV79">
            <v>0</v>
          </cell>
          <cell r="BW79">
            <v>2</v>
          </cell>
          <cell r="BX79">
            <v>78</v>
          </cell>
          <cell r="BY79">
            <v>1</v>
          </cell>
          <cell r="BZ79">
            <v>95</v>
          </cell>
          <cell r="CA79">
            <v>1</v>
          </cell>
          <cell r="CB79">
            <v>108</v>
          </cell>
          <cell r="CC79">
            <v>3</v>
          </cell>
          <cell r="CD79">
            <v>113</v>
          </cell>
          <cell r="CE79">
            <v>1</v>
          </cell>
          <cell r="CF79">
            <v>268</v>
          </cell>
          <cell r="CG79">
            <v>2</v>
          </cell>
          <cell r="CH79">
            <v>304</v>
          </cell>
          <cell r="CI79" t="str">
            <v>SAN FRANCISCO/SAN MATEO</v>
          </cell>
        </row>
        <row r="80">
          <cell r="B80" t="str">
            <v>SEATTLE, WA</v>
          </cell>
          <cell r="C80">
            <v>2</v>
          </cell>
          <cell r="D80">
            <v>690</v>
          </cell>
          <cell r="E80">
            <v>0</v>
          </cell>
          <cell r="F80">
            <v>0</v>
          </cell>
          <cell r="G80">
            <v>2</v>
          </cell>
          <cell r="H80">
            <v>643</v>
          </cell>
          <cell r="I80">
            <v>2</v>
          </cell>
          <cell r="J80">
            <v>812</v>
          </cell>
          <cell r="K80">
            <v>1</v>
          </cell>
          <cell r="L80">
            <v>234</v>
          </cell>
          <cell r="M80">
            <v>0</v>
          </cell>
          <cell r="N80">
            <v>0</v>
          </cell>
          <cell r="O80">
            <v>0</v>
          </cell>
          <cell r="P80">
            <v>0</v>
          </cell>
          <cell r="Q80">
            <v>2</v>
          </cell>
          <cell r="R80">
            <v>351</v>
          </cell>
          <cell r="S80">
            <v>2</v>
          </cell>
          <cell r="T80">
            <v>356</v>
          </cell>
          <cell r="U80">
            <v>1</v>
          </cell>
          <cell r="V80">
            <v>65</v>
          </cell>
          <cell r="W80">
            <v>0</v>
          </cell>
          <cell r="X80">
            <v>0</v>
          </cell>
          <cell r="Y80">
            <v>0</v>
          </cell>
          <cell r="Z80">
            <v>0</v>
          </cell>
          <cell r="AA80">
            <v>1</v>
          </cell>
          <cell r="AB80">
            <v>102</v>
          </cell>
          <cell r="AC80">
            <v>1</v>
          </cell>
          <cell r="AD80">
            <v>137</v>
          </cell>
          <cell r="AE80">
            <v>0</v>
          </cell>
          <cell r="AF80">
            <v>0</v>
          </cell>
          <cell r="AG80">
            <v>2</v>
          </cell>
          <cell r="AH80">
            <v>261</v>
          </cell>
          <cell r="AI80">
            <v>1</v>
          </cell>
          <cell r="AJ80">
            <v>101</v>
          </cell>
          <cell r="AK80">
            <v>1</v>
          </cell>
          <cell r="AL80">
            <v>107</v>
          </cell>
          <cell r="AM80">
            <v>0</v>
          </cell>
          <cell r="AN80">
            <v>0</v>
          </cell>
          <cell r="AO80">
            <v>0</v>
          </cell>
          <cell r="AP80">
            <v>0</v>
          </cell>
          <cell r="AQ80">
            <v>0</v>
          </cell>
          <cell r="AR80">
            <v>0</v>
          </cell>
          <cell r="AS80">
            <v>3</v>
          </cell>
          <cell r="AT80">
            <v>202</v>
          </cell>
          <cell r="AU80">
            <v>4</v>
          </cell>
          <cell r="AV80">
            <v>548</v>
          </cell>
          <cell r="AW80">
            <v>1</v>
          </cell>
          <cell r="AX80">
            <v>152</v>
          </cell>
          <cell r="AY80">
            <v>0</v>
          </cell>
          <cell r="AZ80">
            <v>0</v>
          </cell>
          <cell r="BA80">
            <v>2</v>
          </cell>
          <cell r="BB80">
            <v>643</v>
          </cell>
          <cell r="BC80">
            <v>0</v>
          </cell>
          <cell r="BD80">
            <v>0</v>
          </cell>
          <cell r="BE80">
            <v>0</v>
          </cell>
          <cell r="BF80">
            <v>0</v>
          </cell>
          <cell r="BG80">
            <v>0</v>
          </cell>
          <cell r="BH80">
            <v>0</v>
          </cell>
          <cell r="BI80">
            <v>0</v>
          </cell>
          <cell r="BJ80">
            <v>0</v>
          </cell>
          <cell r="BK80">
            <v>1</v>
          </cell>
          <cell r="BL80">
            <v>65</v>
          </cell>
          <cell r="BM80">
            <v>0</v>
          </cell>
          <cell r="BN80">
            <v>0</v>
          </cell>
          <cell r="BO80">
            <v>0</v>
          </cell>
          <cell r="BP80">
            <v>0</v>
          </cell>
          <cell r="BQ80">
            <v>1</v>
          </cell>
          <cell r="BR80">
            <v>137</v>
          </cell>
          <cell r="BS80">
            <v>0</v>
          </cell>
          <cell r="BT80">
            <v>0</v>
          </cell>
          <cell r="BU80">
            <v>0</v>
          </cell>
          <cell r="BV80">
            <v>0</v>
          </cell>
          <cell r="BW80">
            <v>1</v>
          </cell>
          <cell r="BX80">
            <v>107</v>
          </cell>
          <cell r="BY80">
            <v>0</v>
          </cell>
          <cell r="BZ80">
            <v>0</v>
          </cell>
          <cell r="CA80">
            <v>0</v>
          </cell>
          <cell r="CB80">
            <v>0</v>
          </cell>
          <cell r="CC80">
            <v>3</v>
          </cell>
          <cell r="CD80">
            <v>202</v>
          </cell>
          <cell r="CE80">
            <v>4</v>
          </cell>
          <cell r="CF80">
            <v>548</v>
          </cell>
          <cell r="CG80">
            <v>0</v>
          </cell>
          <cell r="CH80">
            <v>0</v>
          </cell>
          <cell r="CI80" t="str">
            <v>SEATTLE, WA</v>
          </cell>
        </row>
        <row r="81">
          <cell r="B81" t="str">
            <v>TAMPA-SAINT PETERSBURG, FL</v>
          </cell>
          <cell r="C81">
            <v>0</v>
          </cell>
          <cell r="D81">
            <v>0</v>
          </cell>
          <cell r="E81">
            <v>0</v>
          </cell>
          <cell r="F81">
            <v>0</v>
          </cell>
          <cell r="G81">
            <v>0</v>
          </cell>
          <cell r="H81">
            <v>0</v>
          </cell>
          <cell r="I81">
            <v>1</v>
          </cell>
          <cell r="J81">
            <v>300</v>
          </cell>
          <cell r="K81">
            <v>3</v>
          </cell>
          <cell r="L81">
            <v>514</v>
          </cell>
          <cell r="M81">
            <v>0</v>
          </cell>
          <cell r="N81">
            <v>0</v>
          </cell>
          <cell r="O81">
            <v>1</v>
          </cell>
          <cell r="P81">
            <v>99</v>
          </cell>
          <cell r="Q81">
            <v>2</v>
          </cell>
          <cell r="R81">
            <v>199</v>
          </cell>
          <cell r="S81">
            <v>0</v>
          </cell>
          <cell r="T81">
            <v>0</v>
          </cell>
          <cell r="U81">
            <v>0</v>
          </cell>
          <cell r="V81">
            <v>0</v>
          </cell>
          <cell r="W81">
            <v>0</v>
          </cell>
          <cell r="X81">
            <v>0</v>
          </cell>
          <cell r="Y81">
            <v>1</v>
          </cell>
          <cell r="Z81">
            <v>70</v>
          </cell>
          <cell r="AA81">
            <v>4</v>
          </cell>
          <cell r="AB81">
            <v>371</v>
          </cell>
          <cell r="AC81">
            <v>2</v>
          </cell>
          <cell r="AD81">
            <v>135</v>
          </cell>
          <cell r="AE81">
            <v>4</v>
          </cell>
          <cell r="AF81">
            <v>356</v>
          </cell>
          <cell r="AG81">
            <v>2</v>
          </cell>
          <cell r="AH81">
            <v>195</v>
          </cell>
          <cell r="AI81">
            <v>2</v>
          </cell>
          <cell r="AJ81">
            <v>184</v>
          </cell>
          <cell r="AK81">
            <v>0</v>
          </cell>
          <cell r="AL81">
            <v>0</v>
          </cell>
          <cell r="AM81">
            <v>0</v>
          </cell>
          <cell r="AN81">
            <v>0</v>
          </cell>
          <cell r="AO81">
            <v>6</v>
          </cell>
          <cell r="AP81">
            <v>602</v>
          </cell>
          <cell r="AQ81">
            <v>0</v>
          </cell>
          <cell r="AR81">
            <v>0</v>
          </cell>
          <cell r="AS81">
            <v>0</v>
          </cell>
          <cell r="AT81">
            <v>0</v>
          </cell>
          <cell r="AU81">
            <v>2</v>
          </cell>
          <cell r="AV81">
            <v>402</v>
          </cell>
          <cell r="AW81">
            <v>2</v>
          </cell>
          <cell r="AX81">
            <v>285</v>
          </cell>
          <cell r="AY81">
            <v>0</v>
          </cell>
          <cell r="AZ81">
            <v>0</v>
          </cell>
          <cell r="BA81">
            <v>0</v>
          </cell>
          <cell r="BB81">
            <v>0</v>
          </cell>
          <cell r="BC81">
            <v>1</v>
          </cell>
          <cell r="BD81">
            <v>300</v>
          </cell>
          <cell r="BE81">
            <v>0</v>
          </cell>
          <cell r="BF81">
            <v>0</v>
          </cell>
          <cell r="BG81">
            <v>1</v>
          </cell>
          <cell r="BH81">
            <v>99</v>
          </cell>
          <cell r="BI81">
            <v>0</v>
          </cell>
          <cell r="BJ81">
            <v>0</v>
          </cell>
          <cell r="BK81">
            <v>0</v>
          </cell>
          <cell r="BL81">
            <v>0</v>
          </cell>
          <cell r="BM81">
            <v>0</v>
          </cell>
          <cell r="BN81">
            <v>0</v>
          </cell>
          <cell r="BO81">
            <v>0</v>
          </cell>
          <cell r="BP81">
            <v>0</v>
          </cell>
          <cell r="BQ81">
            <v>2</v>
          </cell>
          <cell r="BR81">
            <v>135</v>
          </cell>
          <cell r="BS81">
            <v>4</v>
          </cell>
          <cell r="BT81">
            <v>356</v>
          </cell>
          <cell r="BU81">
            <v>0</v>
          </cell>
          <cell r="BV81">
            <v>0</v>
          </cell>
          <cell r="BW81">
            <v>0</v>
          </cell>
          <cell r="BX81">
            <v>0</v>
          </cell>
          <cell r="BY81">
            <v>0</v>
          </cell>
          <cell r="BZ81">
            <v>0</v>
          </cell>
          <cell r="CA81">
            <v>3</v>
          </cell>
          <cell r="CB81">
            <v>304</v>
          </cell>
          <cell r="CC81">
            <v>0</v>
          </cell>
          <cell r="CD81">
            <v>0</v>
          </cell>
          <cell r="CE81">
            <v>2</v>
          </cell>
          <cell r="CF81">
            <v>402</v>
          </cell>
          <cell r="CG81">
            <v>0</v>
          </cell>
          <cell r="CH81">
            <v>0</v>
          </cell>
          <cell r="CI81" t="str">
            <v>TAMPA-SAINT PETERSBURG, FL</v>
          </cell>
        </row>
        <row r="82">
          <cell r="B82" t="str">
            <v>WASHINGTON, DC-MD-VA</v>
          </cell>
          <cell r="C82">
            <v>0</v>
          </cell>
          <cell r="D82">
            <v>0</v>
          </cell>
          <cell r="E82">
            <v>2</v>
          </cell>
          <cell r="F82">
            <v>318</v>
          </cell>
          <cell r="G82">
            <v>2</v>
          </cell>
          <cell r="H82">
            <v>486</v>
          </cell>
          <cell r="I82">
            <v>3</v>
          </cell>
          <cell r="J82">
            <v>1145</v>
          </cell>
          <cell r="K82">
            <v>4</v>
          </cell>
          <cell r="L82">
            <v>644</v>
          </cell>
          <cell r="M82">
            <v>3</v>
          </cell>
          <cell r="N82">
            <v>399</v>
          </cell>
          <cell r="O82">
            <v>4</v>
          </cell>
          <cell r="P82">
            <v>592</v>
          </cell>
          <cell r="Q82">
            <v>13</v>
          </cell>
          <cell r="R82">
            <v>2251</v>
          </cell>
          <cell r="S82">
            <v>0</v>
          </cell>
          <cell r="T82">
            <v>0</v>
          </cell>
          <cell r="U82">
            <v>1</v>
          </cell>
          <cell r="V82">
            <v>233</v>
          </cell>
          <cell r="W82">
            <v>0</v>
          </cell>
          <cell r="X82">
            <v>0</v>
          </cell>
          <cell r="Y82">
            <v>0</v>
          </cell>
          <cell r="Z82">
            <v>0</v>
          </cell>
          <cell r="AA82">
            <v>8</v>
          </cell>
          <cell r="AB82">
            <v>752</v>
          </cell>
          <cell r="AC82">
            <v>2</v>
          </cell>
          <cell r="AD82">
            <v>262</v>
          </cell>
          <cell r="AE82">
            <v>7</v>
          </cell>
          <cell r="AF82">
            <v>695</v>
          </cell>
          <cell r="AG82">
            <v>5</v>
          </cell>
          <cell r="AH82">
            <v>558</v>
          </cell>
          <cell r="AI82">
            <v>1</v>
          </cell>
          <cell r="AJ82">
            <v>99</v>
          </cell>
          <cell r="AK82">
            <v>1</v>
          </cell>
          <cell r="AL82">
            <v>60</v>
          </cell>
          <cell r="AM82">
            <v>0</v>
          </cell>
          <cell r="AN82">
            <v>0</v>
          </cell>
          <cell r="AO82">
            <v>2</v>
          </cell>
          <cell r="AP82">
            <v>372</v>
          </cell>
          <cell r="AQ82">
            <v>0</v>
          </cell>
          <cell r="AR82">
            <v>0</v>
          </cell>
          <cell r="AS82">
            <v>1</v>
          </cell>
          <cell r="AT82">
            <v>172</v>
          </cell>
          <cell r="AU82">
            <v>0</v>
          </cell>
          <cell r="AV82">
            <v>0</v>
          </cell>
          <cell r="AW82">
            <v>4</v>
          </cell>
          <cell r="AX82">
            <v>1175</v>
          </cell>
          <cell r="AY82">
            <v>2</v>
          </cell>
          <cell r="AZ82">
            <v>318</v>
          </cell>
          <cell r="BA82">
            <v>2</v>
          </cell>
          <cell r="BB82">
            <v>486</v>
          </cell>
          <cell r="BC82">
            <v>2</v>
          </cell>
          <cell r="BD82">
            <v>633</v>
          </cell>
          <cell r="BE82">
            <v>3</v>
          </cell>
          <cell r="BF82">
            <v>399</v>
          </cell>
          <cell r="BG82">
            <v>4</v>
          </cell>
          <cell r="BH82">
            <v>592</v>
          </cell>
          <cell r="BI82">
            <v>2</v>
          </cell>
          <cell r="BJ82">
            <v>276</v>
          </cell>
          <cell r="BK82">
            <v>1</v>
          </cell>
          <cell r="BL82">
            <v>233</v>
          </cell>
          <cell r="BM82">
            <v>0</v>
          </cell>
          <cell r="BN82">
            <v>0</v>
          </cell>
          <cell r="BO82">
            <v>0</v>
          </cell>
          <cell r="BP82">
            <v>0</v>
          </cell>
          <cell r="BQ82">
            <v>2</v>
          </cell>
          <cell r="BR82">
            <v>262</v>
          </cell>
          <cell r="BS82">
            <v>7</v>
          </cell>
          <cell r="BT82">
            <v>695</v>
          </cell>
          <cell r="BU82">
            <v>1</v>
          </cell>
          <cell r="BV82">
            <v>149</v>
          </cell>
          <cell r="BW82">
            <v>1</v>
          </cell>
          <cell r="BX82">
            <v>60</v>
          </cell>
          <cell r="BY82">
            <v>0</v>
          </cell>
          <cell r="BZ82">
            <v>0</v>
          </cell>
          <cell r="CA82">
            <v>0</v>
          </cell>
          <cell r="CB82">
            <v>0</v>
          </cell>
          <cell r="CC82">
            <v>1</v>
          </cell>
          <cell r="CD82">
            <v>172</v>
          </cell>
          <cell r="CE82">
            <v>0</v>
          </cell>
          <cell r="CF82">
            <v>0</v>
          </cell>
          <cell r="CG82">
            <v>2</v>
          </cell>
          <cell r="CH82">
            <v>620</v>
          </cell>
          <cell r="CI82" t="str">
            <v>WASHINGTON, DC-MD-VA</v>
          </cell>
        </row>
        <row r="99">
          <cell r="B99" t="str">
            <v>ANAHEIM-SANTA ANA, CA</v>
          </cell>
          <cell r="C99">
            <v>3</v>
          </cell>
          <cell r="D99">
            <v>1033</v>
          </cell>
          <cell r="E99">
            <v>1</v>
          </cell>
          <cell r="F99">
            <v>256</v>
          </cell>
          <cell r="G99">
            <v>5</v>
          </cell>
          <cell r="H99">
            <v>1541</v>
          </cell>
          <cell r="I99">
            <v>1</v>
          </cell>
          <cell r="J99">
            <v>174</v>
          </cell>
          <cell r="K99">
            <v>0</v>
          </cell>
          <cell r="L99">
            <v>0</v>
          </cell>
          <cell r="M99">
            <v>4</v>
          </cell>
          <cell r="N99">
            <v>894</v>
          </cell>
          <cell r="O99">
            <v>1</v>
          </cell>
          <cell r="P99">
            <v>264</v>
          </cell>
          <cell r="Q99">
            <v>0</v>
          </cell>
          <cell r="R99">
            <v>0</v>
          </cell>
          <cell r="S99">
            <v>2</v>
          </cell>
          <cell r="T99">
            <v>369</v>
          </cell>
          <cell r="U99">
            <v>2</v>
          </cell>
          <cell r="V99">
            <v>367</v>
          </cell>
          <cell r="W99">
            <v>0</v>
          </cell>
          <cell r="X99">
            <v>0</v>
          </cell>
          <cell r="Y99">
            <v>7</v>
          </cell>
          <cell r="Z99">
            <v>1018</v>
          </cell>
          <cell r="AA99">
            <v>3</v>
          </cell>
          <cell r="AB99">
            <v>412</v>
          </cell>
          <cell r="AC99">
            <v>1</v>
          </cell>
          <cell r="AD99">
            <v>117</v>
          </cell>
          <cell r="AE99">
            <v>9</v>
          </cell>
          <cell r="AF99">
            <v>1120</v>
          </cell>
          <cell r="AG99">
            <v>5</v>
          </cell>
          <cell r="AH99">
            <v>1198</v>
          </cell>
          <cell r="AI99">
            <v>0</v>
          </cell>
          <cell r="AJ99">
            <v>0</v>
          </cell>
          <cell r="AK99">
            <v>6</v>
          </cell>
          <cell r="AL99">
            <v>1314</v>
          </cell>
          <cell r="AM99" t="str">
            <v>ANAHEIM-SANTA ANA, CA</v>
          </cell>
          <cell r="AN99">
            <v>33</v>
          </cell>
          <cell r="AO99">
            <v>12910</v>
          </cell>
          <cell r="AP99">
            <v>32</v>
          </cell>
          <cell r="AQ99">
            <v>12654</v>
          </cell>
          <cell r="AR99">
            <v>29</v>
          </cell>
          <cell r="AS99">
            <v>11621</v>
          </cell>
          <cell r="AT99">
            <v>29</v>
          </cell>
          <cell r="AU99">
            <v>5382</v>
          </cell>
          <cell r="AV99">
            <v>29</v>
          </cell>
          <cell r="AW99">
            <v>5382</v>
          </cell>
          <cell r="AX99">
            <v>28</v>
          </cell>
          <cell r="AY99">
            <v>5208</v>
          </cell>
          <cell r="AZ99">
            <v>57</v>
          </cell>
          <cell r="BA99">
            <v>7939</v>
          </cell>
          <cell r="BB99">
            <v>57</v>
          </cell>
          <cell r="BC99">
            <v>7939</v>
          </cell>
          <cell r="BD99">
            <v>56</v>
          </cell>
          <cell r="BE99">
            <v>7675</v>
          </cell>
          <cell r="BF99">
            <v>28</v>
          </cell>
          <cell r="BG99">
            <v>3684</v>
          </cell>
          <cell r="BH99">
            <v>28</v>
          </cell>
          <cell r="BI99">
            <v>3684</v>
          </cell>
          <cell r="BJ99">
            <v>26</v>
          </cell>
          <cell r="BK99">
            <v>3317</v>
          </cell>
          <cell r="BL99">
            <v>75</v>
          </cell>
          <cell r="BM99">
            <v>6818</v>
          </cell>
          <cell r="BN99">
            <v>74</v>
          </cell>
          <cell r="BO99">
            <v>6701</v>
          </cell>
          <cell r="BP99">
            <v>71</v>
          </cell>
          <cell r="BQ99">
            <v>6289</v>
          </cell>
          <cell r="BR99">
            <v>153</v>
          </cell>
          <cell r="BS99">
            <v>14395</v>
          </cell>
          <cell r="BT99">
            <v>153</v>
          </cell>
          <cell r="BU99">
            <v>14395</v>
          </cell>
          <cell r="BV99">
            <v>148</v>
          </cell>
          <cell r="BW99">
            <v>13197</v>
          </cell>
          <cell r="BX99">
            <v>0</v>
          </cell>
          <cell r="BY99">
            <v>0</v>
          </cell>
          <cell r="BZ99">
            <v>2</v>
          </cell>
          <cell r="CA99">
            <v>551</v>
          </cell>
          <cell r="CB99">
            <v>0</v>
          </cell>
          <cell r="CC99">
            <v>0</v>
          </cell>
          <cell r="CD99">
            <v>0</v>
          </cell>
          <cell r="CE99">
            <v>0</v>
          </cell>
          <cell r="CF99">
            <v>0</v>
          </cell>
          <cell r="CG99">
            <v>0</v>
          </cell>
          <cell r="CH99">
            <v>1</v>
          </cell>
          <cell r="CI99">
            <v>116</v>
          </cell>
        </row>
        <row r="100">
          <cell r="B100" t="str">
            <v>ATLANTA, GA</v>
          </cell>
          <cell r="C100">
            <v>2</v>
          </cell>
          <cell r="D100">
            <v>236</v>
          </cell>
          <cell r="E100">
            <v>0</v>
          </cell>
          <cell r="F100">
            <v>0</v>
          </cell>
          <cell r="G100">
            <v>4</v>
          </cell>
          <cell r="H100">
            <v>875</v>
          </cell>
          <cell r="I100">
            <v>4</v>
          </cell>
          <cell r="J100">
            <v>516</v>
          </cell>
          <cell r="K100">
            <v>0</v>
          </cell>
          <cell r="L100">
            <v>0</v>
          </cell>
          <cell r="M100">
            <v>30</v>
          </cell>
          <cell r="N100">
            <v>3571</v>
          </cell>
          <cell r="O100">
            <v>3</v>
          </cell>
          <cell r="P100">
            <v>202</v>
          </cell>
          <cell r="Q100">
            <v>0</v>
          </cell>
          <cell r="R100">
            <v>0</v>
          </cell>
          <cell r="S100">
            <v>11</v>
          </cell>
          <cell r="T100">
            <v>1117</v>
          </cell>
          <cell r="U100">
            <v>7</v>
          </cell>
          <cell r="V100">
            <v>513</v>
          </cell>
          <cell r="W100">
            <v>3</v>
          </cell>
          <cell r="X100">
            <v>223</v>
          </cell>
          <cell r="Y100">
            <v>76</v>
          </cell>
          <cell r="Z100">
            <v>6511</v>
          </cell>
          <cell r="AA100">
            <v>8</v>
          </cell>
          <cell r="AB100">
            <v>460</v>
          </cell>
          <cell r="AC100">
            <v>0</v>
          </cell>
          <cell r="AD100">
            <v>0</v>
          </cell>
          <cell r="AE100">
            <v>55</v>
          </cell>
          <cell r="AF100">
            <v>4981</v>
          </cell>
          <cell r="AG100">
            <v>2</v>
          </cell>
          <cell r="AH100">
            <v>616</v>
          </cell>
          <cell r="AI100">
            <v>0</v>
          </cell>
          <cell r="AJ100">
            <v>0</v>
          </cell>
          <cell r="AK100">
            <v>13</v>
          </cell>
          <cell r="AL100">
            <v>2093</v>
          </cell>
          <cell r="AM100" t="str">
            <v>ATLANTA, GA</v>
          </cell>
          <cell r="AN100">
            <v>53</v>
          </cell>
          <cell r="AO100">
            <v>20884</v>
          </cell>
          <cell r="AP100">
            <v>53</v>
          </cell>
          <cell r="AQ100">
            <v>20884</v>
          </cell>
          <cell r="AR100">
            <v>51</v>
          </cell>
          <cell r="AS100">
            <v>20648</v>
          </cell>
          <cell r="AT100">
            <v>74</v>
          </cell>
          <cell r="AU100">
            <v>10942</v>
          </cell>
          <cell r="AV100">
            <v>74</v>
          </cell>
          <cell r="AW100">
            <v>10942</v>
          </cell>
          <cell r="AX100">
            <v>70</v>
          </cell>
          <cell r="AY100">
            <v>10426</v>
          </cell>
          <cell r="AZ100">
            <v>58</v>
          </cell>
          <cell r="BA100">
            <v>8371</v>
          </cell>
          <cell r="BB100">
            <v>58</v>
          </cell>
          <cell r="BC100">
            <v>8371</v>
          </cell>
          <cell r="BD100">
            <v>55</v>
          </cell>
          <cell r="BE100">
            <v>8169</v>
          </cell>
          <cell r="BF100">
            <v>163</v>
          </cell>
          <cell r="BG100">
            <v>16180</v>
          </cell>
          <cell r="BH100">
            <v>160</v>
          </cell>
          <cell r="BI100">
            <v>15957</v>
          </cell>
          <cell r="BJ100">
            <v>153</v>
          </cell>
          <cell r="BK100">
            <v>15444</v>
          </cell>
          <cell r="BL100">
            <v>221</v>
          </cell>
          <cell r="BM100">
            <v>21736</v>
          </cell>
          <cell r="BN100">
            <v>221</v>
          </cell>
          <cell r="BO100">
            <v>21736</v>
          </cell>
          <cell r="BP100">
            <v>213</v>
          </cell>
          <cell r="BQ100">
            <v>21276</v>
          </cell>
          <cell r="BR100">
            <v>91</v>
          </cell>
          <cell r="BS100">
            <v>8927</v>
          </cell>
          <cell r="BT100">
            <v>91</v>
          </cell>
          <cell r="BU100">
            <v>8927</v>
          </cell>
          <cell r="BV100">
            <v>89</v>
          </cell>
          <cell r="BW100">
            <v>8311</v>
          </cell>
          <cell r="BX100">
            <v>1</v>
          </cell>
          <cell r="BY100">
            <v>318</v>
          </cell>
          <cell r="BZ100">
            <v>4</v>
          </cell>
          <cell r="CA100">
            <v>405</v>
          </cell>
          <cell r="CB100">
            <v>1</v>
          </cell>
          <cell r="CC100">
            <v>194</v>
          </cell>
          <cell r="CD100">
            <v>13</v>
          </cell>
          <cell r="CE100">
            <v>966</v>
          </cell>
          <cell r="CF100">
            <v>8</v>
          </cell>
          <cell r="CG100">
            <v>615</v>
          </cell>
          <cell r="CH100">
            <v>3</v>
          </cell>
          <cell r="CI100">
            <v>311</v>
          </cell>
        </row>
        <row r="101">
          <cell r="B101" t="str">
            <v>BOSTON, MA</v>
          </cell>
          <cell r="C101">
            <v>3</v>
          </cell>
          <cell r="D101">
            <v>837</v>
          </cell>
          <cell r="E101">
            <v>0</v>
          </cell>
          <cell r="F101">
            <v>0</v>
          </cell>
          <cell r="G101">
            <v>6</v>
          </cell>
          <cell r="H101">
            <v>1950</v>
          </cell>
          <cell r="I101">
            <v>6</v>
          </cell>
          <cell r="J101">
            <v>741</v>
          </cell>
          <cell r="K101">
            <v>0</v>
          </cell>
          <cell r="L101">
            <v>0</v>
          </cell>
          <cell r="M101">
            <v>18</v>
          </cell>
          <cell r="N101">
            <v>2307</v>
          </cell>
          <cell r="O101">
            <v>3</v>
          </cell>
          <cell r="P101">
            <v>310</v>
          </cell>
          <cell r="Q101">
            <v>0</v>
          </cell>
          <cell r="R101">
            <v>0</v>
          </cell>
          <cell r="S101">
            <v>5</v>
          </cell>
          <cell r="T101">
            <v>775</v>
          </cell>
          <cell r="U101">
            <v>3</v>
          </cell>
          <cell r="V101">
            <v>395</v>
          </cell>
          <cell r="W101">
            <v>0</v>
          </cell>
          <cell r="X101">
            <v>0</v>
          </cell>
          <cell r="Y101">
            <v>15</v>
          </cell>
          <cell r="Z101">
            <v>2001</v>
          </cell>
          <cell r="AA101">
            <v>1</v>
          </cell>
          <cell r="AB101">
            <v>92</v>
          </cell>
          <cell r="AC101">
            <v>1</v>
          </cell>
          <cell r="AD101">
            <v>103</v>
          </cell>
          <cell r="AE101">
            <v>10</v>
          </cell>
          <cell r="AF101">
            <v>1111</v>
          </cell>
          <cell r="AG101">
            <v>0</v>
          </cell>
          <cell r="AH101">
            <v>0</v>
          </cell>
          <cell r="AI101">
            <v>1</v>
          </cell>
          <cell r="AJ101">
            <v>33</v>
          </cell>
          <cell r="AK101">
            <v>8</v>
          </cell>
          <cell r="AL101">
            <v>1110</v>
          </cell>
          <cell r="AM101" t="str">
            <v>BOSTON, MA</v>
          </cell>
          <cell r="AN101">
            <v>43</v>
          </cell>
          <cell r="AO101">
            <v>16171</v>
          </cell>
          <cell r="AP101">
            <v>43</v>
          </cell>
          <cell r="AQ101">
            <v>16171</v>
          </cell>
          <cell r="AR101">
            <v>40</v>
          </cell>
          <cell r="AS101">
            <v>15334</v>
          </cell>
          <cell r="AT101">
            <v>35</v>
          </cell>
          <cell r="AU101">
            <v>6091</v>
          </cell>
          <cell r="AV101">
            <v>35</v>
          </cell>
          <cell r="AW101">
            <v>6091</v>
          </cell>
          <cell r="AX101">
            <v>29</v>
          </cell>
          <cell r="AY101">
            <v>5350</v>
          </cell>
          <cell r="AZ101">
            <v>47</v>
          </cell>
          <cell r="BA101">
            <v>7323</v>
          </cell>
          <cell r="BB101">
            <v>47</v>
          </cell>
          <cell r="BC101">
            <v>7323</v>
          </cell>
          <cell r="BD101">
            <v>44</v>
          </cell>
          <cell r="BE101">
            <v>7013</v>
          </cell>
          <cell r="BF101">
            <v>37</v>
          </cell>
          <cell r="BG101">
            <v>4560</v>
          </cell>
          <cell r="BH101">
            <v>37</v>
          </cell>
          <cell r="BI101">
            <v>4560</v>
          </cell>
          <cell r="BJ101">
            <v>34</v>
          </cell>
          <cell r="BK101">
            <v>4165</v>
          </cell>
          <cell r="BL101">
            <v>32</v>
          </cell>
          <cell r="BM101">
            <v>3265</v>
          </cell>
          <cell r="BN101">
            <v>31</v>
          </cell>
          <cell r="BO101">
            <v>3162</v>
          </cell>
          <cell r="BP101">
            <v>30</v>
          </cell>
          <cell r="BQ101">
            <v>3070</v>
          </cell>
          <cell r="BR101">
            <v>92</v>
          </cell>
          <cell r="BS101">
            <v>7091</v>
          </cell>
          <cell r="BT101">
            <v>91</v>
          </cell>
          <cell r="BU101">
            <v>7058</v>
          </cell>
          <cell r="BV101">
            <v>91</v>
          </cell>
          <cell r="BW101">
            <v>7058</v>
          </cell>
          <cell r="BX101">
            <v>0</v>
          </cell>
          <cell r="BY101">
            <v>0</v>
          </cell>
          <cell r="BZ101">
            <v>3</v>
          </cell>
          <cell r="CA101">
            <v>363</v>
          </cell>
          <cell r="CB101">
            <v>1</v>
          </cell>
          <cell r="CC101">
            <v>268</v>
          </cell>
          <cell r="CD101">
            <v>5</v>
          </cell>
          <cell r="CE101">
            <v>729</v>
          </cell>
          <cell r="CF101">
            <v>0</v>
          </cell>
          <cell r="CG101">
            <v>0</v>
          </cell>
          <cell r="CH101">
            <v>3</v>
          </cell>
          <cell r="CI101">
            <v>241</v>
          </cell>
        </row>
        <row r="102">
          <cell r="B102" t="str">
            <v>CHICAGO, IL</v>
          </cell>
          <cell r="C102">
            <v>2</v>
          </cell>
          <cell r="D102">
            <v>767</v>
          </cell>
          <cell r="E102">
            <v>0</v>
          </cell>
          <cell r="F102">
            <v>0</v>
          </cell>
          <cell r="G102">
            <v>9</v>
          </cell>
          <cell r="H102">
            <v>3238</v>
          </cell>
          <cell r="I102">
            <v>4</v>
          </cell>
          <cell r="J102">
            <v>680</v>
          </cell>
          <cell r="K102">
            <v>0</v>
          </cell>
          <cell r="L102">
            <v>0</v>
          </cell>
          <cell r="M102">
            <v>23</v>
          </cell>
          <cell r="N102">
            <v>3745</v>
          </cell>
          <cell r="O102">
            <v>1</v>
          </cell>
          <cell r="P102">
            <v>50</v>
          </cell>
          <cell r="Q102">
            <v>1</v>
          </cell>
          <cell r="R102">
            <v>85</v>
          </cell>
          <cell r="S102">
            <v>7</v>
          </cell>
          <cell r="T102">
            <v>758</v>
          </cell>
          <cell r="U102">
            <v>7</v>
          </cell>
          <cell r="V102">
            <v>781</v>
          </cell>
          <cell r="W102">
            <v>1</v>
          </cell>
          <cell r="X102">
            <v>112</v>
          </cell>
          <cell r="Y102">
            <v>34</v>
          </cell>
          <cell r="Z102">
            <v>3585</v>
          </cell>
          <cell r="AA102">
            <v>2</v>
          </cell>
          <cell r="AB102">
            <v>110</v>
          </cell>
          <cell r="AC102">
            <v>1</v>
          </cell>
          <cell r="AD102">
            <v>128</v>
          </cell>
          <cell r="AE102">
            <v>25</v>
          </cell>
          <cell r="AF102">
            <v>2657</v>
          </cell>
          <cell r="AG102">
            <v>1</v>
          </cell>
          <cell r="AH102">
            <v>339</v>
          </cell>
          <cell r="AI102">
            <v>0</v>
          </cell>
          <cell r="AJ102">
            <v>0</v>
          </cell>
          <cell r="AK102">
            <v>3</v>
          </cell>
          <cell r="AL102">
            <v>561</v>
          </cell>
          <cell r="AM102" t="str">
            <v>CHICAGO, IL</v>
          </cell>
          <cell r="AN102">
            <v>63</v>
          </cell>
          <cell r="AO102">
            <v>29588</v>
          </cell>
          <cell r="AP102">
            <v>63</v>
          </cell>
          <cell r="AQ102">
            <v>29588</v>
          </cell>
          <cell r="AR102">
            <v>61</v>
          </cell>
          <cell r="AS102">
            <v>28821</v>
          </cell>
          <cell r="AT102">
            <v>52</v>
          </cell>
          <cell r="AU102">
            <v>9702</v>
          </cell>
          <cell r="AV102">
            <v>52</v>
          </cell>
          <cell r="AW102">
            <v>9702</v>
          </cell>
          <cell r="AX102">
            <v>48</v>
          </cell>
          <cell r="AY102">
            <v>9022</v>
          </cell>
          <cell r="AZ102">
            <v>58</v>
          </cell>
          <cell r="BA102">
            <v>11681</v>
          </cell>
          <cell r="BB102">
            <v>57</v>
          </cell>
          <cell r="BC102">
            <v>11596</v>
          </cell>
          <cell r="BD102">
            <v>56</v>
          </cell>
          <cell r="BE102">
            <v>11546</v>
          </cell>
          <cell r="BF102">
            <v>81</v>
          </cell>
          <cell r="BG102">
            <v>9187</v>
          </cell>
          <cell r="BH102">
            <v>80</v>
          </cell>
          <cell r="BI102">
            <v>9075</v>
          </cell>
          <cell r="BJ102">
            <v>73</v>
          </cell>
          <cell r="BK102">
            <v>8294</v>
          </cell>
          <cell r="BL102">
            <v>82</v>
          </cell>
          <cell r="BM102">
            <v>9221</v>
          </cell>
          <cell r="BN102">
            <v>81</v>
          </cell>
          <cell r="BO102">
            <v>9093</v>
          </cell>
          <cell r="BP102">
            <v>79</v>
          </cell>
          <cell r="BQ102">
            <v>8983</v>
          </cell>
          <cell r="BR102">
            <v>156</v>
          </cell>
          <cell r="BS102">
            <v>15001</v>
          </cell>
          <cell r="BT102">
            <v>156</v>
          </cell>
          <cell r="BU102">
            <v>15001</v>
          </cell>
          <cell r="BV102">
            <v>155</v>
          </cell>
          <cell r="BW102">
            <v>14662</v>
          </cell>
          <cell r="BX102">
            <v>2</v>
          </cell>
          <cell r="BY102">
            <v>572</v>
          </cell>
          <cell r="BZ102">
            <v>3</v>
          </cell>
          <cell r="CA102">
            <v>441</v>
          </cell>
          <cell r="CB102">
            <v>2</v>
          </cell>
          <cell r="CC102">
            <v>288</v>
          </cell>
          <cell r="CD102">
            <v>9</v>
          </cell>
          <cell r="CE102">
            <v>926</v>
          </cell>
          <cell r="CF102">
            <v>3</v>
          </cell>
          <cell r="CG102">
            <v>318</v>
          </cell>
          <cell r="CH102">
            <v>0</v>
          </cell>
          <cell r="CI102">
            <v>0</v>
          </cell>
        </row>
        <row r="103">
          <cell r="B103" t="str">
            <v>DALLAS, TX</v>
          </cell>
          <cell r="C103">
            <v>3</v>
          </cell>
          <cell r="D103">
            <v>985</v>
          </cell>
          <cell r="E103">
            <v>0</v>
          </cell>
          <cell r="F103">
            <v>0</v>
          </cell>
          <cell r="G103">
            <v>8</v>
          </cell>
          <cell r="H103">
            <v>2249</v>
          </cell>
          <cell r="I103">
            <v>2</v>
          </cell>
          <cell r="J103">
            <v>221</v>
          </cell>
          <cell r="K103">
            <v>1</v>
          </cell>
          <cell r="L103">
            <v>139</v>
          </cell>
          <cell r="M103">
            <v>25</v>
          </cell>
          <cell r="N103">
            <v>4887</v>
          </cell>
          <cell r="O103">
            <v>1</v>
          </cell>
          <cell r="P103">
            <v>65</v>
          </cell>
          <cell r="Q103">
            <v>0</v>
          </cell>
          <cell r="R103">
            <v>0</v>
          </cell>
          <cell r="S103">
            <v>17</v>
          </cell>
          <cell r="T103">
            <v>1212</v>
          </cell>
          <cell r="U103">
            <v>5</v>
          </cell>
          <cell r="V103">
            <v>437</v>
          </cell>
          <cell r="W103">
            <v>2</v>
          </cell>
          <cell r="X103">
            <v>137</v>
          </cell>
          <cell r="Y103">
            <v>56</v>
          </cell>
          <cell r="Z103">
            <v>5361</v>
          </cell>
          <cell r="AA103">
            <v>6</v>
          </cell>
          <cell r="AB103">
            <v>446</v>
          </cell>
          <cell r="AC103">
            <v>0</v>
          </cell>
          <cell r="AD103">
            <v>0</v>
          </cell>
          <cell r="AE103">
            <v>42</v>
          </cell>
          <cell r="AF103">
            <v>3277</v>
          </cell>
          <cell r="AG103">
            <v>0</v>
          </cell>
          <cell r="AH103">
            <v>0</v>
          </cell>
          <cell r="AI103">
            <v>0</v>
          </cell>
          <cell r="AJ103">
            <v>0</v>
          </cell>
          <cell r="AK103">
            <v>16</v>
          </cell>
          <cell r="AL103">
            <v>4135</v>
          </cell>
          <cell r="AM103" t="str">
            <v>DALLAS, TX</v>
          </cell>
          <cell r="AN103">
            <v>38</v>
          </cell>
          <cell r="AO103">
            <v>14681</v>
          </cell>
          <cell r="AP103">
            <v>38</v>
          </cell>
          <cell r="AQ103">
            <v>14681</v>
          </cell>
          <cell r="AR103">
            <v>35</v>
          </cell>
          <cell r="AS103">
            <v>13696</v>
          </cell>
          <cell r="AT103">
            <v>56</v>
          </cell>
          <cell r="AU103">
            <v>10069</v>
          </cell>
          <cell r="AV103">
            <v>55</v>
          </cell>
          <cell r="AW103">
            <v>9930</v>
          </cell>
          <cell r="AX103">
            <v>53</v>
          </cell>
          <cell r="AY103">
            <v>9709</v>
          </cell>
          <cell r="AZ103">
            <v>52</v>
          </cell>
          <cell r="BA103">
            <v>7463</v>
          </cell>
          <cell r="BB103">
            <v>52</v>
          </cell>
          <cell r="BC103">
            <v>7463</v>
          </cell>
          <cell r="BD103">
            <v>51</v>
          </cell>
          <cell r="BE103">
            <v>7398</v>
          </cell>
          <cell r="BF103">
            <v>103</v>
          </cell>
          <cell r="BG103">
            <v>10679</v>
          </cell>
          <cell r="BH103">
            <v>101</v>
          </cell>
          <cell r="BI103">
            <v>10542</v>
          </cell>
          <cell r="BJ103">
            <v>96</v>
          </cell>
          <cell r="BK103">
            <v>10105</v>
          </cell>
          <cell r="BL103">
            <v>106</v>
          </cell>
          <cell r="BM103">
            <v>9950</v>
          </cell>
          <cell r="BN103">
            <v>106</v>
          </cell>
          <cell r="BO103">
            <v>9950</v>
          </cell>
          <cell r="BP103">
            <v>100</v>
          </cell>
          <cell r="BQ103">
            <v>9504</v>
          </cell>
          <cell r="BR103">
            <v>98</v>
          </cell>
          <cell r="BS103">
            <v>11369</v>
          </cell>
          <cell r="BT103">
            <v>98</v>
          </cell>
          <cell r="BU103">
            <v>11369</v>
          </cell>
          <cell r="BV103">
            <v>98</v>
          </cell>
          <cell r="BW103">
            <v>11369</v>
          </cell>
          <cell r="BX103">
            <v>3</v>
          </cell>
          <cell r="BY103">
            <v>848</v>
          </cell>
          <cell r="BZ103">
            <v>2</v>
          </cell>
          <cell r="CA103">
            <v>256</v>
          </cell>
          <cell r="CB103">
            <v>5</v>
          </cell>
          <cell r="CC103">
            <v>313</v>
          </cell>
          <cell r="CD103">
            <v>11</v>
          </cell>
          <cell r="CE103">
            <v>1021</v>
          </cell>
          <cell r="CF103">
            <v>8</v>
          </cell>
          <cell r="CG103">
            <v>467</v>
          </cell>
          <cell r="CH103">
            <v>3</v>
          </cell>
          <cell r="CI103">
            <v>934</v>
          </cell>
        </row>
        <row r="104">
          <cell r="B104" t="str">
            <v>DENVER, CO</v>
          </cell>
          <cell r="C104">
            <v>0</v>
          </cell>
          <cell r="D104">
            <v>0</v>
          </cell>
          <cell r="E104">
            <v>0</v>
          </cell>
          <cell r="F104">
            <v>0</v>
          </cell>
          <cell r="G104">
            <v>4</v>
          </cell>
          <cell r="H104">
            <v>1133</v>
          </cell>
          <cell r="I104">
            <v>0</v>
          </cell>
          <cell r="J104">
            <v>0</v>
          </cell>
          <cell r="K104">
            <v>0</v>
          </cell>
          <cell r="L104">
            <v>0</v>
          </cell>
          <cell r="M104">
            <v>16</v>
          </cell>
          <cell r="N104">
            <v>2102</v>
          </cell>
          <cell r="O104">
            <v>1</v>
          </cell>
          <cell r="P104">
            <v>68</v>
          </cell>
          <cell r="Q104">
            <v>0</v>
          </cell>
          <cell r="R104">
            <v>0</v>
          </cell>
          <cell r="S104">
            <v>8</v>
          </cell>
          <cell r="T104">
            <v>585</v>
          </cell>
          <cell r="U104">
            <v>4</v>
          </cell>
          <cell r="V104">
            <v>325</v>
          </cell>
          <cell r="W104">
            <v>0</v>
          </cell>
          <cell r="X104">
            <v>0</v>
          </cell>
          <cell r="Y104">
            <v>38</v>
          </cell>
          <cell r="Z104">
            <v>3893</v>
          </cell>
          <cell r="AA104">
            <v>0</v>
          </cell>
          <cell r="AB104">
            <v>0</v>
          </cell>
          <cell r="AC104">
            <v>0</v>
          </cell>
          <cell r="AD104">
            <v>0</v>
          </cell>
          <cell r="AE104">
            <v>19</v>
          </cell>
          <cell r="AF104">
            <v>2232</v>
          </cell>
          <cell r="AG104">
            <v>0</v>
          </cell>
          <cell r="AH104">
            <v>0</v>
          </cell>
          <cell r="AI104">
            <v>0</v>
          </cell>
          <cell r="AJ104">
            <v>0</v>
          </cell>
          <cell r="AK104">
            <v>4</v>
          </cell>
          <cell r="AL104">
            <v>504</v>
          </cell>
          <cell r="AM104" t="str">
            <v>DENVER, CO</v>
          </cell>
          <cell r="AN104">
            <v>24</v>
          </cell>
          <cell r="AO104">
            <v>8253</v>
          </cell>
          <cell r="AP104">
            <v>24</v>
          </cell>
          <cell r="AQ104">
            <v>8253</v>
          </cell>
          <cell r="AR104">
            <v>24</v>
          </cell>
          <cell r="AS104">
            <v>8253</v>
          </cell>
          <cell r="AT104">
            <v>28</v>
          </cell>
          <cell r="AU104">
            <v>5451</v>
          </cell>
          <cell r="AV104">
            <v>28</v>
          </cell>
          <cell r="AW104">
            <v>5451</v>
          </cell>
          <cell r="AX104">
            <v>28</v>
          </cell>
          <cell r="AY104">
            <v>5451</v>
          </cell>
          <cell r="AZ104">
            <v>31</v>
          </cell>
          <cell r="BA104">
            <v>5182</v>
          </cell>
          <cell r="BB104">
            <v>31</v>
          </cell>
          <cell r="BC104">
            <v>5182</v>
          </cell>
          <cell r="BD104">
            <v>30</v>
          </cell>
          <cell r="BE104">
            <v>5114</v>
          </cell>
          <cell r="BF104">
            <v>63</v>
          </cell>
          <cell r="BG104">
            <v>6822</v>
          </cell>
          <cell r="BH104">
            <v>63</v>
          </cell>
          <cell r="BI104">
            <v>6822</v>
          </cell>
          <cell r="BJ104">
            <v>59</v>
          </cell>
          <cell r="BK104">
            <v>6497</v>
          </cell>
          <cell r="BL104">
            <v>46</v>
          </cell>
          <cell r="BM104">
            <v>5388</v>
          </cell>
          <cell r="BN104">
            <v>46</v>
          </cell>
          <cell r="BO104">
            <v>5388</v>
          </cell>
          <cell r="BP104">
            <v>46</v>
          </cell>
          <cell r="BQ104">
            <v>5388</v>
          </cell>
          <cell r="BR104">
            <v>43</v>
          </cell>
          <cell r="BS104">
            <v>4230</v>
          </cell>
          <cell r="BT104">
            <v>43</v>
          </cell>
          <cell r="BU104">
            <v>4230</v>
          </cell>
          <cell r="BV104">
            <v>43</v>
          </cell>
          <cell r="BW104">
            <v>4230</v>
          </cell>
          <cell r="BX104">
            <v>1</v>
          </cell>
          <cell r="BY104">
            <v>369</v>
          </cell>
          <cell r="BZ104">
            <v>4</v>
          </cell>
          <cell r="CA104">
            <v>466</v>
          </cell>
          <cell r="CB104">
            <v>1</v>
          </cell>
          <cell r="CC104">
            <v>68</v>
          </cell>
          <cell r="CD104">
            <v>8</v>
          </cell>
          <cell r="CE104">
            <v>834</v>
          </cell>
          <cell r="CF104">
            <v>2</v>
          </cell>
          <cell r="CG104">
            <v>261</v>
          </cell>
          <cell r="CH104">
            <v>0</v>
          </cell>
          <cell r="CI104">
            <v>0</v>
          </cell>
        </row>
        <row r="105">
          <cell r="B105" t="str">
            <v>DETROIT, MI</v>
          </cell>
          <cell r="C105">
            <v>0</v>
          </cell>
          <cell r="D105">
            <v>0</v>
          </cell>
          <cell r="E105">
            <v>0</v>
          </cell>
          <cell r="F105">
            <v>0</v>
          </cell>
          <cell r="G105">
            <v>1</v>
          </cell>
          <cell r="H105">
            <v>290</v>
          </cell>
          <cell r="I105">
            <v>1</v>
          </cell>
          <cell r="J105">
            <v>124</v>
          </cell>
          <cell r="K105">
            <v>0</v>
          </cell>
          <cell r="L105">
            <v>0</v>
          </cell>
          <cell r="M105">
            <v>10</v>
          </cell>
          <cell r="N105">
            <v>1202</v>
          </cell>
          <cell r="O105">
            <v>1</v>
          </cell>
          <cell r="P105">
            <v>90</v>
          </cell>
          <cell r="Q105">
            <v>0</v>
          </cell>
          <cell r="R105">
            <v>0</v>
          </cell>
          <cell r="S105">
            <v>2</v>
          </cell>
          <cell r="T105">
            <v>250</v>
          </cell>
          <cell r="U105">
            <v>8</v>
          </cell>
          <cell r="V105">
            <v>736</v>
          </cell>
          <cell r="W105">
            <v>3</v>
          </cell>
          <cell r="X105">
            <v>251</v>
          </cell>
          <cell r="Y105">
            <v>39</v>
          </cell>
          <cell r="Z105">
            <v>3672</v>
          </cell>
          <cell r="AA105">
            <v>3</v>
          </cell>
          <cell r="AB105">
            <v>264</v>
          </cell>
          <cell r="AC105">
            <v>2</v>
          </cell>
          <cell r="AD105">
            <v>203</v>
          </cell>
          <cell r="AE105">
            <v>22</v>
          </cell>
          <cell r="AF105">
            <v>2257</v>
          </cell>
          <cell r="AG105">
            <v>1</v>
          </cell>
          <cell r="AH105">
            <v>77</v>
          </cell>
          <cell r="AI105">
            <v>0</v>
          </cell>
          <cell r="AJ105">
            <v>0</v>
          </cell>
          <cell r="AK105">
            <v>2</v>
          </cell>
          <cell r="AL105">
            <v>228</v>
          </cell>
          <cell r="AM105" t="str">
            <v>DETROIT, MI</v>
          </cell>
          <cell r="AN105">
            <v>21</v>
          </cell>
          <cell r="AO105">
            <v>6593</v>
          </cell>
          <cell r="AP105">
            <v>21</v>
          </cell>
          <cell r="AQ105">
            <v>6593</v>
          </cell>
          <cell r="AR105">
            <v>21</v>
          </cell>
          <cell r="AS105">
            <v>6593</v>
          </cell>
          <cell r="AT105">
            <v>29</v>
          </cell>
          <cell r="AU105">
            <v>4392</v>
          </cell>
          <cell r="AV105">
            <v>29</v>
          </cell>
          <cell r="AW105">
            <v>4392</v>
          </cell>
          <cell r="AX105">
            <v>28</v>
          </cell>
          <cell r="AY105">
            <v>4268</v>
          </cell>
          <cell r="AZ105">
            <v>38</v>
          </cell>
          <cell r="BA105">
            <v>6400</v>
          </cell>
          <cell r="BB105">
            <v>38</v>
          </cell>
          <cell r="BC105">
            <v>6400</v>
          </cell>
          <cell r="BD105">
            <v>37</v>
          </cell>
          <cell r="BE105">
            <v>6310</v>
          </cell>
          <cell r="BF105">
            <v>70</v>
          </cell>
          <cell r="BG105">
            <v>7246</v>
          </cell>
          <cell r="BH105">
            <v>67</v>
          </cell>
          <cell r="BI105">
            <v>6995</v>
          </cell>
          <cell r="BJ105">
            <v>59</v>
          </cell>
          <cell r="BK105">
            <v>6259</v>
          </cell>
          <cell r="BL105">
            <v>81</v>
          </cell>
          <cell r="BM105">
            <v>7827</v>
          </cell>
          <cell r="BN105">
            <v>79</v>
          </cell>
          <cell r="BO105">
            <v>7624</v>
          </cell>
          <cell r="BP105">
            <v>76</v>
          </cell>
          <cell r="BQ105">
            <v>7360</v>
          </cell>
          <cell r="BR105">
            <v>70</v>
          </cell>
          <cell r="BS105">
            <v>5086</v>
          </cell>
          <cell r="BT105">
            <v>70</v>
          </cell>
          <cell r="BU105">
            <v>5086</v>
          </cell>
          <cell r="BV105">
            <v>69</v>
          </cell>
          <cell r="BW105">
            <v>5009</v>
          </cell>
          <cell r="BX105">
            <v>1</v>
          </cell>
          <cell r="BY105">
            <v>290</v>
          </cell>
          <cell r="BZ105">
            <v>1</v>
          </cell>
          <cell r="CA105">
            <v>154</v>
          </cell>
          <cell r="CB105">
            <v>1</v>
          </cell>
          <cell r="CC105">
            <v>160</v>
          </cell>
          <cell r="CD105">
            <v>10</v>
          </cell>
          <cell r="CE105">
            <v>907</v>
          </cell>
          <cell r="CF105">
            <v>3</v>
          </cell>
          <cell r="CG105">
            <v>248</v>
          </cell>
          <cell r="CH105">
            <v>1</v>
          </cell>
          <cell r="CI105">
            <v>151</v>
          </cell>
        </row>
        <row r="106">
          <cell r="B106" t="str">
            <v>HOUSTON, TX</v>
          </cell>
          <cell r="C106">
            <v>0</v>
          </cell>
          <cell r="D106">
            <v>0</v>
          </cell>
          <cell r="E106">
            <v>0</v>
          </cell>
          <cell r="F106">
            <v>0</v>
          </cell>
          <cell r="G106">
            <v>2</v>
          </cell>
          <cell r="H106">
            <v>436</v>
          </cell>
          <cell r="I106">
            <v>4</v>
          </cell>
          <cell r="J106">
            <v>545</v>
          </cell>
          <cell r="K106">
            <v>2</v>
          </cell>
          <cell r="L106">
            <v>232</v>
          </cell>
          <cell r="M106">
            <v>20</v>
          </cell>
          <cell r="N106">
            <v>2177</v>
          </cell>
          <cell r="O106">
            <v>2</v>
          </cell>
          <cell r="P106">
            <v>134</v>
          </cell>
          <cell r="Q106">
            <v>1</v>
          </cell>
          <cell r="R106">
            <v>60</v>
          </cell>
          <cell r="S106">
            <v>12</v>
          </cell>
          <cell r="T106">
            <v>994</v>
          </cell>
          <cell r="U106">
            <v>9</v>
          </cell>
          <cell r="V106">
            <v>625</v>
          </cell>
          <cell r="W106">
            <v>1</v>
          </cell>
          <cell r="X106">
            <v>72</v>
          </cell>
          <cell r="Y106">
            <v>60</v>
          </cell>
          <cell r="Z106">
            <v>5048</v>
          </cell>
          <cell r="AA106">
            <v>11</v>
          </cell>
          <cell r="AB106">
            <v>688</v>
          </cell>
          <cell r="AC106">
            <v>0</v>
          </cell>
          <cell r="AD106">
            <v>0</v>
          </cell>
          <cell r="AE106">
            <v>60</v>
          </cell>
          <cell r="AF106">
            <v>4895</v>
          </cell>
          <cell r="AG106">
            <v>0</v>
          </cell>
          <cell r="AH106">
            <v>0</v>
          </cell>
          <cell r="AI106">
            <v>0</v>
          </cell>
          <cell r="AJ106">
            <v>0</v>
          </cell>
          <cell r="AK106">
            <v>7</v>
          </cell>
          <cell r="AL106">
            <v>869</v>
          </cell>
          <cell r="AM106" t="str">
            <v>HOUSTON, TX</v>
          </cell>
          <cell r="AN106">
            <v>30</v>
          </cell>
          <cell r="AO106">
            <v>10935</v>
          </cell>
          <cell r="AP106">
            <v>30</v>
          </cell>
          <cell r="AQ106">
            <v>10935</v>
          </cell>
          <cell r="AR106">
            <v>30</v>
          </cell>
          <cell r="AS106">
            <v>10935</v>
          </cell>
          <cell r="AT106">
            <v>44</v>
          </cell>
          <cell r="AU106">
            <v>7507</v>
          </cell>
          <cell r="AV106">
            <v>42</v>
          </cell>
          <cell r="AW106">
            <v>7275</v>
          </cell>
          <cell r="AX106">
            <v>38</v>
          </cell>
          <cell r="AY106">
            <v>6730</v>
          </cell>
          <cell r="AZ106">
            <v>46</v>
          </cell>
          <cell r="BA106">
            <v>6578</v>
          </cell>
          <cell r="BB106">
            <v>45</v>
          </cell>
          <cell r="BC106">
            <v>6518</v>
          </cell>
          <cell r="BD106">
            <v>43</v>
          </cell>
          <cell r="BE106">
            <v>6384</v>
          </cell>
          <cell r="BF106">
            <v>105</v>
          </cell>
          <cell r="BG106">
            <v>9964</v>
          </cell>
          <cell r="BH106">
            <v>104</v>
          </cell>
          <cell r="BI106">
            <v>9892</v>
          </cell>
          <cell r="BJ106">
            <v>95</v>
          </cell>
          <cell r="BK106">
            <v>9267</v>
          </cell>
          <cell r="BL106">
            <v>130</v>
          </cell>
          <cell r="BM106">
            <v>12245</v>
          </cell>
          <cell r="BN106">
            <v>130</v>
          </cell>
          <cell r="BO106">
            <v>12245</v>
          </cell>
          <cell r="BP106">
            <v>119</v>
          </cell>
          <cell r="BQ106">
            <v>11557</v>
          </cell>
          <cell r="BR106">
            <v>49</v>
          </cell>
          <cell r="BS106">
            <v>4940</v>
          </cell>
          <cell r="BT106">
            <v>49</v>
          </cell>
          <cell r="BU106">
            <v>4940</v>
          </cell>
          <cell r="BV106">
            <v>49</v>
          </cell>
          <cell r="BW106">
            <v>4940</v>
          </cell>
          <cell r="BX106">
            <v>1</v>
          </cell>
          <cell r="BY106">
            <v>286</v>
          </cell>
          <cell r="BZ106">
            <v>5</v>
          </cell>
          <cell r="CA106">
            <v>455</v>
          </cell>
          <cell r="CB106">
            <v>3</v>
          </cell>
          <cell r="CC106">
            <v>203</v>
          </cell>
          <cell r="CD106">
            <v>9</v>
          </cell>
          <cell r="CE106">
            <v>837</v>
          </cell>
          <cell r="CF106">
            <v>10</v>
          </cell>
          <cell r="CG106">
            <v>683</v>
          </cell>
          <cell r="CH106">
            <v>1</v>
          </cell>
          <cell r="CI106">
            <v>26</v>
          </cell>
        </row>
        <row r="107">
          <cell r="B107" t="str">
            <v>LAS VEGAS, NV</v>
          </cell>
          <cell r="C107">
            <v>0</v>
          </cell>
          <cell r="D107">
            <v>0</v>
          </cell>
          <cell r="E107">
            <v>0</v>
          </cell>
          <cell r="F107">
            <v>0</v>
          </cell>
          <cell r="G107">
            <v>5</v>
          </cell>
          <cell r="H107">
            <v>1708</v>
          </cell>
          <cell r="I107">
            <v>0</v>
          </cell>
          <cell r="J107">
            <v>0</v>
          </cell>
          <cell r="K107">
            <v>0</v>
          </cell>
          <cell r="L107">
            <v>0</v>
          </cell>
          <cell r="M107">
            <v>8</v>
          </cell>
          <cell r="N107">
            <v>1320</v>
          </cell>
          <cell r="O107">
            <v>0</v>
          </cell>
          <cell r="P107">
            <v>0</v>
          </cell>
          <cell r="Q107">
            <v>0</v>
          </cell>
          <cell r="R107">
            <v>0</v>
          </cell>
          <cell r="S107">
            <v>2</v>
          </cell>
          <cell r="T107">
            <v>400</v>
          </cell>
          <cell r="U107">
            <v>3</v>
          </cell>
          <cell r="V107">
            <v>288</v>
          </cell>
          <cell r="W107">
            <v>0</v>
          </cell>
          <cell r="X107">
            <v>0</v>
          </cell>
          <cell r="Y107">
            <v>9</v>
          </cell>
          <cell r="Z107">
            <v>1346</v>
          </cell>
          <cell r="AA107">
            <v>0</v>
          </cell>
          <cell r="AB107">
            <v>0</v>
          </cell>
          <cell r="AC107">
            <v>0</v>
          </cell>
          <cell r="AD107">
            <v>0</v>
          </cell>
          <cell r="AE107">
            <v>2</v>
          </cell>
          <cell r="AF107">
            <v>182</v>
          </cell>
          <cell r="AG107">
            <v>3</v>
          </cell>
          <cell r="AH107">
            <v>1674</v>
          </cell>
          <cell r="AI107">
            <v>1</v>
          </cell>
          <cell r="AJ107">
            <v>716</v>
          </cell>
          <cell r="AK107">
            <v>21</v>
          </cell>
          <cell r="AL107">
            <v>23530</v>
          </cell>
          <cell r="AM107" t="str">
            <v>LAS VEGAS, NV</v>
          </cell>
          <cell r="AN107">
            <v>9</v>
          </cell>
          <cell r="AO107">
            <v>11887</v>
          </cell>
          <cell r="AP107">
            <v>9</v>
          </cell>
          <cell r="AQ107">
            <v>11887</v>
          </cell>
          <cell r="AR107">
            <v>9</v>
          </cell>
          <cell r="AS107">
            <v>11887</v>
          </cell>
          <cell r="AT107">
            <v>11</v>
          </cell>
          <cell r="AU107">
            <v>3502</v>
          </cell>
          <cell r="AV107">
            <v>11</v>
          </cell>
          <cell r="AW107">
            <v>3502</v>
          </cell>
          <cell r="AX107">
            <v>11</v>
          </cell>
          <cell r="AY107">
            <v>3502</v>
          </cell>
          <cell r="AZ107">
            <v>20</v>
          </cell>
          <cell r="BA107">
            <v>4136</v>
          </cell>
          <cell r="BB107">
            <v>20</v>
          </cell>
          <cell r="BC107">
            <v>4136</v>
          </cell>
          <cell r="BD107">
            <v>20</v>
          </cell>
          <cell r="BE107">
            <v>4136</v>
          </cell>
          <cell r="BF107">
            <v>18</v>
          </cell>
          <cell r="BG107">
            <v>2337</v>
          </cell>
          <cell r="BH107">
            <v>18</v>
          </cell>
          <cell r="BI107">
            <v>2337</v>
          </cell>
          <cell r="BJ107">
            <v>15</v>
          </cell>
          <cell r="BK107">
            <v>2049</v>
          </cell>
          <cell r="BL107">
            <v>26</v>
          </cell>
          <cell r="BM107">
            <v>4251</v>
          </cell>
          <cell r="BN107">
            <v>26</v>
          </cell>
          <cell r="BO107">
            <v>4251</v>
          </cell>
          <cell r="BP107">
            <v>26</v>
          </cell>
          <cell r="BQ107">
            <v>4251</v>
          </cell>
          <cell r="BR107">
            <v>232</v>
          </cell>
          <cell r="BS107">
            <v>104704</v>
          </cell>
          <cell r="BT107">
            <v>231</v>
          </cell>
          <cell r="BU107">
            <v>103988</v>
          </cell>
          <cell r="BV107">
            <v>228</v>
          </cell>
          <cell r="BW107">
            <v>102314</v>
          </cell>
          <cell r="BX107">
            <v>1</v>
          </cell>
          <cell r="BY107">
            <v>286</v>
          </cell>
          <cell r="BZ107">
            <v>2</v>
          </cell>
          <cell r="CA107">
            <v>229</v>
          </cell>
          <cell r="CB107">
            <v>0</v>
          </cell>
          <cell r="CC107">
            <v>0</v>
          </cell>
          <cell r="CD107">
            <v>2</v>
          </cell>
          <cell r="CE107">
            <v>352</v>
          </cell>
          <cell r="CF107">
            <v>0</v>
          </cell>
          <cell r="CG107">
            <v>0</v>
          </cell>
          <cell r="CH107">
            <v>3</v>
          </cell>
          <cell r="CI107">
            <v>3151</v>
          </cell>
        </row>
        <row r="108">
          <cell r="B108" t="str">
            <v>LOS ANGELES-LONG BEACH, CA</v>
          </cell>
          <cell r="C108">
            <v>1</v>
          </cell>
          <cell r="D108">
            <v>240</v>
          </cell>
          <cell r="E108">
            <v>0</v>
          </cell>
          <cell r="F108">
            <v>0</v>
          </cell>
          <cell r="G108">
            <v>2</v>
          </cell>
          <cell r="H108">
            <v>490</v>
          </cell>
          <cell r="I108">
            <v>4</v>
          </cell>
          <cell r="J108">
            <v>598</v>
          </cell>
          <cell r="K108">
            <v>0</v>
          </cell>
          <cell r="L108">
            <v>0</v>
          </cell>
          <cell r="M108">
            <v>10</v>
          </cell>
          <cell r="N108">
            <v>1460</v>
          </cell>
          <cell r="O108">
            <v>1</v>
          </cell>
          <cell r="P108">
            <v>105</v>
          </cell>
          <cell r="Q108">
            <v>0</v>
          </cell>
          <cell r="R108">
            <v>0</v>
          </cell>
          <cell r="S108">
            <v>4</v>
          </cell>
          <cell r="T108">
            <v>323</v>
          </cell>
          <cell r="U108">
            <v>3</v>
          </cell>
          <cell r="V108">
            <v>271</v>
          </cell>
          <cell r="W108">
            <v>0</v>
          </cell>
          <cell r="X108">
            <v>0</v>
          </cell>
          <cell r="Y108">
            <v>6</v>
          </cell>
          <cell r="Z108">
            <v>536</v>
          </cell>
          <cell r="AA108">
            <v>1</v>
          </cell>
          <cell r="AB108">
            <v>30</v>
          </cell>
          <cell r="AC108">
            <v>1</v>
          </cell>
          <cell r="AD108">
            <v>140</v>
          </cell>
          <cell r="AE108">
            <v>20</v>
          </cell>
          <cell r="AF108">
            <v>2116</v>
          </cell>
          <cell r="AG108">
            <v>0</v>
          </cell>
          <cell r="AH108">
            <v>0</v>
          </cell>
          <cell r="AI108">
            <v>0</v>
          </cell>
          <cell r="AJ108">
            <v>0</v>
          </cell>
          <cell r="AK108">
            <v>7</v>
          </cell>
          <cell r="AL108">
            <v>856</v>
          </cell>
          <cell r="AM108" t="str">
            <v>LOS ANGELES-LONG BEACH, CA</v>
          </cell>
          <cell r="AN108">
            <v>68</v>
          </cell>
          <cell r="AO108">
            <v>25416</v>
          </cell>
          <cell r="AP108">
            <v>68</v>
          </cell>
          <cell r="AQ108">
            <v>25416</v>
          </cell>
          <cell r="AR108">
            <v>67</v>
          </cell>
          <cell r="AS108">
            <v>25176</v>
          </cell>
          <cell r="AT108">
            <v>41</v>
          </cell>
          <cell r="AU108">
            <v>8615</v>
          </cell>
          <cell r="AV108">
            <v>41</v>
          </cell>
          <cell r="AW108">
            <v>8615</v>
          </cell>
          <cell r="AX108">
            <v>37</v>
          </cell>
          <cell r="AY108">
            <v>8017</v>
          </cell>
          <cell r="AZ108">
            <v>99</v>
          </cell>
          <cell r="BA108">
            <v>13709</v>
          </cell>
          <cell r="BB108">
            <v>99</v>
          </cell>
          <cell r="BC108">
            <v>13709</v>
          </cell>
          <cell r="BD108">
            <v>98</v>
          </cell>
          <cell r="BE108">
            <v>13604</v>
          </cell>
          <cell r="BF108">
            <v>40</v>
          </cell>
          <cell r="BG108">
            <v>3323</v>
          </cell>
          <cell r="BH108">
            <v>40</v>
          </cell>
          <cell r="BI108">
            <v>3323</v>
          </cell>
          <cell r="BJ108">
            <v>37</v>
          </cell>
          <cell r="BK108">
            <v>3052</v>
          </cell>
          <cell r="BL108">
            <v>150</v>
          </cell>
          <cell r="BM108">
            <v>10922</v>
          </cell>
          <cell r="BN108">
            <v>149</v>
          </cell>
          <cell r="BO108">
            <v>10782</v>
          </cell>
          <cell r="BP108">
            <v>148</v>
          </cell>
          <cell r="BQ108">
            <v>10752</v>
          </cell>
          <cell r="BR108">
            <v>313</v>
          </cell>
          <cell r="BS108">
            <v>23340</v>
          </cell>
          <cell r="BT108">
            <v>313</v>
          </cell>
          <cell r="BU108">
            <v>23340</v>
          </cell>
          <cell r="BV108">
            <v>313</v>
          </cell>
          <cell r="BW108">
            <v>23340</v>
          </cell>
          <cell r="BX108">
            <v>0</v>
          </cell>
          <cell r="BY108">
            <v>0</v>
          </cell>
          <cell r="BZ108">
            <v>3</v>
          </cell>
          <cell r="CA108">
            <v>562</v>
          </cell>
          <cell r="CB108">
            <v>2</v>
          </cell>
          <cell r="CC108">
            <v>151</v>
          </cell>
          <cell r="CD108">
            <v>0</v>
          </cell>
          <cell r="CE108">
            <v>0</v>
          </cell>
          <cell r="CF108">
            <v>2</v>
          </cell>
          <cell r="CG108">
            <v>254</v>
          </cell>
          <cell r="CH108">
            <v>1</v>
          </cell>
          <cell r="CI108">
            <v>50</v>
          </cell>
        </row>
        <row r="109">
          <cell r="B109" t="str">
            <v>MIAMI-HIALEAH, FL</v>
          </cell>
          <cell r="C109">
            <v>1</v>
          </cell>
          <cell r="D109">
            <v>490</v>
          </cell>
          <cell r="E109">
            <v>0</v>
          </cell>
          <cell r="F109">
            <v>0</v>
          </cell>
          <cell r="G109">
            <v>6</v>
          </cell>
          <cell r="H109">
            <v>2136</v>
          </cell>
          <cell r="I109">
            <v>0</v>
          </cell>
          <cell r="J109">
            <v>0</v>
          </cell>
          <cell r="K109">
            <v>0</v>
          </cell>
          <cell r="L109">
            <v>0</v>
          </cell>
          <cell r="M109">
            <v>3</v>
          </cell>
          <cell r="N109">
            <v>465</v>
          </cell>
          <cell r="O109">
            <v>0</v>
          </cell>
          <cell r="P109">
            <v>0</v>
          </cell>
          <cell r="Q109">
            <v>0</v>
          </cell>
          <cell r="R109">
            <v>0</v>
          </cell>
          <cell r="S109">
            <v>2</v>
          </cell>
          <cell r="T109">
            <v>202</v>
          </cell>
          <cell r="U109">
            <v>1</v>
          </cell>
          <cell r="V109">
            <v>131</v>
          </cell>
          <cell r="W109">
            <v>0</v>
          </cell>
          <cell r="X109">
            <v>0</v>
          </cell>
          <cell r="Y109">
            <v>11</v>
          </cell>
          <cell r="Z109">
            <v>1281</v>
          </cell>
          <cell r="AA109">
            <v>3</v>
          </cell>
          <cell r="AB109">
            <v>312</v>
          </cell>
          <cell r="AC109">
            <v>1</v>
          </cell>
          <cell r="AD109">
            <v>98</v>
          </cell>
          <cell r="AE109">
            <v>8</v>
          </cell>
          <cell r="AF109">
            <v>898</v>
          </cell>
          <cell r="AG109">
            <v>2</v>
          </cell>
          <cell r="AH109">
            <v>528</v>
          </cell>
          <cell r="AI109">
            <v>0</v>
          </cell>
          <cell r="AJ109">
            <v>0</v>
          </cell>
          <cell r="AK109">
            <v>7</v>
          </cell>
          <cell r="AL109">
            <v>1431</v>
          </cell>
          <cell r="AM109" t="str">
            <v>MIAMI-HIALEAH, FL</v>
          </cell>
          <cell r="AN109">
            <v>29</v>
          </cell>
          <cell r="AO109">
            <v>11732</v>
          </cell>
          <cell r="AP109">
            <v>29</v>
          </cell>
          <cell r="AQ109">
            <v>11732</v>
          </cell>
          <cell r="AR109">
            <v>28</v>
          </cell>
          <cell r="AS109">
            <v>11242</v>
          </cell>
          <cell r="AT109">
            <v>17</v>
          </cell>
          <cell r="AU109">
            <v>3270</v>
          </cell>
          <cell r="AV109">
            <v>17</v>
          </cell>
          <cell r="AW109">
            <v>3270</v>
          </cell>
          <cell r="AX109">
            <v>17</v>
          </cell>
          <cell r="AY109">
            <v>3270</v>
          </cell>
          <cell r="AZ109">
            <v>37</v>
          </cell>
          <cell r="BA109">
            <v>6110</v>
          </cell>
          <cell r="BB109">
            <v>37</v>
          </cell>
          <cell r="BC109">
            <v>6110</v>
          </cell>
          <cell r="BD109">
            <v>37</v>
          </cell>
          <cell r="BE109">
            <v>6110</v>
          </cell>
          <cell r="BF109">
            <v>27</v>
          </cell>
          <cell r="BG109">
            <v>3416</v>
          </cell>
          <cell r="BH109">
            <v>27</v>
          </cell>
          <cell r="BI109">
            <v>3416</v>
          </cell>
          <cell r="BJ109">
            <v>26</v>
          </cell>
          <cell r="BK109">
            <v>3285</v>
          </cell>
          <cell r="BL109">
            <v>36</v>
          </cell>
          <cell r="BM109">
            <v>3925</v>
          </cell>
          <cell r="BN109">
            <v>35</v>
          </cell>
          <cell r="BO109">
            <v>3827</v>
          </cell>
          <cell r="BP109">
            <v>32</v>
          </cell>
          <cell r="BQ109">
            <v>3515</v>
          </cell>
          <cell r="BR109">
            <v>145</v>
          </cell>
          <cell r="BS109">
            <v>16524</v>
          </cell>
          <cell r="BT109">
            <v>145</v>
          </cell>
          <cell r="BU109">
            <v>16524</v>
          </cell>
          <cell r="BV109">
            <v>143</v>
          </cell>
          <cell r="BW109">
            <v>15996</v>
          </cell>
          <cell r="BX109">
            <v>3</v>
          </cell>
          <cell r="BY109">
            <v>689</v>
          </cell>
          <cell r="BZ109">
            <v>2</v>
          </cell>
          <cell r="CA109">
            <v>299</v>
          </cell>
          <cell r="CB109">
            <v>0</v>
          </cell>
          <cell r="CC109">
            <v>0</v>
          </cell>
          <cell r="CD109">
            <v>2</v>
          </cell>
          <cell r="CE109">
            <v>258</v>
          </cell>
          <cell r="CF109">
            <v>0</v>
          </cell>
          <cell r="CG109">
            <v>0</v>
          </cell>
          <cell r="CH109">
            <v>1</v>
          </cell>
          <cell r="CI109">
            <v>329</v>
          </cell>
        </row>
        <row r="110">
          <cell r="B110" t="str">
            <v>MINNEAPOLIS-SAINT PAUL, MN-WI</v>
          </cell>
          <cell r="C110">
            <v>0</v>
          </cell>
          <cell r="D110">
            <v>0</v>
          </cell>
          <cell r="E110">
            <v>0</v>
          </cell>
          <cell r="F110">
            <v>0</v>
          </cell>
          <cell r="G110">
            <v>0</v>
          </cell>
          <cell r="H110">
            <v>0</v>
          </cell>
          <cell r="I110">
            <v>4</v>
          </cell>
          <cell r="J110">
            <v>594</v>
          </cell>
          <cell r="K110">
            <v>1</v>
          </cell>
          <cell r="L110">
            <v>127</v>
          </cell>
          <cell r="M110">
            <v>16</v>
          </cell>
          <cell r="N110">
            <v>2101</v>
          </cell>
          <cell r="O110">
            <v>0</v>
          </cell>
          <cell r="P110">
            <v>0</v>
          </cell>
          <cell r="Q110">
            <v>0</v>
          </cell>
          <cell r="R110">
            <v>0</v>
          </cell>
          <cell r="S110">
            <v>1</v>
          </cell>
          <cell r="T110">
            <v>82</v>
          </cell>
          <cell r="U110">
            <v>2</v>
          </cell>
          <cell r="V110">
            <v>233</v>
          </cell>
          <cell r="W110">
            <v>0</v>
          </cell>
          <cell r="X110">
            <v>0</v>
          </cell>
          <cell r="Y110">
            <v>29</v>
          </cell>
          <cell r="Z110">
            <v>2636</v>
          </cell>
          <cell r="AA110">
            <v>3</v>
          </cell>
          <cell r="AB110">
            <v>225</v>
          </cell>
          <cell r="AC110">
            <v>0</v>
          </cell>
          <cell r="AD110">
            <v>0</v>
          </cell>
          <cell r="AE110">
            <v>25</v>
          </cell>
          <cell r="AF110">
            <v>2108</v>
          </cell>
          <cell r="AG110">
            <v>0</v>
          </cell>
          <cell r="AH110">
            <v>0</v>
          </cell>
          <cell r="AI110">
            <v>0</v>
          </cell>
          <cell r="AJ110">
            <v>0</v>
          </cell>
          <cell r="AK110">
            <v>2</v>
          </cell>
          <cell r="AL110">
            <v>402</v>
          </cell>
          <cell r="AM110" t="str">
            <v>MINNEAPOLIS-SAINT PAUL, MN-WI</v>
          </cell>
          <cell r="AN110">
            <v>18</v>
          </cell>
          <cell r="AO110">
            <v>5787</v>
          </cell>
          <cell r="AP110">
            <v>18</v>
          </cell>
          <cell r="AQ110">
            <v>5787</v>
          </cell>
          <cell r="AR110">
            <v>18</v>
          </cell>
          <cell r="AS110">
            <v>5787</v>
          </cell>
          <cell r="AT110">
            <v>30</v>
          </cell>
          <cell r="AU110">
            <v>5653</v>
          </cell>
          <cell r="AV110">
            <v>29</v>
          </cell>
          <cell r="AW110">
            <v>5526</v>
          </cell>
          <cell r="AX110">
            <v>25</v>
          </cell>
          <cell r="AY110">
            <v>4932</v>
          </cell>
          <cell r="AZ110">
            <v>32</v>
          </cell>
          <cell r="BA110">
            <v>5151</v>
          </cell>
          <cell r="BB110">
            <v>32</v>
          </cell>
          <cell r="BC110">
            <v>5151</v>
          </cell>
          <cell r="BD110">
            <v>32</v>
          </cell>
          <cell r="BE110">
            <v>5151</v>
          </cell>
          <cell r="BF110">
            <v>63</v>
          </cell>
          <cell r="BG110">
            <v>6570</v>
          </cell>
          <cell r="BH110">
            <v>63</v>
          </cell>
          <cell r="BI110">
            <v>6570</v>
          </cell>
          <cell r="BJ110">
            <v>61</v>
          </cell>
          <cell r="BK110">
            <v>6337</v>
          </cell>
          <cell r="BL110">
            <v>85</v>
          </cell>
          <cell r="BM110">
            <v>7157</v>
          </cell>
          <cell r="BN110">
            <v>85</v>
          </cell>
          <cell r="BO110">
            <v>7157</v>
          </cell>
          <cell r="BP110">
            <v>82</v>
          </cell>
          <cell r="BQ110">
            <v>6932</v>
          </cell>
          <cell r="BR110">
            <v>29</v>
          </cell>
          <cell r="BS110">
            <v>2785</v>
          </cell>
          <cell r="BT110">
            <v>29</v>
          </cell>
          <cell r="BU110">
            <v>2785</v>
          </cell>
          <cell r="BV110">
            <v>29</v>
          </cell>
          <cell r="BW110">
            <v>2785</v>
          </cell>
          <cell r="BX110">
            <v>0</v>
          </cell>
          <cell r="BY110">
            <v>0</v>
          </cell>
          <cell r="BZ110">
            <v>1</v>
          </cell>
          <cell r="CA110">
            <v>97</v>
          </cell>
          <cell r="CB110">
            <v>0</v>
          </cell>
          <cell r="CC110">
            <v>0</v>
          </cell>
          <cell r="CD110">
            <v>6</v>
          </cell>
          <cell r="CE110">
            <v>528</v>
          </cell>
          <cell r="CF110">
            <v>2</v>
          </cell>
          <cell r="CG110">
            <v>104</v>
          </cell>
          <cell r="CH110">
            <v>1</v>
          </cell>
          <cell r="CI110">
            <v>200</v>
          </cell>
        </row>
        <row r="111">
          <cell r="B111" t="str">
            <v>NASHVILLE, TN</v>
          </cell>
          <cell r="C111">
            <v>3</v>
          </cell>
          <cell r="D111">
            <v>762</v>
          </cell>
          <cell r="E111">
            <v>0</v>
          </cell>
          <cell r="F111">
            <v>0</v>
          </cell>
          <cell r="G111">
            <v>5</v>
          </cell>
          <cell r="H111">
            <v>1392</v>
          </cell>
          <cell r="I111">
            <v>1</v>
          </cell>
          <cell r="J111">
            <v>110</v>
          </cell>
          <cell r="K111">
            <v>0</v>
          </cell>
          <cell r="L111">
            <v>0</v>
          </cell>
          <cell r="M111">
            <v>10</v>
          </cell>
          <cell r="N111">
            <v>1178</v>
          </cell>
          <cell r="O111">
            <v>0</v>
          </cell>
          <cell r="P111">
            <v>0</v>
          </cell>
          <cell r="Q111">
            <v>0</v>
          </cell>
          <cell r="R111">
            <v>0</v>
          </cell>
          <cell r="S111">
            <v>1</v>
          </cell>
          <cell r="T111">
            <v>45</v>
          </cell>
          <cell r="U111">
            <v>6</v>
          </cell>
          <cell r="V111">
            <v>522</v>
          </cell>
          <cell r="W111">
            <v>1</v>
          </cell>
          <cell r="X111">
            <v>74</v>
          </cell>
          <cell r="Y111">
            <v>29</v>
          </cell>
          <cell r="Z111">
            <v>2269</v>
          </cell>
          <cell r="AA111">
            <v>0</v>
          </cell>
          <cell r="AB111">
            <v>0</v>
          </cell>
          <cell r="AC111">
            <v>0</v>
          </cell>
          <cell r="AD111">
            <v>0</v>
          </cell>
          <cell r="AE111">
            <v>24</v>
          </cell>
          <cell r="AF111">
            <v>2217</v>
          </cell>
          <cell r="AG111">
            <v>0</v>
          </cell>
          <cell r="AH111">
            <v>0</v>
          </cell>
          <cell r="AI111">
            <v>0</v>
          </cell>
          <cell r="AJ111">
            <v>0</v>
          </cell>
          <cell r="AK111">
            <v>2</v>
          </cell>
          <cell r="AL111">
            <v>274</v>
          </cell>
          <cell r="AM111" t="str">
            <v>NASHVILLE, TN</v>
          </cell>
          <cell r="AN111">
            <v>16</v>
          </cell>
          <cell r="AO111">
            <v>4973</v>
          </cell>
          <cell r="AP111">
            <v>16</v>
          </cell>
          <cell r="AQ111">
            <v>4973</v>
          </cell>
          <cell r="AR111">
            <v>13</v>
          </cell>
          <cell r="AS111">
            <v>4211</v>
          </cell>
          <cell r="AT111">
            <v>21</v>
          </cell>
          <cell r="AU111">
            <v>2996</v>
          </cell>
          <cell r="AV111">
            <v>21</v>
          </cell>
          <cell r="AW111">
            <v>2996</v>
          </cell>
          <cell r="AX111">
            <v>20</v>
          </cell>
          <cell r="AY111">
            <v>2886</v>
          </cell>
          <cell r="AZ111">
            <v>35</v>
          </cell>
          <cell r="BA111">
            <v>5313</v>
          </cell>
          <cell r="BB111">
            <v>35</v>
          </cell>
          <cell r="BC111">
            <v>5313</v>
          </cell>
          <cell r="BD111">
            <v>35</v>
          </cell>
          <cell r="BE111">
            <v>5313</v>
          </cell>
          <cell r="BF111">
            <v>66</v>
          </cell>
          <cell r="BG111">
            <v>5971</v>
          </cell>
          <cell r="BH111">
            <v>65</v>
          </cell>
          <cell r="BI111">
            <v>5897</v>
          </cell>
          <cell r="BJ111">
            <v>59</v>
          </cell>
          <cell r="BK111">
            <v>5375</v>
          </cell>
          <cell r="BL111">
            <v>94</v>
          </cell>
          <cell r="BM111">
            <v>8500</v>
          </cell>
          <cell r="BN111">
            <v>94</v>
          </cell>
          <cell r="BO111">
            <v>8500</v>
          </cell>
          <cell r="BP111">
            <v>94</v>
          </cell>
          <cell r="BQ111">
            <v>8500</v>
          </cell>
          <cell r="BR111">
            <v>45</v>
          </cell>
          <cell r="BS111">
            <v>6003</v>
          </cell>
          <cell r="BT111">
            <v>45</v>
          </cell>
          <cell r="BU111">
            <v>6003</v>
          </cell>
          <cell r="BV111">
            <v>45</v>
          </cell>
          <cell r="BW111">
            <v>6003</v>
          </cell>
          <cell r="BX111">
            <v>1</v>
          </cell>
          <cell r="BY111">
            <v>330</v>
          </cell>
          <cell r="BZ111">
            <v>3</v>
          </cell>
          <cell r="CA111">
            <v>314</v>
          </cell>
          <cell r="CB111">
            <v>0</v>
          </cell>
          <cell r="CC111">
            <v>0</v>
          </cell>
          <cell r="CD111">
            <v>5</v>
          </cell>
          <cell r="CE111">
            <v>353</v>
          </cell>
          <cell r="CF111">
            <v>2</v>
          </cell>
          <cell r="CG111">
            <v>156</v>
          </cell>
          <cell r="CH111">
            <v>0</v>
          </cell>
          <cell r="CI111">
            <v>0</v>
          </cell>
        </row>
        <row r="112">
          <cell r="B112" t="str">
            <v>NEW ORLEANS, LA</v>
          </cell>
          <cell r="C112">
            <v>1</v>
          </cell>
          <cell r="D112">
            <v>280</v>
          </cell>
          <cell r="E112">
            <v>0</v>
          </cell>
          <cell r="F112">
            <v>0</v>
          </cell>
          <cell r="G112">
            <v>4</v>
          </cell>
          <cell r="H112">
            <v>1197</v>
          </cell>
          <cell r="I112">
            <v>1</v>
          </cell>
          <cell r="J112">
            <v>208</v>
          </cell>
          <cell r="K112">
            <v>0</v>
          </cell>
          <cell r="L112">
            <v>0</v>
          </cell>
          <cell r="M112">
            <v>8</v>
          </cell>
          <cell r="N112">
            <v>1414</v>
          </cell>
          <cell r="O112">
            <v>3</v>
          </cell>
          <cell r="P112">
            <v>320</v>
          </cell>
          <cell r="Q112">
            <v>1</v>
          </cell>
          <cell r="R112">
            <v>100</v>
          </cell>
          <cell r="S112">
            <v>11</v>
          </cell>
          <cell r="T112">
            <v>1057</v>
          </cell>
          <cell r="U112">
            <v>4</v>
          </cell>
          <cell r="V112">
            <v>253</v>
          </cell>
          <cell r="W112">
            <v>1</v>
          </cell>
          <cell r="X112">
            <v>68</v>
          </cell>
          <cell r="Y112">
            <v>18</v>
          </cell>
          <cell r="Z112">
            <v>1946</v>
          </cell>
          <cell r="AA112">
            <v>2</v>
          </cell>
          <cell r="AB112">
            <v>181</v>
          </cell>
          <cell r="AC112">
            <v>0</v>
          </cell>
          <cell r="AD112">
            <v>0</v>
          </cell>
          <cell r="AE112">
            <v>9</v>
          </cell>
          <cell r="AF112">
            <v>867</v>
          </cell>
          <cell r="AG112">
            <v>6</v>
          </cell>
          <cell r="AH112">
            <v>868</v>
          </cell>
          <cell r="AI112">
            <v>0</v>
          </cell>
          <cell r="AJ112">
            <v>0</v>
          </cell>
          <cell r="AK112">
            <v>13</v>
          </cell>
          <cell r="AL112">
            <v>1424</v>
          </cell>
          <cell r="AM112" t="str">
            <v>NEW ORLEANS, LA</v>
          </cell>
          <cell r="AN112">
            <v>23</v>
          </cell>
          <cell r="AO112">
            <v>11532</v>
          </cell>
          <cell r="AP112">
            <v>23</v>
          </cell>
          <cell r="AQ112">
            <v>11532</v>
          </cell>
          <cell r="AR112">
            <v>22</v>
          </cell>
          <cell r="AS112">
            <v>11252</v>
          </cell>
          <cell r="AT112">
            <v>13</v>
          </cell>
          <cell r="AU112">
            <v>3442</v>
          </cell>
          <cell r="AV112">
            <v>13</v>
          </cell>
          <cell r="AW112">
            <v>3442</v>
          </cell>
          <cell r="AX112">
            <v>12</v>
          </cell>
          <cell r="AY112">
            <v>3234</v>
          </cell>
          <cell r="AZ112">
            <v>39</v>
          </cell>
          <cell r="BA112">
            <v>5762</v>
          </cell>
          <cell r="BB112">
            <v>38</v>
          </cell>
          <cell r="BC112">
            <v>5662</v>
          </cell>
          <cell r="BD112">
            <v>35</v>
          </cell>
          <cell r="BE112">
            <v>5342</v>
          </cell>
          <cell r="BF112">
            <v>33</v>
          </cell>
          <cell r="BG112">
            <v>3893</v>
          </cell>
          <cell r="BH112">
            <v>32</v>
          </cell>
          <cell r="BI112">
            <v>3825</v>
          </cell>
          <cell r="BJ112">
            <v>28</v>
          </cell>
          <cell r="BK112">
            <v>3572</v>
          </cell>
          <cell r="BL112">
            <v>28</v>
          </cell>
          <cell r="BM112">
            <v>3377</v>
          </cell>
          <cell r="BN112">
            <v>28</v>
          </cell>
          <cell r="BO112">
            <v>3377</v>
          </cell>
          <cell r="BP112">
            <v>26</v>
          </cell>
          <cell r="BQ112">
            <v>3196</v>
          </cell>
          <cell r="BR112">
            <v>66</v>
          </cell>
          <cell r="BS112">
            <v>6993</v>
          </cell>
          <cell r="BT112">
            <v>66</v>
          </cell>
          <cell r="BU112">
            <v>6993</v>
          </cell>
          <cell r="BV112">
            <v>60</v>
          </cell>
          <cell r="BW112">
            <v>6125</v>
          </cell>
          <cell r="BX112">
            <v>2</v>
          </cell>
          <cell r="BY112">
            <v>545</v>
          </cell>
          <cell r="BZ112">
            <v>2</v>
          </cell>
          <cell r="CA112">
            <v>408</v>
          </cell>
          <cell r="CB112">
            <v>2</v>
          </cell>
          <cell r="CC112">
            <v>277</v>
          </cell>
          <cell r="CD112">
            <v>5</v>
          </cell>
          <cell r="CE112">
            <v>748</v>
          </cell>
          <cell r="CF112">
            <v>3</v>
          </cell>
          <cell r="CG112">
            <v>306</v>
          </cell>
          <cell r="CH112">
            <v>2</v>
          </cell>
          <cell r="CI112">
            <v>205</v>
          </cell>
        </row>
        <row r="113">
          <cell r="B113" t="str">
            <v>NEW YORK, NY</v>
          </cell>
          <cell r="C113">
            <v>1</v>
          </cell>
          <cell r="D113">
            <v>509</v>
          </cell>
          <cell r="E113">
            <v>1</v>
          </cell>
          <cell r="F113">
            <v>298</v>
          </cell>
          <cell r="G113">
            <v>9</v>
          </cell>
          <cell r="H113">
            <v>3093</v>
          </cell>
          <cell r="I113">
            <v>2</v>
          </cell>
          <cell r="J113">
            <v>314</v>
          </cell>
          <cell r="K113">
            <v>0</v>
          </cell>
          <cell r="L113">
            <v>0</v>
          </cell>
          <cell r="M113">
            <v>5</v>
          </cell>
          <cell r="N113">
            <v>989</v>
          </cell>
          <cell r="O113">
            <v>2</v>
          </cell>
          <cell r="P113">
            <v>327</v>
          </cell>
          <cell r="Q113">
            <v>1</v>
          </cell>
          <cell r="R113">
            <v>83</v>
          </cell>
          <cell r="S113">
            <v>6</v>
          </cell>
          <cell r="T113">
            <v>1159</v>
          </cell>
          <cell r="U113">
            <v>5</v>
          </cell>
          <cell r="V113">
            <v>549</v>
          </cell>
          <cell r="W113">
            <v>0</v>
          </cell>
          <cell r="X113">
            <v>0</v>
          </cell>
          <cell r="Y113">
            <v>7</v>
          </cell>
          <cell r="Z113">
            <v>694</v>
          </cell>
          <cell r="AA113">
            <v>2</v>
          </cell>
          <cell r="AB113">
            <v>163</v>
          </cell>
          <cell r="AC113">
            <v>0</v>
          </cell>
          <cell r="AD113">
            <v>0</v>
          </cell>
          <cell r="AE113">
            <v>5</v>
          </cell>
          <cell r="AF113">
            <v>512</v>
          </cell>
          <cell r="AG113">
            <v>4</v>
          </cell>
          <cell r="AH113">
            <v>415</v>
          </cell>
          <cell r="AI113">
            <v>0</v>
          </cell>
          <cell r="AJ113">
            <v>0</v>
          </cell>
          <cell r="AK113">
            <v>21</v>
          </cell>
          <cell r="AL113">
            <v>2698</v>
          </cell>
          <cell r="AM113" t="str">
            <v>NEW YORK, NY</v>
          </cell>
          <cell r="AN113">
            <v>51</v>
          </cell>
          <cell r="AO113">
            <v>27827</v>
          </cell>
          <cell r="AP113">
            <v>50</v>
          </cell>
          <cell r="AQ113">
            <v>27529</v>
          </cell>
          <cell r="AR113">
            <v>49</v>
          </cell>
          <cell r="AS113">
            <v>27020</v>
          </cell>
          <cell r="AT113">
            <v>18</v>
          </cell>
          <cell r="AU113">
            <v>5701</v>
          </cell>
          <cell r="AV113">
            <v>18</v>
          </cell>
          <cell r="AW113">
            <v>5701</v>
          </cell>
          <cell r="AX113">
            <v>16</v>
          </cell>
          <cell r="AY113">
            <v>5387</v>
          </cell>
          <cell r="AZ113">
            <v>37</v>
          </cell>
          <cell r="BA113">
            <v>9314</v>
          </cell>
          <cell r="BB113">
            <v>36</v>
          </cell>
          <cell r="BC113">
            <v>9231</v>
          </cell>
          <cell r="BD113">
            <v>34</v>
          </cell>
          <cell r="BE113">
            <v>8904</v>
          </cell>
          <cell r="BF113">
            <v>15</v>
          </cell>
          <cell r="BG113">
            <v>1459</v>
          </cell>
          <cell r="BH113">
            <v>15</v>
          </cell>
          <cell r="BI113">
            <v>1459</v>
          </cell>
          <cell r="BJ113">
            <v>10</v>
          </cell>
          <cell r="BK113">
            <v>910</v>
          </cell>
          <cell r="BL113">
            <v>11</v>
          </cell>
          <cell r="BM113">
            <v>1439</v>
          </cell>
          <cell r="BN113">
            <v>11</v>
          </cell>
          <cell r="BO113">
            <v>1439</v>
          </cell>
          <cell r="BP113">
            <v>9</v>
          </cell>
          <cell r="BQ113">
            <v>1276</v>
          </cell>
          <cell r="BR113">
            <v>163</v>
          </cell>
          <cell r="BS113">
            <v>30472</v>
          </cell>
          <cell r="BT113">
            <v>163</v>
          </cell>
          <cell r="BU113">
            <v>30472</v>
          </cell>
          <cell r="BV113">
            <v>159</v>
          </cell>
          <cell r="BW113">
            <v>30057</v>
          </cell>
          <cell r="BX113">
            <v>5</v>
          </cell>
          <cell r="BY113">
            <v>1725</v>
          </cell>
          <cell r="BZ113">
            <v>1</v>
          </cell>
          <cell r="CA113">
            <v>123</v>
          </cell>
          <cell r="CB113">
            <v>0</v>
          </cell>
          <cell r="CC113">
            <v>0</v>
          </cell>
          <cell r="CD113">
            <v>1</v>
          </cell>
          <cell r="CE113">
            <v>85</v>
          </cell>
          <cell r="CF113">
            <v>3</v>
          </cell>
          <cell r="CG113">
            <v>349</v>
          </cell>
          <cell r="CH113">
            <v>8</v>
          </cell>
          <cell r="CI113">
            <v>1333</v>
          </cell>
        </row>
        <row r="114">
          <cell r="B114" t="str">
            <v>NORFOLK-VIRGINIA BEACH, VA</v>
          </cell>
          <cell r="C114">
            <v>1</v>
          </cell>
          <cell r="D114">
            <v>250</v>
          </cell>
          <cell r="E114">
            <v>0</v>
          </cell>
          <cell r="F114">
            <v>0</v>
          </cell>
          <cell r="G114">
            <v>1</v>
          </cell>
          <cell r="H114">
            <v>250</v>
          </cell>
          <cell r="I114">
            <v>0</v>
          </cell>
          <cell r="J114">
            <v>0</v>
          </cell>
          <cell r="K114">
            <v>0</v>
          </cell>
          <cell r="L114">
            <v>0</v>
          </cell>
          <cell r="M114">
            <v>9</v>
          </cell>
          <cell r="N114">
            <v>920</v>
          </cell>
          <cell r="O114">
            <v>2</v>
          </cell>
          <cell r="P114">
            <v>295</v>
          </cell>
          <cell r="Q114">
            <v>0</v>
          </cell>
          <cell r="R114">
            <v>0</v>
          </cell>
          <cell r="S114">
            <v>3</v>
          </cell>
          <cell r="T114">
            <v>442</v>
          </cell>
          <cell r="U114">
            <v>1</v>
          </cell>
          <cell r="V114">
            <v>107</v>
          </cell>
          <cell r="W114">
            <v>0</v>
          </cell>
          <cell r="X114">
            <v>0</v>
          </cell>
          <cell r="Y114">
            <v>10</v>
          </cell>
          <cell r="Z114">
            <v>916</v>
          </cell>
          <cell r="AA114">
            <v>1</v>
          </cell>
          <cell r="AB114">
            <v>91</v>
          </cell>
          <cell r="AC114">
            <v>0</v>
          </cell>
          <cell r="AD114">
            <v>0</v>
          </cell>
          <cell r="AE114">
            <v>10</v>
          </cell>
          <cell r="AF114">
            <v>1003</v>
          </cell>
          <cell r="AG114">
            <v>1</v>
          </cell>
          <cell r="AH114">
            <v>300</v>
          </cell>
          <cell r="AI114">
            <v>1</v>
          </cell>
          <cell r="AJ114">
            <v>129</v>
          </cell>
          <cell r="AK114">
            <v>3</v>
          </cell>
          <cell r="AL114">
            <v>564</v>
          </cell>
          <cell r="AM114" t="str">
            <v>NORFOLK-VIRGINIA BEACH, VA</v>
          </cell>
          <cell r="AN114">
            <v>9</v>
          </cell>
          <cell r="AO114">
            <v>2489</v>
          </cell>
          <cell r="AP114">
            <v>9</v>
          </cell>
          <cell r="AQ114">
            <v>2489</v>
          </cell>
          <cell r="AR114">
            <v>8</v>
          </cell>
          <cell r="AS114">
            <v>2239</v>
          </cell>
          <cell r="AT114">
            <v>16</v>
          </cell>
          <cell r="AU114">
            <v>2133</v>
          </cell>
          <cell r="AV114">
            <v>16</v>
          </cell>
          <cell r="AW114">
            <v>2133</v>
          </cell>
          <cell r="AX114">
            <v>16</v>
          </cell>
          <cell r="AY114">
            <v>2133</v>
          </cell>
          <cell r="AZ114">
            <v>52</v>
          </cell>
          <cell r="BA114">
            <v>7807</v>
          </cell>
          <cell r="BB114">
            <v>52</v>
          </cell>
          <cell r="BC114">
            <v>7807</v>
          </cell>
          <cell r="BD114">
            <v>50</v>
          </cell>
          <cell r="BE114">
            <v>7512</v>
          </cell>
          <cell r="BF114">
            <v>44</v>
          </cell>
          <cell r="BG114">
            <v>4524</v>
          </cell>
          <cell r="BH114">
            <v>44</v>
          </cell>
          <cell r="BI114">
            <v>4524</v>
          </cell>
          <cell r="BJ114">
            <v>43</v>
          </cell>
          <cell r="BK114">
            <v>4417</v>
          </cell>
          <cell r="BL114">
            <v>90</v>
          </cell>
          <cell r="BM114">
            <v>7967</v>
          </cell>
          <cell r="BN114">
            <v>90</v>
          </cell>
          <cell r="BO114">
            <v>7967</v>
          </cell>
          <cell r="BP114">
            <v>89</v>
          </cell>
          <cell r="BQ114">
            <v>7876</v>
          </cell>
          <cell r="BR114">
            <v>118</v>
          </cell>
          <cell r="BS114">
            <v>10095</v>
          </cell>
          <cell r="BT114">
            <v>117</v>
          </cell>
          <cell r="BU114">
            <v>9966</v>
          </cell>
          <cell r="BV114">
            <v>116</v>
          </cell>
          <cell r="BW114">
            <v>9666</v>
          </cell>
          <cell r="BX114">
            <v>0</v>
          </cell>
          <cell r="BY114">
            <v>0</v>
          </cell>
          <cell r="BZ114">
            <v>3</v>
          </cell>
          <cell r="CA114">
            <v>309</v>
          </cell>
          <cell r="CB114">
            <v>1</v>
          </cell>
          <cell r="CC114">
            <v>147</v>
          </cell>
          <cell r="CD114">
            <v>2</v>
          </cell>
          <cell r="CE114">
            <v>144</v>
          </cell>
          <cell r="CF114">
            <v>2</v>
          </cell>
          <cell r="CG114">
            <v>206</v>
          </cell>
          <cell r="CH114">
            <v>1</v>
          </cell>
          <cell r="CI114">
            <v>135</v>
          </cell>
        </row>
        <row r="115">
          <cell r="B115" t="str">
            <v>OAHU ISLAND</v>
          </cell>
          <cell r="C115">
            <v>1</v>
          </cell>
          <cell r="D115">
            <v>453</v>
          </cell>
          <cell r="E115">
            <v>0</v>
          </cell>
          <cell r="F115">
            <v>0</v>
          </cell>
          <cell r="G115">
            <v>1</v>
          </cell>
          <cell r="H115">
            <v>453</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1</v>
          </cell>
          <cell r="AF115">
            <v>48</v>
          </cell>
          <cell r="AG115">
            <v>0</v>
          </cell>
          <cell r="AH115">
            <v>0</v>
          </cell>
          <cell r="AI115">
            <v>0</v>
          </cell>
          <cell r="AJ115">
            <v>0</v>
          </cell>
          <cell r="AK115">
            <v>0</v>
          </cell>
          <cell r="AL115">
            <v>0</v>
          </cell>
          <cell r="AM115" t="str">
            <v>OAHU ISLAND</v>
          </cell>
          <cell r="AN115">
            <v>15</v>
          </cell>
          <cell r="AO115">
            <v>12435</v>
          </cell>
          <cell r="AP115">
            <v>15</v>
          </cell>
          <cell r="AQ115">
            <v>12435</v>
          </cell>
          <cell r="AR115">
            <v>14</v>
          </cell>
          <cell r="AS115">
            <v>11982</v>
          </cell>
          <cell r="AT115">
            <v>11</v>
          </cell>
          <cell r="AU115">
            <v>2255</v>
          </cell>
          <cell r="AV115">
            <v>11</v>
          </cell>
          <cell r="AW115">
            <v>2255</v>
          </cell>
          <cell r="AX115">
            <v>11</v>
          </cell>
          <cell r="AY115">
            <v>2255</v>
          </cell>
          <cell r="AZ115">
            <v>26</v>
          </cell>
          <cell r="BA115">
            <v>10218</v>
          </cell>
          <cell r="BB115">
            <v>26</v>
          </cell>
          <cell r="BC115">
            <v>10218</v>
          </cell>
          <cell r="BD115">
            <v>26</v>
          </cell>
          <cell r="BE115">
            <v>10218</v>
          </cell>
          <cell r="BF115">
            <v>1</v>
          </cell>
          <cell r="BG115">
            <v>100</v>
          </cell>
          <cell r="BH115">
            <v>1</v>
          </cell>
          <cell r="BI115">
            <v>100</v>
          </cell>
          <cell r="BJ115">
            <v>1</v>
          </cell>
          <cell r="BK115">
            <v>100</v>
          </cell>
          <cell r="BL115">
            <v>1</v>
          </cell>
          <cell r="BM115">
            <v>48</v>
          </cell>
          <cell r="BN115">
            <v>1</v>
          </cell>
          <cell r="BO115">
            <v>48</v>
          </cell>
          <cell r="BP115">
            <v>1</v>
          </cell>
          <cell r="BQ115">
            <v>48</v>
          </cell>
          <cell r="BR115">
            <v>53</v>
          </cell>
          <cell r="BS115">
            <v>11450</v>
          </cell>
          <cell r="BT115">
            <v>53</v>
          </cell>
          <cell r="BU115">
            <v>11450</v>
          </cell>
          <cell r="BV115">
            <v>53</v>
          </cell>
          <cell r="BW115">
            <v>11450</v>
          </cell>
          <cell r="BX115">
            <v>0</v>
          </cell>
          <cell r="BY115">
            <v>0</v>
          </cell>
          <cell r="BZ115">
            <v>0</v>
          </cell>
          <cell r="CA115">
            <v>0</v>
          </cell>
          <cell r="CB115">
            <v>0</v>
          </cell>
          <cell r="CC115">
            <v>0</v>
          </cell>
          <cell r="CD115">
            <v>0</v>
          </cell>
          <cell r="CE115">
            <v>0</v>
          </cell>
          <cell r="CF115">
            <v>0</v>
          </cell>
          <cell r="CG115">
            <v>0</v>
          </cell>
          <cell r="CH115">
            <v>0</v>
          </cell>
          <cell r="CI115">
            <v>0</v>
          </cell>
        </row>
        <row r="116">
          <cell r="B116" t="str">
            <v>ORLANDO, FL</v>
          </cell>
          <cell r="C116">
            <v>2</v>
          </cell>
          <cell r="D116">
            <v>900</v>
          </cell>
          <cell r="E116">
            <v>0</v>
          </cell>
          <cell r="F116">
            <v>0</v>
          </cell>
          <cell r="G116">
            <v>7</v>
          </cell>
          <cell r="H116">
            <v>2447</v>
          </cell>
          <cell r="I116">
            <v>3</v>
          </cell>
          <cell r="J116">
            <v>565</v>
          </cell>
          <cell r="K116">
            <v>1</v>
          </cell>
          <cell r="L116">
            <v>350</v>
          </cell>
          <cell r="M116">
            <v>29</v>
          </cell>
          <cell r="N116">
            <v>4787</v>
          </cell>
          <cell r="O116">
            <v>1</v>
          </cell>
          <cell r="P116">
            <v>150</v>
          </cell>
          <cell r="Q116">
            <v>0</v>
          </cell>
          <cell r="R116">
            <v>0</v>
          </cell>
          <cell r="S116">
            <v>5</v>
          </cell>
          <cell r="T116">
            <v>1361</v>
          </cell>
          <cell r="U116">
            <v>5</v>
          </cell>
          <cell r="V116">
            <v>653</v>
          </cell>
          <cell r="W116">
            <v>0</v>
          </cell>
          <cell r="X116">
            <v>0</v>
          </cell>
          <cell r="Y116">
            <v>32</v>
          </cell>
          <cell r="Z116">
            <v>4370</v>
          </cell>
          <cell r="AA116">
            <v>1</v>
          </cell>
          <cell r="AB116">
            <v>83</v>
          </cell>
          <cell r="AC116">
            <v>0</v>
          </cell>
          <cell r="AD116">
            <v>0</v>
          </cell>
          <cell r="AE116">
            <v>20</v>
          </cell>
          <cell r="AF116">
            <v>2276</v>
          </cell>
          <cell r="AG116">
            <v>1</v>
          </cell>
          <cell r="AH116">
            <v>1293</v>
          </cell>
          <cell r="AI116">
            <v>1</v>
          </cell>
          <cell r="AJ116">
            <v>1406</v>
          </cell>
          <cell r="AK116">
            <v>8</v>
          </cell>
          <cell r="AL116">
            <v>7210</v>
          </cell>
          <cell r="AM116" t="str">
            <v>ORLANDO, FL</v>
          </cell>
          <cell r="AN116">
            <v>36</v>
          </cell>
          <cell r="AO116">
            <v>18235</v>
          </cell>
          <cell r="AP116">
            <v>36</v>
          </cell>
          <cell r="AQ116">
            <v>18235</v>
          </cell>
          <cell r="AR116">
            <v>34</v>
          </cell>
          <cell r="AS116">
            <v>17335</v>
          </cell>
          <cell r="AT116">
            <v>48</v>
          </cell>
          <cell r="AU116">
            <v>10399</v>
          </cell>
          <cell r="AV116">
            <v>47</v>
          </cell>
          <cell r="AW116">
            <v>10049</v>
          </cell>
          <cell r="AX116">
            <v>44</v>
          </cell>
          <cell r="AY116">
            <v>9484</v>
          </cell>
          <cell r="AZ116">
            <v>71</v>
          </cell>
          <cell r="BA116">
            <v>21188</v>
          </cell>
          <cell r="BB116">
            <v>71</v>
          </cell>
          <cell r="BC116">
            <v>21188</v>
          </cell>
          <cell r="BD116">
            <v>70</v>
          </cell>
          <cell r="BE116">
            <v>21038</v>
          </cell>
          <cell r="BF116">
            <v>60</v>
          </cell>
          <cell r="BG116">
            <v>9309</v>
          </cell>
          <cell r="BH116">
            <v>60</v>
          </cell>
          <cell r="BI116">
            <v>9309</v>
          </cell>
          <cell r="BJ116">
            <v>55</v>
          </cell>
          <cell r="BK116">
            <v>8656</v>
          </cell>
          <cell r="BL116">
            <v>105</v>
          </cell>
          <cell r="BM116">
            <v>17409</v>
          </cell>
          <cell r="BN116">
            <v>105</v>
          </cell>
          <cell r="BO116">
            <v>17409</v>
          </cell>
          <cell r="BP116">
            <v>104</v>
          </cell>
          <cell r="BQ116">
            <v>17326</v>
          </cell>
          <cell r="BR116">
            <v>113</v>
          </cell>
          <cell r="BS116">
            <v>43042</v>
          </cell>
          <cell r="BT116">
            <v>112</v>
          </cell>
          <cell r="BU116">
            <v>41636</v>
          </cell>
          <cell r="BV116">
            <v>111</v>
          </cell>
          <cell r="BW116">
            <v>40343</v>
          </cell>
          <cell r="BX116">
            <v>3</v>
          </cell>
          <cell r="BY116">
            <v>723</v>
          </cell>
          <cell r="BZ116">
            <v>9</v>
          </cell>
          <cell r="CA116">
            <v>1573</v>
          </cell>
          <cell r="CB116">
            <v>1</v>
          </cell>
          <cell r="CC116">
            <v>95</v>
          </cell>
          <cell r="CD116">
            <v>5</v>
          </cell>
          <cell r="CE116">
            <v>913</v>
          </cell>
          <cell r="CF116">
            <v>2</v>
          </cell>
          <cell r="CG116">
            <v>198</v>
          </cell>
          <cell r="CH116">
            <v>0</v>
          </cell>
          <cell r="CI116">
            <v>0</v>
          </cell>
        </row>
        <row r="117">
          <cell r="B117" t="str">
            <v>PHILADELPHIA, PA-NJ</v>
          </cell>
          <cell r="C117">
            <v>0</v>
          </cell>
          <cell r="D117">
            <v>0</v>
          </cell>
          <cell r="E117">
            <v>0</v>
          </cell>
          <cell r="F117">
            <v>0</v>
          </cell>
          <cell r="G117">
            <v>7</v>
          </cell>
          <cell r="H117">
            <v>2103</v>
          </cell>
          <cell r="I117">
            <v>4</v>
          </cell>
          <cell r="J117">
            <v>555</v>
          </cell>
          <cell r="K117">
            <v>2</v>
          </cell>
          <cell r="L117">
            <v>325</v>
          </cell>
          <cell r="M117">
            <v>14</v>
          </cell>
          <cell r="N117">
            <v>2679</v>
          </cell>
          <cell r="O117">
            <v>0</v>
          </cell>
          <cell r="P117">
            <v>0</v>
          </cell>
          <cell r="Q117">
            <v>0</v>
          </cell>
          <cell r="R117">
            <v>0</v>
          </cell>
          <cell r="S117">
            <v>1</v>
          </cell>
          <cell r="T117">
            <v>25</v>
          </cell>
          <cell r="U117">
            <v>3</v>
          </cell>
          <cell r="V117">
            <v>407</v>
          </cell>
          <cell r="W117">
            <v>1</v>
          </cell>
          <cell r="X117">
            <v>64</v>
          </cell>
          <cell r="Y117">
            <v>25</v>
          </cell>
          <cell r="Z117">
            <v>2559</v>
          </cell>
          <cell r="AA117">
            <v>1</v>
          </cell>
          <cell r="AB117">
            <v>116</v>
          </cell>
          <cell r="AC117">
            <v>0</v>
          </cell>
          <cell r="AD117">
            <v>0</v>
          </cell>
          <cell r="AE117">
            <v>16</v>
          </cell>
          <cell r="AF117">
            <v>1667</v>
          </cell>
          <cell r="AG117">
            <v>1</v>
          </cell>
          <cell r="AH117">
            <v>24</v>
          </cell>
          <cell r="AI117">
            <v>0</v>
          </cell>
          <cell r="AJ117">
            <v>0</v>
          </cell>
          <cell r="AK117">
            <v>2</v>
          </cell>
          <cell r="AL117">
            <v>262</v>
          </cell>
          <cell r="AM117" t="str">
            <v>PHILADELPHIA, PA-NJ</v>
          </cell>
          <cell r="AN117">
            <v>34</v>
          </cell>
          <cell r="AO117">
            <v>11059</v>
          </cell>
          <cell r="AP117">
            <v>34</v>
          </cell>
          <cell r="AQ117">
            <v>11059</v>
          </cell>
          <cell r="AR117">
            <v>34</v>
          </cell>
          <cell r="AS117">
            <v>11059</v>
          </cell>
          <cell r="AT117">
            <v>31</v>
          </cell>
          <cell r="AU117">
            <v>6591</v>
          </cell>
          <cell r="AV117">
            <v>29</v>
          </cell>
          <cell r="AW117">
            <v>6266</v>
          </cell>
          <cell r="AX117">
            <v>25</v>
          </cell>
          <cell r="AY117">
            <v>5711</v>
          </cell>
          <cell r="AZ117">
            <v>40</v>
          </cell>
          <cell r="BA117">
            <v>6249</v>
          </cell>
          <cell r="BB117">
            <v>40</v>
          </cell>
          <cell r="BC117">
            <v>6249</v>
          </cell>
          <cell r="BD117">
            <v>40</v>
          </cell>
          <cell r="BE117">
            <v>6249</v>
          </cell>
          <cell r="BF117">
            <v>43</v>
          </cell>
          <cell r="BG117">
            <v>4889</v>
          </cell>
          <cell r="BH117">
            <v>42</v>
          </cell>
          <cell r="BI117">
            <v>4825</v>
          </cell>
          <cell r="BJ117">
            <v>39</v>
          </cell>
          <cell r="BK117">
            <v>4418</v>
          </cell>
          <cell r="BL117">
            <v>59</v>
          </cell>
          <cell r="BM117">
            <v>5457</v>
          </cell>
          <cell r="BN117">
            <v>59</v>
          </cell>
          <cell r="BO117">
            <v>5457</v>
          </cell>
          <cell r="BP117">
            <v>58</v>
          </cell>
          <cell r="BQ117">
            <v>5341</v>
          </cell>
          <cell r="BR117">
            <v>70</v>
          </cell>
          <cell r="BS117">
            <v>5990</v>
          </cell>
          <cell r="BT117">
            <v>70</v>
          </cell>
          <cell r="BU117">
            <v>5990</v>
          </cell>
          <cell r="BV117">
            <v>69</v>
          </cell>
          <cell r="BW117">
            <v>5966</v>
          </cell>
          <cell r="BX117">
            <v>5</v>
          </cell>
          <cell r="BY117">
            <v>1700</v>
          </cell>
          <cell r="BZ117">
            <v>4</v>
          </cell>
          <cell r="CA117">
            <v>727</v>
          </cell>
          <cell r="CB117">
            <v>0</v>
          </cell>
          <cell r="CC117">
            <v>0</v>
          </cell>
          <cell r="CD117">
            <v>3</v>
          </cell>
          <cell r="CE117">
            <v>207</v>
          </cell>
          <cell r="CF117">
            <v>1</v>
          </cell>
          <cell r="CG117">
            <v>69</v>
          </cell>
          <cell r="CH117">
            <v>0</v>
          </cell>
          <cell r="CI117">
            <v>0</v>
          </cell>
        </row>
        <row r="118">
          <cell r="B118" t="str">
            <v>PHOENIX, AZ</v>
          </cell>
          <cell r="C118">
            <v>0</v>
          </cell>
          <cell r="D118">
            <v>0</v>
          </cell>
          <cell r="E118">
            <v>0</v>
          </cell>
          <cell r="F118">
            <v>0</v>
          </cell>
          <cell r="G118">
            <v>5</v>
          </cell>
          <cell r="H118">
            <v>1266</v>
          </cell>
          <cell r="I118">
            <v>0</v>
          </cell>
          <cell r="J118">
            <v>0</v>
          </cell>
          <cell r="K118">
            <v>0</v>
          </cell>
          <cell r="L118">
            <v>0</v>
          </cell>
          <cell r="M118">
            <v>26</v>
          </cell>
          <cell r="N118">
            <v>3322</v>
          </cell>
          <cell r="O118">
            <v>0</v>
          </cell>
          <cell r="P118">
            <v>0</v>
          </cell>
          <cell r="Q118">
            <v>0</v>
          </cell>
          <cell r="R118">
            <v>0</v>
          </cell>
          <cell r="S118">
            <v>4</v>
          </cell>
          <cell r="T118">
            <v>389</v>
          </cell>
          <cell r="U118">
            <v>2</v>
          </cell>
          <cell r="V118">
            <v>174</v>
          </cell>
          <cell r="W118">
            <v>1</v>
          </cell>
          <cell r="X118">
            <v>107</v>
          </cell>
          <cell r="Y118">
            <v>36</v>
          </cell>
          <cell r="Z118">
            <v>3764</v>
          </cell>
          <cell r="AA118">
            <v>2</v>
          </cell>
          <cell r="AB118">
            <v>242</v>
          </cell>
          <cell r="AC118">
            <v>0</v>
          </cell>
          <cell r="AD118">
            <v>0</v>
          </cell>
          <cell r="AE118">
            <v>26</v>
          </cell>
          <cell r="AF118">
            <v>2683</v>
          </cell>
          <cell r="AG118">
            <v>1</v>
          </cell>
          <cell r="AH118">
            <v>82</v>
          </cell>
          <cell r="AI118">
            <v>0</v>
          </cell>
          <cell r="AJ118">
            <v>0</v>
          </cell>
          <cell r="AK118">
            <v>8</v>
          </cell>
          <cell r="AL118">
            <v>1427</v>
          </cell>
          <cell r="AM118" t="str">
            <v>PHOENIX, AZ</v>
          </cell>
          <cell r="AN118">
            <v>34</v>
          </cell>
          <cell r="AO118">
            <v>10681</v>
          </cell>
          <cell r="AP118">
            <v>34</v>
          </cell>
          <cell r="AQ118">
            <v>10681</v>
          </cell>
          <cell r="AR118">
            <v>34</v>
          </cell>
          <cell r="AS118">
            <v>10681</v>
          </cell>
          <cell r="AT118">
            <v>43</v>
          </cell>
          <cell r="AU118">
            <v>6293</v>
          </cell>
          <cell r="AV118">
            <v>43</v>
          </cell>
          <cell r="AW118">
            <v>6293</v>
          </cell>
          <cell r="AX118">
            <v>43</v>
          </cell>
          <cell r="AY118">
            <v>6293</v>
          </cell>
          <cell r="AZ118">
            <v>43</v>
          </cell>
          <cell r="BA118">
            <v>5756</v>
          </cell>
          <cell r="BB118">
            <v>43</v>
          </cell>
          <cell r="BC118">
            <v>5756</v>
          </cell>
          <cell r="BD118">
            <v>43</v>
          </cell>
          <cell r="BE118">
            <v>5756</v>
          </cell>
          <cell r="BF118">
            <v>73</v>
          </cell>
          <cell r="BG118">
            <v>8179</v>
          </cell>
          <cell r="BH118">
            <v>72</v>
          </cell>
          <cell r="BI118">
            <v>8072</v>
          </cell>
          <cell r="BJ118">
            <v>70</v>
          </cell>
          <cell r="BK118">
            <v>7898</v>
          </cell>
          <cell r="BL118">
            <v>85</v>
          </cell>
          <cell r="BM118">
            <v>9336</v>
          </cell>
          <cell r="BN118">
            <v>85</v>
          </cell>
          <cell r="BO118">
            <v>9336</v>
          </cell>
          <cell r="BP118">
            <v>83</v>
          </cell>
          <cell r="BQ118">
            <v>9094</v>
          </cell>
          <cell r="BR118">
            <v>73</v>
          </cell>
          <cell r="BS118">
            <v>11316</v>
          </cell>
          <cell r="BT118">
            <v>73</v>
          </cell>
          <cell r="BU118">
            <v>11316</v>
          </cell>
          <cell r="BV118">
            <v>72</v>
          </cell>
          <cell r="BW118">
            <v>11234</v>
          </cell>
          <cell r="BX118">
            <v>1</v>
          </cell>
          <cell r="BY118">
            <v>277</v>
          </cell>
          <cell r="BZ118">
            <v>7</v>
          </cell>
          <cell r="CA118">
            <v>838</v>
          </cell>
          <cell r="CB118">
            <v>0</v>
          </cell>
          <cell r="CC118">
            <v>0</v>
          </cell>
          <cell r="CD118">
            <v>3</v>
          </cell>
          <cell r="CE118">
            <v>496</v>
          </cell>
          <cell r="CF118">
            <v>0</v>
          </cell>
          <cell r="CG118">
            <v>0</v>
          </cell>
          <cell r="CH118">
            <v>1</v>
          </cell>
          <cell r="CI118">
            <v>32</v>
          </cell>
        </row>
        <row r="119">
          <cell r="B119" t="str">
            <v>SAINT LOUIS, MO-IL</v>
          </cell>
          <cell r="C119">
            <v>2</v>
          </cell>
          <cell r="D119">
            <v>545</v>
          </cell>
          <cell r="E119">
            <v>0</v>
          </cell>
          <cell r="F119">
            <v>0</v>
          </cell>
          <cell r="G119">
            <v>3</v>
          </cell>
          <cell r="H119">
            <v>720</v>
          </cell>
          <cell r="I119">
            <v>0</v>
          </cell>
          <cell r="J119">
            <v>0</v>
          </cell>
          <cell r="K119">
            <v>0</v>
          </cell>
          <cell r="L119">
            <v>0</v>
          </cell>
          <cell r="M119">
            <v>5</v>
          </cell>
          <cell r="N119">
            <v>601</v>
          </cell>
          <cell r="O119">
            <v>0</v>
          </cell>
          <cell r="P119">
            <v>0</v>
          </cell>
          <cell r="Q119">
            <v>0</v>
          </cell>
          <cell r="R119">
            <v>0</v>
          </cell>
          <cell r="S119">
            <v>3</v>
          </cell>
          <cell r="T119">
            <v>349</v>
          </cell>
          <cell r="U119">
            <v>3</v>
          </cell>
          <cell r="V119">
            <v>226</v>
          </cell>
          <cell r="W119">
            <v>0</v>
          </cell>
          <cell r="X119">
            <v>0</v>
          </cell>
          <cell r="Y119">
            <v>23</v>
          </cell>
          <cell r="Z119">
            <v>2334</v>
          </cell>
          <cell r="AA119">
            <v>1</v>
          </cell>
          <cell r="AB119">
            <v>65</v>
          </cell>
          <cell r="AC119">
            <v>0</v>
          </cell>
          <cell r="AD119">
            <v>0</v>
          </cell>
          <cell r="AE119">
            <v>22</v>
          </cell>
          <cell r="AF119">
            <v>1806</v>
          </cell>
          <cell r="AG119">
            <v>1</v>
          </cell>
          <cell r="AH119">
            <v>61</v>
          </cell>
          <cell r="AI119">
            <v>0</v>
          </cell>
          <cell r="AJ119">
            <v>0</v>
          </cell>
          <cell r="AK119">
            <v>4</v>
          </cell>
          <cell r="AL119">
            <v>600</v>
          </cell>
          <cell r="AM119" t="str">
            <v>SAINT LOUIS, MO-IL</v>
          </cell>
          <cell r="AN119">
            <v>19</v>
          </cell>
          <cell r="AO119">
            <v>5609</v>
          </cell>
          <cell r="AP119">
            <v>19</v>
          </cell>
          <cell r="AQ119">
            <v>5609</v>
          </cell>
          <cell r="AR119">
            <v>17</v>
          </cell>
          <cell r="AS119">
            <v>5064</v>
          </cell>
          <cell r="AT119">
            <v>17</v>
          </cell>
          <cell r="AU119">
            <v>3563</v>
          </cell>
          <cell r="AV119">
            <v>17</v>
          </cell>
          <cell r="AW119">
            <v>3563</v>
          </cell>
          <cell r="AX119">
            <v>17</v>
          </cell>
          <cell r="AY119">
            <v>3563</v>
          </cell>
          <cell r="AZ119">
            <v>38</v>
          </cell>
          <cell r="BA119">
            <v>6590</v>
          </cell>
          <cell r="BB119">
            <v>38</v>
          </cell>
          <cell r="BC119">
            <v>6590</v>
          </cell>
          <cell r="BD119">
            <v>38</v>
          </cell>
          <cell r="BE119">
            <v>6590</v>
          </cell>
          <cell r="BF119">
            <v>55</v>
          </cell>
          <cell r="BG119">
            <v>5969</v>
          </cell>
          <cell r="BH119">
            <v>55</v>
          </cell>
          <cell r="BI119">
            <v>5969</v>
          </cell>
          <cell r="BJ119">
            <v>52</v>
          </cell>
          <cell r="BK119">
            <v>5743</v>
          </cell>
          <cell r="BL119">
            <v>83</v>
          </cell>
          <cell r="BM119">
            <v>7076</v>
          </cell>
          <cell r="BN119">
            <v>83</v>
          </cell>
          <cell r="BO119">
            <v>7076</v>
          </cell>
          <cell r="BP119">
            <v>82</v>
          </cell>
          <cell r="BQ119">
            <v>7011</v>
          </cell>
          <cell r="BR119">
            <v>28</v>
          </cell>
          <cell r="BS119">
            <v>3048</v>
          </cell>
          <cell r="BT119">
            <v>28</v>
          </cell>
          <cell r="BU119">
            <v>3048</v>
          </cell>
          <cell r="BV119">
            <v>27</v>
          </cell>
          <cell r="BW119">
            <v>2987</v>
          </cell>
          <cell r="BX119">
            <v>1</v>
          </cell>
          <cell r="BY119">
            <v>175</v>
          </cell>
          <cell r="BZ119">
            <v>1</v>
          </cell>
          <cell r="CA119">
            <v>145</v>
          </cell>
          <cell r="CB119">
            <v>0</v>
          </cell>
          <cell r="CC119">
            <v>0</v>
          </cell>
          <cell r="CD119">
            <v>2</v>
          </cell>
          <cell r="CE119">
            <v>482</v>
          </cell>
          <cell r="CF119">
            <v>4</v>
          </cell>
          <cell r="CG119">
            <v>235</v>
          </cell>
          <cell r="CH119">
            <v>2</v>
          </cell>
          <cell r="CI119">
            <v>248</v>
          </cell>
        </row>
        <row r="120">
          <cell r="B120" t="str">
            <v>SAN DIEGO, CA</v>
          </cell>
          <cell r="C120">
            <v>1</v>
          </cell>
          <cell r="D120">
            <v>30</v>
          </cell>
          <cell r="E120">
            <v>1</v>
          </cell>
          <cell r="F120">
            <v>284</v>
          </cell>
          <cell r="G120">
            <v>4</v>
          </cell>
          <cell r="H120">
            <v>1137</v>
          </cell>
          <cell r="I120">
            <v>0</v>
          </cell>
          <cell r="J120">
            <v>0</v>
          </cell>
          <cell r="K120">
            <v>1</v>
          </cell>
          <cell r="L120">
            <v>245</v>
          </cell>
          <cell r="M120">
            <v>9</v>
          </cell>
          <cell r="N120">
            <v>1396</v>
          </cell>
          <cell r="O120">
            <v>0</v>
          </cell>
          <cell r="P120">
            <v>0</v>
          </cell>
          <cell r="Q120">
            <v>0</v>
          </cell>
          <cell r="R120">
            <v>0</v>
          </cell>
          <cell r="S120">
            <v>4</v>
          </cell>
          <cell r="T120">
            <v>280</v>
          </cell>
          <cell r="U120">
            <v>2</v>
          </cell>
          <cell r="V120">
            <v>247</v>
          </cell>
          <cell r="W120">
            <v>2</v>
          </cell>
          <cell r="X120">
            <v>248</v>
          </cell>
          <cell r="Y120">
            <v>8</v>
          </cell>
          <cell r="Z120">
            <v>842</v>
          </cell>
          <cell r="AA120">
            <v>0</v>
          </cell>
          <cell r="AB120">
            <v>0</v>
          </cell>
          <cell r="AC120">
            <v>0</v>
          </cell>
          <cell r="AD120">
            <v>0</v>
          </cell>
          <cell r="AE120">
            <v>4</v>
          </cell>
          <cell r="AF120">
            <v>559</v>
          </cell>
          <cell r="AG120">
            <v>1</v>
          </cell>
          <cell r="AH120">
            <v>150</v>
          </cell>
          <cell r="AI120">
            <v>0</v>
          </cell>
          <cell r="AJ120">
            <v>0</v>
          </cell>
          <cell r="AK120">
            <v>2</v>
          </cell>
          <cell r="AL120">
            <v>240</v>
          </cell>
          <cell r="AM120" t="str">
            <v>SAN DIEGO, CA</v>
          </cell>
          <cell r="AN120">
            <v>28</v>
          </cell>
          <cell r="AO120">
            <v>10728</v>
          </cell>
          <cell r="AP120">
            <v>27</v>
          </cell>
          <cell r="AQ120">
            <v>10444</v>
          </cell>
          <cell r="AR120">
            <v>26</v>
          </cell>
          <cell r="AS120">
            <v>10414</v>
          </cell>
          <cell r="AT120">
            <v>22</v>
          </cell>
          <cell r="AU120">
            <v>4064</v>
          </cell>
          <cell r="AV120">
            <v>21</v>
          </cell>
          <cell r="AW120">
            <v>3819</v>
          </cell>
          <cell r="AX120">
            <v>21</v>
          </cell>
          <cell r="AY120">
            <v>3819</v>
          </cell>
          <cell r="AZ120">
            <v>58</v>
          </cell>
          <cell r="BA120">
            <v>7972</v>
          </cell>
          <cell r="BB120">
            <v>58</v>
          </cell>
          <cell r="BC120">
            <v>7972</v>
          </cell>
          <cell r="BD120">
            <v>58</v>
          </cell>
          <cell r="BE120">
            <v>7972</v>
          </cell>
          <cell r="BF120">
            <v>31</v>
          </cell>
          <cell r="BG120">
            <v>3437</v>
          </cell>
          <cell r="BH120">
            <v>29</v>
          </cell>
          <cell r="BI120">
            <v>3189</v>
          </cell>
          <cell r="BJ120">
            <v>27</v>
          </cell>
          <cell r="BK120">
            <v>2942</v>
          </cell>
          <cell r="BL120">
            <v>101</v>
          </cell>
          <cell r="BM120">
            <v>8771</v>
          </cell>
          <cell r="BN120">
            <v>101</v>
          </cell>
          <cell r="BO120">
            <v>8771</v>
          </cell>
          <cell r="BP120">
            <v>101</v>
          </cell>
          <cell r="BQ120">
            <v>8771</v>
          </cell>
          <cell r="BR120">
            <v>188</v>
          </cell>
          <cell r="BS120">
            <v>17455</v>
          </cell>
          <cell r="BT120">
            <v>188</v>
          </cell>
          <cell r="BU120">
            <v>17455</v>
          </cell>
          <cell r="BV120">
            <v>187</v>
          </cell>
          <cell r="BW120">
            <v>17305</v>
          </cell>
          <cell r="BX120">
            <v>1</v>
          </cell>
          <cell r="BY120">
            <v>252</v>
          </cell>
          <cell r="BZ120">
            <v>2</v>
          </cell>
          <cell r="CA120">
            <v>307</v>
          </cell>
          <cell r="CB120">
            <v>2</v>
          </cell>
          <cell r="CC120">
            <v>159</v>
          </cell>
          <cell r="CD120">
            <v>4</v>
          </cell>
          <cell r="CE120">
            <v>347</v>
          </cell>
          <cell r="CF120">
            <v>0</v>
          </cell>
          <cell r="CG120">
            <v>0</v>
          </cell>
          <cell r="CH120">
            <v>0</v>
          </cell>
          <cell r="CI120">
            <v>0</v>
          </cell>
        </row>
        <row r="121">
          <cell r="B121" t="str">
            <v>SAN FRANCISCO/SAN MATEO</v>
          </cell>
          <cell r="C121">
            <v>2</v>
          </cell>
          <cell r="D121">
            <v>538</v>
          </cell>
          <cell r="E121">
            <v>1</v>
          </cell>
          <cell r="F121">
            <v>362</v>
          </cell>
          <cell r="G121">
            <v>5</v>
          </cell>
          <cell r="H121">
            <v>1486</v>
          </cell>
          <cell r="I121">
            <v>2</v>
          </cell>
          <cell r="J121">
            <v>557</v>
          </cell>
          <cell r="K121">
            <v>0</v>
          </cell>
          <cell r="L121">
            <v>0</v>
          </cell>
          <cell r="M121">
            <v>8</v>
          </cell>
          <cell r="N121">
            <v>1557</v>
          </cell>
          <cell r="O121">
            <v>2</v>
          </cell>
          <cell r="P121">
            <v>186</v>
          </cell>
          <cell r="Q121">
            <v>0</v>
          </cell>
          <cell r="R121">
            <v>0</v>
          </cell>
          <cell r="S121">
            <v>3</v>
          </cell>
          <cell r="T121">
            <v>231</v>
          </cell>
          <cell r="U121">
            <v>4</v>
          </cell>
          <cell r="V121">
            <v>489</v>
          </cell>
          <cell r="W121">
            <v>0</v>
          </cell>
          <cell r="X121">
            <v>0</v>
          </cell>
          <cell r="Y121">
            <v>7</v>
          </cell>
          <cell r="Z121">
            <v>721</v>
          </cell>
          <cell r="AA121">
            <v>0</v>
          </cell>
          <cell r="AB121">
            <v>0</v>
          </cell>
          <cell r="AC121">
            <v>0</v>
          </cell>
          <cell r="AD121">
            <v>0</v>
          </cell>
          <cell r="AE121">
            <v>6</v>
          </cell>
          <cell r="AF121">
            <v>516</v>
          </cell>
          <cell r="AG121">
            <v>0</v>
          </cell>
          <cell r="AH121">
            <v>0</v>
          </cell>
          <cell r="AI121">
            <v>0</v>
          </cell>
          <cell r="AJ121">
            <v>0</v>
          </cell>
          <cell r="AK121">
            <v>9</v>
          </cell>
          <cell r="AL121">
            <v>744</v>
          </cell>
          <cell r="AM121" t="str">
            <v>SAN FRANCISCO/SAN MATEO</v>
          </cell>
          <cell r="AN121">
            <v>35</v>
          </cell>
          <cell r="AO121">
            <v>17746</v>
          </cell>
          <cell r="AP121">
            <v>34</v>
          </cell>
          <cell r="AQ121">
            <v>17384</v>
          </cell>
          <cell r="AR121">
            <v>32</v>
          </cell>
          <cell r="AS121">
            <v>16846</v>
          </cell>
          <cell r="AT121">
            <v>19</v>
          </cell>
          <cell r="AU121">
            <v>3965</v>
          </cell>
          <cell r="AV121">
            <v>19</v>
          </cell>
          <cell r="AW121">
            <v>3965</v>
          </cell>
          <cell r="AX121">
            <v>17</v>
          </cell>
          <cell r="AY121">
            <v>3408</v>
          </cell>
          <cell r="AZ121">
            <v>35</v>
          </cell>
          <cell r="BA121">
            <v>6946</v>
          </cell>
          <cell r="BB121">
            <v>35</v>
          </cell>
          <cell r="BC121">
            <v>6946</v>
          </cell>
          <cell r="BD121">
            <v>33</v>
          </cell>
          <cell r="BE121">
            <v>6760</v>
          </cell>
          <cell r="BF121">
            <v>18</v>
          </cell>
          <cell r="BG121">
            <v>1815</v>
          </cell>
          <cell r="BH121">
            <v>18</v>
          </cell>
          <cell r="BI121">
            <v>1815</v>
          </cell>
          <cell r="BJ121">
            <v>14</v>
          </cell>
          <cell r="BK121">
            <v>1326</v>
          </cell>
          <cell r="BL121">
            <v>46</v>
          </cell>
          <cell r="BM121">
            <v>3251</v>
          </cell>
          <cell r="BN121">
            <v>46</v>
          </cell>
          <cell r="BO121">
            <v>3251</v>
          </cell>
          <cell r="BP121">
            <v>46</v>
          </cell>
          <cell r="BQ121">
            <v>3251</v>
          </cell>
          <cell r="BR121">
            <v>207</v>
          </cell>
          <cell r="BS121">
            <v>17517</v>
          </cell>
          <cell r="BT121">
            <v>207</v>
          </cell>
          <cell r="BU121">
            <v>17517</v>
          </cell>
          <cell r="BV121">
            <v>207</v>
          </cell>
          <cell r="BW121">
            <v>17517</v>
          </cell>
          <cell r="BX121">
            <v>1</v>
          </cell>
          <cell r="BY121">
            <v>163</v>
          </cell>
          <cell r="BZ121">
            <v>3</v>
          </cell>
          <cell r="CA121">
            <v>540</v>
          </cell>
          <cell r="CB121">
            <v>0</v>
          </cell>
          <cell r="CC121">
            <v>0</v>
          </cell>
          <cell r="CD121">
            <v>0</v>
          </cell>
          <cell r="CE121">
            <v>0</v>
          </cell>
          <cell r="CF121">
            <v>1</v>
          </cell>
          <cell r="CG121">
            <v>48</v>
          </cell>
          <cell r="CH121">
            <v>2</v>
          </cell>
          <cell r="CI121">
            <v>128</v>
          </cell>
        </row>
        <row r="122">
          <cell r="B122" t="str">
            <v>SEATTLE, WA</v>
          </cell>
          <cell r="C122">
            <v>2</v>
          </cell>
          <cell r="D122">
            <v>690</v>
          </cell>
          <cell r="E122">
            <v>0</v>
          </cell>
          <cell r="F122">
            <v>0</v>
          </cell>
          <cell r="G122">
            <v>4</v>
          </cell>
          <cell r="H122">
            <v>1247</v>
          </cell>
          <cell r="I122">
            <v>1</v>
          </cell>
          <cell r="J122">
            <v>234</v>
          </cell>
          <cell r="K122">
            <v>0</v>
          </cell>
          <cell r="L122">
            <v>0</v>
          </cell>
          <cell r="M122">
            <v>12</v>
          </cell>
          <cell r="N122">
            <v>1975</v>
          </cell>
          <cell r="O122">
            <v>2</v>
          </cell>
          <cell r="P122">
            <v>356</v>
          </cell>
          <cell r="Q122">
            <v>0</v>
          </cell>
          <cell r="R122">
            <v>0</v>
          </cell>
          <cell r="S122">
            <v>7</v>
          </cell>
          <cell r="T122">
            <v>762</v>
          </cell>
          <cell r="U122">
            <v>1</v>
          </cell>
          <cell r="V122">
            <v>102</v>
          </cell>
          <cell r="W122">
            <v>1</v>
          </cell>
          <cell r="X122">
            <v>62</v>
          </cell>
          <cell r="Y122">
            <v>14</v>
          </cell>
          <cell r="Z122">
            <v>1471</v>
          </cell>
          <cell r="AA122">
            <v>1</v>
          </cell>
          <cell r="AB122">
            <v>101</v>
          </cell>
          <cell r="AC122">
            <v>0</v>
          </cell>
          <cell r="AD122">
            <v>0</v>
          </cell>
          <cell r="AE122">
            <v>19</v>
          </cell>
          <cell r="AF122">
            <v>1934</v>
          </cell>
          <cell r="AG122">
            <v>0</v>
          </cell>
          <cell r="AH122">
            <v>0</v>
          </cell>
          <cell r="AI122">
            <v>0</v>
          </cell>
          <cell r="AJ122">
            <v>0</v>
          </cell>
          <cell r="AK122">
            <v>12</v>
          </cell>
          <cell r="AL122">
            <v>1039</v>
          </cell>
          <cell r="AM122" t="str">
            <v>SEATTLE, WA</v>
          </cell>
          <cell r="AN122">
            <v>20</v>
          </cell>
          <cell r="AO122">
            <v>7694</v>
          </cell>
          <cell r="AP122">
            <v>20</v>
          </cell>
          <cell r="AQ122">
            <v>7694</v>
          </cell>
          <cell r="AR122">
            <v>18</v>
          </cell>
          <cell r="AS122">
            <v>7004</v>
          </cell>
          <cell r="AT122">
            <v>26</v>
          </cell>
          <cell r="AU122">
            <v>4478</v>
          </cell>
          <cell r="AV122">
            <v>26</v>
          </cell>
          <cell r="AW122">
            <v>4478</v>
          </cell>
          <cell r="AX122">
            <v>25</v>
          </cell>
          <cell r="AY122">
            <v>4244</v>
          </cell>
          <cell r="AZ122">
            <v>41</v>
          </cell>
          <cell r="BA122">
            <v>5568</v>
          </cell>
          <cell r="BB122">
            <v>41</v>
          </cell>
          <cell r="BC122">
            <v>5568</v>
          </cell>
          <cell r="BD122">
            <v>39</v>
          </cell>
          <cell r="BE122">
            <v>5212</v>
          </cell>
          <cell r="BF122">
            <v>32</v>
          </cell>
          <cell r="BG122">
            <v>3584</v>
          </cell>
          <cell r="BH122">
            <v>31</v>
          </cell>
          <cell r="BI122">
            <v>3522</v>
          </cell>
          <cell r="BJ122">
            <v>30</v>
          </cell>
          <cell r="BK122">
            <v>3420</v>
          </cell>
          <cell r="BL122">
            <v>61</v>
          </cell>
          <cell r="BM122">
            <v>5262</v>
          </cell>
          <cell r="BN122">
            <v>61</v>
          </cell>
          <cell r="BO122">
            <v>5262</v>
          </cell>
          <cell r="BP122">
            <v>60</v>
          </cell>
          <cell r="BQ122">
            <v>5161</v>
          </cell>
          <cell r="BR122">
            <v>112</v>
          </cell>
          <cell r="BS122">
            <v>8664</v>
          </cell>
          <cell r="BT122">
            <v>112</v>
          </cell>
          <cell r="BU122">
            <v>8664</v>
          </cell>
          <cell r="BV122">
            <v>112</v>
          </cell>
          <cell r="BW122">
            <v>8664</v>
          </cell>
          <cell r="BX122">
            <v>1</v>
          </cell>
          <cell r="BY122">
            <v>131</v>
          </cell>
          <cell r="BZ122">
            <v>4</v>
          </cell>
          <cell r="CA122">
            <v>542</v>
          </cell>
          <cell r="CB122">
            <v>0</v>
          </cell>
          <cell r="CC122">
            <v>0</v>
          </cell>
          <cell r="CD122">
            <v>2</v>
          </cell>
          <cell r="CE122">
            <v>215</v>
          </cell>
          <cell r="CF122">
            <v>1</v>
          </cell>
          <cell r="CG122">
            <v>50</v>
          </cell>
          <cell r="CH122">
            <v>3</v>
          </cell>
          <cell r="CI122">
            <v>182</v>
          </cell>
        </row>
        <row r="123">
          <cell r="B123" t="str">
            <v>TAMPA-SAINT PETERSBURG, FL</v>
          </cell>
          <cell r="C123">
            <v>0</v>
          </cell>
          <cell r="D123">
            <v>0</v>
          </cell>
          <cell r="E123">
            <v>0</v>
          </cell>
          <cell r="F123">
            <v>0</v>
          </cell>
          <cell r="G123">
            <v>2</v>
          </cell>
          <cell r="H123">
            <v>971</v>
          </cell>
          <cell r="I123">
            <v>3</v>
          </cell>
          <cell r="J123">
            <v>514</v>
          </cell>
          <cell r="K123">
            <v>1</v>
          </cell>
          <cell r="L123">
            <v>152</v>
          </cell>
          <cell r="M123">
            <v>13</v>
          </cell>
          <cell r="N123">
            <v>1671</v>
          </cell>
          <cell r="O123">
            <v>0</v>
          </cell>
          <cell r="P123">
            <v>0</v>
          </cell>
          <cell r="Q123">
            <v>0</v>
          </cell>
          <cell r="R123">
            <v>0</v>
          </cell>
          <cell r="S123">
            <v>1</v>
          </cell>
          <cell r="T123">
            <v>99</v>
          </cell>
          <cell r="U123">
            <v>4</v>
          </cell>
          <cell r="V123">
            <v>371</v>
          </cell>
          <cell r="W123">
            <v>0</v>
          </cell>
          <cell r="X123">
            <v>0</v>
          </cell>
          <cell r="Y123">
            <v>31</v>
          </cell>
          <cell r="Z123">
            <v>2810</v>
          </cell>
          <cell r="AA123">
            <v>2</v>
          </cell>
          <cell r="AB123">
            <v>184</v>
          </cell>
          <cell r="AC123">
            <v>0</v>
          </cell>
          <cell r="AD123">
            <v>0</v>
          </cell>
          <cell r="AE123">
            <v>10</v>
          </cell>
          <cell r="AF123">
            <v>1127</v>
          </cell>
          <cell r="AG123">
            <v>0</v>
          </cell>
          <cell r="AH123">
            <v>0</v>
          </cell>
          <cell r="AI123">
            <v>0</v>
          </cell>
          <cell r="AJ123">
            <v>0</v>
          </cell>
          <cell r="AK123">
            <v>1</v>
          </cell>
          <cell r="AL123">
            <v>360</v>
          </cell>
          <cell r="AM123" t="str">
            <v>TAMPA-SAINT PETERSBURG, FL</v>
          </cell>
          <cell r="AN123">
            <v>21</v>
          </cell>
          <cell r="AO123">
            <v>7502</v>
          </cell>
          <cell r="AP123">
            <v>21</v>
          </cell>
          <cell r="AQ123">
            <v>7502</v>
          </cell>
          <cell r="AR123">
            <v>21</v>
          </cell>
          <cell r="AS123">
            <v>7502</v>
          </cell>
          <cell r="AT123">
            <v>30</v>
          </cell>
          <cell r="AU123">
            <v>4464</v>
          </cell>
          <cell r="AV123">
            <v>29</v>
          </cell>
          <cell r="AW123">
            <v>4312</v>
          </cell>
          <cell r="AX123">
            <v>26</v>
          </cell>
          <cell r="AY123">
            <v>3798</v>
          </cell>
          <cell r="AZ123">
            <v>46</v>
          </cell>
          <cell r="BA123">
            <v>6554</v>
          </cell>
          <cell r="BB123">
            <v>46</v>
          </cell>
          <cell r="BC123">
            <v>6554</v>
          </cell>
          <cell r="BD123">
            <v>46</v>
          </cell>
          <cell r="BE123">
            <v>6554</v>
          </cell>
          <cell r="BF123">
            <v>54</v>
          </cell>
          <cell r="BG123">
            <v>5303</v>
          </cell>
          <cell r="BH123">
            <v>54</v>
          </cell>
          <cell r="BI123">
            <v>5303</v>
          </cell>
          <cell r="BJ123">
            <v>50</v>
          </cell>
          <cell r="BK123">
            <v>4932</v>
          </cell>
          <cell r="BL123">
            <v>65</v>
          </cell>
          <cell r="BM123">
            <v>7297</v>
          </cell>
          <cell r="BN123">
            <v>65</v>
          </cell>
          <cell r="BO123">
            <v>7297</v>
          </cell>
          <cell r="BP123">
            <v>63</v>
          </cell>
          <cell r="BQ123">
            <v>7113</v>
          </cell>
          <cell r="BR123">
            <v>138</v>
          </cell>
          <cell r="BS123">
            <v>10735</v>
          </cell>
          <cell r="BT123">
            <v>138</v>
          </cell>
          <cell r="BU123">
            <v>10735</v>
          </cell>
          <cell r="BV123">
            <v>138</v>
          </cell>
          <cell r="BW123">
            <v>10735</v>
          </cell>
          <cell r="BX123">
            <v>1</v>
          </cell>
          <cell r="BY123">
            <v>717</v>
          </cell>
          <cell r="BZ123">
            <v>2</v>
          </cell>
          <cell r="CA123">
            <v>259</v>
          </cell>
          <cell r="CB123">
            <v>0</v>
          </cell>
          <cell r="CC123">
            <v>0</v>
          </cell>
          <cell r="CD123">
            <v>2</v>
          </cell>
          <cell r="CE123">
            <v>200</v>
          </cell>
          <cell r="CF123">
            <v>1</v>
          </cell>
          <cell r="CG123">
            <v>150</v>
          </cell>
          <cell r="CH123">
            <v>0</v>
          </cell>
          <cell r="CI123">
            <v>0</v>
          </cell>
        </row>
        <row r="124">
          <cell r="B124" t="str">
            <v>WASHINGTON, DC-MD-VA</v>
          </cell>
          <cell r="C124">
            <v>0</v>
          </cell>
          <cell r="D124">
            <v>0</v>
          </cell>
          <cell r="E124">
            <v>0</v>
          </cell>
          <cell r="F124">
            <v>0</v>
          </cell>
          <cell r="G124">
            <v>4</v>
          </cell>
          <cell r="H124">
            <v>842</v>
          </cell>
          <cell r="I124">
            <v>4</v>
          </cell>
          <cell r="J124">
            <v>644</v>
          </cell>
          <cell r="K124">
            <v>2</v>
          </cell>
          <cell r="L124">
            <v>273</v>
          </cell>
          <cell r="M124">
            <v>24</v>
          </cell>
          <cell r="N124">
            <v>3661</v>
          </cell>
          <cell r="O124">
            <v>0</v>
          </cell>
          <cell r="P124">
            <v>0</v>
          </cell>
          <cell r="Q124">
            <v>0</v>
          </cell>
          <cell r="R124">
            <v>0</v>
          </cell>
          <cell r="S124">
            <v>1</v>
          </cell>
          <cell r="T124">
            <v>265</v>
          </cell>
          <cell r="U124">
            <v>8</v>
          </cell>
          <cell r="V124">
            <v>752</v>
          </cell>
          <cell r="W124">
            <v>0</v>
          </cell>
          <cell r="X124">
            <v>0</v>
          </cell>
          <cell r="Y124">
            <v>36</v>
          </cell>
          <cell r="Z124">
            <v>3385</v>
          </cell>
          <cell r="AA124">
            <v>1</v>
          </cell>
          <cell r="AB124">
            <v>99</v>
          </cell>
          <cell r="AC124">
            <v>0</v>
          </cell>
          <cell r="AD124">
            <v>0</v>
          </cell>
          <cell r="AE124">
            <v>22</v>
          </cell>
          <cell r="AF124">
            <v>2366</v>
          </cell>
          <cell r="AG124">
            <v>0</v>
          </cell>
          <cell r="AH124">
            <v>0</v>
          </cell>
          <cell r="AI124">
            <v>0</v>
          </cell>
          <cell r="AJ124">
            <v>0</v>
          </cell>
          <cell r="AK124">
            <v>1</v>
          </cell>
          <cell r="AL124">
            <v>154</v>
          </cell>
          <cell r="AM124" t="str">
            <v>WASHINGTON, DC-MD-VA</v>
          </cell>
          <cell r="AN124">
            <v>72</v>
          </cell>
          <cell r="AO124">
            <v>27736</v>
          </cell>
          <cell r="AP124">
            <v>72</v>
          </cell>
          <cell r="AQ124">
            <v>27736</v>
          </cell>
          <cell r="AR124">
            <v>72</v>
          </cell>
          <cell r="AS124">
            <v>27736</v>
          </cell>
          <cell r="AT124">
            <v>51</v>
          </cell>
          <cell r="AU124">
            <v>8615</v>
          </cell>
          <cell r="AV124">
            <v>49</v>
          </cell>
          <cell r="AW124">
            <v>8342</v>
          </cell>
          <cell r="AX124">
            <v>45</v>
          </cell>
          <cell r="AY124">
            <v>7698</v>
          </cell>
          <cell r="AZ124">
            <v>70</v>
          </cell>
          <cell r="BA124">
            <v>12981</v>
          </cell>
          <cell r="BB124">
            <v>70</v>
          </cell>
          <cell r="BC124">
            <v>12981</v>
          </cell>
          <cell r="BD124">
            <v>70</v>
          </cell>
          <cell r="BE124">
            <v>12981</v>
          </cell>
          <cell r="BF124">
            <v>74</v>
          </cell>
          <cell r="BG124">
            <v>8364</v>
          </cell>
          <cell r="BH124">
            <v>74</v>
          </cell>
          <cell r="BI124">
            <v>8364</v>
          </cell>
          <cell r="BJ124">
            <v>66</v>
          </cell>
          <cell r="BK124">
            <v>7612</v>
          </cell>
          <cell r="BL124">
            <v>86</v>
          </cell>
          <cell r="BM124">
            <v>9435</v>
          </cell>
          <cell r="BN124">
            <v>86</v>
          </cell>
          <cell r="BO124">
            <v>9435</v>
          </cell>
          <cell r="BP124">
            <v>85</v>
          </cell>
          <cell r="BQ124">
            <v>9336</v>
          </cell>
          <cell r="BR124">
            <v>103</v>
          </cell>
          <cell r="BS124">
            <v>12847</v>
          </cell>
          <cell r="BT124">
            <v>103</v>
          </cell>
          <cell r="BU124">
            <v>12847</v>
          </cell>
          <cell r="BV124">
            <v>103</v>
          </cell>
          <cell r="BW124">
            <v>12847</v>
          </cell>
          <cell r="BX124">
            <v>2</v>
          </cell>
          <cell r="BY124">
            <v>541</v>
          </cell>
          <cell r="BZ124">
            <v>6</v>
          </cell>
          <cell r="CA124">
            <v>1093</v>
          </cell>
          <cell r="CB124">
            <v>1</v>
          </cell>
          <cell r="CC124">
            <v>265</v>
          </cell>
          <cell r="CD124">
            <v>10</v>
          </cell>
          <cell r="CE124">
            <v>978</v>
          </cell>
          <cell r="CF124">
            <v>3</v>
          </cell>
          <cell r="CG124">
            <v>292</v>
          </cell>
          <cell r="CH124">
            <v>1</v>
          </cell>
          <cell r="CI124">
            <v>154</v>
          </cell>
        </row>
        <row r="134">
          <cell r="B134" t="str">
            <v>ANAHEIM-SANTA ANA, CA</v>
          </cell>
          <cell r="C134">
            <v>1</v>
          </cell>
          <cell r="D134">
            <v>256</v>
          </cell>
          <cell r="E134">
            <v>1</v>
          </cell>
          <cell r="F134">
            <v>371</v>
          </cell>
          <cell r="G134">
            <v>0</v>
          </cell>
          <cell r="H134">
            <v>0</v>
          </cell>
          <cell r="I134">
            <v>3</v>
          </cell>
          <cell r="J134">
            <v>373</v>
          </cell>
          <cell r="K134">
            <v>0</v>
          </cell>
          <cell r="L134">
            <v>0</v>
          </cell>
          <cell r="M134">
            <v>0</v>
          </cell>
          <cell r="N134">
            <v>0</v>
          </cell>
          <cell r="O134">
            <v>0</v>
          </cell>
          <cell r="P134">
            <v>0</v>
          </cell>
          <cell r="Q134">
            <v>1</v>
          </cell>
          <cell r="R134">
            <v>103</v>
          </cell>
          <cell r="S134">
            <v>1</v>
          </cell>
          <cell r="T134">
            <v>117</v>
          </cell>
          <cell r="U134">
            <v>0</v>
          </cell>
          <cell r="V134">
            <v>0</v>
          </cell>
          <cell r="W134">
            <v>0</v>
          </cell>
          <cell r="X134">
            <v>0</v>
          </cell>
          <cell r="Y134">
            <v>0</v>
          </cell>
          <cell r="Z134">
            <v>0</v>
          </cell>
        </row>
        <row r="135">
          <cell r="B135" t="str">
            <v>ATLANTA, GA</v>
          </cell>
          <cell r="C135">
            <v>0</v>
          </cell>
          <cell r="D135">
            <v>0</v>
          </cell>
          <cell r="E135">
            <v>0</v>
          </cell>
          <cell r="F135">
            <v>0</v>
          </cell>
          <cell r="G135">
            <v>0</v>
          </cell>
          <cell r="H135">
            <v>0</v>
          </cell>
          <cell r="I135">
            <v>1</v>
          </cell>
          <cell r="J135">
            <v>153</v>
          </cell>
          <cell r="K135">
            <v>0</v>
          </cell>
          <cell r="L135">
            <v>0</v>
          </cell>
          <cell r="M135">
            <v>0</v>
          </cell>
          <cell r="N135">
            <v>0</v>
          </cell>
          <cell r="O135">
            <v>3</v>
          </cell>
          <cell r="P135">
            <v>223</v>
          </cell>
          <cell r="Q135">
            <v>7</v>
          </cell>
          <cell r="R135">
            <v>478</v>
          </cell>
          <cell r="S135">
            <v>0</v>
          </cell>
          <cell r="T135">
            <v>0</v>
          </cell>
          <cell r="U135">
            <v>4</v>
          </cell>
          <cell r="V135">
            <v>253</v>
          </cell>
          <cell r="W135">
            <v>0</v>
          </cell>
          <cell r="X135">
            <v>0</v>
          </cell>
          <cell r="Y135">
            <v>0</v>
          </cell>
          <cell r="Z135">
            <v>0</v>
          </cell>
        </row>
        <row r="136">
          <cell r="B136" t="str">
            <v>BOSTON, MA</v>
          </cell>
          <cell r="C136">
            <v>0</v>
          </cell>
          <cell r="D136">
            <v>0</v>
          </cell>
          <cell r="E136">
            <v>0</v>
          </cell>
          <cell r="F136">
            <v>0</v>
          </cell>
          <cell r="G136">
            <v>0</v>
          </cell>
          <cell r="H136">
            <v>0</v>
          </cell>
          <cell r="I136">
            <v>5</v>
          </cell>
          <cell r="J136">
            <v>713</v>
          </cell>
          <cell r="K136">
            <v>0</v>
          </cell>
          <cell r="L136">
            <v>0</v>
          </cell>
          <cell r="M136">
            <v>2</v>
          </cell>
          <cell r="N136">
            <v>123</v>
          </cell>
          <cell r="O136">
            <v>0</v>
          </cell>
          <cell r="P136">
            <v>0</v>
          </cell>
          <cell r="Q136">
            <v>1</v>
          </cell>
          <cell r="R136">
            <v>114</v>
          </cell>
          <cell r="S136">
            <v>1</v>
          </cell>
          <cell r="T136">
            <v>103</v>
          </cell>
          <cell r="U136">
            <v>1</v>
          </cell>
          <cell r="V136">
            <v>117</v>
          </cell>
          <cell r="W136">
            <v>1</v>
          </cell>
          <cell r="X136">
            <v>33</v>
          </cell>
          <cell r="Y136">
            <v>4</v>
          </cell>
          <cell r="Z136">
            <v>447</v>
          </cell>
        </row>
        <row r="137">
          <cell r="B137" t="str">
            <v>CHICAGO, IL</v>
          </cell>
          <cell r="C137">
            <v>0</v>
          </cell>
          <cell r="D137">
            <v>0</v>
          </cell>
          <cell r="E137">
            <v>3</v>
          </cell>
          <cell r="F137">
            <v>1069</v>
          </cell>
          <cell r="G137">
            <v>0</v>
          </cell>
          <cell r="H137">
            <v>0</v>
          </cell>
          <cell r="I137">
            <v>2</v>
          </cell>
          <cell r="J137">
            <v>190</v>
          </cell>
          <cell r="K137">
            <v>1</v>
          </cell>
          <cell r="L137">
            <v>85</v>
          </cell>
          <cell r="M137">
            <v>1</v>
          </cell>
          <cell r="N137">
            <v>202</v>
          </cell>
          <cell r="O137">
            <v>1</v>
          </cell>
          <cell r="P137">
            <v>112</v>
          </cell>
          <cell r="Q137">
            <v>4</v>
          </cell>
          <cell r="R137">
            <v>331</v>
          </cell>
          <cell r="S137">
            <v>1</v>
          </cell>
          <cell r="T137">
            <v>128</v>
          </cell>
          <cell r="U137">
            <v>0</v>
          </cell>
          <cell r="V137">
            <v>0</v>
          </cell>
          <cell r="W137">
            <v>0</v>
          </cell>
          <cell r="X137">
            <v>0</v>
          </cell>
          <cell r="Y137">
            <v>1</v>
          </cell>
          <cell r="Z137">
            <v>67</v>
          </cell>
        </row>
        <row r="138">
          <cell r="B138" t="str">
            <v>DALLAS, TX</v>
          </cell>
          <cell r="C138">
            <v>0</v>
          </cell>
          <cell r="D138">
            <v>0</v>
          </cell>
          <cell r="E138">
            <v>1</v>
          </cell>
          <cell r="F138">
            <v>258</v>
          </cell>
          <cell r="G138">
            <v>1</v>
          </cell>
          <cell r="H138">
            <v>139</v>
          </cell>
          <cell r="I138">
            <v>2</v>
          </cell>
          <cell r="J138">
            <v>303</v>
          </cell>
          <cell r="K138">
            <v>0</v>
          </cell>
          <cell r="L138">
            <v>0</v>
          </cell>
          <cell r="M138">
            <v>0</v>
          </cell>
          <cell r="N138">
            <v>0</v>
          </cell>
          <cell r="O138">
            <v>2</v>
          </cell>
          <cell r="P138">
            <v>137</v>
          </cell>
          <cell r="Q138">
            <v>2</v>
          </cell>
          <cell r="R138">
            <v>243</v>
          </cell>
          <cell r="S138">
            <v>0</v>
          </cell>
          <cell r="T138">
            <v>0</v>
          </cell>
          <cell r="U138">
            <v>0</v>
          </cell>
          <cell r="V138">
            <v>0</v>
          </cell>
          <cell r="W138">
            <v>0</v>
          </cell>
          <cell r="X138">
            <v>0</v>
          </cell>
          <cell r="Y138">
            <v>1</v>
          </cell>
          <cell r="Z138">
            <v>148</v>
          </cell>
        </row>
        <row r="139">
          <cell r="B139" t="str">
            <v>DENVER, CO</v>
          </cell>
          <cell r="C139">
            <v>0</v>
          </cell>
          <cell r="D139">
            <v>0</v>
          </cell>
          <cell r="E139">
            <v>1</v>
          </cell>
          <cell r="F139">
            <v>232</v>
          </cell>
          <cell r="G139">
            <v>0</v>
          </cell>
          <cell r="H139">
            <v>0</v>
          </cell>
          <cell r="I139">
            <v>1</v>
          </cell>
          <cell r="J139">
            <v>164</v>
          </cell>
          <cell r="K139">
            <v>0</v>
          </cell>
          <cell r="L139">
            <v>0</v>
          </cell>
          <cell r="M139">
            <v>0</v>
          </cell>
          <cell r="N139">
            <v>0</v>
          </cell>
          <cell r="O139">
            <v>0</v>
          </cell>
          <cell r="P139">
            <v>0</v>
          </cell>
          <cell r="Q139">
            <v>0</v>
          </cell>
          <cell r="R139">
            <v>0</v>
          </cell>
          <cell r="S139">
            <v>0</v>
          </cell>
          <cell r="T139">
            <v>0</v>
          </cell>
          <cell r="U139">
            <v>1</v>
          </cell>
          <cell r="V139">
            <v>74</v>
          </cell>
          <cell r="W139">
            <v>0</v>
          </cell>
          <cell r="X139">
            <v>0</v>
          </cell>
          <cell r="Y139">
            <v>0</v>
          </cell>
          <cell r="Z139">
            <v>0</v>
          </cell>
        </row>
        <row r="140">
          <cell r="B140" t="str">
            <v>DETROIT, MI</v>
          </cell>
          <cell r="C140">
            <v>0</v>
          </cell>
          <cell r="D140">
            <v>0</v>
          </cell>
          <cell r="E140">
            <v>0</v>
          </cell>
          <cell r="F140">
            <v>0</v>
          </cell>
          <cell r="G140">
            <v>0</v>
          </cell>
          <cell r="H140">
            <v>0</v>
          </cell>
          <cell r="I140">
            <v>3</v>
          </cell>
          <cell r="J140">
            <v>319</v>
          </cell>
          <cell r="K140">
            <v>0</v>
          </cell>
          <cell r="L140">
            <v>0</v>
          </cell>
          <cell r="M140">
            <v>0</v>
          </cell>
          <cell r="N140">
            <v>0</v>
          </cell>
          <cell r="O140">
            <v>3</v>
          </cell>
          <cell r="P140">
            <v>251</v>
          </cell>
          <cell r="Q140">
            <v>2</v>
          </cell>
          <cell r="R140">
            <v>165</v>
          </cell>
          <cell r="S140">
            <v>2</v>
          </cell>
          <cell r="T140">
            <v>203</v>
          </cell>
          <cell r="U140">
            <v>0</v>
          </cell>
          <cell r="V140">
            <v>0</v>
          </cell>
          <cell r="W140">
            <v>0</v>
          </cell>
          <cell r="X140">
            <v>0</v>
          </cell>
          <cell r="Y140">
            <v>1</v>
          </cell>
          <cell r="Z140">
            <v>8</v>
          </cell>
        </row>
        <row r="141">
          <cell r="B141" t="str">
            <v>HOUSTON, TX</v>
          </cell>
          <cell r="C141">
            <v>0</v>
          </cell>
          <cell r="D141">
            <v>0</v>
          </cell>
          <cell r="E141">
            <v>0</v>
          </cell>
          <cell r="F141">
            <v>0</v>
          </cell>
          <cell r="G141">
            <v>2</v>
          </cell>
          <cell r="H141">
            <v>232</v>
          </cell>
          <cell r="I141">
            <v>5</v>
          </cell>
          <cell r="J141">
            <v>725</v>
          </cell>
          <cell r="K141">
            <v>1</v>
          </cell>
          <cell r="L141">
            <v>60</v>
          </cell>
          <cell r="M141">
            <v>2</v>
          </cell>
          <cell r="N141">
            <v>151</v>
          </cell>
          <cell r="O141">
            <v>1</v>
          </cell>
          <cell r="P141">
            <v>72</v>
          </cell>
          <cell r="Q141">
            <v>3</v>
          </cell>
          <cell r="R141">
            <v>170</v>
          </cell>
          <cell r="S141">
            <v>0</v>
          </cell>
          <cell r="T141">
            <v>0</v>
          </cell>
          <cell r="U141">
            <v>3</v>
          </cell>
          <cell r="V141">
            <v>124</v>
          </cell>
          <cell r="W141">
            <v>0</v>
          </cell>
          <cell r="X141">
            <v>0</v>
          </cell>
          <cell r="Y141">
            <v>2</v>
          </cell>
          <cell r="Z141">
            <v>327</v>
          </cell>
        </row>
        <row r="142">
          <cell r="B142" t="str">
            <v>LAS VEGAS, NV</v>
          </cell>
          <cell r="C142">
            <v>0</v>
          </cell>
          <cell r="D142">
            <v>0</v>
          </cell>
          <cell r="E142">
            <v>1</v>
          </cell>
          <cell r="F142">
            <v>350</v>
          </cell>
          <cell r="G142">
            <v>0</v>
          </cell>
          <cell r="H142">
            <v>0</v>
          </cell>
          <cell r="I142">
            <v>0</v>
          </cell>
          <cell r="J142">
            <v>0</v>
          </cell>
          <cell r="K142">
            <v>0</v>
          </cell>
          <cell r="L142">
            <v>0</v>
          </cell>
          <cell r="M142">
            <v>1</v>
          </cell>
          <cell r="N142">
            <v>128</v>
          </cell>
          <cell r="O142">
            <v>0</v>
          </cell>
          <cell r="P142">
            <v>0</v>
          </cell>
          <cell r="Q142">
            <v>0</v>
          </cell>
          <cell r="R142">
            <v>0</v>
          </cell>
          <cell r="S142">
            <v>0</v>
          </cell>
          <cell r="T142">
            <v>0</v>
          </cell>
          <cell r="U142">
            <v>0</v>
          </cell>
          <cell r="V142">
            <v>0</v>
          </cell>
          <cell r="W142">
            <v>1</v>
          </cell>
          <cell r="X142">
            <v>716</v>
          </cell>
          <cell r="Y142">
            <v>3</v>
          </cell>
          <cell r="Z142">
            <v>653</v>
          </cell>
        </row>
        <row r="143">
          <cell r="B143" t="str">
            <v>LOS ANGELES-LONG BEACH, CA</v>
          </cell>
          <cell r="C143">
            <v>0</v>
          </cell>
          <cell r="D143">
            <v>0</v>
          </cell>
          <cell r="E143">
            <v>0</v>
          </cell>
          <cell r="F143">
            <v>0</v>
          </cell>
          <cell r="G143">
            <v>0</v>
          </cell>
          <cell r="H143">
            <v>0</v>
          </cell>
          <cell r="I143">
            <v>4</v>
          </cell>
          <cell r="J143">
            <v>506</v>
          </cell>
          <cell r="K143">
            <v>0</v>
          </cell>
          <cell r="L143">
            <v>0</v>
          </cell>
          <cell r="M143">
            <v>0</v>
          </cell>
          <cell r="N143">
            <v>0</v>
          </cell>
          <cell r="O143">
            <v>0</v>
          </cell>
          <cell r="P143">
            <v>0</v>
          </cell>
          <cell r="Q143">
            <v>3</v>
          </cell>
          <cell r="R143">
            <v>283</v>
          </cell>
          <cell r="S143">
            <v>1</v>
          </cell>
          <cell r="T143">
            <v>140</v>
          </cell>
          <cell r="U143">
            <v>0</v>
          </cell>
          <cell r="V143">
            <v>0</v>
          </cell>
          <cell r="W143">
            <v>0</v>
          </cell>
          <cell r="X143">
            <v>0</v>
          </cell>
          <cell r="Y143">
            <v>1</v>
          </cell>
          <cell r="Z143">
            <v>207</v>
          </cell>
        </row>
        <row r="144">
          <cell r="B144" t="str">
            <v>MIAMI-HIALEAH, FL</v>
          </cell>
          <cell r="C144">
            <v>0</v>
          </cell>
          <cell r="D144">
            <v>0</v>
          </cell>
          <cell r="E144">
            <v>3</v>
          </cell>
          <cell r="F144">
            <v>711</v>
          </cell>
          <cell r="G144">
            <v>0</v>
          </cell>
          <cell r="H144">
            <v>0</v>
          </cell>
          <cell r="I144">
            <v>5</v>
          </cell>
          <cell r="J144">
            <v>1010</v>
          </cell>
          <cell r="K144">
            <v>0</v>
          </cell>
          <cell r="L144">
            <v>0</v>
          </cell>
          <cell r="M144">
            <v>0</v>
          </cell>
          <cell r="N144">
            <v>0</v>
          </cell>
          <cell r="O144">
            <v>0</v>
          </cell>
          <cell r="P144">
            <v>0</v>
          </cell>
          <cell r="Q144">
            <v>0</v>
          </cell>
          <cell r="R144">
            <v>0</v>
          </cell>
          <cell r="S144">
            <v>1</v>
          </cell>
          <cell r="T144">
            <v>98</v>
          </cell>
          <cell r="U144">
            <v>0</v>
          </cell>
          <cell r="V144">
            <v>0</v>
          </cell>
          <cell r="W144">
            <v>0</v>
          </cell>
          <cell r="X144">
            <v>0</v>
          </cell>
          <cell r="Y144">
            <v>3</v>
          </cell>
          <cell r="Z144">
            <v>614</v>
          </cell>
        </row>
        <row r="145">
          <cell r="B145" t="str">
            <v>MINNEAPOLIS-SAINT PAUL, MN-WI</v>
          </cell>
          <cell r="C145">
            <v>0</v>
          </cell>
          <cell r="D145">
            <v>0</v>
          </cell>
          <cell r="E145">
            <v>1</v>
          </cell>
          <cell r="F145">
            <v>256</v>
          </cell>
          <cell r="G145">
            <v>1</v>
          </cell>
          <cell r="H145">
            <v>127</v>
          </cell>
          <cell r="I145">
            <v>2</v>
          </cell>
          <cell r="J145">
            <v>224</v>
          </cell>
          <cell r="K145">
            <v>0</v>
          </cell>
          <cell r="L145">
            <v>0</v>
          </cell>
          <cell r="M145">
            <v>0</v>
          </cell>
          <cell r="N145">
            <v>0</v>
          </cell>
          <cell r="O145">
            <v>0</v>
          </cell>
          <cell r="P145">
            <v>0</v>
          </cell>
          <cell r="Q145">
            <v>2</v>
          </cell>
          <cell r="R145">
            <v>169</v>
          </cell>
          <cell r="S145">
            <v>0</v>
          </cell>
          <cell r="T145">
            <v>0</v>
          </cell>
          <cell r="U145">
            <v>2</v>
          </cell>
          <cell r="V145">
            <v>136</v>
          </cell>
          <cell r="W145">
            <v>0</v>
          </cell>
          <cell r="X145">
            <v>0</v>
          </cell>
          <cell r="Y145">
            <v>1</v>
          </cell>
          <cell r="Z145">
            <v>120</v>
          </cell>
        </row>
        <row r="146">
          <cell r="B146" t="str">
            <v>NASHVILLE, TN</v>
          </cell>
          <cell r="C146">
            <v>0</v>
          </cell>
          <cell r="D146">
            <v>0</v>
          </cell>
          <cell r="E146">
            <v>0</v>
          </cell>
          <cell r="F146">
            <v>0</v>
          </cell>
          <cell r="G146">
            <v>0</v>
          </cell>
          <cell r="H146">
            <v>0</v>
          </cell>
          <cell r="I146">
            <v>0</v>
          </cell>
          <cell r="J146">
            <v>0</v>
          </cell>
          <cell r="K146">
            <v>0</v>
          </cell>
          <cell r="L146">
            <v>0</v>
          </cell>
          <cell r="M146">
            <v>0</v>
          </cell>
          <cell r="N146">
            <v>0</v>
          </cell>
          <cell r="O146">
            <v>1</v>
          </cell>
          <cell r="P146">
            <v>74</v>
          </cell>
          <cell r="Q146">
            <v>2</v>
          </cell>
          <cell r="R146">
            <v>187</v>
          </cell>
          <cell r="S146">
            <v>0</v>
          </cell>
          <cell r="T146">
            <v>0</v>
          </cell>
          <cell r="U146">
            <v>2</v>
          </cell>
          <cell r="V146">
            <v>169</v>
          </cell>
          <cell r="W146">
            <v>0</v>
          </cell>
          <cell r="X146">
            <v>0</v>
          </cell>
          <cell r="Y146">
            <v>0</v>
          </cell>
          <cell r="Z146">
            <v>0</v>
          </cell>
        </row>
        <row r="147">
          <cell r="B147" t="str">
            <v>NEW ORLEANS, LA</v>
          </cell>
          <cell r="C147">
            <v>0</v>
          </cell>
          <cell r="D147">
            <v>0</v>
          </cell>
          <cell r="E147">
            <v>1</v>
          </cell>
          <cell r="F147">
            <v>182</v>
          </cell>
          <cell r="G147">
            <v>0</v>
          </cell>
          <cell r="H147">
            <v>0</v>
          </cell>
          <cell r="I147">
            <v>2</v>
          </cell>
          <cell r="J147">
            <v>682</v>
          </cell>
          <cell r="K147">
            <v>1</v>
          </cell>
          <cell r="L147">
            <v>100</v>
          </cell>
          <cell r="M147">
            <v>2</v>
          </cell>
          <cell r="N147">
            <v>221</v>
          </cell>
          <cell r="O147">
            <v>1</v>
          </cell>
          <cell r="P147">
            <v>68</v>
          </cell>
          <cell r="Q147">
            <v>2</v>
          </cell>
          <cell r="R147">
            <v>221</v>
          </cell>
          <cell r="S147">
            <v>0</v>
          </cell>
          <cell r="T147">
            <v>0</v>
          </cell>
          <cell r="U147">
            <v>0</v>
          </cell>
          <cell r="V147">
            <v>0</v>
          </cell>
          <cell r="W147">
            <v>0</v>
          </cell>
          <cell r="X147">
            <v>0</v>
          </cell>
          <cell r="Y147">
            <v>2</v>
          </cell>
          <cell r="Z147">
            <v>422</v>
          </cell>
        </row>
        <row r="148">
          <cell r="B148" t="str">
            <v>NEW YORK, NY</v>
          </cell>
          <cell r="C148">
            <v>1</v>
          </cell>
          <cell r="D148">
            <v>298</v>
          </cell>
          <cell r="E148">
            <v>0</v>
          </cell>
          <cell r="F148">
            <v>0</v>
          </cell>
          <cell r="G148">
            <v>0</v>
          </cell>
          <cell r="H148">
            <v>0</v>
          </cell>
          <cell r="I148">
            <v>0</v>
          </cell>
          <cell r="J148">
            <v>0</v>
          </cell>
          <cell r="K148">
            <v>1</v>
          </cell>
          <cell r="L148">
            <v>83</v>
          </cell>
          <cell r="M148">
            <v>1</v>
          </cell>
          <cell r="N148">
            <v>59</v>
          </cell>
          <cell r="O148">
            <v>0</v>
          </cell>
          <cell r="P148">
            <v>0</v>
          </cell>
          <cell r="Q148">
            <v>2</v>
          </cell>
          <cell r="R148">
            <v>274</v>
          </cell>
          <cell r="S148">
            <v>0</v>
          </cell>
          <cell r="T148">
            <v>0</v>
          </cell>
          <cell r="U148">
            <v>2</v>
          </cell>
          <cell r="V148">
            <v>241</v>
          </cell>
          <cell r="W148">
            <v>0</v>
          </cell>
          <cell r="X148">
            <v>0</v>
          </cell>
          <cell r="Y148">
            <v>0</v>
          </cell>
          <cell r="Z148">
            <v>0</v>
          </cell>
        </row>
        <row r="149">
          <cell r="B149" t="str">
            <v>NORFOLK-VIRGINIA BEACH, VA</v>
          </cell>
          <cell r="C149">
            <v>0</v>
          </cell>
          <cell r="D149">
            <v>0</v>
          </cell>
          <cell r="E149">
            <v>0</v>
          </cell>
          <cell r="F149">
            <v>0</v>
          </cell>
          <cell r="G149">
            <v>0</v>
          </cell>
          <cell r="H149">
            <v>0</v>
          </cell>
          <cell r="I149">
            <v>1</v>
          </cell>
          <cell r="J149">
            <v>140</v>
          </cell>
          <cell r="K149">
            <v>0</v>
          </cell>
          <cell r="L149">
            <v>0</v>
          </cell>
          <cell r="M149">
            <v>0</v>
          </cell>
          <cell r="N149">
            <v>0</v>
          </cell>
          <cell r="O149">
            <v>0</v>
          </cell>
          <cell r="P149">
            <v>0</v>
          </cell>
          <cell r="Q149">
            <v>0</v>
          </cell>
          <cell r="R149">
            <v>0</v>
          </cell>
          <cell r="S149">
            <v>0</v>
          </cell>
          <cell r="T149">
            <v>0</v>
          </cell>
          <cell r="U149">
            <v>0</v>
          </cell>
          <cell r="V149">
            <v>0</v>
          </cell>
          <cell r="W149">
            <v>1</v>
          </cell>
          <cell r="X149">
            <v>129</v>
          </cell>
          <cell r="Y149">
            <v>1</v>
          </cell>
          <cell r="Z149">
            <v>86</v>
          </cell>
        </row>
        <row r="150">
          <cell r="B150" t="str">
            <v>OAHU ISLAND</v>
          </cell>
          <cell r="C150">
            <v>0</v>
          </cell>
          <cell r="D150">
            <v>0</v>
          </cell>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row>
        <row r="151">
          <cell r="B151" t="str">
            <v>ORLANDO, FL</v>
          </cell>
          <cell r="C151">
            <v>0</v>
          </cell>
          <cell r="D151">
            <v>0</v>
          </cell>
          <cell r="E151">
            <v>1</v>
          </cell>
          <cell r="F151">
            <v>305</v>
          </cell>
          <cell r="G151">
            <v>1</v>
          </cell>
          <cell r="H151">
            <v>350</v>
          </cell>
          <cell r="I151">
            <v>2</v>
          </cell>
          <cell r="J151">
            <v>494</v>
          </cell>
          <cell r="K151">
            <v>0</v>
          </cell>
          <cell r="L151">
            <v>0</v>
          </cell>
          <cell r="M151">
            <v>0</v>
          </cell>
          <cell r="N151">
            <v>0</v>
          </cell>
          <cell r="O151">
            <v>0</v>
          </cell>
          <cell r="P151">
            <v>0</v>
          </cell>
          <cell r="Q151">
            <v>4</v>
          </cell>
          <cell r="R151">
            <v>457</v>
          </cell>
          <cell r="S151">
            <v>0</v>
          </cell>
          <cell r="T151">
            <v>0</v>
          </cell>
          <cell r="U151">
            <v>0</v>
          </cell>
          <cell r="V151">
            <v>0</v>
          </cell>
          <cell r="W151">
            <v>1</v>
          </cell>
          <cell r="X151">
            <v>1406</v>
          </cell>
          <cell r="Y151">
            <v>0</v>
          </cell>
          <cell r="Z151">
            <v>0</v>
          </cell>
        </row>
        <row r="152">
          <cell r="B152" t="str">
            <v>PHILADELPHIA, PA-NJ</v>
          </cell>
          <cell r="C152">
            <v>0</v>
          </cell>
          <cell r="D152">
            <v>0</v>
          </cell>
          <cell r="E152">
            <v>0</v>
          </cell>
          <cell r="F152">
            <v>0</v>
          </cell>
          <cell r="G152">
            <v>2</v>
          </cell>
          <cell r="H152">
            <v>325</v>
          </cell>
          <cell r="I152">
            <v>2</v>
          </cell>
          <cell r="J152">
            <v>387</v>
          </cell>
          <cell r="K152">
            <v>0</v>
          </cell>
          <cell r="L152">
            <v>0</v>
          </cell>
          <cell r="M152">
            <v>0</v>
          </cell>
          <cell r="N152">
            <v>0</v>
          </cell>
          <cell r="O152">
            <v>1</v>
          </cell>
          <cell r="P152">
            <v>64</v>
          </cell>
          <cell r="Q152">
            <v>3</v>
          </cell>
          <cell r="R152">
            <v>244</v>
          </cell>
          <cell r="S152">
            <v>0</v>
          </cell>
          <cell r="T152">
            <v>0</v>
          </cell>
          <cell r="U152">
            <v>0</v>
          </cell>
          <cell r="V152">
            <v>0</v>
          </cell>
          <cell r="W152">
            <v>0</v>
          </cell>
          <cell r="X152">
            <v>0</v>
          </cell>
          <cell r="Y152">
            <v>0</v>
          </cell>
          <cell r="Z152">
            <v>0</v>
          </cell>
        </row>
        <row r="153">
          <cell r="B153" t="str">
            <v>PHOENIX, AZ</v>
          </cell>
          <cell r="C153">
            <v>0</v>
          </cell>
          <cell r="D153">
            <v>0</v>
          </cell>
          <cell r="E153">
            <v>1</v>
          </cell>
          <cell r="F153">
            <v>500</v>
          </cell>
          <cell r="G153">
            <v>0</v>
          </cell>
          <cell r="H153">
            <v>0</v>
          </cell>
          <cell r="I153">
            <v>0</v>
          </cell>
          <cell r="J153">
            <v>0</v>
          </cell>
          <cell r="K153">
            <v>0</v>
          </cell>
          <cell r="L153">
            <v>0</v>
          </cell>
          <cell r="M153">
            <v>0</v>
          </cell>
          <cell r="N153">
            <v>0</v>
          </cell>
          <cell r="O153">
            <v>1</v>
          </cell>
          <cell r="P153">
            <v>107</v>
          </cell>
          <cell r="Q153">
            <v>0</v>
          </cell>
          <cell r="R153">
            <v>0</v>
          </cell>
          <cell r="S153">
            <v>0</v>
          </cell>
          <cell r="T153">
            <v>0</v>
          </cell>
          <cell r="U153">
            <v>0</v>
          </cell>
          <cell r="V153">
            <v>0</v>
          </cell>
          <cell r="W153">
            <v>0</v>
          </cell>
          <cell r="X153">
            <v>0</v>
          </cell>
          <cell r="Y153">
            <v>0</v>
          </cell>
          <cell r="Z153">
            <v>0</v>
          </cell>
        </row>
        <row r="154">
          <cell r="B154" t="str">
            <v>SAINT LOUIS, MO-IL</v>
          </cell>
          <cell r="C154">
            <v>0</v>
          </cell>
          <cell r="D154">
            <v>0</v>
          </cell>
          <cell r="E154">
            <v>1</v>
          </cell>
          <cell r="F154">
            <v>163</v>
          </cell>
          <cell r="G154">
            <v>0</v>
          </cell>
          <cell r="H154">
            <v>0</v>
          </cell>
          <cell r="I154">
            <v>1</v>
          </cell>
          <cell r="J154">
            <v>104</v>
          </cell>
          <cell r="K154">
            <v>0</v>
          </cell>
          <cell r="L154">
            <v>0</v>
          </cell>
          <cell r="M154">
            <v>1</v>
          </cell>
          <cell r="N154">
            <v>125</v>
          </cell>
          <cell r="O154">
            <v>0</v>
          </cell>
          <cell r="P154">
            <v>0</v>
          </cell>
          <cell r="Q154">
            <v>1</v>
          </cell>
          <cell r="R154">
            <v>80</v>
          </cell>
          <cell r="S154">
            <v>0</v>
          </cell>
          <cell r="T154">
            <v>0</v>
          </cell>
          <cell r="U154">
            <v>1</v>
          </cell>
          <cell r="V154">
            <v>100</v>
          </cell>
          <cell r="W154">
            <v>0</v>
          </cell>
          <cell r="X154">
            <v>0</v>
          </cell>
          <cell r="Y154">
            <v>0</v>
          </cell>
          <cell r="Z154">
            <v>0</v>
          </cell>
        </row>
        <row r="155">
          <cell r="B155" t="str">
            <v>SAN DIEGO, CA</v>
          </cell>
          <cell r="C155">
            <v>1</v>
          </cell>
          <cell r="D155">
            <v>284</v>
          </cell>
          <cell r="E155">
            <v>1</v>
          </cell>
          <cell r="F155">
            <v>261</v>
          </cell>
          <cell r="G155">
            <v>1</v>
          </cell>
          <cell r="H155">
            <v>245</v>
          </cell>
          <cell r="I155">
            <v>0</v>
          </cell>
          <cell r="J155">
            <v>0</v>
          </cell>
          <cell r="K155">
            <v>0</v>
          </cell>
          <cell r="L155">
            <v>0</v>
          </cell>
          <cell r="M155">
            <v>1</v>
          </cell>
          <cell r="N155">
            <v>28</v>
          </cell>
          <cell r="O155">
            <v>2</v>
          </cell>
          <cell r="P155">
            <v>248</v>
          </cell>
          <cell r="Q155">
            <v>1</v>
          </cell>
          <cell r="R155">
            <v>100</v>
          </cell>
          <cell r="S155">
            <v>0</v>
          </cell>
          <cell r="T155">
            <v>0</v>
          </cell>
          <cell r="U155">
            <v>2</v>
          </cell>
          <cell r="V155">
            <v>253</v>
          </cell>
          <cell r="W155">
            <v>0</v>
          </cell>
          <cell r="X155">
            <v>0</v>
          </cell>
          <cell r="Y155">
            <v>1</v>
          </cell>
          <cell r="Z155">
            <v>175</v>
          </cell>
        </row>
        <row r="156">
          <cell r="B156" t="str">
            <v>SAN FRANCISCO/SAN MATEO</v>
          </cell>
          <cell r="C156">
            <v>1</v>
          </cell>
          <cell r="D156">
            <v>362</v>
          </cell>
          <cell r="E156">
            <v>0</v>
          </cell>
          <cell r="F156">
            <v>0</v>
          </cell>
          <cell r="G156">
            <v>0</v>
          </cell>
          <cell r="H156">
            <v>0</v>
          </cell>
          <cell r="I156">
            <v>0</v>
          </cell>
          <cell r="J156">
            <v>0</v>
          </cell>
          <cell r="K156">
            <v>0</v>
          </cell>
          <cell r="L156">
            <v>0</v>
          </cell>
          <cell r="M156">
            <v>0</v>
          </cell>
          <cell r="N156">
            <v>0</v>
          </cell>
          <cell r="O156">
            <v>0</v>
          </cell>
          <cell r="P156">
            <v>0</v>
          </cell>
          <cell r="Q156">
            <v>3</v>
          </cell>
          <cell r="R156">
            <v>272</v>
          </cell>
          <cell r="S156">
            <v>0</v>
          </cell>
          <cell r="T156">
            <v>0</v>
          </cell>
          <cell r="U156">
            <v>2</v>
          </cell>
          <cell r="V156">
            <v>78</v>
          </cell>
          <cell r="W156">
            <v>0</v>
          </cell>
          <cell r="X156">
            <v>0</v>
          </cell>
          <cell r="Y156">
            <v>3</v>
          </cell>
          <cell r="Z156">
            <v>113</v>
          </cell>
        </row>
        <row r="157">
          <cell r="B157" t="str">
            <v>SEATTLE, WA</v>
          </cell>
          <cell r="C157">
            <v>0</v>
          </cell>
          <cell r="D157">
            <v>0</v>
          </cell>
          <cell r="E157">
            <v>0</v>
          </cell>
          <cell r="F157">
            <v>0</v>
          </cell>
          <cell r="G157">
            <v>0</v>
          </cell>
          <cell r="H157">
            <v>0</v>
          </cell>
          <cell r="I157">
            <v>0</v>
          </cell>
          <cell r="J157">
            <v>0</v>
          </cell>
          <cell r="K157">
            <v>0</v>
          </cell>
          <cell r="L157">
            <v>0</v>
          </cell>
          <cell r="M157">
            <v>1</v>
          </cell>
          <cell r="N157">
            <v>65</v>
          </cell>
          <cell r="O157">
            <v>1</v>
          </cell>
          <cell r="P157">
            <v>62</v>
          </cell>
          <cell r="Q157">
            <v>1</v>
          </cell>
          <cell r="R157">
            <v>137</v>
          </cell>
          <cell r="S157">
            <v>0</v>
          </cell>
          <cell r="T157">
            <v>0</v>
          </cell>
          <cell r="U157">
            <v>1</v>
          </cell>
          <cell r="V157">
            <v>107</v>
          </cell>
          <cell r="W157">
            <v>0</v>
          </cell>
          <cell r="X157">
            <v>0</v>
          </cell>
          <cell r="Y157">
            <v>3</v>
          </cell>
          <cell r="Z157">
            <v>202</v>
          </cell>
        </row>
        <row r="158">
          <cell r="B158" t="str">
            <v>TAMPA-SAINT PETERSBURG, FL</v>
          </cell>
          <cell r="C158">
            <v>0</v>
          </cell>
          <cell r="D158">
            <v>0</v>
          </cell>
          <cell r="E158">
            <v>0</v>
          </cell>
          <cell r="F158">
            <v>0</v>
          </cell>
          <cell r="G158">
            <v>1</v>
          </cell>
          <cell r="H158">
            <v>152</v>
          </cell>
          <cell r="I158">
            <v>0</v>
          </cell>
          <cell r="J158">
            <v>0</v>
          </cell>
          <cell r="K158">
            <v>0</v>
          </cell>
          <cell r="L158">
            <v>0</v>
          </cell>
          <cell r="M158">
            <v>0</v>
          </cell>
          <cell r="N158">
            <v>0</v>
          </cell>
          <cell r="O158">
            <v>0</v>
          </cell>
          <cell r="P158">
            <v>0</v>
          </cell>
          <cell r="Q158">
            <v>2</v>
          </cell>
          <cell r="R158">
            <v>135</v>
          </cell>
          <cell r="S158">
            <v>0</v>
          </cell>
          <cell r="T158">
            <v>0</v>
          </cell>
          <cell r="U158">
            <v>0</v>
          </cell>
          <cell r="V158">
            <v>0</v>
          </cell>
          <cell r="W158">
            <v>0</v>
          </cell>
          <cell r="X158">
            <v>0</v>
          </cell>
          <cell r="Y158">
            <v>0</v>
          </cell>
          <cell r="Z158">
            <v>0</v>
          </cell>
        </row>
        <row r="159">
          <cell r="B159" t="str">
            <v>WASHINGTON, DC-MD-VA</v>
          </cell>
          <cell r="C159">
            <v>0</v>
          </cell>
          <cell r="D159">
            <v>0</v>
          </cell>
          <cell r="E159">
            <v>2</v>
          </cell>
          <cell r="F159">
            <v>318</v>
          </cell>
          <cell r="G159">
            <v>2</v>
          </cell>
          <cell r="H159">
            <v>273</v>
          </cell>
          <cell r="I159">
            <v>3</v>
          </cell>
          <cell r="J159">
            <v>399</v>
          </cell>
          <cell r="K159">
            <v>0</v>
          </cell>
          <cell r="L159">
            <v>0</v>
          </cell>
          <cell r="M159">
            <v>1</v>
          </cell>
          <cell r="N159">
            <v>233</v>
          </cell>
          <cell r="O159">
            <v>0</v>
          </cell>
          <cell r="P159">
            <v>0</v>
          </cell>
          <cell r="Q159">
            <v>2</v>
          </cell>
          <cell r="R159">
            <v>262</v>
          </cell>
          <cell r="S159">
            <v>0</v>
          </cell>
          <cell r="T159">
            <v>0</v>
          </cell>
          <cell r="U159">
            <v>1</v>
          </cell>
          <cell r="V159">
            <v>60</v>
          </cell>
          <cell r="W159">
            <v>0</v>
          </cell>
          <cell r="X159">
            <v>0</v>
          </cell>
          <cell r="Y159">
            <v>1</v>
          </cell>
          <cell r="Z159">
            <v>172</v>
          </cell>
        </row>
      </sheetData>
      <sheetData sheetId="9"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
      <sheetName val="1997-3q01 ALL OPENS"/>
    </sheetNames>
    <sheetDataSet>
      <sheetData sheetId="0" refreshError="1">
        <row r="6">
          <cell r="H6" t="str">
            <v>Adam's Mark</v>
          </cell>
          <cell r="I6" t="str">
            <v>Adam's Mark</v>
          </cell>
          <cell r="J6" t="str">
            <v/>
          </cell>
        </row>
        <row r="7">
          <cell r="H7" t="str">
            <v>AmericInn</v>
          </cell>
          <cell r="I7" t="str">
            <v>Ameicinn Int'l</v>
          </cell>
          <cell r="J7" t="str">
            <v>CIS</v>
          </cell>
          <cell r="AB7" t="str">
            <v>1Q 00</v>
          </cell>
          <cell r="AC7" t="str">
            <v>m1Q 00</v>
          </cell>
        </row>
        <row r="8">
          <cell r="H8" t="str">
            <v>AmeriHost Inn</v>
          </cell>
          <cell r="I8" t="str">
            <v>Cendant</v>
          </cell>
          <cell r="J8" t="str">
            <v/>
          </cell>
          <cell r="AB8" t="str">
            <v>1Q 01</v>
          </cell>
          <cell r="AC8" t="str">
            <v>q1Q 01</v>
          </cell>
        </row>
        <row r="9">
          <cell r="H9" t="str">
            <v>AmeriSuites</v>
          </cell>
          <cell r="I9" t="str">
            <v>Prime Hospitality</v>
          </cell>
          <cell r="J9" t="str">
            <v>CIS</v>
          </cell>
          <cell r="AB9" t="str">
            <v>1Q 97</v>
          </cell>
          <cell r="AC9" t="str">
            <v>a1Q 97</v>
          </cell>
        </row>
        <row r="10">
          <cell r="H10" t="str">
            <v>AmeriTel Inn</v>
          </cell>
          <cell r="I10" t="str">
            <v>AmeriTel</v>
          </cell>
          <cell r="J10" t="str">
            <v/>
          </cell>
          <cell r="AB10" t="str">
            <v>1Q 98</v>
          </cell>
          <cell r="AC10" t="str">
            <v>e1Q 98</v>
          </cell>
        </row>
        <row r="11">
          <cell r="H11" t="str">
            <v>Arte Business Suites</v>
          </cell>
          <cell r="I11" t="str">
            <v>Mayuri Corp.</v>
          </cell>
          <cell r="J11" t="str">
            <v/>
          </cell>
          <cell r="AB11" t="str">
            <v>1Q 99</v>
          </cell>
          <cell r="AC11" t="str">
            <v>i1Q 99</v>
          </cell>
        </row>
        <row r="12">
          <cell r="H12" t="str">
            <v>Arte Palatial Suites</v>
          </cell>
          <cell r="I12" t="str">
            <v>Mayuri Corp.</v>
          </cell>
          <cell r="J12" t="str">
            <v/>
          </cell>
          <cell r="AB12" t="str">
            <v>2Q 00</v>
          </cell>
          <cell r="AC12" t="str">
            <v>n2Q 00</v>
          </cell>
        </row>
        <row r="13">
          <cell r="H13" t="str">
            <v>Baymont Inn</v>
          </cell>
          <cell r="I13" t="str">
            <v>Marcus Corp.</v>
          </cell>
          <cell r="J13" t="str">
            <v/>
          </cell>
          <cell r="AB13" t="str">
            <v>2Q 01</v>
          </cell>
          <cell r="AC13" t="str">
            <v>r2Q 01</v>
          </cell>
        </row>
        <row r="14">
          <cell r="H14" t="str">
            <v>Best Inn &amp; Suites</v>
          </cell>
          <cell r="I14" t="str">
            <v>US Franchise</v>
          </cell>
          <cell r="J14" t="str">
            <v/>
          </cell>
          <cell r="AB14" t="str">
            <v>2Q 97</v>
          </cell>
          <cell r="AC14" t="str">
            <v>b2Q 97</v>
          </cell>
        </row>
        <row r="15">
          <cell r="H15" t="str">
            <v>Best Western</v>
          </cell>
          <cell r="I15" t="str">
            <v>Best Western Int'l</v>
          </cell>
          <cell r="J15" t="str">
            <v/>
          </cell>
          <cell r="AB15" t="str">
            <v>2Q 98</v>
          </cell>
          <cell r="AC15" t="str">
            <v>f2Q 98</v>
          </cell>
        </row>
        <row r="16">
          <cell r="H16" t="str">
            <v>Bradford Homesuites</v>
          </cell>
          <cell r="I16" t="str">
            <v>Intervest</v>
          </cell>
          <cell r="J16" t="str">
            <v/>
          </cell>
          <cell r="AB16" t="str">
            <v>2Q 99</v>
          </cell>
          <cell r="AC16" t="str">
            <v>j2Q 99</v>
          </cell>
        </row>
        <row r="17">
          <cell r="H17" t="str">
            <v>Budget Host</v>
          </cell>
          <cell r="I17" t="str">
            <v>Budget Host</v>
          </cell>
          <cell r="J17" t="str">
            <v/>
          </cell>
          <cell r="AB17" t="str">
            <v>3Q 00</v>
          </cell>
          <cell r="AC17" t="str">
            <v>o3Q 00</v>
          </cell>
        </row>
        <row r="18">
          <cell r="H18" t="str">
            <v>Budget Suites of America</v>
          </cell>
          <cell r="I18" t="str">
            <v>Bigelow Cos.</v>
          </cell>
          <cell r="J18" t="str">
            <v/>
          </cell>
          <cell r="AB18" t="str">
            <v>3Q 01</v>
          </cell>
          <cell r="AC18" t="str">
            <v>s3Q 01</v>
          </cell>
        </row>
        <row r="19">
          <cell r="H19" t="str">
            <v>Candlewood Suites</v>
          </cell>
          <cell r="I19" t="str">
            <v>Candlewood Hotels</v>
          </cell>
          <cell r="J19" t="str">
            <v/>
          </cell>
          <cell r="AB19" t="str">
            <v>3Q 97</v>
          </cell>
          <cell r="AC19" t="str">
            <v>c3Q 97</v>
          </cell>
        </row>
        <row r="20">
          <cell r="H20" t="str">
            <v>Casino</v>
          </cell>
          <cell r="I20" t="str">
            <v>Casino</v>
          </cell>
          <cell r="J20" t="str">
            <v/>
          </cell>
          <cell r="AB20" t="str">
            <v>3Q 98</v>
          </cell>
          <cell r="AC20" t="str">
            <v>g3Q 98</v>
          </cell>
        </row>
        <row r="21">
          <cell r="H21" t="str">
            <v>Clarion</v>
          </cell>
          <cell r="I21" t="str">
            <v>Choice Hotels</v>
          </cell>
          <cell r="J21" t="str">
            <v/>
          </cell>
          <cell r="AB21" t="str">
            <v>3Q 99</v>
          </cell>
          <cell r="AC21" t="str">
            <v>k3Q 99</v>
          </cell>
        </row>
        <row r="22">
          <cell r="H22" t="str">
            <v>Club Hotel by Doubletree</v>
          </cell>
          <cell r="I22" t="str">
            <v>Hilton Hotel Corp.</v>
          </cell>
          <cell r="J22" t="str">
            <v/>
          </cell>
          <cell r="AB22" t="str">
            <v>4Q 00</v>
          </cell>
          <cell r="AC22" t="str">
            <v>p4Q 00</v>
          </cell>
        </row>
        <row r="23">
          <cell r="H23" t="str">
            <v>Club Inn</v>
          </cell>
          <cell r="I23" t="str">
            <v>Wyndham Int'l</v>
          </cell>
          <cell r="J23" t="str">
            <v/>
          </cell>
          <cell r="AB23" t="str">
            <v>4Q 01</v>
          </cell>
          <cell r="AC23" t="str">
            <v>t4Q 01</v>
          </cell>
        </row>
        <row r="24">
          <cell r="H24" t="str">
            <v>Comfort Inn</v>
          </cell>
          <cell r="I24" t="str">
            <v>Choice Hotels</v>
          </cell>
          <cell r="J24" t="str">
            <v>CIS</v>
          </cell>
          <cell r="AB24" t="str">
            <v>4Q 97</v>
          </cell>
          <cell r="AC24" t="str">
            <v>d4Q 97</v>
          </cell>
        </row>
        <row r="25">
          <cell r="H25" t="str">
            <v>Comfort Suites</v>
          </cell>
          <cell r="I25" t="str">
            <v>Choice Hotels</v>
          </cell>
          <cell r="J25" t="str">
            <v>CIS</v>
          </cell>
          <cell r="AB25" t="str">
            <v>4Q 98</v>
          </cell>
          <cell r="AC25" t="str">
            <v>h4Q 98</v>
          </cell>
        </row>
        <row r="26">
          <cell r="H26" t="str">
            <v>Country Hearth Inn</v>
          </cell>
          <cell r="I26" t="str">
            <v>Buckhead America</v>
          </cell>
          <cell r="J26" t="str">
            <v/>
          </cell>
          <cell r="AB26" t="str">
            <v>4Q 99</v>
          </cell>
          <cell r="AC26" t="str">
            <v>l4Q 99</v>
          </cell>
        </row>
        <row r="27">
          <cell r="H27" t="str">
            <v>Country Inn &amp; Suites</v>
          </cell>
          <cell r="I27" t="str">
            <v>Carlson Hospitality</v>
          </cell>
          <cell r="J27" t="str">
            <v>CIS</v>
          </cell>
        </row>
        <row r="28">
          <cell r="H28" t="str">
            <v>Courtyard by Marriott</v>
          </cell>
          <cell r="I28" t="str">
            <v>Marriott Int'l</v>
          </cell>
          <cell r="J28" t="str">
            <v>CIS</v>
          </cell>
        </row>
        <row r="29">
          <cell r="H29" t="str">
            <v>Crestwood Suites</v>
          </cell>
          <cell r="I29" t="str">
            <v>Burson &amp; Simpson</v>
          </cell>
          <cell r="J29" t="str">
            <v/>
          </cell>
        </row>
        <row r="30">
          <cell r="H30" t="str">
            <v>Crossland Economy Studios</v>
          </cell>
          <cell r="I30" t="str">
            <v>Extended Stay America</v>
          </cell>
          <cell r="J30" t="str">
            <v/>
          </cell>
        </row>
        <row r="31">
          <cell r="H31" t="str">
            <v>Crowne Plaza</v>
          </cell>
          <cell r="I31" t="str">
            <v>Bass Hotels &amp; Resorts</v>
          </cell>
          <cell r="J31" t="str">
            <v/>
          </cell>
        </row>
        <row r="32">
          <cell r="H32" t="str">
            <v>Crystal Inn</v>
          </cell>
          <cell r="I32" t="str">
            <v>Crystal Inns</v>
          </cell>
          <cell r="J32" t="str">
            <v/>
          </cell>
        </row>
        <row r="33">
          <cell r="H33" t="str">
            <v>Days Inn</v>
          </cell>
          <cell r="I33" t="str">
            <v>Cendant</v>
          </cell>
          <cell r="J33" t="str">
            <v/>
          </cell>
        </row>
        <row r="34">
          <cell r="H34" t="str">
            <v>Doubletree Guest Suites</v>
          </cell>
          <cell r="I34" t="str">
            <v>Hilton Hotel Corp.</v>
          </cell>
          <cell r="J34" t="str">
            <v/>
          </cell>
        </row>
        <row r="35">
          <cell r="H35" t="str">
            <v>Doubletree Hotel</v>
          </cell>
          <cell r="I35" t="str">
            <v>Hilton Hotel Corp.</v>
          </cell>
          <cell r="J35" t="str">
            <v/>
          </cell>
        </row>
        <row r="36">
          <cell r="H36" t="str">
            <v>Drury Inn</v>
          </cell>
          <cell r="I36" t="str">
            <v>Drury Inns Inc.</v>
          </cell>
          <cell r="J36" t="str">
            <v/>
          </cell>
        </row>
        <row r="37">
          <cell r="H37" t="str">
            <v>Econo Lodge</v>
          </cell>
          <cell r="I37" t="str">
            <v>Choice Hotels</v>
          </cell>
          <cell r="J37" t="str">
            <v/>
          </cell>
        </row>
        <row r="38">
          <cell r="H38" t="str">
            <v>Embassy Suites</v>
          </cell>
          <cell r="I38" t="str">
            <v>Hilton Hotel Corp.</v>
          </cell>
          <cell r="J38" t="str">
            <v/>
          </cell>
        </row>
        <row r="39">
          <cell r="H39" t="str">
            <v>Extended Stay America</v>
          </cell>
          <cell r="I39" t="str">
            <v>Extended Stay America</v>
          </cell>
          <cell r="J39" t="str">
            <v/>
          </cell>
        </row>
        <row r="40">
          <cell r="H40" t="str">
            <v>Fairfield Inn</v>
          </cell>
          <cell r="I40" t="str">
            <v>Marriott Int'l</v>
          </cell>
          <cell r="J40" t="str">
            <v>CIS</v>
          </cell>
        </row>
        <row r="41">
          <cell r="H41" t="str">
            <v>Fairfield Inn &amp; Suites</v>
          </cell>
          <cell r="I41" t="str">
            <v>Marriott Int'l</v>
          </cell>
          <cell r="J41" t="str">
            <v/>
          </cell>
        </row>
        <row r="42">
          <cell r="H42" t="str">
            <v>Fairfield Suites</v>
          </cell>
          <cell r="I42" t="str">
            <v>Marriott Int'l</v>
          </cell>
          <cell r="J42" t="str">
            <v/>
          </cell>
        </row>
        <row r="43">
          <cell r="H43" t="str">
            <v>Four Points Hotel</v>
          </cell>
          <cell r="I43" t="str">
            <v>Starwood Hotels</v>
          </cell>
          <cell r="J43" t="str">
            <v/>
          </cell>
        </row>
        <row r="44">
          <cell r="H44" t="str">
            <v>Four Seasons</v>
          </cell>
          <cell r="I44" t="str">
            <v>Four Seasons</v>
          </cell>
          <cell r="J44" t="str">
            <v/>
          </cell>
        </row>
        <row r="45">
          <cell r="H45" t="str">
            <v>Friendship Inn</v>
          </cell>
          <cell r="I45" t="str">
            <v>Choice Hotels</v>
          </cell>
          <cell r="J45" t="str">
            <v/>
          </cell>
        </row>
        <row r="46">
          <cell r="H46" t="str">
            <v>Grand Bay Hotel</v>
          </cell>
          <cell r="I46" t="str">
            <v>Wyndham Int'l</v>
          </cell>
          <cell r="J46" t="str">
            <v/>
          </cell>
        </row>
        <row r="47">
          <cell r="H47" t="str">
            <v>GuestHouse Inn</v>
          </cell>
          <cell r="I47" t="str">
            <v>Suburban Lodges</v>
          </cell>
          <cell r="J47" t="str">
            <v/>
          </cell>
        </row>
        <row r="48">
          <cell r="H48" t="str">
            <v>Hampton Inn</v>
          </cell>
          <cell r="I48" t="str">
            <v>Hilton Hotel Corp.</v>
          </cell>
          <cell r="J48" t="str">
            <v>CIS</v>
          </cell>
        </row>
        <row r="49">
          <cell r="H49" t="str">
            <v>Hampton Inn &amp; Suites</v>
          </cell>
          <cell r="I49" t="str">
            <v>Hilton Hotel Corp.</v>
          </cell>
          <cell r="J49" t="str">
            <v>CIS</v>
          </cell>
        </row>
        <row r="50">
          <cell r="H50" t="str">
            <v>Hawthorn Ltd.</v>
          </cell>
          <cell r="I50" t="str">
            <v>Hilton Hotel Corp.</v>
          </cell>
          <cell r="J50" t="str">
            <v>CIS</v>
          </cell>
        </row>
        <row r="51">
          <cell r="H51" t="str">
            <v>Hawthorn Suites</v>
          </cell>
          <cell r="I51" t="str">
            <v>US Franchise</v>
          </cell>
          <cell r="J51" t="str">
            <v>CIS</v>
          </cell>
        </row>
        <row r="52">
          <cell r="H52" t="str">
            <v>Hawthorn Suites Ltd.</v>
          </cell>
          <cell r="I52" t="str">
            <v>US Franchise</v>
          </cell>
          <cell r="J52" t="str">
            <v>CIS</v>
          </cell>
        </row>
        <row r="53">
          <cell r="H53" t="str">
            <v>Hearthside Inn</v>
          </cell>
          <cell r="I53" t="str">
            <v>Hearthside Inns</v>
          </cell>
          <cell r="J53" t="str">
            <v/>
          </cell>
        </row>
        <row r="54">
          <cell r="H54" t="str">
            <v>Hilton Garden Inn</v>
          </cell>
          <cell r="I54" t="str">
            <v>Hilton Hotel Corp.</v>
          </cell>
          <cell r="J54" t="str">
            <v>CIS</v>
          </cell>
        </row>
        <row r="55">
          <cell r="H55" t="str">
            <v>Hilton Hotel</v>
          </cell>
          <cell r="I55" t="str">
            <v>Hilton Hotel Corp.</v>
          </cell>
          <cell r="J55" t="str">
            <v/>
          </cell>
        </row>
        <row r="56">
          <cell r="H56" t="str">
            <v>HoJo Inn</v>
          </cell>
          <cell r="I56" t="str">
            <v>Cendant</v>
          </cell>
          <cell r="J56" t="str">
            <v/>
          </cell>
        </row>
        <row r="57">
          <cell r="H57" t="str">
            <v>Holiday  Inn</v>
          </cell>
          <cell r="I57" t="str">
            <v>Bass Hotels &amp; Resorts</v>
          </cell>
          <cell r="J57" t="str">
            <v/>
          </cell>
        </row>
        <row r="58">
          <cell r="H58" t="str">
            <v>Holiday Inn Express</v>
          </cell>
          <cell r="I58" t="str">
            <v>Bass Hotels &amp; Resorts</v>
          </cell>
          <cell r="J58" t="str">
            <v>CIS</v>
          </cell>
        </row>
        <row r="59">
          <cell r="H59" t="str">
            <v>Holiday Inn Express &amp; Suites</v>
          </cell>
          <cell r="I59" t="str">
            <v>Bass Hotels &amp; Resorts</v>
          </cell>
          <cell r="J59" t="str">
            <v>CIS</v>
          </cell>
        </row>
        <row r="60">
          <cell r="H60" t="str">
            <v>Holiday Inn Select</v>
          </cell>
          <cell r="I60" t="str">
            <v>Bass Hotels &amp; Resorts</v>
          </cell>
          <cell r="J60" t="str">
            <v/>
          </cell>
        </row>
        <row r="61">
          <cell r="H61" t="str">
            <v>Holiday Inn Sunspree</v>
          </cell>
          <cell r="I61" t="str">
            <v>Bass Hotels &amp; Resorts</v>
          </cell>
          <cell r="J61" t="str">
            <v/>
          </cell>
        </row>
        <row r="62">
          <cell r="H62" t="str">
            <v>Homegate Studios &amp; Suites</v>
          </cell>
          <cell r="I62" t="str">
            <v>zIndependent Hotel</v>
          </cell>
          <cell r="J62" t="str">
            <v/>
          </cell>
        </row>
        <row r="63">
          <cell r="H63" t="str">
            <v>Homestead Village</v>
          </cell>
          <cell r="I63" t="str">
            <v>Homestead Village</v>
          </cell>
          <cell r="J63" t="str">
            <v/>
          </cell>
        </row>
        <row r="64">
          <cell r="H64" t="str">
            <v>Homewood Suites by Hilton</v>
          </cell>
          <cell r="I64" t="str">
            <v>Hilton Hotel Corp.</v>
          </cell>
          <cell r="J64" t="str">
            <v/>
          </cell>
        </row>
        <row r="65">
          <cell r="H65" t="str">
            <v>Hotel Sofitel</v>
          </cell>
          <cell r="I65" t="str">
            <v>ACCOR</v>
          </cell>
          <cell r="J65" t="str">
            <v/>
          </cell>
        </row>
        <row r="66">
          <cell r="H66" t="str">
            <v>Howard Johnson</v>
          </cell>
          <cell r="I66" t="str">
            <v>Cendant</v>
          </cell>
          <cell r="J66" t="str">
            <v/>
          </cell>
        </row>
        <row r="67">
          <cell r="H67" t="str">
            <v>Howard Johnson Express Inn</v>
          </cell>
          <cell r="I67" t="str">
            <v>Cendant</v>
          </cell>
          <cell r="J67" t="str">
            <v/>
          </cell>
        </row>
        <row r="68">
          <cell r="H68" t="str">
            <v>Howard Johnson Hotel</v>
          </cell>
          <cell r="I68" t="str">
            <v>Cendant</v>
          </cell>
          <cell r="J68" t="str">
            <v/>
          </cell>
        </row>
        <row r="69">
          <cell r="H69" t="str">
            <v>Howard Johnson Inn</v>
          </cell>
          <cell r="I69" t="str">
            <v>Cendant</v>
          </cell>
          <cell r="J69" t="str">
            <v/>
          </cell>
        </row>
        <row r="70">
          <cell r="H70" t="str">
            <v>Howard Johnson Plaza</v>
          </cell>
          <cell r="I70" t="str">
            <v>Cendant</v>
          </cell>
          <cell r="J70" t="str">
            <v/>
          </cell>
        </row>
        <row r="71">
          <cell r="H71" t="str">
            <v>Hyatt Hotel</v>
          </cell>
          <cell r="I71" t="str">
            <v>Hyatt Hotel Corp.</v>
          </cell>
          <cell r="J71" t="str">
            <v/>
          </cell>
        </row>
        <row r="72">
          <cell r="H72" t="str">
            <v>Hyatt Regency</v>
          </cell>
          <cell r="I72" t="str">
            <v>Hyatt Hotel Corp.</v>
          </cell>
          <cell r="J72" t="str">
            <v/>
          </cell>
        </row>
        <row r="73">
          <cell r="H73" t="str">
            <v>Inter-Continental</v>
          </cell>
          <cell r="I73" t="str">
            <v>Bass Hotels &amp; Resorts</v>
          </cell>
          <cell r="J73" t="str">
            <v/>
          </cell>
        </row>
        <row r="74">
          <cell r="H74" t="str">
            <v>Intown Suites</v>
          </cell>
          <cell r="I74" t="str">
            <v>Intown Suites</v>
          </cell>
          <cell r="J74" t="str">
            <v/>
          </cell>
        </row>
        <row r="75">
          <cell r="H75" t="str">
            <v>Jameson Inn</v>
          </cell>
          <cell r="I75" t="str">
            <v>Jameson Inns</v>
          </cell>
          <cell r="J75" t="str">
            <v/>
          </cell>
        </row>
        <row r="76">
          <cell r="H76" t="str">
            <v>Key West Inn</v>
          </cell>
          <cell r="I76" t="str">
            <v>Key West Inns</v>
          </cell>
          <cell r="J76" t="str">
            <v/>
          </cell>
        </row>
        <row r="77">
          <cell r="H77" t="str">
            <v>Knights Inn</v>
          </cell>
          <cell r="I77" t="str">
            <v>Cendant</v>
          </cell>
          <cell r="J77" t="str">
            <v/>
          </cell>
        </row>
        <row r="78">
          <cell r="H78" t="str">
            <v>La Quinta Inn</v>
          </cell>
          <cell r="I78" t="str">
            <v>Meditrust</v>
          </cell>
          <cell r="J78" t="str">
            <v>CIS</v>
          </cell>
        </row>
        <row r="79">
          <cell r="H79" t="str">
            <v>La Quinta Motor Inn</v>
          </cell>
          <cell r="I79" t="str">
            <v>Meditrust</v>
          </cell>
          <cell r="J79" t="str">
            <v/>
          </cell>
        </row>
        <row r="80">
          <cell r="H80" t="str">
            <v>Larkspur Landing</v>
          </cell>
          <cell r="I80" t="str">
            <v>Larkspur</v>
          </cell>
          <cell r="J80" t="str">
            <v/>
          </cell>
        </row>
        <row r="81">
          <cell r="H81" t="str">
            <v>Le Meridien</v>
          </cell>
          <cell r="I81" t="str">
            <v>Meridien Hotels</v>
          </cell>
          <cell r="J81" t="str">
            <v/>
          </cell>
        </row>
        <row r="82">
          <cell r="H82" t="str">
            <v>Lexington Hotel Suites</v>
          </cell>
          <cell r="I82" t="str">
            <v>Lexington Hotel Suites</v>
          </cell>
          <cell r="J82" t="str">
            <v/>
          </cell>
        </row>
        <row r="83">
          <cell r="H83" t="str">
            <v>Loews Hotel</v>
          </cell>
          <cell r="I83" t="str">
            <v>Loew's Hotels</v>
          </cell>
          <cell r="J83" t="str">
            <v/>
          </cell>
        </row>
        <row r="84">
          <cell r="H84" t="str">
            <v>MainStay Suites</v>
          </cell>
          <cell r="I84" t="str">
            <v>Choice Hotels</v>
          </cell>
          <cell r="J84" t="str">
            <v/>
          </cell>
        </row>
        <row r="85">
          <cell r="H85" t="str">
            <v>Marriott Hotel</v>
          </cell>
          <cell r="I85" t="str">
            <v>Marriott Int'l</v>
          </cell>
          <cell r="J85" t="str">
            <v/>
          </cell>
        </row>
        <row r="86">
          <cell r="H86" t="str">
            <v>Meridien Hotel</v>
          </cell>
          <cell r="I86" t="str">
            <v>Meridien Hotels</v>
          </cell>
          <cell r="J86" t="str">
            <v/>
          </cell>
        </row>
        <row r="87">
          <cell r="H87" t="str">
            <v>Microtel Inn</v>
          </cell>
          <cell r="I87" t="str">
            <v>US Franchise</v>
          </cell>
          <cell r="J87" t="str">
            <v/>
          </cell>
        </row>
        <row r="88">
          <cell r="H88" t="str">
            <v>Motel 6</v>
          </cell>
          <cell r="I88" t="str">
            <v>ACCOR ECON LODGING</v>
          </cell>
          <cell r="J88" t="str">
            <v/>
          </cell>
        </row>
        <row r="89">
          <cell r="H89" t="str">
            <v>Omni Hotel</v>
          </cell>
          <cell r="I89" t="str">
            <v>Omni Hotels</v>
          </cell>
          <cell r="J89" t="str">
            <v/>
          </cell>
        </row>
        <row r="90">
          <cell r="H90" t="str">
            <v>Park Inn</v>
          </cell>
          <cell r="I90" t="str">
            <v>Carlson Hospitality</v>
          </cell>
          <cell r="J90" t="str">
            <v/>
          </cell>
        </row>
        <row r="91">
          <cell r="H91" t="str">
            <v>Platinum Suites</v>
          </cell>
          <cell r="I91" t="str">
            <v>Platinum Suites</v>
          </cell>
          <cell r="J91" t="str">
            <v/>
          </cell>
        </row>
        <row r="92">
          <cell r="H92" t="str">
            <v>Quality Inn</v>
          </cell>
          <cell r="I92" t="str">
            <v>Choice Hotels</v>
          </cell>
          <cell r="J92" t="str">
            <v/>
          </cell>
        </row>
        <row r="93">
          <cell r="H93" t="str">
            <v>Quality Inn &amp; Suites</v>
          </cell>
          <cell r="I93" t="str">
            <v>Choice Hotels</v>
          </cell>
          <cell r="J93" t="str">
            <v/>
          </cell>
        </row>
        <row r="94">
          <cell r="H94" t="str">
            <v>Quality Suites</v>
          </cell>
          <cell r="I94" t="str">
            <v>Choice Hotels</v>
          </cell>
          <cell r="J94" t="str">
            <v/>
          </cell>
        </row>
        <row r="95">
          <cell r="H95" t="str">
            <v>Radisson Hotel</v>
          </cell>
          <cell r="I95" t="str">
            <v>Carlson Hospitality</v>
          </cell>
          <cell r="J95" t="str">
            <v/>
          </cell>
        </row>
        <row r="96">
          <cell r="H96" t="str">
            <v>Radisson Inn</v>
          </cell>
          <cell r="I96" t="str">
            <v>Carlson Hospitality</v>
          </cell>
          <cell r="J96" t="str">
            <v/>
          </cell>
        </row>
        <row r="97">
          <cell r="H97" t="str">
            <v>Ramada</v>
          </cell>
          <cell r="I97" t="str">
            <v>Cendant</v>
          </cell>
          <cell r="J97" t="str">
            <v/>
          </cell>
        </row>
        <row r="98">
          <cell r="H98" t="str">
            <v>Ramada Inn</v>
          </cell>
          <cell r="I98" t="str">
            <v>Cendant</v>
          </cell>
          <cell r="J98" t="str">
            <v/>
          </cell>
        </row>
        <row r="99">
          <cell r="H99" t="str">
            <v>Ramada Limited</v>
          </cell>
          <cell r="I99" t="str">
            <v>Cendant</v>
          </cell>
          <cell r="J99" t="str">
            <v/>
          </cell>
        </row>
        <row r="100">
          <cell r="H100" t="str">
            <v>Ramada Plaza</v>
          </cell>
          <cell r="I100" t="str">
            <v>Cendant</v>
          </cell>
          <cell r="J100" t="str">
            <v/>
          </cell>
        </row>
        <row r="101">
          <cell r="H101" t="str">
            <v>Red Carpet Inn</v>
          </cell>
          <cell r="I101" t="str">
            <v>Red Carpet Inn</v>
          </cell>
          <cell r="J101" t="str">
            <v/>
          </cell>
        </row>
        <row r="102">
          <cell r="H102" t="str">
            <v>Red Lion</v>
          </cell>
          <cell r="I102" t="str">
            <v>Hilton Hotel Corp.</v>
          </cell>
          <cell r="J102" t="str">
            <v/>
          </cell>
        </row>
        <row r="103">
          <cell r="H103" t="str">
            <v>Red Roof Inn</v>
          </cell>
          <cell r="I103" t="str">
            <v>ACCOR ECON LODGING</v>
          </cell>
          <cell r="J103" t="str">
            <v/>
          </cell>
        </row>
        <row r="104">
          <cell r="H104" t="str">
            <v>Renaissance Hotel</v>
          </cell>
          <cell r="I104" t="str">
            <v>Marriott Int'l</v>
          </cell>
          <cell r="J104" t="str">
            <v/>
          </cell>
        </row>
        <row r="105">
          <cell r="H105" t="str">
            <v>Residence Inn</v>
          </cell>
          <cell r="I105" t="str">
            <v>Marriott Int'l</v>
          </cell>
          <cell r="J105" t="str">
            <v/>
          </cell>
        </row>
        <row r="106">
          <cell r="H106" t="str">
            <v>Ritz-Carlton</v>
          </cell>
          <cell r="I106" t="str">
            <v>Marriott Int'l</v>
          </cell>
          <cell r="J106" t="str">
            <v/>
          </cell>
        </row>
        <row r="107">
          <cell r="H107" t="str">
            <v>Rodeway Inn</v>
          </cell>
          <cell r="I107" t="str">
            <v>Choice Hotels</v>
          </cell>
          <cell r="J107" t="str">
            <v/>
          </cell>
        </row>
        <row r="108">
          <cell r="H108" t="str">
            <v>Scottish Inn</v>
          </cell>
          <cell r="I108" t="str">
            <v>Scottish Inn</v>
          </cell>
          <cell r="J108" t="str">
            <v/>
          </cell>
        </row>
        <row r="109">
          <cell r="H109" t="str">
            <v>Select Inn</v>
          </cell>
          <cell r="I109" t="str">
            <v>Select Inn</v>
          </cell>
          <cell r="J109" t="str">
            <v/>
          </cell>
        </row>
        <row r="110">
          <cell r="H110" t="str">
            <v>Sheraton Hotel</v>
          </cell>
          <cell r="I110" t="str">
            <v>Starwood Hotels</v>
          </cell>
          <cell r="J110" t="str">
            <v/>
          </cell>
        </row>
        <row r="111">
          <cell r="H111" t="str">
            <v>Sheraton Inn</v>
          </cell>
          <cell r="I111" t="str">
            <v>Starwood Hotels</v>
          </cell>
          <cell r="J111" t="str">
            <v/>
          </cell>
        </row>
        <row r="112">
          <cell r="H112" t="str">
            <v>Shoney's Inn</v>
          </cell>
          <cell r="I112" t="str">
            <v>Sholodge</v>
          </cell>
          <cell r="J112" t="str">
            <v/>
          </cell>
        </row>
        <row r="113">
          <cell r="H113" t="str">
            <v>Sierra Suites</v>
          </cell>
          <cell r="I113" t="str">
            <v>Sierra Suites Hotel Co.</v>
          </cell>
          <cell r="J113" t="str">
            <v/>
          </cell>
        </row>
        <row r="114">
          <cell r="H114" t="str">
            <v>Signature Inns</v>
          </cell>
          <cell r="I114" t="str">
            <v>Jameson Inns</v>
          </cell>
          <cell r="J114" t="str">
            <v/>
          </cell>
        </row>
        <row r="115">
          <cell r="H115" t="str">
            <v>Sleep Inn</v>
          </cell>
          <cell r="I115" t="str">
            <v>Choice Hotels</v>
          </cell>
          <cell r="J115" t="str">
            <v/>
          </cell>
        </row>
        <row r="116">
          <cell r="H116" t="str">
            <v>SpringHill Suites</v>
          </cell>
          <cell r="I116" t="str">
            <v>Marriott Int'l</v>
          </cell>
          <cell r="J116" t="str">
            <v>CIS</v>
          </cell>
        </row>
        <row r="117">
          <cell r="H117" t="str">
            <v>St. Regis</v>
          </cell>
          <cell r="I117" t="str">
            <v>Starwood Hotels</v>
          </cell>
          <cell r="J117" t="str">
            <v/>
          </cell>
        </row>
        <row r="118">
          <cell r="H118" t="str">
            <v>Starwood Hotel</v>
          </cell>
          <cell r="I118" t="str">
            <v>Starwood Hotels</v>
          </cell>
          <cell r="J118" t="str">
            <v/>
          </cell>
        </row>
        <row r="119">
          <cell r="H119" t="str">
            <v>Staybridge Suites</v>
          </cell>
          <cell r="I119" t="str">
            <v>Bass Hotels &amp; Resorts</v>
          </cell>
          <cell r="J119" t="str">
            <v/>
          </cell>
        </row>
        <row r="120">
          <cell r="H120" t="str">
            <v>Studio 6</v>
          </cell>
          <cell r="I120" t="str">
            <v>ACCOR Econ Lodging</v>
          </cell>
          <cell r="J120" t="str">
            <v/>
          </cell>
        </row>
        <row r="121">
          <cell r="H121" t="str">
            <v>StudioPlus Hotel</v>
          </cell>
          <cell r="I121" t="str">
            <v>Extended Stay America</v>
          </cell>
          <cell r="J121" t="str">
            <v/>
          </cell>
        </row>
        <row r="122">
          <cell r="H122" t="str">
            <v>Suburban Lodge</v>
          </cell>
          <cell r="I122" t="str">
            <v>Suburban Lodges</v>
          </cell>
          <cell r="J122" t="str">
            <v/>
          </cell>
        </row>
        <row r="123">
          <cell r="H123" t="str">
            <v>Suite Carolina</v>
          </cell>
          <cell r="I123" t="str">
            <v>Suite Carolina</v>
          </cell>
          <cell r="J123" t="str">
            <v/>
          </cell>
        </row>
        <row r="124">
          <cell r="H124" t="str">
            <v>SuiteOne</v>
          </cell>
          <cell r="I124" t="str">
            <v>SuiteOne</v>
          </cell>
          <cell r="J124" t="str">
            <v/>
          </cell>
        </row>
        <row r="125">
          <cell r="H125" t="str">
            <v>Summerfield Suites by Wyndham</v>
          </cell>
          <cell r="I125" t="str">
            <v>Wyndham Int'l</v>
          </cell>
          <cell r="J125" t="str">
            <v/>
          </cell>
        </row>
        <row r="126">
          <cell r="H126" t="str">
            <v>Sumner Suites</v>
          </cell>
          <cell r="I126" t="str">
            <v>Sholodge</v>
          </cell>
          <cell r="J126" t="str">
            <v/>
          </cell>
        </row>
        <row r="127">
          <cell r="H127" t="str">
            <v>Sun Suites</v>
          </cell>
          <cell r="I127" t="str">
            <v>Sun Suites, Inc.</v>
          </cell>
          <cell r="J127" t="str">
            <v/>
          </cell>
        </row>
        <row r="128">
          <cell r="H128" t="str">
            <v>Super 8</v>
          </cell>
          <cell r="I128" t="str">
            <v>Cendant</v>
          </cell>
          <cell r="J128" t="str">
            <v/>
          </cell>
        </row>
        <row r="129">
          <cell r="H129" t="str">
            <v>Susse Chalet</v>
          </cell>
          <cell r="I129" t="str">
            <v>Olympus Hospitality</v>
          </cell>
          <cell r="J129" t="str">
            <v/>
          </cell>
        </row>
        <row r="130">
          <cell r="H130" t="str">
            <v>Swissotel</v>
          </cell>
          <cell r="I130" t="str">
            <v>Swissotel</v>
          </cell>
          <cell r="J130" t="str">
            <v/>
          </cell>
        </row>
        <row r="131">
          <cell r="H131" t="str">
            <v>TownePlace Suites</v>
          </cell>
          <cell r="I131" t="str">
            <v>Marriott Int'l</v>
          </cell>
          <cell r="J131" t="str">
            <v/>
          </cell>
        </row>
        <row r="132">
          <cell r="H132" t="str">
            <v>Travelodge</v>
          </cell>
          <cell r="I132" t="str">
            <v>Cendant</v>
          </cell>
          <cell r="J132" t="str">
            <v/>
          </cell>
        </row>
        <row r="133">
          <cell r="H133" t="str">
            <v>Vagabond Inn</v>
          </cell>
          <cell r="I133" t="str">
            <v>Vagabond Inns</v>
          </cell>
          <cell r="J133" t="str">
            <v/>
          </cell>
        </row>
        <row r="134">
          <cell r="H134" t="str">
            <v>Villager Lodge</v>
          </cell>
          <cell r="I134" t="str">
            <v>Cendant</v>
          </cell>
          <cell r="J134" t="str">
            <v/>
          </cell>
        </row>
        <row r="135">
          <cell r="H135" t="str">
            <v>W Hotel</v>
          </cell>
          <cell r="I135" t="str">
            <v>Starwood Hotels</v>
          </cell>
          <cell r="J135" t="str">
            <v/>
          </cell>
        </row>
        <row r="136">
          <cell r="H136" t="str">
            <v>Wellesley Inn</v>
          </cell>
          <cell r="I136" t="str">
            <v>Prime Hospitality</v>
          </cell>
          <cell r="J136" t="str">
            <v>CIS</v>
          </cell>
        </row>
        <row r="137">
          <cell r="H137" t="str">
            <v>Westin  Hotel</v>
          </cell>
          <cell r="I137" t="str">
            <v>Starwood Hotels</v>
          </cell>
          <cell r="J137" t="str">
            <v/>
          </cell>
        </row>
        <row r="138">
          <cell r="H138" t="str">
            <v>Wilson Inn</v>
          </cell>
          <cell r="I138" t="str">
            <v>Wilson Inns</v>
          </cell>
          <cell r="J138" t="str">
            <v/>
          </cell>
        </row>
        <row r="139">
          <cell r="H139" t="str">
            <v>Wingate Inn</v>
          </cell>
          <cell r="I139" t="str">
            <v>Cendant</v>
          </cell>
          <cell r="J139" t="str">
            <v>CIS</v>
          </cell>
        </row>
        <row r="140">
          <cell r="H140" t="str">
            <v>Woodfield Suites</v>
          </cell>
          <cell r="I140" t="str">
            <v>Marcus Corp.</v>
          </cell>
          <cell r="J140" t="str">
            <v/>
          </cell>
        </row>
        <row r="141">
          <cell r="H141" t="str">
            <v>Woodfin Suites</v>
          </cell>
          <cell r="I141" t="str">
            <v>Woodfin Hotels</v>
          </cell>
          <cell r="J141" t="str">
            <v/>
          </cell>
        </row>
        <row r="142">
          <cell r="H142" t="str">
            <v xml:space="preserve">Wyndham Garden </v>
          </cell>
          <cell r="I142" t="str">
            <v>Wyndham Int'l</v>
          </cell>
          <cell r="J142" t="str">
            <v/>
          </cell>
        </row>
        <row r="143">
          <cell r="H143" t="str">
            <v>Wyndham Hotel</v>
          </cell>
          <cell r="I143" t="str">
            <v>Wyndham Int'l</v>
          </cell>
          <cell r="J143" t="str">
            <v/>
          </cell>
        </row>
      </sheetData>
      <sheetData sheetId="1"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riott Ex III"/>
      <sheetName val="BY MSA ExIII (LV)"/>
      <sheetName val="Courtyard Ex III (LV)"/>
      <sheetName val="Fairfield Ex III (LV)"/>
      <sheetName val="Marriott HRS Ex III (LV)"/>
      <sheetName val="Renaissance Ex III (LV)"/>
      <sheetName val="Residence Ex III (LV)"/>
      <sheetName val="Ritz Ex III (LV)"/>
      <sheetName val="SpringHill Ex III (LV)"/>
      <sheetName val="townplace Ex III (LV)"/>
      <sheetName val="lookups"/>
      <sheetName val="pivots"/>
      <sheetName val="census"/>
      <sheetName val="brand census"/>
    </sheetNames>
    <sheetDataSet>
      <sheetData sheetId="0"/>
      <sheetData sheetId="1"/>
      <sheetData sheetId="2"/>
      <sheetData sheetId="3"/>
      <sheetData sheetId="4"/>
      <sheetData sheetId="5"/>
      <sheetData sheetId="6"/>
      <sheetData sheetId="7"/>
      <sheetData sheetId="8"/>
      <sheetData sheetId="9"/>
      <sheetData sheetId="10" refreshError="1">
        <row r="3">
          <cell r="N3">
            <v>502411</v>
          </cell>
        </row>
        <row r="4">
          <cell r="N4">
            <v>368118</v>
          </cell>
        </row>
        <row r="5">
          <cell r="N5">
            <v>640176</v>
          </cell>
        </row>
        <row r="6">
          <cell r="N6">
            <v>538208</v>
          </cell>
        </row>
        <row r="245">
          <cell r="B245" t="str">
            <v>Bass Hotels</v>
          </cell>
          <cell r="C245">
            <v>2237</v>
          </cell>
          <cell r="D245">
            <v>321069</v>
          </cell>
          <cell r="E245">
            <v>131</v>
          </cell>
          <cell r="F245">
            <v>13159</v>
          </cell>
          <cell r="G245">
            <v>163</v>
          </cell>
          <cell r="H245">
            <v>14685</v>
          </cell>
          <cell r="I245">
            <v>294</v>
          </cell>
          <cell r="J245">
            <v>27844</v>
          </cell>
        </row>
        <row r="246">
          <cell r="B246" t="str">
            <v>Cendant Corp.</v>
          </cell>
          <cell r="C246">
            <v>6246</v>
          </cell>
          <cell r="D246">
            <v>524300</v>
          </cell>
          <cell r="E246">
            <v>90</v>
          </cell>
          <cell r="F246">
            <v>6706</v>
          </cell>
          <cell r="G246">
            <v>117</v>
          </cell>
          <cell r="H246">
            <v>11552</v>
          </cell>
          <cell r="I246">
            <v>207</v>
          </cell>
          <cell r="J246">
            <v>18258</v>
          </cell>
        </row>
        <row r="247">
          <cell r="B247" t="str">
            <v>Choice Hotels</v>
          </cell>
          <cell r="C247">
            <v>3320</v>
          </cell>
          <cell r="D247">
            <v>272253</v>
          </cell>
          <cell r="E247">
            <v>98</v>
          </cell>
          <cell r="F247">
            <v>7322</v>
          </cell>
          <cell r="G247">
            <v>82</v>
          </cell>
          <cell r="H247">
            <v>6453</v>
          </cell>
          <cell r="I247">
            <v>180</v>
          </cell>
          <cell r="J247">
            <v>13775</v>
          </cell>
        </row>
        <row r="248">
          <cell r="B248" t="str">
            <v>Extended Stay America</v>
          </cell>
          <cell r="C248">
            <v>399</v>
          </cell>
          <cell r="D248">
            <v>42295</v>
          </cell>
          <cell r="E248">
            <v>26</v>
          </cell>
          <cell r="F248">
            <v>2752</v>
          </cell>
          <cell r="G248">
            <v>16</v>
          </cell>
          <cell r="H248">
            <v>1735</v>
          </cell>
          <cell r="I248">
            <v>42</v>
          </cell>
          <cell r="J248">
            <v>4487</v>
          </cell>
        </row>
        <row r="249">
          <cell r="B249" t="str">
            <v>Hilton Hotels</v>
          </cell>
          <cell r="C249">
            <v>1842</v>
          </cell>
          <cell r="D249">
            <v>319908</v>
          </cell>
          <cell r="E249">
            <v>138</v>
          </cell>
          <cell r="F249">
            <v>17080</v>
          </cell>
          <cell r="G249">
            <v>170</v>
          </cell>
          <cell r="H249">
            <v>21897</v>
          </cell>
          <cell r="I249">
            <v>308</v>
          </cell>
          <cell r="J249">
            <v>38977</v>
          </cell>
        </row>
        <row r="250">
          <cell r="B250" t="str">
            <v>Marriott International</v>
          </cell>
          <cell r="C250">
            <v>1801</v>
          </cell>
          <cell r="D250">
            <v>311293</v>
          </cell>
          <cell r="E250">
            <v>157</v>
          </cell>
          <cell r="F250">
            <v>28765</v>
          </cell>
          <cell r="G250">
            <v>169</v>
          </cell>
          <cell r="H250">
            <v>26507</v>
          </cell>
          <cell r="I250">
            <v>326</v>
          </cell>
          <cell r="J250">
            <v>55272</v>
          </cell>
        </row>
        <row r="251">
          <cell r="B251" t="str">
            <v>Prime Hospitality</v>
          </cell>
          <cell r="C251">
            <v>211</v>
          </cell>
          <cell r="D251">
            <v>25768</v>
          </cell>
          <cell r="E251">
            <v>9</v>
          </cell>
          <cell r="F251">
            <v>1194</v>
          </cell>
          <cell r="G251">
            <v>7</v>
          </cell>
          <cell r="H251">
            <v>968</v>
          </cell>
          <cell r="I251">
            <v>16</v>
          </cell>
          <cell r="J251">
            <v>2162</v>
          </cell>
        </row>
        <row r="252">
          <cell r="B252" t="str">
            <v>Starwood Hotels</v>
          </cell>
          <cell r="C252">
            <v>381</v>
          </cell>
          <cell r="D252">
            <v>124879</v>
          </cell>
          <cell r="E252">
            <v>22</v>
          </cell>
          <cell r="F252">
            <v>7956</v>
          </cell>
          <cell r="G252">
            <v>10</v>
          </cell>
          <cell r="H252">
            <v>3048</v>
          </cell>
          <cell r="I252">
            <v>32</v>
          </cell>
          <cell r="J252">
            <v>11004</v>
          </cell>
        </row>
        <row r="253">
          <cell r="B253" t="str">
            <v>US Franchise Systems</v>
          </cell>
          <cell r="C253">
            <v>525</v>
          </cell>
          <cell r="D253">
            <v>42678</v>
          </cell>
          <cell r="E253">
            <v>57</v>
          </cell>
          <cell r="F253">
            <v>3860</v>
          </cell>
          <cell r="G253">
            <v>78</v>
          </cell>
          <cell r="H253">
            <v>6072</v>
          </cell>
          <cell r="I253">
            <v>135</v>
          </cell>
          <cell r="J253">
            <v>9932</v>
          </cell>
        </row>
        <row r="254">
          <cell r="B254" t="str">
            <v>Wyndham Int'l</v>
          </cell>
          <cell r="C254">
            <v>147</v>
          </cell>
          <cell r="D254">
            <v>34450</v>
          </cell>
          <cell r="E254">
            <v>2</v>
          </cell>
          <cell r="F254">
            <v>589</v>
          </cell>
          <cell r="G254">
            <v>0</v>
          </cell>
          <cell r="H254">
            <v>0</v>
          </cell>
          <cell r="I254">
            <v>2</v>
          </cell>
          <cell r="J254">
            <v>589</v>
          </cell>
        </row>
      </sheetData>
      <sheetData sheetId="11" refreshError="1">
        <row r="7">
          <cell r="AC7">
            <v>488</v>
          </cell>
        </row>
        <row r="8">
          <cell r="AC8">
            <v>454</v>
          </cell>
        </row>
        <row r="9">
          <cell r="AC9">
            <v>277</v>
          </cell>
        </row>
        <row r="10">
          <cell r="AC10">
            <v>51</v>
          </cell>
        </row>
        <row r="11">
          <cell r="AC11">
            <v>354</v>
          </cell>
        </row>
        <row r="12">
          <cell r="AC12">
            <v>22</v>
          </cell>
        </row>
        <row r="13">
          <cell r="AC13">
            <v>66</v>
          </cell>
        </row>
        <row r="14">
          <cell r="AC14">
            <v>89</v>
          </cell>
        </row>
        <row r="15">
          <cell r="AC15">
            <v>68010</v>
          </cell>
        </row>
        <row r="16">
          <cell r="AC16">
            <v>43380</v>
          </cell>
        </row>
        <row r="17">
          <cell r="AC17">
            <v>114255</v>
          </cell>
        </row>
        <row r="18">
          <cell r="AC18">
            <v>20370</v>
          </cell>
        </row>
        <row r="19">
          <cell r="AC19">
            <v>41212</v>
          </cell>
        </row>
        <row r="20">
          <cell r="AC20">
            <v>7875</v>
          </cell>
        </row>
        <row r="21">
          <cell r="AC21">
            <v>7115</v>
          </cell>
        </row>
        <row r="22">
          <cell r="AC22">
            <v>9076</v>
          </cell>
        </row>
        <row r="35">
          <cell r="AC35">
            <v>36</v>
          </cell>
          <cell r="AD35">
            <v>43</v>
          </cell>
          <cell r="AE35">
            <v>79</v>
          </cell>
        </row>
        <row r="36">
          <cell r="AC36">
            <v>18</v>
          </cell>
          <cell r="AD36">
            <v>25</v>
          </cell>
          <cell r="AE36">
            <v>43</v>
          </cell>
        </row>
        <row r="37">
          <cell r="AC37">
            <v>20</v>
          </cell>
          <cell r="AD37">
            <v>14</v>
          </cell>
          <cell r="AE37">
            <v>34</v>
          </cell>
        </row>
        <row r="38">
          <cell r="AC38">
            <v>9</v>
          </cell>
          <cell r="AD38">
            <v>7</v>
          </cell>
          <cell r="AE38">
            <v>16</v>
          </cell>
        </row>
        <row r="39">
          <cell r="AC39">
            <v>34</v>
          </cell>
          <cell r="AD39">
            <v>44</v>
          </cell>
          <cell r="AE39">
            <v>78</v>
          </cell>
        </row>
        <row r="40">
          <cell r="AC40">
            <v>12</v>
          </cell>
          <cell r="AD40">
            <v>4</v>
          </cell>
          <cell r="AE40">
            <v>16</v>
          </cell>
        </row>
        <row r="41">
          <cell r="AC41">
            <v>21</v>
          </cell>
          <cell r="AD41">
            <v>29</v>
          </cell>
          <cell r="AE41">
            <v>50</v>
          </cell>
        </row>
        <row r="42">
          <cell r="AC42">
            <v>7</v>
          </cell>
          <cell r="AD42">
            <v>3</v>
          </cell>
          <cell r="AE42">
            <v>10</v>
          </cell>
        </row>
        <row r="43">
          <cell r="AC43">
            <v>5530</v>
          </cell>
          <cell r="AD43">
            <v>6326</v>
          </cell>
          <cell r="AE43">
            <v>11856</v>
          </cell>
        </row>
        <row r="44">
          <cell r="AC44">
            <v>1735</v>
          </cell>
          <cell r="AD44">
            <v>2185</v>
          </cell>
          <cell r="AE44">
            <v>3920</v>
          </cell>
        </row>
        <row r="45">
          <cell r="AC45">
            <v>6973</v>
          </cell>
          <cell r="AD45">
            <v>5113</v>
          </cell>
          <cell r="AE45">
            <v>12086</v>
          </cell>
        </row>
        <row r="46">
          <cell r="AC46">
            <v>3145</v>
          </cell>
          <cell r="AD46">
            <v>1993</v>
          </cell>
          <cell r="AE46">
            <v>5138</v>
          </cell>
        </row>
        <row r="47">
          <cell r="AC47">
            <v>4588</v>
          </cell>
          <cell r="AD47">
            <v>5398</v>
          </cell>
          <cell r="AE47">
            <v>9986</v>
          </cell>
        </row>
        <row r="48">
          <cell r="AC48">
            <v>3288</v>
          </cell>
          <cell r="AD48">
            <v>1203</v>
          </cell>
          <cell r="AE48">
            <v>4491</v>
          </cell>
        </row>
        <row r="49">
          <cell r="AC49">
            <v>2736</v>
          </cell>
          <cell r="AD49">
            <v>3950</v>
          </cell>
          <cell r="AE49">
            <v>6686</v>
          </cell>
        </row>
        <row r="50">
          <cell r="AC50">
            <v>770</v>
          </cell>
          <cell r="AD50">
            <v>339</v>
          </cell>
          <cell r="AE50">
            <v>1109</v>
          </cell>
        </row>
        <row r="76">
          <cell r="AE76">
            <v>48997</v>
          </cell>
        </row>
        <row r="77">
          <cell r="AE77">
            <v>50772</v>
          </cell>
        </row>
        <row r="78">
          <cell r="AE78">
            <v>11609</v>
          </cell>
        </row>
        <row r="79">
          <cell r="AE79">
            <v>76565</v>
          </cell>
        </row>
      </sheetData>
      <sheetData sheetId="12"/>
      <sheetData sheetId="13"/>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Lookups"/>
      <sheetName val="Pivots"/>
      <sheetName val="Conversions"/>
      <sheetName val="Conv From Summ "/>
      <sheetName val="Conv From By Brand"/>
      <sheetName val="FROMTO"/>
      <sheetName val="Conv To Summ"/>
      <sheetName val="Conv To By Brand"/>
      <sheetName val="TOFROM"/>
      <sheetName val="Net Change Summ"/>
      <sheetName val="Net Change By Brand"/>
      <sheetName val="Renovation Brand"/>
      <sheetName val="RenovationSum"/>
    </sheetNames>
    <sheetDataSet>
      <sheetData sheetId="0" refreshError="1"/>
      <sheetData sheetId="1" refreshError="1">
        <row r="4">
          <cell r="A4" t="str">
            <v xml:space="preserve">Best Inn </v>
          </cell>
          <cell r="B4">
            <v>1</v>
          </cell>
          <cell r="C4">
            <v>59</v>
          </cell>
        </row>
        <row r="5">
          <cell r="A5" t="str">
            <v>Best Western</v>
          </cell>
          <cell r="B5">
            <v>42</v>
          </cell>
          <cell r="C5">
            <v>3850</v>
          </cell>
        </row>
        <row r="6">
          <cell r="A6" t="str">
            <v>Cambridge Suites</v>
          </cell>
          <cell r="B6">
            <v>3</v>
          </cell>
          <cell r="C6">
            <v>328</v>
          </cell>
        </row>
        <row r="7">
          <cell r="A7" t="str">
            <v>Clarion</v>
          </cell>
          <cell r="B7">
            <v>4</v>
          </cell>
          <cell r="C7">
            <v>523</v>
          </cell>
        </row>
        <row r="8">
          <cell r="A8" t="str">
            <v>Club Hotel by Doubletree</v>
          </cell>
          <cell r="B8">
            <v>2</v>
          </cell>
          <cell r="C8">
            <v>209</v>
          </cell>
        </row>
        <row r="9">
          <cell r="A9" t="str">
            <v>Comfort Inn</v>
          </cell>
          <cell r="B9">
            <v>11</v>
          </cell>
          <cell r="C9">
            <v>875</v>
          </cell>
        </row>
        <row r="10">
          <cell r="A10" t="str">
            <v>Comfort Suites</v>
          </cell>
          <cell r="B10">
            <v>2</v>
          </cell>
          <cell r="C10">
            <v>134</v>
          </cell>
        </row>
        <row r="11">
          <cell r="A11" t="str">
            <v>Country Inn &amp; Suites</v>
          </cell>
          <cell r="B11">
            <v>3</v>
          </cell>
          <cell r="C11">
            <v>282</v>
          </cell>
        </row>
        <row r="12">
          <cell r="A12" t="str">
            <v>Courtyard by Marriott</v>
          </cell>
          <cell r="B12">
            <v>8</v>
          </cell>
          <cell r="C12">
            <v>1586</v>
          </cell>
        </row>
        <row r="13">
          <cell r="A13" t="str">
            <v>Crowne Plaza</v>
          </cell>
          <cell r="B13">
            <v>4</v>
          </cell>
          <cell r="C13">
            <v>1091</v>
          </cell>
        </row>
        <row r="14">
          <cell r="A14" t="str">
            <v>Days Inn</v>
          </cell>
          <cell r="B14">
            <v>20</v>
          </cell>
          <cell r="C14">
            <v>2241</v>
          </cell>
        </row>
        <row r="15">
          <cell r="A15" t="str">
            <v>Doubletree Hotel</v>
          </cell>
          <cell r="B15">
            <v>1</v>
          </cell>
          <cell r="C15">
            <v>311</v>
          </cell>
        </row>
        <row r="16">
          <cell r="A16" t="str">
            <v>Econo Lodge</v>
          </cell>
          <cell r="B16">
            <v>11</v>
          </cell>
          <cell r="C16">
            <v>852</v>
          </cell>
        </row>
        <row r="17">
          <cell r="A17" t="str">
            <v>Fairfield Inn</v>
          </cell>
          <cell r="B17">
            <v>8</v>
          </cell>
          <cell r="C17">
            <v>1007</v>
          </cell>
        </row>
        <row r="18">
          <cell r="A18" t="str">
            <v>Four Points Hotel</v>
          </cell>
          <cell r="B18">
            <v>2</v>
          </cell>
          <cell r="C18">
            <v>218</v>
          </cell>
        </row>
        <row r="19">
          <cell r="A19" t="str">
            <v>Hampton Inn</v>
          </cell>
          <cell r="B19">
            <v>3</v>
          </cell>
          <cell r="C19">
            <v>353</v>
          </cell>
        </row>
        <row r="20">
          <cell r="A20" t="str">
            <v>Hawthorn Suites</v>
          </cell>
          <cell r="B20">
            <v>2</v>
          </cell>
          <cell r="C20">
            <v>149</v>
          </cell>
        </row>
        <row r="21">
          <cell r="A21" t="str">
            <v>Hilton Garden Inn</v>
          </cell>
          <cell r="B21">
            <v>1</v>
          </cell>
          <cell r="C21">
            <v>120</v>
          </cell>
        </row>
        <row r="22">
          <cell r="A22" t="str">
            <v>Hilton Hotel</v>
          </cell>
          <cell r="B22">
            <v>3</v>
          </cell>
          <cell r="C22">
            <v>1057</v>
          </cell>
        </row>
        <row r="23">
          <cell r="A23" t="str">
            <v>Holiday Inn</v>
          </cell>
          <cell r="B23">
            <v>7</v>
          </cell>
          <cell r="C23">
            <v>1239</v>
          </cell>
        </row>
        <row r="24">
          <cell r="A24" t="str">
            <v>Holiday Inn Express</v>
          </cell>
          <cell r="B24">
            <v>17</v>
          </cell>
          <cell r="C24">
            <v>1897</v>
          </cell>
        </row>
        <row r="25">
          <cell r="A25" t="str">
            <v>Holiday Inn Select</v>
          </cell>
          <cell r="B25">
            <v>1</v>
          </cell>
          <cell r="C25">
            <v>260</v>
          </cell>
        </row>
        <row r="26">
          <cell r="A26" t="str">
            <v>Homewood Suites by Hilton</v>
          </cell>
          <cell r="B26">
            <v>1</v>
          </cell>
          <cell r="C26">
            <v>96</v>
          </cell>
        </row>
        <row r="27">
          <cell r="A27" t="str">
            <v>Howard Johnson</v>
          </cell>
          <cell r="B27">
            <v>7</v>
          </cell>
          <cell r="C27">
            <v>1023</v>
          </cell>
        </row>
        <row r="28">
          <cell r="A28" t="str">
            <v>Howard Johnson Express Inn</v>
          </cell>
          <cell r="B28">
            <v>12</v>
          </cell>
          <cell r="C28">
            <v>1062</v>
          </cell>
        </row>
        <row r="29">
          <cell r="A29" t="str">
            <v>Independent Hotel</v>
          </cell>
          <cell r="B29">
            <v>2</v>
          </cell>
          <cell r="C29">
            <v>1019</v>
          </cell>
        </row>
        <row r="30">
          <cell r="A30" t="str">
            <v>Knights Inn</v>
          </cell>
          <cell r="B30">
            <v>9</v>
          </cell>
          <cell r="C30">
            <v>583</v>
          </cell>
        </row>
        <row r="31">
          <cell r="A31" t="str">
            <v>La Quinta</v>
          </cell>
          <cell r="B31">
            <v>1</v>
          </cell>
          <cell r="C31">
            <v>55</v>
          </cell>
        </row>
        <row r="32">
          <cell r="A32" t="str">
            <v>MainStay Suites</v>
          </cell>
          <cell r="B32">
            <v>1</v>
          </cell>
          <cell r="C32">
            <v>74</v>
          </cell>
        </row>
        <row r="33">
          <cell r="A33" t="str">
            <v>Marriott Hotel</v>
          </cell>
          <cell r="B33">
            <v>6</v>
          </cell>
          <cell r="C33">
            <v>2026</v>
          </cell>
        </row>
        <row r="34">
          <cell r="A34" t="str">
            <v>Motel 6</v>
          </cell>
          <cell r="B34">
            <v>4</v>
          </cell>
          <cell r="C34">
            <v>305</v>
          </cell>
        </row>
        <row r="35">
          <cell r="A35" t="str">
            <v>Quality Inn</v>
          </cell>
          <cell r="B35">
            <v>20</v>
          </cell>
          <cell r="C35">
            <v>1786</v>
          </cell>
        </row>
        <row r="36">
          <cell r="A36" t="str">
            <v>Quality Suites</v>
          </cell>
          <cell r="B36">
            <v>3</v>
          </cell>
          <cell r="C36">
            <v>247</v>
          </cell>
        </row>
        <row r="37">
          <cell r="A37" t="str">
            <v>Radisson Hotel</v>
          </cell>
          <cell r="B37">
            <v>1</v>
          </cell>
          <cell r="C37">
            <v>250</v>
          </cell>
        </row>
        <row r="38">
          <cell r="A38" t="str">
            <v>Ramada Inn</v>
          </cell>
          <cell r="B38">
            <v>10</v>
          </cell>
          <cell r="C38">
            <v>1154</v>
          </cell>
        </row>
        <row r="39">
          <cell r="A39" t="str">
            <v>Ramada Limited</v>
          </cell>
          <cell r="B39">
            <v>3</v>
          </cell>
          <cell r="C39">
            <v>215</v>
          </cell>
        </row>
        <row r="40">
          <cell r="A40" t="str">
            <v>Red Roof Inn</v>
          </cell>
          <cell r="B40">
            <v>1</v>
          </cell>
          <cell r="C40">
            <v>105</v>
          </cell>
        </row>
        <row r="41">
          <cell r="A41" t="str">
            <v>Renaissance Hotel</v>
          </cell>
          <cell r="B41">
            <v>1</v>
          </cell>
          <cell r="C41">
            <v>257</v>
          </cell>
        </row>
        <row r="42">
          <cell r="A42" t="str">
            <v>Residence Inn</v>
          </cell>
          <cell r="B42">
            <v>2</v>
          </cell>
          <cell r="C42">
            <v>259</v>
          </cell>
        </row>
        <row r="43">
          <cell r="A43" t="str">
            <v>Ritz-Carlton</v>
          </cell>
          <cell r="B43">
            <v>1</v>
          </cell>
          <cell r="C43">
            <v>277</v>
          </cell>
        </row>
        <row r="44">
          <cell r="A44" t="str">
            <v>Rodeway Inn</v>
          </cell>
          <cell r="B44">
            <v>1</v>
          </cell>
          <cell r="C44">
            <v>36</v>
          </cell>
        </row>
        <row r="45">
          <cell r="A45" t="str">
            <v>Sheraton Hotel</v>
          </cell>
          <cell r="B45">
            <v>1</v>
          </cell>
          <cell r="C45">
            <v>190</v>
          </cell>
        </row>
        <row r="46">
          <cell r="A46" t="str">
            <v>SpringHill Suites</v>
          </cell>
          <cell r="B46">
            <v>1</v>
          </cell>
          <cell r="C46">
            <v>96</v>
          </cell>
        </row>
        <row r="47">
          <cell r="A47" t="str">
            <v>Staybridge Suites</v>
          </cell>
          <cell r="B47">
            <v>1</v>
          </cell>
          <cell r="C47">
            <v>114</v>
          </cell>
        </row>
        <row r="48">
          <cell r="A48" t="str">
            <v>Super 8</v>
          </cell>
          <cell r="B48">
            <v>16</v>
          </cell>
          <cell r="C48">
            <v>1127</v>
          </cell>
        </row>
        <row r="49">
          <cell r="A49" t="str">
            <v>TownePlace Suites</v>
          </cell>
          <cell r="B49">
            <v>1</v>
          </cell>
          <cell r="C49">
            <v>82</v>
          </cell>
        </row>
        <row r="50">
          <cell r="A50" t="str">
            <v>Travelodge</v>
          </cell>
          <cell r="B50">
            <v>28</v>
          </cell>
          <cell r="C50">
            <v>2590</v>
          </cell>
        </row>
        <row r="51">
          <cell r="A51" t="str">
            <v>Villager Lodge</v>
          </cell>
          <cell r="B51">
            <v>18</v>
          </cell>
          <cell r="C51">
            <v>1879</v>
          </cell>
        </row>
        <row r="52">
          <cell r="A52" t="str">
            <v>W Hotel</v>
          </cell>
          <cell r="B52">
            <v>1</v>
          </cell>
          <cell r="C52">
            <v>208</v>
          </cell>
        </row>
        <row r="53">
          <cell r="A53" t="str">
            <v>zindependent hotel</v>
          </cell>
          <cell r="B53">
            <v>6</v>
          </cell>
          <cell r="C53">
            <v>1103</v>
          </cell>
        </row>
        <row r="54">
          <cell r="B54">
            <v>319</v>
          </cell>
          <cell r="C54">
            <v>37254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 Set"/>
      <sheetName val="Cyard by State"/>
      <sheetName val="lookups"/>
      <sheetName val="brand pivots"/>
      <sheetName val="courtyard state pivots"/>
    </sheetNames>
    <sheetDataSet>
      <sheetData sheetId="0" refreshError="1"/>
      <sheetData sheetId="1" refreshError="1"/>
      <sheetData sheetId="2" refreshError="1">
        <row r="33">
          <cell r="B33" t="str">
            <v>Alabama</v>
          </cell>
          <cell r="C33">
            <v>0</v>
          </cell>
          <cell r="D33">
            <v>0</v>
          </cell>
          <cell r="E33">
            <v>0</v>
          </cell>
          <cell r="F33">
            <v>0</v>
          </cell>
          <cell r="G33">
            <v>0</v>
          </cell>
          <cell r="H33">
            <v>0</v>
          </cell>
          <cell r="I33">
            <v>0</v>
          </cell>
          <cell r="J33">
            <v>0</v>
          </cell>
          <cell r="K33">
            <v>0</v>
          </cell>
          <cell r="L33">
            <v>0</v>
          </cell>
          <cell r="M33">
            <v>1</v>
          </cell>
          <cell r="N33">
            <v>113</v>
          </cell>
          <cell r="O33">
            <v>0</v>
          </cell>
          <cell r="P33">
            <v>0</v>
          </cell>
          <cell r="Q33">
            <v>0</v>
          </cell>
          <cell r="R33">
            <v>0</v>
          </cell>
          <cell r="S33">
            <v>0</v>
          </cell>
          <cell r="T33">
            <v>0</v>
          </cell>
          <cell r="U33">
            <v>0</v>
          </cell>
          <cell r="V33">
            <v>0</v>
          </cell>
        </row>
        <row r="34">
          <cell r="B34" t="str">
            <v>Alaska</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row>
        <row r="35">
          <cell r="B35" t="str">
            <v>Arizona</v>
          </cell>
          <cell r="C35">
            <v>0</v>
          </cell>
          <cell r="D35">
            <v>0</v>
          </cell>
          <cell r="E35">
            <v>0</v>
          </cell>
          <cell r="F35">
            <v>0</v>
          </cell>
          <cell r="G35">
            <v>0</v>
          </cell>
          <cell r="H35">
            <v>0</v>
          </cell>
          <cell r="I35">
            <v>1</v>
          </cell>
          <cell r="J35">
            <v>202</v>
          </cell>
          <cell r="K35">
            <v>1</v>
          </cell>
          <cell r="L35">
            <v>156</v>
          </cell>
          <cell r="M35">
            <v>0</v>
          </cell>
          <cell r="N35">
            <v>0</v>
          </cell>
          <cell r="O35">
            <v>0</v>
          </cell>
          <cell r="P35">
            <v>0</v>
          </cell>
          <cell r="Q35">
            <v>0</v>
          </cell>
          <cell r="R35">
            <v>0</v>
          </cell>
          <cell r="S35">
            <v>0</v>
          </cell>
          <cell r="T35">
            <v>0</v>
          </cell>
          <cell r="U35">
            <v>0</v>
          </cell>
          <cell r="V35">
            <v>0</v>
          </cell>
        </row>
        <row r="36">
          <cell r="B36" t="str">
            <v>Arkansas</v>
          </cell>
          <cell r="C36">
            <v>0</v>
          </cell>
          <cell r="D36">
            <v>0</v>
          </cell>
          <cell r="E36">
            <v>0</v>
          </cell>
          <cell r="F36">
            <v>0</v>
          </cell>
          <cell r="G36">
            <v>1</v>
          </cell>
          <cell r="H36">
            <v>121</v>
          </cell>
          <cell r="I36">
            <v>0</v>
          </cell>
          <cell r="J36">
            <v>0</v>
          </cell>
          <cell r="K36">
            <v>0</v>
          </cell>
          <cell r="L36">
            <v>0</v>
          </cell>
          <cell r="M36">
            <v>0</v>
          </cell>
          <cell r="N36">
            <v>0</v>
          </cell>
          <cell r="O36">
            <v>0</v>
          </cell>
          <cell r="P36">
            <v>0</v>
          </cell>
          <cell r="Q36">
            <v>0</v>
          </cell>
          <cell r="R36">
            <v>0</v>
          </cell>
          <cell r="S36">
            <v>0</v>
          </cell>
          <cell r="T36">
            <v>0</v>
          </cell>
          <cell r="U36">
            <v>1</v>
          </cell>
          <cell r="V36">
            <v>121</v>
          </cell>
        </row>
        <row r="37">
          <cell r="B37" t="str">
            <v>California</v>
          </cell>
          <cell r="C37">
            <v>5</v>
          </cell>
          <cell r="D37">
            <v>1072</v>
          </cell>
          <cell r="E37">
            <v>11</v>
          </cell>
          <cell r="F37">
            <v>2071</v>
          </cell>
          <cell r="G37">
            <v>2</v>
          </cell>
          <cell r="H37">
            <v>244</v>
          </cell>
          <cell r="I37">
            <v>5</v>
          </cell>
          <cell r="J37">
            <v>808</v>
          </cell>
          <cell r="K37">
            <v>5</v>
          </cell>
          <cell r="L37">
            <v>1040</v>
          </cell>
          <cell r="M37">
            <v>1</v>
          </cell>
          <cell r="N37">
            <v>356</v>
          </cell>
          <cell r="O37">
            <v>3</v>
          </cell>
          <cell r="P37">
            <v>645</v>
          </cell>
          <cell r="Q37">
            <v>4</v>
          </cell>
          <cell r="R37">
            <v>642</v>
          </cell>
          <cell r="S37">
            <v>6</v>
          </cell>
          <cell r="T37">
            <v>953</v>
          </cell>
          <cell r="U37">
            <v>5</v>
          </cell>
          <cell r="V37">
            <v>1147</v>
          </cell>
        </row>
        <row r="38">
          <cell r="B38" t="str">
            <v>Colorado</v>
          </cell>
          <cell r="C38">
            <v>0</v>
          </cell>
          <cell r="D38">
            <v>0</v>
          </cell>
          <cell r="E38">
            <v>1</v>
          </cell>
          <cell r="F38">
            <v>78</v>
          </cell>
          <cell r="G38">
            <v>0</v>
          </cell>
          <cell r="H38">
            <v>0</v>
          </cell>
          <cell r="I38">
            <v>1</v>
          </cell>
          <cell r="J38">
            <v>90</v>
          </cell>
          <cell r="K38">
            <v>3</v>
          </cell>
          <cell r="L38">
            <v>357</v>
          </cell>
          <cell r="M38">
            <v>0</v>
          </cell>
          <cell r="N38">
            <v>0</v>
          </cell>
          <cell r="O38">
            <v>0</v>
          </cell>
          <cell r="P38">
            <v>0</v>
          </cell>
          <cell r="Q38">
            <v>1</v>
          </cell>
          <cell r="R38">
            <v>78</v>
          </cell>
          <cell r="S38">
            <v>0</v>
          </cell>
          <cell r="T38">
            <v>0</v>
          </cell>
          <cell r="U38">
            <v>0</v>
          </cell>
          <cell r="V38">
            <v>0</v>
          </cell>
        </row>
        <row r="39">
          <cell r="B39" t="str">
            <v>Connecticut</v>
          </cell>
          <cell r="C39">
            <v>0</v>
          </cell>
          <cell r="D39">
            <v>0</v>
          </cell>
          <cell r="E39">
            <v>2</v>
          </cell>
          <cell r="F39">
            <v>250</v>
          </cell>
          <cell r="G39">
            <v>1</v>
          </cell>
          <cell r="H39">
            <v>115</v>
          </cell>
          <cell r="I39">
            <v>1</v>
          </cell>
          <cell r="J39">
            <v>90</v>
          </cell>
          <cell r="K39">
            <v>0</v>
          </cell>
          <cell r="L39">
            <v>0</v>
          </cell>
          <cell r="M39">
            <v>0</v>
          </cell>
          <cell r="N39">
            <v>0</v>
          </cell>
          <cell r="O39">
            <v>0</v>
          </cell>
          <cell r="P39">
            <v>0</v>
          </cell>
          <cell r="Q39">
            <v>0</v>
          </cell>
          <cell r="R39">
            <v>0</v>
          </cell>
          <cell r="S39">
            <v>2</v>
          </cell>
          <cell r="T39">
            <v>250</v>
          </cell>
          <cell r="U39">
            <v>1</v>
          </cell>
          <cell r="V39">
            <v>115</v>
          </cell>
        </row>
        <row r="40">
          <cell r="B40" t="str">
            <v>Delaware</v>
          </cell>
          <cell r="C40">
            <v>0</v>
          </cell>
          <cell r="D40">
            <v>0</v>
          </cell>
          <cell r="E40">
            <v>0</v>
          </cell>
          <cell r="F40">
            <v>0</v>
          </cell>
          <cell r="G40">
            <v>0</v>
          </cell>
          <cell r="H40">
            <v>0</v>
          </cell>
          <cell r="I40">
            <v>1</v>
          </cell>
          <cell r="J40">
            <v>78</v>
          </cell>
          <cell r="K40">
            <v>0</v>
          </cell>
          <cell r="L40">
            <v>0</v>
          </cell>
          <cell r="M40">
            <v>0</v>
          </cell>
          <cell r="N40">
            <v>0</v>
          </cell>
          <cell r="O40">
            <v>0</v>
          </cell>
          <cell r="P40">
            <v>0</v>
          </cell>
          <cell r="Q40">
            <v>0</v>
          </cell>
          <cell r="R40">
            <v>0</v>
          </cell>
          <cell r="S40">
            <v>0</v>
          </cell>
          <cell r="T40">
            <v>0</v>
          </cell>
          <cell r="U40">
            <v>0</v>
          </cell>
          <cell r="V40">
            <v>0</v>
          </cell>
        </row>
        <row r="41">
          <cell r="B41" t="str">
            <v>District of Columbia</v>
          </cell>
          <cell r="C41">
            <v>0</v>
          </cell>
          <cell r="D41">
            <v>0</v>
          </cell>
          <cell r="E41">
            <v>0</v>
          </cell>
          <cell r="F41">
            <v>0</v>
          </cell>
          <cell r="G41">
            <v>0</v>
          </cell>
          <cell r="H41">
            <v>0</v>
          </cell>
          <cell r="I41">
            <v>1</v>
          </cell>
          <cell r="J41">
            <v>188</v>
          </cell>
          <cell r="K41">
            <v>0</v>
          </cell>
          <cell r="L41">
            <v>0</v>
          </cell>
          <cell r="M41">
            <v>0</v>
          </cell>
          <cell r="N41">
            <v>0</v>
          </cell>
          <cell r="O41">
            <v>0</v>
          </cell>
          <cell r="P41">
            <v>0</v>
          </cell>
          <cell r="Q41">
            <v>0</v>
          </cell>
          <cell r="R41">
            <v>0</v>
          </cell>
          <cell r="S41">
            <v>0</v>
          </cell>
          <cell r="T41">
            <v>0</v>
          </cell>
          <cell r="U41">
            <v>0</v>
          </cell>
          <cell r="V41">
            <v>0</v>
          </cell>
        </row>
        <row r="42">
          <cell r="B42" t="str">
            <v>Florida</v>
          </cell>
          <cell r="C42">
            <v>3</v>
          </cell>
          <cell r="D42">
            <v>368</v>
          </cell>
          <cell r="E42">
            <v>3</v>
          </cell>
          <cell r="F42">
            <v>381</v>
          </cell>
          <cell r="G42">
            <v>3</v>
          </cell>
          <cell r="H42">
            <v>431</v>
          </cell>
          <cell r="I42">
            <v>2</v>
          </cell>
          <cell r="J42">
            <v>364</v>
          </cell>
          <cell r="K42">
            <v>4</v>
          </cell>
          <cell r="L42">
            <v>593</v>
          </cell>
          <cell r="M42">
            <v>1</v>
          </cell>
          <cell r="N42">
            <v>131</v>
          </cell>
          <cell r="O42">
            <v>2</v>
          </cell>
          <cell r="P42">
            <v>194</v>
          </cell>
          <cell r="Q42">
            <v>3</v>
          </cell>
          <cell r="R42">
            <v>433</v>
          </cell>
          <cell r="S42">
            <v>2</v>
          </cell>
          <cell r="T42">
            <v>296</v>
          </cell>
          <cell r="U42">
            <v>2</v>
          </cell>
          <cell r="V42">
            <v>257</v>
          </cell>
        </row>
        <row r="43">
          <cell r="B43" t="str">
            <v>Georgia</v>
          </cell>
          <cell r="C43">
            <v>1</v>
          </cell>
          <cell r="D43">
            <v>155</v>
          </cell>
          <cell r="E43">
            <v>0</v>
          </cell>
          <cell r="F43">
            <v>0</v>
          </cell>
          <cell r="G43">
            <v>1</v>
          </cell>
          <cell r="H43">
            <v>86</v>
          </cell>
          <cell r="I43">
            <v>3</v>
          </cell>
          <cell r="J43">
            <v>249</v>
          </cell>
          <cell r="K43">
            <v>1</v>
          </cell>
          <cell r="L43">
            <v>154</v>
          </cell>
          <cell r="M43">
            <v>0</v>
          </cell>
          <cell r="N43">
            <v>0</v>
          </cell>
          <cell r="O43">
            <v>1</v>
          </cell>
          <cell r="P43">
            <v>155</v>
          </cell>
          <cell r="Q43">
            <v>0</v>
          </cell>
          <cell r="R43">
            <v>0</v>
          </cell>
          <cell r="S43">
            <v>1</v>
          </cell>
          <cell r="T43">
            <v>86</v>
          </cell>
          <cell r="U43">
            <v>0</v>
          </cell>
          <cell r="V43">
            <v>0</v>
          </cell>
        </row>
        <row r="44">
          <cell r="B44" t="str">
            <v>Hawaii</v>
          </cell>
          <cell r="C44">
            <v>0</v>
          </cell>
          <cell r="D44">
            <v>0</v>
          </cell>
          <cell r="E44">
            <v>1</v>
          </cell>
          <cell r="F44">
            <v>121</v>
          </cell>
          <cell r="G44">
            <v>1</v>
          </cell>
          <cell r="H44">
            <v>299</v>
          </cell>
          <cell r="I44">
            <v>0</v>
          </cell>
          <cell r="J44">
            <v>0</v>
          </cell>
          <cell r="K44">
            <v>0</v>
          </cell>
          <cell r="L44">
            <v>0</v>
          </cell>
          <cell r="M44">
            <v>0</v>
          </cell>
          <cell r="N44">
            <v>0</v>
          </cell>
          <cell r="O44">
            <v>0</v>
          </cell>
          <cell r="P44">
            <v>0</v>
          </cell>
          <cell r="Q44">
            <v>0</v>
          </cell>
          <cell r="R44">
            <v>0</v>
          </cell>
          <cell r="S44">
            <v>1</v>
          </cell>
          <cell r="T44">
            <v>121</v>
          </cell>
          <cell r="U44">
            <v>1</v>
          </cell>
          <cell r="V44">
            <v>299</v>
          </cell>
        </row>
        <row r="45">
          <cell r="B45" t="str">
            <v>Idaho</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row>
        <row r="46">
          <cell r="B46" t="str">
            <v>Illinois</v>
          </cell>
          <cell r="C46">
            <v>0</v>
          </cell>
          <cell r="D46">
            <v>0</v>
          </cell>
          <cell r="E46">
            <v>1</v>
          </cell>
          <cell r="F46">
            <v>94</v>
          </cell>
          <cell r="G46">
            <v>2</v>
          </cell>
          <cell r="H46">
            <v>387</v>
          </cell>
          <cell r="I46">
            <v>1</v>
          </cell>
          <cell r="J46">
            <v>126</v>
          </cell>
          <cell r="K46">
            <v>1</v>
          </cell>
          <cell r="L46">
            <v>121</v>
          </cell>
          <cell r="M46">
            <v>0</v>
          </cell>
          <cell r="N46">
            <v>0</v>
          </cell>
          <cell r="O46">
            <v>0</v>
          </cell>
          <cell r="P46">
            <v>0</v>
          </cell>
          <cell r="Q46">
            <v>1</v>
          </cell>
          <cell r="R46">
            <v>94</v>
          </cell>
          <cell r="S46">
            <v>1</v>
          </cell>
          <cell r="T46">
            <v>90</v>
          </cell>
          <cell r="U46">
            <v>1</v>
          </cell>
          <cell r="V46">
            <v>297</v>
          </cell>
        </row>
        <row r="47">
          <cell r="B47" t="str">
            <v>Indiana</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row>
        <row r="48">
          <cell r="B48" t="str">
            <v>Iowa</v>
          </cell>
          <cell r="C48">
            <v>0</v>
          </cell>
          <cell r="D48">
            <v>0</v>
          </cell>
          <cell r="E48">
            <v>1</v>
          </cell>
          <cell r="F48">
            <v>170</v>
          </cell>
          <cell r="G48">
            <v>0</v>
          </cell>
          <cell r="H48">
            <v>0</v>
          </cell>
          <cell r="I48">
            <v>0</v>
          </cell>
          <cell r="J48">
            <v>0</v>
          </cell>
          <cell r="K48">
            <v>0</v>
          </cell>
          <cell r="L48">
            <v>0</v>
          </cell>
          <cell r="M48">
            <v>0</v>
          </cell>
          <cell r="N48">
            <v>0</v>
          </cell>
          <cell r="O48">
            <v>0</v>
          </cell>
          <cell r="P48">
            <v>0</v>
          </cell>
          <cell r="Q48">
            <v>0</v>
          </cell>
          <cell r="R48">
            <v>0</v>
          </cell>
          <cell r="S48">
            <v>1</v>
          </cell>
          <cell r="T48">
            <v>170</v>
          </cell>
          <cell r="U48">
            <v>0</v>
          </cell>
          <cell r="V48">
            <v>0</v>
          </cell>
        </row>
        <row r="49">
          <cell r="B49" t="str">
            <v>Kansas</v>
          </cell>
          <cell r="C49">
            <v>1</v>
          </cell>
          <cell r="D49">
            <v>90</v>
          </cell>
          <cell r="E49">
            <v>0</v>
          </cell>
          <cell r="F49">
            <v>0</v>
          </cell>
          <cell r="G49">
            <v>0</v>
          </cell>
          <cell r="H49">
            <v>0</v>
          </cell>
          <cell r="I49">
            <v>0</v>
          </cell>
          <cell r="J49">
            <v>0</v>
          </cell>
          <cell r="K49">
            <v>2</v>
          </cell>
          <cell r="L49">
            <v>258</v>
          </cell>
          <cell r="M49">
            <v>0</v>
          </cell>
          <cell r="N49">
            <v>0</v>
          </cell>
          <cell r="O49">
            <v>1</v>
          </cell>
          <cell r="P49">
            <v>90</v>
          </cell>
          <cell r="Q49">
            <v>0</v>
          </cell>
          <cell r="R49">
            <v>0</v>
          </cell>
          <cell r="S49">
            <v>0</v>
          </cell>
          <cell r="T49">
            <v>0</v>
          </cell>
          <cell r="U49">
            <v>0</v>
          </cell>
          <cell r="V49">
            <v>0</v>
          </cell>
        </row>
        <row r="50">
          <cell r="B50" t="str">
            <v>Kentucky</v>
          </cell>
          <cell r="C50">
            <v>1</v>
          </cell>
          <cell r="D50">
            <v>150</v>
          </cell>
          <cell r="E50">
            <v>0</v>
          </cell>
          <cell r="F50">
            <v>0</v>
          </cell>
          <cell r="G50">
            <v>0</v>
          </cell>
          <cell r="H50">
            <v>0</v>
          </cell>
          <cell r="I50">
            <v>3</v>
          </cell>
          <cell r="J50">
            <v>424</v>
          </cell>
          <cell r="K50">
            <v>1</v>
          </cell>
          <cell r="L50">
            <v>124</v>
          </cell>
          <cell r="M50">
            <v>0</v>
          </cell>
          <cell r="N50">
            <v>0</v>
          </cell>
          <cell r="O50">
            <v>1</v>
          </cell>
          <cell r="P50">
            <v>150</v>
          </cell>
          <cell r="Q50">
            <v>0</v>
          </cell>
          <cell r="R50">
            <v>0</v>
          </cell>
          <cell r="S50">
            <v>0</v>
          </cell>
          <cell r="T50">
            <v>0</v>
          </cell>
          <cell r="U50">
            <v>0</v>
          </cell>
          <cell r="V50">
            <v>0</v>
          </cell>
        </row>
        <row r="51">
          <cell r="B51" t="str">
            <v>Louisiana</v>
          </cell>
          <cell r="C51">
            <v>0</v>
          </cell>
          <cell r="D51">
            <v>0</v>
          </cell>
          <cell r="E51">
            <v>0</v>
          </cell>
          <cell r="F51">
            <v>0</v>
          </cell>
          <cell r="G51">
            <v>0</v>
          </cell>
          <cell r="H51">
            <v>0</v>
          </cell>
          <cell r="I51">
            <v>3</v>
          </cell>
          <cell r="J51">
            <v>328</v>
          </cell>
          <cell r="K51">
            <v>0</v>
          </cell>
          <cell r="L51">
            <v>0</v>
          </cell>
          <cell r="M51">
            <v>0</v>
          </cell>
          <cell r="N51">
            <v>0</v>
          </cell>
          <cell r="O51">
            <v>0</v>
          </cell>
          <cell r="P51">
            <v>0</v>
          </cell>
          <cell r="Q51">
            <v>0</v>
          </cell>
          <cell r="R51">
            <v>0</v>
          </cell>
          <cell r="S51">
            <v>0</v>
          </cell>
          <cell r="T51">
            <v>0</v>
          </cell>
          <cell r="U51">
            <v>0</v>
          </cell>
          <cell r="V51">
            <v>0</v>
          </cell>
        </row>
        <row r="52">
          <cell r="B52" t="str">
            <v>Maine</v>
          </cell>
          <cell r="C52">
            <v>0</v>
          </cell>
          <cell r="D52">
            <v>0</v>
          </cell>
          <cell r="E52">
            <v>0</v>
          </cell>
          <cell r="F52">
            <v>0</v>
          </cell>
          <cell r="G52">
            <v>1</v>
          </cell>
          <cell r="H52">
            <v>90</v>
          </cell>
          <cell r="I52">
            <v>0</v>
          </cell>
          <cell r="J52">
            <v>0</v>
          </cell>
          <cell r="K52">
            <v>0</v>
          </cell>
          <cell r="L52">
            <v>0</v>
          </cell>
          <cell r="M52">
            <v>0</v>
          </cell>
          <cell r="N52">
            <v>0</v>
          </cell>
          <cell r="O52">
            <v>0</v>
          </cell>
          <cell r="P52">
            <v>0</v>
          </cell>
          <cell r="Q52">
            <v>0</v>
          </cell>
          <cell r="R52">
            <v>0</v>
          </cell>
          <cell r="S52">
            <v>1</v>
          </cell>
          <cell r="T52">
            <v>90</v>
          </cell>
          <cell r="U52">
            <v>0</v>
          </cell>
          <cell r="V52">
            <v>0</v>
          </cell>
        </row>
        <row r="53">
          <cell r="B53" t="str">
            <v>Maryland</v>
          </cell>
          <cell r="C53">
            <v>0</v>
          </cell>
          <cell r="D53">
            <v>0</v>
          </cell>
          <cell r="E53">
            <v>0</v>
          </cell>
          <cell r="F53">
            <v>0</v>
          </cell>
          <cell r="G53">
            <v>1</v>
          </cell>
          <cell r="H53">
            <v>170</v>
          </cell>
          <cell r="I53">
            <v>1</v>
          </cell>
          <cell r="J53">
            <v>90</v>
          </cell>
          <cell r="K53">
            <v>0</v>
          </cell>
          <cell r="L53">
            <v>0</v>
          </cell>
          <cell r="M53">
            <v>1</v>
          </cell>
          <cell r="N53">
            <v>205</v>
          </cell>
          <cell r="O53">
            <v>0</v>
          </cell>
          <cell r="P53">
            <v>0</v>
          </cell>
          <cell r="Q53">
            <v>0</v>
          </cell>
          <cell r="R53">
            <v>0</v>
          </cell>
          <cell r="S53">
            <v>1</v>
          </cell>
          <cell r="T53">
            <v>170</v>
          </cell>
          <cell r="U53">
            <v>0</v>
          </cell>
          <cell r="V53">
            <v>0</v>
          </cell>
        </row>
        <row r="54">
          <cell r="B54" t="str">
            <v>Massachusetts</v>
          </cell>
          <cell r="C54">
            <v>1</v>
          </cell>
          <cell r="D54">
            <v>181</v>
          </cell>
          <cell r="E54">
            <v>3</v>
          </cell>
          <cell r="F54">
            <v>496</v>
          </cell>
          <cell r="G54">
            <v>0</v>
          </cell>
          <cell r="H54">
            <v>0</v>
          </cell>
          <cell r="I54">
            <v>2</v>
          </cell>
          <cell r="J54">
            <v>228</v>
          </cell>
          <cell r="K54">
            <v>1</v>
          </cell>
          <cell r="L54">
            <v>154</v>
          </cell>
          <cell r="M54">
            <v>0</v>
          </cell>
          <cell r="N54">
            <v>0</v>
          </cell>
          <cell r="O54">
            <v>1</v>
          </cell>
          <cell r="P54">
            <v>181</v>
          </cell>
          <cell r="Q54">
            <v>2</v>
          </cell>
          <cell r="R54">
            <v>366</v>
          </cell>
          <cell r="S54">
            <v>1</v>
          </cell>
          <cell r="T54">
            <v>130</v>
          </cell>
          <cell r="U54">
            <v>0</v>
          </cell>
          <cell r="V54">
            <v>0</v>
          </cell>
        </row>
        <row r="55">
          <cell r="B55" t="str">
            <v>Michigan</v>
          </cell>
          <cell r="C55">
            <v>0</v>
          </cell>
          <cell r="D55">
            <v>0</v>
          </cell>
          <cell r="E55">
            <v>0</v>
          </cell>
          <cell r="F55">
            <v>0</v>
          </cell>
          <cell r="G55">
            <v>0</v>
          </cell>
          <cell r="H55">
            <v>0</v>
          </cell>
          <cell r="I55">
            <v>1</v>
          </cell>
          <cell r="J55">
            <v>123</v>
          </cell>
          <cell r="K55">
            <v>1</v>
          </cell>
          <cell r="L55">
            <v>84</v>
          </cell>
          <cell r="M55">
            <v>0</v>
          </cell>
          <cell r="N55">
            <v>0</v>
          </cell>
          <cell r="O55">
            <v>0</v>
          </cell>
          <cell r="P55">
            <v>0</v>
          </cell>
          <cell r="Q55">
            <v>0</v>
          </cell>
          <cell r="R55">
            <v>0</v>
          </cell>
          <cell r="S55">
            <v>0</v>
          </cell>
          <cell r="T55">
            <v>0</v>
          </cell>
          <cell r="U55">
            <v>0</v>
          </cell>
          <cell r="V55">
            <v>0</v>
          </cell>
        </row>
        <row r="56">
          <cell r="B56" t="str">
            <v>Minnesota</v>
          </cell>
          <cell r="C56">
            <v>2</v>
          </cell>
          <cell r="D56">
            <v>343</v>
          </cell>
          <cell r="E56">
            <v>1</v>
          </cell>
          <cell r="F56">
            <v>127</v>
          </cell>
          <cell r="G56">
            <v>0</v>
          </cell>
          <cell r="H56">
            <v>0</v>
          </cell>
          <cell r="I56">
            <v>0</v>
          </cell>
          <cell r="J56">
            <v>0</v>
          </cell>
          <cell r="K56">
            <v>0</v>
          </cell>
          <cell r="L56">
            <v>0</v>
          </cell>
          <cell r="M56">
            <v>0</v>
          </cell>
          <cell r="N56">
            <v>0</v>
          </cell>
          <cell r="O56">
            <v>2</v>
          </cell>
          <cell r="P56">
            <v>343</v>
          </cell>
          <cell r="Q56">
            <v>1</v>
          </cell>
          <cell r="R56">
            <v>127</v>
          </cell>
          <cell r="S56">
            <v>0</v>
          </cell>
          <cell r="T56">
            <v>0</v>
          </cell>
          <cell r="U56">
            <v>0</v>
          </cell>
          <cell r="V56">
            <v>0</v>
          </cell>
        </row>
        <row r="57">
          <cell r="B57" t="str">
            <v>Mississippi</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row>
        <row r="58">
          <cell r="B58" t="str">
            <v>Missouri</v>
          </cell>
          <cell r="C58">
            <v>0</v>
          </cell>
          <cell r="D58">
            <v>0</v>
          </cell>
          <cell r="E58">
            <v>1</v>
          </cell>
          <cell r="F58">
            <v>108</v>
          </cell>
          <cell r="G58">
            <v>0</v>
          </cell>
          <cell r="H58">
            <v>0</v>
          </cell>
          <cell r="I58">
            <v>0</v>
          </cell>
          <cell r="J58">
            <v>0</v>
          </cell>
          <cell r="K58">
            <v>2</v>
          </cell>
          <cell r="L58">
            <v>263</v>
          </cell>
          <cell r="M58">
            <v>0</v>
          </cell>
          <cell r="N58">
            <v>0</v>
          </cell>
          <cell r="O58">
            <v>0</v>
          </cell>
          <cell r="P58">
            <v>0</v>
          </cell>
          <cell r="Q58">
            <v>0</v>
          </cell>
          <cell r="R58">
            <v>0</v>
          </cell>
          <cell r="S58">
            <v>1</v>
          </cell>
          <cell r="T58">
            <v>108</v>
          </cell>
          <cell r="U58">
            <v>0</v>
          </cell>
          <cell r="V58">
            <v>0</v>
          </cell>
        </row>
        <row r="59">
          <cell r="B59" t="str">
            <v>Montana</v>
          </cell>
          <cell r="C59">
            <v>0</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row>
        <row r="60">
          <cell r="B60" t="str">
            <v>Nebraska</v>
          </cell>
          <cell r="C60">
            <v>0</v>
          </cell>
          <cell r="D60">
            <v>0</v>
          </cell>
          <cell r="E60">
            <v>0</v>
          </cell>
          <cell r="F60">
            <v>0</v>
          </cell>
          <cell r="G60">
            <v>0</v>
          </cell>
          <cell r="H60">
            <v>0</v>
          </cell>
          <cell r="I60">
            <v>1</v>
          </cell>
          <cell r="J60">
            <v>181</v>
          </cell>
          <cell r="K60">
            <v>0</v>
          </cell>
          <cell r="L60">
            <v>0</v>
          </cell>
          <cell r="M60">
            <v>0</v>
          </cell>
          <cell r="N60">
            <v>0</v>
          </cell>
          <cell r="O60">
            <v>0</v>
          </cell>
          <cell r="P60">
            <v>0</v>
          </cell>
          <cell r="Q60">
            <v>0</v>
          </cell>
          <cell r="R60">
            <v>0</v>
          </cell>
          <cell r="S60">
            <v>0</v>
          </cell>
          <cell r="T60">
            <v>0</v>
          </cell>
          <cell r="U60">
            <v>0</v>
          </cell>
          <cell r="V60">
            <v>0</v>
          </cell>
        </row>
        <row r="61">
          <cell r="B61" t="str">
            <v>Nevada</v>
          </cell>
          <cell r="C61">
            <v>1</v>
          </cell>
          <cell r="D61">
            <v>117</v>
          </cell>
          <cell r="E61">
            <v>0</v>
          </cell>
          <cell r="F61">
            <v>0</v>
          </cell>
          <cell r="G61">
            <v>0</v>
          </cell>
          <cell r="H61">
            <v>0</v>
          </cell>
          <cell r="I61">
            <v>0</v>
          </cell>
          <cell r="J61">
            <v>0</v>
          </cell>
          <cell r="K61">
            <v>1</v>
          </cell>
          <cell r="L61">
            <v>154</v>
          </cell>
          <cell r="M61">
            <v>0</v>
          </cell>
          <cell r="N61">
            <v>0</v>
          </cell>
          <cell r="O61">
            <v>1</v>
          </cell>
          <cell r="P61">
            <v>117</v>
          </cell>
          <cell r="Q61">
            <v>0</v>
          </cell>
          <cell r="R61">
            <v>0</v>
          </cell>
          <cell r="S61">
            <v>0</v>
          </cell>
          <cell r="T61">
            <v>0</v>
          </cell>
          <cell r="U61">
            <v>0</v>
          </cell>
          <cell r="V61">
            <v>0</v>
          </cell>
        </row>
        <row r="62">
          <cell r="B62" t="str">
            <v>New Hampshire</v>
          </cell>
          <cell r="C62">
            <v>0</v>
          </cell>
          <cell r="D62">
            <v>0</v>
          </cell>
          <cell r="E62">
            <v>0</v>
          </cell>
          <cell r="F62">
            <v>0</v>
          </cell>
          <cell r="G62">
            <v>0</v>
          </cell>
          <cell r="H62">
            <v>0</v>
          </cell>
          <cell r="I62">
            <v>0</v>
          </cell>
          <cell r="J62">
            <v>0</v>
          </cell>
          <cell r="K62">
            <v>1</v>
          </cell>
          <cell r="L62">
            <v>90</v>
          </cell>
          <cell r="M62">
            <v>0</v>
          </cell>
          <cell r="N62">
            <v>0</v>
          </cell>
          <cell r="O62">
            <v>0</v>
          </cell>
          <cell r="P62">
            <v>0</v>
          </cell>
          <cell r="Q62">
            <v>0</v>
          </cell>
          <cell r="R62">
            <v>0</v>
          </cell>
          <cell r="S62">
            <v>0</v>
          </cell>
          <cell r="T62">
            <v>0</v>
          </cell>
          <cell r="U62">
            <v>0</v>
          </cell>
          <cell r="V62">
            <v>0</v>
          </cell>
        </row>
        <row r="63">
          <cell r="B63" t="str">
            <v>New Jersey</v>
          </cell>
          <cell r="C63">
            <v>5</v>
          </cell>
          <cell r="D63">
            <v>899</v>
          </cell>
          <cell r="E63">
            <v>3</v>
          </cell>
          <cell r="F63">
            <v>409</v>
          </cell>
          <cell r="G63">
            <v>2</v>
          </cell>
          <cell r="H63">
            <v>266</v>
          </cell>
          <cell r="I63">
            <v>1</v>
          </cell>
          <cell r="J63">
            <v>159</v>
          </cell>
          <cell r="K63">
            <v>1</v>
          </cell>
          <cell r="L63">
            <v>187</v>
          </cell>
          <cell r="M63">
            <v>1</v>
          </cell>
          <cell r="N63">
            <v>151</v>
          </cell>
          <cell r="O63">
            <v>3</v>
          </cell>
          <cell r="P63">
            <v>456</v>
          </cell>
          <cell r="Q63">
            <v>3</v>
          </cell>
          <cell r="R63">
            <v>575</v>
          </cell>
          <cell r="S63">
            <v>1</v>
          </cell>
          <cell r="T63">
            <v>125</v>
          </cell>
          <cell r="U63">
            <v>3</v>
          </cell>
          <cell r="V63">
            <v>418</v>
          </cell>
        </row>
        <row r="64">
          <cell r="B64" t="str">
            <v>New Mexico</v>
          </cell>
          <cell r="C64">
            <v>0</v>
          </cell>
          <cell r="D64">
            <v>0</v>
          </cell>
          <cell r="E64">
            <v>0</v>
          </cell>
          <cell r="F64">
            <v>0</v>
          </cell>
          <cell r="G64">
            <v>0</v>
          </cell>
          <cell r="H64">
            <v>0</v>
          </cell>
          <cell r="I64">
            <v>0</v>
          </cell>
          <cell r="J64">
            <v>0</v>
          </cell>
          <cell r="K64">
            <v>1</v>
          </cell>
          <cell r="L64">
            <v>125</v>
          </cell>
          <cell r="M64">
            <v>0</v>
          </cell>
          <cell r="N64">
            <v>0</v>
          </cell>
          <cell r="O64">
            <v>0</v>
          </cell>
          <cell r="P64">
            <v>0</v>
          </cell>
          <cell r="Q64">
            <v>0</v>
          </cell>
          <cell r="R64">
            <v>0</v>
          </cell>
          <cell r="S64">
            <v>0</v>
          </cell>
          <cell r="T64">
            <v>0</v>
          </cell>
          <cell r="U64">
            <v>0</v>
          </cell>
          <cell r="V64">
            <v>0</v>
          </cell>
        </row>
        <row r="65">
          <cell r="B65" t="str">
            <v>New York</v>
          </cell>
          <cell r="C65">
            <v>2</v>
          </cell>
          <cell r="D65">
            <v>322</v>
          </cell>
          <cell r="E65">
            <v>0</v>
          </cell>
          <cell r="F65">
            <v>0</v>
          </cell>
          <cell r="G65">
            <v>1</v>
          </cell>
          <cell r="H65">
            <v>90</v>
          </cell>
          <cell r="I65">
            <v>1</v>
          </cell>
          <cell r="J65">
            <v>108</v>
          </cell>
          <cell r="K65">
            <v>2</v>
          </cell>
          <cell r="L65">
            <v>184</v>
          </cell>
          <cell r="M65">
            <v>0</v>
          </cell>
          <cell r="N65">
            <v>0</v>
          </cell>
          <cell r="O65">
            <v>2</v>
          </cell>
          <cell r="P65">
            <v>322</v>
          </cell>
          <cell r="Q65">
            <v>0</v>
          </cell>
          <cell r="R65">
            <v>0</v>
          </cell>
          <cell r="S65">
            <v>1</v>
          </cell>
          <cell r="T65">
            <v>90</v>
          </cell>
          <cell r="U65">
            <v>0</v>
          </cell>
          <cell r="V65">
            <v>0</v>
          </cell>
        </row>
        <row r="66">
          <cell r="B66" t="str">
            <v>North Carolina</v>
          </cell>
          <cell r="C66">
            <v>3</v>
          </cell>
          <cell r="D66">
            <v>453</v>
          </cell>
          <cell r="E66">
            <v>2</v>
          </cell>
          <cell r="F66">
            <v>312</v>
          </cell>
          <cell r="G66">
            <v>1</v>
          </cell>
          <cell r="H66">
            <v>150</v>
          </cell>
          <cell r="I66">
            <v>0</v>
          </cell>
          <cell r="J66">
            <v>0</v>
          </cell>
          <cell r="K66">
            <v>1</v>
          </cell>
          <cell r="L66">
            <v>90</v>
          </cell>
          <cell r="M66">
            <v>0</v>
          </cell>
          <cell r="N66">
            <v>0</v>
          </cell>
          <cell r="O66">
            <v>3</v>
          </cell>
          <cell r="P66">
            <v>453</v>
          </cell>
          <cell r="Q66">
            <v>2</v>
          </cell>
          <cell r="R66">
            <v>312</v>
          </cell>
          <cell r="S66">
            <v>0</v>
          </cell>
          <cell r="T66">
            <v>0</v>
          </cell>
          <cell r="U66">
            <v>1</v>
          </cell>
          <cell r="V66">
            <v>150</v>
          </cell>
        </row>
        <row r="67">
          <cell r="B67" t="str">
            <v>North Dakota</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row>
        <row r="68">
          <cell r="B68" t="str">
            <v>Ohio</v>
          </cell>
          <cell r="C68">
            <v>2</v>
          </cell>
          <cell r="D68">
            <v>178</v>
          </cell>
          <cell r="E68">
            <v>0</v>
          </cell>
          <cell r="F68">
            <v>0</v>
          </cell>
          <cell r="G68">
            <v>0</v>
          </cell>
          <cell r="H68">
            <v>0</v>
          </cell>
          <cell r="I68">
            <v>2</v>
          </cell>
          <cell r="J68">
            <v>244</v>
          </cell>
          <cell r="K68">
            <v>1</v>
          </cell>
          <cell r="L68">
            <v>78</v>
          </cell>
          <cell r="M68">
            <v>0</v>
          </cell>
          <cell r="N68">
            <v>0</v>
          </cell>
          <cell r="O68">
            <v>1</v>
          </cell>
          <cell r="P68">
            <v>84</v>
          </cell>
          <cell r="Q68">
            <v>1</v>
          </cell>
          <cell r="R68">
            <v>94</v>
          </cell>
          <cell r="S68">
            <v>0</v>
          </cell>
          <cell r="T68">
            <v>0</v>
          </cell>
          <cell r="U68">
            <v>0</v>
          </cell>
          <cell r="V68">
            <v>0</v>
          </cell>
        </row>
        <row r="69">
          <cell r="B69" t="str">
            <v>Oklahoma</v>
          </cell>
          <cell r="C69">
            <v>0</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row>
        <row r="70">
          <cell r="B70" t="str">
            <v>Oregon</v>
          </cell>
          <cell r="C70">
            <v>0</v>
          </cell>
          <cell r="D70">
            <v>0</v>
          </cell>
          <cell r="E70">
            <v>0</v>
          </cell>
          <cell r="F70">
            <v>0</v>
          </cell>
          <cell r="G70">
            <v>0</v>
          </cell>
          <cell r="H70">
            <v>0</v>
          </cell>
          <cell r="I70">
            <v>3</v>
          </cell>
          <cell r="J70">
            <v>466</v>
          </cell>
          <cell r="K70">
            <v>0</v>
          </cell>
          <cell r="L70">
            <v>0</v>
          </cell>
          <cell r="M70">
            <v>0</v>
          </cell>
          <cell r="N70">
            <v>0</v>
          </cell>
          <cell r="O70">
            <v>0</v>
          </cell>
          <cell r="P70">
            <v>0</v>
          </cell>
          <cell r="Q70">
            <v>0</v>
          </cell>
          <cell r="R70">
            <v>0</v>
          </cell>
          <cell r="S70">
            <v>0</v>
          </cell>
          <cell r="T70">
            <v>0</v>
          </cell>
          <cell r="U70">
            <v>0</v>
          </cell>
          <cell r="V70">
            <v>0</v>
          </cell>
        </row>
        <row r="71">
          <cell r="B71" t="str">
            <v>Pennsylvania</v>
          </cell>
          <cell r="C71">
            <v>2</v>
          </cell>
          <cell r="D71">
            <v>193</v>
          </cell>
          <cell r="E71">
            <v>4</v>
          </cell>
          <cell r="F71">
            <v>522</v>
          </cell>
          <cell r="G71">
            <v>4</v>
          </cell>
          <cell r="H71">
            <v>458</v>
          </cell>
          <cell r="I71">
            <v>1</v>
          </cell>
          <cell r="J71">
            <v>498</v>
          </cell>
          <cell r="K71">
            <v>1</v>
          </cell>
          <cell r="L71">
            <v>103</v>
          </cell>
          <cell r="M71">
            <v>0</v>
          </cell>
          <cell r="N71">
            <v>0</v>
          </cell>
          <cell r="O71">
            <v>2</v>
          </cell>
          <cell r="P71">
            <v>193</v>
          </cell>
          <cell r="Q71">
            <v>4</v>
          </cell>
          <cell r="R71">
            <v>522</v>
          </cell>
          <cell r="S71">
            <v>1</v>
          </cell>
          <cell r="T71">
            <v>90</v>
          </cell>
          <cell r="U71">
            <v>3</v>
          </cell>
          <cell r="V71">
            <v>368</v>
          </cell>
        </row>
        <row r="72">
          <cell r="B72" t="str">
            <v>Rhode Island</v>
          </cell>
          <cell r="C72">
            <v>0</v>
          </cell>
          <cell r="D72">
            <v>0</v>
          </cell>
          <cell r="E72">
            <v>2</v>
          </cell>
          <cell r="F72">
            <v>181</v>
          </cell>
          <cell r="G72">
            <v>0</v>
          </cell>
          <cell r="H72">
            <v>0</v>
          </cell>
          <cell r="I72">
            <v>0</v>
          </cell>
          <cell r="J72">
            <v>0</v>
          </cell>
          <cell r="K72">
            <v>1</v>
          </cell>
          <cell r="L72">
            <v>216</v>
          </cell>
          <cell r="M72">
            <v>0</v>
          </cell>
          <cell r="N72">
            <v>0</v>
          </cell>
          <cell r="O72">
            <v>0</v>
          </cell>
          <cell r="P72">
            <v>0</v>
          </cell>
          <cell r="Q72">
            <v>2</v>
          </cell>
          <cell r="R72">
            <v>181</v>
          </cell>
          <cell r="S72">
            <v>0</v>
          </cell>
          <cell r="T72">
            <v>0</v>
          </cell>
          <cell r="U72">
            <v>0</v>
          </cell>
          <cell r="V72">
            <v>0</v>
          </cell>
        </row>
        <row r="73">
          <cell r="B73" t="str">
            <v>South Carolina</v>
          </cell>
          <cell r="C73">
            <v>0</v>
          </cell>
          <cell r="D73">
            <v>0</v>
          </cell>
          <cell r="E73">
            <v>1</v>
          </cell>
          <cell r="F73">
            <v>121</v>
          </cell>
          <cell r="G73">
            <v>0</v>
          </cell>
          <cell r="H73">
            <v>0</v>
          </cell>
          <cell r="I73">
            <v>3</v>
          </cell>
          <cell r="J73">
            <v>397</v>
          </cell>
          <cell r="K73">
            <v>2</v>
          </cell>
          <cell r="L73">
            <v>226</v>
          </cell>
          <cell r="M73">
            <v>0</v>
          </cell>
          <cell r="N73">
            <v>0</v>
          </cell>
          <cell r="O73">
            <v>0</v>
          </cell>
          <cell r="P73">
            <v>0</v>
          </cell>
          <cell r="Q73">
            <v>0</v>
          </cell>
          <cell r="R73">
            <v>0</v>
          </cell>
          <cell r="S73">
            <v>1</v>
          </cell>
          <cell r="T73">
            <v>121</v>
          </cell>
          <cell r="U73">
            <v>0</v>
          </cell>
          <cell r="V73">
            <v>0</v>
          </cell>
        </row>
        <row r="74">
          <cell r="B74" t="str">
            <v>South Dakota</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row>
        <row r="75">
          <cell r="B75" t="str">
            <v>Tennessee</v>
          </cell>
          <cell r="C75">
            <v>1</v>
          </cell>
          <cell r="D75">
            <v>128</v>
          </cell>
          <cell r="E75">
            <v>0</v>
          </cell>
          <cell r="F75">
            <v>0</v>
          </cell>
          <cell r="G75">
            <v>0</v>
          </cell>
          <cell r="H75">
            <v>0</v>
          </cell>
          <cell r="I75">
            <v>0</v>
          </cell>
          <cell r="J75">
            <v>0</v>
          </cell>
          <cell r="K75">
            <v>0</v>
          </cell>
          <cell r="L75">
            <v>0</v>
          </cell>
          <cell r="M75">
            <v>0</v>
          </cell>
          <cell r="N75">
            <v>0</v>
          </cell>
          <cell r="O75">
            <v>1</v>
          </cell>
          <cell r="P75">
            <v>128</v>
          </cell>
          <cell r="Q75">
            <v>0</v>
          </cell>
          <cell r="R75">
            <v>0</v>
          </cell>
          <cell r="S75">
            <v>0</v>
          </cell>
          <cell r="T75">
            <v>0</v>
          </cell>
          <cell r="U75">
            <v>0</v>
          </cell>
          <cell r="V75">
            <v>0</v>
          </cell>
        </row>
        <row r="76">
          <cell r="B76" t="str">
            <v>Texas</v>
          </cell>
          <cell r="C76">
            <v>3</v>
          </cell>
          <cell r="D76">
            <v>408</v>
          </cell>
          <cell r="E76">
            <v>2</v>
          </cell>
          <cell r="F76">
            <v>299</v>
          </cell>
          <cell r="G76">
            <v>1</v>
          </cell>
          <cell r="H76">
            <v>90</v>
          </cell>
          <cell r="I76">
            <v>3</v>
          </cell>
          <cell r="J76">
            <v>479</v>
          </cell>
          <cell r="K76">
            <v>2</v>
          </cell>
          <cell r="L76">
            <v>302</v>
          </cell>
          <cell r="M76">
            <v>1</v>
          </cell>
          <cell r="N76">
            <v>121</v>
          </cell>
          <cell r="O76">
            <v>3</v>
          </cell>
          <cell r="P76">
            <v>408</v>
          </cell>
          <cell r="Q76">
            <v>0</v>
          </cell>
          <cell r="R76">
            <v>0</v>
          </cell>
          <cell r="S76">
            <v>2</v>
          </cell>
          <cell r="T76">
            <v>236</v>
          </cell>
          <cell r="U76">
            <v>1</v>
          </cell>
          <cell r="V76">
            <v>153</v>
          </cell>
        </row>
        <row r="77">
          <cell r="B77" t="str">
            <v>Utah</v>
          </cell>
          <cell r="C77">
            <v>0</v>
          </cell>
          <cell r="D77">
            <v>0</v>
          </cell>
          <cell r="E77">
            <v>0</v>
          </cell>
          <cell r="F77">
            <v>0</v>
          </cell>
          <cell r="G77">
            <v>0</v>
          </cell>
          <cell r="H77">
            <v>0</v>
          </cell>
          <cell r="I77">
            <v>1</v>
          </cell>
          <cell r="J77">
            <v>154</v>
          </cell>
          <cell r="K77">
            <v>1</v>
          </cell>
          <cell r="L77">
            <v>90</v>
          </cell>
          <cell r="M77">
            <v>0</v>
          </cell>
          <cell r="N77">
            <v>0</v>
          </cell>
          <cell r="O77">
            <v>0</v>
          </cell>
          <cell r="P77">
            <v>0</v>
          </cell>
          <cell r="Q77">
            <v>0</v>
          </cell>
          <cell r="R77">
            <v>0</v>
          </cell>
          <cell r="S77">
            <v>0</v>
          </cell>
          <cell r="T77">
            <v>0</v>
          </cell>
          <cell r="U77">
            <v>0</v>
          </cell>
          <cell r="V77">
            <v>0</v>
          </cell>
        </row>
        <row r="78">
          <cell r="B78" t="str">
            <v>Vermont</v>
          </cell>
          <cell r="C78">
            <v>0</v>
          </cell>
          <cell r="D78">
            <v>0</v>
          </cell>
          <cell r="E78">
            <v>0</v>
          </cell>
          <cell r="F78">
            <v>0</v>
          </cell>
          <cell r="G78">
            <v>0</v>
          </cell>
          <cell r="H78">
            <v>0</v>
          </cell>
          <cell r="I78">
            <v>0</v>
          </cell>
          <cell r="J78">
            <v>0</v>
          </cell>
          <cell r="K78">
            <v>1</v>
          </cell>
          <cell r="L78">
            <v>90</v>
          </cell>
          <cell r="M78">
            <v>0</v>
          </cell>
          <cell r="N78">
            <v>0</v>
          </cell>
          <cell r="O78">
            <v>0</v>
          </cell>
          <cell r="P78">
            <v>0</v>
          </cell>
          <cell r="Q78">
            <v>0</v>
          </cell>
          <cell r="R78">
            <v>0</v>
          </cell>
          <cell r="S78">
            <v>0</v>
          </cell>
          <cell r="T78">
            <v>0</v>
          </cell>
          <cell r="U78">
            <v>0</v>
          </cell>
          <cell r="V78">
            <v>0</v>
          </cell>
        </row>
        <row r="79">
          <cell r="B79" t="str">
            <v>Virginia</v>
          </cell>
          <cell r="C79">
            <v>3</v>
          </cell>
          <cell r="D79">
            <v>473</v>
          </cell>
          <cell r="E79">
            <v>2</v>
          </cell>
          <cell r="F79">
            <v>340</v>
          </cell>
          <cell r="G79">
            <v>4</v>
          </cell>
          <cell r="H79">
            <v>631</v>
          </cell>
          <cell r="I79">
            <v>3</v>
          </cell>
          <cell r="J79">
            <v>383</v>
          </cell>
          <cell r="K79">
            <v>2</v>
          </cell>
          <cell r="L79">
            <v>366</v>
          </cell>
          <cell r="M79">
            <v>1</v>
          </cell>
          <cell r="N79">
            <v>157</v>
          </cell>
          <cell r="O79">
            <v>1</v>
          </cell>
          <cell r="P79">
            <v>188</v>
          </cell>
          <cell r="Q79">
            <v>2</v>
          </cell>
          <cell r="R79">
            <v>285</v>
          </cell>
          <cell r="S79">
            <v>2</v>
          </cell>
          <cell r="T79">
            <v>340</v>
          </cell>
          <cell r="U79">
            <v>4</v>
          </cell>
          <cell r="V79">
            <v>631</v>
          </cell>
        </row>
        <row r="80">
          <cell r="B80" t="str">
            <v>Washington</v>
          </cell>
          <cell r="C80">
            <v>0</v>
          </cell>
          <cell r="D80">
            <v>0</v>
          </cell>
          <cell r="E80">
            <v>2</v>
          </cell>
          <cell r="F80">
            <v>246</v>
          </cell>
          <cell r="G80">
            <v>2</v>
          </cell>
          <cell r="H80">
            <v>298</v>
          </cell>
          <cell r="I80">
            <v>3</v>
          </cell>
          <cell r="J80">
            <v>625</v>
          </cell>
          <cell r="K80">
            <v>1</v>
          </cell>
          <cell r="L80">
            <v>160</v>
          </cell>
          <cell r="M80">
            <v>0</v>
          </cell>
          <cell r="N80">
            <v>0</v>
          </cell>
          <cell r="O80">
            <v>0</v>
          </cell>
          <cell r="P80">
            <v>0</v>
          </cell>
          <cell r="Q80">
            <v>1</v>
          </cell>
          <cell r="R80">
            <v>150</v>
          </cell>
          <cell r="S80">
            <v>2</v>
          </cell>
          <cell r="T80">
            <v>283</v>
          </cell>
          <cell r="U80">
            <v>1</v>
          </cell>
          <cell r="V80">
            <v>111</v>
          </cell>
        </row>
        <row r="81">
          <cell r="B81" t="str">
            <v>West Virginia</v>
          </cell>
          <cell r="C81">
            <v>0</v>
          </cell>
          <cell r="D81">
            <v>0</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row>
        <row r="82">
          <cell r="B82" t="str">
            <v>Wisconsin</v>
          </cell>
          <cell r="C82">
            <v>0</v>
          </cell>
          <cell r="D82">
            <v>0</v>
          </cell>
          <cell r="E82">
            <v>0</v>
          </cell>
          <cell r="F82">
            <v>0</v>
          </cell>
          <cell r="G82">
            <v>2</v>
          </cell>
          <cell r="H82">
            <v>241</v>
          </cell>
          <cell r="I82">
            <v>1</v>
          </cell>
          <cell r="J82">
            <v>169</v>
          </cell>
          <cell r="K82">
            <v>0</v>
          </cell>
          <cell r="L82">
            <v>0</v>
          </cell>
          <cell r="M82">
            <v>1</v>
          </cell>
          <cell r="N82">
            <v>122</v>
          </cell>
          <cell r="O82">
            <v>0</v>
          </cell>
          <cell r="P82">
            <v>0</v>
          </cell>
          <cell r="Q82">
            <v>0</v>
          </cell>
          <cell r="R82">
            <v>0</v>
          </cell>
          <cell r="S82">
            <v>0</v>
          </cell>
          <cell r="T82">
            <v>0</v>
          </cell>
          <cell r="U82">
            <v>2</v>
          </cell>
          <cell r="V82">
            <v>241</v>
          </cell>
        </row>
        <row r="83">
          <cell r="B83" t="str">
            <v>Wyoming</v>
          </cell>
          <cell r="C83">
            <v>0</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row>
      </sheetData>
      <sheetData sheetId="3" refreshError="1"/>
      <sheetData sheetId="4"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anchises"/>
      <sheetName val="lookups"/>
      <sheetName val="TOTAL"/>
    </sheetNames>
    <sheetDataSet>
      <sheetData sheetId="0" refreshError="1">
        <row r="5">
          <cell r="A5" t="str">
            <v>Adam's Mark</v>
          </cell>
          <cell r="D5">
            <v>1</v>
          </cell>
          <cell r="E5">
            <v>0</v>
          </cell>
          <cell r="F5">
            <v>0</v>
          </cell>
          <cell r="G5">
            <v>0</v>
          </cell>
          <cell r="H5">
            <v>0</v>
          </cell>
          <cell r="I5">
            <v>1</v>
          </cell>
          <cell r="J5">
            <v>1</v>
          </cell>
          <cell r="K5">
            <v>0</v>
          </cell>
          <cell r="L5">
            <v>0</v>
          </cell>
          <cell r="M5">
            <v>0</v>
          </cell>
          <cell r="P5">
            <v>332</v>
          </cell>
          <cell r="Q5">
            <v>0</v>
          </cell>
          <cell r="R5">
            <v>0</v>
          </cell>
          <cell r="S5">
            <v>0</v>
          </cell>
          <cell r="T5">
            <v>0</v>
          </cell>
          <cell r="U5">
            <v>13</v>
          </cell>
          <cell r="V5">
            <v>1339</v>
          </cell>
          <cell r="W5">
            <v>0</v>
          </cell>
          <cell r="X5">
            <v>0</v>
          </cell>
          <cell r="Y5">
            <v>0</v>
          </cell>
          <cell r="Z5">
            <v>0</v>
          </cell>
          <cell r="AA5">
            <v>0</v>
          </cell>
          <cell r="AB5">
            <v>1</v>
          </cell>
          <cell r="AC5">
            <v>410</v>
          </cell>
          <cell r="AD5">
            <v>0</v>
          </cell>
          <cell r="AE5">
            <v>0</v>
          </cell>
          <cell r="AF5">
            <v>1</v>
          </cell>
          <cell r="AG5">
            <v>415</v>
          </cell>
        </row>
        <row r="6">
          <cell r="A6" t="str">
            <v>AmericInn</v>
          </cell>
          <cell r="D6">
            <v>14</v>
          </cell>
          <cell r="E6">
            <v>0</v>
          </cell>
          <cell r="F6">
            <v>7</v>
          </cell>
          <cell r="G6">
            <v>1</v>
          </cell>
          <cell r="H6">
            <v>8</v>
          </cell>
          <cell r="I6">
            <v>2</v>
          </cell>
          <cell r="J6">
            <v>2</v>
          </cell>
          <cell r="K6">
            <v>5</v>
          </cell>
          <cell r="L6">
            <v>9</v>
          </cell>
          <cell r="M6">
            <v>4</v>
          </cell>
          <cell r="P6">
            <v>769</v>
          </cell>
          <cell r="Q6">
            <v>0</v>
          </cell>
          <cell r="R6">
            <v>330</v>
          </cell>
          <cell r="S6">
            <v>44</v>
          </cell>
          <cell r="T6">
            <v>480</v>
          </cell>
          <cell r="U6">
            <v>118</v>
          </cell>
          <cell r="V6">
            <v>87</v>
          </cell>
          <cell r="W6">
            <v>235</v>
          </cell>
          <cell r="X6">
            <v>589</v>
          </cell>
          <cell r="Y6">
            <v>235</v>
          </cell>
          <cell r="Z6">
            <v>2</v>
          </cell>
          <cell r="AA6">
            <v>99</v>
          </cell>
          <cell r="AB6">
            <v>3</v>
          </cell>
          <cell r="AC6">
            <v>143</v>
          </cell>
          <cell r="AD6">
            <v>5</v>
          </cell>
          <cell r="AE6">
            <v>253</v>
          </cell>
          <cell r="AF6">
            <v>2</v>
          </cell>
          <cell r="AG6">
            <v>93</v>
          </cell>
        </row>
        <row r="7">
          <cell r="A7" t="str">
            <v>AmeriHost Inn</v>
          </cell>
          <cell r="D7">
            <v>0</v>
          </cell>
          <cell r="E7">
            <v>0</v>
          </cell>
          <cell r="F7">
            <v>0</v>
          </cell>
          <cell r="G7">
            <v>0</v>
          </cell>
          <cell r="H7">
            <v>1</v>
          </cell>
          <cell r="I7">
            <v>5</v>
          </cell>
          <cell r="J7">
            <v>0</v>
          </cell>
          <cell r="K7">
            <v>4</v>
          </cell>
          <cell r="L7">
            <v>3</v>
          </cell>
          <cell r="M7">
            <v>3</v>
          </cell>
          <cell r="P7">
            <v>0</v>
          </cell>
          <cell r="Q7">
            <v>0</v>
          </cell>
          <cell r="R7">
            <v>0</v>
          </cell>
          <cell r="S7">
            <v>0</v>
          </cell>
          <cell r="T7">
            <v>62</v>
          </cell>
          <cell r="U7">
            <v>321</v>
          </cell>
          <cell r="V7">
            <v>0</v>
          </cell>
          <cell r="W7">
            <v>264</v>
          </cell>
          <cell r="X7">
            <v>180</v>
          </cell>
          <cell r="Y7">
            <v>195</v>
          </cell>
          <cell r="Z7">
            <v>4</v>
          </cell>
          <cell r="AA7">
            <v>246</v>
          </cell>
          <cell r="AB7">
            <v>9</v>
          </cell>
          <cell r="AC7">
            <v>551</v>
          </cell>
          <cell r="AD7">
            <v>5</v>
          </cell>
          <cell r="AE7">
            <v>319</v>
          </cell>
          <cell r="AF7">
            <v>5</v>
          </cell>
          <cell r="AG7">
            <v>305</v>
          </cell>
        </row>
        <row r="8">
          <cell r="A8" t="str">
            <v>AmeriSuites</v>
          </cell>
          <cell r="D8">
            <v>1</v>
          </cell>
          <cell r="E8">
            <v>2</v>
          </cell>
          <cell r="F8">
            <v>0</v>
          </cell>
          <cell r="G8">
            <v>1</v>
          </cell>
          <cell r="H8">
            <v>2</v>
          </cell>
          <cell r="I8">
            <v>10</v>
          </cell>
          <cell r="J8">
            <v>6</v>
          </cell>
          <cell r="K8">
            <v>5</v>
          </cell>
          <cell r="L8">
            <v>3</v>
          </cell>
          <cell r="M8">
            <v>6</v>
          </cell>
          <cell r="P8">
            <v>128</v>
          </cell>
          <cell r="Q8">
            <v>252</v>
          </cell>
          <cell r="R8">
            <v>0</v>
          </cell>
          <cell r="S8">
            <v>128</v>
          </cell>
          <cell r="T8">
            <v>279</v>
          </cell>
          <cell r="U8">
            <v>1248</v>
          </cell>
          <cell r="V8">
            <v>792</v>
          </cell>
          <cell r="W8">
            <v>672</v>
          </cell>
          <cell r="X8">
            <v>384</v>
          </cell>
          <cell r="Y8">
            <v>873</v>
          </cell>
          <cell r="Z8">
            <v>10</v>
          </cell>
          <cell r="AA8">
            <v>1297</v>
          </cell>
          <cell r="AB8">
            <v>9</v>
          </cell>
          <cell r="AC8">
            <v>1152</v>
          </cell>
          <cell r="AD8">
            <v>5</v>
          </cell>
          <cell r="AE8">
            <v>636</v>
          </cell>
          <cell r="AF8">
            <v>8</v>
          </cell>
          <cell r="AG8">
            <v>1079</v>
          </cell>
        </row>
        <row r="9">
          <cell r="A9" t="str">
            <v>Arbogate Inn</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row>
        <row r="10">
          <cell r="A10" t="str">
            <v>Arte Business Suites</v>
          </cell>
          <cell r="D10">
            <v>0</v>
          </cell>
          <cell r="E10">
            <v>0</v>
          </cell>
          <cell r="F10">
            <v>0</v>
          </cell>
          <cell r="G10">
            <v>0</v>
          </cell>
          <cell r="H10">
            <v>0</v>
          </cell>
          <cell r="I10">
            <v>0</v>
          </cell>
          <cell r="J10">
            <v>0</v>
          </cell>
          <cell r="K10">
            <v>0</v>
          </cell>
          <cell r="L10">
            <v>0</v>
          </cell>
          <cell r="M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row>
        <row r="11">
          <cell r="A11" t="str">
            <v>Baymont Inn</v>
          </cell>
          <cell r="D11">
            <v>2</v>
          </cell>
          <cell r="E11">
            <v>3</v>
          </cell>
          <cell r="F11">
            <v>3</v>
          </cell>
          <cell r="G11">
            <v>5</v>
          </cell>
          <cell r="H11">
            <v>5</v>
          </cell>
          <cell r="I11">
            <v>1</v>
          </cell>
          <cell r="J11">
            <v>1</v>
          </cell>
          <cell r="K11">
            <v>3</v>
          </cell>
          <cell r="L11">
            <v>3</v>
          </cell>
          <cell r="M11">
            <v>5</v>
          </cell>
          <cell r="P11">
            <v>207</v>
          </cell>
          <cell r="Q11">
            <v>198</v>
          </cell>
          <cell r="R11">
            <v>280</v>
          </cell>
          <cell r="S11">
            <v>365</v>
          </cell>
          <cell r="T11">
            <v>395</v>
          </cell>
          <cell r="U11">
            <v>92</v>
          </cell>
          <cell r="V11">
            <v>115</v>
          </cell>
          <cell r="W11">
            <v>235</v>
          </cell>
          <cell r="X11">
            <v>250</v>
          </cell>
          <cell r="Y11">
            <v>488</v>
          </cell>
          <cell r="Z11">
            <v>2</v>
          </cell>
          <cell r="AA11">
            <v>168</v>
          </cell>
          <cell r="AB11">
            <v>4</v>
          </cell>
          <cell r="AC11">
            <v>375</v>
          </cell>
          <cell r="AD11">
            <v>6</v>
          </cell>
          <cell r="AE11">
            <v>523</v>
          </cell>
          <cell r="AF11">
            <v>3</v>
          </cell>
          <cell r="AG11">
            <v>273</v>
          </cell>
        </row>
        <row r="12">
          <cell r="A12" t="str">
            <v>Best Inn &amp; Suites</v>
          </cell>
          <cell r="D12">
            <v>1</v>
          </cell>
          <cell r="E12">
            <v>1</v>
          </cell>
          <cell r="F12">
            <v>1</v>
          </cell>
          <cell r="G12">
            <v>2</v>
          </cell>
          <cell r="H12">
            <v>4</v>
          </cell>
          <cell r="I12">
            <v>1</v>
          </cell>
          <cell r="J12">
            <v>0</v>
          </cell>
          <cell r="K12">
            <v>1</v>
          </cell>
          <cell r="L12">
            <v>0</v>
          </cell>
          <cell r="M12">
            <v>1</v>
          </cell>
          <cell r="P12">
            <v>40</v>
          </cell>
          <cell r="Q12">
            <v>47</v>
          </cell>
          <cell r="R12">
            <v>49</v>
          </cell>
          <cell r="S12">
            <v>195</v>
          </cell>
          <cell r="T12">
            <v>309</v>
          </cell>
          <cell r="U12">
            <v>64</v>
          </cell>
          <cell r="V12">
            <v>0</v>
          </cell>
          <cell r="W12">
            <v>111</v>
          </cell>
          <cell r="X12">
            <v>0</v>
          </cell>
          <cell r="Y12">
            <v>95</v>
          </cell>
          <cell r="Z12">
            <v>0</v>
          </cell>
          <cell r="AA12">
            <v>0</v>
          </cell>
          <cell r="AB12">
            <v>0</v>
          </cell>
          <cell r="AC12">
            <v>0</v>
          </cell>
          <cell r="AD12">
            <v>0</v>
          </cell>
          <cell r="AE12">
            <v>0</v>
          </cell>
          <cell r="AF12">
            <v>1</v>
          </cell>
          <cell r="AG12">
            <v>103</v>
          </cell>
        </row>
        <row r="13">
          <cell r="A13" t="str">
            <v>Best Western</v>
          </cell>
          <cell r="D13">
            <v>23</v>
          </cell>
          <cell r="E13">
            <v>12</v>
          </cell>
          <cell r="F13">
            <v>11</v>
          </cell>
          <cell r="G13">
            <v>14</v>
          </cell>
          <cell r="H13">
            <v>15</v>
          </cell>
          <cell r="I13">
            <v>14</v>
          </cell>
          <cell r="J13">
            <v>13</v>
          </cell>
          <cell r="K13">
            <v>11</v>
          </cell>
          <cell r="L13">
            <v>11</v>
          </cell>
          <cell r="M13">
            <v>14</v>
          </cell>
          <cell r="P13">
            <v>1369</v>
          </cell>
          <cell r="Q13">
            <v>685</v>
          </cell>
          <cell r="R13">
            <v>686</v>
          </cell>
          <cell r="S13">
            <v>865</v>
          </cell>
          <cell r="T13">
            <v>872</v>
          </cell>
          <cell r="U13">
            <v>938</v>
          </cell>
          <cell r="V13">
            <v>848</v>
          </cell>
          <cell r="W13">
            <v>809</v>
          </cell>
          <cell r="X13">
            <v>783</v>
          </cell>
          <cell r="Y13">
            <v>829</v>
          </cell>
          <cell r="Z13">
            <v>18</v>
          </cell>
          <cell r="AA13">
            <v>1065</v>
          </cell>
          <cell r="AB13">
            <v>23</v>
          </cell>
          <cell r="AC13">
            <v>1291</v>
          </cell>
          <cell r="AD13">
            <v>27</v>
          </cell>
          <cell r="AE13">
            <v>1604</v>
          </cell>
          <cell r="AF13">
            <v>10</v>
          </cell>
          <cell r="AG13">
            <v>493</v>
          </cell>
        </row>
        <row r="14">
          <cell r="A14" t="str">
            <v>Bradford Homesuites</v>
          </cell>
          <cell r="D14">
            <v>2</v>
          </cell>
          <cell r="E14">
            <v>1</v>
          </cell>
          <cell r="F14">
            <v>0</v>
          </cell>
          <cell r="G14">
            <v>1</v>
          </cell>
          <cell r="H14">
            <v>0</v>
          </cell>
          <cell r="I14">
            <v>1</v>
          </cell>
          <cell r="J14">
            <v>0</v>
          </cell>
          <cell r="K14">
            <v>0</v>
          </cell>
          <cell r="L14">
            <v>0</v>
          </cell>
          <cell r="M14">
            <v>1</v>
          </cell>
          <cell r="P14">
            <v>302</v>
          </cell>
          <cell r="Q14">
            <v>150</v>
          </cell>
          <cell r="R14">
            <v>0</v>
          </cell>
          <cell r="S14">
            <v>127</v>
          </cell>
          <cell r="T14">
            <v>0</v>
          </cell>
          <cell r="U14">
            <v>134</v>
          </cell>
          <cell r="V14">
            <v>0</v>
          </cell>
          <cell r="W14">
            <v>0</v>
          </cell>
          <cell r="X14">
            <v>0</v>
          </cell>
          <cell r="Y14">
            <v>121</v>
          </cell>
          <cell r="Z14">
            <v>1</v>
          </cell>
          <cell r="AA14">
            <v>132</v>
          </cell>
          <cell r="AB14">
            <v>0</v>
          </cell>
          <cell r="AC14">
            <v>0</v>
          </cell>
          <cell r="AD14">
            <v>2</v>
          </cell>
          <cell r="AE14">
            <v>262</v>
          </cell>
          <cell r="AF14">
            <v>0</v>
          </cell>
          <cell r="AG14">
            <v>0</v>
          </cell>
        </row>
        <row r="15">
          <cell r="A15" t="str">
            <v>Budget Host</v>
          </cell>
          <cell r="D15">
            <v>0</v>
          </cell>
          <cell r="E15">
            <v>0</v>
          </cell>
          <cell r="F15">
            <v>1</v>
          </cell>
          <cell r="G15">
            <v>0</v>
          </cell>
          <cell r="H15">
            <v>1</v>
          </cell>
          <cell r="I15">
            <v>0</v>
          </cell>
          <cell r="J15">
            <v>0</v>
          </cell>
          <cell r="K15">
            <v>0</v>
          </cell>
          <cell r="L15">
            <v>0</v>
          </cell>
          <cell r="M15">
            <v>0</v>
          </cell>
          <cell r="P15">
            <v>0</v>
          </cell>
          <cell r="Q15">
            <v>0</v>
          </cell>
          <cell r="R15">
            <v>21</v>
          </cell>
          <cell r="S15">
            <v>0</v>
          </cell>
          <cell r="T15">
            <v>14</v>
          </cell>
          <cell r="U15">
            <v>0</v>
          </cell>
          <cell r="V15">
            <v>0</v>
          </cell>
          <cell r="W15">
            <v>0</v>
          </cell>
          <cell r="X15">
            <v>0</v>
          </cell>
          <cell r="Y15">
            <v>0</v>
          </cell>
          <cell r="Z15">
            <v>0</v>
          </cell>
          <cell r="AA15">
            <v>0</v>
          </cell>
          <cell r="AB15">
            <v>0</v>
          </cell>
          <cell r="AC15">
            <v>0</v>
          </cell>
          <cell r="AD15">
            <v>0</v>
          </cell>
          <cell r="AE15">
            <v>0</v>
          </cell>
          <cell r="AF15">
            <v>0</v>
          </cell>
          <cell r="AG15">
            <v>0</v>
          </cell>
        </row>
        <row r="16">
          <cell r="A16" t="str">
            <v>Budget Inn</v>
          </cell>
          <cell r="D16">
            <v>0</v>
          </cell>
          <cell r="E16">
            <v>0</v>
          </cell>
          <cell r="F16">
            <v>0</v>
          </cell>
          <cell r="G16">
            <v>0</v>
          </cell>
          <cell r="H16">
            <v>0</v>
          </cell>
          <cell r="I16">
            <v>0</v>
          </cell>
          <cell r="J16">
            <v>0</v>
          </cell>
          <cell r="K16">
            <v>0</v>
          </cell>
          <cell r="L16">
            <v>0</v>
          </cell>
          <cell r="M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row>
        <row r="17">
          <cell r="A17" t="str">
            <v>Budget Suites of America</v>
          </cell>
          <cell r="D17">
            <v>1</v>
          </cell>
          <cell r="E17">
            <v>1</v>
          </cell>
          <cell r="F17">
            <v>1</v>
          </cell>
          <cell r="G17">
            <v>2</v>
          </cell>
          <cell r="H17">
            <v>1</v>
          </cell>
          <cell r="I17">
            <v>3</v>
          </cell>
          <cell r="J17">
            <v>1</v>
          </cell>
          <cell r="K17">
            <v>2</v>
          </cell>
          <cell r="L17">
            <v>0</v>
          </cell>
          <cell r="M17">
            <v>0</v>
          </cell>
          <cell r="P17">
            <v>166</v>
          </cell>
          <cell r="Q17">
            <v>344</v>
          </cell>
          <cell r="R17">
            <v>408</v>
          </cell>
          <cell r="S17">
            <v>648</v>
          </cell>
          <cell r="T17">
            <v>414</v>
          </cell>
          <cell r="U17">
            <v>984</v>
          </cell>
          <cell r="V17">
            <v>336</v>
          </cell>
          <cell r="W17">
            <v>648</v>
          </cell>
          <cell r="X17">
            <v>0</v>
          </cell>
          <cell r="Y17">
            <v>0</v>
          </cell>
          <cell r="Z17">
            <v>0</v>
          </cell>
          <cell r="AA17">
            <v>0</v>
          </cell>
          <cell r="AB17">
            <v>0</v>
          </cell>
          <cell r="AC17">
            <v>0</v>
          </cell>
          <cell r="AD17">
            <v>0</v>
          </cell>
          <cell r="AE17">
            <v>0</v>
          </cell>
          <cell r="AF17">
            <v>0</v>
          </cell>
          <cell r="AG17">
            <v>0</v>
          </cell>
        </row>
        <row r="18">
          <cell r="A18" t="str">
            <v>Candlewood Suites</v>
          </cell>
          <cell r="D18">
            <v>7</v>
          </cell>
          <cell r="E18">
            <v>1</v>
          </cell>
          <cell r="F18">
            <v>2</v>
          </cell>
          <cell r="G18">
            <v>1</v>
          </cell>
          <cell r="H18">
            <v>5</v>
          </cell>
          <cell r="I18">
            <v>5</v>
          </cell>
          <cell r="J18">
            <v>18</v>
          </cell>
          <cell r="K18">
            <v>8</v>
          </cell>
          <cell r="L18">
            <v>10</v>
          </cell>
          <cell r="M18">
            <v>11</v>
          </cell>
          <cell r="P18">
            <v>853</v>
          </cell>
          <cell r="Q18">
            <v>278</v>
          </cell>
          <cell r="R18">
            <v>282</v>
          </cell>
          <cell r="S18">
            <v>129</v>
          </cell>
          <cell r="T18">
            <v>614</v>
          </cell>
          <cell r="U18">
            <v>557</v>
          </cell>
          <cell r="V18">
            <v>2198</v>
          </cell>
          <cell r="W18">
            <v>965</v>
          </cell>
          <cell r="X18">
            <v>1163</v>
          </cell>
          <cell r="Y18">
            <v>1239</v>
          </cell>
          <cell r="Z18">
            <v>9</v>
          </cell>
          <cell r="AA18">
            <v>901</v>
          </cell>
          <cell r="AB18">
            <v>1</v>
          </cell>
          <cell r="AC18">
            <v>126</v>
          </cell>
          <cell r="AD18">
            <v>7</v>
          </cell>
          <cell r="AE18">
            <v>698</v>
          </cell>
          <cell r="AF18">
            <v>2</v>
          </cell>
          <cell r="AG18">
            <v>261</v>
          </cell>
        </row>
        <row r="19">
          <cell r="A19" t="str">
            <v>Casinos</v>
          </cell>
          <cell r="D19">
            <v>2</v>
          </cell>
          <cell r="E19">
            <v>2</v>
          </cell>
          <cell r="F19">
            <v>2</v>
          </cell>
          <cell r="G19">
            <v>1</v>
          </cell>
          <cell r="H19">
            <v>5</v>
          </cell>
          <cell r="I19">
            <v>4</v>
          </cell>
          <cell r="J19">
            <v>2</v>
          </cell>
          <cell r="K19">
            <v>4</v>
          </cell>
          <cell r="L19">
            <v>3</v>
          </cell>
          <cell r="M19">
            <v>5</v>
          </cell>
          <cell r="P19">
            <v>351</v>
          </cell>
          <cell r="Q19">
            <v>338</v>
          </cell>
          <cell r="R19">
            <v>504</v>
          </cell>
          <cell r="S19">
            <v>2914</v>
          </cell>
          <cell r="T19">
            <v>4338</v>
          </cell>
          <cell r="U19">
            <v>5912</v>
          </cell>
          <cell r="V19">
            <v>3323</v>
          </cell>
          <cell r="W19">
            <v>1260</v>
          </cell>
          <cell r="X19">
            <v>1878</v>
          </cell>
          <cell r="Y19">
            <v>1174</v>
          </cell>
          <cell r="Z19">
            <v>3</v>
          </cell>
          <cell r="AA19">
            <v>2014</v>
          </cell>
          <cell r="AB19">
            <v>1</v>
          </cell>
          <cell r="AC19">
            <v>241</v>
          </cell>
          <cell r="AD19">
            <v>0</v>
          </cell>
          <cell r="AE19">
            <v>0</v>
          </cell>
          <cell r="AF19">
            <v>2</v>
          </cell>
          <cell r="AG19">
            <v>2460</v>
          </cell>
        </row>
        <row r="20">
          <cell r="A20" t="str">
            <v>Clarion</v>
          </cell>
          <cell r="D20">
            <v>0</v>
          </cell>
          <cell r="E20">
            <v>0</v>
          </cell>
          <cell r="F20">
            <v>0</v>
          </cell>
          <cell r="G20">
            <v>0</v>
          </cell>
          <cell r="H20">
            <v>1</v>
          </cell>
          <cell r="I20">
            <v>1</v>
          </cell>
          <cell r="J20">
            <v>0</v>
          </cell>
          <cell r="K20">
            <v>2</v>
          </cell>
          <cell r="L20">
            <v>2</v>
          </cell>
          <cell r="M20">
            <v>0</v>
          </cell>
          <cell r="P20">
            <v>0</v>
          </cell>
          <cell r="Q20">
            <v>0</v>
          </cell>
          <cell r="R20">
            <v>0</v>
          </cell>
          <cell r="S20">
            <v>0</v>
          </cell>
          <cell r="T20">
            <v>62</v>
          </cell>
          <cell r="U20">
            <v>101</v>
          </cell>
          <cell r="V20">
            <v>0</v>
          </cell>
          <cell r="W20">
            <v>268</v>
          </cell>
          <cell r="X20">
            <v>168</v>
          </cell>
          <cell r="Y20">
            <v>0</v>
          </cell>
          <cell r="Z20">
            <v>0</v>
          </cell>
          <cell r="AA20">
            <v>0</v>
          </cell>
          <cell r="AB20">
            <v>1</v>
          </cell>
          <cell r="AC20">
            <v>174</v>
          </cell>
          <cell r="AD20">
            <v>1</v>
          </cell>
          <cell r="AE20">
            <v>89</v>
          </cell>
          <cell r="AF20">
            <v>2</v>
          </cell>
          <cell r="AG20">
            <v>167</v>
          </cell>
        </row>
        <row r="21">
          <cell r="A21" t="str">
            <v>Club Hotel by Doubletree</v>
          </cell>
          <cell r="D21">
            <v>0</v>
          </cell>
          <cell r="E21">
            <v>0</v>
          </cell>
          <cell r="F21">
            <v>0</v>
          </cell>
          <cell r="G21">
            <v>1</v>
          </cell>
          <cell r="H21">
            <v>2</v>
          </cell>
          <cell r="I21">
            <v>0</v>
          </cell>
          <cell r="J21">
            <v>2</v>
          </cell>
          <cell r="K21">
            <v>2</v>
          </cell>
          <cell r="L21">
            <v>0</v>
          </cell>
          <cell r="M21">
            <v>0</v>
          </cell>
          <cell r="P21">
            <v>0</v>
          </cell>
          <cell r="Q21">
            <v>0</v>
          </cell>
          <cell r="R21">
            <v>0</v>
          </cell>
          <cell r="S21">
            <v>160</v>
          </cell>
          <cell r="T21">
            <v>443</v>
          </cell>
          <cell r="U21">
            <v>0</v>
          </cell>
          <cell r="V21">
            <v>387</v>
          </cell>
          <cell r="W21">
            <v>454</v>
          </cell>
          <cell r="X21">
            <v>0</v>
          </cell>
          <cell r="Y21">
            <v>0</v>
          </cell>
          <cell r="Z21">
            <v>0</v>
          </cell>
          <cell r="AA21">
            <v>0</v>
          </cell>
          <cell r="AB21">
            <v>1</v>
          </cell>
          <cell r="AC21">
            <v>200</v>
          </cell>
          <cell r="AD21">
            <v>0</v>
          </cell>
          <cell r="AE21">
            <v>0</v>
          </cell>
          <cell r="AF21">
            <v>0</v>
          </cell>
          <cell r="AG21">
            <v>0</v>
          </cell>
        </row>
        <row r="22">
          <cell r="A22" t="str">
            <v>Club Inn</v>
          </cell>
          <cell r="D22">
            <v>0</v>
          </cell>
          <cell r="E22">
            <v>0</v>
          </cell>
          <cell r="F22">
            <v>0</v>
          </cell>
          <cell r="G22">
            <v>0</v>
          </cell>
          <cell r="H22">
            <v>0</v>
          </cell>
          <cell r="I22">
            <v>0</v>
          </cell>
          <cell r="J22">
            <v>0</v>
          </cell>
          <cell r="K22">
            <v>0</v>
          </cell>
          <cell r="L22">
            <v>0</v>
          </cell>
          <cell r="M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row>
        <row r="23">
          <cell r="A23" t="str">
            <v>Comfort Inn</v>
          </cell>
          <cell r="D23">
            <v>14</v>
          </cell>
          <cell r="E23">
            <v>13</v>
          </cell>
          <cell r="F23">
            <v>4</v>
          </cell>
          <cell r="G23">
            <v>20</v>
          </cell>
          <cell r="H23">
            <v>13</v>
          </cell>
          <cell r="I23">
            <v>13</v>
          </cell>
          <cell r="J23">
            <v>6</v>
          </cell>
          <cell r="K23">
            <v>16</v>
          </cell>
          <cell r="L23">
            <v>8</v>
          </cell>
          <cell r="M23">
            <v>10</v>
          </cell>
          <cell r="P23">
            <v>1041</v>
          </cell>
          <cell r="Q23">
            <v>877</v>
          </cell>
          <cell r="R23">
            <v>312</v>
          </cell>
          <cell r="S23">
            <v>1391</v>
          </cell>
          <cell r="T23">
            <v>752</v>
          </cell>
          <cell r="U23">
            <v>757</v>
          </cell>
          <cell r="V23">
            <v>395</v>
          </cell>
          <cell r="W23">
            <v>1024</v>
          </cell>
          <cell r="X23">
            <v>479</v>
          </cell>
          <cell r="Y23">
            <v>582</v>
          </cell>
          <cell r="Z23">
            <v>16</v>
          </cell>
          <cell r="AA23">
            <v>894</v>
          </cell>
          <cell r="AB23">
            <v>16</v>
          </cell>
          <cell r="AC23">
            <v>931</v>
          </cell>
          <cell r="AD23">
            <v>20</v>
          </cell>
          <cell r="AE23">
            <v>1330</v>
          </cell>
          <cell r="AF23">
            <v>14</v>
          </cell>
          <cell r="AG23">
            <v>858</v>
          </cell>
        </row>
        <row r="24">
          <cell r="A24" t="str">
            <v>Comfort Suites</v>
          </cell>
          <cell r="D24">
            <v>7</v>
          </cell>
          <cell r="E24">
            <v>14</v>
          </cell>
          <cell r="F24">
            <v>6</v>
          </cell>
          <cell r="G24">
            <v>14</v>
          </cell>
          <cell r="H24">
            <v>8</v>
          </cell>
          <cell r="I24">
            <v>9</v>
          </cell>
          <cell r="J24">
            <v>5</v>
          </cell>
          <cell r="K24">
            <v>8</v>
          </cell>
          <cell r="L24">
            <v>6</v>
          </cell>
          <cell r="M24">
            <v>10</v>
          </cell>
          <cell r="P24">
            <v>525</v>
          </cell>
          <cell r="Q24">
            <v>963</v>
          </cell>
          <cell r="R24">
            <v>490</v>
          </cell>
          <cell r="S24">
            <v>932</v>
          </cell>
          <cell r="T24">
            <v>672</v>
          </cell>
          <cell r="U24">
            <v>817</v>
          </cell>
          <cell r="V24">
            <v>356</v>
          </cell>
          <cell r="W24">
            <v>730</v>
          </cell>
          <cell r="X24">
            <v>444</v>
          </cell>
          <cell r="Y24">
            <v>687</v>
          </cell>
          <cell r="Z24">
            <v>6</v>
          </cell>
          <cell r="AA24">
            <v>546</v>
          </cell>
          <cell r="AB24">
            <v>8</v>
          </cell>
          <cell r="AC24">
            <v>608</v>
          </cell>
          <cell r="AD24">
            <v>15</v>
          </cell>
          <cell r="AE24">
            <v>1255</v>
          </cell>
          <cell r="AF24">
            <v>12</v>
          </cell>
          <cell r="AG24">
            <v>871</v>
          </cell>
        </row>
        <row r="25">
          <cell r="A25" t="str">
            <v>Country Hearth Inn</v>
          </cell>
          <cell r="D25">
            <v>1</v>
          </cell>
          <cell r="E25">
            <v>1</v>
          </cell>
          <cell r="F25">
            <v>1</v>
          </cell>
          <cell r="G25">
            <v>2</v>
          </cell>
          <cell r="H25">
            <v>5</v>
          </cell>
          <cell r="I25">
            <v>2</v>
          </cell>
          <cell r="J25">
            <v>1</v>
          </cell>
          <cell r="K25">
            <v>4</v>
          </cell>
          <cell r="L25">
            <v>0</v>
          </cell>
          <cell r="M25">
            <v>0</v>
          </cell>
          <cell r="P25">
            <v>50</v>
          </cell>
          <cell r="Q25">
            <v>70</v>
          </cell>
          <cell r="R25">
            <v>40</v>
          </cell>
          <cell r="S25">
            <v>125</v>
          </cell>
          <cell r="T25">
            <v>229</v>
          </cell>
          <cell r="U25">
            <v>83</v>
          </cell>
          <cell r="V25">
            <v>40</v>
          </cell>
          <cell r="W25">
            <v>214</v>
          </cell>
          <cell r="X25">
            <v>0</v>
          </cell>
          <cell r="Y25">
            <v>0</v>
          </cell>
          <cell r="Z25">
            <v>1</v>
          </cell>
          <cell r="AA25">
            <v>40</v>
          </cell>
          <cell r="AB25">
            <v>3</v>
          </cell>
          <cell r="AC25">
            <v>120</v>
          </cell>
          <cell r="AD25">
            <v>1</v>
          </cell>
          <cell r="AE25">
            <v>92</v>
          </cell>
          <cell r="AF25">
            <v>1</v>
          </cell>
          <cell r="AG25">
            <v>60</v>
          </cell>
        </row>
        <row r="26">
          <cell r="A26" t="str">
            <v>Country Inn &amp; Suites</v>
          </cell>
          <cell r="D26">
            <v>12</v>
          </cell>
          <cell r="E26">
            <v>13</v>
          </cell>
          <cell r="F26">
            <v>10</v>
          </cell>
          <cell r="G26">
            <v>12</v>
          </cell>
          <cell r="H26">
            <v>11</v>
          </cell>
          <cell r="I26">
            <v>3</v>
          </cell>
          <cell r="J26">
            <v>10</v>
          </cell>
          <cell r="K26">
            <v>9</v>
          </cell>
          <cell r="L26">
            <v>13</v>
          </cell>
          <cell r="M26">
            <v>11</v>
          </cell>
          <cell r="P26">
            <v>786</v>
          </cell>
          <cell r="Q26">
            <v>1153</v>
          </cell>
          <cell r="R26">
            <v>735</v>
          </cell>
          <cell r="S26">
            <v>766</v>
          </cell>
          <cell r="T26">
            <v>743</v>
          </cell>
          <cell r="U26">
            <v>299</v>
          </cell>
          <cell r="V26">
            <v>681</v>
          </cell>
          <cell r="W26">
            <v>637</v>
          </cell>
          <cell r="X26">
            <v>808</v>
          </cell>
          <cell r="Y26">
            <v>827</v>
          </cell>
          <cell r="Z26">
            <v>7</v>
          </cell>
          <cell r="AA26">
            <v>454</v>
          </cell>
          <cell r="AB26">
            <v>8</v>
          </cell>
          <cell r="AC26">
            <v>603</v>
          </cell>
          <cell r="AD26">
            <v>15</v>
          </cell>
          <cell r="AE26">
            <v>1041</v>
          </cell>
          <cell r="AF26">
            <v>2</v>
          </cell>
          <cell r="AG26">
            <v>86</v>
          </cell>
        </row>
        <row r="27">
          <cell r="A27" t="str">
            <v>Courtyard by Marriott</v>
          </cell>
          <cell r="D27">
            <v>12</v>
          </cell>
          <cell r="E27">
            <v>8</v>
          </cell>
          <cell r="F27">
            <v>14</v>
          </cell>
          <cell r="G27">
            <v>12</v>
          </cell>
          <cell r="H27">
            <v>14</v>
          </cell>
          <cell r="I27">
            <v>9</v>
          </cell>
          <cell r="J27">
            <v>15</v>
          </cell>
          <cell r="K27">
            <v>10</v>
          </cell>
          <cell r="L27">
            <v>12</v>
          </cell>
          <cell r="M27">
            <v>5</v>
          </cell>
          <cell r="P27">
            <v>1393</v>
          </cell>
          <cell r="Q27">
            <v>1130</v>
          </cell>
          <cell r="R27">
            <v>2277</v>
          </cell>
          <cell r="S27">
            <v>1685</v>
          </cell>
          <cell r="T27">
            <v>2150</v>
          </cell>
          <cell r="U27">
            <v>1139</v>
          </cell>
          <cell r="V27">
            <v>2253</v>
          </cell>
          <cell r="W27">
            <v>1149</v>
          </cell>
          <cell r="X27">
            <v>1436</v>
          </cell>
          <cell r="Y27">
            <v>502</v>
          </cell>
          <cell r="Z27">
            <v>13</v>
          </cell>
          <cell r="AA27">
            <v>1438</v>
          </cell>
          <cell r="AB27">
            <v>15</v>
          </cell>
          <cell r="AC27">
            <v>1760</v>
          </cell>
          <cell r="AD27">
            <v>11</v>
          </cell>
          <cell r="AE27">
            <v>1214</v>
          </cell>
          <cell r="AF27">
            <v>10</v>
          </cell>
          <cell r="AG27">
            <v>1208</v>
          </cell>
        </row>
        <row r="28">
          <cell r="A28" t="str">
            <v>Crossland Economy Studios</v>
          </cell>
          <cell r="D28">
            <v>0</v>
          </cell>
          <cell r="E28">
            <v>0</v>
          </cell>
          <cell r="F28">
            <v>0</v>
          </cell>
          <cell r="G28">
            <v>0</v>
          </cell>
          <cell r="H28">
            <v>1</v>
          </cell>
          <cell r="I28">
            <v>4</v>
          </cell>
          <cell r="J28">
            <v>14</v>
          </cell>
          <cell r="K28">
            <v>7</v>
          </cell>
          <cell r="L28">
            <v>7</v>
          </cell>
          <cell r="M28">
            <v>1</v>
          </cell>
          <cell r="P28">
            <v>0</v>
          </cell>
          <cell r="Q28">
            <v>0</v>
          </cell>
          <cell r="R28">
            <v>0</v>
          </cell>
          <cell r="S28">
            <v>0</v>
          </cell>
          <cell r="T28">
            <v>133</v>
          </cell>
          <cell r="U28">
            <v>530</v>
          </cell>
          <cell r="V28">
            <v>1740</v>
          </cell>
          <cell r="W28">
            <v>923</v>
          </cell>
          <cell r="X28">
            <v>934</v>
          </cell>
          <cell r="Y28">
            <v>114</v>
          </cell>
          <cell r="Z28">
            <v>3</v>
          </cell>
          <cell r="AA28">
            <v>365</v>
          </cell>
          <cell r="AB28">
            <v>2</v>
          </cell>
          <cell r="AC28">
            <v>234</v>
          </cell>
          <cell r="AD28">
            <v>0</v>
          </cell>
          <cell r="AE28">
            <v>0</v>
          </cell>
          <cell r="AF28">
            <v>1</v>
          </cell>
          <cell r="AG28">
            <v>120</v>
          </cell>
        </row>
        <row r="29">
          <cell r="A29" t="str">
            <v>Crowne Plaza</v>
          </cell>
          <cell r="D29">
            <v>1</v>
          </cell>
          <cell r="E29">
            <v>0</v>
          </cell>
          <cell r="F29">
            <v>0</v>
          </cell>
          <cell r="G29">
            <v>0</v>
          </cell>
          <cell r="H29">
            <v>0</v>
          </cell>
          <cell r="I29">
            <v>1</v>
          </cell>
          <cell r="J29">
            <v>1</v>
          </cell>
          <cell r="K29">
            <v>0</v>
          </cell>
          <cell r="L29">
            <v>1</v>
          </cell>
          <cell r="M29">
            <v>1</v>
          </cell>
          <cell r="P29">
            <v>261</v>
          </cell>
          <cell r="Q29">
            <v>0</v>
          </cell>
          <cell r="R29">
            <v>0</v>
          </cell>
          <cell r="S29">
            <v>0</v>
          </cell>
          <cell r="T29">
            <v>0</v>
          </cell>
          <cell r="U29">
            <v>140</v>
          </cell>
          <cell r="V29">
            <v>243</v>
          </cell>
          <cell r="W29">
            <v>0</v>
          </cell>
          <cell r="X29">
            <v>197</v>
          </cell>
          <cell r="Y29">
            <v>143</v>
          </cell>
          <cell r="Z29">
            <v>0</v>
          </cell>
          <cell r="AA29">
            <v>0</v>
          </cell>
          <cell r="AB29">
            <v>1</v>
          </cell>
          <cell r="AC29">
            <v>288</v>
          </cell>
          <cell r="AD29">
            <v>0</v>
          </cell>
          <cell r="AE29">
            <v>0</v>
          </cell>
          <cell r="AF29">
            <v>0</v>
          </cell>
          <cell r="AG29">
            <v>0</v>
          </cell>
        </row>
        <row r="30">
          <cell r="A30" t="str">
            <v>Days Inn</v>
          </cell>
          <cell r="D30">
            <v>3</v>
          </cell>
          <cell r="E30">
            <v>7</v>
          </cell>
          <cell r="F30">
            <v>7</v>
          </cell>
          <cell r="G30">
            <v>6</v>
          </cell>
          <cell r="H30">
            <v>9</v>
          </cell>
          <cell r="I30">
            <v>7</v>
          </cell>
          <cell r="J30">
            <v>8</v>
          </cell>
          <cell r="K30">
            <v>5</v>
          </cell>
          <cell r="L30">
            <v>6</v>
          </cell>
          <cell r="M30">
            <v>9</v>
          </cell>
          <cell r="P30">
            <v>203</v>
          </cell>
          <cell r="Q30">
            <v>337</v>
          </cell>
          <cell r="R30">
            <v>362</v>
          </cell>
          <cell r="S30">
            <v>264</v>
          </cell>
          <cell r="T30">
            <v>433</v>
          </cell>
          <cell r="U30">
            <v>340</v>
          </cell>
          <cell r="V30">
            <v>485</v>
          </cell>
          <cell r="W30">
            <v>261</v>
          </cell>
          <cell r="X30">
            <v>368</v>
          </cell>
          <cell r="Y30">
            <v>496</v>
          </cell>
          <cell r="Z30">
            <v>16</v>
          </cell>
          <cell r="AA30">
            <v>972</v>
          </cell>
          <cell r="AB30">
            <v>9</v>
          </cell>
          <cell r="AC30">
            <v>433</v>
          </cell>
          <cell r="AD30">
            <v>6</v>
          </cell>
          <cell r="AE30">
            <v>282</v>
          </cell>
          <cell r="AF30">
            <v>12</v>
          </cell>
          <cell r="AG30">
            <v>627</v>
          </cell>
        </row>
        <row r="31">
          <cell r="A31" t="str">
            <v>Doubletree Guest Suites</v>
          </cell>
          <cell r="D31">
            <v>1</v>
          </cell>
          <cell r="E31">
            <v>0</v>
          </cell>
          <cell r="F31">
            <v>0</v>
          </cell>
          <cell r="G31">
            <v>0</v>
          </cell>
          <cell r="H31">
            <v>0</v>
          </cell>
          <cell r="I31">
            <v>0</v>
          </cell>
          <cell r="J31">
            <v>0</v>
          </cell>
          <cell r="K31">
            <v>0</v>
          </cell>
          <cell r="L31">
            <v>0</v>
          </cell>
          <cell r="M31">
            <v>0</v>
          </cell>
          <cell r="P31">
            <v>369</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row>
        <row r="32">
          <cell r="A32" t="str">
            <v>Doubletree Hotel</v>
          </cell>
          <cell r="D32">
            <v>2</v>
          </cell>
          <cell r="E32">
            <v>0</v>
          </cell>
          <cell r="F32">
            <v>0</v>
          </cell>
          <cell r="G32">
            <v>0</v>
          </cell>
          <cell r="H32">
            <v>1</v>
          </cell>
          <cell r="I32">
            <v>0</v>
          </cell>
          <cell r="J32">
            <v>1</v>
          </cell>
          <cell r="K32">
            <v>0</v>
          </cell>
          <cell r="L32">
            <v>0</v>
          </cell>
          <cell r="M32">
            <v>0</v>
          </cell>
          <cell r="P32">
            <v>308</v>
          </cell>
          <cell r="Q32">
            <v>0</v>
          </cell>
          <cell r="R32">
            <v>0</v>
          </cell>
          <cell r="S32">
            <v>0</v>
          </cell>
          <cell r="T32">
            <v>252</v>
          </cell>
          <cell r="U32">
            <v>0</v>
          </cell>
          <cell r="V32">
            <v>225</v>
          </cell>
          <cell r="W32">
            <v>0</v>
          </cell>
          <cell r="X32">
            <v>0</v>
          </cell>
          <cell r="Y32">
            <v>0</v>
          </cell>
          <cell r="Z32">
            <v>0</v>
          </cell>
          <cell r="AA32">
            <v>0</v>
          </cell>
          <cell r="AB32">
            <v>0</v>
          </cell>
          <cell r="AC32">
            <v>0</v>
          </cell>
          <cell r="AD32">
            <v>0</v>
          </cell>
          <cell r="AE32">
            <v>0</v>
          </cell>
          <cell r="AF32">
            <v>1</v>
          </cell>
          <cell r="AG32">
            <v>388</v>
          </cell>
        </row>
        <row r="33">
          <cell r="A33" t="str">
            <v>Drury Inn</v>
          </cell>
          <cell r="D33">
            <v>2</v>
          </cell>
          <cell r="E33">
            <v>1</v>
          </cell>
          <cell r="F33">
            <v>1</v>
          </cell>
          <cell r="G33">
            <v>0</v>
          </cell>
          <cell r="H33">
            <v>1</v>
          </cell>
          <cell r="I33">
            <v>1</v>
          </cell>
          <cell r="J33">
            <v>1</v>
          </cell>
          <cell r="K33">
            <v>1</v>
          </cell>
          <cell r="L33">
            <v>0</v>
          </cell>
          <cell r="M33">
            <v>1</v>
          </cell>
          <cell r="P33">
            <v>304</v>
          </cell>
          <cell r="Q33">
            <v>350</v>
          </cell>
          <cell r="R33">
            <v>161</v>
          </cell>
          <cell r="S33">
            <v>0</v>
          </cell>
          <cell r="T33">
            <v>152</v>
          </cell>
          <cell r="U33">
            <v>143</v>
          </cell>
          <cell r="V33">
            <v>123</v>
          </cell>
          <cell r="W33">
            <v>150</v>
          </cell>
          <cell r="X33">
            <v>0</v>
          </cell>
          <cell r="Y33">
            <v>187</v>
          </cell>
          <cell r="Z33">
            <v>3</v>
          </cell>
          <cell r="AA33">
            <v>435</v>
          </cell>
          <cell r="AB33">
            <v>2</v>
          </cell>
          <cell r="AC33">
            <v>241</v>
          </cell>
          <cell r="AD33">
            <v>2</v>
          </cell>
          <cell r="AE33">
            <v>197</v>
          </cell>
          <cell r="AF33">
            <v>0</v>
          </cell>
          <cell r="AG33">
            <v>0</v>
          </cell>
        </row>
        <row r="34">
          <cell r="A34" t="str">
            <v>Econo Lodge</v>
          </cell>
          <cell r="D34">
            <v>1</v>
          </cell>
          <cell r="E34">
            <v>4</v>
          </cell>
          <cell r="F34">
            <v>1</v>
          </cell>
          <cell r="G34">
            <v>2</v>
          </cell>
          <cell r="H34">
            <v>0</v>
          </cell>
          <cell r="I34">
            <v>3</v>
          </cell>
          <cell r="J34">
            <v>2</v>
          </cell>
          <cell r="K34">
            <v>0</v>
          </cell>
          <cell r="L34">
            <v>1</v>
          </cell>
          <cell r="M34">
            <v>1</v>
          </cell>
          <cell r="P34">
            <v>112</v>
          </cell>
          <cell r="Q34">
            <v>170</v>
          </cell>
          <cell r="R34">
            <v>37</v>
          </cell>
          <cell r="S34">
            <v>105</v>
          </cell>
          <cell r="T34">
            <v>0</v>
          </cell>
          <cell r="U34">
            <v>114</v>
          </cell>
          <cell r="V34">
            <v>110</v>
          </cell>
          <cell r="W34">
            <v>0</v>
          </cell>
          <cell r="X34">
            <v>53</v>
          </cell>
          <cell r="Y34">
            <v>50</v>
          </cell>
          <cell r="Z34">
            <v>0</v>
          </cell>
          <cell r="AA34">
            <v>0</v>
          </cell>
          <cell r="AB34">
            <v>2</v>
          </cell>
          <cell r="AC34">
            <v>113</v>
          </cell>
          <cell r="AD34">
            <v>7</v>
          </cell>
          <cell r="AE34">
            <v>337</v>
          </cell>
          <cell r="AF34">
            <v>2</v>
          </cell>
          <cell r="AG34">
            <v>96</v>
          </cell>
        </row>
        <row r="35">
          <cell r="A35" t="str">
            <v>Embassy Suites</v>
          </cell>
          <cell r="D35">
            <v>4</v>
          </cell>
          <cell r="E35">
            <v>2</v>
          </cell>
          <cell r="F35">
            <v>0</v>
          </cell>
          <cell r="G35">
            <v>2</v>
          </cell>
          <cell r="H35">
            <v>3</v>
          </cell>
          <cell r="I35">
            <v>1</v>
          </cell>
          <cell r="J35">
            <v>2</v>
          </cell>
          <cell r="K35">
            <v>2</v>
          </cell>
          <cell r="L35">
            <v>0</v>
          </cell>
          <cell r="M35">
            <v>3</v>
          </cell>
          <cell r="P35">
            <v>1057</v>
          </cell>
          <cell r="Q35">
            <v>532</v>
          </cell>
          <cell r="R35">
            <v>0</v>
          </cell>
          <cell r="S35">
            <v>484</v>
          </cell>
          <cell r="T35">
            <v>828</v>
          </cell>
          <cell r="U35">
            <v>174</v>
          </cell>
          <cell r="V35">
            <v>240</v>
          </cell>
          <cell r="W35">
            <v>470</v>
          </cell>
          <cell r="X35">
            <v>0</v>
          </cell>
          <cell r="Y35">
            <v>554</v>
          </cell>
          <cell r="Z35">
            <v>2</v>
          </cell>
          <cell r="AA35">
            <v>529</v>
          </cell>
          <cell r="AB35">
            <v>2</v>
          </cell>
          <cell r="AC35">
            <v>527</v>
          </cell>
          <cell r="AD35">
            <v>0</v>
          </cell>
          <cell r="AE35">
            <v>0</v>
          </cell>
          <cell r="AF35">
            <v>1</v>
          </cell>
          <cell r="AG35">
            <v>249</v>
          </cell>
        </row>
        <row r="36">
          <cell r="A36" t="str">
            <v>Extended Stay America</v>
          </cell>
          <cell r="D36">
            <v>6</v>
          </cell>
          <cell r="E36">
            <v>8</v>
          </cell>
          <cell r="F36">
            <v>5</v>
          </cell>
          <cell r="G36">
            <v>8</v>
          </cell>
          <cell r="H36">
            <v>9</v>
          </cell>
          <cell r="I36">
            <v>18</v>
          </cell>
          <cell r="J36">
            <v>20</v>
          </cell>
          <cell r="K36">
            <v>12</v>
          </cell>
          <cell r="L36">
            <v>10</v>
          </cell>
          <cell r="M36">
            <v>24</v>
          </cell>
          <cell r="P36">
            <v>709</v>
          </cell>
          <cell r="Q36">
            <v>869</v>
          </cell>
          <cell r="R36">
            <v>613</v>
          </cell>
          <cell r="S36">
            <v>863</v>
          </cell>
          <cell r="T36">
            <v>972</v>
          </cell>
          <cell r="U36">
            <v>1981</v>
          </cell>
          <cell r="V36">
            <v>2124</v>
          </cell>
          <cell r="W36">
            <v>1246</v>
          </cell>
          <cell r="X36">
            <v>1066</v>
          </cell>
          <cell r="Y36">
            <v>2681</v>
          </cell>
          <cell r="Z36">
            <v>15</v>
          </cell>
          <cell r="AA36">
            <v>1675</v>
          </cell>
          <cell r="AB36">
            <v>25</v>
          </cell>
          <cell r="AC36">
            <v>2911</v>
          </cell>
          <cell r="AD36">
            <v>19</v>
          </cell>
          <cell r="AE36">
            <v>2205</v>
          </cell>
          <cell r="AF36">
            <v>14</v>
          </cell>
          <cell r="AG36">
            <v>1626</v>
          </cell>
        </row>
        <row r="37">
          <cell r="A37" t="str">
            <v>Fairfield Inn</v>
          </cell>
          <cell r="D37">
            <v>7</v>
          </cell>
          <cell r="E37">
            <v>3</v>
          </cell>
          <cell r="F37">
            <v>7</v>
          </cell>
          <cell r="G37">
            <v>12</v>
          </cell>
          <cell r="H37">
            <v>8</v>
          </cell>
          <cell r="I37">
            <v>8</v>
          </cell>
          <cell r="J37">
            <v>7</v>
          </cell>
          <cell r="K37">
            <v>11</v>
          </cell>
          <cell r="L37">
            <v>11</v>
          </cell>
          <cell r="M37">
            <v>4</v>
          </cell>
          <cell r="P37">
            <v>577</v>
          </cell>
          <cell r="Q37">
            <v>252</v>
          </cell>
          <cell r="R37">
            <v>574</v>
          </cell>
          <cell r="S37">
            <v>1026</v>
          </cell>
          <cell r="T37">
            <v>659</v>
          </cell>
          <cell r="U37">
            <v>669</v>
          </cell>
          <cell r="V37">
            <v>575</v>
          </cell>
          <cell r="W37">
            <v>926</v>
          </cell>
          <cell r="X37">
            <v>1052</v>
          </cell>
          <cell r="Y37">
            <v>407</v>
          </cell>
          <cell r="Z37">
            <v>11</v>
          </cell>
          <cell r="AA37">
            <v>887</v>
          </cell>
          <cell r="AB37">
            <v>12</v>
          </cell>
          <cell r="AC37">
            <v>1169</v>
          </cell>
          <cell r="AD37">
            <v>17</v>
          </cell>
          <cell r="AE37">
            <v>1562</v>
          </cell>
          <cell r="AF37">
            <v>15</v>
          </cell>
          <cell r="AG37">
            <v>1360</v>
          </cell>
        </row>
        <row r="38">
          <cell r="A38" t="str">
            <v>Four Points Hotel</v>
          </cell>
          <cell r="D38">
            <v>0</v>
          </cell>
          <cell r="E38">
            <v>0</v>
          </cell>
          <cell r="F38">
            <v>0</v>
          </cell>
          <cell r="G38">
            <v>0</v>
          </cell>
          <cell r="H38">
            <v>0</v>
          </cell>
          <cell r="I38">
            <v>1</v>
          </cell>
          <cell r="J38">
            <v>1</v>
          </cell>
          <cell r="K38">
            <v>3</v>
          </cell>
          <cell r="L38">
            <v>0</v>
          </cell>
          <cell r="M38">
            <v>0</v>
          </cell>
          <cell r="P38">
            <v>0</v>
          </cell>
          <cell r="Q38">
            <v>0</v>
          </cell>
          <cell r="R38">
            <v>0</v>
          </cell>
          <cell r="S38">
            <v>0</v>
          </cell>
          <cell r="T38">
            <v>0</v>
          </cell>
          <cell r="U38">
            <v>74</v>
          </cell>
          <cell r="V38">
            <v>99</v>
          </cell>
          <cell r="W38">
            <v>349</v>
          </cell>
          <cell r="X38">
            <v>0</v>
          </cell>
          <cell r="Y38">
            <v>0</v>
          </cell>
          <cell r="Z38">
            <v>0</v>
          </cell>
          <cell r="AA38">
            <v>0</v>
          </cell>
          <cell r="AB38">
            <v>0</v>
          </cell>
          <cell r="AC38">
            <v>0</v>
          </cell>
          <cell r="AD38">
            <v>0</v>
          </cell>
          <cell r="AE38">
            <v>0</v>
          </cell>
          <cell r="AF38">
            <v>0</v>
          </cell>
          <cell r="AG38">
            <v>0</v>
          </cell>
        </row>
        <row r="39">
          <cell r="A39" t="str">
            <v>Four Seasons</v>
          </cell>
          <cell r="D39">
            <v>0</v>
          </cell>
          <cell r="E39">
            <v>0</v>
          </cell>
          <cell r="F39">
            <v>1</v>
          </cell>
          <cell r="G39">
            <v>0</v>
          </cell>
          <cell r="H39">
            <v>0</v>
          </cell>
          <cell r="I39">
            <v>1</v>
          </cell>
          <cell r="J39">
            <v>0</v>
          </cell>
          <cell r="K39">
            <v>0</v>
          </cell>
          <cell r="L39">
            <v>0</v>
          </cell>
          <cell r="M39">
            <v>0</v>
          </cell>
          <cell r="P39">
            <v>0</v>
          </cell>
          <cell r="Q39">
            <v>0</v>
          </cell>
          <cell r="R39">
            <v>210</v>
          </cell>
          <cell r="S39">
            <v>0</v>
          </cell>
          <cell r="T39">
            <v>0</v>
          </cell>
          <cell r="U39">
            <v>424</v>
          </cell>
          <cell r="V39">
            <v>0</v>
          </cell>
          <cell r="W39">
            <v>0</v>
          </cell>
          <cell r="X39">
            <v>0</v>
          </cell>
          <cell r="Y39">
            <v>0</v>
          </cell>
          <cell r="Z39">
            <v>0</v>
          </cell>
          <cell r="AA39">
            <v>0</v>
          </cell>
          <cell r="AB39">
            <v>1</v>
          </cell>
          <cell r="AC39">
            <v>571</v>
          </cell>
          <cell r="AD39">
            <v>0</v>
          </cell>
          <cell r="AE39">
            <v>0</v>
          </cell>
          <cell r="AF39">
            <v>0</v>
          </cell>
          <cell r="AG39">
            <v>0</v>
          </cell>
        </row>
        <row r="40">
          <cell r="A40" t="str">
            <v>French Quarter Suites</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1</v>
          </cell>
          <cell r="AE40">
            <v>20</v>
          </cell>
          <cell r="AF40">
            <v>0</v>
          </cell>
          <cell r="AG40">
            <v>0</v>
          </cell>
        </row>
        <row r="41">
          <cell r="A41" t="str">
            <v>Grand Bay Hotel</v>
          </cell>
          <cell r="D41">
            <v>0</v>
          </cell>
          <cell r="E41">
            <v>0</v>
          </cell>
          <cell r="F41">
            <v>0</v>
          </cell>
          <cell r="G41">
            <v>0</v>
          </cell>
          <cell r="H41">
            <v>0</v>
          </cell>
          <cell r="I41">
            <v>0</v>
          </cell>
          <cell r="J41">
            <v>0</v>
          </cell>
          <cell r="K41">
            <v>0</v>
          </cell>
          <cell r="L41">
            <v>0</v>
          </cell>
          <cell r="M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row>
        <row r="42">
          <cell r="A42" t="str">
            <v>GuestHouse Inn</v>
          </cell>
          <cell r="D42">
            <v>2</v>
          </cell>
          <cell r="E42">
            <v>1</v>
          </cell>
          <cell r="F42">
            <v>0</v>
          </cell>
          <cell r="G42">
            <v>0</v>
          </cell>
          <cell r="H42">
            <v>3</v>
          </cell>
          <cell r="I42">
            <v>2</v>
          </cell>
          <cell r="J42">
            <v>2</v>
          </cell>
          <cell r="K42">
            <v>0</v>
          </cell>
          <cell r="L42">
            <v>2</v>
          </cell>
          <cell r="M42">
            <v>1</v>
          </cell>
          <cell r="P42">
            <v>154</v>
          </cell>
          <cell r="Q42">
            <v>61</v>
          </cell>
          <cell r="R42">
            <v>0</v>
          </cell>
          <cell r="S42">
            <v>0</v>
          </cell>
          <cell r="T42">
            <v>168</v>
          </cell>
          <cell r="U42">
            <v>93</v>
          </cell>
          <cell r="V42">
            <v>95</v>
          </cell>
          <cell r="W42">
            <v>0</v>
          </cell>
          <cell r="X42">
            <v>169</v>
          </cell>
          <cell r="Y42">
            <v>58</v>
          </cell>
          <cell r="Z42">
            <v>1</v>
          </cell>
          <cell r="AA42">
            <v>99</v>
          </cell>
          <cell r="AB42">
            <v>2</v>
          </cell>
          <cell r="AC42">
            <v>116</v>
          </cell>
          <cell r="AD42">
            <v>0</v>
          </cell>
          <cell r="AE42">
            <v>0</v>
          </cell>
          <cell r="AF42">
            <v>0</v>
          </cell>
          <cell r="AG42">
            <v>0</v>
          </cell>
        </row>
        <row r="43">
          <cell r="A43" t="str">
            <v>Hampton Inn</v>
          </cell>
          <cell r="D43">
            <v>18</v>
          </cell>
          <cell r="E43">
            <v>11</v>
          </cell>
          <cell r="F43">
            <v>17</v>
          </cell>
          <cell r="G43">
            <v>30</v>
          </cell>
          <cell r="H43">
            <v>28</v>
          </cell>
          <cell r="I43">
            <v>20</v>
          </cell>
          <cell r="J43">
            <v>22</v>
          </cell>
          <cell r="K43">
            <v>23</v>
          </cell>
          <cell r="L43">
            <v>29</v>
          </cell>
          <cell r="M43">
            <v>20</v>
          </cell>
          <cell r="P43">
            <v>1393</v>
          </cell>
          <cell r="Q43">
            <v>942</v>
          </cell>
          <cell r="R43">
            <v>1696</v>
          </cell>
          <cell r="S43">
            <v>2790</v>
          </cell>
          <cell r="T43">
            <v>2493</v>
          </cell>
          <cell r="U43">
            <v>1920</v>
          </cell>
          <cell r="V43">
            <v>1928</v>
          </cell>
          <cell r="W43">
            <v>1977</v>
          </cell>
          <cell r="X43">
            <v>2517</v>
          </cell>
          <cell r="Y43">
            <v>1944</v>
          </cell>
          <cell r="Z43">
            <v>21</v>
          </cell>
          <cell r="AA43">
            <v>1785</v>
          </cell>
          <cell r="AB43">
            <v>25</v>
          </cell>
          <cell r="AC43">
            <v>2116</v>
          </cell>
          <cell r="AD43">
            <v>28</v>
          </cell>
          <cell r="AE43">
            <v>2465</v>
          </cell>
          <cell r="AF43">
            <v>31</v>
          </cell>
          <cell r="AG43">
            <v>3112</v>
          </cell>
        </row>
        <row r="44">
          <cell r="A44" t="str">
            <v>Hampton Inn &amp; Suites</v>
          </cell>
          <cell r="D44">
            <v>5</v>
          </cell>
          <cell r="E44">
            <v>8</v>
          </cell>
          <cell r="F44">
            <v>2</v>
          </cell>
          <cell r="G44">
            <v>6</v>
          </cell>
          <cell r="H44">
            <v>2</v>
          </cell>
          <cell r="I44">
            <v>3</v>
          </cell>
          <cell r="J44">
            <v>2</v>
          </cell>
          <cell r="K44">
            <v>2</v>
          </cell>
          <cell r="L44">
            <v>7</v>
          </cell>
          <cell r="M44">
            <v>3</v>
          </cell>
          <cell r="P44">
            <v>494</v>
          </cell>
          <cell r="Q44">
            <v>1028</v>
          </cell>
          <cell r="R44">
            <v>251</v>
          </cell>
          <cell r="S44">
            <v>650</v>
          </cell>
          <cell r="T44">
            <v>267</v>
          </cell>
          <cell r="U44">
            <v>310</v>
          </cell>
          <cell r="V44">
            <v>209</v>
          </cell>
          <cell r="W44">
            <v>194</v>
          </cell>
          <cell r="X44">
            <v>805</v>
          </cell>
          <cell r="Y44">
            <v>480</v>
          </cell>
          <cell r="Z44">
            <v>3</v>
          </cell>
          <cell r="AA44">
            <v>341</v>
          </cell>
          <cell r="AB44">
            <v>5</v>
          </cell>
          <cell r="AC44">
            <v>505</v>
          </cell>
          <cell r="AD44">
            <v>0</v>
          </cell>
          <cell r="AE44">
            <v>0</v>
          </cell>
          <cell r="AF44">
            <v>2</v>
          </cell>
          <cell r="AG44">
            <v>150</v>
          </cell>
        </row>
        <row r="45">
          <cell r="A45" t="str">
            <v>Hawthorn Suites</v>
          </cell>
          <cell r="D45">
            <v>6</v>
          </cell>
          <cell r="E45">
            <v>6</v>
          </cell>
          <cell r="F45">
            <v>4</v>
          </cell>
          <cell r="G45">
            <v>5</v>
          </cell>
          <cell r="H45">
            <v>3</v>
          </cell>
          <cell r="I45">
            <v>0</v>
          </cell>
          <cell r="J45">
            <v>2</v>
          </cell>
          <cell r="K45">
            <v>4</v>
          </cell>
          <cell r="L45">
            <v>2</v>
          </cell>
          <cell r="M45">
            <v>1</v>
          </cell>
          <cell r="P45">
            <v>462</v>
          </cell>
          <cell r="Q45">
            <v>447</v>
          </cell>
          <cell r="R45">
            <v>441</v>
          </cell>
          <cell r="S45">
            <v>797</v>
          </cell>
          <cell r="T45">
            <v>313</v>
          </cell>
          <cell r="U45">
            <v>0</v>
          </cell>
          <cell r="V45">
            <v>162</v>
          </cell>
          <cell r="W45">
            <v>517</v>
          </cell>
          <cell r="X45">
            <v>229</v>
          </cell>
          <cell r="Y45">
            <v>83</v>
          </cell>
          <cell r="Z45">
            <v>1</v>
          </cell>
          <cell r="AA45">
            <v>63</v>
          </cell>
          <cell r="AB45">
            <v>1</v>
          </cell>
          <cell r="AC45">
            <v>96</v>
          </cell>
          <cell r="AD45">
            <v>1</v>
          </cell>
          <cell r="AE45">
            <v>282</v>
          </cell>
          <cell r="AF45">
            <v>0</v>
          </cell>
          <cell r="AG45">
            <v>0</v>
          </cell>
        </row>
        <row r="46">
          <cell r="A46" t="str">
            <v>Hawthorn Suites LTD.</v>
          </cell>
          <cell r="D46">
            <v>8</v>
          </cell>
          <cell r="E46">
            <v>1</v>
          </cell>
          <cell r="F46">
            <v>7</v>
          </cell>
          <cell r="G46">
            <v>3</v>
          </cell>
          <cell r="H46">
            <v>4</v>
          </cell>
          <cell r="I46">
            <v>4</v>
          </cell>
          <cell r="J46">
            <v>4</v>
          </cell>
          <cell r="K46">
            <v>2</v>
          </cell>
          <cell r="L46">
            <v>1</v>
          </cell>
          <cell r="M46">
            <v>0</v>
          </cell>
          <cell r="P46">
            <v>578</v>
          </cell>
          <cell r="Q46">
            <v>71</v>
          </cell>
          <cell r="R46">
            <v>610</v>
          </cell>
          <cell r="S46">
            <v>202</v>
          </cell>
          <cell r="T46">
            <v>304</v>
          </cell>
          <cell r="U46">
            <v>359</v>
          </cell>
          <cell r="V46">
            <v>458</v>
          </cell>
          <cell r="W46">
            <v>127</v>
          </cell>
          <cell r="X46">
            <v>62</v>
          </cell>
          <cell r="Y46">
            <v>0</v>
          </cell>
          <cell r="Z46">
            <v>0</v>
          </cell>
          <cell r="AA46">
            <v>0</v>
          </cell>
          <cell r="AB46">
            <v>0</v>
          </cell>
          <cell r="AC46">
            <v>0</v>
          </cell>
          <cell r="AD46">
            <v>0</v>
          </cell>
          <cell r="AE46">
            <v>0</v>
          </cell>
          <cell r="AF46">
            <v>0</v>
          </cell>
          <cell r="AG46">
            <v>0</v>
          </cell>
        </row>
        <row r="47">
          <cell r="A47" t="str">
            <v>Hearthside Inn</v>
          </cell>
          <cell r="D47">
            <v>0</v>
          </cell>
          <cell r="E47">
            <v>0</v>
          </cell>
          <cell r="F47">
            <v>0</v>
          </cell>
          <cell r="G47">
            <v>0</v>
          </cell>
          <cell r="H47">
            <v>1</v>
          </cell>
          <cell r="I47">
            <v>1</v>
          </cell>
          <cell r="J47">
            <v>1</v>
          </cell>
          <cell r="K47">
            <v>1</v>
          </cell>
          <cell r="L47">
            <v>1</v>
          </cell>
          <cell r="M47">
            <v>0</v>
          </cell>
          <cell r="P47">
            <v>0</v>
          </cell>
          <cell r="Q47">
            <v>0</v>
          </cell>
          <cell r="R47">
            <v>0</v>
          </cell>
          <cell r="S47">
            <v>0</v>
          </cell>
          <cell r="T47">
            <v>164</v>
          </cell>
          <cell r="U47">
            <v>150</v>
          </cell>
          <cell r="V47">
            <v>164</v>
          </cell>
          <cell r="W47">
            <v>146</v>
          </cell>
          <cell r="X47">
            <v>146</v>
          </cell>
          <cell r="Y47">
            <v>0</v>
          </cell>
          <cell r="Z47">
            <v>1</v>
          </cell>
          <cell r="AA47">
            <v>150</v>
          </cell>
          <cell r="AB47">
            <v>0</v>
          </cell>
          <cell r="AC47">
            <v>0</v>
          </cell>
          <cell r="AD47">
            <v>0</v>
          </cell>
          <cell r="AE47">
            <v>0</v>
          </cell>
          <cell r="AF47">
            <v>1</v>
          </cell>
          <cell r="AG47">
            <v>158</v>
          </cell>
        </row>
        <row r="48">
          <cell r="A48" t="str">
            <v>Hilton Garden Inn</v>
          </cell>
          <cell r="D48">
            <v>10</v>
          </cell>
          <cell r="E48">
            <v>7</v>
          </cell>
          <cell r="F48">
            <v>10</v>
          </cell>
          <cell r="G48">
            <v>10</v>
          </cell>
          <cell r="H48">
            <v>15</v>
          </cell>
          <cell r="I48">
            <v>8</v>
          </cell>
          <cell r="J48">
            <v>1</v>
          </cell>
          <cell r="K48">
            <v>2</v>
          </cell>
          <cell r="L48">
            <v>3</v>
          </cell>
          <cell r="M48">
            <v>2</v>
          </cell>
          <cell r="P48">
            <v>1389</v>
          </cell>
          <cell r="Q48">
            <v>1136</v>
          </cell>
          <cell r="R48">
            <v>1653</v>
          </cell>
          <cell r="S48">
            <v>1348</v>
          </cell>
          <cell r="T48">
            <v>2011</v>
          </cell>
          <cell r="U48">
            <v>1043</v>
          </cell>
          <cell r="V48">
            <v>150</v>
          </cell>
          <cell r="W48">
            <v>321</v>
          </cell>
          <cell r="X48">
            <v>410</v>
          </cell>
          <cell r="Y48">
            <v>287</v>
          </cell>
          <cell r="Z48">
            <v>2</v>
          </cell>
          <cell r="AA48">
            <v>189</v>
          </cell>
          <cell r="AB48">
            <v>1</v>
          </cell>
          <cell r="AC48">
            <v>137</v>
          </cell>
          <cell r="AD48">
            <v>1</v>
          </cell>
          <cell r="AE48">
            <v>81</v>
          </cell>
          <cell r="AF48">
            <v>1</v>
          </cell>
          <cell r="AG48">
            <v>174</v>
          </cell>
        </row>
        <row r="49">
          <cell r="A49" t="str">
            <v>Hilton Hotel</v>
          </cell>
          <cell r="D49">
            <v>3</v>
          </cell>
          <cell r="E49">
            <v>2</v>
          </cell>
          <cell r="F49">
            <v>2</v>
          </cell>
          <cell r="G49">
            <v>1</v>
          </cell>
          <cell r="H49">
            <v>0</v>
          </cell>
          <cell r="I49">
            <v>0</v>
          </cell>
          <cell r="J49">
            <v>1</v>
          </cell>
          <cell r="K49">
            <v>0</v>
          </cell>
          <cell r="L49">
            <v>0</v>
          </cell>
          <cell r="M49">
            <v>0</v>
          </cell>
          <cell r="P49">
            <v>946</v>
          </cell>
          <cell r="Q49">
            <v>433</v>
          </cell>
          <cell r="R49">
            <v>259</v>
          </cell>
          <cell r="S49">
            <v>600</v>
          </cell>
          <cell r="T49">
            <v>0</v>
          </cell>
          <cell r="U49">
            <v>0</v>
          </cell>
          <cell r="V49">
            <v>100</v>
          </cell>
          <cell r="W49">
            <v>0</v>
          </cell>
          <cell r="X49">
            <v>0</v>
          </cell>
          <cell r="Y49">
            <v>0</v>
          </cell>
          <cell r="Z49">
            <v>0</v>
          </cell>
          <cell r="AA49">
            <v>0</v>
          </cell>
          <cell r="AB49">
            <v>1</v>
          </cell>
          <cell r="AC49">
            <v>131</v>
          </cell>
          <cell r="AD49">
            <v>0</v>
          </cell>
          <cell r="AE49">
            <v>0</v>
          </cell>
          <cell r="AF49">
            <v>0</v>
          </cell>
          <cell r="AG49">
            <v>0</v>
          </cell>
        </row>
        <row r="50">
          <cell r="A50" t="str">
            <v>HoJo Inn</v>
          </cell>
          <cell r="D50">
            <v>0</v>
          </cell>
          <cell r="E50">
            <v>0</v>
          </cell>
          <cell r="F50">
            <v>0</v>
          </cell>
          <cell r="G50">
            <v>0</v>
          </cell>
          <cell r="H50">
            <v>0</v>
          </cell>
          <cell r="I50">
            <v>0</v>
          </cell>
          <cell r="J50">
            <v>0</v>
          </cell>
          <cell r="K50">
            <v>0</v>
          </cell>
          <cell r="L50">
            <v>0</v>
          </cell>
          <cell r="M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row>
        <row r="51">
          <cell r="A51" t="str">
            <v>Holiday Inn</v>
          </cell>
          <cell r="D51">
            <v>0</v>
          </cell>
          <cell r="E51">
            <v>0</v>
          </cell>
          <cell r="F51">
            <v>3</v>
          </cell>
          <cell r="G51">
            <v>5</v>
          </cell>
          <cell r="H51">
            <v>2</v>
          </cell>
          <cell r="I51">
            <v>1</v>
          </cell>
          <cell r="J51">
            <v>3</v>
          </cell>
          <cell r="K51">
            <v>2</v>
          </cell>
          <cell r="L51">
            <v>2</v>
          </cell>
          <cell r="M51">
            <v>2</v>
          </cell>
          <cell r="P51">
            <v>0</v>
          </cell>
          <cell r="Q51">
            <v>0</v>
          </cell>
          <cell r="R51">
            <v>275</v>
          </cell>
          <cell r="S51">
            <v>1226</v>
          </cell>
          <cell r="T51">
            <v>192</v>
          </cell>
          <cell r="U51">
            <v>106</v>
          </cell>
          <cell r="V51">
            <v>676</v>
          </cell>
          <cell r="W51">
            <v>231</v>
          </cell>
          <cell r="X51">
            <v>188</v>
          </cell>
          <cell r="Y51">
            <v>265</v>
          </cell>
          <cell r="Z51">
            <v>1</v>
          </cell>
          <cell r="AA51">
            <v>148</v>
          </cell>
          <cell r="AB51">
            <v>1</v>
          </cell>
          <cell r="AC51">
            <v>226</v>
          </cell>
          <cell r="AD51">
            <v>2</v>
          </cell>
          <cell r="AE51">
            <v>344</v>
          </cell>
          <cell r="AF51">
            <v>1</v>
          </cell>
          <cell r="AG51">
            <v>70</v>
          </cell>
        </row>
        <row r="52">
          <cell r="A52" t="str">
            <v>Holiday Inn Express</v>
          </cell>
          <cell r="D52">
            <v>15</v>
          </cell>
          <cell r="E52">
            <v>10</v>
          </cell>
          <cell r="F52">
            <v>11</v>
          </cell>
          <cell r="G52">
            <v>30</v>
          </cell>
          <cell r="H52">
            <v>33</v>
          </cell>
          <cell r="I52">
            <v>14</v>
          </cell>
          <cell r="J52">
            <v>28</v>
          </cell>
          <cell r="K52">
            <v>32</v>
          </cell>
          <cell r="L52">
            <v>36</v>
          </cell>
          <cell r="M52">
            <v>32</v>
          </cell>
          <cell r="P52">
            <v>959</v>
          </cell>
          <cell r="Q52">
            <v>799</v>
          </cell>
          <cell r="R52">
            <v>813</v>
          </cell>
          <cell r="S52">
            <v>2198</v>
          </cell>
          <cell r="T52">
            <v>2241</v>
          </cell>
          <cell r="U52">
            <v>1020</v>
          </cell>
          <cell r="V52">
            <v>2168</v>
          </cell>
          <cell r="W52">
            <v>2199</v>
          </cell>
          <cell r="X52">
            <v>2579</v>
          </cell>
          <cell r="Y52">
            <v>2317</v>
          </cell>
          <cell r="Z52">
            <v>28</v>
          </cell>
          <cell r="AA52">
            <v>1766</v>
          </cell>
          <cell r="AB52">
            <v>32</v>
          </cell>
          <cell r="AC52">
            <v>2352</v>
          </cell>
          <cell r="AD52">
            <v>45</v>
          </cell>
          <cell r="AE52">
            <v>2828</v>
          </cell>
          <cell r="AF52">
            <v>23</v>
          </cell>
          <cell r="AG52">
            <v>1456</v>
          </cell>
        </row>
        <row r="53">
          <cell r="A53" t="str">
            <v>Holiday Inn Express &amp; Suites</v>
          </cell>
          <cell r="D53">
            <v>25</v>
          </cell>
          <cell r="E53">
            <v>21</v>
          </cell>
          <cell r="F53">
            <v>9</v>
          </cell>
          <cell r="G53">
            <v>13</v>
          </cell>
          <cell r="H53">
            <v>6</v>
          </cell>
          <cell r="I53">
            <v>1</v>
          </cell>
          <cell r="J53">
            <v>0</v>
          </cell>
          <cell r="K53">
            <v>0</v>
          </cell>
          <cell r="L53">
            <v>0</v>
          </cell>
          <cell r="M53">
            <v>0</v>
          </cell>
          <cell r="P53">
            <v>1802</v>
          </cell>
          <cell r="Q53">
            <v>1499</v>
          </cell>
          <cell r="R53">
            <v>893</v>
          </cell>
          <cell r="S53">
            <v>885</v>
          </cell>
          <cell r="T53">
            <v>418</v>
          </cell>
          <cell r="U53">
            <v>89</v>
          </cell>
          <cell r="V53">
            <v>0</v>
          </cell>
          <cell r="W53">
            <v>0</v>
          </cell>
          <cell r="X53">
            <v>0</v>
          </cell>
          <cell r="Y53">
            <v>0</v>
          </cell>
          <cell r="Z53">
            <v>0</v>
          </cell>
          <cell r="AA53">
            <v>0</v>
          </cell>
          <cell r="AB53">
            <v>0</v>
          </cell>
          <cell r="AC53">
            <v>0</v>
          </cell>
          <cell r="AD53">
            <v>0</v>
          </cell>
          <cell r="AE53">
            <v>0</v>
          </cell>
          <cell r="AF53">
            <v>0</v>
          </cell>
          <cell r="AG53">
            <v>0</v>
          </cell>
        </row>
        <row r="54">
          <cell r="A54" t="str">
            <v>Holiday Inn Select</v>
          </cell>
          <cell r="D54">
            <v>0</v>
          </cell>
          <cell r="E54">
            <v>1</v>
          </cell>
          <cell r="F54">
            <v>0</v>
          </cell>
          <cell r="G54">
            <v>0</v>
          </cell>
          <cell r="H54">
            <v>0</v>
          </cell>
          <cell r="I54">
            <v>0</v>
          </cell>
          <cell r="J54">
            <v>0</v>
          </cell>
          <cell r="K54">
            <v>0</v>
          </cell>
          <cell r="L54">
            <v>1</v>
          </cell>
          <cell r="M54">
            <v>0</v>
          </cell>
          <cell r="P54">
            <v>0</v>
          </cell>
          <cell r="Q54">
            <v>194</v>
          </cell>
          <cell r="R54">
            <v>0</v>
          </cell>
          <cell r="S54">
            <v>0</v>
          </cell>
          <cell r="T54">
            <v>0</v>
          </cell>
          <cell r="U54">
            <v>0</v>
          </cell>
          <cell r="V54">
            <v>0</v>
          </cell>
          <cell r="W54">
            <v>0</v>
          </cell>
          <cell r="X54">
            <v>300</v>
          </cell>
          <cell r="Y54">
            <v>0</v>
          </cell>
          <cell r="Z54">
            <v>0</v>
          </cell>
          <cell r="AA54">
            <v>0</v>
          </cell>
          <cell r="AB54">
            <v>0</v>
          </cell>
          <cell r="AC54">
            <v>0</v>
          </cell>
          <cell r="AD54">
            <v>0</v>
          </cell>
          <cell r="AE54">
            <v>0</v>
          </cell>
          <cell r="AF54">
            <v>0</v>
          </cell>
          <cell r="AG54">
            <v>0</v>
          </cell>
        </row>
        <row r="55">
          <cell r="A55" t="str">
            <v>Homegate Studios &amp; Suites</v>
          </cell>
          <cell r="D55">
            <v>0</v>
          </cell>
          <cell r="E55">
            <v>0</v>
          </cell>
          <cell r="F55">
            <v>0</v>
          </cell>
          <cell r="G55">
            <v>0</v>
          </cell>
          <cell r="H55">
            <v>4</v>
          </cell>
          <cell r="I55">
            <v>4</v>
          </cell>
          <cell r="J55">
            <v>4</v>
          </cell>
          <cell r="K55">
            <v>5</v>
          </cell>
          <cell r="L55">
            <v>9</v>
          </cell>
          <cell r="M55">
            <v>3</v>
          </cell>
          <cell r="P55">
            <v>0</v>
          </cell>
          <cell r="Q55">
            <v>0</v>
          </cell>
          <cell r="R55">
            <v>0</v>
          </cell>
          <cell r="S55">
            <v>0</v>
          </cell>
          <cell r="T55">
            <v>476</v>
          </cell>
          <cell r="U55">
            <v>506</v>
          </cell>
          <cell r="V55">
            <v>509</v>
          </cell>
          <cell r="W55">
            <v>633</v>
          </cell>
          <cell r="X55">
            <v>1004</v>
          </cell>
          <cell r="Y55">
            <v>397</v>
          </cell>
          <cell r="Z55">
            <v>6</v>
          </cell>
          <cell r="AA55">
            <v>742</v>
          </cell>
          <cell r="AB55">
            <v>1</v>
          </cell>
          <cell r="AC55">
            <v>142</v>
          </cell>
          <cell r="AD55">
            <v>1</v>
          </cell>
          <cell r="AE55">
            <v>139</v>
          </cell>
          <cell r="AF55">
            <v>0</v>
          </cell>
          <cell r="AG55">
            <v>0</v>
          </cell>
        </row>
        <row r="56">
          <cell r="A56" t="str">
            <v>Homestead Village</v>
          </cell>
          <cell r="D56">
            <v>0</v>
          </cell>
          <cell r="E56">
            <v>0</v>
          </cell>
          <cell r="F56">
            <v>0</v>
          </cell>
          <cell r="G56">
            <v>8</v>
          </cell>
          <cell r="H56">
            <v>3</v>
          </cell>
          <cell r="I56">
            <v>5</v>
          </cell>
          <cell r="J56">
            <v>13</v>
          </cell>
          <cell r="K56">
            <v>19</v>
          </cell>
          <cell r="L56">
            <v>9</v>
          </cell>
          <cell r="M56">
            <v>16</v>
          </cell>
          <cell r="P56">
            <v>0</v>
          </cell>
          <cell r="Q56">
            <v>0</v>
          </cell>
          <cell r="R56">
            <v>0</v>
          </cell>
          <cell r="S56">
            <v>1003</v>
          </cell>
          <cell r="T56">
            <v>360</v>
          </cell>
          <cell r="U56">
            <v>674</v>
          </cell>
          <cell r="V56">
            <v>1774</v>
          </cell>
          <cell r="W56">
            <v>2552</v>
          </cell>
          <cell r="X56">
            <v>1239</v>
          </cell>
          <cell r="Y56">
            <v>2092</v>
          </cell>
          <cell r="Z56">
            <v>15</v>
          </cell>
          <cell r="AA56">
            <v>2039</v>
          </cell>
          <cell r="AB56">
            <v>8</v>
          </cell>
          <cell r="AC56">
            <v>1125</v>
          </cell>
          <cell r="AD56">
            <v>7</v>
          </cell>
          <cell r="AE56">
            <v>913</v>
          </cell>
          <cell r="AF56">
            <v>4</v>
          </cell>
          <cell r="AG56">
            <v>519</v>
          </cell>
        </row>
        <row r="57">
          <cell r="A57" t="str">
            <v>Homewood Suites by Hilton</v>
          </cell>
          <cell r="D57">
            <v>2</v>
          </cell>
          <cell r="E57">
            <v>3</v>
          </cell>
          <cell r="F57">
            <v>1</v>
          </cell>
          <cell r="G57">
            <v>1</v>
          </cell>
          <cell r="H57">
            <v>4</v>
          </cell>
          <cell r="I57">
            <v>5</v>
          </cell>
          <cell r="J57">
            <v>6</v>
          </cell>
          <cell r="K57">
            <v>3</v>
          </cell>
          <cell r="L57">
            <v>8</v>
          </cell>
          <cell r="M57">
            <v>8</v>
          </cell>
          <cell r="P57">
            <v>183</v>
          </cell>
          <cell r="Q57">
            <v>337</v>
          </cell>
          <cell r="R57">
            <v>121</v>
          </cell>
          <cell r="S57">
            <v>147</v>
          </cell>
          <cell r="T57">
            <v>709</v>
          </cell>
          <cell r="U57">
            <v>500</v>
          </cell>
          <cell r="V57">
            <v>658</v>
          </cell>
          <cell r="W57">
            <v>328</v>
          </cell>
          <cell r="X57">
            <v>921</v>
          </cell>
          <cell r="Y57">
            <v>904</v>
          </cell>
          <cell r="Z57">
            <v>2</v>
          </cell>
          <cell r="AA57">
            <v>198</v>
          </cell>
          <cell r="AB57">
            <v>7</v>
          </cell>
          <cell r="AC57">
            <v>643</v>
          </cell>
          <cell r="AD57">
            <v>5</v>
          </cell>
          <cell r="AE57">
            <v>448</v>
          </cell>
          <cell r="AF57">
            <v>1</v>
          </cell>
          <cell r="AG57">
            <v>91</v>
          </cell>
        </row>
        <row r="58">
          <cell r="A58" t="str">
            <v>Hotel Sofitel</v>
          </cell>
          <cell r="D58">
            <v>1</v>
          </cell>
          <cell r="E58">
            <v>0</v>
          </cell>
          <cell r="F58">
            <v>0</v>
          </cell>
          <cell r="G58">
            <v>0</v>
          </cell>
          <cell r="H58">
            <v>0</v>
          </cell>
          <cell r="I58">
            <v>0</v>
          </cell>
          <cell r="J58">
            <v>0</v>
          </cell>
          <cell r="K58">
            <v>0</v>
          </cell>
          <cell r="L58">
            <v>0</v>
          </cell>
          <cell r="M58">
            <v>0</v>
          </cell>
          <cell r="P58">
            <v>306</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row>
        <row r="59">
          <cell r="A59" t="str">
            <v>Howard Johnson</v>
          </cell>
          <cell r="D59">
            <v>0</v>
          </cell>
          <cell r="E59">
            <v>0</v>
          </cell>
          <cell r="F59">
            <v>0</v>
          </cell>
          <cell r="G59">
            <v>0</v>
          </cell>
          <cell r="H59">
            <v>0</v>
          </cell>
          <cell r="I59">
            <v>0</v>
          </cell>
          <cell r="J59">
            <v>0</v>
          </cell>
          <cell r="K59">
            <v>0</v>
          </cell>
          <cell r="L59">
            <v>2</v>
          </cell>
          <cell r="M59">
            <v>3</v>
          </cell>
          <cell r="P59">
            <v>0</v>
          </cell>
          <cell r="Q59">
            <v>0</v>
          </cell>
          <cell r="R59">
            <v>0</v>
          </cell>
          <cell r="S59">
            <v>0</v>
          </cell>
          <cell r="T59">
            <v>0</v>
          </cell>
          <cell r="U59">
            <v>0</v>
          </cell>
          <cell r="V59">
            <v>0</v>
          </cell>
          <cell r="W59">
            <v>0</v>
          </cell>
          <cell r="X59">
            <v>152</v>
          </cell>
          <cell r="Y59">
            <v>258</v>
          </cell>
          <cell r="Z59">
            <v>0</v>
          </cell>
          <cell r="AA59">
            <v>0</v>
          </cell>
          <cell r="AB59">
            <v>0</v>
          </cell>
          <cell r="AC59">
            <v>0</v>
          </cell>
          <cell r="AD59">
            <v>0</v>
          </cell>
          <cell r="AE59">
            <v>0</v>
          </cell>
          <cell r="AF59">
            <v>0</v>
          </cell>
          <cell r="AG59">
            <v>0</v>
          </cell>
        </row>
        <row r="60">
          <cell r="A60" t="str">
            <v>Howard Johnson Express Inn</v>
          </cell>
          <cell r="D60">
            <v>1</v>
          </cell>
          <cell r="E60">
            <v>1</v>
          </cell>
          <cell r="F60">
            <v>3</v>
          </cell>
          <cell r="G60">
            <v>3</v>
          </cell>
          <cell r="H60">
            <v>2</v>
          </cell>
          <cell r="I60">
            <v>0</v>
          </cell>
          <cell r="J60">
            <v>0</v>
          </cell>
          <cell r="K60">
            <v>2</v>
          </cell>
          <cell r="L60">
            <v>0</v>
          </cell>
          <cell r="M60">
            <v>0</v>
          </cell>
          <cell r="P60">
            <v>60</v>
          </cell>
          <cell r="Q60">
            <v>50</v>
          </cell>
          <cell r="R60">
            <v>144</v>
          </cell>
          <cell r="S60">
            <v>225</v>
          </cell>
          <cell r="T60">
            <v>97</v>
          </cell>
          <cell r="U60">
            <v>0</v>
          </cell>
          <cell r="V60">
            <v>0</v>
          </cell>
          <cell r="W60">
            <v>125</v>
          </cell>
          <cell r="X60">
            <v>0</v>
          </cell>
          <cell r="Y60">
            <v>0</v>
          </cell>
          <cell r="Z60">
            <v>4</v>
          </cell>
          <cell r="AA60">
            <v>234</v>
          </cell>
          <cell r="AB60">
            <v>0</v>
          </cell>
          <cell r="AC60">
            <v>0</v>
          </cell>
          <cell r="AD60">
            <v>2</v>
          </cell>
          <cell r="AE60">
            <v>92</v>
          </cell>
          <cell r="AF60">
            <v>0</v>
          </cell>
          <cell r="AG60">
            <v>0</v>
          </cell>
        </row>
        <row r="61">
          <cell r="A61" t="str">
            <v>Howard Johnson Hotel</v>
          </cell>
          <cell r="D61">
            <v>0</v>
          </cell>
          <cell r="E61">
            <v>0</v>
          </cell>
          <cell r="F61">
            <v>0</v>
          </cell>
          <cell r="G61">
            <v>0</v>
          </cell>
          <cell r="H61">
            <v>0</v>
          </cell>
          <cell r="I61">
            <v>0</v>
          </cell>
          <cell r="J61">
            <v>0</v>
          </cell>
          <cell r="K61">
            <v>1</v>
          </cell>
          <cell r="L61">
            <v>0</v>
          </cell>
          <cell r="M61">
            <v>0</v>
          </cell>
          <cell r="P61">
            <v>0</v>
          </cell>
          <cell r="Q61">
            <v>0</v>
          </cell>
          <cell r="R61">
            <v>0</v>
          </cell>
          <cell r="S61">
            <v>0</v>
          </cell>
          <cell r="T61">
            <v>0</v>
          </cell>
          <cell r="U61">
            <v>0</v>
          </cell>
          <cell r="V61">
            <v>0</v>
          </cell>
          <cell r="W61">
            <v>48</v>
          </cell>
          <cell r="X61">
            <v>0</v>
          </cell>
          <cell r="Y61">
            <v>0</v>
          </cell>
          <cell r="Z61">
            <v>1</v>
          </cell>
          <cell r="AA61">
            <v>170</v>
          </cell>
          <cell r="AB61">
            <v>0</v>
          </cell>
          <cell r="AC61">
            <v>0</v>
          </cell>
          <cell r="AD61">
            <v>0</v>
          </cell>
          <cell r="AE61">
            <v>0</v>
          </cell>
          <cell r="AF61">
            <v>0</v>
          </cell>
          <cell r="AG61">
            <v>0</v>
          </cell>
        </row>
        <row r="62">
          <cell r="A62" t="str">
            <v>Howard Johnson Inn</v>
          </cell>
          <cell r="D62">
            <v>0</v>
          </cell>
          <cell r="E62">
            <v>1</v>
          </cell>
          <cell r="F62">
            <v>0</v>
          </cell>
          <cell r="G62">
            <v>0</v>
          </cell>
          <cell r="H62">
            <v>0</v>
          </cell>
          <cell r="I62">
            <v>0</v>
          </cell>
          <cell r="J62">
            <v>0</v>
          </cell>
          <cell r="K62">
            <v>0</v>
          </cell>
          <cell r="L62">
            <v>0</v>
          </cell>
          <cell r="M62">
            <v>0</v>
          </cell>
          <cell r="P62">
            <v>0</v>
          </cell>
          <cell r="Q62">
            <v>74</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row>
        <row r="63">
          <cell r="A63" t="str">
            <v>Hyatt Hotel</v>
          </cell>
          <cell r="D63">
            <v>2</v>
          </cell>
          <cell r="E63">
            <v>1</v>
          </cell>
          <cell r="F63">
            <v>2</v>
          </cell>
          <cell r="G63">
            <v>0</v>
          </cell>
          <cell r="H63">
            <v>0</v>
          </cell>
          <cell r="I63">
            <v>0</v>
          </cell>
          <cell r="J63">
            <v>0</v>
          </cell>
          <cell r="K63">
            <v>1</v>
          </cell>
          <cell r="L63">
            <v>1</v>
          </cell>
          <cell r="M63">
            <v>0</v>
          </cell>
          <cell r="P63">
            <v>534</v>
          </cell>
          <cell r="Q63">
            <v>183</v>
          </cell>
          <cell r="R63">
            <v>702</v>
          </cell>
          <cell r="S63">
            <v>0</v>
          </cell>
          <cell r="T63">
            <v>0</v>
          </cell>
          <cell r="U63">
            <v>0</v>
          </cell>
          <cell r="V63">
            <v>0</v>
          </cell>
          <cell r="W63">
            <v>250</v>
          </cell>
          <cell r="X63">
            <v>800</v>
          </cell>
          <cell r="Y63">
            <v>0</v>
          </cell>
          <cell r="Z63">
            <v>0</v>
          </cell>
          <cell r="AA63">
            <v>0</v>
          </cell>
          <cell r="AB63">
            <v>1</v>
          </cell>
          <cell r="AC63">
            <v>303</v>
          </cell>
          <cell r="AD63">
            <v>0</v>
          </cell>
          <cell r="AE63">
            <v>0</v>
          </cell>
          <cell r="AF63">
            <v>0</v>
          </cell>
          <cell r="AG63">
            <v>0</v>
          </cell>
        </row>
        <row r="64">
          <cell r="A64" t="str">
            <v>INDEPENDENTS</v>
          </cell>
          <cell r="D64">
            <v>21</v>
          </cell>
          <cell r="E64">
            <v>23</v>
          </cell>
          <cell r="F64">
            <v>15</v>
          </cell>
          <cell r="G64">
            <v>26</v>
          </cell>
          <cell r="H64">
            <v>29</v>
          </cell>
          <cell r="I64">
            <v>30</v>
          </cell>
          <cell r="J64">
            <v>34</v>
          </cell>
          <cell r="K64">
            <v>28</v>
          </cell>
          <cell r="L64">
            <v>33</v>
          </cell>
          <cell r="M64">
            <v>12</v>
          </cell>
          <cell r="P64">
            <v>2614</v>
          </cell>
          <cell r="Q64">
            <v>2842</v>
          </cell>
          <cell r="R64">
            <v>2146</v>
          </cell>
          <cell r="S64">
            <v>4318</v>
          </cell>
          <cell r="T64">
            <v>3469</v>
          </cell>
          <cell r="U64">
            <v>6370</v>
          </cell>
          <cell r="V64">
            <v>4212</v>
          </cell>
          <cell r="W64">
            <v>3739</v>
          </cell>
          <cell r="X64">
            <v>3926</v>
          </cell>
          <cell r="Y64">
            <v>1278</v>
          </cell>
          <cell r="Z64">
            <v>13</v>
          </cell>
          <cell r="AA64">
            <v>1473</v>
          </cell>
          <cell r="AB64">
            <v>22</v>
          </cell>
          <cell r="AC64">
            <v>3924</v>
          </cell>
          <cell r="AD64">
            <v>34</v>
          </cell>
          <cell r="AE64">
            <v>4018</v>
          </cell>
          <cell r="AF64">
            <v>15</v>
          </cell>
          <cell r="AG64">
            <v>1557</v>
          </cell>
        </row>
        <row r="65">
          <cell r="A65" t="str">
            <v>Inter-Continental</v>
          </cell>
          <cell r="D65">
            <v>2</v>
          </cell>
          <cell r="E65">
            <v>0</v>
          </cell>
          <cell r="F65">
            <v>1</v>
          </cell>
          <cell r="G65">
            <v>0</v>
          </cell>
          <cell r="H65">
            <v>0</v>
          </cell>
          <cell r="I65">
            <v>0</v>
          </cell>
          <cell r="J65">
            <v>0</v>
          </cell>
          <cell r="K65">
            <v>0</v>
          </cell>
          <cell r="L65">
            <v>0</v>
          </cell>
          <cell r="M65">
            <v>0</v>
          </cell>
          <cell r="P65">
            <v>339</v>
          </cell>
          <cell r="Q65">
            <v>0</v>
          </cell>
          <cell r="R65">
            <v>291</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row>
        <row r="66">
          <cell r="A66" t="str">
            <v>Intown Suites</v>
          </cell>
          <cell r="D66">
            <v>0</v>
          </cell>
          <cell r="E66">
            <v>5</v>
          </cell>
          <cell r="F66">
            <v>4</v>
          </cell>
          <cell r="G66">
            <v>1</v>
          </cell>
          <cell r="H66">
            <v>0</v>
          </cell>
          <cell r="I66">
            <v>1</v>
          </cell>
          <cell r="J66">
            <v>4</v>
          </cell>
          <cell r="K66">
            <v>3</v>
          </cell>
          <cell r="L66">
            <v>2</v>
          </cell>
          <cell r="M66">
            <v>3</v>
          </cell>
          <cell r="P66">
            <v>0</v>
          </cell>
          <cell r="Q66">
            <v>603</v>
          </cell>
          <cell r="R66">
            <v>483</v>
          </cell>
          <cell r="S66">
            <v>121</v>
          </cell>
          <cell r="T66">
            <v>0</v>
          </cell>
          <cell r="U66">
            <v>88</v>
          </cell>
          <cell r="V66">
            <v>487</v>
          </cell>
          <cell r="W66">
            <v>365</v>
          </cell>
          <cell r="X66">
            <v>246</v>
          </cell>
          <cell r="Y66">
            <v>367</v>
          </cell>
          <cell r="Z66">
            <v>1</v>
          </cell>
          <cell r="AA66">
            <v>123</v>
          </cell>
          <cell r="AB66">
            <v>1</v>
          </cell>
          <cell r="AC66">
            <v>123</v>
          </cell>
          <cell r="AD66">
            <v>0</v>
          </cell>
          <cell r="AE66">
            <v>0</v>
          </cell>
          <cell r="AF66">
            <v>1</v>
          </cell>
          <cell r="AG66">
            <v>120</v>
          </cell>
        </row>
        <row r="67">
          <cell r="A67" t="str">
            <v>Jameson Inn</v>
          </cell>
          <cell r="D67">
            <v>3</v>
          </cell>
          <cell r="E67">
            <v>2</v>
          </cell>
          <cell r="F67">
            <v>2</v>
          </cell>
          <cell r="G67">
            <v>2</v>
          </cell>
          <cell r="H67">
            <v>0</v>
          </cell>
          <cell r="I67">
            <v>5</v>
          </cell>
          <cell r="J67">
            <v>5</v>
          </cell>
          <cell r="K67">
            <v>4</v>
          </cell>
          <cell r="L67">
            <v>6</v>
          </cell>
          <cell r="M67">
            <v>5</v>
          </cell>
          <cell r="P67">
            <v>204</v>
          </cell>
          <cell r="Q67">
            <v>123</v>
          </cell>
          <cell r="R67">
            <v>96</v>
          </cell>
          <cell r="S67">
            <v>148</v>
          </cell>
          <cell r="T67">
            <v>0</v>
          </cell>
          <cell r="U67">
            <v>280</v>
          </cell>
          <cell r="V67">
            <v>180</v>
          </cell>
          <cell r="W67">
            <v>174</v>
          </cell>
          <cell r="X67">
            <v>258</v>
          </cell>
          <cell r="Y67">
            <v>200</v>
          </cell>
          <cell r="Z67">
            <v>8</v>
          </cell>
          <cell r="AA67">
            <v>320</v>
          </cell>
          <cell r="AB67">
            <v>3</v>
          </cell>
          <cell r="AC67">
            <v>120</v>
          </cell>
          <cell r="AD67">
            <v>4</v>
          </cell>
          <cell r="AE67">
            <v>160</v>
          </cell>
          <cell r="AF67">
            <v>3</v>
          </cell>
          <cell r="AG67">
            <v>120</v>
          </cell>
        </row>
        <row r="68">
          <cell r="A68" t="str">
            <v>Key West Inn</v>
          </cell>
          <cell r="D68">
            <v>0</v>
          </cell>
          <cell r="E68">
            <v>0</v>
          </cell>
          <cell r="F68">
            <v>0</v>
          </cell>
          <cell r="G68">
            <v>0</v>
          </cell>
          <cell r="H68">
            <v>0</v>
          </cell>
          <cell r="I68">
            <v>0</v>
          </cell>
          <cell r="J68">
            <v>0</v>
          </cell>
          <cell r="K68">
            <v>0</v>
          </cell>
          <cell r="L68">
            <v>2</v>
          </cell>
          <cell r="M68">
            <v>2</v>
          </cell>
          <cell r="P68">
            <v>0</v>
          </cell>
          <cell r="Q68">
            <v>0</v>
          </cell>
          <cell r="R68">
            <v>0</v>
          </cell>
          <cell r="S68">
            <v>0</v>
          </cell>
          <cell r="T68">
            <v>0</v>
          </cell>
          <cell r="U68">
            <v>0</v>
          </cell>
          <cell r="V68">
            <v>0</v>
          </cell>
          <cell r="W68">
            <v>0</v>
          </cell>
          <cell r="X68">
            <v>102</v>
          </cell>
          <cell r="Y68">
            <v>171</v>
          </cell>
          <cell r="Z68">
            <v>2</v>
          </cell>
          <cell r="AA68">
            <v>116</v>
          </cell>
          <cell r="AB68">
            <v>0</v>
          </cell>
          <cell r="AC68">
            <v>0</v>
          </cell>
          <cell r="AD68">
            <v>0</v>
          </cell>
          <cell r="AE68">
            <v>0</v>
          </cell>
          <cell r="AF68">
            <v>0</v>
          </cell>
          <cell r="AG68">
            <v>0</v>
          </cell>
        </row>
        <row r="69">
          <cell r="A69" t="str">
            <v>Knights Inn</v>
          </cell>
          <cell r="D69">
            <v>0</v>
          </cell>
          <cell r="E69">
            <v>0</v>
          </cell>
          <cell r="F69">
            <v>0</v>
          </cell>
          <cell r="G69">
            <v>0</v>
          </cell>
          <cell r="H69">
            <v>0</v>
          </cell>
          <cell r="I69">
            <v>0</v>
          </cell>
          <cell r="J69">
            <v>0</v>
          </cell>
          <cell r="K69">
            <v>0</v>
          </cell>
          <cell r="L69">
            <v>0</v>
          </cell>
          <cell r="M69">
            <v>1</v>
          </cell>
          <cell r="P69">
            <v>0</v>
          </cell>
          <cell r="Q69">
            <v>0</v>
          </cell>
          <cell r="R69">
            <v>0</v>
          </cell>
          <cell r="S69">
            <v>0</v>
          </cell>
          <cell r="T69">
            <v>0</v>
          </cell>
          <cell r="U69">
            <v>0</v>
          </cell>
          <cell r="V69">
            <v>0</v>
          </cell>
          <cell r="W69">
            <v>0</v>
          </cell>
          <cell r="X69">
            <v>0</v>
          </cell>
          <cell r="Y69">
            <v>40</v>
          </cell>
          <cell r="Z69">
            <v>3</v>
          </cell>
          <cell r="AA69">
            <v>207</v>
          </cell>
          <cell r="AB69">
            <v>0</v>
          </cell>
          <cell r="AC69">
            <v>0</v>
          </cell>
          <cell r="AD69">
            <v>2</v>
          </cell>
          <cell r="AE69">
            <v>76</v>
          </cell>
          <cell r="AF69">
            <v>1</v>
          </cell>
          <cell r="AG69">
            <v>68</v>
          </cell>
        </row>
        <row r="70">
          <cell r="A70" t="str">
            <v>La Quinta Inn</v>
          </cell>
          <cell r="D70">
            <v>0</v>
          </cell>
          <cell r="E70">
            <v>0</v>
          </cell>
          <cell r="F70">
            <v>0</v>
          </cell>
          <cell r="G70">
            <v>1</v>
          </cell>
          <cell r="H70">
            <v>8</v>
          </cell>
          <cell r="I70">
            <v>4</v>
          </cell>
          <cell r="J70">
            <v>7</v>
          </cell>
          <cell r="K70">
            <v>4</v>
          </cell>
          <cell r="L70">
            <v>6</v>
          </cell>
          <cell r="M70">
            <v>9</v>
          </cell>
          <cell r="P70">
            <v>0</v>
          </cell>
          <cell r="Q70">
            <v>0</v>
          </cell>
          <cell r="R70">
            <v>0</v>
          </cell>
          <cell r="S70">
            <v>184</v>
          </cell>
          <cell r="T70">
            <v>1098</v>
          </cell>
          <cell r="U70">
            <v>537</v>
          </cell>
          <cell r="V70">
            <v>950</v>
          </cell>
          <cell r="W70">
            <v>578</v>
          </cell>
          <cell r="X70">
            <v>746</v>
          </cell>
          <cell r="Y70">
            <v>1131</v>
          </cell>
          <cell r="Z70">
            <v>7</v>
          </cell>
          <cell r="AA70">
            <v>835</v>
          </cell>
          <cell r="AB70">
            <v>1</v>
          </cell>
          <cell r="AC70">
            <v>131</v>
          </cell>
          <cell r="AD70">
            <v>9</v>
          </cell>
          <cell r="AE70">
            <v>1094</v>
          </cell>
          <cell r="AF70">
            <v>4</v>
          </cell>
          <cell r="AG70">
            <v>494</v>
          </cell>
        </row>
        <row r="71">
          <cell r="A71" t="str">
            <v>Larkspur Landing</v>
          </cell>
          <cell r="D71">
            <v>0</v>
          </cell>
          <cell r="E71">
            <v>0</v>
          </cell>
          <cell r="F71">
            <v>0</v>
          </cell>
          <cell r="G71">
            <v>0</v>
          </cell>
          <cell r="H71">
            <v>0</v>
          </cell>
          <cell r="I71">
            <v>0</v>
          </cell>
          <cell r="J71">
            <v>2</v>
          </cell>
          <cell r="K71">
            <v>0</v>
          </cell>
          <cell r="L71">
            <v>0</v>
          </cell>
          <cell r="M71">
            <v>0</v>
          </cell>
          <cell r="N71">
            <v>0</v>
          </cell>
          <cell r="O71">
            <v>0</v>
          </cell>
          <cell r="P71">
            <v>0</v>
          </cell>
          <cell r="Q71">
            <v>0</v>
          </cell>
          <cell r="R71">
            <v>0</v>
          </cell>
          <cell r="S71">
            <v>0</v>
          </cell>
          <cell r="T71">
            <v>0</v>
          </cell>
          <cell r="U71">
            <v>0</v>
          </cell>
          <cell r="V71">
            <v>253</v>
          </cell>
          <cell r="W71">
            <v>0</v>
          </cell>
          <cell r="X71">
            <v>0</v>
          </cell>
          <cell r="Y71">
            <v>0</v>
          </cell>
          <cell r="Z71">
            <v>0</v>
          </cell>
          <cell r="AA71">
            <v>0</v>
          </cell>
          <cell r="AB71">
            <v>0</v>
          </cell>
          <cell r="AC71">
            <v>0</v>
          </cell>
          <cell r="AD71">
            <v>0</v>
          </cell>
          <cell r="AE71">
            <v>0</v>
          </cell>
          <cell r="AF71">
            <v>0</v>
          </cell>
          <cell r="AG71">
            <v>0</v>
          </cell>
        </row>
        <row r="72">
          <cell r="A72" t="str">
            <v>Loews Hotel</v>
          </cell>
          <cell r="D72">
            <v>1</v>
          </cell>
          <cell r="E72">
            <v>0</v>
          </cell>
          <cell r="F72">
            <v>0</v>
          </cell>
          <cell r="G72">
            <v>1</v>
          </cell>
          <cell r="H72">
            <v>0</v>
          </cell>
          <cell r="I72">
            <v>0</v>
          </cell>
          <cell r="J72">
            <v>2</v>
          </cell>
          <cell r="K72">
            <v>0</v>
          </cell>
          <cell r="L72">
            <v>0</v>
          </cell>
          <cell r="M72">
            <v>0</v>
          </cell>
          <cell r="P72">
            <v>583</v>
          </cell>
          <cell r="Q72">
            <v>0</v>
          </cell>
          <cell r="R72">
            <v>0</v>
          </cell>
          <cell r="S72">
            <v>650</v>
          </cell>
          <cell r="T72">
            <v>0</v>
          </cell>
          <cell r="U72">
            <v>0</v>
          </cell>
          <cell r="V72">
            <v>1167</v>
          </cell>
          <cell r="W72">
            <v>0</v>
          </cell>
          <cell r="X72">
            <v>0</v>
          </cell>
          <cell r="Y72">
            <v>0</v>
          </cell>
          <cell r="Z72">
            <v>0</v>
          </cell>
          <cell r="AA72">
            <v>0</v>
          </cell>
          <cell r="AB72">
            <v>0</v>
          </cell>
          <cell r="AC72">
            <v>0</v>
          </cell>
          <cell r="AD72">
            <v>0</v>
          </cell>
          <cell r="AE72">
            <v>0</v>
          </cell>
          <cell r="AF72">
            <v>0</v>
          </cell>
          <cell r="AG72">
            <v>0</v>
          </cell>
        </row>
        <row r="73">
          <cell r="A73" t="str">
            <v>MainStay Suites</v>
          </cell>
          <cell r="D73">
            <v>1</v>
          </cell>
          <cell r="E73">
            <v>2</v>
          </cell>
          <cell r="F73">
            <v>2</v>
          </cell>
          <cell r="G73">
            <v>1</v>
          </cell>
          <cell r="H73">
            <v>3</v>
          </cell>
          <cell r="I73">
            <v>4</v>
          </cell>
          <cell r="J73">
            <v>1</v>
          </cell>
          <cell r="K73">
            <v>3</v>
          </cell>
          <cell r="L73">
            <v>4</v>
          </cell>
          <cell r="M73">
            <v>7</v>
          </cell>
          <cell r="P73">
            <v>72</v>
          </cell>
          <cell r="Q73">
            <v>207</v>
          </cell>
          <cell r="R73">
            <v>166</v>
          </cell>
          <cell r="S73">
            <v>98</v>
          </cell>
          <cell r="T73">
            <v>273</v>
          </cell>
          <cell r="U73">
            <v>325</v>
          </cell>
          <cell r="V73">
            <v>102</v>
          </cell>
          <cell r="W73">
            <v>335</v>
          </cell>
          <cell r="X73">
            <v>362</v>
          </cell>
          <cell r="Y73">
            <v>616</v>
          </cell>
          <cell r="Z73">
            <v>2</v>
          </cell>
          <cell r="AA73">
            <v>185</v>
          </cell>
          <cell r="AB73">
            <v>1</v>
          </cell>
          <cell r="AC73">
            <v>94</v>
          </cell>
          <cell r="AD73">
            <v>0</v>
          </cell>
          <cell r="AE73">
            <v>0</v>
          </cell>
          <cell r="AF73">
            <v>0</v>
          </cell>
          <cell r="AG73">
            <v>0</v>
          </cell>
        </row>
        <row r="74">
          <cell r="A74" t="str">
            <v>Marriott Hotel</v>
          </cell>
          <cell r="D74">
            <v>1</v>
          </cell>
          <cell r="E74">
            <v>3</v>
          </cell>
          <cell r="F74">
            <v>1</v>
          </cell>
          <cell r="G74">
            <v>3</v>
          </cell>
          <cell r="H74">
            <v>4</v>
          </cell>
          <cell r="I74">
            <v>1</v>
          </cell>
          <cell r="J74">
            <v>4</v>
          </cell>
          <cell r="K74">
            <v>2</v>
          </cell>
          <cell r="L74">
            <v>2</v>
          </cell>
          <cell r="M74">
            <v>1</v>
          </cell>
          <cell r="P74">
            <v>393</v>
          </cell>
          <cell r="Q74">
            <v>1335</v>
          </cell>
          <cell r="R74">
            <v>295</v>
          </cell>
          <cell r="S74">
            <v>802</v>
          </cell>
          <cell r="T74">
            <v>1112</v>
          </cell>
          <cell r="U74">
            <v>295</v>
          </cell>
          <cell r="V74">
            <v>1050</v>
          </cell>
          <cell r="W74">
            <v>542</v>
          </cell>
          <cell r="X74">
            <v>456</v>
          </cell>
          <cell r="Y74">
            <v>264</v>
          </cell>
          <cell r="Z74">
            <v>1</v>
          </cell>
          <cell r="AA74">
            <v>278</v>
          </cell>
          <cell r="AB74">
            <v>0</v>
          </cell>
          <cell r="AC74">
            <v>0</v>
          </cell>
          <cell r="AD74">
            <v>1</v>
          </cell>
          <cell r="AE74">
            <v>155</v>
          </cell>
          <cell r="AF74">
            <v>0</v>
          </cell>
          <cell r="AG74">
            <v>0</v>
          </cell>
        </row>
        <row r="75">
          <cell r="A75" t="str">
            <v>Meridien Hotel</v>
          </cell>
          <cell r="D75">
            <v>0</v>
          </cell>
          <cell r="E75">
            <v>0</v>
          </cell>
          <cell r="F75">
            <v>0</v>
          </cell>
          <cell r="G75">
            <v>0</v>
          </cell>
          <cell r="H75">
            <v>0</v>
          </cell>
          <cell r="I75">
            <v>0</v>
          </cell>
          <cell r="J75">
            <v>0</v>
          </cell>
          <cell r="K75">
            <v>0</v>
          </cell>
          <cell r="L75">
            <v>0</v>
          </cell>
          <cell r="M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row>
        <row r="76">
          <cell r="A76" t="str">
            <v>Microtel Inn</v>
          </cell>
          <cell r="D76">
            <v>7</v>
          </cell>
          <cell r="E76">
            <v>15</v>
          </cell>
          <cell r="F76">
            <v>11</v>
          </cell>
          <cell r="G76">
            <v>12</v>
          </cell>
          <cell r="H76">
            <v>23</v>
          </cell>
          <cell r="I76">
            <v>11</v>
          </cell>
          <cell r="J76">
            <v>14</v>
          </cell>
          <cell r="K76">
            <v>13</v>
          </cell>
          <cell r="L76">
            <v>21</v>
          </cell>
          <cell r="M76">
            <v>13</v>
          </cell>
          <cell r="P76">
            <v>442</v>
          </cell>
          <cell r="Q76">
            <v>1063</v>
          </cell>
          <cell r="R76">
            <v>825</v>
          </cell>
          <cell r="S76">
            <v>807</v>
          </cell>
          <cell r="T76">
            <v>1616</v>
          </cell>
          <cell r="U76">
            <v>774</v>
          </cell>
          <cell r="V76">
            <v>928</v>
          </cell>
          <cell r="W76">
            <v>1030</v>
          </cell>
          <cell r="X76">
            <v>1372</v>
          </cell>
          <cell r="Y76">
            <v>1009</v>
          </cell>
          <cell r="Z76">
            <v>7</v>
          </cell>
          <cell r="AA76">
            <v>479</v>
          </cell>
          <cell r="AB76">
            <v>16</v>
          </cell>
          <cell r="AC76">
            <v>1136</v>
          </cell>
          <cell r="AD76">
            <v>9</v>
          </cell>
          <cell r="AE76">
            <v>673</v>
          </cell>
          <cell r="AF76">
            <v>5</v>
          </cell>
          <cell r="AG76">
            <v>348</v>
          </cell>
        </row>
        <row r="77">
          <cell r="A77" t="str">
            <v>Motel 6</v>
          </cell>
          <cell r="D77">
            <v>8</v>
          </cell>
          <cell r="E77">
            <v>4</v>
          </cell>
          <cell r="F77">
            <v>4</v>
          </cell>
          <cell r="G77">
            <v>4</v>
          </cell>
          <cell r="H77">
            <v>6</v>
          </cell>
          <cell r="I77">
            <v>4</v>
          </cell>
          <cell r="J77">
            <v>4</v>
          </cell>
          <cell r="K77">
            <v>8</v>
          </cell>
          <cell r="L77">
            <v>4</v>
          </cell>
          <cell r="M77">
            <v>1</v>
          </cell>
          <cell r="P77">
            <v>626</v>
          </cell>
          <cell r="Q77">
            <v>341</v>
          </cell>
          <cell r="R77">
            <v>179</v>
          </cell>
          <cell r="S77">
            <v>282</v>
          </cell>
          <cell r="T77">
            <v>445</v>
          </cell>
          <cell r="U77">
            <v>247</v>
          </cell>
          <cell r="V77">
            <v>217</v>
          </cell>
          <cell r="W77">
            <v>699</v>
          </cell>
          <cell r="X77">
            <v>418</v>
          </cell>
          <cell r="Y77">
            <v>121</v>
          </cell>
          <cell r="Z77">
            <v>5</v>
          </cell>
          <cell r="AA77">
            <v>287</v>
          </cell>
          <cell r="AB77">
            <v>3</v>
          </cell>
          <cell r="AC77">
            <v>310</v>
          </cell>
          <cell r="AD77">
            <v>6</v>
          </cell>
          <cell r="AE77">
            <v>460</v>
          </cell>
          <cell r="AF77">
            <v>0</v>
          </cell>
          <cell r="AG77">
            <v>0</v>
          </cell>
        </row>
        <row r="78">
          <cell r="A78" t="str">
            <v>Omni Hotel</v>
          </cell>
          <cell r="D78">
            <v>0</v>
          </cell>
          <cell r="E78">
            <v>0</v>
          </cell>
          <cell r="F78">
            <v>0</v>
          </cell>
          <cell r="G78">
            <v>1</v>
          </cell>
          <cell r="H78">
            <v>0</v>
          </cell>
          <cell r="I78">
            <v>0</v>
          </cell>
          <cell r="J78">
            <v>0</v>
          </cell>
          <cell r="K78">
            <v>0</v>
          </cell>
          <cell r="L78">
            <v>0</v>
          </cell>
          <cell r="M78">
            <v>0</v>
          </cell>
          <cell r="P78">
            <v>0</v>
          </cell>
          <cell r="Q78">
            <v>0</v>
          </cell>
          <cell r="R78">
            <v>0</v>
          </cell>
          <cell r="S78">
            <v>390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row>
        <row r="79">
          <cell r="A79" t="str">
            <v>Park Inn</v>
          </cell>
          <cell r="D79">
            <v>0</v>
          </cell>
          <cell r="E79">
            <v>0</v>
          </cell>
          <cell r="F79">
            <v>0</v>
          </cell>
          <cell r="G79">
            <v>0</v>
          </cell>
          <cell r="H79">
            <v>0</v>
          </cell>
          <cell r="I79">
            <v>0</v>
          </cell>
          <cell r="J79">
            <v>0</v>
          </cell>
          <cell r="K79">
            <v>2</v>
          </cell>
          <cell r="L79">
            <v>0</v>
          </cell>
          <cell r="M79">
            <v>0</v>
          </cell>
          <cell r="P79">
            <v>0</v>
          </cell>
          <cell r="Q79">
            <v>0</v>
          </cell>
          <cell r="R79">
            <v>0</v>
          </cell>
          <cell r="S79">
            <v>0</v>
          </cell>
          <cell r="T79">
            <v>0</v>
          </cell>
          <cell r="U79">
            <v>0</v>
          </cell>
          <cell r="V79">
            <v>0</v>
          </cell>
          <cell r="W79">
            <v>174</v>
          </cell>
          <cell r="X79">
            <v>0</v>
          </cell>
          <cell r="Y79">
            <v>0</v>
          </cell>
          <cell r="Z79">
            <v>1</v>
          </cell>
          <cell r="AA79">
            <v>25</v>
          </cell>
          <cell r="AB79">
            <v>1</v>
          </cell>
          <cell r="AC79">
            <v>24</v>
          </cell>
          <cell r="AD79">
            <v>0</v>
          </cell>
          <cell r="AE79">
            <v>0</v>
          </cell>
          <cell r="AF79">
            <v>0</v>
          </cell>
          <cell r="AG79">
            <v>0</v>
          </cell>
        </row>
        <row r="80">
          <cell r="A80" t="str">
            <v>Platinum Suites</v>
          </cell>
          <cell r="D80">
            <v>0</v>
          </cell>
          <cell r="E80">
            <v>0</v>
          </cell>
          <cell r="F80">
            <v>0</v>
          </cell>
          <cell r="G80">
            <v>0</v>
          </cell>
          <cell r="H80">
            <v>0</v>
          </cell>
          <cell r="I80">
            <v>0</v>
          </cell>
          <cell r="J80">
            <v>0</v>
          </cell>
          <cell r="K80">
            <v>0</v>
          </cell>
          <cell r="L80">
            <v>0</v>
          </cell>
          <cell r="M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row>
        <row r="81">
          <cell r="A81" t="str">
            <v>Quality Inn</v>
          </cell>
          <cell r="D81">
            <v>1</v>
          </cell>
          <cell r="E81">
            <v>1</v>
          </cell>
          <cell r="F81">
            <v>2</v>
          </cell>
          <cell r="G81">
            <v>1</v>
          </cell>
          <cell r="H81">
            <v>3</v>
          </cell>
          <cell r="I81">
            <v>7</v>
          </cell>
          <cell r="J81">
            <v>1</v>
          </cell>
          <cell r="K81">
            <v>2</v>
          </cell>
          <cell r="L81">
            <v>1</v>
          </cell>
          <cell r="M81">
            <v>3</v>
          </cell>
          <cell r="P81">
            <v>68</v>
          </cell>
          <cell r="Q81">
            <v>60</v>
          </cell>
          <cell r="R81">
            <v>174</v>
          </cell>
          <cell r="S81">
            <v>47</v>
          </cell>
          <cell r="T81">
            <v>225</v>
          </cell>
          <cell r="U81">
            <v>495</v>
          </cell>
          <cell r="V81">
            <v>30</v>
          </cell>
          <cell r="W81">
            <v>122</v>
          </cell>
          <cell r="X81">
            <v>72</v>
          </cell>
          <cell r="Y81">
            <v>233</v>
          </cell>
          <cell r="Z81">
            <v>3</v>
          </cell>
          <cell r="AA81">
            <v>157</v>
          </cell>
          <cell r="AB81">
            <v>3</v>
          </cell>
          <cell r="AC81">
            <v>206</v>
          </cell>
          <cell r="AD81">
            <v>5</v>
          </cell>
          <cell r="AE81">
            <v>379</v>
          </cell>
          <cell r="AF81">
            <v>1</v>
          </cell>
          <cell r="AG81">
            <v>69</v>
          </cell>
        </row>
        <row r="82">
          <cell r="A82" t="str">
            <v>Quality Suites</v>
          </cell>
          <cell r="D82">
            <v>2</v>
          </cell>
          <cell r="E82">
            <v>0</v>
          </cell>
          <cell r="F82">
            <v>0</v>
          </cell>
          <cell r="G82">
            <v>2</v>
          </cell>
          <cell r="H82">
            <v>0</v>
          </cell>
          <cell r="I82">
            <v>0</v>
          </cell>
          <cell r="J82">
            <v>2</v>
          </cell>
          <cell r="K82">
            <v>2</v>
          </cell>
          <cell r="L82">
            <v>2</v>
          </cell>
          <cell r="M82">
            <v>2</v>
          </cell>
          <cell r="P82">
            <v>180</v>
          </cell>
          <cell r="Q82">
            <v>0</v>
          </cell>
          <cell r="R82">
            <v>0</v>
          </cell>
          <cell r="S82">
            <v>172</v>
          </cell>
          <cell r="T82">
            <v>0</v>
          </cell>
          <cell r="U82">
            <v>0</v>
          </cell>
          <cell r="V82">
            <v>129</v>
          </cell>
          <cell r="W82">
            <v>149</v>
          </cell>
          <cell r="X82">
            <v>140</v>
          </cell>
          <cell r="Y82">
            <v>161</v>
          </cell>
          <cell r="Z82">
            <v>0</v>
          </cell>
          <cell r="AA82">
            <v>0</v>
          </cell>
          <cell r="AB82">
            <v>0</v>
          </cell>
          <cell r="AC82">
            <v>0</v>
          </cell>
          <cell r="AD82">
            <v>0</v>
          </cell>
          <cell r="AE82">
            <v>0</v>
          </cell>
          <cell r="AF82">
            <v>0</v>
          </cell>
          <cell r="AG82">
            <v>0</v>
          </cell>
        </row>
        <row r="83">
          <cell r="A83" t="str">
            <v>Radisson Hotel</v>
          </cell>
          <cell r="D83">
            <v>0</v>
          </cell>
          <cell r="E83">
            <v>1</v>
          </cell>
          <cell r="F83">
            <v>1</v>
          </cell>
          <cell r="G83">
            <v>0</v>
          </cell>
          <cell r="H83">
            <v>1</v>
          </cell>
          <cell r="I83">
            <v>0</v>
          </cell>
          <cell r="J83">
            <v>1</v>
          </cell>
          <cell r="K83">
            <v>1</v>
          </cell>
          <cell r="L83">
            <v>1</v>
          </cell>
          <cell r="M83">
            <v>1</v>
          </cell>
          <cell r="P83">
            <v>0</v>
          </cell>
          <cell r="Q83">
            <v>250</v>
          </cell>
          <cell r="R83">
            <v>72</v>
          </cell>
          <cell r="S83">
            <v>0</v>
          </cell>
          <cell r="T83">
            <v>224</v>
          </cell>
          <cell r="U83">
            <v>0</v>
          </cell>
          <cell r="V83">
            <v>130</v>
          </cell>
          <cell r="W83">
            <v>250</v>
          </cell>
          <cell r="X83">
            <v>141</v>
          </cell>
          <cell r="Y83">
            <v>120</v>
          </cell>
          <cell r="Z83">
            <v>0</v>
          </cell>
          <cell r="AA83">
            <v>0</v>
          </cell>
          <cell r="AB83">
            <v>0</v>
          </cell>
          <cell r="AC83">
            <v>0</v>
          </cell>
          <cell r="AD83">
            <v>0</v>
          </cell>
          <cell r="AE83">
            <v>0</v>
          </cell>
          <cell r="AF83">
            <v>1</v>
          </cell>
          <cell r="AG83">
            <v>163</v>
          </cell>
        </row>
        <row r="84">
          <cell r="A84" t="str">
            <v>Ramada Inn</v>
          </cell>
          <cell r="D84">
            <v>3</v>
          </cell>
          <cell r="E84">
            <v>1</v>
          </cell>
          <cell r="F84">
            <v>2</v>
          </cell>
          <cell r="G84">
            <v>1</v>
          </cell>
          <cell r="H84">
            <v>2</v>
          </cell>
          <cell r="I84">
            <v>2</v>
          </cell>
          <cell r="J84">
            <v>2</v>
          </cell>
          <cell r="K84">
            <v>0</v>
          </cell>
          <cell r="L84">
            <v>6</v>
          </cell>
          <cell r="M84">
            <v>2</v>
          </cell>
          <cell r="P84">
            <v>174</v>
          </cell>
          <cell r="Q84">
            <v>49</v>
          </cell>
          <cell r="R84">
            <v>103</v>
          </cell>
          <cell r="S84">
            <v>45</v>
          </cell>
          <cell r="T84">
            <v>145</v>
          </cell>
          <cell r="U84">
            <v>158</v>
          </cell>
          <cell r="V84">
            <v>156</v>
          </cell>
          <cell r="W84">
            <v>0</v>
          </cell>
          <cell r="X84">
            <v>325</v>
          </cell>
          <cell r="Y84">
            <v>103</v>
          </cell>
          <cell r="Z84">
            <v>2</v>
          </cell>
          <cell r="AA84">
            <v>138</v>
          </cell>
          <cell r="AB84">
            <v>3</v>
          </cell>
          <cell r="AC84">
            <v>149</v>
          </cell>
          <cell r="AD84">
            <v>6</v>
          </cell>
          <cell r="AE84">
            <v>527</v>
          </cell>
          <cell r="AF84">
            <v>2</v>
          </cell>
          <cell r="AG84">
            <v>118</v>
          </cell>
        </row>
        <row r="85">
          <cell r="A85" t="str">
            <v>Ramada Limited</v>
          </cell>
          <cell r="D85">
            <v>2</v>
          </cell>
          <cell r="E85">
            <v>2</v>
          </cell>
          <cell r="F85">
            <v>3</v>
          </cell>
          <cell r="G85">
            <v>6</v>
          </cell>
          <cell r="H85">
            <v>0</v>
          </cell>
          <cell r="I85">
            <v>2</v>
          </cell>
          <cell r="J85">
            <v>4</v>
          </cell>
          <cell r="K85">
            <v>3</v>
          </cell>
          <cell r="L85">
            <v>4</v>
          </cell>
          <cell r="M85">
            <v>5</v>
          </cell>
          <cell r="P85">
            <v>117</v>
          </cell>
          <cell r="Q85">
            <v>83</v>
          </cell>
          <cell r="R85">
            <v>192</v>
          </cell>
          <cell r="S85">
            <v>344</v>
          </cell>
          <cell r="T85">
            <v>0</v>
          </cell>
          <cell r="U85">
            <v>105</v>
          </cell>
          <cell r="V85">
            <v>296</v>
          </cell>
          <cell r="W85">
            <v>199</v>
          </cell>
          <cell r="X85">
            <v>242</v>
          </cell>
          <cell r="Y85">
            <v>277</v>
          </cell>
          <cell r="Z85">
            <v>6</v>
          </cell>
          <cell r="AA85">
            <v>341</v>
          </cell>
          <cell r="AB85">
            <v>7</v>
          </cell>
          <cell r="AC85">
            <v>524</v>
          </cell>
          <cell r="AD85">
            <v>8</v>
          </cell>
          <cell r="AE85">
            <v>473</v>
          </cell>
          <cell r="AF85">
            <v>8</v>
          </cell>
          <cell r="AG85">
            <v>585</v>
          </cell>
        </row>
        <row r="86">
          <cell r="A86" t="str">
            <v>Ramada Plaza</v>
          </cell>
          <cell r="D86">
            <v>0</v>
          </cell>
          <cell r="E86">
            <v>0</v>
          </cell>
          <cell r="F86">
            <v>0</v>
          </cell>
          <cell r="G86">
            <v>0</v>
          </cell>
          <cell r="H86">
            <v>0</v>
          </cell>
          <cell r="I86">
            <v>0</v>
          </cell>
          <cell r="J86">
            <v>0</v>
          </cell>
          <cell r="K86">
            <v>0</v>
          </cell>
          <cell r="L86">
            <v>0</v>
          </cell>
          <cell r="M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row>
        <row r="87">
          <cell r="A87" t="str">
            <v>Red Roof Inn</v>
          </cell>
          <cell r="D87">
            <v>6</v>
          </cell>
          <cell r="E87">
            <v>3</v>
          </cell>
          <cell r="F87">
            <v>1</v>
          </cell>
          <cell r="G87">
            <v>6</v>
          </cell>
          <cell r="H87">
            <v>9</v>
          </cell>
          <cell r="I87">
            <v>6</v>
          </cell>
          <cell r="J87">
            <v>2</v>
          </cell>
          <cell r="K87">
            <v>2</v>
          </cell>
          <cell r="L87">
            <v>2</v>
          </cell>
          <cell r="M87">
            <v>4</v>
          </cell>
          <cell r="P87">
            <v>542</v>
          </cell>
          <cell r="Q87">
            <v>223</v>
          </cell>
          <cell r="R87">
            <v>83</v>
          </cell>
          <cell r="S87">
            <v>524</v>
          </cell>
          <cell r="T87">
            <v>651</v>
          </cell>
          <cell r="U87">
            <v>611</v>
          </cell>
          <cell r="V87">
            <v>192</v>
          </cell>
          <cell r="W87">
            <v>215</v>
          </cell>
          <cell r="X87">
            <v>272</v>
          </cell>
          <cell r="Y87">
            <v>530</v>
          </cell>
          <cell r="Z87">
            <v>2</v>
          </cell>
          <cell r="AA87">
            <v>261</v>
          </cell>
          <cell r="AB87">
            <v>1</v>
          </cell>
          <cell r="AC87">
            <v>117</v>
          </cell>
          <cell r="AD87">
            <v>1</v>
          </cell>
          <cell r="AE87">
            <v>218</v>
          </cell>
          <cell r="AF87">
            <v>1</v>
          </cell>
          <cell r="AG87">
            <v>125</v>
          </cell>
        </row>
        <row r="88">
          <cell r="A88" t="str">
            <v>Renaissance Hotel</v>
          </cell>
          <cell r="D88">
            <v>0</v>
          </cell>
          <cell r="E88">
            <v>1</v>
          </cell>
          <cell r="F88">
            <v>1</v>
          </cell>
          <cell r="G88">
            <v>0</v>
          </cell>
          <cell r="H88">
            <v>0</v>
          </cell>
          <cell r="I88">
            <v>0</v>
          </cell>
          <cell r="J88">
            <v>0</v>
          </cell>
          <cell r="K88">
            <v>0</v>
          </cell>
          <cell r="L88">
            <v>0</v>
          </cell>
          <cell r="M88">
            <v>0</v>
          </cell>
          <cell r="P88">
            <v>0</v>
          </cell>
          <cell r="Q88">
            <v>311</v>
          </cell>
          <cell r="R88">
            <v>275</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row>
        <row r="89">
          <cell r="A89" t="str">
            <v>Residence Inn</v>
          </cell>
          <cell r="D89">
            <v>10</v>
          </cell>
          <cell r="E89">
            <v>10</v>
          </cell>
          <cell r="F89">
            <v>5</v>
          </cell>
          <cell r="G89">
            <v>10</v>
          </cell>
          <cell r="H89">
            <v>10</v>
          </cell>
          <cell r="I89">
            <v>10</v>
          </cell>
          <cell r="J89">
            <v>5</v>
          </cell>
          <cell r="K89">
            <v>11</v>
          </cell>
          <cell r="L89">
            <v>12</v>
          </cell>
          <cell r="M89">
            <v>7</v>
          </cell>
          <cell r="P89">
            <v>1220</v>
          </cell>
          <cell r="Q89">
            <v>1032</v>
          </cell>
          <cell r="R89">
            <v>552</v>
          </cell>
          <cell r="S89">
            <v>1088</v>
          </cell>
          <cell r="T89">
            <v>1295</v>
          </cell>
          <cell r="U89">
            <v>1280</v>
          </cell>
          <cell r="V89">
            <v>508</v>
          </cell>
          <cell r="W89">
            <v>1384</v>
          </cell>
          <cell r="X89">
            <v>1403</v>
          </cell>
          <cell r="Y89">
            <v>708</v>
          </cell>
          <cell r="Z89">
            <v>8</v>
          </cell>
          <cell r="AA89">
            <v>796</v>
          </cell>
          <cell r="AB89">
            <v>10</v>
          </cell>
          <cell r="AC89">
            <v>1160</v>
          </cell>
          <cell r="AD89">
            <v>8</v>
          </cell>
          <cell r="AE89">
            <v>762</v>
          </cell>
          <cell r="AF89">
            <v>6</v>
          </cell>
          <cell r="AG89">
            <v>742</v>
          </cell>
        </row>
        <row r="90">
          <cell r="A90" t="str">
            <v>Ritz-Carlton</v>
          </cell>
          <cell r="D90">
            <v>1</v>
          </cell>
          <cell r="E90">
            <v>0</v>
          </cell>
          <cell r="F90">
            <v>0</v>
          </cell>
          <cell r="G90">
            <v>0</v>
          </cell>
          <cell r="H90">
            <v>0</v>
          </cell>
          <cell r="I90">
            <v>0</v>
          </cell>
          <cell r="J90">
            <v>0</v>
          </cell>
          <cell r="K90">
            <v>0</v>
          </cell>
          <cell r="L90">
            <v>0</v>
          </cell>
          <cell r="M90">
            <v>0</v>
          </cell>
          <cell r="P90">
            <v>330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row>
        <row r="91">
          <cell r="A91" t="str">
            <v>Rodeway Inn</v>
          </cell>
          <cell r="D91">
            <v>0</v>
          </cell>
          <cell r="E91">
            <v>0</v>
          </cell>
          <cell r="F91">
            <v>0</v>
          </cell>
          <cell r="G91">
            <v>0</v>
          </cell>
          <cell r="H91">
            <v>0</v>
          </cell>
          <cell r="I91">
            <v>0</v>
          </cell>
          <cell r="J91">
            <v>1</v>
          </cell>
          <cell r="K91">
            <v>3</v>
          </cell>
          <cell r="L91">
            <v>1</v>
          </cell>
          <cell r="M91">
            <v>2</v>
          </cell>
          <cell r="P91">
            <v>0</v>
          </cell>
          <cell r="Q91">
            <v>0</v>
          </cell>
          <cell r="R91">
            <v>0</v>
          </cell>
          <cell r="S91">
            <v>0</v>
          </cell>
          <cell r="T91">
            <v>0</v>
          </cell>
          <cell r="U91">
            <v>0</v>
          </cell>
          <cell r="V91">
            <v>59</v>
          </cell>
          <cell r="W91">
            <v>158</v>
          </cell>
          <cell r="X91">
            <v>59</v>
          </cell>
          <cell r="Y91">
            <v>86</v>
          </cell>
          <cell r="Z91">
            <v>1</v>
          </cell>
          <cell r="AA91">
            <v>78</v>
          </cell>
          <cell r="AB91">
            <v>3</v>
          </cell>
          <cell r="AC91">
            <v>117</v>
          </cell>
          <cell r="AD91">
            <v>4</v>
          </cell>
          <cell r="AE91">
            <v>169</v>
          </cell>
          <cell r="AF91">
            <v>0</v>
          </cell>
          <cell r="AG91">
            <v>0</v>
          </cell>
        </row>
        <row r="92">
          <cell r="A92" t="str">
            <v>Scottish Inn</v>
          </cell>
          <cell r="D92">
            <v>0</v>
          </cell>
          <cell r="E92">
            <v>1</v>
          </cell>
          <cell r="F92">
            <v>0</v>
          </cell>
          <cell r="G92">
            <v>0</v>
          </cell>
          <cell r="H92">
            <v>0</v>
          </cell>
          <cell r="I92">
            <v>0</v>
          </cell>
          <cell r="J92">
            <v>0</v>
          </cell>
          <cell r="K92">
            <v>0</v>
          </cell>
          <cell r="L92">
            <v>0</v>
          </cell>
          <cell r="M92">
            <v>0</v>
          </cell>
          <cell r="P92">
            <v>0</v>
          </cell>
          <cell r="Q92">
            <v>38</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row>
        <row r="93">
          <cell r="A93" t="str">
            <v>Select Inn</v>
          </cell>
          <cell r="D93">
            <v>0</v>
          </cell>
          <cell r="E93">
            <v>0</v>
          </cell>
          <cell r="F93">
            <v>0</v>
          </cell>
          <cell r="G93">
            <v>0</v>
          </cell>
          <cell r="H93">
            <v>0</v>
          </cell>
          <cell r="I93">
            <v>0</v>
          </cell>
          <cell r="J93">
            <v>0</v>
          </cell>
          <cell r="K93">
            <v>0</v>
          </cell>
          <cell r="L93">
            <v>0</v>
          </cell>
          <cell r="M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row>
        <row r="94">
          <cell r="A94" t="str">
            <v>Sheraton Hotel</v>
          </cell>
          <cell r="D94">
            <v>0</v>
          </cell>
          <cell r="E94">
            <v>1</v>
          </cell>
          <cell r="F94">
            <v>0</v>
          </cell>
          <cell r="G94">
            <v>0</v>
          </cell>
          <cell r="H94">
            <v>0</v>
          </cell>
          <cell r="I94">
            <v>2</v>
          </cell>
          <cell r="J94">
            <v>0</v>
          </cell>
          <cell r="K94">
            <v>2</v>
          </cell>
          <cell r="L94">
            <v>0</v>
          </cell>
          <cell r="M94">
            <v>0</v>
          </cell>
          <cell r="P94">
            <v>0</v>
          </cell>
          <cell r="Q94">
            <v>286</v>
          </cell>
          <cell r="R94">
            <v>0</v>
          </cell>
          <cell r="S94">
            <v>0</v>
          </cell>
          <cell r="T94">
            <v>0</v>
          </cell>
          <cell r="U94">
            <v>301</v>
          </cell>
          <cell r="V94">
            <v>0</v>
          </cell>
          <cell r="W94">
            <v>287</v>
          </cell>
          <cell r="X94">
            <v>0</v>
          </cell>
          <cell r="Y94">
            <v>0</v>
          </cell>
          <cell r="Z94">
            <v>1</v>
          </cell>
          <cell r="AA94">
            <v>502</v>
          </cell>
          <cell r="AB94">
            <v>0</v>
          </cell>
          <cell r="AC94">
            <v>0</v>
          </cell>
          <cell r="AD94">
            <v>0</v>
          </cell>
          <cell r="AE94">
            <v>0</v>
          </cell>
          <cell r="AF94">
            <v>0</v>
          </cell>
          <cell r="AG94">
            <v>0</v>
          </cell>
        </row>
        <row r="95">
          <cell r="A95" t="str">
            <v>Shilo Inn</v>
          </cell>
          <cell r="D95">
            <v>0</v>
          </cell>
          <cell r="E95">
            <v>0</v>
          </cell>
          <cell r="P95">
            <v>0</v>
          </cell>
          <cell r="Q95">
            <v>0</v>
          </cell>
        </row>
        <row r="96">
          <cell r="A96" t="str">
            <v>Shoney's Inn</v>
          </cell>
          <cell r="D96">
            <v>0</v>
          </cell>
          <cell r="E96">
            <v>0</v>
          </cell>
          <cell r="F96">
            <v>2</v>
          </cell>
          <cell r="G96">
            <v>1</v>
          </cell>
          <cell r="H96">
            <v>1</v>
          </cell>
          <cell r="I96">
            <v>0</v>
          </cell>
          <cell r="J96">
            <v>1</v>
          </cell>
          <cell r="K96">
            <v>0</v>
          </cell>
          <cell r="L96">
            <v>2</v>
          </cell>
          <cell r="M96">
            <v>4</v>
          </cell>
          <cell r="P96">
            <v>0</v>
          </cell>
          <cell r="Q96">
            <v>0</v>
          </cell>
          <cell r="R96">
            <v>135</v>
          </cell>
          <cell r="S96">
            <v>75</v>
          </cell>
          <cell r="T96">
            <v>43</v>
          </cell>
          <cell r="U96">
            <v>0</v>
          </cell>
          <cell r="V96">
            <v>50</v>
          </cell>
          <cell r="W96">
            <v>0</v>
          </cell>
          <cell r="X96">
            <v>90</v>
          </cell>
          <cell r="Y96">
            <v>267</v>
          </cell>
          <cell r="Z96">
            <v>0</v>
          </cell>
          <cell r="AA96">
            <v>0</v>
          </cell>
          <cell r="AB96">
            <v>1</v>
          </cell>
          <cell r="AC96">
            <v>40</v>
          </cell>
          <cell r="AD96">
            <v>0</v>
          </cell>
          <cell r="AE96">
            <v>0</v>
          </cell>
          <cell r="AF96">
            <v>1</v>
          </cell>
          <cell r="AG96">
            <v>63</v>
          </cell>
        </row>
        <row r="97">
          <cell r="A97" t="str">
            <v>Sierra Suites</v>
          </cell>
          <cell r="D97">
            <v>0</v>
          </cell>
          <cell r="E97">
            <v>1</v>
          </cell>
          <cell r="F97">
            <v>0</v>
          </cell>
          <cell r="G97">
            <v>0</v>
          </cell>
          <cell r="H97">
            <v>2</v>
          </cell>
          <cell r="I97">
            <v>0</v>
          </cell>
          <cell r="J97">
            <v>2</v>
          </cell>
          <cell r="K97">
            <v>2</v>
          </cell>
          <cell r="L97">
            <v>3</v>
          </cell>
          <cell r="M97">
            <v>1</v>
          </cell>
          <cell r="P97">
            <v>0</v>
          </cell>
          <cell r="Q97">
            <v>137</v>
          </cell>
          <cell r="R97">
            <v>0</v>
          </cell>
          <cell r="S97">
            <v>0</v>
          </cell>
          <cell r="T97">
            <v>232</v>
          </cell>
          <cell r="U97">
            <v>0</v>
          </cell>
          <cell r="V97">
            <v>236</v>
          </cell>
          <cell r="W97">
            <v>269</v>
          </cell>
          <cell r="X97">
            <v>339</v>
          </cell>
          <cell r="Y97">
            <v>151</v>
          </cell>
          <cell r="Z97">
            <v>0</v>
          </cell>
          <cell r="AA97">
            <v>0</v>
          </cell>
          <cell r="AB97">
            <v>3</v>
          </cell>
          <cell r="AC97">
            <v>288</v>
          </cell>
          <cell r="AD97">
            <v>0</v>
          </cell>
          <cell r="AE97">
            <v>0</v>
          </cell>
          <cell r="AF97">
            <v>1</v>
          </cell>
          <cell r="AG97">
            <v>102</v>
          </cell>
        </row>
        <row r="98">
          <cell r="A98" t="str">
            <v>Signature Inns</v>
          </cell>
          <cell r="D98">
            <v>0</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1</v>
          </cell>
          <cell r="AG98">
            <v>81</v>
          </cell>
        </row>
        <row r="99">
          <cell r="A99" t="str">
            <v>Sleep Inn</v>
          </cell>
          <cell r="D99">
            <v>8</v>
          </cell>
          <cell r="E99">
            <v>11</v>
          </cell>
          <cell r="F99">
            <v>5</v>
          </cell>
          <cell r="G99">
            <v>10</v>
          </cell>
          <cell r="H99">
            <v>9</v>
          </cell>
          <cell r="I99">
            <v>9</v>
          </cell>
          <cell r="J99">
            <v>9</v>
          </cell>
          <cell r="K99">
            <v>14</v>
          </cell>
          <cell r="L99">
            <v>7</v>
          </cell>
          <cell r="M99">
            <v>7</v>
          </cell>
          <cell r="P99">
            <v>566</v>
          </cell>
          <cell r="Q99">
            <v>803</v>
          </cell>
          <cell r="R99">
            <v>388</v>
          </cell>
          <cell r="S99">
            <v>701</v>
          </cell>
          <cell r="T99">
            <v>671</v>
          </cell>
          <cell r="U99">
            <v>815</v>
          </cell>
          <cell r="V99">
            <v>755</v>
          </cell>
          <cell r="W99">
            <v>1054</v>
          </cell>
          <cell r="X99">
            <v>574</v>
          </cell>
          <cell r="Y99">
            <v>685</v>
          </cell>
          <cell r="Z99">
            <v>10</v>
          </cell>
          <cell r="AA99">
            <v>807</v>
          </cell>
          <cell r="AB99">
            <v>9</v>
          </cell>
          <cell r="AC99">
            <v>744</v>
          </cell>
          <cell r="AD99">
            <v>13</v>
          </cell>
          <cell r="AE99">
            <v>873</v>
          </cell>
          <cell r="AF99">
            <v>8</v>
          </cell>
          <cell r="AG99">
            <v>620</v>
          </cell>
        </row>
        <row r="100">
          <cell r="A100" t="str">
            <v>SpringHill Suites</v>
          </cell>
          <cell r="D100">
            <v>5</v>
          </cell>
          <cell r="E100">
            <v>7</v>
          </cell>
          <cell r="F100">
            <v>4</v>
          </cell>
          <cell r="G100">
            <v>3</v>
          </cell>
          <cell r="H100">
            <v>3</v>
          </cell>
          <cell r="I100">
            <v>5</v>
          </cell>
          <cell r="J100">
            <v>5</v>
          </cell>
          <cell r="K100">
            <v>6</v>
          </cell>
          <cell r="L100">
            <v>1</v>
          </cell>
          <cell r="M100">
            <v>3</v>
          </cell>
          <cell r="P100">
            <v>487</v>
          </cell>
          <cell r="Q100">
            <v>706</v>
          </cell>
          <cell r="R100">
            <v>386</v>
          </cell>
          <cell r="S100">
            <v>336</v>
          </cell>
          <cell r="T100">
            <v>313</v>
          </cell>
          <cell r="U100">
            <v>512</v>
          </cell>
          <cell r="V100">
            <v>495</v>
          </cell>
          <cell r="W100">
            <v>570</v>
          </cell>
          <cell r="X100">
            <v>102</v>
          </cell>
          <cell r="Y100">
            <v>321</v>
          </cell>
          <cell r="Z100">
            <v>1</v>
          </cell>
          <cell r="AA100">
            <v>109</v>
          </cell>
          <cell r="AB100">
            <v>1</v>
          </cell>
          <cell r="AC100">
            <v>122</v>
          </cell>
          <cell r="AD100">
            <v>0</v>
          </cell>
          <cell r="AE100">
            <v>0</v>
          </cell>
          <cell r="AF100">
            <v>1</v>
          </cell>
          <cell r="AG100">
            <v>105</v>
          </cell>
        </row>
        <row r="101">
          <cell r="A101" t="str">
            <v>Staybridge Suites</v>
          </cell>
          <cell r="D101">
            <v>2</v>
          </cell>
          <cell r="E101">
            <v>2</v>
          </cell>
          <cell r="F101">
            <v>9</v>
          </cell>
          <cell r="G101">
            <v>1</v>
          </cell>
          <cell r="H101">
            <v>0</v>
          </cell>
          <cell r="I101">
            <v>0</v>
          </cell>
          <cell r="J101">
            <v>1</v>
          </cell>
          <cell r="K101">
            <v>0</v>
          </cell>
          <cell r="L101">
            <v>0</v>
          </cell>
          <cell r="M101">
            <v>0</v>
          </cell>
          <cell r="P101">
            <v>234</v>
          </cell>
          <cell r="Q101">
            <v>195</v>
          </cell>
          <cell r="R101">
            <v>1039</v>
          </cell>
          <cell r="S101">
            <v>118</v>
          </cell>
          <cell r="T101">
            <v>0</v>
          </cell>
          <cell r="U101">
            <v>0</v>
          </cell>
          <cell r="V101">
            <v>118</v>
          </cell>
          <cell r="W101">
            <v>0</v>
          </cell>
          <cell r="X101">
            <v>0</v>
          </cell>
          <cell r="Y101">
            <v>0</v>
          </cell>
          <cell r="Z101">
            <v>0</v>
          </cell>
          <cell r="AA101">
            <v>0</v>
          </cell>
          <cell r="AB101">
            <v>0</v>
          </cell>
          <cell r="AC101">
            <v>0</v>
          </cell>
          <cell r="AD101">
            <v>0</v>
          </cell>
          <cell r="AE101">
            <v>0</v>
          </cell>
          <cell r="AF101">
            <v>0</v>
          </cell>
          <cell r="AG101">
            <v>0</v>
          </cell>
        </row>
        <row r="102">
          <cell r="A102" t="str">
            <v>StudioPlus Hotel</v>
          </cell>
          <cell r="D102">
            <v>0</v>
          </cell>
          <cell r="E102">
            <v>0</v>
          </cell>
          <cell r="F102">
            <v>2</v>
          </cell>
          <cell r="G102">
            <v>3</v>
          </cell>
          <cell r="H102">
            <v>5</v>
          </cell>
          <cell r="I102">
            <v>5</v>
          </cell>
          <cell r="J102">
            <v>6</v>
          </cell>
          <cell r="K102">
            <v>7</v>
          </cell>
          <cell r="L102">
            <v>5</v>
          </cell>
          <cell r="M102">
            <v>8</v>
          </cell>
          <cell r="P102">
            <v>0</v>
          </cell>
          <cell r="Q102">
            <v>0</v>
          </cell>
          <cell r="R102">
            <v>196</v>
          </cell>
          <cell r="S102">
            <v>252</v>
          </cell>
          <cell r="T102">
            <v>472</v>
          </cell>
          <cell r="U102">
            <v>397</v>
          </cell>
          <cell r="V102">
            <v>487</v>
          </cell>
          <cell r="W102">
            <v>533</v>
          </cell>
          <cell r="X102">
            <v>433</v>
          </cell>
          <cell r="Y102">
            <v>663</v>
          </cell>
          <cell r="Z102">
            <v>16</v>
          </cell>
          <cell r="AA102">
            <v>1356</v>
          </cell>
          <cell r="AB102">
            <v>9</v>
          </cell>
          <cell r="AC102">
            <v>767</v>
          </cell>
          <cell r="AD102">
            <v>3</v>
          </cell>
          <cell r="AE102">
            <v>219</v>
          </cell>
          <cell r="AF102">
            <v>3</v>
          </cell>
          <cell r="AG102">
            <v>215</v>
          </cell>
        </row>
        <row r="103">
          <cell r="A103" t="str">
            <v>Suburban Lodge</v>
          </cell>
          <cell r="D103">
            <v>3</v>
          </cell>
          <cell r="E103">
            <v>5</v>
          </cell>
          <cell r="F103">
            <v>3</v>
          </cell>
          <cell r="G103">
            <v>1</v>
          </cell>
          <cell r="H103">
            <v>10</v>
          </cell>
          <cell r="I103">
            <v>9</v>
          </cell>
          <cell r="J103">
            <v>9</v>
          </cell>
          <cell r="K103">
            <v>7</v>
          </cell>
          <cell r="L103">
            <v>5</v>
          </cell>
          <cell r="M103">
            <v>6</v>
          </cell>
          <cell r="P103">
            <v>412</v>
          </cell>
          <cell r="Q103">
            <v>859</v>
          </cell>
          <cell r="R103">
            <v>403</v>
          </cell>
          <cell r="S103">
            <v>149</v>
          </cell>
          <cell r="T103">
            <v>1270</v>
          </cell>
          <cell r="U103">
            <v>1217</v>
          </cell>
          <cell r="V103">
            <v>1238</v>
          </cell>
          <cell r="W103">
            <v>942</v>
          </cell>
          <cell r="X103">
            <v>706</v>
          </cell>
          <cell r="Y103">
            <v>809</v>
          </cell>
          <cell r="Z103">
            <v>19</v>
          </cell>
          <cell r="AA103">
            <v>2547</v>
          </cell>
          <cell r="AB103">
            <v>6</v>
          </cell>
          <cell r="AC103">
            <v>831</v>
          </cell>
          <cell r="AD103">
            <v>2</v>
          </cell>
          <cell r="AE103">
            <v>275</v>
          </cell>
          <cell r="AF103">
            <v>4</v>
          </cell>
          <cell r="AG103">
            <v>544</v>
          </cell>
        </row>
        <row r="104">
          <cell r="A104" t="str">
            <v>Suite Carolina</v>
          </cell>
          <cell r="D104">
            <v>0</v>
          </cell>
          <cell r="E104">
            <v>0</v>
          </cell>
          <cell r="F104">
            <v>0</v>
          </cell>
          <cell r="G104">
            <v>0</v>
          </cell>
          <cell r="H104">
            <v>0</v>
          </cell>
          <cell r="I104">
            <v>0</v>
          </cell>
          <cell r="J104">
            <v>0</v>
          </cell>
          <cell r="K104">
            <v>0</v>
          </cell>
          <cell r="L104">
            <v>0</v>
          </cell>
          <cell r="M104">
            <v>1</v>
          </cell>
          <cell r="P104">
            <v>0</v>
          </cell>
          <cell r="Q104">
            <v>0</v>
          </cell>
          <cell r="R104">
            <v>0</v>
          </cell>
          <cell r="S104">
            <v>0</v>
          </cell>
          <cell r="T104">
            <v>0</v>
          </cell>
          <cell r="U104">
            <v>0</v>
          </cell>
          <cell r="V104">
            <v>0</v>
          </cell>
          <cell r="W104">
            <v>0</v>
          </cell>
          <cell r="X104">
            <v>0</v>
          </cell>
          <cell r="Y104">
            <v>69</v>
          </cell>
          <cell r="Z104">
            <v>0</v>
          </cell>
          <cell r="AA104">
            <v>0</v>
          </cell>
          <cell r="AB104">
            <v>0</v>
          </cell>
          <cell r="AC104">
            <v>0</v>
          </cell>
          <cell r="AD104">
            <v>0</v>
          </cell>
          <cell r="AE104">
            <v>0</v>
          </cell>
          <cell r="AF104">
            <v>0</v>
          </cell>
          <cell r="AG104">
            <v>0</v>
          </cell>
        </row>
        <row r="105">
          <cell r="A105" t="str">
            <v>Summerfield Suites by Wyndham</v>
          </cell>
          <cell r="D105">
            <v>0</v>
          </cell>
          <cell r="E105">
            <v>2</v>
          </cell>
          <cell r="F105">
            <v>1</v>
          </cell>
          <cell r="G105">
            <v>0</v>
          </cell>
          <cell r="H105">
            <v>0</v>
          </cell>
          <cell r="I105">
            <v>0</v>
          </cell>
          <cell r="J105">
            <v>1</v>
          </cell>
          <cell r="K105">
            <v>1</v>
          </cell>
          <cell r="L105">
            <v>1</v>
          </cell>
          <cell r="M105">
            <v>0</v>
          </cell>
          <cell r="P105">
            <v>0</v>
          </cell>
          <cell r="Q105">
            <v>291</v>
          </cell>
          <cell r="R105">
            <v>157</v>
          </cell>
          <cell r="S105">
            <v>0</v>
          </cell>
          <cell r="T105">
            <v>0</v>
          </cell>
          <cell r="U105">
            <v>0</v>
          </cell>
          <cell r="V105">
            <v>164</v>
          </cell>
          <cell r="W105">
            <v>102</v>
          </cell>
          <cell r="X105">
            <v>128</v>
          </cell>
          <cell r="Y105">
            <v>0</v>
          </cell>
          <cell r="Z105">
            <v>0</v>
          </cell>
          <cell r="AA105">
            <v>0</v>
          </cell>
          <cell r="AB105">
            <v>1</v>
          </cell>
          <cell r="AC105">
            <v>133</v>
          </cell>
          <cell r="AD105">
            <v>3</v>
          </cell>
          <cell r="AE105">
            <v>423</v>
          </cell>
          <cell r="AF105">
            <v>0</v>
          </cell>
          <cell r="AG105">
            <v>0</v>
          </cell>
        </row>
        <row r="106">
          <cell r="A106" t="str">
            <v>Sumner Suites</v>
          </cell>
          <cell r="D106">
            <v>0</v>
          </cell>
          <cell r="E106">
            <v>0</v>
          </cell>
          <cell r="F106">
            <v>1</v>
          </cell>
          <cell r="G106">
            <v>0</v>
          </cell>
          <cell r="H106">
            <v>2</v>
          </cell>
          <cell r="I106">
            <v>1</v>
          </cell>
          <cell r="J106">
            <v>1</v>
          </cell>
          <cell r="K106">
            <v>4</v>
          </cell>
          <cell r="L106">
            <v>0</v>
          </cell>
          <cell r="M106">
            <v>1</v>
          </cell>
          <cell r="P106">
            <v>0</v>
          </cell>
          <cell r="Q106">
            <v>0</v>
          </cell>
          <cell r="R106">
            <v>135</v>
          </cell>
          <cell r="S106">
            <v>0</v>
          </cell>
          <cell r="T106">
            <v>270</v>
          </cell>
          <cell r="U106">
            <v>124</v>
          </cell>
          <cell r="V106">
            <v>135</v>
          </cell>
          <cell r="W106">
            <v>483</v>
          </cell>
          <cell r="X106">
            <v>0</v>
          </cell>
          <cell r="Y106">
            <v>135</v>
          </cell>
          <cell r="Z106">
            <v>1</v>
          </cell>
          <cell r="AA106">
            <v>126</v>
          </cell>
          <cell r="AB106">
            <v>2</v>
          </cell>
          <cell r="AC106">
            <v>247</v>
          </cell>
          <cell r="AD106">
            <v>1</v>
          </cell>
          <cell r="AE106">
            <v>117</v>
          </cell>
          <cell r="AF106">
            <v>1</v>
          </cell>
          <cell r="AG106">
            <v>100</v>
          </cell>
        </row>
        <row r="107">
          <cell r="A107" t="str">
            <v>Sun Suites</v>
          </cell>
          <cell r="D107">
            <v>1</v>
          </cell>
          <cell r="E107">
            <v>0</v>
          </cell>
          <cell r="F107">
            <v>1</v>
          </cell>
          <cell r="G107">
            <v>1</v>
          </cell>
          <cell r="H107">
            <v>0</v>
          </cell>
          <cell r="I107">
            <v>4</v>
          </cell>
          <cell r="J107">
            <v>2</v>
          </cell>
          <cell r="K107">
            <v>0</v>
          </cell>
          <cell r="L107">
            <v>2</v>
          </cell>
          <cell r="M107">
            <v>0</v>
          </cell>
          <cell r="P107">
            <v>135</v>
          </cell>
          <cell r="Q107">
            <v>0</v>
          </cell>
          <cell r="R107">
            <v>141</v>
          </cell>
          <cell r="S107">
            <v>135</v>
          </cell>
          <cell r="T107">
            <v>0</v>
          </cell>
          <cell r="U107">
            <v>540</v>
          </cell>
          <cell r="V107">
            <v>247</v>
          </cell>
          <cell r="W107">
            <v>0</v>
          </cell>
          <cell r="X107">
            <v>254</v>
          </cell>
          <cell r="Y107">
            <v>0</v>
          </cell>
          <cell r="Z107">
            <v>0</v>
          </cell>
          <cell r="AA107">
            <v>0</v>
          </cell>
          <cell r="AB107">
            <v>1</v>
          </cell>
          <cell r="AC107">
            <v>100</v>
          </cell>
          <cell r="AD107">
            <v>2</v>
          </cell>
          <cell r="AE107">
            <v>259</v>
          </cell>
          <cell r="AF107">
            <v>0</v>
          </cell>
          <cell r="AG107">
            <v>0</v>
          </cell>
        </row>
        <row r="108">
          <cell r="A108" t="str">
            <v>Super 8</v>
          </cell>
          <cell r="D108">
            <v>20</v>
          </cell>
          <cell r="E108">
            <v>10</v>
          </cell>
          <cell r="F108">
            <v>19</v>
          </cell>
          <cell r="G108">
            <v>10</v>
          </cell>
          <cell r="H108">
            <v>13</v>
          </cell>
          <cell r="I108">
            <v>29</v>
          </cell>
          <cell r="J108">
            <v>16</v>
          </cell>
          <cell r="K108">
            <v>22</v>
          </cell>
          <cell r="L108">
            <v>20</v>
          </cell>
          <cell r="M108">
            <v>5</v>
          </cell>
          <cell r="P108">
            <v>1045</v>
          </cell>
          <cell r="Q108">
            <v>470</v>
          </cell>
          <cell r="R108">
            <v>1044</v>
          </cell>
          <cell r="S108">
            <v>523</v>
          </cell>
          <cell r="T108">
            <v>656</v>
          </cell>
          <cell r="U108">
            <v>1424</v>
          </cell>
          <cell r="V108">
            <v>878</v>
          </cell>
          <cell r="W108">
            <v>1169</v>
          </cell>
          <cell r="X108">
            <v>1087</v>
          </cell>
          <cell r="Y108">
            <v>312</v>
          </cell>
          <cell r="Z108">
            <v>1</v>
          </cell>
          <cell r="AA108">
            <v>65</v>
          </cell>
          <cell r="AB108">
            <v>18</v>
          </cell>
          <cell r="AC108">
            <v>908</v>
          </cell>
          <cell r="AD108">
            <v>30</v>
          </cell>
          <cell r="AE108">
            <v>1544</v>
          </cell>
          <cell r="AF108">
            <v>19</v>
          </cell>
          <cell r="AG108">
            <v>1120</v>
          </cell>
        </row>
        <row r="109">
          <cell r="A109" t="str">
            <v>Susse Chalet</v>
          </cell>
          <cell r="D109">
            <v>0</v>
          </cell>
          <cell r="E109">
            <v>0</v>
          </cell>
          <cell r="F109">
            <v>0</v>
          </cell>
          <cell r="G109">
            <v>0</v>
          </cell>
          <cell r="H109">
            <v>0</v>
          </cell>
          <cell r="I109">
            <v>0</v>
          </cell>
          <cell r="J109">
            <v>0</v>
          </cell>
          <cell r="K109">
            <v>0</v>
          </cell>
          <cell r="L109">
            <v>0</v>
          </cell>
          <cell r="M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row>
        <row r="110">
          <cell r="A110" t="str">
            <v>Swissotel</v>
          </cell>
          <cell r="D110">
            <v>0</v>
          </cell>
          <cell r="E110">
            <v>0</v>
          </cell>
          <cell r="F110">
            <v>0</v>
          </cell>
          <cell r="G110">
            <v>0</v>
          </cell>
          <cell r="H110">
            <v>0</v>
          </cell>
          <cell r="I110">
            <v>0</v>
          </cell>
          <cell r="J110">
            <v>0</v>
          </cell>
          <cell r="K110">
            <v>0</v>
          </cell>
          <cell r="L110">
            <v>0</v>
          </cell>
          <cell r="M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row>
        <row r="111">
          <cell r="A111" t="str">
            <v>TownePlace Suites</v>
          </cell>
          <cell r="D111">
            <v>5</v>
          </cell>
          <cell r="E111">
            <v>7</v>
          </cell>
          <cell r="F111">
            <v>13</v>
          </cell>
          <cell r="G111">
            <v>8</v>
          </cell>
          <cell r="H111">
            <v>13</v>
          </cell>
          <cell r="I111">
            <v>11</v>
          </cell>
          <cell r="J111">
            <v>7</v>
          </cell>
          <cell r="K111">
            <v>2</v>
          </cell>
          <cell r="L111">
            <v>3</v>
          </cell>
          <cell r="M111">
            <v>4</v>
          </cell>
          <cell r="P111">
            <v>490</v>
          </cell>
          <cell r="Q111">
            <v>683</v>
          </cell>
          <cell r="R111">
            <v>1293</v>
          </cell>
          <cell r="S111">
            <v>766</v>
          </cell>
          <cell r="T111">
            <v>1322</v>
          </cell>
          <cell r="U111">
            <v>1126</v>
          </cell>
          <cell r="V111">
            <v>705</v>
          </cell>
          <cell r="W111">
            <v>214</v>
          </cell>
          <cell r="X111">
            <v>288</v>
          </cell>
          <cell r="Y111">
            <v>399</v>
          </cell>
          <cell r="Z111">
            <v>1</v>
          </cell>
          <cell r="AA111">
            <v>89</v>
          </cell>
          <cell r="AB111">
            <v>0</v>
          </cell>
          <cell r="AC111">
            <v>0</v>
          </cell>
          <cell r="AD111">
            <v>0</v>
          </cell>
          <cell r="AE111">
            <v>0</v>
          </cell>
          <cell r="AF111">
            <v>1</v>
          </cell>
          <cell r="AG111">
            <v>95</v>
          </cell>
        </row>
        <row r="112">
          <cell r="A112" t="str">
            <v>Travelodge</v>
          </cell>
          <cell r="D112">
            <v>2</v>
          </cell>
          <cell r="E112">
            <v>1</v>
          </cell>
          <cell r="F112">
            <v>1</v>
          </cell>
          <cell r="G112">
            <v>3</v>
          </cell>
          <cell r="H112">
            <v>3</v>
          </cell>
          <cell r="I112">
            <v>4</v>
          </cell>
          <cell r="J112">
            <v>0</v>
          </cell>
          <cell r="K112">
            <v>1</v>
          </cell>
          <cell r="L112">
            <v>3</v>
          </cell>
          <cell r="M112">
            <v>1</v>
          </cell>
          <cell r="P112">
            <v>130</v>
          </cell>
          <cell r="Q112">
            <v>40</v>
          </cell>
          <cell r="R112">
            <v>51</v>
          </cell>
          <cell r="S112">
            <v>182</v>
          </cell>
          <cell r="T112">
            <v>198</v>
          </cell>
          <cell r="U112">
            <v>205</v>
          </cell>
          <cell r="V112">
            <v>0</v>
          </cell>
          <cell r="W112">
            <v>38</v>
          </cell>
          <cell r="X112">
            <v>236</v>
          </cell>
          <cell r="Y112">
            <v>177</v>
          </cell>
          <cell r="Z112">
            <v>4</v>
          </cell>
          <cell r="AA112">
            <v>181</v>
          </cell>
          <cell r="AB112">
            <v>4</v>
          </cell>
          <cell r="AC112">
            <v>203</v>
          </cell>
          <cell r="AD112">
            <v>4</v>
          </cell>
          <cell r="AE112">
            <v>190</v>
          </cell>
          <cell r="AF112">
            <v>4</v>
          </cell>
          <cell r="AG112">
            <v>279</v>
          </cell>
        </row>
        <row r="113">
          <cell r="A113" t="str">
            <v>Vagabond Inn</v>
          </cell>
          <cell r="D113">
            <v>0</v>
          </cell>
          <cell r="E113">
            <v>0</v>
          </cell>
          <cell r="F113">
            <v>0</v>
          </cell>
          <cell r="G113">
            <v>0</v>
          </cell>
          <cell r="H113">
            <v>0</v>
          </cell>
          <cell r="I113">
            <v>0</v>
          </cell>
          <cell r="J113">
            <v>0</v>
          </cell>
          <cell r="K113">
            <v>0</v>
          </cell>
          <cell r="L113">
            <v>0</v>
          </cell>
          <cell r="M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row>
        <row r="114">
          <cell r="A114" t="str">
            <v>Villager Lodge</v>
          </cell>
          <cell r="D114">
            <v>1</v>
          </cell>
          <cell r="E114">
            <v>0</v>
          </cell>
          <cell r="F114">
            <v>0</v>
          </cell>
          <cell r="G114">
            <v>0</v>
          </cell>
          <cell r="H114">
            <v>0</v>
          </cell>
          <cell r="I114">
            <v>0</v>
          </cell>
          <cell r="J114">
            <v>0</v>
          </cell>
          <cell r="K114">
            <v>0</v>
          </cell>
          <cell r="L114">
            <v>0</v>
          </cell>
          <cell r="M114">
            <v>0</v>
          </cell>
          <cell r="P114">
            <v>40</v>
          </cell>
          <cell r="Q114">
            <v>0</v>
          </cell>
          <cell r="R114">
            <v>0</v>
          </cell>
          <cell r="S114">
            <v>0</v>
          </cell>
          <cell r="T114">
            <v>0</v>
          </cell>
          <cell r="U114">
            <v>0</v>
          </cell>
          <cell r="V114">
            <v>0</v>
          </cell>
          <cell r="W114">
            <v>0</v>
          </cell>
          <cell r="X114">
            <v>0</v>
          </cell>
          <cell r="Y114">
            <v>0</v>
          </cell>
          <cell r="Z114">
            <v>2</v>
          </cell>
          <cell r="AA114">
            <v>136</v>
          </cell>
          <cell r="AB114">
            <v>0</v>
          </cell>
          <cell r="AC114">
            <v>0</v>
          </cell>
          <cell r="AD114">
            <v>1</v>
          </cell>
          <cell r="AE114">
            <v>33</v>
          </cell>
          <cell r="AF114">
            <v>1</v>
          </cell>
          <cell r="AG114">
            <v>182</v>
          </cell>
        </row>
        <row r="115">
          <cell r="A115" t="str">
            <v>W Hotel</v>
          </cell>
          <cell r="D115">
            <v>0</v>
          </cell>
          <cell r="E115">
            <v>0</v>
          </cell>
          <cell r="F115">
            <v>0</v>
          </cell>
          <cell r="G115">
            <v>1</v>
          </cell>
          <cell r="H115">
            <v>1</v>
          </cell>
          <cell r="I115">
            <v>0</v>
          </cell>
          <cell r="J115">
            <v>0</v>
          </cell>
          <cell r="K115">
            <v>0</v>
          </cell>
          <cell r="L115">
            <v>0</v>
          </cell>
          <cell r="M115">
            <v>0</v>
          </cell>
          <cell r="P115">
            <v>0</v>
          </cell>
          <cell r="Q115">
            <v>0</v>
          </cell>
          <cell r="R115">
            <v>0</v>
          </cell>
          <cell r="S115">
            <v>426</v>
          </cell>
          <cell r="T115">
            <v>423</v>
          </cell>
          <cell r="U115">
            <v>0</v>
          </cell>
          <cell r="V115">
            <v>0</v>
          </cell>
          <cell r="W115">
            <v>0</v>
          </cell>
          <cell r="X115">
            <v>0</v>
          </cell>
          <cell r="Y115">
            <v>0</v>
          </cell>
          <cell r="Z115">
            <v>0</v>
          </cell>
          <cell r="AA115">
            <v>0</v>
          </cell>
          <cell r="AB115">
            <v>0</v>
          </cell>
          <cell r="AC115">
            <v>0</v>
          </cell>
          <cell r="AD115">
            <v>0</v>
          </cell>
          <cell r="AE115">
            <v>0</v>
          </cell>
          <cell r="AF115">
            <v>0</v>
          </cell>
          <cell r="AG115">
            <v>0</v>
          </cell>
        </row>
        <row r="116">
          <cell r="A116" t="str">
            <v>Wellesley Inn</v>
          </cell>
          <cell r="D116">
            <v>0</v>
          </cell>
          <cell r="E116">
            <v>0</v>
          </cell>
          <cell r="F116">
            <v>1</v>
          </cell>
          <cell r="G116">
            <v>0</v>
          </cell>
          <cell r="H116">
            <v>0</v>
          </cell>
          <cell r="I116">
            <v>0</v>
          </cell>
          <cell r="J116">
            <v>0</v>
          </cell>
          <cell r="K116">
            <v>0</v>
          </cell>
          <cell r="L116">
            <v>0</v>
          </cell>
          <cell r="M116">
            <v>0</v>
          </cell>
          <cell r="P116">
            <v>0</v>
          </cell>
          <cell r="Q116">
            <v>0</v>
          </cell>
          <cell r="R116">
            <v>87</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row>
        <row r="117">
          <cell r="A117" t="str">
            <v>Westin  Hotel</v>
          </cell>
          <cell r="D117">
            <v>2</v>
          </cell>
          <cell r="E117">
            <v>0</v>
          </cell>
          <cell r="F117">
            <v>2</v>
          </cell>
          <cell r="G117">
            <v>1</v>
          </cell>
          <cell r="H117">
            <v>1</v>
          </cell>
          <cell r="I117">
            <v>0</v>
          </cell>
          <cell r="J117">
            <v>0</v>
          </cell>
          <cell r="K117">
            <v>0</v>
          </cell>
          <cell r="L117">
            <v>0</v>
          </cell>
          <cell r="M117">
            <v>0</v>
          </cell>
          <cell r="P117">
            <v>554</v>
          </cell>
          <cell r="Q117">
            <v>0</v>
          </cell>
          <cell r="R117">
            <v>877</v>
          </cell>
          <cell r="S117">
            <v>205</v>
          </cell>
          <cell r="T117">
            <v>508</v>
          </cell>
          <cell r="U117">
            <v>0</v>
          </cell>
          <cell r="V117">
            <v>0</v>
          </cell>
          <cell r="W117">
            <v>0</v>
          </cell>
          <cell r="X117">
            <v>0</v>
          </cell>
          <cell r="Y117">
            <v>0</v>
          </cell>
          <cell r="Z117">
            <v>0</v>
          </cell>
          <cell r="AA117">
            <v>0</v>
          </cell>
          <cell r="AB117">
            <v>0</v>
          </cell>
          <cell r="AC117">
            <v>0</v>
          </cell>
          <cell r="AD117">
            <v>0</v>
          </cell>
          <cell r="AE117">
            <v>0</v>
          </cell>
          <cell r="AF117">
            <v>0</v>
          </cell>
          <cell r="AG117">
            <v>0</v>
          </cell>
        </row>
        <row r="118">
          <cell r="A118" t="str">
            <v>Wilson Inn</v>
          </cell>
          <cell r="D118">
            <v>0</v>
          </cell>
          <cell r="E118">
            <v>0</v>
          </cell>
          <cell r="F118">
            <v>0</v>
          </cell>
          <cell r="G118">
            <v>0</v>
          </cell>
          <cell r="H118">
            <v>0</v>
          </cell>
          <cell r="I118">
            <v>0</v>
          </cell>
          <cell r="J118">
            <v>1</v>
          </cell>
          <cell r="K118">
            <v>0</v>
          </cell>
          <cell r="L118">
            <v>0</v>
          </cell>
          <cell r="M118">
            <v>0</v>
          </cell>
          <cell r="P118">
            <v>0</v>
          </cell>
          <cell r="Q118">
            <v>0</v>
          </cell>
          <cell r="R118">
            <v>0</v>
          </cell>
          <cell r="S118">
            <v>0</v>
          </cell>
          <cell r="T118">
            <v>0</v>
          </cell>
          <cell r="U118">
            <v>0</v>
          </cell>
          <cell r="V118">
            <v>111</v>
          </cell>
          <cell r="W118">
            <v>0</v>
          </cell>
          <cell r="X118">
            <v>0</v>
          </cell>
          <cell r="Y118">
            <v>0</v>
          </cell>
          <cell r="Z118">
            <v>0</v>
          </cell>
          <cell r="AA118">
            <v>0</v>
          </cell>
          <cell r="AB118">
            <v>0</v>
          </cell>
          <cell r="AC118">
            <v>0</v>
          </cell>
          <cell r="AD118">
            <v>0</v>
          </cell>
          <cell r="AE118">
            <v>0</v>
          </cell>
          <cell r="AF118">
            <v>0</v>
          </cell>
          <cell r="AG118">
            <v>0</v>
          </cell>
        </row>
        <row r="119">
          <cell r="A119" t="str">
            <v>Wingate Inn</v>
          </cell>
          <cell r="D119">
            <v>5</v>
          </cell>
          <cell r="E119">
            <v>9</v>
          </cell>
          <cell r="F119">
            <v>6</v>
          </cell>
          <cell r="G119">
            <v>6</v>
          </cell>
          <cell r="H119">
            <v>5</v>
          </cell>
          <cell r="I119">
            <v>6</v>
          </cell>
          <cell r="J119">
            <v>8</v>
          </cell>
          <cell r="K119">
            <v>8</v>
          </cell>
          <cell r="L119">
            <v>6</v>
          </cell>
          <cell r="M119">
            <v>8</v>
          </cell>
          <cell r="P119">
            <v>446</v>
          </cell>
          <cell r="Q119">
            <v>898</v>
          </cell>
          <cell r="R119">
            <v>572</v>
          </cell>
          <cell r="S119">
            <v>528</v>
          </cell>
          <cell r="T119">
            <v>483</v>
          </cell>
          <cell r="U119">
            <v>540</v>
          </cell>
          <cell r="V119">
            <v>748</v>
          </cell>
          <cell r="W119">
            <v>771</v>
          </cell>
          <cell r="X119">
            <v>505</v>
          </cell>
          <cell r="Y119">
            <v>784</v>
          </cell>
          <cell r="Z119">
            <v>6</v>
          </cell>
          <cell r="AA119">
            <v>567</v>
          </cell>
          <cell r="AB119">
            <v>7</v>
          </cell>
          <cell r="AC119">
            <v>660</v>
          </cell>
          <cell r="AD119">
            <v>2</v>
          </cell>
          <cell r="AE119">
            <v>184</v>
          </cell>
          <cell r="AF119">
            <v>3</v>
          </cell>
          <cell r="AG119">
            <v>242</v>
          </cell>
        </row>
        <row r="120">
          <cell r="A120" t="str">
            <v>Woodfield Suites</v>
          </cell>
          <cell r="D120">
            <v>0</v>
          </cell>
          <cell r="E120">
            <v>0</v>
          </cell>
          <cell r="F120">
            <v>1</v>
          </cell>
          <cell r="G120">
            <v>0</v>
          </cell>
          <cell r="H120">
            <v>0</v>
          </cell>
          <cell r="I120">
            <v>1</v>
          </cell>
          <cell r="J120">
            <v>0</v>
          </cell>
          <cell r="K120">
            <v>0</v>
          </cell>
          <cell r="L120">
            <v>0</v>
          </cell>
          <cell r="M120">
            <v>0</v>
          </cell>
          <cell r="P120">
            <v>0</v>
          </cell>
          <cell r="Q120">
            <v>0</v>
          </cell>
          <cell r="R120">
            <v>155</v>
          </cell>
          <cell r="S120">
            <v>0</v>
          </cell>
          <cell r="T120">
            <v>0</v>
          </cell>
          <cell r="U120">
            <v>127</v>
          </cell>
          <cell r="V120">
            <v>0</v>
          </cell>
          <cell r="W120">
            <v>0</v>
          </cell>
          <cell r="X120">
            <v>0</v>
          </cell>
          <cell r="Y120">
            <v>0</v>
          </cell>
          <cell r="Z120">
            <v>0</v>
          </cell>
          <cell r="AA120">
            <v>0</v>
          </cell>
          <cell r="AB120">
            <v>1</v>
          </cell>
          <cell r="AC120">
            <v>120</v>
          </cell>
          <cell r="AD120">
            <v>0</v>
          </cell>
          <cell r="AE120">
            <v>0</v>
          </cell>
          <cell r="AF120">
            <v>1</v>
          </cell>
          <cell r="AG120">
            <v>151</v>
          </cell>
        </row>
        <row r="121">
          <cell r="A121" t="str">
            <v>Woodfin Suites</v>
          </cell>
          <cell r="D121">
            <v>0</v>
          </cell>
          <cell r="E121">
            <v>0</v>
          </cell>
          <cell r="F121">
            <v>1</v>
          </cell>
          <cell r="G121">
            <v>0</v>
          </cell>
          <cell r="H121">
            <v>0</v>
          </cell>
          <cell r="I121">
            <v>0</v>
          </cell>
          <cell r="J121">
            <v>0</v>
          </cell>
          <cell r="K121">
            <v>0</v>
          </cell>
          <cell r="L121">
            <v>0</v>
          </cell>
          <cell r="M121">
            <v>0</v>
          </cell>
          <cell r="P121">
            <v>0</v>
          </cell>
          <cell r="Q121">
            <v>0</v>
          </cell>
          <cell r="R121">
            <v>156</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row>
        <row r="122">
          <cell r="A122" t="str">
            <v xml:space="preserve">Wyndham Garden </v>
          </cell>
          <cell r="D122">
            <v>0</v>
          </cell>
          <cell r="E122">
            <v>0</v>
          </cell>
          <cell r="F122">
            <v>1</v>
          </cell>
          <cell r="G122">
            <v>0</v>
          </cell>
          <cell r="H122">
            <v>1</v>
          </cell>
          <cell r="I122">
            <v>0</v>
          </cell>
          <cell r="J122">
            <v>1</v>
          </cell>
          <cell r="K122">
            <v>1</v>
          </cell>
          <cell r="L122">
            <v>0</v>
          </cell>
          <cell r="M122">
            <v>0</v>
          </cell>
          <cell r="P122">
            <v>0</v>
          </cell>
          <cell r="Q122">
            <v>0</v>
          </cell>
          <cell r="R122">
            <v>180</v>
          </cell>
          <cell r="S122">
            <v>0</v>
          </cell>
          <cell r="T122">
            <v>210</v>
          </cell>
          <cell r="U122">
            <v>0</v>
          </cell>
          <cell r="V122">
            <v>197</v>
          </cell>
          <cell r="W122">
            <v>198</v>
          </cell>
          <cell r="X122">
            <v>0</v>
          </cell>
          <cell r="Y122">
            <v>0</v>
          </cell>
          <cell r="Z122">
            <v>0</v>
          </cell>
          <cell r="AA122">
            <v>0</v>
          </cell>
          <cell r="AB122">
            <v>0</v>
          </cell>
          <cell r="AC122">
            <v>0</v>
          </cell>
          <cell r="AD122">
            <v>3</v>
          </cell>
          <cell r="AE122">
            <v>543</v>
          </cell>
          <cell r="AF122">
            <v>0</v>
          </cell>
          <cell r="AG122">
            <v>0</v>
          </cell>
        </row>
        <row r="123">
          <cell r="A123" t="str">
            <v>Wyndham Hotel</v>
          </cell>
          <cell r="D123">
            <v>0</v>
          </cell>
          <cell r="E123">
            <v>0</v>
          </cell>
          <cell r="F123">
            <v>0</v>
          </cell>
          <cell r="G123">
            <v>1</v>
          </cell>
          <cell r="H123">
            <v>1</v>
          </cell>
          <cell r="I123">
            <v>0</v>
          </cell>
          <cell r="J123">
            <v>1</v>
          </cell>
          <cell r="K123">
            <v>0</v>
          </cell>
          <cell r="L123">
            <v>0</v>
          </cell>
          <cell r="M123">
            <v>0</v>
          </cell>
          <cell r="P123">
            <v>0</v>
          </cell>
          <cell r="Q123">
            <v>0</v>
          </cell>
          <cell r="R123">
            <v>0</v>
          </cell>
          <cell r="S123">
            <v>362</v>
          </cell>
          <cell r="T123">
            <v>418</v>
          </cell>
          <cell r="U123">
            <v>0</v>
          </cell>
          <cell r="V123">
            <v>116</v>
          </cell>
          <cell r="W123">
            <v>0</v>
          </cell>
          <cell r="X123">
            <v>0</v>
          </cell>
          <cell r="Y123">
            <v>0</v>
          </cell>
          <cell r="Z123">
            <v>0</v>
          </cell>
          <cell r="AA123">
            <v>0</v>
          </cell>
          <cell r="AB123">
            <v>0</v>
          </cell>
          <cell r="AC123">
            <v>0</v>
          </cell>
          <cell r="AD123">
            <v>0</v>
          </cell>
          <cell r="AE123">
            <v>0</v>
          </cell>
          <cell r="AF123">
            <v>0</v>
          </cell>
          <cell r="AG123">
            <v>0</v>
          </cell>
        </row>
        <row r="124">
          <cell r="A124" t="str">
            <v>zIndependent Hotel</v>
          </cell>
          <cell r="D124">
            <v>19</v>
          </cell>
          <cell r="E124">
            <v>22</v>
          </cell>
          <cell r="F124">
            <v>13</v>
          </cell>
          <cell r="G124">
            <v>23</v>
          </cell>
          <cell r="H124">
            <v>27</v>
          </cell>
          <cell r="I124">
            <v>22</v>
          </cell>
          <cell r="J124">
            <v>30</v>
          </cell>
          <cell r="K124">
            <v>25</v>
          </cell>
          <cell r="L124">
            <v>30</v>
          </cell>
          <cell r="M124">
            <v>11</v>
          </cell>
          <cell r="P124">
            <v>2313</v>
          </cell>
          <cell r="Q124">
            <v>2498</v>
          </cell>
          <cell r="R124">
            <v>1597</v>
          </cell>
          <cell r="S124">
            <v>3535</v>
          </cell>
          <cell r="T124">
            <v>2891</v>
          </cell>
          <cell r="U124">
            <v>4696</v>
          </cell>
          <cell r="V124">
            <v>3465</v>
          </cell>
          <cell r="W124">
            <v>2945</v>
          </cell>
          <cell r="X124">
            <v>3526</v>
          </cell>
          <cell r="Y124">
            <v>1209</v>
          </cell>
          <cell r="Z124">
            <v>12</v>
          </cell>
          <cell r="AA124">
            <v>1323</v>
          </cell>
          <cell r="AB124">
            <v>20</v>
          </cell>
          <cell r="AC124">
            <v>3748</v>
          </cell>
          <cell r="AD124">
            <v>31</v>
          </cell>
          <cell r="AE124">
            <v>3739</v>
          </cell>
          <cell r="AF124">
            <v>14</v>
          </cell>
          <cell r="AG124">
            <v>1399</v>
          </cell>
        </row>
      </sheetData>
      <sheetData sheetId="1" refreshError="1">
        <row r="5">
          <cell r="A5" t="str">
            <v>Adam's Mark</v>
          </cell>
          <cell r="F5">
            <v>1</v>
          </cell>
          <cell r="G5">
            <v>415</v>
          </cell>
          <cell r="H5">
            <v>2</v>
          </cell>
          <cell r="I5">
            <v>825</v>
          </cell>
          <cell r="J5">
            <v>1</v>
          </cell>
          <cell r="K5">
            <v>1339</v>
          </cell>
          <cell r="L5">
            <v>1</v>
          </cell>
          <cell r="M5">
            <v>13</v>
          </cell>
          <cell r="N5" t="str">
            <v>-</v>
          </cell>
          <cell r="O5" t="str">
            <v>-</v>
          </cell>
          <cell r="P5" t="str">
            <v>-</v>
          </cell>
          <cell r="Q5" t="str">
            <v>-</v>
          </cell>
          <cell r="R5" t="str">
            <v>-</v>
          </cell>
          <cell r="S5" t="str">
            <v>-</v>
          </cell>
          <cell r="T5" t="str">
            <v>-</v>
          </cell>
          <cell r="U5" t="str">
            <v>-</v>
          </cell>
        </row>
        <row r="6">
          <cell r="A6" t="str">
            <v>AFFILIATION UNDETERMINED</v>
          </cell>
          <cell r="F6">
            <v>41</v>
          </cell>
          <cell r="G6">
            <v>12554</v>
          </cell>
          <cell r="J6">
            <v>0</v>
          </cell>
          <cell r="K6">
            <v>0</v>
          </cell>
        </row>
        <row r="7">
          <cell r="A7" t="str">
            <v>AmericInn</v>
          </cell>
          <cell r="B7">
            <v>4</v>
          </cell>
          <cell r="C7">
            <v>5</v>
          </cell>
          <cell r="D7">
            <v>7</v>
          </cell>
          <cell r="E7">
            <v>8</v>
          </cell>
          <cell r="F7">
            <v>24</v>
          </cell>
          <cell r="G7">
            <v>1166</v>
          </cell>
          <cell r="H7">
            <v>12</v>
          </cell>
          <cell r="I7">
            <v>588</v>
          </cell>
          <cell r="J7">
            <v>21</v>
          </cell>
          <cell r="K7">
            <v>1210</v>
          </cell>
          <cell r="L7">
            <v>18</v>
          </cell>
          <cell r="M7">
            <v>972</v>
          </cell>
          <cell r="N7" t="str">
            <v>-</v>
          </cell>
          <cell r="O7" t="str">
            <v>-</v>
          </cell>
          <cell r="P7" t="str">
            <v>-</v>
          </cell>
          <cell r="Q7" t="str">
            <v>-</v>
          </cell>
          <cell r="R7" t="str">
            <v>-</v>
          </cell>
          <cell r="S7" t="str">
            <v>-</v>
          </cell>
          <cell r="T7" t="str">
            <v>-</v>
          </cell>
          <cell r="U7" t="str">
            <v>-</v>
          </cell>
        </row>
        <row r="8">
          <cell r="A8" t="str">
            <v>AmeriHost Inn</v>
          </cell>
          <cell r="F8">
            <v>18</v>
          </cell>
          <cell r="G8">
            <v>1086</v>
          </cell>
          <cell r="H8">
            <v>23</v>
          </cell>
          <cell r="I8">
            <v>1421</v>
          </cell>
          <cell r="J8">
            <v>10</v>
          </cell>
          <cell r="K8">
            <v>639</v>
          </cell>
          <cell r="L8">
            <v>6</v>
          </cell>
          <cell r="M8">
            <v>383</v>
          </cell>
          <cell r="N8" t="str">
            <v>-</v>
          </cell>
          <cell r="O8" t="str">
            <v>-</v>
          </cell>
          <cell r="P8" t="str">
            <v>-</v>
          </cell>
          <cell r="Q8" t="str">
            <v>-</v>
          </cell>
          <cell r="R8" t="str">
            <v>-</v>
          </cell>
          <cell r="S8" t="str">
            <v>-</v>
          </cell>
          <cell r="T8" t="str">
            <v>-</v>
          </cell>
          <cell r="U8" t="str">
            <v>-</v>
          </cell>
        </row>
        <row r="9">
          <cell r="A9" t="str">
            <v>AmeriSuites</v>
          </cell>
          <cell r="B9">
            <v>2</v>
          </cell>
          <cell r="C9">
            <v>1</v>
          </cell>
          <cell r="D9">
            <v>4</v>
          </cell>
          <cell r="E9">
            <v>2</v>
          </cell>
          <cell r="F9">
            <v>15</v>
          </cell>
          <cell r="G9">
            <v>1857</v>
          </cell>
          <cell r="H9">
            <v>44</v>
          </cell>
          <cell r="I9">
            <v>4925</v>
          </cell>
          <cell r="J9">
            <v>20</v>
          </cell>
          <cell r="K9">
            <v>2721</v>
          </cell>
          <cell r="L9">
            <v>13</v>
          </cell>
          <cell r="M9">
            <v>1655</v>
          </cell>
          <cell r="N9" t="str">
            <v>-</v>
          </cell>
          <cell r="O9" t="str">
            <v>-</v>
          </cell>
          <cell r="P9" t="str">
            <v>-</v>
          </cell>
          <cell r="Q9" t="str">
            <v>-</v>
          </cell>
          <cell r="R9" t="str">
            <v>-</v>
          </cell>
          <cell r="S9" t="str">
            <v>-</v>
          </cell>
          <cell r="T9" t="str">
            <v>-</v>
          </cell>
          <cell r="U9" t="str">
            <v>-</v>
          </cell>
        </row>
        <row r="10">
          <cell r="A10" t="str">
            <v>Baymont Inn</v>
          </cell>
          <cell r="B10">
            <v>6</v>
          </cell>
          <cell r="C10">
            <v>5</v>
          </cell>
          <cell r="D10">
            <v>6</v>
          </cell>
          <cell r="E10">
            <v>13</v>
          </cell>
          <cell r="F10">
            <v>17</v>
          </cell>
          <cell r="G10">
            <v>1712</v>
          </cell>
          <cell r="H10">
            <v>15</v>
          </cell>
          <cell r="I10">
            <v>1339</v>
          </cell>
          <cell r="J10">
            <v>12</v>
          </cell>
          <cell r="K10">
            <v>1088</v>
          </cell>
          <cell r="L10">
            <v>14</v>
          </cell>
          <cell r="M10">
            <v>1132</v>
          </cell>
          <cell r="N10" t="str">
            <v>-</v>
          </cell>
          <cell r="O10" t="str">
            <v>-</v>
          </cell>
          <cell r="P10" t="str">
            <v>-</v>
          </cell>
          <cell r="Q10" t="str">
            <v>-</v>
          </cell>
          <cell r="R10" t="str">
            <v>-</v>
          </cell>
          <cell r="S10" t="str">
            <v>-</v>
          </cell>
          <cell r="T10" t="str">
            <v>-</v>
          </cell>
          <cell r="U10" t="str">
            <v>-</v>
          </cell>
        </row>
        <row r="11">
          <cell r="A11" t="str">
            <v>Best Inn &amp; Suites</v>
          </cell>
          <cell r="F11">
            <v>3</v>
          </cell>
          <cell r="G11">
            <v>277</v>
          </cell>
          <cell r="L11">
            <v>8</v>
          </cell>
          <cell r="M11">
            <v>617</v>
          </cell>
          <cell r="N11" t="str">
            <v>-</v>
          </cell>
          <cell r="O11" t="str">
            <v>-</v>
          </cell>
          <cell r="P11" t="str">
            <v>-</v>
          </cell>
          <cell r="Q11" t="str">
            <v>-</v>
          </cell>
          <cell r="R11" t="str">
            <v>-</v>
          </cell>
          <cell r="S11" t="str">
            <v>-</v>
          </cell>
          <cell r="T11" t="str">
            <v>-</v>
          </cell>
          <cell r="U11" t="str">
            <v>-</v>
          </cell>
        </row>
        <row r="12">
          <cell r="A12" t="str">
            <v>Best Western</v>
          </cell>
          <cell r="B12">
            <v>25</v>
          </cell>
          <cell r="C12">
            <v>34</v>
          </cell>
          <cell r="D12">
            <v>34</v>
          </cell>
          <cell r="E12">
            <v>51</v>
          </cell>
          <cell r="F12">
            <v>49</v>
          </cell>
          <cell r="G12">
            <v>2990</v>
          </cell>
          <cell r="H12">
            <v>80</v>
          </cell>
          <cell r="I12">
            <v>4659</v>
          </cell>
          <cell r="J12">
            <v>50</v>
          </cell>
          <cell r="K12">
            <v>3330</v>
          </cell>
          <cell r="L12">
            <v>53</v>
          </cell>
          <cell r="M12">
            <v>3286</v>
          </cell>
          <cell r="N12" t="str">
            <v>-</v>
          </cell>
          <cell r="O12" t="str">
            <v>-</v>
          </cell>
          <cell r="P12" t="str">
            <v>-</v>
          </cell>
          <cell r="Q12" t="str">
            <v>-</v>
          </cell>
          <cell r="R12" t="str">
            <v>-</v>
          </cell>
          <cell r="S12" t="str">
            <v>-</v>
          </cell>
          <cell r="T12" t="str">
            <v>-</v>
          </cell>
          <cell r="U12" t="str">
            <v>-</v>
          </cell>
        </row>
        <row r="13">
          <cell r="A13" t="str">
            <v>Bradford Homesuites</v>
          </cell>
          <cell r="H13">
            <v>3</v>
          </cell>
          <cell r="I13">
            <v>394</v>
          </cell>
          <cell r="J13">
            <v>1</v>
          </cell>
          <cell r="K13">
            <v>121</v>
          </cell>
          <cell r="L13">
            <v>2</v>
          </cell>
          <cell r="M13">
            <v>261</v>
          </cell>
          <cell r="N13" t="str">
            <v>-</v>
          </cell>
          <cell r="O13" t="str">
            <v>-</v>
          </cell>
          <cell r="P13" t="str">
            <v>-</v>
          </cell>
          <cell r="Q13" t="str">
            <v>-</v>
          </cell>
          <cell r="R13" t="str">
            <v>-</v>
          </cell>
          <cell r="S13" t="str">
            <v>-</v>
          </cell>
          <cell r="T13" t="str">
            <v>-</v>
          </cell>
          <cell r="U13" t="str">
            <v>-</v>
          </cell>
        </row>
        <row r="14">
          <cell r="A14" t="str">
            <v>Bradford Homesuites**</v>
          </cell>
          <cell r="L14">
            <v>2</v>
          </cell>
          <cell r="M14">
            <v>261</v>
          </cell>
        </row>
        <row r="15">
          <cell r="A15" t="str">
            <v>Budget Host</v>
          </cell>
          <cell r="F15">
            <v>1</v>
          </cell>
          <cell r="G15">
            <v>27</v>
          </cell>
          <cell r="L15">
            <v>2</v>
          </cell>
          <cell r="M15">
            <v>35</v>
          </cell>
          <cell r="N15" t="str">
            <v>-</v>
          </cell>
          <cell r="O15" t="str">
            <v>-</v>
          </cell>
          <cell r="P15" t="str">
            <v>-</v>
          </cell>
          <cell r="Q15" t="str">
            <v>-</v>
          </cell>
          <cell r="R15" t="str">
            <v>-</v>
          </cell>
          <cell r="S15" t="str">
            <v>-</v>
          </cell>
          <cell r="T15" t="str">
            <v>-</v>
          </cell>
          <cell r="U15" t="str">
            <v>-</v>
          </cell>
        </row>
        <row r="16">
          <cell r="A16" t="str">
            <v>Budget Inn</v>
          </cell>
          <cell r="L16">
            <v>1</v>
          </cell>
          <cell r="M16">
            <v>24</v>
          </cell>
        </row>
        <row r="17">
          <cell r="A17" t="str">
            <v>Budget Suites of America</v>
          </cell>
          <cell r="J17">
            <v>2</v>
          </cell>
          <cell r="K17">
            <v>636</v>
          </cell>
          <cell r="L17">
            <v>7</v>
          </cell>
          <cell r="M17">
            <v>2454</v>
          </cell>
          <cell r="N17" t="str">
            <v>-</v>
          </cell>
          <cell r="O17" t="str">
            <v>-</v>
          </cell>
          <cell r="P17" t="str">
            <v>-</v>
          </cell>
          <cell r="Q17" t="str">
            <v>-</v>
          </cell>
          <cell r="R17" t="str">
            <v>-</v>
          </cell>
          <cell r="S17" t="str">
            <v>-</v>
          </cell>
          <cell r="T17" t="str">
            <v>-</v>
          </cell>
          <cell r="U17" t="str">
            <v>-</v>
          </cell>
        </row>
        <row r="18">
          <cell r="A18" t="str">
            <v>Candlewood Suites</v>
          </cell>
          <cell r="F18">
            <v>1</v>
          </cell>
          <cell r="G18">
            <v>107</v>
          </cell>
          <cell r="H18">
            <v>21</v>
          </cell>
          <cell r="I18">
            <v>2029</v>
          </cell>
          <cell r="J18">
            <v>47</v>
          </cell>
          <cell r="K18">
            <v>5566</v>
          </cell>
          <cell r="L18">
            <v>13</v>
          </cell>
          <cell r="M18">
            <v>1582</v>
          </cell>
          <cell r="N18" t="str">
            <v>-</v>
          </cell>
          <cell r="O18" t="str">
            <v>-</v>
          </cell>
          <cell r="P18" t="str">
            <v>-</v>
          </cell>
          <cell r="Q18" t="str">
            <v>-</v>
          </cell>
          <cell r="R18" t="str">
            <v>-</v>
          </cell>
          <cell r="S18" t="str">
            <v>-</v>
          </cell>
          <cell r="T18" t="str">
            <v>-</v>
          </cell>
          <cell r="U18" t="str">
            <v>-</v>
          </cell>
        </row>
        <row r="19">
          <cell r="A19" t="str">
            <v>CASINOS</v>
          </cell>
          <cell r="B19" t="str">
            <v>-NA-</v>
          </cell>
          <cell r="C19" t="str">
            <v>-NA-</v>
          </cell>
          <cell r="D19" t="str">
            <v>-NA-</v>
          </cell>
          <cell r="E19" t="str">
            <v>-NA-</v>
          </cell>
          <cell r="F19">
            <v>4</v>
          </cell>
          <cell r="G19">
            <v>3962</v>
          </cell>
          <cell r="H19">
            <v>6</v>
          </cell>
          <cell r="I19">
            <v>4715</v>
          </cell>
          <cell r="J19">
            <v>13</v>
          </cell>
          <cell r="K19">
            <v>7301</v>
          </cell>
          <cell r="L19">
            <v>12</v>
          </cell>
          <cell r="M19">
            <v>13668</v>
          </cell>
          <cell r="N19" t="str">
            <v>-</v>
          </cell>
          <cell r="O19" t="str">
            <v>-</v>
          </cell>
          <cell r="P19" t="str">
            <v>-</v>
          </cell>
          <cell r="Q19" t="str">
            <v>-</v>
          </cell>
          <cell r="R19" t="str">
            <v>-</v>
          </cell>
          <cell r="S19" t="str">
            <v>-</v>
          </cell>
          <cell r="T19" t="str">
            <v>-</v>
          </cell>
          <cell r="U19" t="str">
            <v>-</v>
          </cell>
        </row>
        <row r="20">
          <cell r="A20" t="str">
            <v>Clarion</v>
          </cell>
          <cell r="C20">
            <v>2</v>
          </cell>
          <cell r="D20">
            <v>1</v>
          </cell>
          <cell r="E20">
            <v>1</v>
          </cell>
          <cell r="F20">
            <v>1</v>
          </cell>
          <cell r="G20">
            <v>49</v>
          </cell>
          <cell r="H20">
            <v>4</v>
          </cell>
          <cell r="I20">
            <v>430</v>
          </cell>
          <cell r="J20">
            <v>4</v>
          </cell>
          <cell r="K20">
            <v>436</v>
          </cell>
          <cell r="L20">
            <v>2</v>
          </cell>
          <cell r="M20">
            <v>163</v>
          </cell>
          <cell r="N20" t="str">
            <v>-</v>
          </cell>
          <cell r="O20" t="str">
            <v>-</v>
          </cell>
          <cell r="P20" t="str">
            <v>-</v>
          </cell>
          <cell r="Q20" t="str">
            <v>-</v>
          </cell>
          <cell r="R20" t="str">
            <v>-</v>
          </cell>
          <cell r="S20" t="str">
            <v>-</v>
          </cell>
          <cell r="T20" t="str">
            <v>-</v>
          </cell>
          <cell r="U20" t="str">
            <v>-</v>
          </cell>
        </row>
        <row r="21">
          <cell r="A21" t="str">
            <v>Club Hotel by Doubletree</v>
          </cell>
          <cell r="F21">
            <v>1</v>
          </cell>
          <cell r="G21">
            <v>200</v>
          </cell>
          <cell r="H21">
            <v>1</v>
          </cell>
          <cell r="I21">
            <v>200</v>
          </cell>
          <cell r="J21">
            <v>4</v>
          </cell>
          <cell r="K21">
            <v>841</v>
          </cell>
          <cell r="L21">
            <v>3</v>
          </cell>
          <cell r="M21">
            <v>603</v>
          </cell>
          <cell r="N21" t="str">
            <v>-</v>
          </cell>
          <cell r="O21" t="str">
            <v>-</v>
          </cell>
          <cell r="P21" t="str">
            <v>-</v>
          </cell>
          <cell r="Q21" t="str">
            <v>-</v>
          </cell>
          <cell r="R21" t="str">
            <v>-</v>
          </cell>
          <cell r="S21" t="str">
            <v>-</v>
          </cell>
          <cell r="T21" t="str">
            <v>-</v>
          </cell>
          <cell r="U21" t="str">
            <v>-</v>
          </cell>
        </row>
        <row r="22">
          <cell r="A22" t="str">
            <v>Comfort Inn</v>
          </cell>
          <cell r="B22">
            <v>60</v>
          </cell>
          <cell r="C22">
            <v>60</v>
          </cell>
          <cell r="D22">
            <v>73</v>
          </cell>
          <cell r="E22">
            <v>85</v>
          </cell>
          <cell r="F22">
            <v>98</v>
          </cell>
          <cell r="G22">
            <v>5943</v>
          </cell>
          <cell r="H22">
            <v>67</v>
          </cell>
          <cell r="I22">
            <v>3936</v>
          </cell>
          <cell r="J22">
            <v>39</v>
          </cell>
          <cell r="K22">
            <v>2429</v>
          </cell>
          <cell r="L22">
            <v>50</v>
          </cell>
          <cell r="M22">
            <v>3211</v>
          </cell>
          <cell r="N22" t="str">
            <v>-</v>
          </cell>
          <cell r="O22" t="str">
            <v>-</v>
          </cell>
          <cell r="P22" t="str">
            <v>-</v>
          </cell>
          <cell r="Q22" t="str">
            <v>-</v>
          </cell>
          <cell r="R22" t="str">
            <v>-</v>
          </cell>
          <cell r="S22" t="str">
            <v>-</v>
          </cell>
          <cell r="T22" t="str">
            <v>-</v>
          </cell>
          <cell r="U22" t="str">
            <v>-</v>
          </cell>
        </row>
        <row r="23">
          <cell r="A23" t="str">
            <v>Comfort Suites</v>
          </cell>
          <cell r="F23">
            <v>26</v>
          </cell>
          <cell r="G23">
            <v>1760</v>
          </cell>
          <cell r="H23">
            <v>42</v>
          </cell>
          <cell r="I23">
            <v>3458</v>
          </cell>
          <cell r="J23">
            <v>29</v>
          </cell>
          <cell r="K23">
            <v>2217</v>
          </cell>
          <cell r="L23">
            <v>37</v>
          </cell>
          <cell r="M23">
            <v>2911</v>
          </cell>
          <cell r="N23" t="str">
            <v>-</v>
          </cell>
          <cell r="O23" t="str">
            <v>-</v>
          </cell>
          <cell r="P23" t="str">
            <v>-</v>
          </cell>
          <cell r="Q23" t="str">
            <v>-</v>
          </cell>
          <cell r="R23" t="str">
            <v>-</v>
          </cell>
          <cell r="S23" t="str">
            <v>-</v>
          </cell>
          <cell r="T23" t="str">
            <v>-</v>
          </cell>
          <cell r="U23" t="str">
            <v>-</v>
          </cell>
        </row>
        <row r="24">
          <cell r="A24" t="str">
            <v>Country Hearth Inn</v>
          </cell>
          <cell r="E24">
            <v>1</v>
          </cell>
          <cell r="F24">
            <v>2</v>
          </cell>
          <cell r="G24">
            <v>101</v>
          </cell>
          <cell r="H24">
            <v>6</v>
          </cell>
          <cell r="I24">
            <v>312</v>
          </cell>
          <cell r="J24">
            <v>5</v>
          </cell>
          <cell r="K24">
            <v>254</v>
          </cell>
          <cell r="L24">
            <v>10</v>
          </cell>
          <cell r="M24">
            <v>477</v>
          </cell>
          <cell r="N24" t="str">
            <v>-</v>
          </cell>
          <cell r="O24" t="str">
            <v>-</v>
          </cell>
          <cell r="P24" t="str">
            <v>-</v>
          </cell>
          <cell r="Q24" t="str">
            <v>-</v>
          </cell>
          <cell r="R24" t="str">
            <v>-</v>
          </cell>
          <cell r="S24" t="str">
            <v>-</v>
          </cell>
          <cell r="T24" t="str">
            <v>-</v>
          </cell>
          <cell r="U24" t="str">
            <v>-</v>
          </cell>
        </row>
        <row r="25">
          <cell r="A25" t="str">
            <v>Country Inn &amp; Suites</v>
          </cell>
          <cell r="B25">
            <v>1</v>
          </cell>
          <cell r="C25">
            <v>4</v>
          </cell>
          <cell r="D25">
            <v>7</v>
          </cell>
          <cell r="E25">
            <v>18</v>
          </cell>
          <cell r="F25">
            <v>19</v>
          </cell>
          <cell r="G25">
            <v>1147</v>
          </cell>
          <cell r="H25">
            <v>32</v>
          </cell>
          <cell r="I25">
            <v>2184</v>
          </cell>
          <cell r="J25">
            <v>43</v>
          </cell>
          <cell r="K25">
            <v>2938</v>
          </cell>
          <cell r="L25">
            <v>35</v>
          </cell>
          <cell r="M25">
            <v>2471</v>
          </cell>
          <cell r="N25" t="str">
            <v>-</v>
          </cell>
          <cell r="O25" t="str">
            <v>-</v>
          </cell>
          <cell r="P25" t="str">
            <v>-</v>
          </cell>
          <cell r="Q25" t="str">
            <v>-</v>
          </cell>
          <cell r="R25" t="str">
            <v>-</v>
          </cell>
          <cell r="S25" t="str">
            <v>-</v>
          </cell>
          <cell r="T25" t="str">
            <v>-</v>
          </cell>
          <cell r="U25" t="str">
            <v>-</v>
          </cell>
        </row>
        <row r="26">
          <cell r="A26" t="str">
            <v>Courtyard by Marriott</v>
          </cell>
          <cell r="B26">
            <v>3</v>
          </cell>
          <cell r="C26">
            <v>2</v>
          </cell>
          <cell r="D26">
            <v>5</v>
          </cell>
          <cell r="E26">
            <v>15</v>
          </cell>
          <cell r="F26">
            <v>32</v>
          </cell>
          <cell r="G26">
            <v>3476</v>
          </cell>
          <cell r="H26">
            <v>49</v>
          </cell>
          <cell r="I26">
            <v>5240</v>
          </cell>
          <cell r="J26">
            <v>45</v>
          </cell>
          <cell r="K26">
            <v>5694</v>
          </cell>
          <cell r="L26">
            <v>50</v>
          </cell>
          <cell r="M26">
            <v>7353</v>
          </cell>
          <cell r="N26" t="str">
            <v>-</v>
          </cell>
          <cell r="O26" t="str">
            <v>-</v>
          </cell>
          <cell r="P26" t="str">
            <v>-</v>
          </cell>
          <cell r="Q26" t="str">
            <v>-</v>
          </cell>
          <cell r="R26" t="str">
            <v>-</v>
          </cell>
          <cell r="S26" t="str">
            <v>-</v>
          </cell>
          <cell r="T26" t="str">
            <v>-</v>
          </cell>
          <cell r="U26" t="str">
            <v>-</v>
          </cell>
        </row>
        <row r="27">
          <cell r="A27" t="str">
            <v>Crossland Economy Studios</v>
          </cell>
          <cell r="H27">
            <v>6</v>
          </cell>
          <cell r="I27">
            <v>719</v>
          </cell>
          <cell r="J27">
            <v>30</v>
          </cell>
          <cell r="K27">
            <v>3860</v>
          </cell>
          <cell r="L27">
            <v>5</v>
          </cell>
          <cell r="M27">
            <v>663</v>
          </cell>
          <cell r="N27" t="str">
            <v>-</v>
          </cell>
          <cell r="O27" t="str">
            <v>-</v>
          </cell>
          <cell r="P27" t="str">
            <v>-</v>
          </cell>
          <cell r="Q27" t="str">
            <v>-</v>
          </cell>
          <cell r="R27" t="str">
            <v>-</v>
          </cell>
          <cell r="S27" t="str">
            <v>-</v>
          </cell>
          <cell r="T27" t="str">
            <v>-</v>
          </cell>
          <cell r="U27" t="str">
            <v>-</v>
          </cell>
        </row>
        <row r="28">
          <cell r="A28" t="str">
            <v>Crowne Plaza</v>
          </cell>
          <cell r="D28">
            <v>1</v>
          </cell>
          <cell r="E28">
            <v>2</v>
          </cell>
          <cell r="F28">
            <v>1</v>
          </cell>
          <cell r="G28">
            <v>318</v>
          </cell>
          <cell r="H28">
            <v>1</v>
          </cell>
          <cell r="I28">
            <v>288</v>
          </cell>
          <cell r="J28">
            <v>3</v>
          </cell>
          <cell r="K28">
            <v>583</v>
          </cell>
          <cell r="L28">
            <v>1</v>
          </cell>
          <cell r="M28">
            <v>140</v>
          </cell>
          <cell r="N28" t="str">
            <v>-</v>
          </cell>
          <cell r="O28" t="str">
            <v>-</v>
          </cell>
          <cell r="P28" t="str">
            <v>-</v>
          </cell>
          <cell r="Q28" t="str">
            <v>-</v>
          </cell>
          <cell r="R28" t="str">
            <v>-</v>
          </cell>
          <cell r="S28" t="str">
            <v>-</v>
          </cell>
          <cell r="T28" t="str">
            <v>-</v>
          </cell>
          <cell r="U28" t="str">
            <v>-</v>
          </cell>
        </row>
        <row r="29">
          <cell r="A29" t="str">
            <v>Days Inn</v>
          </cell>
          <cell r="B29">
            <v>45</v>
          </cell>
          <cell r="C29">
            <v>35</v>
          </cell>
          <cell r="D29">
            <v>43</v>
          </cell>
          <cell r="E29">
            <v>55</v>
          </cell>
          <cell r="F29">
            <v>44</v>
          </cell>
          <cell r="G29">
            <v>2221</v>
          </cell>
          <cell r="H29">
            <v>43</v>
          </cell>
          <cell r="I29">
            <v>2202</v>
          </cell>
          <cell r="J29">
            <v>27</v>
          </cell>
          <cell r="K29">
            <v>1595</v>
          </cell>
          <cell r="L29">
            <v>30</v>
          </cell>
          <cell r="M29">
            <v>1486</v>
          </cell>
          <cell r="N29" t="str">
            <v>-</v>
          </cell>
          <cell r="O29" t="str">
            <v>-</v>
          </cell>
          <cell r="P29" t="str">
            <v>-</v>
          </cell>
          <cell r="Q29" t="str">
            <v>-</v>
          </cell>
          <cell r="R29" t="str">
            <v>-</v>
          </cell>
          <cell r="S29" t="str">
            <v>-</v>
          </cell>
          <cell r="T29" t="str">
            <v>-</v>
          </cell>
          <cell r="U29" t="str">
            <v>-</v>
          </cell>
        </row>
        <row r="30">
          <cell r="A30" t="str">
            <v>Doubletree Guest Suites</v>
          </cell>
          <cell r="N30" t="str">
            <v>-</v>
          </cell>
          <cell r="O30" t="str">
            <v>-</v>
          </cell>
          <cell r="P30" t="str">
            <v>-</v>
          </cell>
          <cell r="Q30" t="str">
            <v>-</v>
          </cell>
          <cell r="R30" t="str">
            <v>-</v>
          </cell>
          <cell r="S30" t="str">
            <v>-</v>
          </cell>
          <cell r="T30" t="str">
            <v>-</v>
          </cell>
          <cell r="U30" t="str">
            <v>-</v>
          </cell>
        </row>
        <row r="31">
          <cell r="A31" t="str">
            <v>Doubletree Hotel</v>
          </cell>
          <cell r="H31">
            <v>1</v>
          </cell>
          <cell r="I31">
            <v>388</v>
          </cell>
          <cell r="J31">
            <v>1</v>
          </cell>
          <cell r="K31">
            <v>210</v>
          </cell>
          <cell r="L31">
            <v>1</v>
          </cell>
          <cell r="M31">
            <v>252</v>
          </cell>
          <cell r="N31" t="str">
            <v>-</v>
          </cell>
          <cell r="O31" t="str">
            <v>-</v>
          </cell>
          <cell r="P31" t="str">
            <v>-</v>
          </cell>
          <cell r="Q31" t="str">
            <v>-</v>
          </cell>
          <cell r="R31" t="str">
            <v>-</v>
          </cell>
          <cell r="S31" t="str">
            <v>-</v>
          </cell>
          <cell r="T31" t="str">
            <v>-</v>
          </cell>
          <cell r="U31" t="str">
            <v>-</v>
          </cell>
        </row>
        <row r="32">
          <cell r="A32" t="str">
            <v>Drury Inn</v>
          </cell>
          <cell r="B32">
            <v>1</v>
          </cell>
          <cell r="C32">
            <v>3</v>
          </cell>
          <cell r="D32">
            <v>3</v>
          </cell>
          <cell r="E32">
            <v>5</v>
          </cell>
          <cell r="F32">
            <v>8</v>
          </cell>
          <cell r="G32">
            <v>1052</v>
          </cell>
          <cell r="H32">
            <v>7</v>
          </cell>
          <cell r="I32">
            <v>873</v>
          </cell>
          <cell r="J32">
            <v>3</v>
          </cell>
          <cell r="K32">
            <v>460</v>
          </cell>
          <cell r="L32">
            <v>3</v>
          </cell>
          <cell r="M32">
            <v>456</v>
          </cell>
          <cell r="N32" t="str">
            <v>-</v>
          </cell>
          <cell r="O32" t="str">
            <v>-</v>
          </cell>
          <cell r="P32" t="str">
            <v>-</v>
          </cell>
          <cell r="Q32" t="str">
            <v>-</v>
          </cell>
          <cell r="R32" t="str">
            <v>-</v>
          </cell>
          <cell r="S32" t="str">
            <v>-</v>
          </cell>
          <cell r="T32" t="str">
            <v>-</v>
          </cell>
          <cell r="U32" t="str">
            <v>-</v>
          </cell>
        </row>
        <row r="33">
          <cell r="A33" t="str">
            <v>Econo Lodge</v>
          </cell>
          <cell r="B33">
            <v>12</v>
          </cell>
          <cell r="C33">
            <v>7</v>
          </cell>
          <cell r="D33">
            <v>7</v>
          </cell>
          <cell r="E33">
            <v>5</v>
          </cell>
          <cell r="F33">
            <v>11</v>
          </cell>
          <cell r="G33">
            <v>597</v>
          </cell>
          <cell r="H33">
            <v>11</v>
          </cell>
          <cell r="I33">
            <v>546</v>
          </cell>
          <cell r="J33">
            <v>4</v>
          </cell>
          <cell r="K33">
            <v>223</v>
          </cell>
          <cell r="L33">
            <v>6</v>
          </cell>
          <cell r="M33">
            <v>256</v>
          </cell>
          <cell r="N33" t="str">
            <v>-</v>
          </cell>
          <cell r="O33" t="str">
            <v>-</v>
          </cell>
          <cell r="P33" t="str">
            <v>-</v>
          </cell>
          <cell r="Q33" t="str">
            <v>-</v>
          </cell>
          <cell r="R33" t="str">
            <v>-</v>
          </cell>
          <cell r="S33" t="str">
            <v>-</v>
          </cell>
          <cell r="T33" t="str">
            <v>-</v>
          </cell>
          <cell r="U33" t="str">
            <v>-</v>
          </cell>
        </row>
        <row r="34">
          <cell r="A34" t="str">
            <v>Embassy Suites</v>
          </cell>
          <cell r="B34">
            <v>1</v>
          </cell>
          <cell r="C34">
            <v>1</v>
          </cell>
          <cell r="D34">
            <v>1</v>
          </cell>
          <cell r="E34">
            <v>2</v>
          </cell>
          <cell r="F34">
            <v>1</v>
          </cell>
          <cell r="G34">
            <v>153</v>
          </cell>
          <cell r="H34">
            <v>5</v>
          </cell>
          <cell r="I34">
            <v>1305</v>
          </cell>
          <cell r="J34">
            <v>7</v>
          </cell>
          <cell r="K34">
            <v>1264</v>
          </cell>
          <cell r="L34">
            <v>6</v>
          </cell>
          <cell r="M34">
            <v>1486</v>
          </cell>
          <cell r="N34" t="str">
            <v>-</v>
          </cell>
          <cell r="O34" t="str">
            <v>-</v>
          </cell>
          <cell r="P34" t="str">
            <v>-</v>
          </cell>
          <cell r="Q34" t="str">
            <v>-</v>
          </cell>
          <cell r="R34" t="str">
            <v>-</v>
          </cell>
          <cell r="S34" t="str">
            <v>-</v>
          </cell>
          <cell r="T34" t="str">
            <v>-</v>
          </cell>
          <cell r="U34" t="str">
            <v>-</v>
          </cell>
        </row>
        <row r="35">
          <cell r="A35" t="str">
            <v>Extended Stay America</v>
          </cell>
          <cell r="F35">
            <v>30</v>
          </cell>
          <cell r="G35">
            <v>3870</v>
          </cell>
          <cell r="H35">
            <v>74</v>
          </cell>
          <cell r="I35">
            <v>8037</v>
          </cell>
          <cell r="J35">
            <v>68</v>
          </cell>
          <cell r="K35">
            <v>7340</v>
          </cell>
          <cell r="L35">
            <v>40</v>
          </cell>
          <cell r="M35">
            <v>4429</v>
          </cell>
          <cell r="N35" t="str">
            <v>-</v>
          </cell>
          <cell r="O35" t="str">
            <v>-</v>
          </cell>
          <cell r="P35" t="str">
            <v>-</v>
          </cell>
          <cell r="Q35" t="str">
            <v>-</v>
          </cell>
          <cell r="R35" t="str">
            <v>-</v>
          </cell>
          <cell r="S35" t="str">
            <v>-</v>
          </cell>
          <cell r="T35" t="str">
            <v>-</v>
          </cell>
          <cell r="U35" t="str">
            <v>-</v>
          </cell>
        </row>
        <row r="36">
          <cell r="A36" t="str">
            <v>Fairfield Inn</v>
          </cell>
          <cell r="B36">
            <v>21</v>
          </cell>
          <cell r="C36">
            <v>13</v>
          </cell>
          <cell r="D36">
            <v>31</v>
          </cell>
          <cell r="E36">
            <v>59</v>
          </cell>
          <cell r="F36">
            <v>49</v>
          </cell>
          <cell r="G36">
            <v>4205</v>
          </cell>
          <cell r="H36">
            <v>57</v>
          </cell>
          <cell r="I36">
            <v>5029</v>
          </cell>
          <cell r="J36">
            <v>34</v>
          </cell>
          <cell r="K36">
            <v>3022</v>
          </cell>
          <cell r="L36">
            <v>35</v>
          </cell>
          <cell r="M36">
            <v>2928</v>
          </cell>
          <cell r="N36" t="str">
            <v>-</v>
          </cell>
          <cell r="O36" t="str">
            <v>-</v>
          </cell>
          <cell r="P36" t="str">
            <v>-</v>
          </cell>
          <cell r="Q36" t="str">
            <v>-</v>
          </cell>
          <cell r="R36" t="str">
            <v>-</v>
          </cell>
          <cell r="S36" t="str">
            <v>-</v>
          </cell>
          <cell r="T36" t="str">
            <v>-</v>
          </cell>
          <cell r="U36" t="str">
            <v>-</v>
          </cell>
        </row>
        <row r="37">
          <cell r="A37" t="str">
            <v>Four Points Hotel</v>
          </cell>
          <cell r="J37">
            <v>4</v>
          </cell>
          <cell r="K37">
            <v>448</v>
          </cell>
          <cell r="L37">
            <v>1</v>
          </cell>
          <cell r="M37">
            <v>74</v>
          </cell>
          <cell r="N37" t="str">
            <v>-</v>
          </cell>
          <cell r="O37" t="str">
            <v>-</v>
          </cell>
          <cell r="P37" t="str">
            <v>-</v>
          </cell>
          <cell r="Q37" t="str">
            <v>-</v>
          </cell>
          <cell r="R37" t="str">
            <v>-</v>
          </cell>
          <cell r="S37" t="str">
            <v>-</v>
          </cell>
          <cell r="T37" t="str">
            <v>-</v>
          </cell>
          <cell r="U37" t="str">
            <v>-</v>
          </cell>
        </row>
        <row r="38">
          <cell r="A38" t="str">
            <v>Four Seasons</v>
          </cell>
          <cell r="C38">
            <v>1</v>
          </cell>
          <cell r="F38">
            <v>1</v>
          </cell>
          <cell r="G38">
            <v>243</v>
          </cell>
          <cell r="H38">
            <v>1</v>
          </cell>
          <cell r="I38">
            <v>571</v>
          </cell>
          <cell r="L38">
            <v>2</v>
          </cell>
          <cell r="M38">
            <v>634</v>
          </cell>
          <cell r="N38" t="str">
            <v>-</v>
          </cell>
          <cell r="O38" t="str">
            <v>-</v>
          </cell>
          <cell r="P38" t="str">
            <v>-</v>
          </cell>
          <cell r="Q38" t="str">
            <v>-</v>
          </cell>
          <cell r="R38" t="str">
            <v>-</v>
          </cell>
          <cell r="S38" t="str">
            <v>-</v>
          </cell>
          <cell r="T38" t="str">
            <v>-</v>
          </cell>
          <cell r="U38" t="str">
            <v>-</v>
          </cell>
        </row>
        <row r="39">
          <cell r="A39" t="str">
            <v>Grand Bay Hotel</v>
          </cell>
          <cell r="N39" t="str">
            <v>-</v>
          </cell>
          <cell r="O39" t="str">
            <v>-</v>
          </cell>
          <cell r="P39" t="str">
            <v>-</v>
          </cell>
          <cell r="Q39" t="str">
            <v>-</v>
          </cell>
          <cell r="R39" t="str">
            <v>-</v>
          </cell>
          <cell r="S39" t="str">
            <v>-</v>
          </cell>
          <cell r="T39" t="str">
            <v>-</v>
          </cell>
          <cell r="U39" t="str">
            <v>-</v>
          </cell>
        </row>
        <row r="40">
          <cell r="A40" t="str">
            <v>GuestHouse Inn</v>
          </cell>
          <cell r="F40">
            <v>2</v>
          </cell>
          <cell r="G40">
            <v>307</v>
          </cell>
          <cell r="J40">
            <v>3</v>
          </cell>
          <cell r="K40">
            <v>227</v>
          </cell>
          <cell r="L40">
            <v>5</v>
          </cell>
          <cell r="M40">
            <v>261</v>
          </cell>
          <cell r="N40" t="str">
            <v>-</v>
          </cell>
          <cell r="O40" t="str">
            <v>-</v>
          </cell>
          <cell r="P40" t="str">
            <v>-</v>
          </cell>
          <cell r="Q40" t="str">
            <v>-</v>
          </cell>
          <cell r="R40" t="str">
            <v>-</v>
          </cell>
          <cell r="S40" t="str">
            <v>-</v>
          </cell>
          <cell r="T40" t="str">
            <v>-</v>
          </cell>
          <cell r="U40" t="str">
            <v>-</v>
          </cell>
        </row>
        <row r="41">
          <cell r="A41" t="str">
            <v>Hampton Inn</v>
          </cell>
          <cell r="B41">
            <v>28</v>
          </cell>
          <cell r="C41">
            <v>33</v>
          </cell>
          <cell r="D41">
            <v>57</v>
          </cell>
          <cell r="E41">
            <v>79</v>
          </cell>
          <cell r="F41">
            <v>93</v>
          </cell>
          <cell r="G41">
            <v>7959</v>
          </cell>
          <cell r="H41">
            <v>106</v>
          </cell>
          <cell r="I41">
            <v>9211</v>
          </cell>
          <cell r="J41">
            <v>97</v>
          </cell>
          <cell r="K41">
            <v>8684</v>
          </cell>
          <cell r="L41">
            <v>92</v>
          </cell>
          <cell r="M41">
            <v>8696</v>
          </cell>
          <cell r="N41" t="str">
            <v>-</v>
          </cell>
          <cell r="O41" t="str">
            <v>-</v>
          </cell>
          <cell r="P41" t="str">
            <v>-</v>
          </cell>
          <cell r="Q41" t="str">
            <v>-</v>
          </cell>
          <cell r="R41" t="str">
            <v>-</v>
          </cell>
          <cell r="S41" t="str">
            <v>-</v>
          </cell>
          <cell r="T41" t="str">
            <v>-</v>
          </cell>
          <cell r="U41" t="str">
            <v>-</v>
          </cell>
        </row>
        <row r="42">
          <cell r="A42" t="str">
            <v>Hampton Inn &amp; Suites</v>
          </cell>
          <cell r="E42">
            <v>5</v>
          </cell>
          <cell r="F42">
            <v>11</v>
          </cell>
          <cell r="G42">
            <v>1347</v>
          </cell>
          <cell r="H42">
            <v>10</v>
          </cell>
          <cell r="I42">
            <v>996</v>
          </cell>
          <cell r="J42">
            <v>12</v>
          </cell>
          <cell r="K42">
            <v>1441</v>
          </cell>
          <cell r="L42">
            <v>13</v>
          </cell>
          <cell r="M42">
            <v>1478</v>
          </cell>
          <cell r="N42" t="str">
            <v>-</v>
          </cell>
          <cell r="O42" t="str">
            <v>-</v>
          </cell>
          <cell r="P42" t="str">
            <v>-</v>
          </cell>
          <cell r="Q42" t="str">
            <v>-</v>
          </cell>
          <cell r="R42" t="str">
            <v>-</v>
          </cell>
          <cell r="S42" t="str">
            <v>-</v>
          </cell>
          <cell r="T42" t="str">
            <v>-</v>
          </cell>
          <cell r="U42" t="str">
            <v>-</v>
          </cell>
        </row>
        <row r="43">
          <cell r="A43" t="str">
            <v>Hawthorn Suites</v>
          </cell>
          <cell r="F43">
            <v>1</v>
          </cell>
          <cell r="G43">
            <v>50</v>
          </cell>
          <cell r="H43">
            <v>3</v>
          </cell>
          <cell r="I43">
            <v>441</v>
          </cell>
          <cell r="J43">
            <v>17</v>
          </cell>
          <cell r="K43">
            <v>1703</v>
          </cell>
          <cell r="L43">
            <v>30</v>
          </cell>
          <cell r="M43">
            <v>3008</v>
          </cell>
          <cell r="N43" t="str">
            <v>-</v>
          </cell>
          <cell r="O43" t="str">
            <v>-</v>
          </cell>
          <cell r="P43" t="str">
            <v>-</v>
          </cell>
          <cell r="Q43" t="str">
            <v>-</v>
          </cell>
          <cell r="R43" t="str">
            <v>-</v>
          </cell>
          <cell r="S43" t="str">
            <v>-</v>
          </cell>
          <cell r="T43" t="str">
            <v>-</v>
          </cell>
          <cell r="U43" t="str">
            <v>-</v>
          </cell>
        </row>
        <row r="44">
          <cell r="A44" t="str">
            <v>Hearthside Inn</v>
          </cell>
          <cell r="H44">
            <v>2</v>
          </cell>
          <cell r="I44">
            <v>308</v>
          </cell>
          <cell r="J44">
            <v>3</v>
          </cell>
          <cell r="K44">
            <v>456</v>
          </cell>
          <cell r="L44">
            <v>2</v>
          </cell>
          <cell r="M44">
            <v>314</v>
          </cell>
          <cell r="N44" t="str">
            <v>-</v>
          </cell>
          <cell r="O44" t="str">
            <v>-</v>
          </cell>
          <cell r="P44" t="str">
            <v>-</v>
          </cell>
          <cell r="Q44" t="str">
            <v>-</v>
          </cell>
          <cell r="R44" t="str">
            <v>-</v>
          </cell>
          <cell r="S44" t="str">
            <v>-</v>
          </cell>
          <cell r="T44" t="str">
            <v>-</v>
          </cell>
          <cell r="U44" t="str">
            <v>-</v>
          </cell>
        </row>
        <row r="45">
          <cell r="A45" t="str">
            <v>Hilton Garden Inn</v>
          </cell>
          <cell r="H45">
            <v>5</v>
          </cell>
          <cell r="I45">
            <v>581</v>
          </cell>
          <cell r="J45">
            <v>8</v>
          </cell>
          <cell r="K45">
            <v>1168</v>
          </cell>
          <cell r="L45">
            <v>44</v>
          </cell>
          <cell r="M45">
            <v>6212</v>
          </cell>
          <cell r="N45" t="str">
            <v>-</v>
          </cell>
          <cell r="O45" t="str">
            <v>-</v>
          </cell>
          <cell r="P45" t="str">
            <v>-</v>
          </cell>
          <cell r="Q45" t="str">
            <v>-</v>
          </cell>
          <cell r="R45" t="str">
            <v>-</v>
          </cell>
          <cell r="S45" t="str">
            <v>-</v>
          </cell>
          <cell r="T45" t="str">
            <v>-</v>
          </cell>
          <cell r="U45" t="str">
            <v>-</v>
          </cell>
        </row>
        <row r="46">
          <cell r="A46" t="str">
            <v>Hilton Hotel</v>
          </cell>
          <cell r="B46">
            <v>4</v>
          </cell>
          <cell r="E46">
            <v>1</v>
          </cell>
          <cell r="F46">
            <v>2</v>
          </cell>
          <cell r="G46">
            <v>264</v>
          </cell>
          <cell r="H46">
            <v>1</v>
          </cell>
          <cell r="I46">
            <v>131</v>
          </cell>
          <cell r="J46">
            <v>2</v>
          </cell>
          <cell r="K46">
            <v>276</v>
          </cell>
          <cell r="L46">
            <v>3</v>
          </cell>
          <cell r="M46">
            <v>859</v>
          </cell>
          <cell r="N46" t="str">
            <v>-</v>
          </cell>
          <cell r="O46" t="str">
            <v>-</v>
          </cell>
          <cell r="P46" t="str">
            <v>-</v>
          </cell>
          <cell r="Q46" t="str">
            <v>-</v>
          </cell>
          <cell r="R46" t="str">
            <v>-</v>
          </cell>
          <cell r="S46" t="str">
            <v>-</v>
          </cell>
          <cell r="T46" t="str">
            <v>-</v>
          </cell>
          <cell r="U46" t="str">
            <v>-</v>
          </cell>
        </row>
        <row r="47">
          <cell r="A47" t="str">
            <v>HoJo Inn</v>
          </cell>
          <cell r="B47">
            <v>2</v>
          </cell>
          <cell r="C47">
            <v>5</v>
          </cell>
          <cell r="D47">
            <v>1</v>
          </cell>
        </row>
        <row r="48">
          <cell r="A48" t="str">
            <v>Holiday Inn</v>
          </cell>
          <cell r="B48">
            <v>4</v>
          </cell>
          <cell r="C48">
            <v>1</v>
          </cell>
          <cell r="D48">
            <v>2</v>
          </cell>
          <cell r="E48">
            <v>7</v>
          </cell>
          <cell r="F48">
            <v>6</v>
          </cell>
          <cell r="G48">
            <v>841</v>
          </cell>
          <cell r="H48">
            <v>5</v>
          </cell>
          <cell r="I48">
            <v>788</v>
          </cell>
          <cell r="J48">
            <v>8</v>
          </cell>
          <cell r="K48">
            <v>1295</v>
          </cell>
          <cell r="L48">
            <v>11</v>
          </cell>
          <cell r="M48">
            <v>1799</v>
          </cell>
          <cell r="N48" t="str">
            <v>-</v>
          </cell>
          <cell r="O48" t="str">
            <v>-</v>
          </cell>
          <cell r="P48" t="str">
            <v>-</v>
          </cell>
          <cell r="Q48" t="str">
            <v>-</v>
          </cell>
          <cell r="R48" t="str">
            <v>-</v>
          </cell>
          <cell r="S48" t="str">
            <v>-</v>
          </cell>
          <cell r="T48" t="str">
            <v>-</v>
          </cell>
          <cell r="U48" t="str">
            <v>-</v>
          </cell>
        </row>
        <row r="49">
          <cell r="A49" t="str">
            <v>Holiday Inn Express</v>
          </cell>
          <cell r="B49">
            <v>11</v>
          </cell>
          <cell r="C49">
            <v>25</v>
          </cell>
          <cell r="D49">
            <v>47</v>
          </cell>
          <cell r="E49">
            <v>96</v>
          </cell>
          <cell r="F49">
            <v>126</v>
          </cell>
          <cell r="G49">
            <v>8493</v>
          </cell>
          <cell r="H49">
            <v>129</v>
          </cell>
          <cell r="I49">
            <v>8040</v>
          </cell>
          <cell r="J49">
            <v>129</v>
          </cell>
          <cell r="K49">
            <v>9256</v>
          </cell>
          <cell r="L49">
            <v>86</v>
          </cell>
          <cell r="M49">
            <v>6135</v>
          </cell>
          <cell r="N49" t="str">
            <v>-</v>
          </cell>
          <cell r="O49" t="str">
            <v>-</v>
          </cell>
          <cell r="P49" t="str">
            <v>-</v>
          </cell>
          <cell r="Q49" t="str">
            <v>-</v>
          </cell>
          <cell r="R49" t="str">
            <v>-</v>
          </cell>
          <cell r="S49" t="str">
            <v>-</v>
          </cell>
          <cell r="T49" t="str">
            <v>-</v>
          </cell>
          <cell r="U49" t="str">
            <v>-</v>
          </cell>
        </row>
        <row r="50">
          <cell r="A50" t="str">
            <v>Holiday Inn Express &amp; Suites</v>
          </cell>
          <cell r="L50">
            <v>30</v>
          </cell>
          <cell r="M50">
            <v>2312</v>
          </cell>
        </row>
        <row r="51">
          <cell r="A51" t="str">
            <v>Holiday Inn Select</v>
          </cell>
          <cell r="E51">
            <v>1</v>
          </cell>
          <cell r="F51">
            <v>2</v>
          </cell>
          <cell r="G51">
            <v>219</v>
          </cell>
          <cell r="J51">
            <v>1</v>
          </cell>
          <cell r="K51">
            <v>300</v>
          </cell>
        </row>
        <row r="52">
          <cell r="A52" t="str">
            <v>Homegate Studios</v>
          </cell>
          <cell r="F52">
            <v>1</v>
          </cell>
          <cell r="G52">
            <v>139</v>
          </cell>
          <cell r="H52">
            <v>8</v>
          </cell>
          <cell r="I52">
            <v>1023</v>
          </cell>
          <cell r="J52">
            <v>21</v>
          </cell>
          <cell r="K52">
            <v>2554</v>
          </cell>
          <cell r="L52">
            <v>8</v>
          </cell>
          <cell r="M52">
            <v>982</v>
          </cell>
          <cell r="N52" t="str">
            <v>-</v>
          </cell>
          <cell r="O52" t="str">
            <v>-</v>
          </cell>
          <cell r="P52" t="str">
            <v>-</v>
          </cell>
          <cell r="Q52" t="str">
            <v>-</v>
          </cell>
          <cell r="R52" t="str">
            <v>-</v>
          </cell>
          <cell r="S52" t="str">
            <v>-</v>
          </cell>
          <cell r="T52" t="str">
            <v>-</v>
          </cell>
          <cell r="U52" t="str">
            <v>-</v>
          </cell>
        </row>
        <row r="53">
          <cell r="A53" t="str">
            <v>Homestead Village</v>
          </cell>
          <cell r="D53">
            <v>1</v>
          </cell>
          <cell r="E53">
            <v>2</v>
          </cell>
          <cell r="F53">
            <v>9</v>
          </cell>
          <cell r="G53">
            <v>1244</v>
          </cell>
          <cell r="H53">
            <v>34</v>
          </cell>
          <cell r="I53">
            <v>4422</v>
          </cell>
          <cell r="J53">
            <v>57</v>
          </cell>
          <cell r="K53">
            <v>7568</v>
          </cell>
          <cell r="L53">
            <v>16</v>
          </cell>
          <cell r="M53">
            <v>2037</v>
          </cell>
          <cell r="N53" t="str">
            <v>-</v>
          </cell>
          <cell r="O53" t="str">
            <v>-</v>
          </cell>
          <cell r="P53" t="str">
            <v>-</v>
          </cell>
          <cell r="Q53" t="str">
            <v>-</v>
          </cell>
          <cell r="R53" t="str">
            <v>-</v>
          </cell>
          <cell r="S53" t="str">
            <v>-</v>
          </cell>
          <cell r="T53" t="str">
            <v>-</v>
          </cell>
          <cell r="U53" t="str">
            <v>-</v>
          </cell>
        </row>
        <row r="54">
          <cell r="A54" t="str">
            <v>Homewood Suites by Hilton</v>
          </cell>
          <cell r="B54">
            <v>1</v>
          </cell>
          <cell r="D54">
            <v>2</v>
          </cell>
          <cell r="E54">
            <v>5</v>
          </cell>
          <cell r="F54">
            <v>8</v>
          </cell>
          <cell r="H54">
            <v>15</v>
          </cell>
          <cell r="I54">
            <v>1264</v>
          </cell>
          <cell r="J54">
            <v>25</v>
          </cell>
          <cell r="K54">
            <v>2859</v>
          </cell>
          <cell r="L54">
            <v>11</v>
          </cell>
          <cell r="M54">
            <v>1477</v>
          </cell>
          <cell r="N54" t="str">
            <v>-</v>
          </cell>
          <cell r="O54" t="str">
            <v>-</v>
          </cell>
          <cell r="P54" t="str">
            <v>-</v>
          </cell>
          <cell r="Q54" t="str">
            <v>-</v>
          </cell>
          <cell r="R54" t="str">
            <v>-</v>
          </cell>
          <cell r="S54" t="str">
            <v>-</v>
          </cell>
          <cell r="T54" t="str">
            <v>-</v>
          </cell>
          <cell r="U54" t="str">
            <v>-</v>
          </cell>
        </row>
        <row r="55">
          <cell r="A55" t="str">
            <v>Hotel Sofitel</v>
          </cell>
          <cell r="N55" t="str">
            <v>-</v>
          </cell>
          <cell r="O55" t="str">
            <v>-</v>
          </cell>
          <cell r="P55" t="str">
            <v>-</v>
          </cell>
          <cell r="Q55" t="str">
            <v>-</v>
          </cell>
          <cell r="R55" t="str">
            <v>-</v>
          </cell>
          <cell r="S55" t="str">
            <v>-</v>
          </cell>
          <cell r="T55" t="str">
            <v>-</v>
          </cell>
          <cell r="U55" t="str">
            <v>-</v>
          </cell>
        </row>
        <row r="56">
          <cell r="A56" t="str">
            <v>Howard Johnson Express Inn</v>
          </cell>
          <cell r="B56">
            <v>2</v>
          </cell>
          <cell r="C56">
            <v>7</v>
          </cell>
          <cell r="D56">
            <v>4</v>
          </cell>
          <cell r="E56">
            <v>10</v>
          </cell>
          <cell r="F56">
            <v>12</v>
          </cell>
          <cell r="G56">
            <v>747</v>
          </cell>
          <cell r="H56">
            <v>6</v>
          </cell>
          <cell r="I56">
            <v>326</v>
          </cell>
          <cell r="J56">
            <v>3</v>
          </cell>
          <cell r="K56">
            <v>181</v>
          </cell>
          <cell r="L56">
            <v>8</v>
          </cell>
          <cell r="M56">
            <v>466</v>
          </cell>
          <cell r="N56" t="str">
            <v>-</v>
          </cell>
          <cell r="O56" t="str">
            <v>-</v>
          </cell>
          <cell r="P56" t="str">
            <v>-</v>
          </cell>
          <cell r="Q56" t="str">
            <v>-</v>
          </cell>
          <cell r="R56" t="str">
            <v>-</v>
          </cell>
          <cell r="S56" t="str">
            <v>-</v>
          </cell>
          <cell r="T56" t="str">
            <v>-</v>
          </cell>
          <cell r="U56" t="str">
            <v>-</v>
          </cell>
        </row>
        <row r="57">
          <cell r="A57" t="str">
            <v>Howard Johnson Hotel</v>
          </cell>
          <cell r="F57">
            <v>1</v>
          </cell>
          <cell r="G57">
            <v>129</v>
          </cell>
          <cell r="H57">
            <v>1</v>
          </cell>
          <cell r="I57">
            <v>170</v>
          </cell>
          <cell r="J57">
            <v>1</v>
          </cell>
          <cell r="K57">
            <v>48</v>
          </cell>
          <cell r="N57" t="str">
            <v>-</v>
          </cell>
          <cell r="O57" t="str">
            <v>-</v>
          </cell>
          <cell r="P57" t="str">
            <v>-</v>
          </cell>
          <cell r="Q57" t="str">
            <v>-</v>
          </cell>
          <cell r="R57" t="str">
            <v>-</v>
          </cell>
          <cell r="S57" t="str">
            <v>-</v>
          </cell>
          <cell r="T57" t="str">
            <v>-</v>
          </cell>
          <cell r="U57" t="str">
            <v>-</v>
          </cell>
        </row>
        <row r="58">
          <cell r="A58" t="str">
            <v>Howard Johnson Inn</v>
          </cell>
          <cell r="J58">
            <v>5</v>
          </cell>
          <cell r="K58">
            <v>410</v>
          </cell>
          <cell r="N58" t="str">
            <v>-</v>
          </cell>
          <cell r="O58" t="str">
            <v>-</v>
          </cell>
          <cell r="P58" t="str">
            <v>-</v>
          </cell>
          <cell r="Q58" t="str">
            <v>-</v>
          </cell>
          <cell r="R58" t="str">
            <v>-</v>
          </cell>
          <cell r="S58" t="str">
            <v>-</v>
          </cell>
          <cell r="T58" t="str">
            <v>-</v>
          </cell>
          <cell r="U58" t="str">
            <v>-</v>
          </cell>
        </row>
        <row r="59">
          <cell r="A59" t="str">
            <v>Hyatt Hotel</v>
          </cell>
          <cell r="B59">
            <v>3</v>
          </cell>
          <cell r="C59">
            <v>2</v>
          </cell>
          <cell r="H59">
            <v>1</v>
          </cell>
          <cell r="I59">
            <v>303</v>
          </cell>
          <cell r="J59">
            <v>2</v>
          </cell>
          <cell r="K59">
            <v>1050</v>
          </cell>
          <cell r="L59">
            <v>2</v>
          </cell>
          <cell r="M59">
            <v>702</v>
          </cell>
          <cell r="N59" t="str">
            <v>-</v>
          </cell>
          <cell r="O59" t="str">
            <v>-</v>
          </cell>
          <cell r="P59" t="str">
            <v>-</v>
          </cell>
          <cell r="Q59" t="str">
            <v>-</v>
          </cell>
          <cell r="R59" t="str">
            <v>-</v>
          </cell>
          <cell r="S59" t="str">
            <v>-</v>
          </cell>
          <cell r="T59" t="str">
            <v>-</v>
          </cell>
          <cell r="U59" t="str">
            <v>-</v>
          </cell>
        </row>
        <row r="60">
          <cell r="A60" t="str">
            <v>Inter-Continental</v>
          </cell>
          <cell r="L60">
            <v>1</v>
          </cell>
          <cell r="M60">
            <v>291</v>
          </cell>
          <cell r="N60" t="str">
            <v>-</v>
          </cell>
          <cell r="O60" t="str">
            <v>-</v>
          </cell>
          <cell r="P60" t="str">
            <v>-</v>
          </cell>
          <cell r="Q60" t="str">
            <v>-</v>
          </cell>
          <cell r="R60" t="str">
            <v>-</v>
          </cell>
          <cell r="S60" t="str">
            <v>-</v>
          </cell>
          <cell r="T60" t="str">
            <v>-</v>
          </cell>
          <cell r="U60" t="str">
            <v>-</v>
          </cell>
        </row>
        <row r="61">
          <cell r="A61" t="str">
            <v>Intown Suites</v>
          </cell>
          <cell r="F61">
            <v>1</v>
          </cell>
          <cell r="G61">
            <v>137</v>
          </cell>
          <cell r="H61">
            <v>3</v>
          </cell>
          <cell r="I61">
            <v>366</v>
          </cell>
          <cell r="J61">
            <v>12</v>
          </cell>
          <cell r="K61">
            <v>1465</v>
          </cell>
          <cell r="L61">
            <v>6</v>
          </cell>
          <cell r="M61">
            <v>692</v>
          </cell>
          <cell r="N61" t="str">
            <v>-</v>
          </cell>
          <cell r="O61" t="str">
            <v>-</v>
          </cell>
          <cell r="P61" t="str">
            <v>-</v>
          </cell>
          <cell r="Q61" t="str">
            <v>-</v>
          </cell>
          <cell r="R61" t="str">
            <v>-</v>
          </cell>
          <cell r="S61" t="str">
            <v>-</v>
          </cell>
          <cell r="T61" t="str">
            <v>-</v>
          </cell>
          <cell r="U61" t="str">
            <v>-</v>
          </cell>
        </row>
        <row r="62">
          <cell r="A62" t="str">
            <v>Intown Suites**</v>
          </cell>
          <cell r="L62">
            <v>6</v>
          </cell>
          <cell r="M62">
            <v>692</v>
          </cell>
        </row>
        <row r="63">
          <cell r="A63" t="str">
            <v>Jameson Inn</v>
          </cell>
          <cell r="B63">
            <v>3</v>
          </cell>
          <cell r="C63">
            <v>2</v>
          </cell>
          <cell r="D63">
            <v>5</v>
          </cell>
          <cell r="E63">
            <v>11</v>
          </cell>
          <cell r="F63">
            <v>12</v>
          </cell>
          <cell r="G63">
            <v>530</v>
          </cell>
          <cell r="H63">
            <v>19</v>
          </cell>
          <cell r="I63">
            <v>824</v>
          </cell>
          <cell r="J63">
            <v>18</v>
          </cell>
          <cell r="K63">
            <v>735</v>
          </cell>
          <cell r="L63">
            <v>9</v>
          </cell>
          <cell r="M63">
            <v>524</v>
          </cell>
          <cell r="N63" t="str">
            <v>-</v>
          </cell>
          <cell r="O63" t="str">
            <v>-</v>
          </cell>
          <cell r="P63" t="str">
            <v>-</v>
          </cell>
          <cell r="Q63" t="str">
            <v>-</v>
          </cell>
          <cell r="R63" t="str">
            <v>-</v>
          </cell>
          <cell r="S63" t="str">
            <v>-</v>
          </cell>
          <cell r="T63" t="str">
            <v>-</v>
          </cell>
          <cell r="U63" t="str">
            <v>-</v>
          </cell>
        </row>
        <row r="64">
          <cell r="A64" t="str">
            <v>Key West Inn</v>
          </cell>
          <cell r="F64">
            <v>3</v>
          </cell>
          <cell r="G64">
            <v>132</v>
          </cell>
          <cell r="H64">
            <v>2</v>
          </cell>
          <cell r="I64">
            <v>116</v>
          </cell>
          <cell r="J64">
            <v>4</v>
          </cell>
          <cell r="K64">
            <v>273</v>
          </cell>
          <cell r="N64" t="str">
            <v>-</v>
          </cell>
          <cell r="O64" t="str">
            <v>-</v>
          </cell>
          <cell r="P64" t="str">
            <v>-</v>
          </cell>
          <cell r="Q64" t="str">
            <v>-</v>
          </cell>
          <cell r="R64" t="str">
            <v>-</v>
          </cell>
          <cell r="S64" t="str">
            <v>-</v>
          </cell>
          <cell r="T64" t="str">
            <v>-</v>
          </cell>
          <cell r="U64" t="str">
            <v>-</v>
          </cell>
        </row>
        <row r="65">
          <cell r="A65" t="str">
            <v>Knights Inn</v>
          </cell>
          <cell r="F65">
            <v>2</v>
          </cell>
          <cell r="G65">
            <v>65</v>
          </cell>
          <cell r="H65">
            <v>6</v>
          </cell>
          <cell r="I65">
            <v>351</v>
          </cell>
          <cell r="J65">
            <v>1</v>
          </cell>
          <cell r="K65">
            <v>40</v>
          </cell>
          <cell r="N65" t="str">
            <v>-</v>
          </cell>
          <cell r="O65" t="str">
            <v>-</v>
          </cell>
          <cell r="P65" t="str">
            <v>-</v>
          </cell>
          <cell r="Q65" t="str">
            <v>-</v>
          </cell>
          <cell r="R65" t="str">
            <v>-</v>
          </cell>
          <cell r="S65" t="str">
            <v>-</v>
          </cell>
          <cell r="T65" t="str">
            <v>-</v>
          </cell>
          <cell r="U65" t="str">
            <v>-</v>
          </cell>
        </row>
        <row r="66">
          <cell r="A66" t="str">
            <v>La Quinta Inn</v>
          </cell>
          <cell r="C66">
            <v>1</v>
          </cell>
          <cell r="F66">
            <v>10</v>
          </cell>
          <cell r="G66">
            <v>1408</v>
          </cell>
          <cell r="H66">
            <v>21</v>
          </cell>
          <cell r="I66">
            <v>2554</v>
          </cell>
          <cell r="J66">
            <v>26</v>
          </cell>
          <cell r="K66">
            <v>3405</v>
          </cell>
          <cell r="L66">
            <v>13</v>
          </cell>
          <cell r="M66">
            <v>1819</v>
          </cell>
          <cell r="N66" t="str">
            <v>-</v>
          </cell>
          <cell r="O66" t="str">
            <v>-</v>
          </cell>
          <cell r="P66" t="str">
            <v>-</v>
          </cell>
          <cell r="Q66" t="str">
            <v>-</v>
          </cell>
          <cell r="R66" t="str">
            <v>-</v>
          </cell>
          <cell r="S66" t="str">
            <v>-</v>
          </cell>
          <cell r="T66" t="str">
            <v>-</v>
          </cell>
          <cell r="U66" t="str">
            <v>-</v>
          </cell>
        </row>
        <row r="67">
          <cell r="A67" t="str">
            <v>Larkspur Landing</v>
          </cell>
          <cell r="J67">
            <v>2</v>
          </cell>
          <cell r="K67">
            <v>253</v>
          </cell>
          <cell r="N67" t="str">
            <v>-</v>
          </cell>
          <cell r="O67" t="str">
            <v>-</v>
          </cell>
          <cell r="P67" t="str">
            <v>-</v>
          </cell>
          <cell r="Q67" t="str">
            <v>-</v>
          </cell>
          <cell r="R67" t="str">
            <v>-</v>
          </cell>
          <cell r="S67" t="str">
            <v>-</v>
          </cell>
          <cell r="T67" t="str">
            <v>-</v>
          </cell>
          <cell r="U67" t="str">
            <v>-</v>
          </cell>
        </row>
        <row r="68">
          <cell r="A68" t="str">
            <v>Loews Hotel</v>
          </cell>
          <cell r="J68">
            <v>2</v>
          </cell>
          <cell r="K68">
            <v>1167</v>
          </cell>
          <cell r="L68">
            <v>1</v>
          </cell>
          <cell r="M68">
            <v>750</v>
          </cell>
          <cell r="N68" t="str">
            <v>-</v>
          </cell>
          <cell r="O68" t="str">
            <v>-</v>
          </cell>
          <cell r="P68" t="str">
            <v>-</v>
          </cell>
          <cell r="Q68" t="str">
            <v>-</v>
          </cell>
          <cell r="R68" t="str">
            <v>-</v>
          </cell>
          <cell r="S68" t="str">
            <v>-</v>
          </cell>
          <cell r="T68" t="str">
            <v>-</v>
          </cell>
          <cell r="U68" t="str">
            <v>-</v>
          </cell>
        </row>
        <row r="69">
          <cell r="A69" t="str">
            <v>MainStay Suites</v>
          </cell>
          <cell r="F69">
            <v>1</v>
          </cell>
          <cell r="G69">
            <v>96</v>
          </cell>
          <cell r="H69">
            <v>3</v>
          </cell>
          <cell r="I69">
            <v>279</v>
          </cell>
          <cell r="J69">
            <v>15</v>
          </cell>
          <cell r="K69">
            <v>1413</v>
          </cell>
          <cell r="L69">
            <v>10</v>
          </cell>
          <cell r="M69">
            <v>862</v>
          </cell>
          <cell r="N69" t="str">
            <v>-</v>
          </cell>
          <cell r="O69" t="str">
            <v>-</v>
          </cell>
          <cell r="P69" t="str">
            <v>-</v>
          </cell>
          <cell r="Q69" t="str">
            <v>-</v>
          </cell>
          <cell r="R69" t="str">
            <v>-</v>
          </cell>
          <cell r="S69" t="str">
            <v>-</v>
          </cell>
          <cell r="T69" t="str">
            <v>-</v>
          </cell>
          <cell r="U69" t="str">
            <v>-</v>
          </cell>
        </row>
        <row r="70">
          <cell r="A70" t="str">
            <v>Marriott Hotel</v>
          </cell>
          <cell r="B70">
            <v>2</v>
          </cell>
          <cell r="C70">
            <v>4</v>
          </cell>
          <cell r="E70">
            <v>3</v>
          </cell>
          <cell r="F70">
            <v>3</v>
          </cell>
          <cell r="G70">
            <v>742</v>
          </cell>
          <cell r="H70">
            <v>2</v>
          </cell>
          <cell r="I70">
            <v>433</v>
          </cell>
          <cell r="J70">
            <v>8</v>
          </cell>
          <cell r="K70">
            <v>2149</v>
          </cell>
          <cell r="L70">
            <v>9</v>
          </cell>
          <cell r="M70">
            <v>2504</v>
          </cell>
          <cell r="N70" t="str">
            <v>-</v>
          </cell>
          <cell r="O70" t="str">
            <v>-</v>
          </cell>
          <cell r="P70" t="str">
            <v>-</v>
          </cell>
          <cell r="Q70" t="str">
            <v>-</v>
          </cell>
          <cell r="R70" t="str">
            <v>-</v>
          </cell>
          <cell r="S70" t="str">
            <v>-</v>
          </cell>
          <cell r="T70" t="str">
            <v>-</v>
          </cell>
          <cell r="U70" t="str">
            <v>-</v>
          </cell>
        </row>
        <row r="71">
          <cell r="A71" t="str">
            <v>Meridien Hotel</v>
          </cell>
          <cell r="N71" t="str">
            <v>-</v>
          </cell>
          <cell r="O71" t="str">
            <v>-</v>
          </cell>
          <cell r="P71" t="str">
            <v>-</v>
          </cell>
          <cell r="Q71" t="str">
            <v>-</v>
          </cell>
          <cell r="R71" t="str">
            <v>-</v>
          </cell>
          <cell r="S71" t="str">
            <v>-</v>
          </cell>
          <cell r="T71" t="str">
            <v>-</v>
          </cell>
          <cell r="U71" t="str">
            <v>-</v>
          </cell>
        </row>
        <row r="72">
          <cell r="A72" t="str">
            <v>Microtel Inn</v>
          </cell>
          <cell r="B72">
            <v>3</v>
          </cell>
          <cell r="C72">
            <v>5</v>
          </cell>
          <cell r="D72">
            <v>5</v>
          </cell>
          <cell r="E72">
            <v>5</v>
          </cell>
          <cell r="F72">
            <v>5</v>
          </cell>
          <cell r="G72">
            <v>458</v>
          </cell>
          <cell r="H72">
            <v>38</v>
          </cell>
          <cell r="I72">
            <v>2636</v>
          </cell>
          <cell r="J72">
            <v>62</v>
          </cell>
          <cell r="K72">
            <v>4356</v>
          </cell>
          <cell r="L72">
            <v>57</v>
          </cell>
          <cell r="M72">
            <v>4022</v>
          </cell>
          <cell r="N72" t="str">
            <v>-</v>
          </cell>
          <cell r="O72" t="str">
            <v>-</v>
          </cell>
          <cell r="P72" t="str">
            <v>-</v>
          </cell>
          <cell r="Q72" t="str">
            <v>-</v>
          </cell>
          <cell r="R72" t="str">
            <v>-</v>
          </cell>
          <cell r="S72" t="str">
            <v>-</v>
          </cell>
          <cell r="T72" t="str">
            <v>-</v>
          </cell>
          <cell r="U72" t="str">
            <v>-</v>
          </cell>
        </row>
        <row r="73">
          <cell r="A73" t="str">
            <v>Motel 6</v>
          </cell>
          <cell r="B73">
            <v>1</v>
          </cell>
          <cell r="F73">
            <v>1</v>
          </cell>
          <cell r="G73">
            <v>121</v>
          </cell>
          <cell r="H73">
            <v>14</v>
          </cell>
          <cell r="I73">
            <v>1057</v>
          </cell>
          <cell r="J73">
            <v>16</v>
          </cell>
          <cell r="K73">
            <v>1394</v>
          </cell>
          <cell r="L73">
            <v>17</v>
          </cell>
          <cell r="M73">
            <v>1091</v>
          </cell>
          <cell r="N73" t="str">
            <v>-</v>
          </cell>
          <cell r="O73" t="str">
            <v>-</v>
          </cell>
          <cell r="P73" t="str">
            <v>-</v>
          </cell>
          <cell r="Q73" t="str">
            <v>-</v>
          </cell>
          <cell r="R73" t="str">
            <v>-</v>
          </cell>
          <cell r="S73" t="str">
            <v>-</v>
          </cell>
          <cell r="T73" t="str">
            <v>-</v>
          </cell>
          <cell r="U73" t="str">
            <v>-</v>
          </cell>
        </row>
        <row r="74">
          <cell r="A74" t="str">
            <v>Omni Hotel</v>
          </cell>
          <cell r="E74">
            <v>1</v>
          </cell>
          <cell r="F74">
            <v>1</v>
          </cell>
          <cell r="G74">
            <v>98</v>
          </cell>
          <cell r="L74">
            <v>1</v>
          </cell>
          <cell r="M74">
            <v>390</v>
          </cell>
          <cell r="N74" t="str">
            <v>-</v>
          </cell>
          <cell r="O74" t="str">
            <v>-</v>
          </cell>
          <cell r="P74" t="str">
            <v>-</v>
          </cell>
          <cell r="Q74" t="str">
            <v>-</v>
          </cell>
          <cell r="R74" t="str">
            <v>-</v>
          </cell>
          <cell r="S74" t="str">
            <v>-</v>
          </cell>
          <cell r="T74" t="str">
            <v>-</v>
          </cell>
          <cell r="U74" t="str">
            <v>-</v>
          </cell>
        </row>
        <row r="75">
          <cell r="A75" t="str">
            <v>Park Inn</v>
          </cell>
          <cell r="B75">
            <v>2</v>
          </cell>
          <cell r="D75">
            <v>4</v>
          </cell>
          <cell r="E75">
            <v>3</v>
          </cell>
          <cell r="F75">
            <v>1</v>
          </cell>
          <cell r="G75">
            <v>50</v>
          </cell>
          <cell r="H75">
            <v>2</v>
          </cell>
          <cell r="I75">
            <v>49</v>
          </cell>
          <cell r="J75">
            <v>2</v>
          </cell>
          <cell r="K75">
            <v>174</v>
          </cell>
          <cell r="N75" t="str">
            <v>-</v>
          </cell>
          <cell r="O75" t="str">
            <v>-</v>
          </cell>
          <cell r="P75" t="str">
            <v>-</v>
          </cell>
          <cell r="Q75" t="str">
            <v>-</v>
          </cell>
          <cell r="R75" t="str">
            <v>-</v>
          </cell>
          <cell r="S75" t="str">
            <v>-</v>
          </cell>
          <cell r="T75" t="str">
            <v>-</v>
          </cell>
          <cell r="U75" t="str">
            <v>-</v>
          </cell>
        </row>
        <row r="76">
          <cell r="A76" t="str">
            <v>Platinum Suites</v>
          </cell>
          <cell r="N76" t="str">
            <v>-</v>
          </cell>
          <cell r="O76" t="str">
            <v>-</v>
          </cell>
          <cell r="P76" t="str">
            <v>-</v>
          </cell>
          <cell r="Q76" t="str">
            <v>-</v>
          </cell>
          <cell r="R76" t="str">
            <v>-</v>
          </cell>
          <cell r="S76" t="str">
            <v>-</v>
          </cell>
          <cell r="T76" t="str">
            <v>-</v>
          </cell>
          <cell r="U76" t="str">
            <v>-</v>
          </cell>
        </row>
        <row r="77">
          <cell r="A77" t="str">
            <v>Quality Inn</v>
          </cell>
          <cell r="B77">
            <v>3</v>
          </cell>
          <cell r="C77">
            <v>2</v>
          </cell>
          <cell r="E77">
            <v>5</v>
          </cell>
          <cell r="F77">
            <v>4</v>
          </cell>
          <cell r="G77">
            <v>269</v>
          </cell>
          <cell r="H77">
            <v>12</v>
          </cell>
          <cell r="I77">
            <v>811</v>
          </cell>
          <cell r="J77">
            <v>7</v>
          </cell>
          <cell r="K77">
            <v>457</v>
          </cell>
          <cell r="L77">
            <v>13</v>
          </cell>
          <cell r="M77">
            <v>941</v>
          </cell>
          <cell r="N77" t="str">
            <v>-</v>
          </cell>
          <cell r="O77" t="str">
            <v>-</v>
          </cell>
          <cell r="P77" t="str">
            <v>-</v>
          </cell>
          <cell r="Q77" t="str">
            <v>-</v>
          </cell>
          <cell r="R77" t="str">
            <v>-</v>
          </cell>
          <cell r="S77" t="str">
            <v>-</v>
          </cell>
          <cell r="T77" t="str">
            <v>-</v>
          </cell>
          <cell r="U77" t="str">
            <v>-</v>
          </cell>
        </row>
        <row r="78">
          <cell r="A78" t="str">
            <v>Quality Suites</v>
          </cell>
          <cell r="J78">
            <v>8</v>
          </cell>
          <cell r="K78">
            <v>579</v>
          </cell>
          <cell r="L78">
            <v>2</v>
          </cell>
          <cell r="M78">
            <v>172</v>
          </cell>
          <cell r="N78" t="str">
            <v>-</v>
          </cell>
          <cell r="O78" t="str">
            <v>-</v>
          </cell>
          <cell r="P78" t="str">
            <v>-</v>
          </cell>
          <cell r="Q78" t="str">
            <v>-</v>
          </cell>
          <cell r="R78" t="str">
            <v>-</v>
          </cell>
          <cell r="S78" t="str">
            <v>-</v>
          </cell>
          <cell r="T78" t="str">
            <v>-</v>
          </cell>
          <cell r="U78" t="str">
            <v>-</v>
          </cell>
        </row>
        <row r="79">
          <cell r="A79" t="str">
            <v>Radisson Hotel</v>
          </cell>
          <cell r="B79">
            <v>4</v>
          </cell>
          <cell r="C79">
            <v>1</v>
          </cell>
          <cell r="D79">
            <v>1</v>
          </cell>
          <cell r="E79">
            <v>4</v>
          </cell>
          <cell r="F79">
            <v>5</v>
          </cell>
          <cell r="G79">
            <v>667</v>
          </cell>
          <cell r="H79">
            <v>1</v>
          </cell>
          <cell r="I79">
            <v>163</v>
          </cell>
          <cell r="J79">
            <v>4</v>
          </cell>
          <cell r="K79">
            <v>592</v>
          </cell>
          <cell r="L79">
            <v>2</v>
          </cell>
          <cell r="M79">
            <v>296</v>
          </cell>
          <cell r="N79" t="str">
            <v>-</v>
          </cell>
          <cell r="O79" t="str">
            <v>-</v>
          </cell>
          <cell r="P79" t="str">
            <v>-</v>
          </cell>
          <cell r="Q79" t="str">
            <v>-</v>
          </cell>
          <cell r="R79" t="str">
            <v>-</v>
          </cell>
          <cell r="S79" t="str">
            <v>-</v>
          </cell>
          <cell r="T79" t="str">
            <v>-</v>
          </cell>
          <cell r="U79" t="str">
            <v>-</v>
          </cell>
        </row>
        <row r="80">
          <cell r="A80" t="str">
            <v>Ramada Inn</v>
          </cell>
          <cell r="D80">
            <v>1</v>
          </cell>
          <cell r="E80">
            <v>6</v>
          </cell>
          <cell r="F80">
            <v>22</v>
          </cell>
          <cell r="G80">
            <v>1673</v>
          </cell>
          <cell r="H80">
            <v>14</v>
          </cell>
          <cell r="I80">
            <v>1034</v>
          </cell>
          <cell r="J80">
            <v>10</v>
          </cell>
          <cell r="K80">
            <v>556</v>
          </cell>
          <cell r="L80">
            <v>7</v>
          </cell>
          <cell r="M80">
            <v>451</v>
          </cell>
          <cell r="N80" t="str">
            <v>-</v>
          </cell>
          <cell r="O80" t="str">
            <v>-</v>
          </cell>
          <cell r="P80" t="str">
            <v>-</v>
          </cell>
          <cell r="Q80" t="str">
            <v>-</v>
          </cell>
          <cell r="R80" t="str">
            <v>-</v>
          </cell>
          <cell r="S80" t="str">
            <v>-</v>
          </cell>
          <cell r="T80" t="str">
            <v>-</v>
          </cell>
          <cell r="U80" t="str">
            <v>-</v>
          </cell>
        </row>
        <row r="81">
          <cell r="A81" t="str">
            <v>Ramada Limited</v>
          </cell>
          <cell r="B81">
            <v>2</v>
          </cell>
          <cell r="C81">
            <v>15</v>
          </cell>
          <cell r="D81">
            <v>21</v>
          </cell>
          <cell r="E81">
            <v>13</v>
          </cell>
          <cell r="F81">
            <v>19</v>
          </cell>
          <cell r="G81">
            <v>1075</v>
          </cell>
          <cell r="H81">
            <v>36</v>
          </cell>
          <cell r="I81">
            <v>2706</v>
          </cell>
          <cell r="J81">
            <v>14</v>
          </cell>
          <cell r="K81">
            <v>868</v>
          </cell>
          <cell r="L81">
            <v>10</v>
          </cell>
          <cell r="M81">
            <v>581</v>
          </cell>
          <cell r="N81" t="str">
            <v>-</v>
          </cell>
          <cell r="O81" t="str">
            <v>-</v>
          </cell>
          <cell r="P81" t="str">
            <v>-</v>
          </cell>
          <cell r="Q81" t="str">
            <v>-</v>
          </cell>
          <cell r="R81" t="str">
            <v>-</v>
          </cell>
          <cell r="S81" t="str">
            <v>-</v>
          </cell>
          <cell r="T81" t="str">
            <v>-</v>
          </cell>
          <cell r="U81" t="str">
            <v>-</v>
          </cell>
        </row>
        <row r="82">
          <cell r="A82" t="str">
            <v>Ramada Plaza</v>
          </cell>
          <cell r="N82" t="str">
            <v>-</v>
          </cell>
          <cell r="O82" t="str">
            <v>-</v>
          </cell>
          <cell r="P82" t="str">
            <v>-</v>
          </cell>
          <cell r="Q82" t="str">
            <v>-</v>
          </cell>
          <cell r="R82" t="str">
            <v>-</v>
          </cell>
          <cell r="S82" t="str">
            <v>-</v>
          </cell>
          <cell r="T82" t="str">
            <v>-</v>
          </cell>
          <cell r="U82" t="str">
            <v>-</v>
          </cell>
        </row>
        <row r="83">
          <cell r="A83" t="str">
            <v>Red Roof Inn</v>
          </cell>
          <cell r="E83">
            <v>1</v>
          </cell>
          <cell r="F83">
            <v>11</v>
          </cell>
          <cell r="G83">
            <v>1335</v>
          </cell>
          <cell r="H83">
            <v>5</v>
          </cell>
          <cell r="I83">
            <v>721</v>
          </cell>
          <cell r="J83">
            <v>10</v>
          </cell>
          <cell r="K83">
            <v>1203</v>
          </cell>
          <cell r="L83">
            <v>23</v>
          </cell>
          <cell r="M83">
            <v>1929</v>
          </cell>
          <cell r="N83" t="str">
            <v>-</v>
          </cell>
          <cell r="O83" t="str">
            <v>-</v>
          </cell>
          <cell r="P83" t="str">
            <v>-</v>
          </cell>
          <cell r="Q83" t="str">
            <v>-</v>
          </cell>
          <cell r="R83" t="str">
            <v>-</v>
          </cell>
          <cell r="S83" t="str">
            <v>-</v>
          </cell>
          <cell r="T83" t="str">
            <v>-</v>
          </cell>
          <cell r="U83" t="str">
            <v>-</v>
          </cell>
        </row>
        <row r="84">
          <cell r="A84" t="str">
            <v>Renaissance Hotel</v>
          </cell>
          <cell r="B84">
            <v>3</v>
          </cell>
          <cell r="L84">
            <v>1</v>
          </cell>
          <cell r="M84">
            <v>275</v>
          </cell>
          <cell r="N84" t="str">
            <v>-</v>
          </cell>
          <cell r="O84" t="str">
            <v>-</v>
          </cell>
          <cell r="P84" t="str">
            <v>-</v>
          </cell>
          <cell r="Q84" t="str">
            <v>-</v>
          </cell>
          <cell r="R84" t="str">
            <v>-</v>
          </cell>
          <cell r="S84" t="str">
            <v>-</v>
          </cell>
          <cell r="T84" t="str">
            <v>-</v>
          </cell>
          <cell r="U84" t="str">
            <v>-</v>
          </cell>
        </row>
        <row r="85">
          <cell r="A85" t="str">
            <v>Residence Inn</v>
          </cell>
          <cell r="B85">
            <v>4</v>
          </cell>
          <cell r="C85">
            <v>5</v>
          </cell>
          <cell r="D85">
            <v>6</v>
          </cell>
          <cell r="E85">
            <v>7</v>
          </cell>
          <cell r="F85">
            <v>25</v>
          </cell>
          <cell r="G85">
            <v>2556</v>
          </cell>
          <cell r="H85">
            <v>33</v>
          </cell>
          <cell r="I85">
            <v>3487</v>
          </cell>
          <cell r="J85">
            <v>36</v>
          </cell>
          <cell r="K85">
            <v>4122</v>
          </cell>
          <cell r="L85">
            <v>35</v>
          </cell>
          <cell r="M85">
            <v>4215</v>
          </cell>
          <cell r="N85" t="str">
            <v>-</v>
          </cell>
          <cell r="O85" t="str">
            <v>-</v>
          </cell>
          <cell r="P85" t="str">
            <v>-</v>
          </cell>
          <cell r="Q85" t="str">
            <v>-</v>
          </cell>
          <cell r="R85" t="str">
            <v>-</v>
          </cell>
          <cell r="S85" t="str">
            <v>-</v>
          </cell>
          <cell r="T85" t="str">
            <v>-</v>
          </cell>
          <cell r="U85" t="str">
            <v>-</v>
          </cell>
        </row>
        <row r="86">
          <cell r="A86" t="str">
            <v>Ritz-Carlton</v>
          </cell>
          <cell r="B86">
            <v>2</v>
          </cell>
          <cell r="N86" t="str">
            <v>-</v>
          </cell>
          <cell r="O86" t="str">
            <v>-</v>
          </cell>
          <cell r="P86" t="str">
            <v>-</v>
          </cell>
          <cell r="Q86" t="str">
            <v>-</v>
          </cell>
          <cell r="R86" t="str">
            <v>-</v>
          </cell>
          <cell r="S86" t="str">
            <v>-</v>
          </cell>
          <cell r="T86" t="str">
            <v>-</v>
          </cell>
          <cell r="U86" t="str">
            <v>-</v>
          </cell>
        </row>
        <row r="87">
          <cell r="A87" t="str">
            <v>Rodeway Inn</v>
          </cell>
          <cell r="B87">
            <v>1</v>
          </cell>
          <cell r="C87">
            <v>1</v>
          </cell>
          <cell r="D87">
            <v>2</v>
          </cell>
          <cell r="E87">
            <v>7</v>
          </cell>
          <cell r="F87">
            <v>11</v>
          </cell>
          <cell r="G87">
            <v>568</v>
          </cell>
          <cell r="H87">
            <v>8</v>
          </cell>
          <cell r="I87">
            <v>364</v>
          </cell>
          <cell r="J87">
            <v>7</v>
          </cell>
          <cell r="K87">
            <v>362</v>
          </cell>
          <cell r="N87" t="str">
            <v>-</v>
          </cell>
          <cell r="O87" t="str">
            <v>-</v>
          </cell>
          <cell r="P87" t="str">
            <v>-</v>
          </cell>
          <cell r="Q87" t="str">
            <v>-</v>
          </cell>
          <cell r="R87" t="str">
            <v>-</v>
          </cell>
          <cell r="S87" t="str">
            <v>-</v>
          </cell>
          <cell r="T87" t="str">
            <v>-</v>
          </cell>
          <cell r="U87" t="str">
            <v>-</v>
          </cell>
        </row>
        <row r="88">
          <cell r="A88" t="str">
            <v>Sheraton Hotel</v>
          </cell>
          <cell r="B88">
            <v>3</v>
          </cell>
          <cell r="C88">
            <v>1</v>
          </cell>
          <cell r="H88">
            <v>1</v>
          </cell>
          <cell r="I88">
            <v>502</v>
          </cell>
          <cell r="J88">
            <v>2</v>
          </cell>
          <cell r="K88">
            <v>287</v>
          </cell>
          <cell r="L88">
            <v>2</v>
          </cell>
          <cell r="M88">
            <v>301</v>
          </cell>
          <cell r="N88" t="str">
            <v>-</v>
          </cell>
          <cell r="O88" t="str">
            <v>-</v>
          </cell>
          <cell r="P88" t="str">
            <v>-</v>
          </cell>
          <cell r="Q88" t="str">
            <v>-</v>
          </cell>
          <cell r="R88" t="str">
            <v>-</v>
          </cell>
          <cell r="S88" t="str">
            <v>-</v>
          </cell>
          <cell r="T88" t="str">
            <v>-</v>
          </cell>
          <cell r="U88" t="str">
            <v>-</v>
          </cell>
        </row>
        <row r="89">
          <cell r="A89" t="str">
            <v>Shilo Inn</v>
          </cell>
          <cell r="F89">
            <v>2</v>
          </cell>
          <cell r="G89">
            <v>271</v>
          </cell>
        </row>
        <row r="90">
          <cell r="A90" t="str">
            <v>Shoney's Inn</v>
          </cell>
          <cell r="C90">
            <v>2</v>
          </cell>
          <cell r="D90">
            <v>7</v>
          </cell>
          <cell r="E90">
            <v>9</v>
          </cell>
          <cell r="F90">
            <v>9</v>
          </cell>
          <cell r="G90">
            <v>573</v>
          </cell>
          <cell r="H90">
            <v>2</v>
          </cell>
          <cell r="I90">
            <v>103</v>
          </cell>
          <cell r="J90">
            <v>7</v>
          </cell>
          <cell r="K90">
            <v>407</v>
          </cell>
          <cell r="L90">
            <v>4</v>
          </cell>
          <cell r="M90">
            <v>253</v>
          </cell>
          <cell r="N90" t="str">
            <v>-</v>
          </cell>
          <cell r="O90" t="str">
            <v>-</v>
          </cell>
          <cell r="P90" t="str">
            <v>-</v>
          </cell>
          <cell r="Q90" t="str">
            <v>-</v>
          </cell>
          <cell r="R90" t="str">
            <v>-</v>
          </cell>
          <cell r="S90" t="str">
            <v>-</v>
          </cell>
          <cell r="T90" t="str">
            <v>-</v>
          </cell>
          <cell r="U90" t="str">
            <v>-</v>
          </cell>
        </row>
        <row r="91">
          <cell r="A91" t="str">
            <v>Sierra Suites</v>
          </cell>
          <cell r="H91">
            <v>4</v>
          </cell>
          <cell r="I91">
            <v>390</v>
          </cell>
          <cell r="J91">
            <v>8</v>
          </cell>
          <cell r="K91">
            <v>995</v>
          </cell>
          <cell r="L91">
            <v>2</v>
          </cell>
          <cell r="M91">
            <v>232</v>
          </cell>
          <cell r="N91" t="str">
            <v>-</v>
          </cell>
          <cell r="O91" t="str">
            <v>-</v>
          </cell>
          <cell r="P91" t="str">
            <v>-</v>
          </cell>
          <cell r="Q91" t="str">
            <v>-</v>
          </cell>
          <cell r="R91" t="str">
            <v>-</v>
          </cell>
          <cell r="S91" t="str">
            <v>-</v>
          </cell>
          <cell r="T91" t="str">
            <v>-</v>
          </cell>
          <cell r="U91" t="str">
            <v>-</v>
          </cell>
        </row>
        <row r="92">
          <cell r="A92" t="str">
            <v>Sleep Inn</v>
          </cell>
          <cell r="B92">
            <v>5</v>
          </cell>
          <cell r="C92">
            <v>6</v>
          </cell>
          <cell r="D92">
            <v>21</v>
          </cell>
          <cell r="E92">
            <v>26</v>
          </cell>
          <cell r="F92">
            <v>44</v>
          </cell>
          <cell r="G92">
            <v>3179</v>
          </cell>
          <cell r="H92">
            <v>40</v>
          </cell>
          <cell r="I92">
            <v>2895</v>
          </cell>
          <cell r="J92">
            <v>36</v>
          </cell>
          <cell r="K92">
            <v>3003</v>
          </cell>
          <cell r="L92">
            <v>33</v>
          </cell>
          <cell r="M92">
            <v>2575</v>
          </cell>
          <cell r="N92" t="str">
            <v>-</v>
          </cell>
          <cell r="O92" t="str">
            <v>-</v>
          </cell>
          <cell r="P92" t="str">
            <v>-</v>
          </cell>
          <cell r="Q92" t="str">
            <v>-</v>
          </cell>
          <cell r="R92" t="str">
            <v>-</v>
          </cell>
          <cell r="S92" t="str">
            <v>-</v>
          </cell>
          <cell r="T92" t="str">
            <v>-</v>
          </cell>
          <cell r="U92" t="str">
            <v>-</v>
          </cell>
        </row>
        <row r="93">
          <cell r="A93" t="str">
            <v>SpringHill Suites</v>
          </cell>
          <cell r="H93">
            <v>3</v>
          </cell>
          <cell r="I93">
            <v>336</v>
          </cell>
          <cell r="J93">
            <v>16</v>
          </cell>
          <cell r="K93">
            <v>1568</v>
          </cell>
          <cell r="L93">
            <v>15</v>
          </cell>
          <cell r="M93">
            <v>1547</v>
          </cell>
          <cell r="N93" t="str">
            <v>-</v>
          </cell>
          <cell r="O93" t="str">
            <v>-</v>
          </cell>
          <cell r="P93" t="str">
            <v>-</v>
          </cell>
          <cell r="Q93" t="str">
            <v>-</v>
          </cell>
          <cell r="R93" t="str">
            <v>-</v>
          </cell>
          <cell r="S93" t="str">
            <v>-</v>
          </cell>
          <cell r="T93" t="str">
            <v>-</v>
          </cell>
          <cell r="U93" t="str">
            <v>-</v>
          </cell>
        </row>
        <row r="94">
          <cell r="A94" t="str">
            <v>Staybridge Suites</v>
          </cell>
          <cell r="J94">
            <v>1</v>
          </cell>
          <cell r="K94">
            <v>118</v>
          </cell>
          <cell r="L94">
            <v>10</v>
          </cell>
          <cell r="M94">
            <v>1157</v>
          </cell>
          <cell r="N94" t="str">
            <v>-</v>
          </cell>
          <cell r="O94" t="str">
            <v>-</v>
          </cell>
          <cell r="P94" t="str">
            <v>-</v>
          </cell>
          <cell r="Q94" t="str">
            <v>-</v>
          </cell>
          <cell r="R94" t="str">
            <v>-</v>
          </cell>
          <cell r="S94" t="str">
            <v>-</v>
          </cell>
          <cell r="T94" t="str">
            <v>-</v>
          </cell>
          <cell r="U94" t="str">
            <v>-</v>
          </cell>
        </row>
        <row r="95">
          <cell r="A95" t="str">
            <v>StudioPlus Hotel</v>
          </cell>
          <cell r="B95">
            <v>1</v>
          </cell>
          <cell r="C95">
            <v>2</v>
          </cell>
          <cell r="D95">
            <v>1</v>
          </cell>
          <cell r="E95">
            <v>4</v>
          </cell>
          <cell r="F95">
            <v>13</v>
          </cell>
          <cell r="G95">
            <v>925</v>
          </cell>
          <cell r="H95">
            <v>31</v>
          </cell>
          <cell r="I95">
            <v>2402</v>
          </cell>
          <cell r="J95">
            <v>26</v>
          </cell>
          <cell r="K95">
            <v>2125</v>
          </cell>
          <cell r="L95">
            <v>15</v>
          </cell>
          <cell r="M95">
            <v>1338</v>
          </cell>
          <cell r="N95" t="str">
            <v>-</v>
          </cell>
          <cell r="O95" t="str">
            <v>-</v>
          </cell>
          <cell r="P95" t="str">
            <v>-</v>
          </cell>
          <cell r="Q95" t="str">
            <v>-</v>
          </cell>
          <cell r="R95" t="str">
            <v>-</v>
          </cell>
          <cell r="S95" t="str">
            <v>-</v>
          </cell>
          <cell r="T95" t="str">
            <v>-</v>
          </cell>
          <cell r="U95" t="str">
            <v>-</v>
          </cell>
        </row>
        <row r="96">
          <cell r="A96" t="str">
            <v>Suburban Lodge</v>
          </cell>
          <cell r="F96">
            <v>9</v>
          </cell>
          <cell r="G96">
            <v>1248</v>
          </cell>
          <cell r="H96">
            <v>31</v>
          </cell>
          <cell r="I96">
            <v>4038</v>
          </cell>
          <cell r="J96">
            <v>27</v>
          </cell>
          <cell r="K96">
            <v>3694</v>
          </cell>
          <cell r="L96">
            <v>23</v>
          </cell>
          <cell r="M96">
            <v>3039</v>
          </cell>
          <cell r="N96" t="str">
            <v>-</v>
          </cell>
          <cell r="O96" t="str">
            <v>-</v>
          </cell>
          <cell r="P96" t="str">
            <v>-</v>
          </cell>
          <cell r="Q96" t="str">
            <v>-</v>
          </cell>
          <cell r="R96" t="str">
            <v>-</v>
          </cell>
          <cell r="S96" t="str">
            <v>-</v>
          </cell>
          <cell r="T96" t="str">
            <v>-</v>
          </cell>
          <cell r="U96" t="str">
            <v>-</v>
          </cell>
        </row>
        <row r="97">
          <cell r="A97" t="str">
            <v>Suite Carolina</v>
          </cell>
          <cell r="J97">
            <v>1</v>
          </cell>
          <cell r="K97">
            <v>69</v>
          </cell>
          <cell r="N97" t="str">
            <v>-</v>
          </cell>
          <cell r="O97" t="str">
            <v>-</v>
          </cell>
          <cell r="P97" t="str">
            <v>-</v>
          </cell>
          <cell r="Q97" t="str">
            <v>-</v>
          </cell>
          <cell r="R97" t="str">
            <v>-</v>
          </cell>
          <cell r="S97" t="str">
            <v>-</v>
          </cell>
          <cell r="T97" t="str">
            <v>-</v>
          </cell>
          <cell r="U97" t="str">
            <v>-</v>
          </cell>
        </row>
        <row r="98">
          <cell r="A98" t="str">
            <v>Summerfield Suites by Wyndham</v>
          </cell>
          <cell r="C98">
            <v>1</v>
          </cell>
          <cell r="E98">
            <v>2</v>
          </cell>
          <cell r="F98">
            <v>3</v>
          </cell>
          <cell r="G98">
            <v>396</v>
          </cell>
          <cell r="H98">
            <v>4</v>
          </cell>
          <cell r="I98">
            <v>556</v>
          </cell>
          <cell r="J98">
            <v>3</v>
          </cell>
          <cell r="K98">
            <v>394</v>
          </cell>
          <cell r="L98">
            <v>1</v>
          </cell>
          <cell r="M98">
            <v>157</v>
          </cell>
          <cell r="N98" t="str">
            <v>-</v>
          </cell>
          <cell r="O98" t="str">
            <v>-</v>
          </cell>
          <cell r="P98" t="str">
            <v>-</v>
          </cell>
          <cell r="Q98" t="str">
            <v>-</v>
          </cell>
          <cell r="R98" t="str">
            <v>-</v>
          </cell>
          <cell r="S98" t="str">
            <v>-</v>
          </cell>
          <cell r="T98" t="str">
            <v>-</v>
          </cell>
          <cell r="U98" t="str">
            <v>-</v>
          </cell>
        </row>
        <row r="99">
          <cell r="A99" t="str">
            <v>Sumner Suites</v>
          </cell>
          <cell r="F99">
            <v>11</v>
          </cell>
          <cell r="G99">
            <v>1341</v>
          </cell>
          <cell r="H99">
            <v>5</v>
          </cell>
          <cell r="I99">
            <v>590</v>
          </cell>
          <cell r="J99">
            <v>6</v>
          </cell>
          <cell r="K99">
            <v>753</v>
          </cell>
          <cell r="L99">
            <v>4</v>
          </cell>
          <cell r="M99">
            <v>529</v>
          </cell>
          <cell r="N99" t="str">
            <v>-</v>
          </cell>
          <cell r="O99" t="str">
            <v>-</v>
          </cell>
          <cell r="P99" t="str">
            <v>-</v>
          </cell>
          <cell r="Q99" t="str">
            <v>-</v>
          </cell>
          <cell r="R99" t="str">
            <v>-</v>
          </cell>
          <cell r="S99" t="str">
            <v>-</v>
          </cell>
          <cell r="T99" t="str">
            <v>-</v>
          </cell>
          <cell r="U99" t="str">
            <v>-</v>
          </cell>
        </row>
        <row r="100">
          <cell r="A100" t="str">
            <v>Sun Suites</v>
          </cell>
          <cell r="F100">
            <v>2</v>
          </cell>
          <cell r="G100">
            <v>229</v>
          </cell>
          <cell r="H100">
            <v>3</v>
          </cell>
          <cell r="I100">
            <v>359</v>
          </cell>
          <cell r="J100">
            <v>4</v>
          </cell>
          <cell r="K100">
            <v>501</v>
          </cell>
          <cell r="L100">
            <v>5</v>
          </cell>
          <cell r="M100">
            <v>675</v>
          </cell>
          <cell r="N100" t="str">
            <v>-</v>
          </cell>
          <cell r="O100" t="str">
            <v>-</v>
          </cell>
          <cell r="P100" t="str">
            <v>-</v>
          </cell>
          <cell r="Q100" t="str">
            <v>-</v>
          </cell>
          <cell r="R100" t="str">
            <v>-</v>
          </cell>
          <cell r="S100" t="str">
            <v>-</v>
          </cell>
          <cell r="T100" t="str">
            <v>-</v>
          </cell>
          <cell r="U100" t="str">
            <v>-</v>
          </cell>
        </row>
        <row r="101">
          <cell r="A101" t="str">
            <v>Super 8</v>
          </cell>
          <cell r="B101">
            <v>54</v>
          </cell>
          <cell r="C101">
            <v>58</v>
          </cell>
          <cell r="D101">
            <v>62</v>
          </cell>
          <cell r="E101">
            <v>38</v>
          </cell>
          <cell r="F101">
            <v>80</v>
          </cell>
          <cell r="G101">
            <v>4409</v>
          </cell>
          <cell r="H101">
            <v>71</v>
          </cell>
          <cell r="I101">
            <v>3384</v>
          </cell>
          <cell r="J101">
            <v>61</v>
          </cell>
          <cell r="K101">
            <v>3309</v>
          </cell>
          <cell r="L101">
            <v>69</v>
          </cell>
          <cell r="M101">
            <v>3538</v>
          </cell>
          <cell r="N101" t="str">
            <v>-</v>
          </cell>
          <cell r="O101" t="str">
            <v>-</v>
          </cell>
          <cell r="P101" t="str">
            <v>-</v>
          </cell>
          <cell r="Q101" t="str">
            <v>-</v>
          </cell>
          <cell r="R101" t="str">
            <v>-</v>
          </cell>
          <cell r="S101" t="str">
            <v>-</v>
          </cell>
          <cell r="T101" t="str">
            <v>-</v>
          </cell>
          <cell r="U101" t="str">
            <v>-</v>
          </cell>
        </row>
        <row r="102">
          <cell r="A102" t="str">
            <v>Susse Chalet</v>
          </cell>
          <cell r="N102" t="str">
            <v>-</v>
          </cell>
          <cell r="O102" t="str">
            <v>-</v>
          </cell>
          <cell r="P102" t="str">
            <v>-</v>
          </cell>
          <cell r="Q102" t="str">
            <v>-</v>
          </cell>
          <cell r="R102" t="str">
            <v>-</v>
          </cell>
          <cell r="S102" t="str">
            <v>-</v>
          </cell>
          <cell r="T102" t="str">
            <v>-</v>
          </cell>
          <cell r="U102" t="str">
            <v>-</v>
          </cell>
        </row>
        <row r="103">
          <cell r="A103" t="str">
            <v>Swissotel</v>
          </cell>
          <cell r="N103" t="str">
            <v>-</v>
          </cell>
          <cell r="O103" t="str">
            <v>-</v>
          </cell>
          <cell r="P103" t="str">
            <v>-</v>
          </cell>
          <cell r="Q103" t="str">
            <v>-</v>
          </cell>
          <cell r="R103" t="str">
            <v>-</v>
          </cell>
          <cell r="S103" t="str">
            <v>-</v>
          </cell>
          <cell r="T103" t="str">
            <v>-</v>
          </cell>
          <cell r="U103" t="str">
            <v>-</v>
          </cell>
        </row>
        <row r="104">
          <cell r="A104" t="str">
            <v>TownePlace Suites</v>
          </cell>
          <cell r="H104">
            <v>2</v>
          </cell>
          <cell r="I104">
            <v>184</v>
          </cell>
          <cell r="J104">
            <v>16</v>
          </cell>
          <cell r="K104">
            <v>1620</v>
          </cell>
          <cell r="L104">
            <v>45</v>
          </cell>
          <cell r="M104">
            <v>4507</v>
          </cell>
          <cell r="N104" t="str">
            <v>-</v>
          </cell>
          <cell r="O104" t="str">
            <v>-</v>
          </cell>
          <cell r="P104" t="str">
            <v>-</v>
          </cell>
          <cell r="Q104" t="str">
            <v>-</v>
          </cell>
          <cell r="R104" t="str">
            <v>-</v>
          </cell>
          <cell r="S104" t="str">
            <v>-</v>
          </cell>
          <cell r="T104" t="str">
            <v>-</v>
          </cell>
          <cell r="U104" t="str">
            <v>-</v>
          </cell>
        </row>
        <row r="105">
          <cell r="A105" t="str">
            <v>Travelodge</v>
          </cell>
          <cell r="B105">
            <v>11</v>
          </cell>
          <cell r="C105">
            <v>5</v>
          </cell>
          <cell r="D105">
            <v>8</v>
          </cell>
          <cell r="E105">
            <v>1</v>
          </cell>
          <cell r="F105">
            <v>10</v>
          </cell>
          <cell r="G105">
            <v>640</v>
          </cell>
          <cell r="H105">
            <v>16</v>
          </cell>
          <cell r="I105">
            <v>853</v>
          </cell>
          <cell r="J105">
            <v>5</v>
          </cell>
          <cell r="K105">
            <v>451</v>
          </cell>
          <cell r="L105">
            <v>10</v>
          </cell>
          <cell r="M105">
            <v>572</v>
          </cell>
          <cell r="N105" t="str">
            <v>-</v>
          </cell>
          <cell r="O105" t="str">
            <v>-</v>
          </cell>
          <cell r="P105" t="str">
            <v>-</v>
          </cell>
          <cell r="Q105" t="str">
            <v>-</v>
          </cell>
          <cell r="R105" t="str">
            <v>-</v>
          </cell>
          <cell r="S105" t="str">
            <v>-</v>
          </cell>
          <cell r="T105" t="str">
            <v>-</v>
          </cell>
          <cell r="U105" t="str">
            <v>-</v>
          </cell>
        </row>
        <row r="106">
          <cell r="A106" t="str">
            <v>Vagabond Inn</v>
          </cell>
        </row>
        <row r="107">
          <cell r="A107" t="str">
            <v>Villager Lodge</v>
          </cell>
          <cell r="F107">
            <v>2</v>
          </cell>
          <cell r="G107">
            <v>84</v>
          </cell>
          <cell r="H107">
            <v>4</v>
          </cell>
          <cell r="I107">
            <v>351</v>
          </cell>
          <cell r="N107" t="str">
            <v>-</v>
          </cell>
          <cell r="O107" t="str">
            <v>-</v>
          </cell>
          <cell r="P107" t="str">
            <v>-</v>
          </cell>
          <cell r="Q107" t="str">
            <v>-</v>
          </cell>
          <cell r="R107" t="str">
            <v>-</v>
          </cell>
          <cell r="S107" t="str">
            <v>-</v>
          </cell>
          <cell r="T107" t="str">
            <v>-</v>
          </cell>
          <cell r="U107" t="str">
            <v>-</v>
          </cell>
        </row>
        <row r="108">
          <cell r="A108" t="str">
            <v>W Hotel</v>
          </cell>
          <cell r="L108">
            <v>2</v>
          </cell>
          <cell r="M108">
            <v>849</v>
          </cell>
          <cell r="N108" t="str">
            <v>-</v>
          </cell>
          <cell r="O108" t="str">
            <v>-</v>
          </cell>
          <cell r="P108" t="str">
            <v>-</v>
          </cell>
          <cell r="Q108" t="str">
            <v>-</v>
          </cell>
          <cell r="R108" t="str">
            <v>-</v>
          </cell>
          <cell r="S108" t="str">
            <v>-</v>
          </cell>
          <cell r="T108" t="str">
            <v>-</v>
          </cell>
          <cell r="U108" t="str">
            <v>-</v>
          </cell>
        </row>
        <row r="109">
          <cell r="A109" t="str">
            <v>Wellesley Inn</v>
          </cell>
          <cell r="C109">
            <v>1</v>
          </cell>
          <cell r="D109">
            <v>2</v>
          </cell>
          <cell r="L109">
            <v>1</v>
          </cell>
          <cell r="M109">
            <v>87</v>
          </cell>
          <cell r="N109" t="str">
            <v>-</v>
          </cell>
          <cell r="O109" t="str">
            <v>-</v>
          </cell>
          <cell r="P109" t="str">
            <v>-</v>
          </cell>
          <cell r="Q109" t="str">
            <v>-</v>
          </cell>
          <cell r="R109" t="str">
            <v>-</v>
          </cell>
          <cell r="S109" t="str">
            <v>-</v>
          </cell>
          <cell r="T109" t="str">
            <v>-</v>
          </cell>
          <cell r="U109" t="str">
            <v>-</v>
          </cell>
        </row>
        <row r="110">
          <cell r="A110" t="str">
            <v>Westin  Hotel</v>
          </cell>
          <cell r="B110">
            <v>1</v>
          </cell>
          <cell r="D110">
            <v>2</v>
          </cell>
          <cell r="L110">
            <v>4</v>
          </cell>
          <cell r="M110">
            <v>1590</v>
          </cell>
          <cell r="N110" t="str">
            <v>-</v>
          </cell>
          <cell r="O110" t="str">
            <v>-</v>
          </cell>
          <cell r="P110" t="str">
            <v>-</v>
          </cell>
          <cell r="Q110" t="str">
            <v>-</v>
          </cell>
          <cell r="R110" t="str">
            <v>-</v>
          </cell>
          <cell r="S110" t="str">
            <v>-</v>
          </cell>
          <cell r="T110" t="str">
            <v>-</v>
          </cell>
          <cell r="U110" t="str">
            <v>-</v>
          </cell>
        </row>
        <row r="111">
          <cell r="A111" t="str">
            <v>Wilson Inn</v>
          </cell>
          <cell r="N111" t="str">
            <v>-</v>
          </cell>
          <cell r="O111" t="str">
            <v>-</v>
          </cell>
          <cell r="P111" t="str">
            <v>-</v>
          </cell>
          <cell r="Q111" t="str">
            <v>-</v>
          </cell>
          <cell r="R111" t="str">
            <v>-</v>
          </cell>
          <cell r="S111" t="str">
            <v>-</v>
          </cell>
          <cell r="T111" t="str">
            <v>-</v>
          </cell>
          <cell r="U111" t="str">
            <v>-</v>
          </cell>
        </row>
        <row r="112">
          <cell r="A112" t="str">
            <v>Wingate Inn</v>
          </cell>
          <cell r="F112">
            <v>4</v>
          </cell>
          <cell r="G112">
            <v>407</v>
          </cell>
          <cell r="H112">
            <v>18</v>
          </cell>
          <cell r="I112">
            <v>1653</v>
          </cell>
          <cell r="J112">
            <v>32</v>
          </cell>
          <cell r="K112">
            <v>3036</v>
          </cell>
          <cell r="L112">
            <v>23</v>
          </cell>
          <cell r="M112">
            <v>2123</v>
          </cell>
          <cell r="N112" t="str">
            <v>-</v>
          </cell>
          <cell r="O112" t="str">
            <v>-</v>
          </cell>
          <cell r="P112" t="str">
            <v>-</v>
          </cell>
          <cell r="Q112" t="str">
            <v>-</v>
          </cell>
          <cell r="R112" t="str">
            <v>-</v>
          </cell>
          <cell r="S112" t="str">
            <v>-</v>
          </cell>
          <cell r="T112" t="str">
            <v>-</v>
          </cell>
          <cell r="U112" t="str">
            <v>-</v>
          </cell>
        </row>
        <row r="113">
          <cell r="A113" t="str">
            <v>Woodfield Suites</v>
          </cell>
          <cell r="H113">
            <v>2</v>
          </cell>
          <cell r="I113">
            <v>271</v>
          </cell>
          <cell r="L113">
            <v>2</v>
          </cell>
          <cell r="M113">
            <v>282</v>
          </cell>
          <cell r="N113" t="str">
            <v>-</v>
          </cell>
          <cell r="O113" t="str">
            <v>-</v>
          </cell>
          <cell r="P113" t="str">
            <v>-</v>
          </cell>
          <cell r="Q113" t="str">
            <v>-</v>
          </cell>
          <cell r="R113" t="str">
            <v>-</v>
          </cell>
          <cell r="S113" t="str">
            <v>-</v>
          </cell>
          <cell r="T113" t="str">
            <v>-</v>
          </cell>
          <cell r="U113" t="str">
            <v>-</v>
          </cell>
        </row>
        <row r="114">
          <cell r="A114" t="str">
            <v>Woodfin Suites</v>
          </cell>
          <cell r="L114">
            <v>1</v>
          </cell>
          <cell r="M114">
            <v>156</v>
          </cell>
          <cell r="N114" t="str">
            <v>-</v>
          </cell>
          <cell r="O114" t="str">
            <v>-</v>
          </cell>
          <cell r="P114" t="str">
            <v>-</v>
          </cell>
          <cell r="Q114" t="str">
            <v>-</v>
          </cell>
          <cell r="R114" t="str">
            <v>-</v>
          </cell>
          <cell r="S114" t="str">
            <v>-</v>
          </cell>
          <cell r="T114" t="str">
            <v>-</v>
          </cell>
          <cell r="U114" t="str">
            <v>-</v>
          </cell>
        </row>
        <row r="115">
          <cell r="A115" t="str">
            <v xml:space="preserve">Wyndham Garden </v>
          </cell>
          <cell r="B115">
            <v>1</v>
          </cell>
          <cell r="F115">
            <v>1</v>
          </cell>
          <cell r="G115">
            <v>137</v>
          </cell>
          <cell r="H115">
            <v>3</v>
          </cell>
          <cell r="I115">
            <v>543</v>
          </cell>
          <cell r="J115">
            <v>2</v>
          </cell>
          <cell r="K115">
            <v>395</v>
          </cell>
          <cell r="L115">
            <v>2</v>
          </cell>
          <cell r="M115">
            <v>390</v>
          </cell>
          <cell r="N115" t="str">
            <v>-</v>
          </cell>
          <cell r="O115" t="str">
            <v>-</v>
          </cell>
          <cell r="P115" t="str">
            <v>-</v>
          </cell>
          <cell r="Q115" t="str">
            <v>-</v>
          </cell>
          <cell r="R115" t="str">
            <v>-</v>
          </cell>
          <cell r="S115" t="str">
            <v>-</v>
          </cell>
          <cell r="T115" t="str">
            <v>-</v>
          </cell>
          <cell r="U115" t="str">
            <v>-</v>
          </cell>
        </row>
        <row r="116">
          <cell r="A116" t="str">
            <v>Wyndham Hotel</v>
          </cell>
          <cell r="E116">
            <v>1</v>
          </cell>
          <cell r="F116">
            <v>1</v>
          </cell>
          <cell r="G116">
            <v>202</v>
          </cell>
          <cell r="L116">
            <v>2</v>
          </cell>
          <cell r="M116">
            <v>780</v>
          </cell>
          <cell r="N116" t="str">
            <v>-</v>
          </cell>
          <cell r="O116" t="str">
            <v>-</v>
          </cell>
          <cell r="P116" t="str">
            <v>-</v>
          </cell>
          <cell r="Q116" t="str">
            <v>-</v>
          </cell>
          <cell r="R116" t="str">
            <v>-</v>
          </cell>
          <cell r="S116" t="str">
            <v>-</v>
          </cell>
          <cell r="T116" t="str">
            <v>-</v>
          </cell>
          <cell r="U116" t="str">
            <v>-</v>
          </cell>
        </row>
      </sheetData>
      <sheetData sheetId="2"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and lookup"/>
      <sheetName val="PIVOTS"/>
      <sheetName val="CENSUS LOOKUP"/>
      <sheetName val="TRACT LOOKUP"/>
      <sheetName val="CHAIN LOOKUP"/>
      <sheetName val="rawdata"/>
      <sheetName val="Sheet2"/>
      <sheetName val="Sheet3"/>
    </sheetNames>
    <sheetDataSet>
      <sheetData sheetId="0" refreshError="1">
        <row r="212">
          <cell r="B212" t="str">
            <v>Budget Suites of America</v>
          </cell>
          <cell r="C212">
            <v>7</v>
          </cell>
          <cell r="D212">
            <v>3416</v>
          </cell>
          <cell r="E212">
            <v>0</v>
          </cell>
          <cell r="F212">
            <v>0</v>
          </cell>
          <cell r="G212">
            <v>0</v>
          </cell>
          <cell r="H212">
            <v>0</v>
          </cell>
        </row>
        <row r="213">
          <cell r="B213" t="str">
            <v>Days Inn</v>
          </cell>
          <cell r="C213">
            <v>3</v>
          </cell>
          <cell r="D213">
            <v>834</v>
          </cell>
          <cell r="E213">
            <v>0</v>
          </cell>
          <cell r="F213">
            <v>0</v>
          </cell>
          <cell r="G213">
            <v>0</v>
          </cell>
          <cell r="H213">
            <v>0</v>
          </cell>
        </row>
        <row r="214">
          <cell r="B214" t="str">
            <v>Hilton Hotel</v>
          </cell>
          <cell r="C214">
            <v>3</v>
          </cell>
          <cell r="D214">
            <v>6743</v>
          </cell>
          <cell r="E214">
            <v>0</v>
          </cell>
          <cell r="F214">
            <v>0</v>
          </cell>
          <cell r="G214">
            <v>0</v>
          </cell>
          <cell r="H214">
            <v>0</v>
          </cell>
        </row>
        <row r="215">
          <cell r="B215" t="str">
            <v>Holiday Inn</v>
          </cell>
          <cell r="C215">
            <v>3</v>
          </cell>
          <cell r="D215">
            <v>1606</v>
          </cell>
          <cell r="E215">
            <v>0</v>
          </cell>
          <cell r="F215">
            <v>0</v>
          </cell>
          <cell r="G215">
            <v>0</v>
          </cell>
          <cell r="H215">
            <v>0</v>
          </cell>
        </row>
        <row r="216">
          <cell r="B216" t="str">
            <v>Hyatt Hotel</v>
          </cell>
          <cell r="C216">
            <v>2</v>
          </cell>
          <cell r="D216">
            <v>992</v>
          </cell>
          <cell r="E216">
            <v>0</v>
          </cell>
          <cell r="F216">
            <v>0</v>
          </cell>
          <cell r="G216">
            <v>0</v>
          </cell>
          <cell r="H216">
            <v>0</v>
          </cell>
        </row>
        <row r="217">
          <cell r="B217" t="str">
            <v>Motel 6</v>
          </cell>
          <cell r="C217">
            <v>3</v>
          </cell>
          <cell r="D217">
            <v>908</v>
          </cell>
          <cell r="E217">
            <v>0</v>
          </cell>
          <cell r="F217">
            <v>0</v>
          </cell>
          <cell r="G217">
            <v>0</v>
          </cell>
          <cell r="H217">
            <v>0</v>
          </cell>
        </row>
        <row r="218">
          <cell r="B218" t="str">
            <v>Residence Inn</v>
          </cell>
          <cell r="C218">
            <v>4</v>
          </cell>
          <cell r="D218">
            <v>830</v>
          </cell>
          <cell r="E218">
            <v>0</v>
          </cell>
          <cell r="F218">
            <v>0</v>
          </cell>
          <cell r="G218">
            <v>0</v>
          </cell>
          <cell r="H218">
            <v>0</v>
          </cell>
        </row>
        <row r="219">
          <cell r="B219" t="str">
            <v>Sheraton Hotel</v>
          </cell>
          <cell r="C219">
            <v>1</v>
          </cell>
          <cell r="D219">
            <v>821</v>
          </cell>
          <cell r="E219">
            <v>0</v>
          </cell>
          <cell r="F219">
            <v>0</v>
          </cell>
          <cell r="G219">
            <v>0</v>
          </cell>
          <cell r="H219">
            <v>0</v>
          </cell>
        </row>
        <row r="221">
          <cell r="B221" t="str">
            <v>ACCOR</v>
          </cell>
          <cell r="C221">
            <v>3</v>
          </cell>
          <cell r="D221">
            <v>908</v>
          </cell>
          <cell r="E221">
            <v>0</v>
          </cell>
          <cell r="F221">
            <v>0</v>
          </cell>
          <cell r="G221">
            <v>0</v>
          </cell>
          <cell r="H221">
            <v>0</v>
          </cell>
        </row>
        <row r="222">
          <cell r="B222" t="str">
            <v>Bass Hotels &amp; Resorts</v>
          </cell>
          <cell r="C222">
            <v>7</v>
          </cell>
          <cell r="D222">
            <v>2041</v>
          </cell>
          <cell r="E222">
            <v>1</v>
          </cell>
          <cell r="F222">
            <v>74</v>
          </cell>
          <cell r="G222">
            <v>1</v>
          </cell>
          <cell r="H222">
            <v>101</v>
          </cell>
        </row>
        <row r="223">
          <cell r="B223" t="str">
            <v>Bigelow Cos.</v>
          </cell>
          <cell r="C223">
            <v>7</v>
          </cell>
          <cell r="D223">
            <v>3416</v>
          </cell>
          <cell r="E223">
            <v>0</v>
          </cell>
          <cell r="F223">
            <v>0</v>
          </cell>
          <cell r="G223">
            <v>0</v>
          </cell>
          <cell r="H223">
            <v>0</v>
          </cell>
        </row>
        <row r="224">
          <cell r="B224" t="str">
            <v>Cendant</v>
          </cell>
          <cell r="C224">
            <v>19</v>
          </cell>
          <cell r="D224">
            <v>3299</v>
          </cell>
          <cell r="E224">
            <v>0</v>
          </cell>
          <cell r="F224">
            <v>0</v>
          </cell>
          <cell r="G224">
            <v>0</v>
          </cell>
          <cell r="H224">
            <v>0</v>
          </cell>
        </row>
        <row r="225">
          <cell r="B225" t="str">
            <v>Hilton Hotel Corp.</v>
          </cell>
          <cell r="C225">
            <v>9</v>
          </cell>
          <cell r="D225">
            <v>7992</v>
          </cell>
          <cell r="E225">
            <v>1</v>
          </cell>
          <cell r="F225">
            <v>286</v>
          </cell>
          <cell r="G225">
            <v>0</v>
          </cell>
          <cell r="H225">
            <v>0</v>
          </cell>
        </row>
        <row r="226">
          <cell r="B226" t="str">
            <v>Hyatt Hotel Corp.</v>
          </cell>
          <cell r="C226">
            <v>2</v>
          </cell>
          <cell r="D226">
            <v>992</v>
          </cell>
          <cell r="E226">
            <v>0</v>
          </cell>
          <cell r="F226">
            <v>0</v>
          </cell>
          <cell r="G226">
            <v>0</v>
          </cell>
          <cell r="H226">
            <v>0</v>
          </cell>
        </row>
        <row r="227">
          <cell r="B227" t="str">
            <v>Marriott Int'l</v>
          </cell>
          <cell r="C227">
            <v>9</v>
          </cell>
          <cell r="D227">
            <v>1695</v>
          </cell>
          <cell r="E227">
            <v>1</v>
          </cell>
          <cell r="F227">
            <v>154</v>
          </cell>
          <cell r="G227">
            <v>0</v>
          </cell>
          <cell r="H227">
            <v>0</v>
          </cell>
        </row>
        <row r="228">
          <cell r="B228" t="str">
            <v>Starwood Hotels</v>
          </cell>
          <cell r="C228">
            <v>1</v>
          </cell>
          <cell r="D228">
            <v>821</v>
          </cell>
          <cell r="E228">
            <v>0</v>
          </cell>
          <cell r="F228">
            <v>0</v>
          </cell>
          <cell r="G228">
            <v>0</v>
          </cell>
          <cell r="H228">
            <v>0</v>
          </cell>
        </row>
        <row r="230">
          <cell r="B230" t="str">
            <v>Economy</v>
          </cell>
          <cell r="C230">
            <v>26</v>
          </cell>
          <cell r="D230">
            <v>4251</v>
          </cell>
        </row>
        <row r="231">
          <cell r="B231" t="str">
            <v>Independent</v>
          </cell>
          <cell r="C231">
            <v>228</v>
          </cell>
          <cell r="D231">
            <v>102314</v>
          </cell>
        </row>
        <row r="232">
          <cell r="B232" t="str">
            <v>Midscale w/ F&amp;B</v>
          </cell>
          <cell r="C232">
            <v>19</v>
          </cell>
          <cell r="D232">
            <v>3912</v>
          </cell>
        </row>
        <row r="233">
          <cell r="B233" t="str">
            <v>Midscale w/o F&amp;B</v>
          </cell>
          <cell r="C233">
            <v>15</v>
          </cell>
          <cell r="D233">
            <v>2075</v>
          </cell>
        </row>
        <row r="234">
          <cell r="B234" t="str">
            <v>Upper Upscale</v>
          </cell>
          <cell r="C234">
            <v>9</v>
          </cell>
          <cell r="D234">
            <v>11887</v>
          </cell>
        </row>
        <row r="235">
          <cell r="B235" t="str">
            <v>Upscale</v>
          </cell>
          <cell r="C235">
            <v>11</v>
          </cell>
          <cell r="D235">
            <v>3502</v>
          </cell>
        </row>
      </sheetData>
      <sheetData sheetId="1" refreshError="1">
        <row r="36">
          <cell r="EP36">
            <v>129283</v>
          </cell>
          <cell r="EQ36">
            <v>124286</v>
          </cell>
        </row>
      </sheetData>
      <sheetData sheetId="2"/>
      <sheetData sheetId="3"/>
      <sheetData sheetId="4"/>
      <sheetData sheetId="5"/>
      <sheetData sheetId="6" refreshError="1"/>
      <sheetData sheetId="7"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p 25 Summ full"/>
      <sheetName val="Top Cos conv full"/>
      <sheetName val="Top Cos Summ full"/>
      <sheetName val="Chain Scale Summ p1"/>
      <sheetName val="Top Cos Summ p2"/>
      <sheetName val="Top Cos conv p3"/>
      <sheetName val="Top 25 Summ p4"/>
      <sheetName val="Top 25 Summ"/>
      <sheetName val="Top 25 Pivo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AA5" t="str">
            <v>Anaheim, CA</v>
          </cell>
          <cell r="AB5">
            <v>375</v>
          </cell>
          <cell r="AC5">
            <v>51128</v>
          </cell>
          <cell r="AD5">
            <v>12</v>
          </cell>
          <cell r="AE5">
            <v>8</v>
          </cell>
          <cell r="AF5">
            <v>5</v>
          </cell>
          <cell r="AG5">
            <v>13</v>
          </cell>
          <cell r="AH5">
            <v>5</v>
          </cell>
          <cell r="AI5">
            <v>2415</v>
          </cell>
          <cell r="AJ5">
            <v>1771</v>
          </cell>
          <cell r="AK5">
            <v>863</v>
          </cell>
          <cell r="AL5">
            <v>2634</v>
          </cell>
          <cell r="AM5">
            <v>1687</v>
          </cell>
          <cell r="AN5">
            <v>15</v>
          </cell>
          <cell r="AO5">
            <v>10</v>
          </cell>
          <cell r="AP5">
            <v>5</v>
          </cell>
          <cell r="AQ5">
            <v>15</v>
          </cell>
          <cell r="AR5">
            <v>5</v>
          </cell>
          <cell r="AS5">
            <v>3448</v>
          </cell>
          <cell r="AT5">
            <v>2139</v>
          </cell>
          <cell r="AU5">
            <v>919</v>
          </cell>
          <cell r="AV5">
            <v>3058</v>
          </cell>
          <cell r="AW5">
            <v>1960</v>
          </cell>
          <cell r="AX5">
            <v>-3</v>
          </cell>
          <cell r="AY5">
            <v>-2</v>
          </cell>
          <cell r="AZ5">
            <v>0</v>
          </cell>
          <cell r="BA5">
            <v>-2</v>
          </cell>
          <cell r="BB5">
            <v>0</v>
          </cell>
          <cell r="BC5">
            <v>-1033</v>
          </cell>
          <cell r="BD5">
            <v>-368</v>
          </cell>
          <cell r="BE5">
            <v>-56</v>
          </cell>
          <cell r="BF5">
            <v>-424</v>
          </cell>
          <cell r="BG5">
            <v>-273</v>
          </cell>
          <cell r="BH5">
            <v>2</v>
          </cell>
          <cell r="BI5">
            <v>373</v>
          </cell>
          <cell r="BJ5">
            <v>5</v>
          </cell>
          <cell r="BK5">
            <v>847</v>
          </cell>
          <cell r="BL5">
            <v>4</v>
          </cell>
          <cell r="BM5">
            <v>1036</v>
          </cell>
          <cell r="BN5">
            <v>9</v>
          </cell>
          <cell r="BO5">
            <v>2438</v>
          </cell>
          <cell r="BP5">
            <v>18</v>
          </cell>
          <cell r="BQ5">
            <v>4321</v>
          </cell>
          <cell r="BR5">
            <v>18</v>
          </cell>
          <cell r="BS5">
            <v>4321</v>
          </cell>
          <cell r="BT5">
            <v>0</v>
          </cell>
        </row>
        <row r="6">
          <cell r="AA6" t="str">
            <v>Atlanta, GA</v>
          </cell>
          <cell r="AB6">
            <v>660</v>
          </cell>
          <cell r="AC6">
            <v>87040</v>
          </cell>
          <cell r="AD6">
            <v>25</v>
          </cell>
          <cell r="AE6">
            <v>14</v>
          </cell>
          <cell r="AF6">
            <v>13</v>
          </cell>
          <cell r="AG6">
            <v>27</v>
          </cell>
          <cell r="AH6">
            <v>14</v>
          </cell>
          <cell r="AI6">
            <v>2119</v>
          </cell>
          <cell r="AJ6">
            <v>1727</v>
          </cell>
          <cell r="AK6">
            <v>1676</v>
          </cell>
          <cell r="AL6">
            <v>3403</v>
          </cell>
          <cell r="AM6">
            <v>1990</v>
          </cell>
          <cell r="AN6">
            <v>26</v>
          </cell>
          <cell r="AO6">
            <v>16</v>
          </cell>
          <cell r="AP6">
            <v>16</v>
          </cell>
          <cell r="AQ6">
            <v>32</v>
          </cell>
          <cell r="AR6">
            <v>18</v>
          </cell>
          <cell r="AS6">
            <v>2543</v>
          </cell>
          <cell r="AT6">
            <v>1368</v>
          </cell>
          <cell r="AU6">
            <v>2559</v>
          </cell>
          <cell r="AV6">
            <v>3927</v>
          </cell>
          <cell r="AW6">
            <v>3236</v>
          </cell>
          <cell r="AX6">
            <v>-1</v>
          </cell>
          <cell r="AY6">
            <v>-2</v>
          </cell>
          <cell r="AZ6">
            <v>-3</v>
          </cell>
          <cell r="BA6">
            <v>-5</v>
          </cell>
          <cell r="BB6">
            <v>-4</v>
          </cell>
          <cell r="BC6">
            <v>-424</v>
          </cell>
          <cell r="BD6">
            <v>359</v>
          </cell>
          <cell r="BE6">
            <v>-883</v>
          </cell>
          <cell r="BF6">
            <v>-524</v>
          </cell>
          <cell r="BG6">
            <v>-1246</v>
          </cell>
          <cell r="BH6">
            <v>3</v>
          </cell>
          <cell r="BI6">
            <v>223</v>
          </cell>
          <cell r="BJ6">
            <v>12</v>
          </cell>
          <cell r="BK6">
            <v>884</v>
          </cell>
          <cell r="BL6">
            <v>10</v>
          </cell>
          <cell r="BM6">
            <v>1232</v>
          </cell>
          <cell r="BN6">
            <v>19</v>
          </cell>
          <cell r="BO6">
            <v>3277</v>
          </cell>
          <cell r="BP6">
            <v>41</v>
          </cell>
          <cell r="BQ6">
            <v>5393</v>
          </cell>
          <cell r="BR6">
            <v>41</v>
          </cell>
          <cell r="BS6">
            <v>5393</v>
          </cell>
          <cell r="BT6">
            <v>0</v>
          </cell>
        </row>
        <row r="7">
          <cell r="AA7" t="str">
            <v>Boston, MA</v>
          </cell>
          <cell r="AB7">
            <v>286</v>
          </cell>
          <cell r="AC7">
            <v>44501</v>
          </cell>
          <cell r="AD7">
            <v>13</v>
          </cell>
          <cell r="AE7">
            <v>18</v>
          </cell>
          <cell r="AF7">
            <v>13</v>
          </cell>
          <cell r="AG7">
            <v>31</v>
          </cell>
          <cell r="AH7">
            <v>10</v>
          </cell>
          <cell r="AI7">
            <v>1801</v>
          </cell>
          <cell r="AJ7">
            <v>2628</v>
          </cell>
          <cell r="AK7">
            <v>3343</v>
          </cell>
          <cell r="AL7">
            <v>5971</v>
          </cell>
          <cell r="AM7">
            <v>1778</v>
          </cell>
          <cell r="AN7">
            <v>16</v>
          </cell>
          <cell r="AO7">
            <v>17</v>
          </cell>
          <cell r="AP7">
            <v>16</v>
          </cell>
          <cell r="AQ7">
            <v>33</v>
          </cell>
          <cell r="AR7">
            <v>9</v>
          </cell>
          <cell r="AS7">
            <v>2375</v>
          </cell>
          <cell r="AT7">
            <v>2392</v>
          </cell>
          <cell r="AU7">
            <v>3715</v>
          </cell>
          <cell r="AV7">
            <v>6107</v>
          </cell>
          <cell r="AW7">
            <v>1353</v>
          </cell>
          <cell r="AX7">
            <v>-3</v>
          </cell>
          <cell r="AY7">
            <v>1</v>
          </cell>
          <cell r="AZ7">
            <v>-3</v>
          </cell>
          <cell r="BA7">
            <v>-2</v>
          </cell>
          <cell r="BB7">
            <v>1</v>
          </cell>
          <cell r="BC7">
            <v>-574</v>
          </cell>
          <cell r="BD7">
            <v>236</v>
          </cell>
          <cell r="BE7">
            <v>-372</v>
          </cell>
          <cell r="BF7">
            <v>-136</v>
          </cell>
          <cell r="BG7">
            <v>425</v>
          </cell>
          <cell r="BH7">
            <v>2</v>
          </cell>
          <cell r="BI7">
            <v>136</v>
          </cell>
          <cell r="BJ7">
            <v>13</v>
          </cell>
          <cell r="BK7">
            <v>1514</v>
          </cell>
          <cell r="BL7">
            <v>8</v>
          </cell>
          <cell r="BM7">
            <v>1368</v>
          </cell>
          <cell r="BN7">
            <v>20</v>
          </cell>
          <cell r="BO7">
            <v>4867</v>
          </cell>
          <cell r="BP7">
            <v>41</v>
          </cell>
          <cell r="BQ7">
            <v>7749</v>
          </cell>
          <cell r="BR7">
            <v>41</v>
          </cell>
          <cell r="BS7">
            <v>7749</v>
          </cell>
          <cell r="BT7">
            <v>0</v>
          </cell>
        </row>
        <row r="8">
          <cell r="AA8" t="str">
            <v>Chicago, IL</v>
          </cell>
          <cell r="AB8">
            <v>492</v>
          </cell>
          <cell r="AC8">
            <v>84380</v>
          </cell>
          <cell r="AD8">
            <v>16</v>
          </cell>
          <cell r="AE8">
            <v>11</v>
          </cell>
          <cell r="AF8">
            <v>21</v>
          </cell>
          <cell r="AG8">
            <v>32</v>
          </cell>
          <cell r="AH8">
            <v>12</v>
          </cell>
          <cell r="AI8">
            <v>2772</v>
          </cell>
          <cell r="AJ8">
            <v>1955</v>
          </cell>
          <cell r="AK8">
            <v>2951</v>
          </cell>
          <cell r="AL8">
            <v>4906</v>
          </cell>
          <cell r="AM8">
            <v>2737</v>
          </cell>
          <cell r="AN8">
            <v>17</v>
          </cell>
          <cell r="AO8">
            <v>15</v>
          </cell>
          <cell r="AP8">
            <v>15</v>
          </cell>
          <cell r="AQ8">
            <v>30</v>
          </cell>
          <cell r="AR8">
            <v>12</v>
          </cell>
          <cell r="AS8">
            <v>2727</v>
          </cell>
          <cell r="AT8">
            <v>2310</v>
          </cell>
          <cell r="AU8">
            <v>2303</v>
          </cell>
          <cell r="AV8">
            <v>4613</v>
          </cell>
          <cell r="AW8">
            <v>2186</v>
          </cell>
          <cell r="AX8">
            <v>-1</v>
          </cell>
          <cell r="AY8">
            <v>-4</v>
          </cell>
          <cell r="AZ8">
            <v>6</v>
          </cell>
          <cell r="BA8">
            <v>2</v>
          </cell>
          <cell r="BB8">
            <v>0</v>
          </cell>
          <cell r="BC8">
            <v>45</v>
          </cell>
          <cell r="BD8">
            <v>-355</v>
          </cell>
          <cell r="BE8">
            <v>648</v>
          </cell>
          <cell r="BF8">
            <v>293</v>
          </cell>
          <cell r="BG8">
            <v>551</v>
          </cell>
          <cell r="BH8">
            <v>3</v>
          </cell>
          <cell r="BI8">
            <v>325</v>
          </cell>
          <cell r="BJ8">
            <v>11</v>
          </cell>
          <cell r="BK8">
            <v>1859</v>
          </cell>
          <cell r="BL8">
            <v>12</v>
          </cell>
          <cell r="BM8">
            <v>1204</v>
          </cell>
          <cell r="BN8">
            <v>22</v>
          </cell>
          <cell r="BO8">
            <v>4804</v>
          </cell>
          <cell r="BP8">
            <v>45</v>
          </cell>
          <cell r="BQ8">
            <v>7867</v>
          </cell>
          <cell r="BR8">
            <v>44</v>
          </cell>
          <cell r="BS8">
            <v>7643</v>
          </cell>
          <cell r="BT8">
            <v>0</v>
          </cell>
        </row>
        <row r="9">
          <cell r="AA9" t="str">
            <v>Dallas, TX</v>
          </cell>
          <cell r="AB9">
            <v>453</v>
          </cell>
          <cell r="AC9">
            <v>64211</v>
          </cell>
          <cell r="AD9">
            <v>13</v>
          </cell>
          <cell r="AE9">
            <v>7</v>
          </cell>
          <cell r="AF9">
            <v>10</v>
          </cell>
          <cell r="AG9">
            <v>17</v>
          </cell>
          <cell r="AH9">
            <v>6</v>
          </cell>
          <cell r="AI9">
            <v>1357</v>
          </cell>
          <cell r="AJ9">
            <v>1282</v>
          </cell>
          <cell r="AK9">
            <v>1380</v>
          </cell>
          <cell r="AL9">
            <v>2662</v>
          </cell>
          <cell r="AM9">
            <v>962</v>
          </cell>
          <cell r="AN9">
            <v>17</v>
          </cell>
          <cell r="AO9">
            <v>9</v>
          </cell>
          <cell r="AP9">
            <v>11</v>
          </cell>
          <cell r="AQ9">
            <v>20</v>
          </cell>
          <cell r="AR9">
            <v>9</v>
          </cell>
          <cell r="AS9">
            <v>2154</v>
          </cell>
          <cell r="AT9">
            <v>1470</v>
          </cell>
          <cell r="AU9">
            <v>1209</v>
          </cell>
          <cell r="AV9">
            <v>2679</v>
          </cell>
          <cell r="AW9">
            <v>1886</v>
          </cell>
          <cell r="AX9">
            <v>-4</v>
          </cell>
          <cell r="AY9">
            <v>-2</v>
          </cell>
          <cell r="AZ9">
            <v>-1</v>
          </cell>
          <cell r="BA9">
            <v>-3</v>
          </cell>
          <cell r="BB9">
            <v>-3</v>
          </cell>
          <cell r="BC9">
            <v>-797</v>
          </cell>
          <cell r="BD9">
            <v>-188</v>
          </cell>
          <cell r="BE9">
            <v>171</v>
          </cell>
          <cell r="BF9">
            <v>-17</v>
          </cell>
          <cell r="BG9">
            <v>-924</v>
          </cell>
          <cell r="BH9">
            <v>3</v>
          </cell>
          <cell r="BI9">
            <v>276</v>
          </cell>
          <cell r="BJ9">
            <v>6</v>
          </cell>
          <cell r="BK9">
            <v>952</v>
          </cell>
          <cell r="BL9">
            <v>8</v>
          </cell>
          <cell r="BM9">
            <v>760</v>
          </cell>
          <cell r="BN9">
            <v>9</v>
          </cell>
          <cell r="BO9">
            <v>1912</v>
          </cell>
          <cell r="BP9">
            <v>23</v>
          </cell>
          <cell r="BQ9">
            <v>3624</v>
          </cell>
          <cell r="BR9">
            <v>23</v>
          </cell>
          <cell r="BS9">
            <v>3624</v>
          </cell>
          <cell r="BT9">
            <v>0</v>
          </cell>
        </row>
        <row r="10">
          <cell r="AA10" t="str">
            <v>Denver, CO</v>
          </cell>
          <cell r="AB10">
            <v>235</v>
          </cell>
          <cell r="AC10">
            <v>35326</v>
          </cell>
          <cell r="AD10">
            <v>4</v>
          </cell>
          <cell r="AE10">
            <v>5</v>
          </cell>
          <cell r="AF10">
            <v>12</v>
          </cell>
          <cell r="AG10">
            <v>17</v>
          </cell>
          <cell r="AH10">
            <v>8</v>
          </cell>
          <cell r="AI10">
            <v>325</v>
          </cell>
          <cell r="AJ10">
            <v>923</v>
          </cell>
          <cell r="AK10">
            <v>2996</v>
          </cell>
          <cell r="AL10">
            <v>3919</v>
          </cell>
          <cell r="AM10">
            <v>855</v>
          </cell>
          <cell r="AN10">
            <v>5</v>
          </cell>
          <cell r="AO10">
            <v>5</v>
          </cell>
          <cell r="AP10">
            <v>12</v>
          </cell>
          <cell r="AQ10">
            <v>17</v>
          </cell>
          <cell r="AR10">
            <v>5</v>
          </cell>
          <cell r="AS10">
            <v>393</v>
          </cell>
          <cell r="AT10">
            <v>936</v>
          </cell>
          <cell r="AU10">
            <v>2996</v>
          </cell>
          <cell r="AV10">
            <v>3932</v>
          </cell>
          <cell r="AW10">
            <v>505</v>
          </cell>
          <cell r="AX10">
            <v>-1</v>
          </cell>
          <cell r="AY10">
            <v>0</v>
          </cell>
          <cell r="AZ10">
            <v>0</v>
          </cell>
          <cell r="BA10">
            <v>0</v>
          </cell>
          <cell r="BB10">
            <v>3</v>
          </cell>
          <cell r="BC10">
            <v>-68</v>
          </cell>
          <cell r="BD10">
            <v>-13</v>
          </cell>
          <cell r="BE10">
            <v>0</v>
          </cell>
          <cell r="BF10">
            <v>-13</v>
          </cell>
          <cell r="BG10">
            <v>350</v>
          </cell>
          <cell r="BH10">
            <v>0</v>
          </cell>
          <cell r="BI10">
            <v>0</v>
          </cell>
          <cell r="BJ10">
            <v>3</v>
          </cell>
          <cell r="BK10">
            <v>470</v>
          </cell>
          <cell r="BL10">
            <v>11</v>
          </cell>
          <cell r="BM10">
            <v>1444</v>
          </cell>
          <cell r="BN10">
            <v>11</v>
          </cell>
          <cell r="BO10">
            <v>2860</v>
          </cell>
          <cell r="BP10">
            <v>25</v>
          </cell>
          <cell r="BQ10">
            <v>4774</v>
          </cell>
          <cell r="BR10">
            <v>25</v>
          </cell>
          <cell r="BS10">
            <v>4774</v>
          </cell>
          <cell r="BT10">
            <v>0</v>
          </cell>
        </row>
        <row r="11">
          <cell r="AA11" t="str">
            <v>Detroit, MI</v>
          </cell>
          <cell r="AB11">
            <v>309</v>
          </cell>
          <cell r="AC11">
            <v>37544</v>
          </cell>
          <cell r="AD11">
            <v>17</v>
          </cell>
          <cell r="AE11">
            <v>9</v>
          </cell>
          <cell r="AF11">
            <v>15</v>
          </cell>
          <cell r="AG11">
            <v>24</v>
          </cell>
          <cell r="AH11">
            <v>6</v>
          </cell>
          <cell r="AI11">
            <v>1527</v>
          </cell>
          <cell r="AJ11">
            <v>1064</v>
          </cell>
          <cell r="AK11">
            <v>1436</v>
          </cell>
          <cell r="AL11">
            <v>2500</v>
          </cell>
          <cell r="AM11">
            <v>702</v>
          </cell>
          <cell r="AN11">
            <v>13</v>
          </cell>
          <cell r="AO11">
            <v>14</v>
          </cell>
          <cell r="AP11">
            <v>14</v>
          </cell>
          <cell r="AQ11">
            <v>28</v>
          </cell>
          <cell r="AR11">
            <v>9</v>
          </cell>
          <cell r="AS11">
            <v>1201</v>
          </cell>
          <cell r="AT11">
            <v>1523</v>
          </cell>
          <cell r="AU11">
            <v>1392</v>
          </cell>
          <cell r="AV11">
            <v>2915</v>
          </cell>
          <cell r="AW11">
            <v>952</v>
          </cell>
          <cell r="AX11">
            <v>4</v>
          </cell>
          <cell r="AY11">
            <v>-5</v>
          </cell>
          <cell r="AZ11">
            <v>1</v>
          </cell>
          <cell r="BA11">
            <v>-4</v>
          </cell>
          <cell r="BB11">
            <v>-3</v>
          </cell>
          <cell r="BC11">
            <v>326</v>
          </cell>
          <cell r="BD11">
            <v>-459</v>
          </cell>
          <cell r="BE11">
            <v>44</v>
          </cell>
          <cell r="BF11">
            <v>-415</v>
          </cell>
          <cell r="BG11">
            <v>-250</v>
          </cell>
          <cell r="BH11">
            <v>5</v>
          </cell>
          <cell r="BI11">
            <v>454</v>
          </cell>
          <cell r="BJ11">
            <v>6</v>
          </cell>
          <cell r="BK11">
            <v>492</v>
          </cell>
          <cell r="BL11">
            <v>11</v>
          </cell>
          <cell r="BM11">
            <v>1254</v>
          </cell>
          <cell r="BN11">
            <v>13</v>
          </cell>
          <cell r="BO11">
            <v>1456</v>
          </cell>
          <cell r="BP11">
            <v>30</v>
          </cell>
          <cell r="BQ11">
            <v>3202</v>
          </cell>
          <cell r="BR11">
            <v>30</v>
          </cell>
          <cell r="BS11">
            <v>3202</v>
          </cell>
          <cell r="BT11">
            <v>0</v>
          </cell>
        </row>
        <row r="12">
          <cell r="AA12" t="str">
            <v>Houston, TX</v>
          </cell>
          <cell r="AB12">
            <v>404</v>
          </cell>
          <cell r="AC12">
            <v>52169</v>
          </cell>
          <cell r="AD12">
            <v>22</v>
          </cell>
          <cell r="AE12">
            <v>16</v>
          </cell>
          <cell r="AF12">
            <v>14</v>
          </cell>
          <cell r="AG12">
            <v>30</v>
          </cell>
          <cell r="AH12">
            <v>12</v>
          </cell>
          <cell r="AI12">
            <v>1776</v>
          </cell>
          <cell r="AJ12">
            <v>3237</v>
          </cell>
          <cell r="AK12">
            <v>1237</v>
          </cell>
          <cell r="AL12">
            <v>4474</v>
          </cell>
          <cell r="AM12">
            <v>1516</v>
          </cell>
          <cell r="AN12">
            <v>26</v>
          </cell>
          <cell r="AO12">
            <v>19</v>
          </cell>
          <cell r="AP12">
            <v>14</v>
          </cell>
          <cell r="AQ12">
            <v>33</v>
          </cell>
          <cell r="AR12">
            <v>11</v>
          </cell>
          <cell r="AS12">
            <v>1992</v>
          </cell>
          <cell r="AT12">
            <v>3505</v>
          </cell>
          <cell r="AU12">
            <v>1245</v>
          </cell>
          <cell r="AV12">
            <v>4750</v>
          </cell>
          <cell r="AW12">
            <v>1214</v>
          </cell>
          <cell r="AX12">
            <v>-4</v>
          </cell>
          <cell r="AY12">
            <v>-3</v>
          </cell>
          <cell r="AZ12">
            <v>0</v>
          </cell>
          <cell r="BA12">
            <v>-3</v>
          </cell>
          <cell r="BB12">
            <v>1</v>
          </cell>
          <cell r="BC12">
            <v>-216</v>
          </cell>
          <cell r="BD12">
            <v>-268</v>
          </cell>
          <cell r="BE12">
            <v>-8</v>
          </cell>
          <cell r="BF12">
            <v>-276</v>
          </cell>
          <cell r="BG12">
            <v>302</v>
          </cell>
          <cell r="BH12">
            <v>4</v>
          </cell>
          <cell r="BI12">
            <v>364</v>
          </cell>
          <cell r="BJ12">
            <v>15</v>
          </cell>
          <cell r="BK12">
            <v>1497</v>
          </cell>
          <cell r="BL12">
            <v>12</v>
          </cell>
          <cell r="BM12">
            <v>1354</v>
          </cell>
          <cell r="BN12">
            <v>15</v>
          </cell>
          <cell r="BO12">
            <v>3139</v>
          </cell>
          <cell r="BP12">
            <v>42</v>
          </cell>
          <cell r="BQ12">
            <v>5990</v>
          </cell>
          <cell r="BR12">
            <v>42</v>
          </cell>
          <cell r="BS12">
            <v>5990</v>
          </cell>
          <cell r="BT12">
            <v>0</v>
          </cell>
        </row>
        <row r="13">
          <cell r="AA13" t="str">
            <v>Los Angeles, CA</v>
          </cell>
          <cell r="AB13">
            <v>711</v>
          </cell>
          <cell r="AC13">
            <v>85325</v>
          </cell>
          <cell r="AD13">
            <v>7</v>
          </cell>
          <cell r="AE13">
            <v>9</v>
          </cell>
          <cell r="AF13">
            <v>10</v>
          </cell>
          <cell r="AG13">
            <v>19</v>
          </cell>
          <cell r="AH13">
            <v>6</v>
          </cell>
          <cell r="AI13">
            <v>1079</v>
          </cell>
          <cell r="AJ13">
            <v>1210</v>
          </cell>
          <cell r="AK13">
            <v>2040</v>
          </cell>
          <cell r="AL13">
            <v>3250</v>
          </cell>
          <cell r="AM13">
            <v>1341</v>
          </cell>
          <cell r="AN13">
            <v>10</v>
          </cell>
          <cell r="AO13">
            <v>7</v>
          </cell>
          <cell r="AP13">
            <v>14</v>
          </cell>
          <cell r="AQ13">
            <v>21</v>
          </cell>
          <cell r="AR13">
            <v>4</v>
          </cell>
          <cell r="AS13">
            <v>1244</v>
          </cell>
          <cell r="AT13">
            <v>897</v>
          </cell>
          <cell r="AU13">
            <v>2279</v>
          </cell>
          <cell r="AV13">
            <v>3176</v>
          </cell>
          <cell r="AW13">
            <v>1141</v>
          </cell>
          <cell r="AX13">
            <v>-3</v>
          </cell>
          <cell r="AY13">
            <v>2</v>
          </cell>
          <cell r="AZ13">
            <v>-4</v>
          </cell>
          <cell r="BA13">
            <v>-2</v>
          </cell>
          <cell r="BB13">
            <v>2</v>
          </cell>
          <cell r="BC13">
            <v>-165</v>
          </cell>
          <cell r="BD13">
            <v>313</v>
          </cell>
          <cell r="BE13">
            <v>-239</v>
          </cell>
          <cell r="BF13">
            <v>74</v>
          </cell>
          <cell r="BG13">
            <v>200</v>
          </cell>
          <cell r="BH13">
            <v>1</v>
          </cell>
          <cell r="BI13">
            <v>140</v>
          </cell>
          <cell r="BJ13">
            <v>8</v>
          </cell>
          <cell r="BK13">
            <v>996</v>
          </cell>
          <cell r="BL13">
            <v>4</v>
          </cell>
          <cell r="BM13">
            <v>486</v>
          </cell>
          <cell r="BN13">
            <v>13</v>
          </cell>
          <cell r="BO13">
            <v>3109</v>
          </cell>
          <cell r="BP13">
            <v>25</v>
          </cell>
          <cell r="BQ13">
            <v>4591</v>
          </cell>
          <cell r="BR13">
            <v>25</v>
          </cell>
          <cell r="BS13">
            <v>4591</v>
          </cell>
          <cell r="BT13">
            <v>0</v>
          </cell>
        </row>
        <row r="14">
          <cell r="AA14" t="str">
            <v>Miami, FL</v>
          </cell>
          <cell r="AB14">
            <v>291</v>
          </cell>
          <cell r="AC14">
            <v>44977</v>
          </cell>
          <cell r="AD14">
            <v>6</v>
          </cell>
          <cell r="AE14">
            <v>14</v>
          </cell>
          <cell r="AF14">
            <v>11</v>
          </cell>
          <cell r="AG14">
            <v>25</v>
          </cell>
          <cell r="AH14">
            <v>6</v>
          </cell>
          <cell r="AI14">
            <v>1246</v>
          </cell>
          <cell r="AJ14">
            <v>2709</v>
          </cell>
          <cell r="AK14">
            <v>1385</v>
          </cell>
          <cell r="AL14">
            <v>4094</v>
          </cell>
          <cell r="AM14">
            <v>788</v>
          </cell>
          <cell r="AN14">
            <v>7</v>
          </cell>
          <cell r="AO14">
            <v>14</v>
          </cell>
          <cell r="AP14">
            <v>13</v>
          </cell>
          <cell r="AQ14">
            <v>27</v>
          </cell>
          <cell r="AR14">
            <v>4</v>
          </cell>
          <cell r="AS14">
            <v>1461</v>
          </cell>
          <cell r="AT14">
            <v>2432</v>
          </cell>
          <cell r="AU14">
            <v>1555</v>
          </cell>
          <cell r="AV14">
            <v>3987</v>
          </cell>
          <cell r="AW14">
            <v>533</v>
          </cell>
          <cell r="AX14">
            <v>-1</v>
          </cell>
          <cell r="AY14">
            <v>0</v>
          </cell>
          <cell r="AZ14">
            <v>-2</v>
          </cell>
          <cell r="BA14">
            <v>-2</v>
          </cell>
          <cell r="BB14">
            <v>2</v>
          </cell>
          <cell r="BC14">
            <v>-215</v>
          </cell>
          <cell r="BD14">
            <v>277</v>
          </cell>
          <cell r="BE14">
            <v>-170</v>
          </cell>
          <cell r="BF14">
            <v>107</v>
          </cell>
          <cell r="BG14">
            <v>255</v>
          </cell>
          <cell r="BH14">
            <v>1</v>
          </cell>
          <cell r="BI14">
            <v>98</v>
          </cell>
          <cell r="BJ14">
            <v>11</v>
          </cell>
          <cell r="BK14">
            <v>2335</v>
          </cell>
          <cell r="BL14">
            <v>8</v>
          </cell>
          <cell r="BM14">
            <v>1006</v>
          </cell>
          <cell r="BN14">
            <v>12</v>
          </cell>
          <cell r="BO14">
            <v>1541</v>
          </cell>
          <cell r="BP14">
            <v>31</v>
          </cell>
          <cell r="BQ14">
            <v>4882</v>
          </cell>
          <cell r="BR14">
            <v>31</v>
          </cell>
          <cell r="BS14">
            <v>4882</v>
          </cell>
          <cell r="BT14">
            <v>0</v>
          </cell>
        </row>
        <row r="15">
          <cell r="AA15" t="str">
            <v>Minneapolis, MN</v>
          </cell>
          <cell r="AB15">
            <v>257</v>
          </cell>
          <cell r="AC15">
            <v>33103</v>
          </cell>
          <cell r="AD15">
            <v>7</v>
          </cell>
          <cell r="AE15">
            <v>8</v>
          </cell>
          <cell r="AF15">
            <v>6</v>
          </cell>
          <cell r="AG15">
            <v>14</v>
          </cell>
          <cell r="AH15">
            <v>4</v>
          </cell>
          <cell r="AI15">
            <v>865</v>
          </cell>
          <cell r="AJ15">
            <v>905</v>
          </cell>
          <cell r="AK15">
            <v>868</v>
          </cell>
          <cell r="AL15">
            <v>1773</v>
          </cell>
          <cell r="AM15">
            <v>296</v>
          </cell>
          <cell r="AN15">
            <v>9</v>
          </cell>
          <cell r="AO15">
            <v>8</v>
          </cell>
          <cell r="AP15">
            <v>6</v>
          </cell>
          <cell r="AQ15">
            <v>14</v>
          </cell>
          <cell r="AR15">
            <v>6</v>
          </cell>
          <cell r="AS15">
            <v>1052</v>
          </cell>
          <cell r="AT15">
            <v>956</v>
          </cell>
          <cell r="AU15">
            <v>922</v>
          </cell>
          <cell r="AV15">
            <v>1878</v>
          </cell>
          <cell r="AW15">
            <v>525</v>
          </cell>
          <cell r="AX15">
            <v>-2</v>
          </cell>
          <cell r="AY15">
            <v>0</v>
          </cell>
          <cell r="AZ15">
            <v>0</v>
          </cell>
          <cell r="BA15">
            <v>0</v>
          </cell>
          <cell r="BB15">
            <v>-2</v>
          </cell>
          <cell r="BC15">
            <v>-187</v>
          </cell>
          <cell r="BD15">
            <v>-51</v>
          </cell>
          <cell r="BE15">
            <v>-54</v>
          </cell>
          <cell r="BF15">
            <v>-105</v>
          </cell>
          <cell r="BG15">
            <v>-229</v>
          </cell>
          <cell r="BH15">
            <v>1</v>
          </cell>
          <cell r="BI15">
            <v>127</v>
          </cell>
          <cell r="BJ15">
            <v>8</v>
          </cell>
          <cell r="BK15">
            <v>905</v>
          </cell>
          <cell r="BL15">
            <v>3</v>
          </cell>
          <cell r="BM15">
            <v>260</v>
          </cell>
          <cell r="BN15">
            <v>8</v>
          </cell>
          <cell r="BO15">
            <v>1050</v>
          </cell>
          <cell r="BP15">
            <v>19</v>
          </cell>
          <cell r="BQ15">
            <v>2215</v>
          </cell>
          <cell r="BR15">
            <v>18</v>
          </cell>
          <cell r="BS15">
            <v>2069</v>
          </cell>
          <cell r="BT15">
            <v>0</v>
          </cell>
        </row>
        <row r="16">
          <cell r="AA16" t="str">
            <v>Nashville, TN</v>
          </cell>
          <cell r="AB16">
            <v>277</v>
          </cell>
          <cell r="AC16">
            <v>33756</v>
          </cell>
          <cell r="AD16">
            <v>10</v>
          </cell>
          <cell r="AE16">
            <v>4</v>
          </cell>
          <cell r="AF16">
            <v>2</v>
          </cell>
          <cell r="AG16">
            <v>6</v>
          </cell>
          <cell r="AH16">
            <v>2</v>
          </cell>
          <cell r="AI16">
            <v>1404</v>
          </cell>
          <cell r="AJ16">
            <v>356</v>
          </cell>
          <cell r="AK16">
            <v>159</v>
          </cell>
          <cell r="AL16">
            <v>515</v>
          </cell>
          <cell r="AM16">
            <v>200</v>
          </cell>
          <cell r="AN16">
            <v>10</v>
          </cell>
          <cell r="AO16">
            <v>2</v>
          </cell>
          <cell r="AP16">
            <v>2</v>
          </cell>
          <cell r="AQ16">
            <v>4</v>
          </cell>
          <cell r="AR16">
            <v>2</v>
          </cell>
          <cell r="AS16">
            <v>1394</v>
          </cell>
          <cell r="AT16">
            <v>169</v>
          </cell>
          <cell r="AU16">
            <v>165</v>
          </cell>
          <cell r="AV16">
            <v>334</v>
          </cell>
          <cell r="AW16">
            <v>159</v>
          </cell>
          <cell r="AX16">
            <v>0</v>
          </cell>
          <cell r="AY16">
            <v>2</v>
          </cell>
          <cell r="AZ16">
            <v>0</v>
          </cell>
          <cell r="BA16">
            <v>2</v>
          </cell>
          <cell r="BB16">
            <v>0</v>
          </cell>
          <cell r="BC16">
            <v>10</v>
          </cell>
          <cell r="BD16">
            <v>187</v>
          </cell>
          <cell r="BE16">
            <v>-6</v>
          </cell>
          <cell r="BF16">
            <v>181</v>
          </cell>
          <cell r="BG16">
            <v>41</v>
          </cell>
          <cell r="BH16">
            <v>1</v>
          </cell>
          <cell r="BI16">
            <v>74</v>
          </cell>
          <cell r="BJ16">
            <v>4</v>
          </cell>
          <cell r="BK16">
            <v>356</v>
          </cell>
          <cell r="BL16">
            <v>1</v>
          </cell>
          <cell r="BM16">
            <v>59</v>
          </cell>
          <cell r="BN16">
            <v>3</v>
          </cell>
          <cell r="BO16">
            <v>300</v>
          </cell>
          <cell r="BP16">
            <v>8</v>
          </cell>
          <cell r="BQ16">
            <v>715</v>
          </cell>
          <cell r="BR16">
            <v>8</v>
          </cell>
          <cell r="BS16">
            <v>715</v>
          </cell>
          <cell r="BT16">
            <v>0</v>
          </cell>
        </row>
        <row r="17">
          <cell r="AA17" t="str">
            <v>New Orleans, LA</v>
          </cell>
          <cell r="AB17">
            <v>202</v>
          </cell>
          <cell r="AC17">
            <v>34999</v>
          </cell>
          <cell r="AD17">
            <v>15</v>
          </cell>
          <cell r="AE17">
            <v>10</v>
          </cell>
          <cell r="AF17">
            <v>8</v>
          </cell>
          <cell r="AG17">
            <v>18</v>
          </cell>
          <cell r="AH17">
            <v>7</v>
          </cell>
          <cell r="AI17">
            <v>1667</v>
          </cell>
          <cell r="AJ17">
            <v>1790</v>
          </cell>
          <cell r="AK17">
            <v>1813</v>
          </cell>
          <cell r="AL17">
            <v>3603</v>
          </cell>
          <cell r="AM17">
            <v>1224</v>
          </cell>
          <cell r="AN17">
            <v>17</v>
          </cell>
          <cell r="AO17">
            <v>10</v>
          </cell>
          <cell r="AP17">
            <v>9</v>
          </cell>
          <cell r="AQ17">
            <v>19</v>
          </cell>
          <cell r="AR17">
            <v>10</v>
          </cell>
          <cell r="AS17">
            <v>2110</v>
          </cell>
          <cell r="AT17">
            <v>1796</v>
          </cell>
          <cell r="AU17">
            <v>2045</v>
          </cell>
          <cell r="AV17">
            <v>3841</v>
          </cell>
          <cell r="AW17">
            <v>1655</v>
          </cell>
          <cell r="AX17">
            <v>-2</v>
          </cell>
          <cell r="AY17">
            <v>0</v>
          </cell>
          <cell r="AZ17">
            <v>-1</v>
          </cell>
          <cell r="BA17">
            <v>-1</v>
          </cell>
          <cell r="BB17">
            <v>-3</v>
          </cell>
          <cell r="BC17">
            <v>-443</v>
          </cell>
          <cell r="BD17">
            <v>-6</v>
          </cell>
          <cell r="BE17">
            <v>-232</v>
          </cell>
          <cell r="BF17">
            <v>-238</v>
          </cell>
          <cell r="BG17">
            <v>-431</v>
          </cell>
          <cell r="BH17">
            <v>2</v>
          </cell>
          <cell r="BI17">
            <v>168</v>
          </cell>
          <cell r="BJ17">
            <v>9</v>
          </cell>
          <cell r="BK17">
            <v>1728</v>
          </cell>
          <cell r="BL17">
            <v>3</v>
          </cell>
          <cell r="BM17">
            <v>222</v>
          </cell>
          <cell r="BN17">
            <v>14</v>
          </cell>
          <cell r="BO17">
            <v>2977</v>
          </cell>
          <cell r="BP17">
            <v>26</v>
          </cell>
          <cell r="BQ17">
            <v>4927</v>
          </cell>
          <cell r="BR17">
            <v>25</v>
          </cell>
          <cell r="BS17">
            <v>4827</v>
          </cell>
          <cell r="BT17">
            <v>0</v>
          </cell>
        </row>
        <row r="18">
          <cell r="AA18" t="str">
            <v>New York, NY</v>
          </cell>
          <cell r="AB18">
            <v>295</v>
          </cell>
          <cell r="AC18">
            <v>76212</v>
          </cell>
          <cell r="AD18">
            <v>16</v>
          </cell>
          <cell r="AE18">
            <v>8</v>
          </cell>
          <cell r="AF18">
            <v>9</v>
          </cell>
          <cell r="AG18">
            <v>17</v>
          </cell>
          <cell r="AH18">
            <v>13</v>
          </cell>
          <cell r="AI18">
            <v>2451</v>
          </cell>
          <cell r="AJ18">
            <v>1846</v>
          </cell>
          <cell r="AK18">
            <v>1192</v>
          </cell>
          <cell r="AL18">
            <v>3038</v>
          </cell>
          <cell r="AM18">
            <v>1962</v>
          </cell>
          <cell r="AN18">
            <v>15</v>
          </cell>
          <cell r="AO18">
            <v>7</v>
          </cell>
          <cell r="AP18">
            <v>9</v>
          </cell>
          <cell r="AQ18">
            <v>16</v>
          </cell>
          <cell r="AR18">
            <v>10</v>
          </cell>
          <cell r="AS18">
            <v>2212</v>
          </cell>
          <cell r="AT18">
            <v>1770</v>
          </cell>
          <cell r="AU18">
            <v>1352</v>
          </cell>
          <cell r="AV18">
            <v>3122</v>
          </cell>
          <cell r="AW18">
            <v>1623</v>
          </cell>
          <cell r="AX18">
            <v>1</v>
          </cell>
          <cell r="AY18">
            <v>1</v>
          </cell>
          <cell r="AZ18">
            <v>0</v>
          </cell>
          <cell r="BA18">
            <v>1</v>
          </cell>
          <cell r="BB18">
            <v>3</v>
          </cell>
          <cell r="BC18">
            <v>239</v>
          </cell>
          <cell r="BD18">
            <v>76</v>
          </cell>
          <cell r="BE18">
            <v>-160</v>
          </cell>
          <cell r="BF18">
            <v>-84</v>
          </cell>
          <cell r="BG18">
            <v>339</v>
          </cell>
          <cell r="BH18">
            <v>2</v>
          </cell>
          <cell r="BI18">
            <v>381</v>
          </cell>
          <cell r="BJ18">
            <v>5</v>
          </cell>
          <cell r="BK18">
            <v>574</v>
          </cell>
          <cell r="BL18">
            <v>10</v>
          </cell>
          <cell r="BM18">
            <v>2104</v>
          </cell>
          <cell r="BN18">
            <v>15</v>
          </cell>
          <cell r="BO18">
            <v>2322</v>
          </cell>
          <cell r="BP18">
            <v>30</v>
          </cell>
          <cell r="BQ18">
            <v>5000</v>
          </cell>
          <cell r="BR18">
            <v>30</v>
          </cell>
          <cell r="BS18">
            <v>5000</v>
          </cell>
          <cell r="BT18">
            <v>0</v>
          </cell>
        </row>
        <row r="19">
          <cell r="AA19" t="str">
            <v>Norfolk, VA</v>
          </cell>
          <cell r="AB19">
            <v>329</v>
          </cell>
          <cell r="AC19">
            <v>35015</v>
          </cell>
          <cell r="AD19">
            <v>5</v>
          </cell>
          <cell r="AE19">
            <v>3</v>
          </cell>
          <cell r="AF19">
            <v>9</v>
          </cell>
          <cell r="AG19">
            <v>12</v>
          </cell>
          <cell r="AH19">
            <v>5</v>
          </cell>
          <cell r="AI19">
            <v>754</v>
          </cell>
          <cell r="AJ19">
            <v>386</v>
          </cell>
          <cell r="AK19">
            <v>901</v>
          </cell>
          <cell r="AL19">
            <v>1287</v>
          </cell>
          <cell r="AM19">
            <v>870</v>
          </cell>
          <cell r="AN19">
            <v>6</v>
          </cell>
          <cell r="AO19">
            <v>4</v>
          </cell>
          <cell r="AP19">
            <v>9</v>
          </cell>
          <cell r="AQ19">
            <v>13</v>
          </cell>
          <cell r="AR19">
            <v>6</v>
          </cell>
          <cell r="AS19">
            <v>1043</v>
          </cell>
          <cell r="AT19">
            <v>514</v>
          </cell>
          <cell r="AU19">
            <v>897</v>
          </cell>
          <cell r="AV19">
            <v>1411</v>
          </cell>
          <cell r="AW19">
            <v>960</v>
          </cell>
          <cell r="AX19">
            <v>-1</v>
          </cell>
          <cell r="AY19">
            <v>-1</v>
          </cell>
          <cell r="AZ19">
            <v>0</v>
          </cell>
          <cell r="BA19">
            <v>-1</v>
          </cell>
          <cell r="BB19">
            <v>-1</v>
          </cell>
          <cell r="BC19">
            <v>-289</v>
          </cell>
          <cell r="BD19">
            <v>-128</v>
          </cell>
          <cell r="BE19">
            <v>4</v>
          </cell>
          <cell r="BF19">
            <v>-124</v>
          </cell>
          <cell r="BG19">
            <v>-90</v>
          </cell>
          <cell r="BH19">
            <v>1</v>
          </cell>
          <cell r="BI19">
            <v>129</v>
          </cell>
          <cell r="BJ19">
            <v>2</v>
          </cell>
          <cell r="BK19">
            <v>226</v>
          </cell>
          <cell r="BL19">
            <v>9</v>
          </cell>
          <cell r="BM19">
            <v>943</v>
          </cell>
          <cell r="BN19">
            <v>6</v>
          </cell>
          <cell r="BO19">
            <v>988</v>
          </cell>
          <cell r="BP19">
            <v>17</v>
          </cell>
          <cell r="BQ19">
            <v>2157</v>
          </cell>
          <cell r="BR19">
            <v>17</v>
          </cell>
          <cell r="BS19">
            <v>2157</v>
          </cell>
          <cell r="BT19">
            <v>0</v>
          </cell>
        </row>
        <row r="20">
          <cell r="AA20" t="str">
            <v>Oahu Island</v>
          </cell>
          <cell r="AB20">
            <v>107</v>
          </cell>
          <cell r="AC20">
            <v>36506</v>
          </cell>
          <cell r="AD20">
            <v>1</v>
          </cell>
          <cell r="AE20">
            <v>0</v>
          </cell>
          <cell r="AF20">
            <v>0</v>
          </cell>
          <cell r="AG20">
            <v>0</v>
          </cell>
          <cell r="AH20">
            <v>1</v>
          </cell>
          <cell r="AI20">
            <v>453</v>
          </cell>
          <cell r="AJ20">
            <v>0</v>
          </cell>
          <cell r="AK20">
            <v>0</v>
          </cell>
          <cell r="AL20">
            <v>0</v>
          </cell>
          <cell r="AM20">
            <v>243</v>
          </cell>
          <cell r="AN20">
            <v>1</v>
          </cell>
          <cell r="AO20">
            <v>0</v>
          </cell>
          <cell r="AP20">
            <v>0</v>
          </cell>
          <cell r="AQ20">
            <v>0</v>
          </cell>
          <cell r="AR20">
            <v>1</v>
          </cell>
          <cell r="AS20">
            <v>453</v>
          </cell>
          <cell r="AT20">
            <v>0</v>
          </cell>
          <cell r="AU20">
            <v>0</v>
          </cell>
          <cell r="AV20">
            <v>0</v>
          </cell>
          <cell r="AW20">
            <v>299</v>
          </cell>
          <cell r="AX20">
            <v>0</v>
          </cell>
          <cell r="AY20">
            <v>0</v>
          </cell>
          <cell r="AZ20">
            <v>0</v>
          </cell>
          <cell r="BA20">
            <v>0</v>
          </cell>
          <cell r="BB20">
            <v>0</v>
          </cell>
          <cell r="BC20">
            <v>0</v>
          </cell>
          <cell r="BD20">
            <v>0</v>
          </cell>
          <cell r="BE20">
            <v>0</v>
          </cell>
          <cell r="BF20">
            <v>0</v>
          </cell>
          <cell r="BG20">
            <v>-56</v>
          </cell>
          <cell r="BH20">
            <v>0</v>
          </cell>
          <cell r="BI20">
            <v>0</v>
          </cell>
          <cell r="BJ20">
            <v>0</v>
          </cell>
          <cell r="BK20">
            <v>0</v>
          </cell>
          <cell r="BL20">
            <v>0</v>
          </cell>
          <cell r="BM20">
            <v>0</v>
          </cell>
          <cell r="BN20">
            <v>1</v>
          </cell>
          <cell r="BO20">
            <v>243</v>
          </cell>
          <cell r="BP20">
            <v>1</v>
          </cell>
          <cell r="BQ20">
            <v>243</v>
          </cell>
          <cell r="BR20">
            <v>1</v>
          </cell>
          <cell r="BS20">
            <v>243</v>
          </cell>
          <cell r="BT20">
            <v>0</v>
          </cell>
        </row>
        <row r="21">
          <cell r="AA21" t="str">
            <v>Orlando, FL</v>
          </cell>
          <cell r="AB21">
            <v>433</v>
          </cell>
          <cell r="AC21">
            <v>119582</v>
          </cell>
          <cell r="AD21">
            <v>12</v>
          </cell>
          <cell r="AE21">
            <v>13</v>
          </cell>
          <cell r="AF21">
            <v>19</v>
          </cell>
          <cell r="AG21">
            <v>32</v>
          </cell>
          <cell r="AH21">
            <v>10</v>
          </cell>
          <cell r="AI21">
            <v>4428</v>
          </cell>
          <cell r="AJ21">
            <v>6970</v>
          </cell>
          <cell r="AK21">
            <v>8801</v>
          </cell>
          <cell r="AL21">
            <v>15771</v>
          </cell>
          <cell r="AM21">
            <v>3535</v>
          </cell>
          <cell r="AN21">
            <v>13</v>
          </cell>
          <cell r="AO21">
            <v>14</v>
          </cell>
          <cell r="AP21">
            <v>18</v>
          </cell>
          <cell r="AQ21">
            <v>32</v>
          </cell>
          <cell r="AR21">
            <v>16</v>
          </cell>
          <cell r="AS21">
            <v>3644</v>
          </cell>
          <cell r="AT21">
            <v>8601</v>
          </cell>
          <cell r="AU21">
            <v>7461</v>
          </cell>
          <cell r="AV21">
            <v>16062</v>
          </cell>
          <cell r="AW21">
            <v>5791</v>
          </cell>
          <cell r="AX21">
            <v>-1</v>
          </cell>
          <cell r="AY21">
            <v>-1</v>
          </cell>
          <cell r="AZ21">
            <v>1</v>
          </cell>
          <cell r="BA21">
            <v>0</v>
          </cell>
          <cell r="BB21">
            <v>-6</v>
          </cell>
          <cell r="BC21">
            <v>784</v>
          </cell>
          <cell r="BD21">
            <v>-1631</v>
          </cell>
          <cell r="BE21">
            <v>1340</v>
          </cell>
          <cell r="BF21">
            <v>-291</v>
          </cell>
          <cell r="BG21">
            <v>-2256</v>
          </cell>
          <cell r="BH21">
            <v>2</v>
          </cell>
          <cell r="BI21">
            <v>1756</v>
          </cell>
          <cell r="BJ21">
            <v>7</v>
          </cell>
          <cell r="BK21">
            <v>1256</v>
          </cell>
          <cell r="BL21">
            <v>10</v>
          </cell>
          <cell r="BM21">
            <v>4509</v>
          </cell>
          <cell r="BN21">
            <v>26</v>
          </cell>
          <cell r="BO21">
            <v>13971</v>
          </cell>
          <cell r="BP21">
            <v>43</v>
          </cell>
          <cell r="BQ21">
            <v>19736</v>
          </cell>
          <cell r="BR21">
            <v>42</v>
          </cell>
          <cell r="BS21">
            <v>19306</v>
          </cell>
          <cell r="BT21">
            <v>0</v>
          </cell>
        </row>
        <row r="22">
          <cell r="AA22" t="str">
            <v>Philadelphia, PA</v>
          </cell>
          <cell r="AB22">
            <v>277</v>
          </cell>
          <cell r="AC22">
            <v>40235</v>
          </cell>
          <cell r="AD22">
            <v>11</v>
          </cell>
          <cell r="AE22">
            <v>5</v>
          </cell>
          <cell r="AF22">
            <v>10</v>
          </cell>
          <cell r="AG22">
            <v>15</v>
          </cell>
          <cell r="AH22">
            <v>4</v>
          </cell>
          <cell r="AI22">
            <v>1467</v>
          </cell>
          <cell r="AJ22">
            <v>631</v>
          </cell>
          <cell r="AK22">
            <v>1270</v>
          </cell>
          <cell r="AL22">
            <v>1901</v>
          </cell>
          <cell r="AM22">
            <v>664</v>
          </cell>
          <cell r="AN22">
            <v>9</v>
          </cell>
          <cell r="AO22">
            <v>8</v>
          </cell>
          <cell r="AP22">
            <v>10</v>
          </cell>
          <cell r="AQ22">
            <v>18</v>
          </cell>
          <cell r="AR22">
            <v>5</v>
          </cell>
          <cell r="AS22">
            <v>1102</v>
          </cell>
          <cell r="AT22">
            <v>1023</v>
          </cell>
          <cell r="AU22">
            <v>1210</v>
          </cell>
          <cell r="AV22">
            <v>2233</v>
          </cell>
          <cell r="AW22">
            <v>674</v>
          </cell>
          <cell r="AX22">
            <v>2</v>
          </cell>
          <cell r="AY22">
            <v>-3</v>
          </cell>
          <cell r="AZ22">
            <v>0</v>
          </cell>
          <cell r="BA22">
            <v>-3</v>
          </cell>
          <cell r="BB22">
            <v>-1</v>
          </cell>
          <cell r="BC22">
            <v>365</v>
          </cell>
          <cell r="BD22">
            <v>-392</v>
          </cell>
          <cell r="BE22">
            <v>60</v>
          </cell>
          <cell r="BF22">
            <v>-332</v>
          </cell>
          <cell r="BG22">
            <v>-10</v>
          </cell>
          <cell r="BH22">
            <v>3</v>
          </cell>
          <cell r="BI22">
            <v>389</v>
          </cell>
          <cell r="BJ22">
            <v>5</v>
          </cell>
          <cell r="BK22">
            <v>631</v>
          </cell>
          <cell r="BL22">
            <v>7</v>
          </cell>
          <cell r="BM22">
            <v>755</v>
          </cell>
          <cell r="BN22">
            <v>8</v>
          </cell>
          <cell r="BO22">
            <v>1429</v>
          </cell>
          <cell r="BP22">
            <v>20</v>
          </cell>
          <cell r="BQ22">
            <v>2815</v>
          </cell>
          <cell r="BR22">
            <v>19</v>
          </cell>
          <cell r="BS22">
            <v>2565</v>
          </cell>
          <cell r="BT22">
            <v>0</v>
          </cell>
        </row>
        <row r="23">
          <cell r="AA23" t="str">
            <v>Phoenix, AZ</v>
          </cell>
          <cell r="AB23">
            <v>351</v>
          </cell>
          <cell r="AC23">
            <v>51561</v>
          </cell>
          <cell r="AD23">
            <v>5</v>
          </cell>
          <cell r="AE23">
            <v>4</v>
          </cell>
          <cell r="AF23">
            <v>6</v>
          </cell>
          <cell r="AG23">
            <v>10</v>
          </cell>
          <cell r="AH23">
            <v>6</v>
          </cell>
          <cell r="AI23">
            <v>523</v>
          </cell>
          <cell r="AJ23">
            <v>2320</v>
          </cell>
          <cell r="AK23">
            <v>1702</v>
          </cell>
          <cell r="AL23">
            <v>4022</v>
          </cell>
          <cell r="AM23">
            <v>749</v>
          </cell>
          <cell r="AN23">
            <v>5</v>
          </cell>
          <cell r="AO23">
            <v>4</v>
          </cell>
          <cell r="AP23">
            <v>8</v>
          </cell>
          <cell r="AQ23">
            <v>12</v>
          </cell>
          <cell r="AR23">
            <v>9</v>
          </cell>
          <cell r="AS23">
            <v>498</v>
          </cell>
          <cell r="AT23">
            <v>2300</v>
          </cell>
          <cell r="AU23">
            <v>1797</v>
          </cell>
          <cell r="AV23">
            <v>4097</v>
          </cell>
          <cell r="AW23">
            <v>1434</v>
          </cell>
          <cell r="AX23">
            <v>0</v>
          </cell>
          <cell r="AY23">
            <v>0</v>
          </cell>
          <cell r="AZ23">
            <v>-2</v>
          </cell>
          <cell r="BA23">
            <v>-2</v>
          </cell>
          <cell r="BB23">
            <v>-3</v>
          </cell>
          <cell r="BC23">
            <v>25</v>
          </cell>
          <cell r="BD23">
            <v>20</v>
          </cell>
          <cell r="BE23">
            <v>-95</v>
          </cell>
          <cell r="BF23">
            <v>-75</v>
          </cell>
          <cell r="BG23">
            <v>-685</v>
          </cell>
          <cell r="BH23">
            <v>1</v>
          </cell>
          <cell r="BI23">
            <v>107</v>
          </cell>
          <cell r="BJ23">
            <v>1</v>
          </cell>
          <cell r="BK23">
            <v>500</v>
          </cell>
          <cell r="BL23">
            <v>5</v>
          </cell>
          <cell r="BM23">
            <v>2000</v>
          </cell>
          <cell r="BN23">
            <v>10</v>
          </cell>
          <cell r="BO23">
            <v>2271</v>
          </cell>
          <cell r="BP23">
            <v>16</v>
          </cell>
          <cell r="BQ23">
            <v>4771</v>
          </cell>
          <cell r="BR23">
            <v>16</v>
          </cell>
          <cell r="BS23">
            <v>4771</v>
          </cell>
          <cell r="BT23">
            <v>0</v>
          </cell>
        </row>
        <row r="24">
          <cell r="AA24" t="str">
            <v>Saint Louis, MO</v>
          </cell>
          <cell r="AB24">
            <v>240</v>
          </cell>
          <cell r="AC24">
            <v>31855</v>
          </cell>
          <cell r="AD24">
            <v>4</v>
          </cell>
          <cell r="AE24">
            <v>6</v>
          </cell>
          <cell r="AF24">
            <v>10</v>
          </cell>
          <cell r="AG24">
            <v>16</v>
          </cell>
          <cell r="AH24">
            <v>4</v>
          </cell>
          <cell r="AI24">
            <v>491</v>
          </cell>
          <cell r="AJ24">
            <v>1489</v>
          </cell>
          <cell r="AK24">
            <v>1364</v>
          </cell>
          <cell r="AL24">
            <v>2853</v>
          </cell>
          <cell r="AM24">
            <v>819</v>
          </cell>
          <cell r="AN24">
            <v>7</v>
          </cell>
          <cell r="AO24">
            <v>6</v>
          </cell>
          <cell r="AP24">
            <v>10</v>
          </cell>
          <cell r="AQ24">
            <v>16</v>
          </cell>
          <cell r="AR24">
            <v>5</v>
          </cell>
          <cell r="AS24">
            <v>897</v>
          </cell>
          <cell r="AT24">
            <v>1489</v>
          </cell>
          <cell r="AU24">
            <v>1274</v>
          </cell>
          <cell r="AV24">
            <v>2763</v>
          </cell>
          <cell r="AW24">
            <v>963</v>
          </cell>
          <cell r="AX24">
            <v>-3</v>
          </cell>
          <cell r="AY24">
            <v>0</v>
          </cell>
          <cell r="AZ24">
            <v>0</v>
          </cell>
          <cell r="BA24">
            <v>0</v>
          </cell>
          <cell r="BB24">
            <v>-1</v>
          </cell>
          <cell r="BC24">
            <v>-406</v>
          </cell>
          <cell r="BD24">
            <v>0</v>
          </cell>
          <cell r="BE24">
            <v>90</v>
          </cell>
          <cell r="BF24">
            <v>90</v>
          </cell>
          <cell r="BG24">
            <v>-144</v>
          </cell>
          <cell r="BH24">
            <v>0</v>
          </cell>
          <cell r="BI24">
            <v>0</v>
          </cell>
          <cell r="BJ24">
            <v>5</v>
          </cell>
          <cell r="BK24">
            <v>572</v>
          </cell>
          <cell r="BL24">
            <v>7</v>
          </cell>
          <cell r="BM24">
            <v>1496</v>
          </cell>
          <cell r="BN24">
            <v>9</v>
          </cell>
          <cell r="BO24">
            <v>1748</v>
          </cell>
          <cell r="BP24">
            <v>21</v>
          </cell>
          <cell r="BQ24">
            <v>3816</v>
          </cell>
          <cell r="BR24">
            <v>20</v>
          </cell>
          <cell r="BS24">
            <v>3672</v>
          </cell>
          <cell r="BT24">
            <v>0</v>
          </cell>
        </row>
        <row r="25">
          <cell r="AA25" t="str">
            <v>San Diego, CA</v>
          </cell>
          <cell r="AB25">
            <v>428</v>
          </cell>
          <cell r="AC25">
            <v>52427</v>
          </cell>
          <cell r="AD25">
            <v>8</v>
          </cell>
          <cell r="AE25">
            <v>8</v>
          </cell>
          <cell r="AF25">
            <v>12</v>
          </cell>
          <cell r="AG25">
            <v>20</v>
          </cell>
          <cell r="AH25">
            <v>18</v>
          </cell>
          <cell r="AI25">
            <v>1204</v>
          </cell>
          <cell r="AJ25">
            <v>2067</v>
          </cell>
          <cell r="AK25">
            <v>1853</v>
          </cell>
          <cell r="AL25">
            <v>3920</v>
          </cell>
          <cell r="AM25">
            <v>4007</v>
          </cell>
          <cell r="AN25">
            <v>4</v>
          </cell>
          <cell r="AO25">
            <v>11</v>
          </cell>
          <cell r="AP25">
            <v>12</v>
          </cell>
          <cell r="AQ25">
            <v>23</v>
          </cell>
          <cell r="AR25">
            <v>9</v>
          </cell>
          <cell r="AS25">
            <v>427</v>
          </cell>
          <cell r="AT25">
            <v>2712</v>
          </cell>
          <cell r="AU25">
            <v>2009</v>
          </cell>
          <cell r="AV25">
            <v>4721</v>
          </cell>
          <cell r="AW25">
            <v>2206</v>
          </cell>
          <cell r="AX25">
            <v>4</v>
          </cell>
          <cell r="AY25">
            <v>-3</v>
          </cell>
          <cell r="AZ25">
            <v>0</v>
          </cell>
          <cell r="BA25">
            <v>-3</v>
          </cell>
          <cell r="BB25">
            <v>9</v>
          </cell>
          <cell r="BC25">
            <v>777</v>
          </cell>
          <cell r="BD25">
            <v>-645</v>
          </cell>
          <cell r="BE25">
            <v>-156</v>
          </cell>
          <cell r="BF25">
            <v>-801</v>
          </cell>
          <cell r="BG25">
            <v>1801</v>
          </cell>
          <cell r="BH25">
            <v>4</v>
          </cell>
          <cell r="BI25">
            <v>777</v>
          </cell>
          <cell r="BJ25">
            <v>6</v>
          </cell>
          <cell r="BK25">
            <v>817</v>
          </cell>
          <cell r="BL25">
            <v>9</v>
          </cell>
          <cell r="BM25">
            <v>1926</v>
          </cell>
          <cell r="BN25">
            <v>23</v>
          </cell>
          <cell r="BO25">
            <v>5184</v>
          </cell>
          <cell r="BP25">
            <v>38</v>
          </cell>
          <cell r="BQ25">
            <v>7927</v>
          </cell>
          <cell r="BR25">
            <v>38</v>
          </cell>
          <cell r="BS25">
            <v>7927</v>
          </cell>
          <cell r="BT25">
            <v>0</v>
          </cell>
        </row>
        <row r="26">
          <cell r="AA26" t="str">
            <v>San Francisco, CA</v>
          </cell>
          <cell r="AB26">
            <v>360</v>
          </cell>
          <cell r="AC26">
            <v>51240</v>
          </cell>
          <cell r="AD26">
            <v>8</v>
          </cell>
          <cell r="AE26">
            <v>11</v>
          </cell>
          <cell r="AF26">
            <v>10</v>
          </cell>
          <cell r="AG26">
            <v>21</v>
          </cell>
          <cell r="AH26">
            <v>5</v>
          </cell>
          <cell r="AI26">
            <v>1467</v>
          </cell>
          <cell r="AJ26">
            <v>1177</v>
          </cell>
          <cell r="AK26">
            <v>2286</v>
          </cell>
          <cell r="AL26">
            <v>3463</v>
          </cell>
          <cell r="AM26">
            <v>1395</v>
          </cell>
          <cell r="AN26">
            <v>10</v>
          </cell>
          <cell r="AO26">
            <v>10</v>
          </cell>
          <cell r="AP26">
            <v>9</v>
          </cell>
          <cell r="AQ26">
            <v>19</v>
          </cell>
          <cell r="AR26">
            <v>6</v>
          </cell>
          <cell r="AS26">
            <v>1770</v>
          </cell>
          <cell r="AT26">
            <v>1396</v>
          </cell>
          <cell r="AU26">
            <v>2009</v>
          </cell>
          <cell r="AV26">
            <v>3405</v>
          </cell>
          <cell r="AW26">
            <v>1120</v>
          </cell>
          <cell r="AX26">
            <v>-2</v>
          </cell>
          <cell r="AY26">
            <v>1</v>
          </cell>
          <cell r="AZ26">
            <v>1</v>
          </cell>
          <cell r="BA26">
            <v>2</v>
          </cell>
          <cell r="BB26">
            <v>-1</v>
          </cell>
          <cell r="BC26">
            <v>-303</v>
          </cell>
          <cell r="BD26">
            <v>-219</v>
          </cell>
          <cell r="BE26">
            <v>277</v>
          </cell>
          <cell r="BF26">
            <v>58</v>
          </cell>
          <cell r="BG26">
            <v>275</v>
          </cell>
          <cell r="BH26">
            <v>1</v>
          </cell>
          <cell r="BI26">
            <v>362</v>
          </cell>
          <cell r="BJ26">
            <v>8</v>
          </cell>
          <cell r="BK26">
            <v>463</v>
          </cell>
          <cell r="BL26">
            <v>5</v>
          </cell>
          <cell r="BM26">
            <v>912</v>
          </cell>
          <cell r="BN26">
            <v>13</v>
          </cell>
          <cell r="BO26">
            <v>3483</v>
          </cell>
          <cell r="BP26">
            <v>26</v>
          </cell>
          <cell r="BQ26">
            <v>4858</v>
          </cell>
          <cell r="BR26">
            <v>26</v>
          </cell>
          <cell r="BS26">
            <v>4858</v>
          </cell>
          <cell r="BT26">
            <v>0</v>
          </cell>
        </row>
        <row r="27">
          <cell r="AA27" t="str">
            <v>Seattle, WA</v>
          </cell>
          <cell r="AB27">
            <v>292</v>
          </cell>
          <cell r="AC27">
            <v>35250</v>
          </cell>
          <cell r="AD27">
            <v>6</v>
          </cell>
          <cell r="AE27">
            <v>9</v>
          </cell>
          <cell r="AF27">
            <v>3</v>
          </cell>
          <cell r="AG27">
            <v>12</v>
          </cell>
          <cell r="AH27">
            <v>7</v>
          </cell>
          <cell r="AI27">
            <v>1124</v>
          </cell>
          <cell r="AJ27">
            <v>1467</v>
          </cell>
          <cell r="AK27">
            <v>235</v>
          </cell>
          <cell r="AL27">
            <v>1702</v>
          </cell>
          <cell r="AM27">
            <v>1576</v>
          </cell>
          <cell r="AN27">
            <v>7</v>
          </cell>
          <cell r="AO27">
            <v>9</v>
          </cell>
          <cell r="AP27">
            <v>6</v>
          </cell>
          <cell r="AQ27">
            <v>15</v>
          </cell>
          <cell r="AR27">
            <v>7</v>
          </cell>
          <cell r="AS27">
            <v>1483</v>
          </cell>
          <cell r="AT27">
            <v>1464</v>
          </cell>
          <cell r="AU27">
            <v>648</v>
          </cell>
          <cell r="AV27">
            <v>2112</v>
          </cell>
          <cell r="AW27">
            <v>1646</v>
          </cell>
          <cell r="AX27">
            <v>-1</v>
          </cell>
          <cell r="AY27">
            <v>0</v>
          </cell>
          <cell r="AZ27">
            <v>-3</v>
          </cell>
          <cell r="BA27">
            <v>-3</v>
          </cell>
          <cell r="BB27">
            <v>0</v>
          </cell>
          <cell r="BC27">
            <v>-359</v>
          </cell>
          <cell r="BD27">
            <v>3</v>
          </cell>
          <cell r="BE27">
            <v>-413</v>
          </cell>
          <cell r="BF27">
            <v>-410</v>
          </cell>
          <cell r="BG27">
            <v>-70</v>
          </cell>
          <cell r="BH27">
            <v>1</v>
          </cell>
          <cell r="BI27">
            <v>62</v>
          </cell>
          <cell r="BJ27">
            <v>6</v>
          </cell>
          <cell r="BK27">
            <v>511</v>
          </cell>
          <cell r="BL27">
            <v>6</v>
          </cell>
          <cell r="BM27">
            <v>1191</v>
          </cell>
          <cell r="BN27">
            <v>7</v>
          </cell>
          <cell r="BO27">
            <v>1576</v>
          </cell>
          <cell r="BP27">
            <v>19</v>
          </cell>
          <cell r="BQ27">
            <v>3278</v>
          </cell>
          <cell r="BR27">
            <v>19</v>
          </cell>
          <cell r="BS27">
            <v>3278</v>
          </cell>
          <cell r="BT27">
            <v>0</v>
          </cell>
        </row>
        <row r="28">
          <cell r="AA28" t="str">
            <v>Tampa, FL</v>
          </cell>
          <cell r="AB28">
            <v>354</v>
          </cell>
          <cell r="AC28">
            <v>41855</v>
          </cell>
          <cell r="AD28">
            <v>8</v>
          </cell>
          <cell r="AE28">
            <v>5</v>
          </cell>
          <cell r="AF28">
            <v>8</v>
          </cell>
          <cell r="AG28">
            <v>13</v>
          </cell>
          <cell r="AH28">
            <v>10</v>
          </cell>
          <cell r="AI28">
            <v>1072</v>
          </cell>
          <cell r="AJ28">
            <v>410</v>
          </cell>
          <cell r="AK28">
            <v>1186</v>
          </cell>
          <cell r="AL28">
            <v>1596</v>
          </cell>
          <cell r="AM28">
            <v>1047</v>
          </cell>
          <cell r="AN28">
            <v>9</v>
          </cell>
          <cell r="AO28">
            <v>6</v>
          </cell>
          <cell r="AP28">
            <v>6</v>
          </cell>
          <cell r="AQ28">
            <v>12</v>
          </cell>
          <cell r="AR28">
            <v>11</v>
          </cell>
          <cell r="AS28">
            <v>1069</v>
          </cell>
          <cell r="AT28">
            <v>560</v>
          </cell>
          <cell r="AU28">
            <v>1003</v>
          </cell>
          <cell r="AV28">
            <v>1563</v>
          </cell>
          <cell r="AW28">
            <v>1295</v>
          </cell>
          <cell r="AX28">
            <v>-1</v>
          </cell>
          <cell r="AY28">
            <v>-1</v>
          </cell>
          <cell r="AZ28">
            <v>2</v>
          </cell>
          <cell r="BA28">
            <v>1</v>
          </cell>
          <cell r="BB28">
            <v>-1</v>
          </cell>
          <cell r="BC28">
            <v>3</v>
          </cell>
          <cell r="BD28">
            <v>-150</v>
          </cell>
          <cell r="BE28">
            <v>183</v>
          </cell>
          <cell r="BF28">
            <v>33</v>
          </cell>
          <cell r="BG28">
            <v>-248</v>
          </cell>
          <cell r="BH28">
            <v>1</v>
          </cell>
          <cell r="BI28">
            <v>152</v>
          </cell>
          <cell r="BJ28">
            <v>2</v>
          </cell>
          <cell r="BK28">
            <v>135</v>
          </cell>
          <cell r="BL28">
            <v>7</v>
          </cell>
          <cell r="BM28">
            <v>857</v>
          </cell>
          <cell r="BN28">
            <v>14</v>
          </cell>
          <cell r="BO28">
            <v>1651</v>
          </cell>
          <cell r="BP28">
            <v>23</v>
          </cell>
          <cell r="BQ28">
            <v>2643</v>
          </cell>
          <cell r="BR28">
            <v>23</v>
          </cell>
          <cell r="BS28">
            <v>2643</v>
          </cell>
          <cell r="BT28">
            <v>0</v>
          </cell>
        </row>
        <row r="29">
          <cell r="AA29" t="str">
            <v>Washington, DC</v>
          </cell>
          <cell r="AB29">
            <v>456</v>
          </cell>
          <cell r="AC29">
            <v>79978</v>
          </cell>
          <cell r="AD29">
            <v>10</v>
          </cell>
          <cell r="AE29">
            <v>12</v>
          </cell>
          <cell r="AF29">
            <v>18</v>
          </cell>
          <cell r="AG29">
            <v>30</v>
          </cell>
          <cell r="AH29">
            <v>20</v>
          </cell>
          <cell r="AI29">
            <v>1225</v>
          </cell>
          <cell r="AJ29">
            <v>2020</v>
          </cell>
          <cell r="AK29">
            <v>2875</v>
          </cell>
          <cell r="AL29">
            <v>4895</v>
          </cell>
          <cell r="AM29">
            <v>3823</v>
          </cell>
          <cell r="AN29">
            <v>13</v>
          </cell>
          <cell r="AO29">
            <v>14</v>
          </cell>
          <cell r="AP29">
            <v>17</v>
          </cell>
          <cell r="AQ29">
            <v>31</v>
          </cell>
          <cell r="AR29">
            <v>18</v>
          </cell>
          <cell r="AS29">
            <v>1495</v>
          </cell>
          <cell r="AT29">
            <v>2311</v>
          </cell>
          <cell r="AU29">
            <v>2783</v>
          </cell>
          <cell r="AV29">
            <v>5094</v>
          </cell>
          <cell r="AW29">
            <v>3300</v>
          </cell>
          <cell r="AX29">
            <v>-3</v>
          </cell>
          <cell r="AY29">
            <v>-2</v>
          </cell>
          <cell r="AZ29">
            <v>1</v>
          </cell>
          <cell r="BA29">
            <v>-1</v>
          </cell>
          <cell r="BB29">
            <v>2</v>
          </cell>
          <cell r="BC29">
            <v>-270</v>
          </cell>
          <cell r="BD29">
            <v>-291</v>
          </cell>
          <cell r="BE29">
            <v>92</v>
          </cell>
          <cell r="BF29">
            <v>-199</v>
          </cell>
          <cell r="BG29">
            <v>523</v>
          </cell>
          <cell r="BH29">
            <v>2</v>
          </cell>
          <cell r="BI29">
            <v>273</v>
          </cell>
          <cell r="BJ29">
            <v>10</v>
          </cell>
          <cell r="BK29">
            <v>1444</v>
          </cell>
          <cell r="BL29">
            <v>13</v>
          </cell>
          <cell r="BM29">
            <v>1773</v>
          </cell>
          <cell r="BN29">
            <v>27</v>
          </cell>
          <cell r="BO29">
            <v>5501</v>
          </cell>
          <cell r="BP29">
            <v>50</v>
          </cell>
          <cell r="BQ29">
            <v>8718</v>
          </cell>
          <cell r="BR29">
            <v>50</v>
          </cell>
          <cell r="BS29">
            <v>8718</v>
          </cell>
          <cell r="BT29">
            <v>0</v>
          </cell>
        </row>
      </sheetData>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and census"/>
      <sheetName val="CENSUS pivots"/>
      <sheetName val="Mkt Lookups"/>
      <sheetName val="Pipeline pivots"/>
      <sheetName val="old open pivots"/>
      <sheetName val="lookups"/>
      <sheetName val="2A lookups"/>
      <sheetName val="Mkts 2A"/>
      <sheetName val="Mkts 2B"/>
      <sheetName val="Mkts2C1"/>
      <sheetName val="Mkts 2C2"/>
      <sheetName val=" Mkt OpStats Rank 2D"/>
      <sheetName val="Mkt Op Stats Compare 2E"/>
      <sheetName val="STR Legend"/>
      <sheetName val="Mkts 2B (2)"/>
    </sheetNames>
    <sheetDataSet>
      <sheetData sheetId="0" refreshError="1"/>
      <sheetData sheetId="1" refreshError="1"/>
      <sheetData sheetId="2" refreshError="1"/>
      <sheetData sheetId="3" refreshError="1"/>
      <sheetData sheetId="4" refreshError="1"/>
      <sheetData sheetId="5" refreshError="1">
        <row r="10">
          <cell r="A10" t="str">
            <v>Anaheim, CA</v>
          </cell>
          <cell r="B10">
            <v>3</v>
          </cell>
          <cell r="C10">
            <v>390</v>
          </cell>
          <cell r="D10">
            <v>6</v>
          </cell>
          <cell r="E10">
            <v>645</v>
          </cell>
          <cell r="F10">
            <v>4</v>
          </cell>
          <cell r="G10">
            <v>733</v>
          </cell>
          <cell r="H10">
            <v>3</v>
          </cell>
          <cell r="I10">
            <v>667</v>
          </cell>
          <cell r="J10">
            <v>11</v>
          </cell>
          <cell r="K10">
            <v>2655</v>
          </cell>
          <cell r="L10">
            <v>24</v>
          </cell>
          <cell r="M10">
            <v>4700</v>
          </cell>
          <cell r="N10">
            <v>367</v>
          </cell>
          <cell r="O10">
            <v>49672</v>
          </cell>
          <cell r="P10">
            <v>1.2083763112313411E-2</v>
          </cell>
          <cell r="Q10">
            <v>12</v>
          </cell>
          <cell r="R10">
            <v>2685</v>
          </cell>
          <cell r="S10">
            <v>8</v>
          </cell>
          <cell r="T10">
            <v>2028</v>
          </cell>
          <cell r="U10">
            <v>20</v>
          </cell>
          <cell r="V10">
            <v>4713</v>
          </cell>
          <cell r="W10">
            <v>9.4882428732485105E-2</v>
          </cell>
          <cell r="X10">
            <v>3</v>
          </cell>
          <cell r="Y10">
            <v>851</v>
          </cell>
          <cell r="Z10">
            <v>4</v>
          </cell>
          <cell r="AA10">
            <v>793</v>
          </cell>
          <cell r="AB10">
            <v>9</v>
          </cell>
          <cell r="AC10">
            <v>1533</v>
          </cell>
          <cell r="AD10">
            <v>5</v>
          </cell>
          <cell r="AE10">
            <v>1175</v>
          </cell>
          <cell r="AF10">
            <v>5</v>
          </cell>
          <cell r="AG10">
            <v>2063</v>
          </cell>
          <cell r="AH10">
            <v>1.2381061253034408E-2</v>
          </cell>
        </row>
        <row r="11">
          <cell r="A11" t="str">
            <v>Atlanta, GA</v>
          </cell>
          <cell r="B11">
            <v>53</v>
          </cell>
          <cell r="C11">
            <v>5479</v>
          </cell>
          <cell r="D11">
            <v>44</v>
          </cell>
          <cell r="E11">
            <v>4672</v>
          </cell>
          <cell r="F11">
            <v>33</v>
          </cell>
          <cell r="G11">
            <v>3422</v>
          </cell>
          <cell r="H11">
            <v>30</v>
          </cell>
          <cell r="I11">
            <v>2809</v>
          </cell>
          <cell r="J11">
            <v>20</v>
          </cell>
          <cell r="K11">
            <v>1845</v>
          </cell>
          <cell r="L11">
            <v>127</v>
          </cell>
          <cell r="M11">
            <v>12748</v>
          </cell>
          <cell r="N11">
            <v>650</v>
          </cell>
          <cell r="O11">
            <v>85888</v>
          </cell>
          <cell r="P11">
            <v>2.0894070023159409E-2</v>
          </cell>
          <cell r="Q11">
            <v>19</v>
          </cell>
          <cell r="R11">
            <v>1702</v>
          </cell>
          <cell r="S11">
            <v>21</v>
          </cell>
          <cell r="T11">
            <v>3002</v>
          </cell>
          <cell r="U11">
            <v>40</v>
          </cell>
          <cell r="V11">
            <v>4704</v>
          </cell>
          <cell r="W11">
            <v>5.4769001490312968E-2</v>
          </cell>
          <cell r="X11">
            <v>21</v>
          </cell>
          <cell r="Y11">
            <v>3382</v>
          </cell>
          <cell r="Z11">
            <v>10</v>
          </cell>
          <cell r="AA11">
            <v>992</v>
          </cell>
          <cell r="AB11">
            <v>19</v>
          </cell>
          <cell r="AC11">
            <v>1414</v>
          </cell>
          <cell r="AD11">
            <v>18</v>
          </cell>
          <cell r="AE11">
            <v>1967</v>
          </cell>
          <cell r="AF11">
            <v>14</v>
          </cell>
          <cell r="AG11">
            <v>3713</v>
          </cell>
          <cell r="AH11">
            <v>2.1064122133982469E-2</v>
          </cell>
        </row>
        <row r="12">
          <cell r="A12" t="str">
            <v>Boston, MA</v>
          </cell>
          <cell r="B12">
            <v>2</v>
          </cell>
          <cell r="C12">
            <v>169</v>
          </cell>
          <cell r="D12">
            <v>14</v>
          </cell>
          <cell r="E12">
            <v>2185</v>
          </cell>
          <cell r="F12">
            <v>16</v>
          </cell>
          <cell r="G12">
            <v>2788</v>
          </cell>
          <cell r="H12">
            <v>12</v>
          </cell>
          <cell r="I12">
            <v>1601</v>
          </cell>
          <cell r="J12">
            <v>15</v>
          </cell>
          <cell r="K12">
            <v>2310</v>
          </cell>
          <cell r="L12">
            <v>57</v>
          </cell>
          <cell r="M12">
            <v>8884</v>
          </cell>
          <cell r="N12">
            <v>282</v>
          </cell>
          <cell r="O12">
            <v>44213</v>
          </cell>
          <cell r="P12">
            <v>1.0755746063873266E-2</v>
          </cell>
          <cell r="Q12">
            <v>15</v>
          </cell>
          <cell r="R12">
            <v>2037</v>
          </cell>
          <cell r="S12">
            <v>19</v>
          </cell>
          <cell r="T12">
            <v>3844</v>
          </cell>
          <cell r="U12">
            <v>34</v>
          </cell>
          <cell r="V12">
            <v>5881</v>
          </cell>
          <cell r="W12">
            <v>0.13301517653178929</v>
          </cell>
          <cell r="X12">
            <v>14</v>
          </cell>
          <cell r="Y12">
            <v>2239</v>
          </cell>
          <cell r="Z12">
            <v>3</v>
          </cell>
          <cell r="AA12">
            <v>201</v>
          </cell>
          <cell r="AB12">
            <v>9</v>
          </cell>
          <cell r="AC12">
            <v>1228</v>
          </cell>
          <cell r="AD12">
            <v>18</v>
          </cell>
          <cell r="AE12">
            <v>2671</v>
          </cell>
          <cell r="AF12">
            <v>18</v>
          </cell>
          <cell r="AG12">
            <v>4020</v>
          </cell>
          <cell r="AH12">
            <v>1.1730358435713116E-2</v>
          </cell>
        </row>
        <row r="13">
          <cell r="A13" t="str">
            <v>Chicago, IL</v>
          </cell>
          <cell r="B13">
            <v>18</v>
          </cell>
          <cell r="C13">
            <v>1849</v>
          </cell>
          <cell r="D13">
            <v>17</v>
          </cell>
          <cell r="E13">
            <v>2953</v>
          </cell>
          <cell r="F13">
            <v>27</v>
          </cell>
          <cell r="G13">
            <v>4145</v>
          </cell>
          <cell r="H13">
            <v>19</v>
          </cell>
          <cell r="I13">
            <v>2545</v>
          </cell>
          <cell r="J13">
            <v>15</v>
          </cell>
          <cell r="K13">
            <v>2468</v>
          </cell>
          <cell r="L13">
            <v>78</v>
          </cell>
          <cell r="M13">
            <v>12111</v>
          </cell>
          <cell r="N13">
            <v>487</v>
          </cell>
          <cell r="O13">
            <v>83796</v>
          </cell>
          <cell r="P13">
            <v>2.0385146838448515E-2</v>
          </cell>
          <cell r="Q13">
            <v>14</v>
          </cell>
          <cell r="R13">
            <v>2286</v>
          </cell>
          <cell r="S13">
            <v>25</v>
          </cell>
          <cell r="T13">
            <v>4823</v>
          </cell>
          <cell r="U13">
            <v>39</v>
          </cell>
          <cell r="V13">
            <v>7109</v>
          </cell>
          <cell r="W13">
            <v>8.4836985058952694E-2</v>
          </cell>
          <cell r="X13">
            <v>14</v>
          </cell>
          <cell r="Y13">
            <v>2489</v>
          </cell>
          <cell r="Z13">
            <v>5</v>
          </cell>
          <cell r="AA13">
            <v>535</v>
          </cell>
          <cell r="AB13">
            <v>16</v>
          </cell>
          <cell r="AC13">
            <v>2056</v>
          </cell>
          <cell r="AD13">
            <v>11</v>
          </cell>
          <cell r="AE13">
            <v>1383</v>
          </cell>
          <cell r="AF13">
            <v>21</v>
          </cell>
          <cell r="AG13">
            <v>5624</v>
          </cell>
          <cell r="AH13">
            <v>2.0934116059560713E-2</v>
          </cell>
        </row>
        <row r="14">
          <cell r="A14" t="str">
            <v>Dallas, TX</v>
          </cell>
          <cell r="B14">
            <v>32</v>
          </cell>
          <cell r="C14">
            <v>3170</v>
          </cell>
          <cell r="D14">
            <v>51</v>
          </cell>
          <cell r="E14">
            <v>7877</v>
          </cell>
          <cell r="F14">
            <v>29</v>
          </cell>
          <cell r="G14">
            <v>3805</v>
          </cell>
          <cell r="H14">
            <v>32</v>
          </cell>
          <cell r="I14">
            <v>3839</v>
          </cell>
          <cell r="J14">
            <v>14</v>
          </cell>
          <cell r="K14">
            <v>1872</v>
          </cell>
          <cell r="L14">
            <v>126</v>
          </cell>
          <cell r="M14">
            <v>17393</v>
          </cell>
          <cell r="N14">
            <v>447</v>
          </cell>
          <cell r="O14">
            <v>63653</v>
          </cell>
          <cell r="P14">
            <v>1.5484936652200144E-2</v>
          </cell>
          <cell r="Q14">
            <v>10</v>
          </cell>
          <cell r="R14">
            <v>1461</v>
          </cell>
          <cell r="S14">
            <v>16</v>
          </cell>
          <cell r="T14">
            <v>2713</v>
          </cell>
          <cell r="U14">
            <v>26</v>
          </cell>
          <cell r="V14">
            <v>4174</v>
          </cell>
          <cell r="W14">
            <v>6.5574285579627037E-2</v>
          </cell>
          <cell r="X14">
            <v>13</v>
          </cell>
          <cell r="Y14">
            <v>1808</v>
          </cell>
          <cell r="Z14">
            <v>4</v>
          </cell>
          <cell r="AA14">
            <v>358</v>
          </cell>
          <cell r="AB14">
            <v>11</v>
          </cell>
          <cell r="AC14">
            <v>1339</v>
          </cell>
          <cell r="AD14">
            <v>12</v>
          </cell>
          <cell r="AE14">
            <v>1174</v>
          </cell>
          <cell r="AF14">
            <v>12</v>
          </cell>
          <cell r="AG14">
            <v>3111</v>
          </cell>
          <cell r="AH14">
            <v>1.5608574124756519E-2</v>
          </cell>
        </row>
        <row r="15">
          <cell r="A15" t="str">
            <v>Denver, CO</v>
          </cell>
          <cell r="B15">
            <v>16</v>
          </cell>
          <cell r="C15">
            <v>1966</v>
          </cell>
          <cell r="D15">
            <v>32</v>
          </cell>
          <cell r="E15">
            <v>3514</v>
          </cell>
          <cell r="F15">
            <v>20</v>
          </cell>
          <cell r="G15">
            <v>2578</v>
          </cell>
          <cell r="H15">
            <v>16</v>
          </cell>
          <cell r="I15">
            <v>1998</v>
          </cell>
          <cell r="J15">
            <v>4</v>
          </cell>
          <cell r="K15">
            <v>328</v>
          </cell>
          <cell r="L15">
            <v>72</v>
          </cell>
          <cell r="M15">
            <v>8418</v>
          </cell>
          <cell r="N15">
            <v>232</v>
          </cell>
          <cell r="O15">
            <v>34922</v>
          </cell>
          <cell r="P15">
            <v>8.4955140805324722E-3</v>
          </cell>
          <cell r="Q15">
            <v>6</v>
          </cell>
          <cell r="R15">
            <v>1001</v>
          </cell>
          <cell r="S15">
            <v>11</v>
          </cell>
          <cell r="T15">
            <v>2894</v>
          </cell>
          <cell r="U15">
            <v>17</v>
          </cell>
          <cell r="V15">
            <v>3895</v>
          </cell>
          <cell r="W15">
            <v>0.11153427638737759</v>
          </cell>
          <cell r="X15">
            <v>7</v>
          </cell>
          <cell r="Y15">
            <v>1120</v>
          </cell>
          <cell r="Z15">
            <v>1</v>
          </cell>
          <cell r="AA15">
            <v>65</v>
          </cell>
          <cell r="AB15">
            <v>5</v>
          </cell>
          <cell r="AC15">
            <v>758</v>
          </cell>
          <cell r="AD15">
            <v>8</v>
          </cell>
          <cell r="AE15">
            <v>1275</v>
          </cell>
          <cell r="AF15">
            <v>10</v>
          </cell>
          <cell r="AG15">
            <v>2917</v>
          </cell>
          <cell r="AH15">
            <v>8.9518148175544068E-3</v>
          </cell>
        </row>
        <row r="16">
          <cell r="A16" t="str">
            <v>Detroit, MI</v>
          </cell>
          <cell r="B16">
            <v>11</v>
          </cell>
          <cell r="C16">
            <v>1112</v>
          </cell>
          <cell r="D16">
            <v>18</v>
          </cell>
          <cell r="E16">
            <v>1834</v>
          </cell>
          <cell r="F16">
            <v>11</v>
          </cell>
          <cell r="G16">
            <v>1298</v>
          </cell>
          <cell r="H16">
            <v>17</v>
          </cell>
          <cell r="I16">
            <v>1910</v>
          </cell>
          <cell r="J16">
            <v>10</v>
          </cell>
          <cell r="K16">
            <v>872</v>
          </cell>
          <cell r="L16">
            <v>56</v>
          </cell>
          <cell r="M16">
            <v>5914</v>
          </cell>
          <cell r="N16">
            <v>299</v>
          </cell>
          <cell r="O16">
            <v>36579</v>
          </cell>
          <cell r="P16">
            <v>8.8986143276959303E-3</v>
          </cell>
          <cell r="Q16">
            <v>14</v>
          </cell>
          <cell r="R16">
            <v>1677</v>
          </cell>
          <cell r="S16">
            <v>13</v>
          </cell>
          <cell r="T16">
            <v>1273</v>
          </cell>
          <cell r="U16">
            <v>27</v>
          </cell>
          <cell r="V16">
            <v>2950</v>
          </cell>
          <cell r="W16">
            <v>8.0647365975012986E-2</v>
          </cell>
          <cell r="X16">
            <v>12</v>
          </cell>
          <cell r="Y16">
            <v>1271</v>
          </cell>
          <cell r="Z16">
            <v>6</v>
          </cell>
          <cell r="AA16">
            <v>578</v>
          </cell>
          <cell r="AB16">
            <v>15</v>
          </cell>
          <cell r="AC16">
            <v>1408</v>
          </cell>
          <cell r="AD16">
            <v>11</v>
          </cell>
          <cell r="AE16">
            <v>1456</v>
          </cell>
          <cell r="AF16">
            <v>7</v>
          </cell>
          <cell r="AG16">
            <v>779</v>
          </cell>
          <cell r="AH16">
            <v>9.1452548903578085E-3</v>
          </cell>
        </row>
        <row r="17">
          <cell r="A17" t="str">
            <v>Houston, TX</v>
          </cell>
          <cell r="B17">
            <v>35</v>
          </cell>
          <cell r="C17">
            <v>2811</v>
          </cell>
          <cell r="D17">
            <v>40</v>
          </cell>
          <cell r="E17">
            <v>4304</v>
          </cell>
          <cell r="F17">
            <v>27</v>
          </cell>
          <cell r="G17">
            <v>2458</v>
          </cell>
          <cell r="H17">
            <v>29</v>
          </cell>
          <cell r="I17">
            <v>2490</v>
          </cell>
          <cell r="J17">
            <v>22</v>
          </cell>
          <cell r="K17">
            <v>1806</v>
          </cell>
          <cell r="L17">
            <v>118</v>
          </cell>
          <cell r="M17">
            <v>11058</v>
          </cell>
          <cell r="N17">
            <v>396</v>
          </cell>
          <cell r="O17">
            <v>51316</v>
          </cell>
          <cell r="P17">
            <v>1.2483700834906486E-2</v>
          </cell>
          <cell r="Q17">
            <v>17</v>
          </cell>
          <cell r="R17">
            <v>2969</v>
          </cell>
          <cell r="S17">
            <v>17</v>
          </cell>
          <cell r="T17">
            <v>1551</v>
          </cell>
          <cell r="U17">
            <v>34</v>
          </cell>
          <cell r="V17">
            <v>4520</v>
          </cell>
          <cell r="W17">
            <v>8.8081689921272119E-2</v>
          </cell>
          <cell r="X17">
            <v>9</v>
          </cell>
          <cell r="Y17">
            <v>1413</v>
          </cell>
          <cell r="Z17">
            <v>3</v>
          </cell>
          <cell r="AA17">
            <v>210</v>
          </cell>
          <cell r="AB17">
            <v>24</v>
          </cell>
          <cell r="AC17">
            <v>2134</v>
          </cell>
          <cell r="AD17">
            <v>8</v>
          </cell>
          <cell r="AE17">
            <v>950</v>
          </cell>
          <cell r="AF17">
            <v>8</v>
          </cell>
          <cell r="AG17">
            <v>2639</v>
          </cell>
          <cell r="AH17">
            <v>1.2832271990639563E-2</v>
          </cell>
        </row>
        <row r="18">
          <cell r="A18" t="str">
            <v>Los Angeles, CA</v>
          </cell>
          <cell r="B18">
            <v>8</v>
          </cell>
          <cell r="C18">
            <v>754</v>
          </cell>
          <cell r="D18">
            <v>10</v>
          </cell>
          <cell r="E18">
            <v>1324</v>
          </cell>
          <cell r="F18">
            <v>12</v>
          </cell>
          <cell r="G18">
            <v>1302</v>
          </cell>
          <cell r="H18">
            <v>8</v>
          </cell>
          <cell r="I18">
            <v>1017</v>
          </cell>
          <cell r="J18">
            <v>7</v>
          </cell>
          <cell r="K18">
            <v>763</v>
          </cell>
          <cell r="L18">
            <v>37</v>
          </cell>
          <cell r="M18">
            <v>4406</v>
          </cell>
          <cell r="N18">
            <v>705</v>
          </cell>
          <cell r="O18">
            <v>84566</v>
          </cell>
          <cell r="P18">
            <v>2.0572465601463519E-2</v>
          </cell>
          <cell r="Q18">
            <v>8</v>
          </cell>
          <cell r="R18">
            <v>1094</v>
          </cell>
          <cell r="S18">
            <v>15</v>
          </cell>
          <cell r="T18">
            <v>2607</v>
          </cell>
          <cell r="U18">
            <v>23</v>
          </cell>
          <cell r="V18">
            <v>3701</v>
          </cell>
          <cell r="W18">
            <v>4.376463354066646E-2</v>
          </cell>
          <cell r="X18">
            <v>8</v>
          </cell>
          <cell r="Y18">
            <v>1808</v>
          </cell>
          <cell r="Z18">
            <v>4</v>
          </cell>
          <cell r="AA18">
            <v>534</v>
          </cell>
          <cell r="AB18">
            <v>8</v>
          </cell>
          <cell r="AC18">
            <v>957</v>
          </cell>
          <cell r="AD18">
            <v>11</v>
          </cell>
          <cell r="AE18">
            <v>1654</v>
          </cell>
          <cell r="AF18">
            <v>8</v>
          </cell>
          <cell r="AG18">
            <v>2364</v>
          </cell>
          <cell r="AH18">
            <v>2.019016750610244E-2</v>
          </cell>
        </row>
        <row r="19">
          <cell r="A19" t="str">
            <v>Miami, FL</v>
          </cell>
          <cell r="B19">
            <v>6</v>
          </cell>
          <cell r="C19">
            <v>591</v>
          </cell>
          <cell r="D19">
            <v>5</v>
          </cell>
          <cell r="E19">
            <v>1314</v>
          </cell>
          <cell r="F19">
            <v>10</v>
          </cell>
          <cell r="G19">
            <v>1374</v>
          </cell>
          <cell r="H19">
            <v>8</v>
          </cell>
          <cell r="I19">
            <v>1575</v>
          </cell>
          <cell r="J19">
            <v>6</v>
          </cell>
          <cell r="K19">
            <v>1366</v>
          </cell>
          <cell r="L19">
            <v>29</v>
          </cell>
          <cell r="M19">
            <v>5629</v>
          </cell>
          <cell r="N19">
            <v>287</v>
          </cell>
          <cell r="O19">
            <v>44487</v>
          </cell>
          <cell r="P19">
            <v>1.0822402350972111E-2</v>
          </cell>
          <cell r="Q19">
            <v>16</v>
          </cell>
          <cell r="R19">
            <v>2839</v>
          </cell>
          <cell r="S19">
            <v>14</v>
          </cell>
          <cell r="T19">
            <v>1699</v>
          </cell>
          <cell r="U19">
            <v>30</v>
          </cell>
          <cell r="V19">
            <v>4538</v>
          </cell>
          <cell r="W19">
            <v>0.10200732798345584</v>
          </cell>
          <cell r="X19">
            <v>2</v>
          </cell>
          <cell r="Y19">
            <v>347</v>
          </cell>
          <cell r="Z19">
            <v>5</v>
          </cell>
          <cell r="AA19">
            <v>773</v>
          </cell>
          <cell r="AB19">
            <v>12</v>
          </cell>
          <cell r="AC19">
            <v>2043</v>
          </cell>
          <cell r="AD19">
            <v>11</v>
          </cell>
          <cell r="AE19">
            <v>1385</v>
          </cell>
          <cell r="AF19">
            <v>4</v>
          </cell>
          <cell r="AG19">
            <v>684</v>
          </cell>
          <cell r="AH19">
            <v>1.1066655010949649E-2</v>
          </cell>
        </row>
        <row r="20">
          <cell r="A20" t="str">
            <v>Minneapolis, MN</v>
          </cell>
          <cell r="B20">
            <v>16</v>
          </cell>
          <cell r="C20">
            <v>1383</v>
          </cell>
          <cell r="D20">
            <v>28</v>
          </cell>
          <cell r="E20">
            <v>2856</v>
          </cell>
          <cell r="F20">
            <v>9</v>
          </cell>
          <cell r="G20">
            <v>982</v>
          </cell>
          <cell r="H20">
            <v>10</v>
          </cell>
          <cell r="I20">
            <v>929</v>
          </cell>
          <cell r="J20">
            <v>8</v>
          </cell>
          <cell r="K20">
            <v>932</v>
          </cell>
          <cell r="L20">
            <v>55</v>
          </cell>
          <cell r="M20">
            <v>5699</v>
          </cell>
          <cell r="N20">
            <v>253</v>
          </cell>
          <cell r="O20">
            <v>32550</v>
          </cell>
          <cell r="P20">
            <v>7.9184749819979378E-3</v>
          </cell>
          <cell r="Q20">
            <v>6</v>
          </cell>
          <cell r="R20">
            <v>795</v>
          </cell>
          <cell r="S20">
            <v>4</v>
          </cell>
          <cell r="T20">
            <v>709</v>
          </cell>
          <cell r="U20">
            <v>10</v>
          </cell>
          <cell r="V20">
            <v>1504</v>
          </cell>
          <cell r="W20">
            <v>4.6205837173579109E-2</v>
          </cell>
          <cell r="X20">
            <v>8</v>
          </cell>
          <cell r="Y20">
            <v>881</v>
          </cell>
          <cell r="Z20">
            <v>2</v>
          </cell>
          <cell r="AA20">
            <v>247</v>
          </cell>
          <cell r="AB20">
            <v>6</v>
          </cell>
          <cell r="AC20">
            <v>607</v>
          </cell>
          <cell r="AD20">
            <v>7</v>
          </cell>
          <cell r="AE20">
            <v>775</v>
          </cell>
          <cell r="AF20">
            <v>3</v>
          </cell>
          <cell r="AG20">
            <v>756</v>
          </cell>
          <cell r="AH20">
            <v>7.8306244998688733E-3</v>
          </cell>
        </row>
        <row r="21">
          <cell r="A21" t="str">
            <v>Nashville, TN</v>
          </cell>
          <cell r="B21">
            <v>20</v>
          </cell>
          <cell r="C21">
            <v>1634</v>
          </cell>
          <cell r="D21">
            <v>18</v>
          </cell>
          <cell r="E21">
            <v>1898</v>
          </cell>
          <cell r="F21">
            <v>11</v>
          </cell>
          <cell r="G21">
            <v>1222</v>
          </cell>
          <cell r="H21">
            <v>11</v>
          </cell>
          <cell r="I21">
            <v>1153</v>
          </cell>
          <cell r="J21">
            <v>6</v>
          </cell>
          <cell r="K21">
            <v>802</v>
          </cell>
          <cell r="L21">
            <v>46</v>
          </cell>
          <cell r="M21">
            <v>5075</v>
          </cell>
          <cell r="N21">
            <v>270</v>
          </cell>
          <cell r="O21">
            <v>32963</v>
          </cell>
          <cell r="P21">
            <v>8.0189459548878038E-3</v>
          </cell>
          <cell r="Q21">
            <v>5</v>
          </cell>
          <cell r="R21">
            <v>706</v>
          </cell>
          <cell r="S21">
            <v>6</v>
          </cell>
          <cell r="T21">
            <v>476</v>
          </cell>
          <cell r="U21">
            <v>11</v>
          </cell>
          <cell r="V21">
            <v>1182</v>
          </cell>
          <cell r="W21">
            <v>3.5858386675970029E-2</v>
          </cell>
          <cell r="X21">
            <v>6</v>
          </cell>
          <cell r="Y21">
            <v>645</v>
          </cell>
          <cell r="Z21">
            <v>4</v>
          </cell>
          <cell r="AA21">
            <v>592</v>
          </cell>
          <cell r="AB21">
            <v>5</v>
          </cell>
          <cell r="AC21">
            <v>400</v>
          </cell>
          <cell r="AD21">
            <v>5</v>
          </cell>
          <cell r="AE21">
            <v>435</v>
          </cell>
          <cell r="AF21">
            <v>3</v>
          </cell>
          <cell r="AG21">
            <v>400</v>
          </cell>
          <cell r="AH21">
            <v>7.7981229812634353E-3</v>
          </cell>
        </row>
        <row r="22">
          <cell r="A22" t="str">
            <v>New Orleans, LA</v>
          </cell>
          <cell r="B22">
            <v>11</v>
          </cell>
          <cell r="C22">
            <v>1045</v>
          </cell>
          <cell r="D22">
            <v>8</v>
          </cell>
          <cell r="E22">
            <v>1193</v>
          </cell>
          <cell r="F22">
            <v>9</v>
          </cell>
          <cell r="G22">
            <v>900</v>
          </cell>
          <cell r="H22">
            <v>16</v>
          </cell>
          <cell r="I22">
            <v>2491</v>
          </cell>
          <cell r="J22">
            <v>13</v>
          </cell>
          <cell r="K22">
            <v>1549</v>
          </cell>
          <cell r="L22">
            <v>46</v>
          </cell>
          <cell r="M22">
            <v>6133</v>
          </cell>
          <cell r="N22">
            <v>195</v>
          </cell>
          <cell r="O22">
            <v>34209</v>
          </cell>
          <cell r="P22">
            <v>8.322061771402994E-3</v>
          </cell>
          <cell r="Q22">
            <v>13</v>
          </cell>
          <cell r="R22">
            <v>2282</v>
          </cell>
          <cell r="S22">
            <v>10</v>
          </cell>
          <cell r="T22">
            <v>2038</v>
          </cell>
          <cell r="U22">
            <v>23</v>
          </cell>
          <cell r="V22">
            <v>4320</v>
          </cell>
          <cell r="W22">
            <v>0.12628255722178375</v>
          </cell>
          <cell r="X22">
            <v>7</v>
          </cell>
          <cell r="Y22">
            <v>1340</v>
          </cell>
          <cell r="Z22">
            <v>3</v>
          </cell>
          <cell r="AA22">
            <v>507</v>
          </cell>
          <cell r="AB22">
            <v>10</v>
          </cell>
          <cell r="AC22">
            <v>1725</v>
          </cell>
          <cell r="AD22">
            <v>12</v>
          </cell>
          <cell r="AE22">
            <v>1612</v>
          </cell>
          <cell r="AF22">
            <v>5</v>
          </cell>
          <cell r="AG22">
            <v>1816</v>
          </cell>
          <cell r="AH22">
            <v>8.9365727260704766E-3</v>
          </cell>
        </row>
        <row r="23">
          <cell r="A23" t="str">
            <v>New York, NY</v>
          </cell>
          <cell r="B23">
            <v>2</v>
          </cell>
          <cell r="C23">
            <v>154</v>
          </cell>
          <cell r="D23">
            <v>9</v>
          </cell>
          <cell r="E23">
            <v>2058</v>
          </cell>
          <cell r="F23">
            <v>6</v>
          </cell>
          <cell r="G23">
            <v>660</v>
          </cell>
          <cell r="H23">
            <v>18</v>
          </cell>
          <cell r="I23">
            <v>3615</v>
          </cell>
          <cell r="J23">
            <v>11</v>
          </cell>
          <cell r="K23">
            <v>1331</v>
          </cell>
          <cell r="L23">
            <v>44</v>
          </cell>
          <cell r="M23">
            <v>7664</v>
          </cell>
          <cell r="N23">
            <v>288</v>
          </cell>
          <cell r="O23">
            <v>74744</v>
          </cell>
          <cell r="P23">
            <v>1.8183056652978612E-2</v>
          </cell>
          <cell r="Q23">
            <v>11</v>
          </cell>
          <cell r="R23">
            <v>2657</v>
          </cell>
          <cell r="S23">
            <v>8</v>
          </cell>
          <cell r="T23">
            <v>1096</v>
          </cell>
          <cell r="U23">
            <v>19</v>
          </cell>
          <cell r="V23">
            <v>3753</v>
          </cell>
          <cell r="W23">
            <v>5.0211388205073315E-2</v>
          </cell>
          <cell r="X23">
            <v>7</v>
          </cell>
          <cell r="Y23">
            <v>1497</v>
          </cell>
          <cell r="Z23">
            <v>4</v>
          </cell>
          <cell r="AA23">
            <v>877</v>
          </cell>
          <cell r="AB23">
            <v>8</v>
          </cell>
          <cell r="AC23">
            <v>1778</v>
          </cell>
          <cell r="AD23">
            <v>8</v>
          </cell>
          <cell r="AE23">
            <v>1090</v>
          </cell>
          <cell r="AF23">
            <v>6</v>
          </cell>
          <cell r="AG23">
            <v>1505</v>
          </cell>
          <cell r="AH23">
            <v>1.7930527443609866E-2</v>
          </cell>
        </row>
        <row r="24">
          <cell r="A24" t="str">
            <v>Norfolk, VA</v>
          </cell>
          <cell r="B24">
            <v>9</v>
          </cell>
          <cell r="C24">
            <v>906</v>
          </cell>
          <cell r="D24">
            <v>7</v>
          </cell>
          <cell r="E24">
            <v>600</v>
          </cell>
          <cell r="F24">
            <v>4</v>
          </cell>
          <cell r="G24">
            <v>476</v>
          </cell>
          <cell r="H24">
            <v>9</v>
          </cell>
          <cell r="I24">
            <v>941</v>
          </cell>
          <cell r="J24">
            <v>6</v>
          </cell>
          <cell r="K24">
            <v>1043</v>
          </cell>
          <cell r="L24">
            <v>26</v>
          </cell>
          <cell r="M24">
            <v>3060</v>
          </cell>
          <cell r="N24">
            <v>328</v>
          </cell>
          <cell r="O24">
            <v>34886</v>
          </cell>
          <cell r="P24">
            <v>8.4867563201837179E-3</v>
          </cell>
          <cell r="Q24">
            <v>2</v>
          </cell>
          <cell r="R24">
            <v>226</v>
          </cell>
          <cell r="S24">
            <v>7</v>
          </cell>
          <cell r="T24">
            <v>1034</v>
          </cell>
          <cell r="U24">
            <v>9</v>
          </cell>
          <cell r="V24">
            <v>1260</v>
          </cell>
          <cell r="W24">
            <v>3.6117640314166144E-2</v>
          </cell>
          <cell r="X24">
            <v>9</v>
          </cell>
          <cell r="Y24">
            <v>1116</v>
          </cell>
          <cell r="Z24">
            <v>1</v>
          </cell>
          <cell r="AA24">
            <v>128</v>
          </cell>
          <cell r="AB24">
            <v>2</v>
          </cell>
          <cell r="AC24">
            <v>226</v>
          </cell>
          <cell r="AD24">
            <v>10</v>
          </cell>
          <cell r="AE24">
            <v>1082</v>
          </cell>
          <cell r="AF24">
            <v>5</v>
          </cell>
          <cell r="AG24">
            <v>940</v>
          </cell>
          <cell r="AH24">
            <v>8.3522178363851143E-3</v>
          </cell>
        </row>
        <row r="25">
          <cell r="A25" t="str">
            <v>Oahu Island, HI</v>
          </cell>
          <cell r="B25">
            <v>0</v>
          </cell>
          <cell r="C25">
            <v>0</v>
          </cell>
          <cell r="D25">
            <v>0</v>
          </cell>
          <cell r="E25">
            <v>0</v>
          </cell>
          <cell r="F25">
            <v>1</v>
          </cell>
          <cell r="G25">
            <v>48</v>
          </cell>
          <cell r="H25">
            <v>0</v>
          </cell>
          <cell r="I25">
            <v>0</v>
          </cell>
          <cell r="J25">
            <v>1</v>
          </cell>
          <cell r="K25">
            <v>453</v>
          </cell>
          <cell r="L25">
            <v>2</v>
          </cell>
          <cell r="M25">
            <v>501</v>
          </cell>
          <cell r="N25">
            <v>107</v>
          </cell>
          <cell r="O25">
            <v>36506</v>
          </cell>
          <cell r="P25">
            <v>8.8808555358776253E-3</v>
          </cell>
          <cell r="Q25">
            <v>0</v>
          </cell>
          <cell r="R25">
            <v>0</v>
          </cell>
          <cell r="S25">
            <v>0</v>
          </cell>
          <cell r="T25">
            <v>0</v>
          </cell>
          <cell r="U25">
            <v>0</v>
          </cell>
          <cell r="V25">
            <v>0</v>
          </cell>
          <cell r="W25">
            <v>0</v>
          </cell>
          <cell r="X25">
            <v>1</v>
          </cell>
          <cell r="Y25">
            <v>299</v>
          </cell>
          <cell r="Z25">
            <v>0</v>
          </cell>
          <cell r="AA25">
            <v>0</v>
          </cell>
          <cell r="AB25">
            <v>0</v>
          </cell>
          <cell r="AC25">
            <v>0</v>
          </cell>
          <cell r="AD25">
            <v>0</v>
          </cell>
          <cell r="AE25">
            <v>0</v>
          </cell>
          <cell r="AF25">
            <v>1</v>
          </cell>
          <cell r="AG25">
            <v>299</v>
          </cell>
          <cell r="AH25">
            <v>8.2497820156769396E-3</v>
          </cell>
        </row>
        <row r="26">
          <cell r="A26" t="str">
            <v>Orlando, FL</v>
          </cell>
          <cell r="B26">
            <v>5</v>
          </cell>
          <cell r="C26">
            <v>2586</v>
          </cell>
          <cell r="D26">
            <v>27</v>
          </cell>
          <cell r="E26">
            <v>3301</v>
          </cell>
          <cell r="F26">
            <v>34</v>
          </cell>
          <cell r="G26">
            <v>7662</v>
          </cell>
          <cell r="H26">
            <v>20</v>
          </cell>
          <cell r="I26">
            <v>3502</v>
          </cell>
          <cell r="J26">
            <v>12</v>
          </cell>
          <cell r="K26">
            <v>3543</v>
          </cell>
          <cell r="L26">
            <v>93</v>
          </cell>
          <cell r="M26">
            <v>18008</v>
          </cell>
          <cell r="N26">
            <v>429</v>
          </cell>
          <cell r="O26">
            <v>117462</v>
          </cell>
          <cell r="P26">
            <v>2.8575112391257811E-2</v>
          </cell>
          <cell r="Q26">
            <v>12</v>
          </cell>
          <cell r="R26">
            <v>8363</v>
          </cell>
          <cell r="S26">
            <v>21</v>
          </cell>
          <cell r="T26">
            <v>6692</v>
          </cell>
          <cell r="U26">
            <v>33</v>
          </cell>
          <cell r="V26">
            <v>15055</v>
          </cell>
          <cell r="W26">
            <v>0.1281691100100458</v>
          </cell>
          <cell r="X26">
            <v>18</v>
          </cell>
          <cell r="Y26">
            <v>7152</v>
          </cell>
          <cell r="Z26">
            <v>1</v>
          </cell>
          <cell r="AA26">
            <v>100</v>
          </cell>
          <cell r="AB26">
            <v>11</v>
          </cell>
          <cell r="AC26">
            <v>5854</v>
          </cell>
          <cell r="AD26">
            <v>16</v>
          </cell>
          <cell r="AE26">
            <v>4687</v>
          </cell>
          <cell r="AF26">
            <v>23</v>
          </cell>
          <cell r="AG26">
            <v>11566</v>
          </cell>
          <cell r="AH26">
            <v>3.1306583462779036E-2</v>
          </cell>
        </row>
        <row r="27">
          <cell r="A27" t="str">
            <v>Philadelphia, PA</v>
          </cell>
          <cell r="B27">
            <v>2</v>
          </cell>
          <cell r="C27">
            <v>135</v>
          </cell>
          <cell r="D27">
            <v>20</v>
          </cell>
          <cell r="E27">
            <v>2335</v>
          </cell>
          <cell r="F27">
            <v>18</v>
          </cell>
          <cell r="G27">
            <v>2631</v>
          </cell>
          <cell r="H27">
            <v>13</v>
          </cell>
          <cell r="I27">
            <v>2704</v>
          </cell>
          <cell r="J27">
            <v>6</v>
          </cell>
          <cell r="K27">
            <v>782</v>
          </cell>
          <cell r="L27">
            <v>57</v>
          </cell>
          <cell r="M27">
            <v>8452</v>
          </cell>
          <cell r="N27">
            <v>271</v>
          </cell>
          <cell r="O27">
            <v>39526</v>
          </cell>
          <cell r="P27">
            <v>9.6155343206897215E-3</v>
          </cell>
          <cell r="Q27">
            <v>11</v>
          </cell>
          <cell r="R27">
            <v>1354</v>
          </cell>
          <cell r="S27">
            <v>8</v>
          </cell>
          <cell r="T27">
            <v>1006</v>
          </cell>
          <cell r="U27">
            <v>19</v>
          </cell>
          <cell r="V27">
            <v>2360</v>
          </cell>
          <cell r="W27">
            <v>5.9707534281232606E-2</v>
          </cell>
          <cell r="X27">
            <v>7</v>
          </cell>
          <cell r="Y27">
            <v>1061</v>
          </cell>
          <cell r="Z27">
            <v>3</v>
          </cell>
          <cell r="AA27">
            <v>363</v>
          </cell>
          <cell r="AB27">
            <v>9</v>
          </cell>
          <cell r="AC27">
            <v>1071</v>
          </cell>
          <cell r="AD27">
            <v>9</v>
          </cell>
          <cell r="AE27">
            <v>1045</v>
          </cell>
          <cell r="AF27">
            <v>5</v>
          </cell>
          <cell r="AG27">
            <v>942</v>
          </cell>
          <cell r="AH27">
            <v>9.6265015141224694E-3</v>
          </cell>
        </row>
        <row r="28">
          <cell r="A28" t="str">
            <v>Phoenix, AZ</v>
          </cell>
          <cell r="B28">
            <v>22</v>
          </cell>
          <cell r="C28">
            <v>2451</v>
          </cell>
          <cell r="D28">
            <v>48</v>
          </cell>
          <cell r="E28">
            <v>5297</v>
          </cell>
          <cell r="F28">
            <v>17</v>
          </cell>
          <cell r="G28">
            <v>2855</v>
          </cell>
          <cell r="H28">
            <v>12</v>
          </cell>
          <cell r="I28">
            <v>1643</v>
          </cell>
          <cell r="J28">
            <v>3</v>
          </cell>
          <cell r="K28">
            <v>340</v>
          </cell>
          <cell r="L28">
            <v>80</v>
          </cell>
          <cell r="M28">
            <v>10135</v>
          </cell>
          <cell r="N28">
            <v>345</v>
          </cell>
          <cell r="O28">
            <v>50943</v>
          </cell>
          <cell r="P28">
            <v>1.2392960706848569E-2</v>
          </cell>
          <cell r="Q28">
            <v>5</v>
          </cell>
          <cell r="R28">
            <v>2376</v>
          </cell>
          <cell r="S28">
            <v>7</v>
          </cell>
          <cell r="T28">
            <v>1180</v>
          </cell>
          <cell r="U28">
            <v>12</v>
          </cell>
          <cell r="V28">
            <v>3556</v>
          </cell>
          <cell r="W28">
            <v>6.9803505879119807E-2</v>
          </cell>
          <cell r="X28">
            <v>11</v>
          </cell>
          <cell r="Y28">
            <v>2212</v>
          </cell>
          <cell r="Z28">
            <v>1</v>
          </cell>
          <cell r="AA28">
            <v>76</v>
          </cell>
          <cell r="AB28">
            <v>1</v>
          </cell>
          <cell r="AC28">
            <v>100</v>
          </cell>
          <cell r="AD28">
            <v>12</v>
          </cell>
          <cell r="AE28">
            <v>3261</v>
          </cell>
          <cell r="AF28">
            <v>9</v>
          </cell>
          <cell r="AG28">
            <v>2331</v>
          </cell>
          <cell r="AH28">
            <v>1.2711680149193178E-2</v>
          </cell>
        </row>
        <row r="29">
          <cell r="A29" t="str">
            <v>Saint Louis, MO</v>
          </cell>
          <cell r="B29">
            <v>14</v>
          </cell>
          <cell r="C29">
            <v>1419</v>
          </cell>
          <cell r="D29">
            <v>17</v>
          </cell>
          <cell r="E29">
            <v>1825</v>
          </cell>
          <cell r="F29">
            <v>12</v>
          </cell>
          <cell r="G29">
            <v>984</v>
          </cell>
          <cell r="H29">
            <v>10</v>
          </cell>
          <cell r="I29">
            <v>1285</v>
          </cell>
          <cell r="J29">
            <v>6</v>
          </cell>
          <cell r="K29">
            <v>836</v>
          </cell>
          <cell r="L29">
            <v>45</v>
          </cell>
          <cell r="M29">
            <v>4930</v>
          </cell>
          <cell r="N29">
            <v>238</v>
          </cell>
          <cell r="O29">
            <v>31742</v>
          </cell>
          <cell r="P29">
            <v>7.7219119163925813E-3</v>
          </cell>
          <cell r="Q29">
            <v>6</v>
          </cell>
          <cell r="R29">
            <v>1424</v>
          </cell>
          <cell r="S29">
            <v>4</v>
          </cell>
          <cell r="T29">
            <v>399</v>
          </cell>
          <cell r="U29">
            <v>10</v>
          </cell>
          <cell r="V29">
            <v>1823</v>
          </cell>
          <cell r="W29">
            <v>5.7431793837817401E-2</v>
          </cell>
          <cell r="X29">
            <v>11</v>
          </cell>
          <cell r="Y29">
            <v>1785</v>
          </cell>
          <cell r="Z29">
            <v>1</v>
          </cell>
          <cell r="AA29">
            <v>61</v>
          </cell>
          <cell r="AB29">
            <v>7</v>
          </cell>
          <cell r="AC29">
            <v>726</v>
          </cell>
          <cell r="AD29">
            <v>5</v>
          </cell>
          <cell r="AE29">
            <v>500</v>
          </cell>
          <cell r="AF29">
            <v>8</v>
          </cell>
          <cell r="AG29">
            <v>2321</v>
          </cell>
          <cell r="AH29">
            <v>7.9236460876016789E-3</v>
          </cell>
        </row>
        <row r="30">
          <cell r="A30" t="str">
            <v>San Diego, CA</v>
          </cell>
          <cell r="B30">
            <v>3</v>
          </cell>
          <cell r="C30">
            <v>783</v>
          </cell>
          <cell r="D30">
            <v>2</v>
          </cell>
          <cell r="E30">
            <v>198</v>
          </cell>
          <cell r="F30">
            <v>9</v>
          </cell>
          <cell r="G30">
            <v>1204</v>
          </cell>
          <cell r="H30">
            <v>9</v>
          </cell>
          <cell r="I30">
            <v>1065</v>
          </cell>
          <cell r="J30">
            <v>3</v>
          </cell>
          <cell r="K30">
            <v>277</v>
          </cell>
          <cell r="L30">
            <v>23</v>
          </cell>
          <cell r="M30">
            <v>2744</v>
          </cell>
          <cell r="N30">
            <v>420</v>
          </cell>
          <cell r="O30">
            <v>51051</v>
          </cell>
          <cell r="P30">
            <v>1.2419233987894828E-2</v>
          </cell>
          <cell r="Q30">
            <v>12</v>
          </cell>
          <cell r="R30">
            <v>2773</v>
          </cell>
          <cell r="S30">
            <v>10</v>
          </cell>
          <cell r="T30">
            <v>1448</v>
          </cell>
          <cell r="U30">
            <v>22</v>
          </cell>
          <cell r="V30">
            <v>4221</v>
          </cell>
          <cell r="W30">
            <v>8.2682023858494449E-2</v>
          </cell>
          <cell r="X30">
            <v>11</v>
          </cell>
          <cell r="Y30">
            <v>2571</v>
          </cell>
          <cell r="Z30">
            <v>3</v>
          </cell>
          <cell r="AA30">
            <v>330</v>
          </cell>
          <cell r="AB30">
            <v>9</v>
          </cell>
          <cell r="AC30">
            <v>1604</v>
          </cell>
          <cell r="AD30">
            <v>10</v>
          </cell>
          <cell r="AE30">
            <v>1276</v>
          </cell>
          <cell r="AF30">
            <v>11</v>
          </cell>
          <cell r="AG30">
            <v>3582</v>
          </cell>
          <cell r="AH30">
            <v>1.2965416142719772E-2</v>
          </cell>
        </row>
        <row r="31">
          <cell r="A31" t="str">
            <v>San Francisco, CA</v>
          </cell>
          <cell r="B31">
            <v>3</v>
          </cell>
          <cell r="C31">
            <v>323</v>
          </cell>
          <cell r="D31">
            <v>4</v>
          </cell>
          <cell r="E31">
            <v>371</v>
          </cell>
          <cell r="F31">
            <v>13</v>
          </cell>
          <cell r="G31">
            <v>1550</v>
          </cell>
          <cell r="H31">
            <v>7</v>
          </cell>
          <cell r="I31">
            <v>879</v>
          </cell>
          <cell r="J31">
            <v>5</v>
          </cell>
          <cell r="K31">
            <v>826</v>
          </cell>
          <cell r="L31">
            <v>29</v>
          </cell>
          <cell r="M31">
            <v>3626</v>
          </cell>
          <cell r="N31">
            <v>354</v>
          </cell>
          <cell r="O31">
            <v>49934</v>
          </cell>
          <cell r="P31">
            <v>1.2147500145962673E-2</v>
          </cell>
          <cell r="Q31">
            <v>14</v>
          </cell>
          <cell r="R31">
            <v>2184</v>
          </cell>
          <cell r="S31">
            <v>11</v>
          </cell>
          <cell r="T31">
            <v>2125</v>
          </cell>
          <cell r="U31">
            <v>25</v>
          </cell>
          <cell r="V31">
            <v>4309</v>
          </cell>
          <cell r="W31">
            <v>8.6293907958505223E-2</v>
          </cell>
          <cell r="X31">
            <v>7</v>
          </cell>
          <cell r="Y31">
            <v>1465</v>
          </cell>
          <cell r="Z31">
            <v>8</v>
          </cell>
          <cell r="AA31">
            <v>1102</v>
          </cell>
          <cell r="AB31">
            <v>8</v>
          </cell>
          <cell r="AC31">
            <v>1283</v>
          </cell>
          <cell r="AD31">
            <v>7</v>
          </cell>
          <cell r="AE31">
            <v>854</v>
          </cell>
          <cell r="AF31">
            <v>9</v>
          </cell>
          <cell r="AG31">
            <v>2535</v>
          </cell>
          <cell r="AH31">
            <v>1.2486859299805215E-2</v>
          </cell>
        </row>
        <row r="32">
          <cell r="A32" t="str">
            <v>Seattle, WA</v>
          </cell>
          <cell r="B32">
            <v>13</v>
          </cell>
          <cell r="C32">
            <v>1229</v>
          </cell>
          <cell r="D32">
            <v>20</v>
          </cell>
          <cell r="E32">
            <v>2194</v>
          </cell>
          <cell r="F32">
            <v>16</v>
          </cell>
          <cell r="G32">
            <v>2340</v>
          </cell>
          <cell r="H32">
            <v>11</v>
          </cell>
          <cell r="I32">
            <v>1120</v>
          </cell>
          <cell r="J32">
            <v>5</v>
          </cell>
          <cell r="K32">
            <v>1147</v>
          </cell>
          <cell r="L32">
            <v>52</v>
          </cell>
          <cell r="M32">
            <v>6801</v>
          </cell>
          <cell r="N32">
            <v>289</v>
          </cell>
          <cell r="O32">
            <v>34822</v>
          </cell>
          <cell r="P32">
            <v>8.4711869684526014E-3</v>
          </cell>
          <cell r="Q32">
            <v>11</v>
          </cell>
          <cell r="R32">
            <v>1801</v>
          </cell>
          <cell r="S32">
            <v>5</v>
          </cell>
          <cell r="T32">
            <v>595</v>
          </cell>
          <cell r="U32">
            <v>16</v>
          </cell>
          <cell r="V32">
            <v>2396</v>
          </cell>
          <cell r="W32">
            <v>6.8807075986445351E-2</v>
          </cell>
          <cell r="X32">
            <v>6</v>
          </cell>
          <cell r="Y32">
            <v>1384</v>
          </cell>
          <cell r="Z32">
            <v>3</v>
          </cell>
          <cell r="AA32">
            <v>399</v>
          </cell>
          <cell r="AB32">
            <v>6</v>
          </cell>
          <cell r="AC32">
            <v>631</v>
          </cell>
          <cell r="AD32">
            <v>8</v>
          </cell>
          <cell r="AE32">
            <v>1466</v>
          </cell>
          <cell r="AF32">
            <v>5</v>
          </cell>
          <cell r="AG32">
            <v>1284</v>
          </cell>
          <cell r="AH32">
            <v>8.6525766979801983E-3</v>
          </cell>
        </row>
        <row r="33">
          <cell r="A33" t="str">
            <v>Tampa, FL</v>
          </cell>
          <cell r="B33">
            <v>16</v>
          </cell>
          <cell r="C33">
            <v>1559</v>
          </cell>
          <cell r="D33">
            <v>16</v>
          </cell>
          <cell r="E33">
            <v>1706</v>
          </cell>
          <cell r="F33">
            <v>10</v>
          </cell>
          <cell r="G33">
            <v>1226</v>
          </cell>
          <cell r="H33">
            <v>6</v>
          </cell>
          <cell r="I33">
            <v>1326</v>
          </cell>
          <cell r="J33">
            <v>4</v>
          </cell>
          <cell r="K33">
            <v>352</v>
          </cell>
          <cell r="L33">
            <v>36</v>
          </cell>
          <cell r="M33">
            <v>4610</v>
          </cell>
          <cell r="N33">
            <v>348</v>
          </cell>
          <cell r="O33">
            <v>40986</v>
          </cell>
          <cell r="P33">
            <v>9.970710157055836E-3</v>
          </cell>
          <cell r="Q33">
            <v>10</v>
          </cell>
          <cell r="R33">
            <v>1185</v>
          </cell>
          <cell r="S33">
            <v>7</v>
          </cell>
          <cell r="T33">
            <v>845</v>
          </cell>
          <cell r="U33">
            <v>17</v>
          </cell>
          <cell r="V33">
            <v>2030</v>
          </cell>
          <cell r="W33">
            <v>4.9529107500121995E-2</v>
          </cell>
          <cell r="X33">
            <v>10</v>
          </cell>
          <cell r="Y33">
            <v>1305</v>
          </cell>
          <cell r="Z33">
            <v>4</v>
          </cell>
          <cell r="AA33">
            <v>557</v>
          </cell>
          <cell r="AB33">
            <v>9</v>
          </cell>
          <cell r="AC33">
            <v>1072</v>
          </cell>
          <cell r="AD33">
            <v>8</v>
          </cell>
          <cell r="AE33">
            <v>665</v>
          </cell>
          <cell r="AF33">
            <v>6</v>
          </cell>
          <cell r="AG33">
            <v>1041</v>
          </cell>
          <cell r="AH33">
            <v>9.9344814214595203E-3</v>
          </cell>
        </row>
        <row r="34">
          <cell r="A34" t="str">
            <v>Washington, DC</v>
          </cell>
          <cell r="B34">
            <v>10</v>
          </cell>
          <cell r="C34">
            <v>1007</v>
          </cell>
          <cell r="D34">
            <v>14</v>
          </cell>
          <cell r="E34">
            <v>1650</v>
          </cell>
          <cell r="F34">
            <v>26</v>
          </cell>
          <cell r="G34">
            <v>2925</v>
          </cell>
          <cell r="H34">
            <v>23</v>
          </cell>
          <cell r="I34">
            <v>3323</v>
          </cell>
          <cell r="J34">
            <v>10</v>
          </cell>
          <cell r="K34">
            <v>1072</v>
          </cell>
          <cell r="L34">
            <v>73</v>
          </cell>
          <cell r="M34">
            <v>8970</v>
          </cell>
          <cell r="N34">
            <v>450</v>
          </cell>
          <cell r="O34">
            <v>79138</v>
          </cell>
          <cell r="P34">
            <v>1.9251989957768133E-2</v>
          </cell>
          <cell r="Q34">
            <v>15</v>
          </cell>
          <cell r="R34">
            <v>2563</v>
          </cell>
          <cell r="S34">
            <v>21</v>
          </cell>
          <cell r="T34">
            <v>3405</v>
          </cell>
          <cell r="U34">
            <v>36</v>
          </cell>
          <cell r="V34">
            <v>5968</v>
          </cell>
          <cell r="W34">
            <v>7.5412570446561702E-2</v>
          </cell>
          <cell r="X34">
            <v>16</v>
          </cell>
          <cell r="Y34">
            <v>2865</v>
          </cell>
          <cell r="Z34">
            <v>5</v>
          </cell>
          <cell r="AA34">
            <v>845</v>
          </cell>
          <cell r="AB34">
            <v>16</v>
          </cell>
          <cell r="AC34">
            <v>1933</v>
          </cell>
          <cell r="AD34">
            <v>13</v>
          </cell>
          <cell r="AE34">
            <v>2189</v>
          </cell>
          <cell r="AF34">
            <v>18</v>
          </cell>
          <cell r="AG34">
            <v>3866</v>
          </cell>
          <cell r="AH34">
            <v>1.9718559263717322E-2</v>
          </cell>
        </row>
      </sheetData>
      <sheetData sheetId="6" refreshError="1">
        <row r="2">
          <cell r="B2">
            <v>40067</v>
          </cell>
        </row>
        <row r="10">
          <cell r="A10" t="str">
            <v>Anaheim</v>
          </cell>
          <cell r="B10">
            <v>3</v>
          </cell>
          <cell r="C10">
            <v>390</v>
          </cell>
          <cell r="D10">
            <v>6</v>
          </cell>
          <cell r="E10">
            <v>645</v>
          </cell>
          <cell r="F10">
            <v>4</v>
          </cell>
          <cell r="G10">
            <v>733</v>
          </cell>
          <cell r="H10">
            <v>3</v>
          </cell>
          <cell r="I10">
            <v>667</v>
          </cell>
          <cell r="J10">
            <v>11</v>
          </cell>
          <cell r="K10">
            <v>2655</v>
          </cell>
          <cell r="L10">
            <v>24</v>
          </cell>
          <cell r="M10">
            <v>4700</v>
          </cell>
          <cell r="N10">
            <v>367</v>
          </cell>
          <cell r="O10">
            <v>49672</v>
          </cell>
          <cell r="P10">
            <v>1.2083763112313411E-2</v>
          </cell>
          <cell r="Q10">
            <v>12</v>
          </cell>
          <cell r="R10">
            <v>2685</v>
          </cell>
          <cell r="S10">
            <v>8</v>
          </cell>
          <cell r="T10">
            <v>2028</v>
          </cell>
          <cell r="U10">
            <v>20</v>
          </cell>
          <cell r="V10">
            <v>4713</v>
          </cell>
          <cell r="W10">
            <v>9.4882428732485105E-2</v>
          </cell>
          <cell r="X10">
            <v>3</v>
          </cell>
          <cell r="Y10">
            <v>851</v>
          </cell>
          <cell r="Z10">
            <v>4</v>
          </cell>
          <cell r="AA10">
            <v>793</v>
          </cell>
          <cell r="AB10">
            <v>9</v>
          </cell>
          <cell r="AC10">
            <v>1533</v>
          </cell>
          <cell r="AD10">
            <v>5</v>
          </cell>
          <cell r="AE10">
            <v>1175</v>
          </cell>
          <cell r="AF10">
            <v>5</v>
          </cell>
          <cell r="AG10">
            <v>2063</v>
          </cell>
          <cell r="AH10">
            <v>1.2381061253034408E-2</v>
          </cell>
        </row>
        <row r="11">
          <cell r="A11" t="str">
            <v>Atlanta</v>
          </cell>
          <cell r="B11">
            <v>53</v>
          </cell>
          <cell r="C11">
            <v>5479</v>
          </cell>
          <cell r="D11">
            <v>44</v>
          </cell>
          <cell r="E11">
            <v>4672</v>
          </cell>
          <cell r="F11">
            <v>33</v>
          </cell>
          <cell r="G11">
            <v>3422</v>
          </cell>
          <cell r="H11">
            <v>30</v>
          </cell>
          <cell r="I11">
            <v>2809</v>
          </cell>
          <cell r="J11">
            <v>20</v>
          </cell>
          <cell r="K11">
            <v>1845</v>
          </cell>
          <cell r="L11">
            <v>127</v>
          </cell>
          <cell r="M11">
            <v>12748</v>
          </cell>
          <cell r="N11">
            <v>650</v>
          </cell>
          <cell r="O11">
            <v>85888</v>
          </cell>
          <cell r="P11">
            <v>2.0894070023159409E-2</v>
          </cell>
          <cell r="Q11">
            <v>19</v>
          </cell>
          <cell r="R11">
            <v>1702</v>
          </cell>
          <cell r="S11">
            <v>21</v>
          </cell>
          <cell r="T11">
            <v>3002</v>
          </cell>
          <cell r="U11">
            <v>40</v>
          </cell>
          <cell r="V11">
            <v>4704</v>
          </cell>
          <cell r="W11">
            <v>5.4769001490312968E-2</v>
          </cell>
          <cell r="X11">
            <v>21</v>
          </cell>
          <cell r="Y11">
            <v>3382</v>
          </cell>
          <cell r="Z11">
            <v>10</v>
          </cell>
          <cell r="AA11">
            <v>992</v>
          </cell>
          <cell r="AB11">
            <v>19</v>
          </cell>
          <cell r="AC11">
            <v>1414</v>
          </cell>
          <cell r="AD11">
            <v>18</v>
          </cell>
          <cell r="AE11">
            <v>1967</v>
          </cell>
          <cell r="AF11">
            <v>14</v>
          </cell>
          <cell r="AG11">
            <v>3713</v>
          </cell>
          <cell r="AH11">
            <v>2.1064122133982469E-2</v>
          </cell>
        </row>
        <row r="12">
          <cell r="A12" t="str">
            <v>Boston</v>
          </cell>
          <cell r="B12">
            <v>2</v>
          </cell>
          <cell r="C12">
            <v>169</v>
          </cell>
          <cell r="D12">
            <v>14</v>
          </cell>
          <cell r="E12">
            <v>2185</v>
          </cell>
          <cell r="F12">
            <v>16</v>
          </cell>
          <cell r="G12">
            <v>2788</v>
          </cell>
          <cell r="H12">
            <v>12</v>
          </cell>
          <cell r="I12">
            <v>1601</v>
          </cell>
          <cell r="J12">
            <v>15</v>
          </cell>
          <cell r="K12">
            <v>2310</v>
          </cell>
          <cell r="L12">
            <v>57</v>
          </cell>
          <cell r="M12">
            <v>8884</v>
          </cell>
          <cell r="N12">
            <v>282</v>
          </cell>
          <cell r="O12">
            <v>44213</v>
          </cell>
          <cell r="P12">
            <v>1.0755746063873266E-2</v>
          </cell>
          <cell r="Q12">
            <v>15</v>
          </cell>
          <cell r="R12">
            <v>2037</v>
          </cell>
          <cell r="S12">
            <v>19</v>
          </cell>
          <cell r="T12">
            <v>3844</v>
          </cell>
          <cell r="U12">
            <v>34</v>
          </cell>
          <cell r="V12">
            <v>5881</v>
          </cell>
          <cell r="W12">
            <v>0.13301517653178929</v>
          </cell>
          <cell r="X12">
            <v>14</v>
          </cell>
          <cell r="Y12">
            <v>2239</v>
          </cell>
          <cell r="Z12">
            <v>3</v>
          </cell>
          <cell r="AA12">
            <v>201</v>
          </cell>
          <cell r="AB12">
            <v>9</v>
          </cell>
          <cell r="AC12">
            <v>1228</v>
          </cell>
          <cell r="AD12">
            <v>18</v>
          </cell>
          <cell r="AE12">
            <v>2671</v>
          </cell>
          <cell r="AF12">
            <v>18</v>
          </cell>
          <cell r="AG12">
            <v>4020</v>
          </cell>
          <cell r="AH12">
            <v>1.1730358435713116E-2</v>
          </cell>
        </row>
        <row r="13">
          <cell r="A13" t="str">
            <v>Chicago</v>
          </cell>
          <cell r="B13">
            <v>18</v>
          </cell>
          <cell r="C13">
            <v>1849</v>
          </cell>
          <cell r="D13">
            <v>17</v>
          </cell>
          <cell r="E13">
            <v>2953</v>
          </cell>
          <cell r="F13">
            <v>27</v>
          </cell>
          <cell r="G13">
            <v>4145</v>
          </cell>
          <cell r="H13">
            <v>19</v>
          </cell>
          <cell r="I13">
            <v>2545</v>
          </cell>
          <cell r="J13">
            <v>15</v>
          </cell>
          <cell r="K13">
            <v>2468</v>
          </cell>
          <cell r="L13">
            <v>78</v>
          </cell>
          <cell r="M13">
            <v>12111</v>
          </cell>
          <cell r="N13">
            <v>487</v>
          </cell>
          <cell r="O13">
            <v>83796</v>
          </cell>
          <cell r="P13">
            <v>2.0385146838448515E-2</v>
          </cell>
          <cell r="Q13">
            <v>14</v>
          </cell>
          <cell r="R13">
            <v>2286</v>
          </cell>
          <cell r="S13">
            <v>25</v>
          </cell>
          <cell r="T13">
            <v>4823</v>
          </cell>
          <cell r="U13">
            <v>39</v>
          </cell>
          <cell r="V13">
            <v>7109</v>
          </cell>
          <cell r="W13">
            <v>8.4836985058952694E-2</v>
          </cell>
          <cell r="X13">
            <v>14</v>
          </cell>
          <cell r="Y13">
            <v>2489</v>
          </cell>
          <cell r="Z13">
            <v>5</v>
          </cell>
          <cell r="AA13">
            <v>535</v>
          </cell>
          <cell r="AB13">
            <v>16</v>
          </cell>
          <cell r="AC13">
            <v>2056</v>
          </cell>
          <cell r="AD13">
            <v>11</v>
          </cell>
          <cell r="AE13">
            <v>1383</v>
          </cell>
          <cell r="AF13">
            <v>21</v>
          </cell>
          <cell r="AG13">
            <v>5624</v>
          </cell>
          <cell r="AH13">
            <v>2.0934116059560713E-2</v>
          </cell>
        </row>
        <row r="14">
          <cell r="A14" t="str">
            <v>Dallas</v>
          </cell>
          <cell r="B14">
            <v>32</v>
          </cell>
          <cell r="C14">
            <v>3170</v>
          </cell>
          <cell r="D14">
            <v>51</v>
          </cell>
          <cell r="E14">
            <v>7877</v>
          </cell>
          <cell r="F14">
            <v>29</v>
          </cell>
          <cell r="G14">
            <v>3805</v>
          </cell>
          <cell r="H14">
            <v>32</v>
          </cell>
          <cell r="I14">
            <v>3839</v>
          </cell>
          <cell r="J14">
            <v>14</v>
          </cell>
          <cell r="K14">
            <v>1872</v>
          </cell>
          <cell r="L14">
            <v>126</v>
          </cell>
          <cell r="M14">
            <v>17393</v>
          </cell>
          <cell r="N14">
            <v>447</v>
          </cell>
          <cell r="O14">
            <v>63653</v>
          </cell>
          <cell r="P14">
            <v>1.5484936652200144E-2</v>
          </cell>
          <cell r="Q14">
            <v>10</v>
          </cell>
          <cell r="R14">
            <v>1461</v>
          </cell>
          <cell r="S14">
            <v>16</v>
          </cell>
          <cell r="T14">
            <v>2713</v>
          </cell>
          <cell r="U14">
            <v>26</v>
          </cell>
          <cell r="V14">
            <v>4174</v>
          </cell>
          <cell r="W14">
            <v>6.5574285579627037E-2</v>
          </cell>
          <cell r="X14">
            <v>13</v>
          </cell>
          <cell r="Y14">
            <v>1808</v>
          </cell>
          <cell r="Z14">
            <v>4</v>
          </cell>
          <cell r="AA14">
            <v>358</v>
          </cell>
          <cell r="AB14">
            <v>11</v>
          </cell>
          <cell r="AC14">
            <v>1339</v>
          </cell>
          <cell r="AD14">
            <v>12</v>
          </cell>
          <cell r="AE14">
            <v>1174</v>
          </cell>
          <cell r="AF14">
            <v>12</v>
          </cell>
          <cell r="AG14">
            <v>3111</v>
          </cell>
          <cell r="AH14">
            <v>1.5608574124756519E-2</v>
          </cell>
        </row>
        <row r="15">
          <cell r="A15" t="str">
            <v>Denver</v>
          </cell>
          <cell r="B15">
            <v>16</v>
          </cell>
          <cell r="C15">
            <v>1966</v>
          </cell>
          <cell r="D15">
            <v>32</v>
          </cell>
          <cell r="E15">
            <v>3514</v>
          </cell>
          <cell r="F15">
            <v>20</v>
          </cell>
          <cell r="G15">
            <v>2578</v>
          </cell>
          <cell r="H15">
            <v>16</v>
          </cell>
          <cell r="I15">
            <v>1998</v>
          </cell>
          <cell r="J15">
            <v>4</v>
          </cell>
          <cell r="K15">
            <v>328</v>
          </cell>
          <cell r="L15">
            <v>72</v>
          </cell>
          <cell r="M15">
            <v>8418</v>
          </cell>
          <cell r="N15">
            <v>232</v>
          </cell>
          <cell r="O15">
            <v>34922</v>
          </cell>
          <cell r="P15">
            <v>8.4955140805324722E-3</v>
          </cell>
          <cell r="Q15">
            <v>6</v>
          </cell>
          <cell r="R15">
            <v>1001</v>
          </cell>
          <cell r="S15">
            <v>11</v>
          </cell>
          <cell r="T15">
            <v>2894</v>
          </cell>
          <cell r="U15">
            <v>17</v>
          </cell>
          <cell r="V15">
            <v>3895</v>
          </cell>
          <cell r="W15">
            <v>0.11153427638737759</v>
          </cell>
          <cell r="X15">
            <v>7</v>
          </cell>
          <cell r="Y15">
            <v>1120</v>
          </cell>
          <cell r="Z15">
            <v>1</v>
          </cell>
          <cell r="AA15">
            <v>65</v>
          </cell>
          <cell r="AB15">
            <v>5</v>
          </cell>
          <cell r="AC15">
            <v>758</v>
          </cell>
          <cell r="AD15">
            <v>8</v>
          </cell>
          <cell r="AE15">
            <v>1275</v>
          </cell>
          <cell r="AF15">
            <v>10</v>
          </cell>
          <cell r="AG15">
            <v>2917</v>
          </cell>
          <cell r="AH15">
            <v>8.9518148175544068E-3</v>
          </cell>
        </row>
        <row r="16">
          <cell r="A16" t="str">
            <v>Detroit</v>
          </cell>
          <cell r="B16">
            <v>11</v>
          </cell>
          <cell r="C16">
            <v>1112</v>
          </cell>
          <cell r="D16">
            <v>18</v>
          </cell>
          <cell r="E16">
            <v>1834</v>
          </cell>
          <cell r="F16">
            <v>11</v>
          </cell>
          <cell r="G16">
            <v>1298</v>
          </cell>
          <cell r="H16">
            <v>17</v>
          </cell>
          <cell r="I16">
            <v>1910</v>
          </cell>
          <cell r="J16">
            <v>10</v>
          </cell>
          <cell r="K16">
            <v>872</v>
          </cell>
          <cell r="L16">
            <v>56</v>
          </cell>
          <cell r="M16">
            <v>5914</v>
          </cell>
          <cell r="N16">
            <v>299</v>
          </cell>
          <cell r="O16">
            <v>36579</v>
          </cell>
          <cell r="P16">
            <v>8.8986143276959303E-3</v>
          </cell>
          <cell r="Q16">
            <v>14</v>
          </cell>
          <cell r="R16">
            <v>1677</v>
          </cell>
          <cell r="S16">
            <v>13</v>
          </cell>
          <cell r="T16">
            <v>1273</v>
          </cell>
          <cell r="U16">
            <v>27</v>
          </cell>
          <cell r="V16">
            <v>2950</v>
          </cell>
          <cell r="W16">
            <v>8.0647365975012986E-2</v>
          </cell>
          <cell r="X16">
            <v>12</v>
          </cell>
          <cell r="Y16">
            <v>1271</v>
          </cell>
          <cell r="Z16">
            <v>6</v>
          </cell>
          <cell r="AA16">
            <v>578</v>
          </cell>
          <cell r="AB16">
            <v>15</v>
          </cell>
          <cell r="AC16">
            <v>1408</v>
          </cell>
          <cell r="AD16">
            <v>11</v>
          </cell>
          <cell r="AE16">
            <v>1456</v>
          </cell>
          <cell r="AF16">
            <v>7</v>
          </cell>
          <cell r="AG16">
            <v>779</v>
          </cell>
          <cell r="AH16">
            <v>9.1452548903578085E-3</v>
          </cell>
        </row>
        <row r="17">
          <cell r="A17" t="str">
            <v>Houston</v>
          </cell>
          <cell r="B17">
            <v>35</v>
          </cell>
          <cell r="C17">
            <v>2811</v>
          </cell>
          <cell r="D17">
            <v>40</v>
          </cell>
          <cell r="E17">
            <v>4304</v>
          </cell>
          <cell r="F17">
            <v>27</v>
          </cell>
          <cell r="G17">
            <v>2458</v>
          </cell>
          <cell r="H17">
            <v>29</v>
          </cell>
          <cell r="I17">
            <v>2490</v>
          </cell>
          <cell r="J17">
            <v>22</v>
          </cell>
          <cell r="K17">
            <v>1806</v>
          </cell>
          <cell r="L17">
            <v>118</v>
          </cell>
          <cell r="M17">
            <v>11058</v>
          </cell>
          <cell r="N17">
            <v>396</v>
          </cell>
          <cell r="O17">
            <v>51316</v>
          </cell>
          <cell r="P17">
            <v>1.2483700834906486E-2</v>
          </cell>
          <cell r="Q17">
            <v>17</v>
          </cell>
          <cell r="R17">
            <v>2969</v>
          </cell>
          <cell r="S17">
            <v>17</v>
          </cell>
          <cell r="T17">
            <v>1551</v>
          </cell>
          <cell r="U17">
            <v>34</v>
          </cell>
          <cell r="V17">
            <v>4520</v>
          </cell>
          <cell r="W17">
            <v>8.8081689921272119E-2</v>
          </cell>
          <cell r="X17">
            <v>9</v>
          </cell>
          <cell r="Y17">
            <v>1413</v>
          </cell>
          <cell r="Z17">
            <v>3</v>
          </cell>
          <cell r="AA17">
            <v>210</v>
          </cell>
          <cell r="AB17">
            <v>24</v>
          </cell>
          <cell r="AC17">
            <v>2134</v>
          </cell>
          <cell r="AD17">
            <v>8</v>
          </cell>
          <cell r="AE17">
            <v>950</v>
          </cell>
          <cell r="AF17">
            <v>8</v>
          </cell>
          <cell r="AG17">
            <v>2639</v>
          </cell>
          <cell r="AH17">
            <v>1.2832271990639563E-2</v>
          </cell>
        </row>
        <row r="18">
          <cell r="A18" t="str">
            <v>Los Angeles</v>
          </cell>
          <cell r="B18">
            <v>8</v>
          </cell>
          <cell r="C18">
            <v>754</v>
          </cell>
          <cell r="D18">
            <v>10</v>
          </cell>
          <cell r="E18">
            <v>1324</v>
          </cell>
          <cell r="F18">
            <v>12</v>
          </cell>
          <cell r="G18">
            <v>1302</v>
          </cell>
          <cell r="H18">
            <v>8</v>
          </cell>
          <cell r="I18">
            <v>1017</v>
          </cell>
          <cell r="J18">
            <v>7</v>
          </cell>
          <cell r="K18">
            <v>763</v>
          </cell>
          <cell r="L18">
            <v>37</v>
          </cell>
          <cell r="M18">
            <v>4406</v>
          </cell>
          <cell r="N18">
            <v>705</v>
          </cell>
          <cell r="O18">
            <v>84566</v>
          </cell>
          <cell r="P18">
            <v>2.0572465601463519E-2</v>
          </cell>
          <cell r="Q18">
            <v>8</v>
          </cell>
          <cell r="R18">
            <v>1094</v>
          </cell>
          <cell r="S18">
            <v>15</v>
          </cell>
          <cell r="T18">
            <v>2607</v>
          </cell>
          <cell r="U18">
            <v>23</v>
          </cell>
          <cell r="V18">
            <v>3701</v>
          </cell>
          <cell r="W18">
            <v>4.376463354066646E-2</v>
          </cell>
          <cell r="X18">
            <v>8</v>
          </cell>
          <cell r="Y18">
            <v>1808</v>
          </cell>
          <cell r="Z18">
            <v>4</v>
          </cell>
          <cell r="AA18">
            <v>534</v>
          </cell>
          <cell r="AB18">
            <v>8</v>
          </cell>
          <cell r="AC18">
            <v>957</v>
          </cell>
          <cell r="AD18">
            <v>11</v>
          </cell>
          <cell r="AE18">
            <v>1654</v>
          </cell>
          <cell r="AF18">
            <v>8</v>
          </cell>
          <cell r="AG18">
            <v>2364</v>
          </cell>
          <cell r="AH18">
            <v>2.019016750610244E-2</v>
          </cell>
        </row>
        <row r="19">
          <cell r="A19" t="str">
            <v>Miami</v>
          </cell>
          <cell r="B19">
            <v>6</v>
          </cell>
          <cell r="C19">
            <v>591</v>
          </cell>
          <cell r="D19">
            <v>5</v>
          </cell>
          <cell r="E19">
            <v>1314</v>
          </cell>
          <cell r="F19">
            <v>10</v>
          </cell>
          <cell r="G19">
            <v>1374</v>
          </cell>
          <cell r="H19">
            <v>8</v>
          </cell>
          <cell r="I19">
            <v>1575</v>
          </cell>
          <cell r="J19">
            <v>6</v>
          </cell>
          <cell r="K19">
            <v>1366</v>
          </cell>
          <cell r="L19">
            <v>29</v>
          </cell>
          <cell r="M19">
            <v>5629</v>
          </cell>
          <cell r="N19">
            <v>287</v>
          </cell>
          <cell r="O19">
            <v>44487</v>
          </cell>
          <cell r="P19">
            <v>1.0822402350972111E-2</v>
          </cell>
          <cell r="Q19">
            <v>16</v>
          </cell>
          <cell r="R19">
            <v>2839</v>
          </cell>
          <cell r="S19">
            <v>14</v>
          </cell>
          <cell r="T19">
            <v>1699</v>
          </cell>
          <cell r="U19">
            <v>30</v>
          </cell>
          <cell r="V19">
            <v>4538</v>
          </cell>
          <cell r="W19">
            <v>0.10200732798345584</v>
          </cell>
          <cell r="X19">
            <v>2</v>
          </cell>
          <cell r="Y19">
            <v>347</v>
          </cell>
          <cell r="Z19">
            <v>5</v>
          </cell>
          <cell r="AA19">
            <v>773</v>
          </cell>
          <cell r="AB19">
            <v>12</v>
          </cell>
          <cell r="AC19">
            <v>2043</v>
          </cell>
          <cell r="AD19">
            <v>11</v>
          </cell>
          <cell r="AE19">
            <v>1385</v>
          </cell>
          <cell r="AF19">
            <v>4</v>
          </cell>
          <cell r="AG19">
            <v>684</v>
          </cell>
          <cell r="AH19">
            <v>1.1066655010949649E-2</v>
          </cell>
        </row>
        <row r="20">
          <cell r="A20" t="str">
            <v>Minneapolis</v>
          </cell>
          <cell r="B20">
            <v>16</v>
          </cell>
          <cell r="C20">
            <v>1383</v>
          </cell>
          <cell r="D20">
            <v>28</v>
          </cell>
          <cell r="E20">
            <v>2856</v>
          </cell>
          <cell r="F20">
            <v>9</v>
          </cell>
          <cell r="G20">
            <v>982</v>
          </cell>
          <cell r="H20">
            <v>10</v>
          </cell>
          <cell r="I20">
            <v>929</v>
          </cell>
          <cell r="J20">
            <v>8</v>
          </cell>
          <cell r="K20">
            <v>932</v>
          </cell>
          <cell r="L20">
            <v>55</v>
          </cell>
          <cell r="M20">
            <v>5699</v>
          </cell>
          <cell r="N20">
            <v>253</v>
          </cell>
          <cell r="O20">
            <v>32550</v>
          </cell>
          <cell r="P20">
            <v>7.9184749819979378E-3</v>
          </cell>
          <cell r="Q20">
            <v>6</v>
          </cell>
          <cell r="R20">
            <v>795</v>
          </cell>
          <cell r="S20">
            <v>4</v>
          </cell>
          <cell r="T20">
            <v>709</v>
          </cell>
          <cell r="U20">
            <v>10</v>
          </cell>
          <cell r="V20">
            <v>1504</v>
          </cell>
          <cell r="W20">
            <v>4.6205837173579109E-2</v>
          </cell>
          <cell r="X20">
            <v>8</v>
          </cell>
          <cell r="Y20">
            <v>881</v>
          </cell>
          <cell r="Z20">
            <v>2</v>
          </cell>
          <cell r="AA20">
            <v>247</v>
          </cell>
          <cell r="AB20">
            <v>6</v>
          </cell>
          <cell r="AC20">
            <v>607</v>
          </cell>
          <cell r="AD20">
            <v>7</v>
          </cell>
          <cell r="AE20">
            <v>775</v>
          </cell>
          <cell r="AF20">
            <v>3</v>
          </cell>
          <cell r="AG20">
            <v>756</v>
          </cell>
          <cell r="AH20">
            <v>7.8306244998688733E-3</v>
          </cell>
        </row>
        <row r="21">
          <cell r="A21" t="str">
            <v>Nashville</v>
          </cell>
          <cell r="B21">
            <v>20</v>
          </cell>
          <cell r="C21">
            <v>1634</v>
          </cell>
          <cell r="D21">
            <v>18</v>
          </cell>
          <cell r="E21">
            <v>1898</v>
          </cell>
          <cell r="F21">
            <v>11</v>
          </cell>
          <cell r="G21">
            <v>1222</v>
          </cell>
          <cell r="H21">
            <v>11</v>
          </cell>
          <cell r="I21">
            <v>1153</v>
          </cell>
          <cell r="J21">
            <v>6</v>
          </cell>
          <cell r="K21">
            <v>802</v>
          </cell>
          <cell r="L21">
            <v>46</v>
          </cell>
          <cell r="M21">
            <v>5075</v>
          </cell>
          <cell r="N21">
            <v>270</v>
          </cell>
          <cell r="O21">
            <v>32963</v>
          </cell>
          <cell r="P21">
            <v>8.0189459548878038E-3</v>
          </cell>
          <cell r="Q21">
            <v>5</v>
          </cell>
          <cell r="R21">
            <v>706</v>
          </cell>
          <cell r="S21">
            <v>6</v>
          </cell>
          <cell r="T21">
            <v>476</v>
          </cell>
          <cell r="U21">
            <v>11</v>
          </cell>
          <cell r="V21">
            <v>1182</v>
          </cell>
          <cell r="W21">
            <v>3.5858386675970029E-2</v>
          </cell>
          <cell r="X21">
            <v>6</v>
          </cell>
          <cell r="Y21">
            <v>645</v>
          </cell>
          <cell r="Z21">
            <v>4</v>
          </cell>
          <cell r="AA21">
            <v>592</v>
          </cell>
          <cell r="AB21">
            <v>5</v>
          </cell>
          <cell r="AC21">
            <v>400</v>
          </cell>
          <cell r="AD21">
            <v>5</v>
          </cell>
          <cell r="AE21">
            <v>435</v>
          </cell>
          <cell r="AF21">
            <v>3</v>
          </cell>
          <cell r="AG21">
            <v>400</v>
          </cell>
          <cell r="AH21">
            <v>7.7981229812634353E-3</v>
          </cell>
        </row>
        <row r="22">
          <cell r="A22" t="str">
            <v>New Orleans</v>
          </cell>
          <cell r="B22">
            <v>11</v>
          </cell>
          <cell r="C22">
            <v>1045</v>
          </cell>
          <cell r="D22">
            <v>8</v>
          </cell>
          <cell r="E22">
            <v>1193</v>
          </cell>
          <cell r="F22">
            <v>9</v>
          </cell>
          <cell r="G22">
            <v>900</v>
          </cell>
          <cell r="H22">
            <v>16</v>
          </cell>
          <cell r="I22">
            <v>2491</v>
          </cell>
          <cell r="J22">
            <v>13</v>
          </cell>
          <cell r="K22">
            <v>1549</v>
          </cell>
          <cell r="L22">
            <v>46</v>
          </cell>
          <cell r="M22">
            <v>6133</v>
          </cell>
          <cell r="N22">
            <v>195</v>
          </cell>
          <cell r="O22">
            <v>34209</v>
          </cell>
          <cell r="P22">
            <v>8.322061771402994E-3</v>
          </cell>
          <cell r="Q22">
            <v>13</v>
          </cell>
          <cell r="R22">
            <v>2282</v>
          </cell>
          <cell r="S22">
            <v>10</v>
          </cell>
          <cell r="T22">
            <v>2038</v>
          </cell>
          <cell r="U22">
            <v>23</v>
          </cell>
          <cell r="V22">
            <v>4320</v>
          </cell>
          <cell r="W22">
            <v>0.12628255722178375</v>
          </cell>
          <cell r="X22">
            <v>7</v>
          </cell>
          <cell r="Y22">
            <v>1340</v>
          </cell>
          <cell r="Z22">
            <v>3</v>
          </cell>
          <cell r="AA22">
            <v>507</v>
          </cell>
          <cell r="AB22">
            <v>10</v>
          </cell>
          <cell r="AC22">
            <v>1725</v>
          </cell>
          <cell r="AD22">
            <v>12</v>
          </cell>
          <cell r="AE22">
            <v>1612</v>
          </cell>
          <cell r="AF22">
            <v>5</v>
          </cell>
          <cell r="AG22">
            <v>1816</v>
          </cell>
          <cell r="AH22">
            <v>8.9365727260704766E-3</v>
          </cell>
        </row>
        <row r="23">
          <cell r="A23" t="str">
            <v>New York</v>
          </cell>
          <cell r="B23">
            <v>2</v>
          </cell>
          <cell r="C23">
            <v>154</v>
          </cell>
          <cell r="D23">
            <v>9</v>
          </cell>
          <cell r="E23">
            <v>2058</v>
          </cell>
          <cell r="F23">
            <v>6</v>
          </cell>
          <cell r="G23">
            <v>660</v>
          </cell>
          <cell r="H23">
            <v>18</v>
          </cell>
          <cell r="I23">
            <v>3615</v>
          </cell>
          <cell r="J23">
            <v>11</v>
          </cell>
          <cell r="K23">
            <v>1331</v>
          </cell>
          <cell r="L23">
            <v>44</v>
          </cell>
          <cell r="M23">
            <v>7664</v>
          </cell>
          <cell r="N23">
            <v>288</v>
          </cell>
          <cell r="O23">
            <v>74744</v>
          </cell>
          <cell r="P23">
            <v>1.8183056652978612E-2</v>
          </cell>
          <cell r="Q23">
            <v>11</v>
          </cell>
          <cell r="R23">
            <v>2657</v>
          </cell>
          <cell r="S23">
            <v>8</v>
          </cell>
          <cell r="T23">
            <v>1096</v>
          </cell>
          <cell r="U23">
            <v>19</v>
          </cell>
          <cell r="V23">
            <v>3753</v>
          </cell>
          <cell r="W23">
            <v>5.0211388205073315E-2</v>
          </cell>
          <cell r="X23">
            <v>7</v>
          </cell>
          <cell r="Y23">
            <v>1497</v>
          </cell>
          <cell r="Z23">
            <v>4</v>
          </cell>
          <cell r="AA23">
            <v>877</v>
          </cell>
          <cell r="AB23">
            <v>8</v>
          </cell>
          <cell r="AC23">
            <v>1778</v>
          </cell>
          <cell r="AD23">
            <v>8</v>
          </cell>
          <cell r="AE23">
            <v>1090</v>
          </cell>
          <cell r="AF23">
            <v>6</v>
          </cell>
          <cell r="AG23">
            <v>1505</v>
          </cell>
          <cell r="AH23">
            <v>1.7930527443609866E-2</v>
          </cell>
        </row>
        <row r="24">
          <cell r="A24" t="str">
            <v>Norfolk</v>
          </cell>
          <cell r="B24">
            <v>9</v>
          </cell>
          <cell r="C24">
            <v>906</v>
          </cell>
          <cell r="D24">
            <v>7</v>
          </cell>
          <cell r="E24">
            <v>600</v>
          </cell>
          <cell r="F24">
            <v>4</v>
          </cell>
          <cell r="G24">
            <v>476</v>
          </cell>
          <cell r="H24">
            <v>9</v>
          </cell>
          <cell r="I24">
            <v>941</v>
          </cell>
          <cell r="J24">
            <v>6</v>
          </cell>
          <cell r="K24">
            <v>1043</v>
          </cell>
          <cell r="L24">
            <v>26</v>
          </cell>
          <cell r="M24">
            <v>3060</v>
          </cell>
          <cell r="N24">
            <v>328</v>
          </cell>
          <cell r="O24">
            <v>34886</v>
          </cell>
          <cell r="P24">
            <v>8.4867563201837179E-3</v>
          </cell>
          <cell r="Q24">
            <v>2</v>
          </cell>
          <cell r="R24">
            <v>226</v>
          </cell>
          <cell r="S24">
            <v>7</v>
          </cell>
          <cell r="T24">
            <v>1034</v>
          </cell>
          <cell r="U24">
            <v>9</v>
          </cell>
          <cell r="V24">
            <v>1260</v>
          </cell>
          <cell r="W24">
            <v>3.6117640314166144E-2</v>
          </cell>
          <cell r="X24">
            <v>9</v>
          </cell>
          <cell r="Y24">
            <v>1116</v>
          </cell>
          <cell r="Z24">
            <v>1</v>
          </cell>
          <cell r="AA24">
            <v>128</v>
          </cell>
          <cell r="AB24">
            <v>2</v>
          </cell>
          <cell r="AC24">
            <v>226</v>
          </cell>
          <cell r="AD24">
            <v>10</v>
          </cell>
          <cell r="AE24">
            <v>1082</v>
          </cell>
          <cell r="AF24">
            <v>5</v>
          </cell>
          <cell r="AG24">
            <v>940</v>
          </cell>
          <cell r="AH24">
            <v>8.3522178363851143E-3</v>
          </cell>
        </row>
        <row r="25">
          <cell r="A25" t="str">
            <v>Oahu</v>
          </cell>
          <cell r="B25">
            <v>0</v>
          </cell>
          <cell r="C25">
            <v>0</v>
          </cell>
          <cell r="D25">
            <v>0</v>
          </cell>
          <cell r="E25">
            <v>0</v>
          </cell>
          <cell r="F25">
            <v>1</v>
          </cell>
          <cell r="G25">
            <v>48</v>
          </cell>
          <cell r="H25">
            <v>0</v>
          </cell>
          <cell r="I25">
            <v>0</v>
          </cell>
          <cell r="J25">
            <v>1</v>
          </cell>
          <cell r="K25">
            <v>453</v>
          </cell>
          <cell r="L25">
            <v>2</v>
          </cell>
          <cell r="M25">
            <v>501</v>
          </cell>
          <cell r="N25">
            <v>107</v>
          </cell>
          <cell r="O25">
            <v>36506</v>
          </cell>
          <cell r="P25">
            <v>8.8808555358776253E-3</v>
          </cell>
          <cell r="Q25">
            <v>0</v>
          </cell>
          <cell r="R25">
            <v>0</v>
          </cell>
          <cell r="S25">
            <v>0</v>
          </cell>
          <cell r="T25">
            <v>0</v>
          </cell>
          <cell r="U25">
            <v>0</v>
          </cell>
          <cell r="V25">
            <v>0</v>
          </cell>
          <cell r="W25">
            <v>0</v>
          </cell>
          <cell r="X25">
            <v>1</v>
          </cell>
          <cell r="Y25">
            <v>299</v>
          </cell>
          <cell r="Z25">
            <v>0</v>
          </cell>
          <cell r="AA25">
            <v>0</v>
          </cell>
          <cell r="AB25">
            <v>0</v>
          </cell>
          <cell r="AC25">
            <v>0</v>
          </cell>
          <cell r="AD25">
            <v>0</v>
          </cell>
          <cell r="AE25">
            <v>0</v>
          </cell>
          <cell r="AF25">
            <v>1</v>
          </cell>
          <cell r="AG25">
            <v>299</v>
          </cell>
          <cell r="AH25">
            <v>8.2497820156769396E-3</v>
          </cell>
        </row>
        <row r="26">
          <cell r="A26" t="str">
            <v>Orlando</v>
          </cell>
          <cell r="B26">
            <v>5</v>
          </cell>
          <cell r="C26">
            <v>2586</v>
          </cell>
          <cell r="D26">
            <v>27</v>
          </cell>
          <cell r="E26">
            <v>3301</v>
          </cell>
          <cell r="F26">
            <v>34</v>
          </cell>
          <cell r="G26">
            <v>7662</v>
          </cell>
          <cell r="H26">
            <v>20</v>
          </cell>
          <cell r="I26">
            <v>3502</v>
          </cell>
          <cell r="J26">
            <v>12</v>
          </cell>
          <cell r="K26">
            <v>3543</v>
          </cell>
          <cell r="L26">
            <v>93</v>
          </cell>
          <cell r="M26">
            <v>18008</v>
          </cell>
          <cell r="N26">
            <v>429</v>
          </cell>
          <cell r="O26">
            <v>117462</v>
          </cell>
          <cell r="P26">
            <v>2.8575112391257811E-2</v>
          </cell>
          <cell r="Q26">
            <v>12</v>
          </cell>
          <cell r="R26">
            <v>8363</v>
          </cell>
          <cell r="S26">
            <v>21</v>
          </cell>
          <cell r="T26">
            <v>6692</v>
          </cell>
          <cell r="U26">
            <v>33</v>
          </cell>
          <cell r="V26">
            <v>15055</v>
          </cell>
          <cell r="W26">
            <v>0.1281691100100458</v>
          </cell>
          <cell r="X26">
            <v>18</v>
          </cell>
          <cell r="Y26">
            <v>7152</v>
          </cell>
          <cell r="Z26">
            <v>1</v>
          </cell>
          <cell r="AA26">
            <v>100</v>
          </cell>
          <cell r="AB26">
            <v>11</v>
          </cell>
          <cell r="AC26">
            <v>5854</v>
          </cell>
          <cell r="AD26">
            <v>16</v>
          </cell>
          <cell r="AE26">
            <v>4687</v>
          </cell>
          <cell r="AF26">
            <v>23</v>
          </cell>
          <cell r="AG26">
            <v>11566</v>
          </cell>
          <cell r="AH26">
            <v>3.1306583462779036E-2</v>
          </cell>
        </row>
        <row r="27">
          <cell r="A27" t="str">
            <v>Philadelphia</v>
          </cell>
          <cell r="B27">
            <v>2</v>
          </cell>
          <cell r="C27">
            <v>135</v>
          </cell>
          <cell r="D27">
            <v>20</v>
          </cell>
          <cell r="E27">
            <v>2335</v>
          </cell>
          <cell r="F27">
            <v>18</v>
          </cell>
          <cell r="G27">
            <v>2631</v>
          </cell>
          <cell r="H27">
            <v>13</v>
          </cell>
          <cell r="I27">
            <v>2704</v>
          </cell>
          <cell r="J27">
            <v>6</v>
          </cell>
          <cell r="K27">
            <v>782</v>
          </cell>
          <cell r="L27">
            <v>57</v>
          </cell>
          <cell r="M27">
            <v>8452</v>
          </cell>
          <cell r="N27">
            <v>271</v>
          </cell>
          <cell r="O27">
            <v>39526</v>
          </cell>
          <cell r="P27">
            <v>9.6155343206897215E-3</v>
          </cell>
          <cell r="Q27">
            <v>11</v>
          </cell>
          <cell r="R27">
            <v>1354</v>
          </cell>
          <cell r="S27">
            <v>8</v>
          </cell>
          <cell r="T27">
            <v>1006</v>
          </cell>
          <cell r="U27">
            <v>19</v>
          </cell>
          <cell r="V27">
            <v>2360</v>
          </cell>
          <cell r="W27">
            <v>5.9707534281232606E-2</v>
          </cell>
          <cell r="X27">
            <v>7</v>
          </cell>
          <cell r="Y27">
            <v>1061</v>
          </cell>
          <cell r="Z27">
            <v>3</v>
          </cell>
          <cell r="AA27">
            <v>363</v>
          </cell>
          <cell r="AB27">
            <v>9</v>
          </cell>
          <cell r="AC27">
            <v>1071</v>
          </cell>
          <cell r="AD27">
            <v>9</v>
          </cell>
          <cell r="AE27">
            <v>1045</v>
          </cell>
          <cell r="AF27">
            <v>5</v>
          </cell>
          <cell r="AG27">
            <v>942</v>
          </cell>
          <cell r="AH27">
            <v>9.6265015141224694E-3</v>
          </cell>
        </row>
        <row r="28">
          <cell r="A28" t="str">
            <v>Phoenix</v>
          </cell>
          <cell r="B28">
            <v>22</v>
          </cell>
          <cell r="C28">
            <v>2451</v>
          </cell>
          <cell r="D28">
            <v>48</v>
          </cell>
          <cell r="E28">
            <v>5297</v>
          </cell>
          <cell r="F28">
            <v>17</v>
          </cell>
          <cell r="G28">
            <v>2855</v>
          </cell>
          <cell r="H28">
            <v>12</v>
          </cell>
          <cell r="I28">
            <v>1643</v>
          </cell>
          <cell r="J28">
            <v>3</v>
          </cell>
          <cell r="K28">
            <v>340</v>
          </cell>
          <cell r="L28">
            <v>80</v>
          </cell>
          <cell r="M28">
            <v>10135</v>
          </cell>
          <cell r="N28">
            <v>345</v>
          </cell>
          <cell r="O28">
            <v>50943</v>
          </cell>
          <cell r="P28">
            <v>1.2392960706848569E-2</v>
          </cell>
          <cell r="Q28">
            <v>5</v>
          </cell>
          <cell r="R28">
            <v>2376</v>
          </cell>
          <cell r="S28">
            <v>7</v>
          </cell>
          <cell r="T28">
            <v>1180</v>
          </cell>
          <cell r="U28">
            <v>12</v>
          </cell>
          <cell r="V28">
            <v>3556</v>
          </cell>
          <cell r="W28">
            <v>6.9803505879119807E-2</v>
          </cell>
          <cell r="X28">
            <v>11</v>
          </cell>
          <cell r="Y28">
            <v>2212</v>
          </cell>
          <cell r="Z28">
            <v>1</v>
          </cell>
          <cell r="AA28">
            <v>76</v>
          </cell>
          <cell r="AB28">
            <v>1</v>
          </cell>
          <cell r="AC28">
            <v>100</v>
          </cell>
          <cell r="AD28">
            <v>12</v>
          </cell>
          <cell r="AE28">
            <v>3261</v>
          </cell>
          <cell r="AF28">
            <v>9</v>
          </cell>
          <cell r="AG28">
            <v>2331</v>
          </cell>
          <cell r="AH28">
            <v>1.2711680149193178E-2</v>
          </cell>
        </row>
        <row r="29">
          <cell r="A29" t="str">
            <v>San Diego</v>
          </cell>
          <cell r="B29">
            <v>3</v>
          </cell>
          <cell r="C29">
            <v>783</v>
          </cell>
          <cell r="D29">
            <v>2</v>
          </cell>
          <cell r="E29">
            <v>198</v>
          </cell>
          <cell r="F29">
            <v>9</v>
          </cell>
          <cell r="G29">
            <v>1204</v>
          </cell>
          <cell r="H29">
            <v>9</v>
          </cell>
          <cell r="I29">
            <v>1065</v>
          </cell>
          <cell r="J29">
            <v>3</v>
          </cell>
          <cell r="K29">
            <v>277</v>
          </cell>
          <cell r="L29">
            <v>23</v>
          </cell>
          <cell r="M29">
            <v>2744</v>
          </cell>
          <cell r="N29">
            <v>420</v>
          </cell>
          <cell r="O29">
            <v>51051</v>
          </cell>
          <cell r="P29">
            <v>1.2419233987894828E-2</v>
          </cell>
          <cell r="Q29">
            <v>12</v>
          </cell>
          <cell r="R29">
            <v>2773</v>
          </cell>
          <cell r="S29">
            <v>10</v>
          </cell>
          <cell r="T29">
            <v>1448</v>
          </cell>
          <cell r="U29">
            <v>22</v>
          </cell>
          <cell r="V29">
            <v>4221</v>
          </cell>
          <cell r="W29">
            <v>8.2682023858494449E-2</v>
          </cell>
          <cell r="X29">
            <v>11</v>
          </cell>
          <cell r="Y29">
            <v>2571</v>
          </cell>
          <cell r="Z29">
            <v>3</v>
          </cell>
          <cell r="AA29">
            <v>330</v>
          </cell>
          <cell r="AB29">
            <v>9</v>
          </cell>
          <cell r="AC29">
            <v>1604</v>
          </cell>
          <cell r="AD29">
            <v>10</v>
          </cell>
          <cell r="AE29">
            <v>1276</v>
          </cell>
          <cell r="AF29">
            <v>11</v>
          </cell>
          <cell r="AG29">
            <v>3582</v>
          </cell>
          <cell r="AH29">
            <v>1.2965416142719772E-2</v>
          </cell>
        </row>
        <row r="30">
          <cell r="A30" t="str">
            <v>San Francisco</v>
          </cell>
          <cell r="B30">
            <v>3</v>
          </cell>
          <cell r="C30">
            <v>323</v>
          </cell>
          <cell r="D30">
            <v>4</v>
          </cell>
          <cell r="E30">
            <v>371</v>
          </cell>
          <cell r="F30">
            <v>13</v>
          </cell>
          <cell r="G30">
            <v>1550</v>
          </cell>
          <cell r="H30">
            <v>7</v>
          </cell>
          <cell r="I30">
            <v>879</v>
          </cell>
          <cell r="J30">
            <v>5</v>
          </cell>
          <cell r="K30">
            <v>826</v>
          </cell>
          <cell r="L30">
            <v>29</v>
          </cell>
          <cell r="M30">
            <v>3626</v>
          </cell>
          <cell r="N30">
            <v>354</v>
          </cell>
          <cell r="O30">
            <v>49934</v>
          </cell>
          <cell r="P30">
            <v>1.2147500145962673E-2</v>
          </cell>
          <cell r="Q30">
            <v>14</v>
          </cell>
          <cell r="R30">
            <v>2184</v>
          </cell>
          <cell r="S30">
            <v>11</v>
          </cell>
          <cell r="T30">
            <v>2125</v>
          </cell>
          <cell r="U30">
            <v>25</v>
          </cell>
          <cell r="V30">
            <v>4309</v>
          </cell>
          <cell r="W30">
            <v>8.6293907958505223E-2</v>
          </cell>
          <cell r="X30">
            <v>7</v>
          </cell>
          <cell r="Y30">
            <v>1465</v>
          </cell>
          <cell r="Z30">
            <v>8</v>
          </cell>
          <cell r="AA30">
            <v>1102</v>
          </cell>
          <cell r="AB30">
            <v>8</v>
          </cell>
          <cell r="AC30">
            <v>1283</v>
          </cell>
          <cell r="AD30">
            <v>7</v>
          </cell>
          <cell r="AE30">
            <v>854</v>
          </cell>
          <cell r="AF30">
            <v>9</v>
          </cell>
          <cell r="AG30">
            <v>2535</v>
          </cell>
          <cell r="AH30">
            <v>1.2486859299805215E-2</v>
          </cell>
        </row>
        <row r="31">
          <cell r="A31" t="str">
            <v>Seattle</v>
          </cell>
          <cell r="B31">
            <v>13</v>
          </cell>
          <cell r="C31">
            <v>1229</v>
          </cell>
          <cell r="D31">
            <v>20</v>
          </cell>
          <cell r="E31">
            <v>2194</v>
          </cell>
          <cell r="F31">
            <v>16</v>
          </cell>
          <cell r="G31">
            <v>2340</v>
          </cell>
          <cell r="H31">
            <v>11</v>
          </cell>
          <cell r="I31">
            <v>1120</v>
          </cell>
          <cell r="J31">
            <v>5</v>
          </cell>
          <cell r="K31">
            <v>1147</v>
          </cell>
          <cell r="L31">
            <v>52</v>
          </cell>
          <cell r="M31">
            <v>6801</v>
          </cell>
          <cell r="N31">
            <v>289</v>
          </cell>
          <cell r="O31">
            <v>34822</v>
          </cell>
          <cell r="P31">
            <v>8.4711869684526014E-3</v>
          </cell>
          <cell r="Q31">
            <v>11</v>
          </cell>
          <cell r="R31">
            <v>1801</v>
          </cell>
          <cell r="S31">
            <v>5</v>
          </cell>
          <cell r="T31">
            <v>595</v>
          </cell>
          <cell r="U31">
            <v>16</v>
          </cell>
          <cell r="V31">
            <v>2396</v>
          </cell>
          <cell r="W31">
            <v>6.8807075986445351E-2</v>
          </cell>
          <cell r="X31">
            <v>6</v>
          </cell>
          <cell r="Y31">
            <v>1384</v>
          </cell>
          <cell r="Z31">
            <v>3</v>
          </cell>
          <cell r="AA31">
            <v>399</v>
          </cell>
          <cell r="AB31">
            <v>6</v>
          </cell>
          <cell r="AC31">
            <v>631</v>
          </cell>
          <cell r="AD31">
            <v>8</v>
          </cell>
          <cell r="AE31">
            <v>1466</v>
          </cell>
          <cell r="AF31">
            <v>5</v>
          </cell>
          <cell r="AG31">
            <v>1284</v>
          </cell>
          <cell r="AH31">
            <v>8.6525766979801983E-3</v>
          </cell>
        </row>
        <row r="32">
          <cell r="A32" t="str">
            <v>St. Louis</v>
          </cell>
          <cell r="B32">
            <v>14</v>
          </cell>
          <cell r="C32">
            <v>1419</v>
          </cell>
          <cell r="D32">
            <v>17</v>
          </cell>
          <cell r="E32">
            <v>1825</v>
          </cell>
          <cell r="F32">
            <v>12</v>
          </cell>
          <cell r="G32">
            <v>984</v>
          </cell>
          <cell r="H32">
            <v>10</v>
          </cell>
          <cell r="I32">
            <v>1285</v>
          </cell>
          <cell r="J32">
            <v>6</v>
          </cell>
          <cell r="K32">
            <v>836</v>
          </cell>
          <cell r="L32">
            <v>45</v>
          </cell>
          <cell r="M32">
            <v>4930</v>
          </cell>
          <cell r="N32">
            <v>238</v>
          </cell>
          <cell r="O32">
            <v>31742</v>
          </cell>
          <cell r="P32">
            <v>7.7219119163925813E-3</v>
          </cell>
          <cell r="Q32">
            <v>6</v>
          </cell>
          <cell r="R32">
            <v>1424</v>
          </cell>
          <cell r="S32">
            <v>4</v>
          </cell>
          <cell r="T32">
            <v>399</v>
          </cell>
          <cell r="U32">
            <v>10</v>
          </cell>
          <cell r="V32">
            <v>1823</v>
          </cell>
          <cell r="W32">
            <v>5.7431793837817401E-2</v>
          </cell>
          <cell r="X32">
            <v>11</v>
          </cell>
          <cell r="Y32">
            <v>1785</v>
          </cell>
          <cell r="Z32">
            <v>1</v>
          </cell>
          <cell r="AA32">
            <v>61</v>
          </cell>
          <cell r="AB32">
            <v>7</v>
          </cell>
          <cell r="AC32">
            <v>726</v>
          </cell>
          <cell r="AD32">
            <v>5</v>
          </cell>
          <cell r="AE32">
            <v>500</v>
          </cell>
          <cell r="AF32">
            <v>8</v>
          </cell>
          <cell r="AG32">
            <v>2321</v>
          </cell>
          <cell r="AH32">
            <v>7.9236460876016789E-3</v>
          </cell>
        </row>
        <row r="33">
          <cell r="A33" t="str">
            <v>Tampa</v>
          </cell>
          <cell r="B33">
            <v>16</v>
          </cell>
          <cell r="C33">
            <v>1559</v>
          </cell>
          <cell r="D33">
            <v>16</v>
          </cell>
          <cell r="E33">
            <v>1706</v>
          </cell>
          <cell r="F33">
            <v>10</v>
          </cell>
          <cell r="G33">
            <v>1226</v>
          </cell>
          <cell r="H33">
            <v>6</v>
          </cell>
          <cell r="I33">
            <v>1326</v>
          </cell>
          <cell r="J33">
            <v>4</v>
          </cell>
          <cell r="K33">
            <v>352</v>
          </cell>
          <cell r="L33">
            <v>36</v>
          </cell>
          <cell r="M33">
            <v>4610</v>
          </cell>
          <cell r="N33">
            <v>348</v>
          </cell>
          <cell r="O33">
            <v>40986</v>
          </cell>
          <cell r="P33">
            <v>9.970710157055836E-3</v>
          </cell>
          <cell r="Q33">
            <v>10</v>
          </cell>
          <cell r="R33">
            <v>1185</v>
          </cell>
          <cell r="S33">
            <v>7</v>
          </cell>
          <cell r="T33">
            <v>845</v>
          </cell>
          <cell r="U33">
            <v>17</v>
          </cell>
          <cell r="V33">
            <v>2030</v>
          </cell>
          <cell r="W33">
            <v>4.9529107500121995E-2</v>
          </cell>
          <cell r="X33">
            <v>10</v>
          </cell>
          <cell r="Y33">
            <v>1305</v>
          </cell>
          <cell r="Z33">
            <v>4</v>
          </cell>
          <cell r="AA33">
            <v>557</v>
          </cell>
          <cell r="AB33">
            <v>9</v>
          </cell>
          <cell r="AC33">
            <v>1072</v>
          </cell>
          <cell r="AD33">
            <v>8</v>
          </cell>
          <cell r="AE33">
            <v>665</v>
          </cell>
          <cell r="AF33">
            <v>6</v>
          </cell>
          <cell r="AG33">
            <v>1041</v>
          </cell>
          <cell r="AH33">
            <v>9.9344814214595203E-3</v>
          </cell>
        </row>
        <row r="34">
          <cell r="A34" t="str">
            <v>Wash., DC</v>
          </cell>
          <cell r="B34">
            <v>10</v>
          </cell>
          <cell r="C34">
            <v>1007</v>
          </cell>
          <cell r="D34">
            <v>14</v>
          </cell>
          <cell r="E34">
            <v>1650</v>
          </cell>
          <cell r="F34">
            <v>26</v>
          </cell>
          <cell r="G34">
            <v>2925</v>
          </cell>
          <cell r="H34">
            <v>23</v>
          </cell>
          <cell r="I34">
            <v>3323</v>
          </cell>
          <cell r="J34">
            <v>10</v>
          </cell>
          <cell r="K34">
            <v>1072</v>
          </cell>
          <cell r="L34">
            <v>73</v>
          </cell>
          <cell r="M34">
            <v>8970</v>
          </cell>
          <cell r="N34">
            <v>450</v>
          </cell>
          <cell r="O34">
            <v>79138</v>
          </cell>
          <cell r="P34">
            <v>1.9251989957768133E-2</v>
          </cell>
          <cell r="Q34">
            <v>15</v>
          </cell>
          <cell r="R34">
            <v>2563</v>
          </cell>
          <cell r="S34">
            <v>21</v>
          </cell>
          <cell r="T34">
            <v>3405</v>
          </cell>
          <cell r="U34">
            <v>36</v>
          </cell>
          <cell r="V34">
            <v>5968</v>
          </cell>
          <cell r="W34">
            <v>7.5412570446561702E-2</v>
          </cell>
          <cell r="X34">
            <v>16</v>
          </cell>
          <cell r="Y34">
            <v>2865</v>
          </cell>
          <cell r="Z34">
            <v>5</v>
          </cell>
          <cell r="AA34">
            <v>845</v>
          </cell>
          <cell r="AB34">
            <v>16</v>
          </cell>
          <cell r="AC34">
            <v>1933</v>
          </cell>
          <cell r="AD34">
            <v>13</v>
          </cell>
          <cell r="AE34">
            <v>2189</v>
          </cell>
          <cell r="AF34">
            <v>18</v>
          </cell>
          <cell r="AG34">
            <v>3866</v>
          </cell>
          <cell r="AH34">
            <v>1.9718559263717322E-2</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sVegas"/>
      <sheetName val="Anaheim"/>
      <sheetName val="Atlanta"/>
      <sheetName val="Boston"/>
      <sheetName val="Chicago"/>
      <sheetName val="Dallas"/>
      <sheetName val="Denver"/>
      <sheetName val="Detroit"/>
      <sheetName val="Houston"/>
      <sheetName val="LosAngeles"/>
      <sheetName val="Miami"/>
      <sheetName val="Minneapolis"/>
      <sheetName val="Nashville"/>
      <sheetName val="NewOrleans"/>
      <sheetName val="NewYork"/>
      <sheetName val="Norfolk"/>
      <sheetName val="Oahu"/>
      <sheetName val="Orlando"/>
      <sheetName val="Philadelphia"/>
      <sheetName val="Phoenix"/>
      <sheetName val="SaintLouis"/>
      <sheetName val="SanDiego"/>
      <sheetName val="SanFrancisco"/>
      <sheetName val="Seattle"/>
      <sheetName val="Tampa"/>
      <sheetName val="Washington"/>
      <sheetName val="Cornerstone national"/>
      <sheetName val="Cornerstone Summary"/>
      <sheetName val="Cornerstone summ lookup"/>
      <sheetName val="Top 25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6">
          <cell r="B6" t="str">
            <v>Anaheim, CA</v>
          </cell>
          <cell r="C6">
            <v>22</v>
          </cell>
          <cell r="D6">
            <v>4043</v>
          </cell>
          <cell r="E6">
            <v>355</v>
          </cell>
          <cell r="F6">
            <v>47404</v>
          </cell>
          <cell r="G6">
            <v>14</v>
          </cell>
          <cell r="H6">
            <v>3427</v>
          </cell>
          <cell r="I6">
            <v>11</v>
          </cell>
          <cell r="J6">
            <v>3073</v>
          </cell>
          <cell r="K6">
            <v>25</v>
          </cell>
          <cell r="L6">
            <v>6500</v>
          </cell>
          <cell r="M6">
            <v>3</v>
          </cell>
          <cell r="N6">
            <v>341</v>
          </cell>
          <cell r="O6">
            <v>5</v>
          </cell>
          <cell r="P6">
            <v>1520</v>
          </cell>
          <cell r="Q6">
            <v>12</v>
          </cell>
          <cell r="R6">
            <v>2633</v>
          </cell>
          <cell r="S6">
            <v>6</v>
          </cell>
          <cell r="T6">
            <v>1522</v>
          </cell>
          <cell r="U6">
            <v>4</v>
          </cell>
          <cell r="V6">
            <v>1630</v>
          </cell>
          <cell r="W6">
            <v>6</v>
          </cell>
          <cell r="X6">
            <v>1056</v>
          </cell>
        </row>
        <row r="7">
          <cell r="B7" t="str">
            <v>Atlanta, GA</v>
          </cell>
          <cell r="C7">
            <v>167</v>
          </cell>
          <cell r="D7">
            <v>17094</v>
          </cell>
          <cell r="E7">
            <v>623</v>
          </cell>
          <cell r="F7">
            <v>84404</v>
          </cell>
          <cell r="G7">
            <v>25</v>
          </cell>
          <cell r="H7">
            <v>1976</v>
          </cell>
          <cell r="I7">
            <v>20</v>
          </cell>
          <cell r="J7">
            <v>2059</v>
          </cell>
          <cell r="K7">
            <v>45</v>
          </cell>
          <cell r="L7">
            <v>4035</v>
          </cell>
          <cell r="M7">
            <v>30</v>
          </cell>
          <cell r="N7">
            <v>4417</v>
          </cell>
          <cell r="O7">
            <v>4</v>
          </cell>
          <cell r="P7">
            <v>647</v>
          </cell>
          <cell r="Q7">
            <v>23</v>
          </cell>
          <cell r="R7">
            <v>1818</v>
          </cell>
          <cell r="S7">
            <v>17</v>
          </cell>
          <cell r="T7">
            <v>1244</v>
          </cell>
          <cell r="U7">
            <v>19</v>
          </cell>
          <cell r="V7">
            <v>2048</v>
          </cell>
          <cell r="W7">
            <v>16</v>
          </cell>
          <cell r="X7">
            <v>3342</v>
          </cell>
        </row>
        <row r="8">
          <cell r="B8" t="str">
            <v>Boston, MA</v>
          </cell>
          <cell r="C8">
            <v>49</v>
          </cell>
          <cell r="D8">
            <v>7473</v>
          </cell>
          <cell r="E8">
            <v>271</v>
          </cell>
          <cell r="F8">
            <v>41760</v>
          </cell>
          <cell r="G8">
            <v>14</v>
          </cell>
          <cell r="H8">
            <v>2172</v>
          </cell>
          <cell r="I8">
            <v>22</v>
          </cell>
          <cell r="J8">
            <v>4983</v>
          </cell>
          <cell r="K8">
            <v>36</v>
          </cell>
          <cell r="L8">
            <v>7155</v>
          </cell>
          <cell r="M8">
            <v>20</v>
          </cell>
          <cell r="N8">
            <v>3779</v>
          </cell>
          <cell r="O8">
            <v>5</v>
          </cell>
          <cell r="P8">
            <v>710</v>
          </cell>
          <cell r="Q8">
            <v>12</v>
          </cell>
          <cell r="R8">
            <v>1829</v>
          </cell>
          <cell r="S8">
            <v>14</v>
          </cell>
          <cell r="T8">
            <v>1986</v>
          </cell>
          <cell r="U8">
            <v>14</v>
          </cell>
          <cell r="V8">
            <v>2705</v>
          </cell>
          <cell r="W8">
            <v>16</v>
          </cell>
          <cell r="X8">
            <v>4414</v>
          </cell>
        </row>
        <row r="9">
          <cell r="B9" t="str">
            <v>Chicago, IL</v>
          </cell>
          <cell r="C9">
            <v>87</v>
          </cell>
          <cell r="D9">
            <v>12196</v>
          </cell>
          <cell r="E9">
            <v>471</v>
          </cell>
          <cell r="F9">
            <v>81227</v>
          </cell>
          <cell r="G9">
            <v>22</v>
          </cell>
          <cell r="H9">
            <v>4079</v>
          </cell>
          <cell r="I9">
            <v>23</v>
          </cell>
          <cell r="J9">
            <v>5109</v>
          </cell>
          <cell r="K9">
            <v>45</v>
          </cell>
          <cell r="L9">
            <v>9188</v>
          </cell>
          <cell r="M9">
            <v>15</v>
          </cell>
          <cell r="N9">
            <v>2729</v>
          </cell>
          <cell r="O9">
            <v>3</v>
          </cell>
          <cell r="P9">
            <v>194</v>
          </cell>
          <cell r="Q9">
            <v>21</v>
          </cell>
          <cell r="R9">
            <v>3667</v>
          </cell>
          <cell r="S9">
            <v>15</v>
          </cell>
          <cell r="T9">
            <v>2048</v>
          </cell>
          <cell r="U9">
            <v>10</v>
          </cell>
          <cell r="V9">
            <v>1692</v>
          </cell>
          <cell r="W9">
            <v>14</v>
          </cell>
          <cell r="X9">
            <v>4510</v>
          </cell>
        </row>
        <row r="10">
          <cell r="B10" t="str">
            <v>Dallas, TX</v>
          </cell>
          <cell r="C10">
            <v>154</v>
          </cell>
          <cell r="D10">
            <v>19569</v>
          </cell>
          <cell r="E10">
            <v>433</v>
          </cell>
          <cell r="F10">
            <v>62272</v>
          </cell>
          <cell r="G10">
            <v>12</v>
          </cell>
          <cell r="H10">
            <v>1236</v>
          </cell>
          <cell r="I10">
            <v>19</v>
          </cell>
          <cell r="J10">
            <v>2701</v>
          </cell>
          <cell r="K10">
            <v>31</v>
          </cell>
          <cell r="L10">
            <v>3937</v>
          </cell>
          <cell r="M10">
            <v>14</v>
          </cell>
          <cell r="N10">
            <v>2442</v>
          </cell>
          <cell r="O10">
            <v>7</v>
          </cell>
          <cell r="P10">
            <v>1073</v>
          </cell>
          <cell r="Q10">
            <v>12</v>
          </cell>
          <cell r="R10">
            <v>1236</v>
          </cell>
          <cell r="S10">
            <v>14</v>
          </cell>
          <cell r="T10">
            <v>1408</v>
          </cell>
          <cell r="U10">
            <v>8</v>
          </cell>
          <cell r="V10">
            <v>1183</v>
          </cell>
          <cell r="W10">
            <v>11</v>
          </cell>
          <cell r="X10">
            <v>2552</v>
          </cell>
        </row>
        <row r="11">
          <cell r="B11" t="str">
            <v>Denver, CO</v>
          </cell>
          <cell r="C11">
            <v>86</v>
          </cell>
          <cell r="D11">
            <v>10266</v>
          </cell>
          <cell r="E11">
            <v>218</v>
          </cell>
          <cell r="F11">
            <v>33637</v>
          </cell>
          <cell r="G11">
            <v>3</v>
          </cell>
          <cell r="H11">
            <v>259</v>
          </cell>
          <cell r="I11">
            <v>8</v>
          </cell>
          <cell r="J11">
            <v>1055</v>
          </cell>
          <cell r="K11">
            <v>11</v>
          </cell>
          <cell r="L11">
            <v>1314</v>
          </cell>
          <cell r="M11">
            <v>16</v>
          </cell>
          <cell r="N11">
            <v>3543</v>
          </cell>
          <cell r="O11">
            <v>1</v>
          </cell>
          <cell r="P11">
            <v>68</v>
          </cell>
          <cell r="Q11">
            <v>3</v>
          </cell>
          <cell r="R11">
            <v>259</v>
          </cell>
          <cell r="S11">
            <v>5</v>
          </cell>
          <cell r="T11">
            <v>709</v>
          </cell>
          <cell r="U11">
            <v>5</v>
          </cell>
          <cell r="V11">
            <v>734</v>
          </cell>
          <cell r="W11">
            <v>14</v>
          </cell>
          <cell r="X11">
            <v>3155</v>
          </cell>
        </row>
        <row r="12">
          <cell r="B12" t="str">
            <v>Detroit, MI</v>
          </cell>
          <cell r="C12">
            <v>59</v>
          </cell>
          <cell r="D12">
            <v>6285</v>
          </cell>
          <cell r="E12">
            <v>282</v>
          </cell>
          <cell r="F12">
            <v>35324</v>
          </cell>
          <cell r="G12">
            <v>19</v>
          </cell>
          <cell r="H12">
            <v>1978</v>
          </cell>
          <cell r="I12">
            <v>12</v>
          </cell>
          <cell r="J12">
            <v>1114</v>
          </cell>
          <cell r="K12">
            <v>31</v>
          </cell>
          <cell r="L12">
            <v>3092</v>
          </cell>
          <cell r="M12">
            <v>16</v>
          </cell>
          <cell r="N12">
            <v>1521</v>
          </cell>
          <cell r="O12">
            <v>2</v>
          </cell>
          <cell r="P12">
            <v>218</v>
          </cell>
          <cell r="Q12">
            <v>14</v>
          </cell>
          <cell r="R12">
            <v>1192</v>
          </cell>
          <cell r="S12">
            <v>17</v>
          </cell>
          <cell r="T12">
            <v>1860</v>
          </cell>
          <cell r="U12">
            <v>8</v>
          </cell>
          <cell r="V12">
            <v>693</v>
          </cell>
          <cell r="W12">
            <v>8</v>
          </cell>
          <cell r="X12">
            <v>868</v>
          </cell>
        </row>
        <row r="13">
          <cell r="B13" t="str">
            <v>Houston, TX</v>
          </cell>
          <cell r="C13">
            <v>137</v>
          </cell>
          <cell r="D13">
            <v>12630</v>
          </cell>
          <cell r="E13">
            <v>380</v>
          </cell>
          <cell r="F13">
            <v>50222</v>
          </cell>
          <cell r="G13">
            <v>21</v>
          </cell>
          <cell r="H13">
            <v>2030</v>
          </cell>
          <cell r="I13">
            <v>16</v>
          </cell>
          <cell r="J13">
            <v>2542</v>
          </cell>
          <cell r="K13">
            <v>37</v>
          </cell>
          <cell r="L13">
            <v>4572</v>
          </cell>
          <cell r="M13">
            <v>12</v>
          </cell>
          <cell r="N13">
            <v>1661</v>
          </cell>
          <cell r="O13">
            <v>6</v>
          </cell>
          <cell r="P13">
            <v>511</v>
          </cell>
          <cell r="Q13">
            <v>19</v>
          </cell>
          <cell r="R13">
            <v>1803</v>
          </cell>
          <cell r="S13">
            <v>14</v>
          </cell>
          <cell r="T13">
            <v>1058</v>
          </cell>
          <cell r="U13">
            <v>7</v>
          </cell>
          <cell r="V13">
            <v>1760</v>
          </cell>
          <cell r="W13">
            <v>9</v>
          </cell>
          <cell r="X13">
            <v>1612</v>
          </cell>
        </row>
        <row r="14">
          <cell r="B14" t="str">
            <v>Las Vegas, NV</v>
          </cell>
          <cell r="C14">
            <v>41</v>
          </cell>
          <cell r="D14">
            <v>24037</v>
          </cell>
          <cell r="E14">
            <v>308</v>
          </cell>
          <cell r="F14">
            <v>127941</v>
          </cell>
          <cell r="G14">
            <v>5</v>
          </cell>
          <cell r="H14">
            <v>2791</v>
          </cell>
          <cell r="I14">
            <v>6</v>
          </cell>
          <cell r="J14">
            <v>4579</v>
          </cell>
          <cell r="K14">
            <v>11</v>
          </cell>
          <cell r="L14">
            <v>7370</v>
          </cell>
          <cell r="M14">
            <v>6</v>
          </cell>
          <cell r="N14">
            <v>3957</v>
          </cell>
          <cell r="O14">
            <v>1</v>
          </cell>
          <cell r="P14">
            <v>101</v>
          </cell>
          <cell r="Q14">
            <v>4</v>
          </cell>
          <cell r="R14">
            <v>1772</v>
          </cell>
          <cell r="S14">
            <v>3</v>
          </cell>
          <cell r="T14">
            <v>1269</v>
          </cell>
          <cell r="U14">
            <v>5</v>
          </cell>
          <cell r="V14">
            <v>1390</v>
          </cell>
          <cell r="W14">
            <v>5</v>
          </cell>
          <cell r="X14">
            <v>6896</v>
          </cell>
        </row>
        <row r="15">
          <cell r="B15" t="str">
            <v>Los Angeles, CA</v>
          </cell>
          <cell r="C15">
            <v>42</v>
          </cell>
          <cell r="D15">
            <v>4706</v>
          </cell>
          <cell r="E15">
            <v>697</v>
          </cell>
          <cell r="F15">
            <v>84440</v>
          </cell>
          <cell r="G15">
            <v>8</v>
          </cell>
          <cell r="H15">
            <v>1372</v>
          </cell>
          <cell r="I15">
            <v>14</v>
          </cell>
          <cell r="J15">
            <v>2003</v>
          </cell>
          <cell r="K15">
            <v>22</v>
          </cell>
          <cell r="L15">
            <v>3375</v>
          </cell>
          <cell r="M15">
            <v>10</v>
          </cell>
          <cell r="N15">
            <v>2010</v>
          </cell>
          <cell r="O15">
            <v>4</v>
          </cell>
          <cell r="P15">
            <v>305</v>
          </cell>
          <cell r="Q15">
            <v>8</v>
          </cell>
          <cell r="R15">
            <v>1372</v>
          </cell>
          <cell r="S15">
            <v>7</v>
          </cell>
          <cell r="T15">
            <v>679</v>
          </cell>
          <cell r="U15">
            <v>7</v>
          </cell>
          <cell r="V15">
            <v>781</v>
          </cell>
          <cell r="W15">
            <v>10</v>
          </cell>
          <cell r="X15">
            <v>2553</v>
          </cell>
        </row>
        <row r="16">
          <cell r="B16" t="str">
            <v>Miami, FL</v>
          </cell>
          <cell r="C16">
            <v>31</v>
          </cell>
          <cell r="D16">
            <v>5155</v>
          </cell>
          <cell r="E16">
            <v>278</v>
          </cell>
          <cell r="F16">
            <v>44524</v>
          </cell>
          <cell r="G16">
            <v>13</v>
          </cell>
          <cell r="H16">
            <v>3034</v>
          </cell>
          <cell r="I16">
            <v>9</v>
          </cell>
          <cell r="J16">
            <v>1133</v>
          </cell>
          <cell r="K16">
            <v>22</v>
          </cell>
          <cell r="L16">
            <v>4167</v>
          </cell>
          <cell r="M16">
            <v>9</v>
          </cell>
          <cell r="N16">
            <v>1181</v>
          </cell>
          <cell r="O16">
            <v>2</v>
          </cell>
          <cell r="P16">
            <v>313</v>
          </cell>
          <cell r="Q16">
            <v>9</v>
          </cell>
          <cell r="R16">
            <v>1931</v>
          </cell>
          <cell r="S16">
            <v>8</v>
          </cell>
          <cell r="T16">
            <v>1267</v>
          </cell>
          <cell r="U16">
            <v>6</v>
          </cell>
          <cell r="V16">
            <v>1046</v>
          </cell>
          <cell r="W16">
            <v>8</v>
          </cell>
          <cell r="X16">
            <v>1104</v>
          </cell>
        </row>
        <row r="17">
          <cell r="B17" t="str">
            <v>Minneapolis, MN</v>
          </cell>
          <cell r="C17">
            <v>68</v>
          </cell>
          <cell r="D17">
            <v>6649</v>
          </cell>
          <cell r="E17">
            <v>248</v>
          </cell>
          <cell r="F17">
            <v>32339</v>
          </cell>
          <cell r="G17">
            <v>8</v>
          </cell>
          <cell r="H17">
            <v>1095</v>
          </cell>
          <cell r="I17">
            <v>7</v>
          </cell>
          <cell r="J17">
            <v>843</v>
          </cell>
          <cell r="K17">
            <v>15</v>
          </cell>
          <cell r="L17">
            <v>1938</v>
          </cell>
          <cell r="M17">
            <v>13</v>
          </cell>
          <cell r="N17">
            <v>2115</v>
          </cell>
          <cell r="O17">
            <v>3</v>
          </cell>
          <cell r="P17">
            <v>314</v>
          </cell>
          <cell r="Q17">
            <v>8</v>
          </cell>
          <cell r="R17">
            <v>1095</v>
          </cell>
          <cell r="S17">
            <v>6</v>
          </cell>
          <cell r="T17">
            <v>501</v>
          </cell>
          <cell r="U17">
            <v>4</v>
          </cell>
          <cell r="V17">
            <v>520</v>
          </cell>
          <cell r="W17">
            <v>10</v>
          </cell>
          <cell r="X17">
            <v>1937</v>
          </cell>
        </row>
        <row r="18">
          <cell r="B18" t="str">
            <v>Nashville, TN</v>
          </cell>
          <cell r="C18">
            <v>61</v>
          </cell>
          <cell r="D18">
            <v>5947</v>
          </cell>
          <cell r="E18">
            <v>256</v>
          </cell>
          <cell r="F18">
            <v>31743</v>
          </cell>
          <cell r="G18">
            <v>11</v>
          </cell>
          <cell r="H18">
            <v>1466</v>
          </cell>
          <cell r="I18">
            <v>3</v>
          </cell>
          <cell r="J18">
            <v>205</v>
          </cell>
          <cell r="K18">
            <v>14</v>
          </cell>
          <cell r="L18">
            <v>1671</v>
          </cell>
          <cell r="M18">
            <v>8</v>
          </cell>
          <cell r="N18">
            <v>760</v>
          </cell>
          <cell r="O18">
            <v>1</v>
          </cell>
          <cell r="P18">
            <v>64</v>
          </cell>
          <cell r="Q18">
            <v>10</v>
          </cell>
          <cell r="R18">
            <v>1386</v>
          </cell>
          <cell r="S18">
            <v>4</v>
          </cell>
          <cell r="T18">
            <v>285</v>
          </cell>
          <cell r="U18">
            <v>4</v>
          </cell>
          <cell r="V18">
            <v>300</v>
          </cell>
          <cell r="W18">
            <v>4</v>
          </cell>
          <cell r="X18">
            <v>460</v>
          </cell>
        </row>
        <row r="19">
          <cell r="B19" t="str">
            <v>New Orleans, LA</v>
          </cell>
          <cell r="C19">
            <v>50</v>
          </cell>
          <cell r="D19">
            <v>6082</v>
          </cell>
          <cell r="E19">
            <v>184</v>
          </cell>
          <cell r="F19">
            <v>32339</v>
          </cell>
          <cell r="G19">
            <v>16</v>
          </cell>
          <cell r="H19">
            <v>2594</v>
          </cell>
          <cell r="I19">
            <v>7</v>
          </cell>
          <cell r="J19">
            <v>805</v>
          </cell>
          <cell r="K19">
            <v>23</v>
          </cell>
          <cell r="L19">
            <v>3399</v>
          </cell>
          <cell r="M19">
            <v>14</v>
          </cell>
          <cell r="N19">
            <v>3127</v>
          </cell>
          <cell r="O19">
            <v>4</v>
          </cell>
          <cell r="P19">
            <v>611</v>
          </cell>
          <cell r="Q19">
            <v>12</v>
          </cell>
          <cell r="R19">
            <v>1607</v>
          </cell>
          <cell r="S19">
            <v>9</v>
          </cell>
          <cell r="T19">
            <v>1408</v>
          </cell>
          <cell r="U19">
            <v>9</v>
          </cell>
          <cell r="V19">
            <v>951</v>
          </cell>
          <cell r="W19">
            <v>7</v>
          </cell>
          <cell r="X19">
            <v>2560</v>
          </cell>
        </row>
        <row r="20">
          <cell r="B20" t="str">
            <v>New York, NY</v>
          </cell>
          <cell r="C20">
            <v>38</v>
          </cell>
          <cell r="D20">
            <v>6814</v>
          </cell>
          <cell r="E20">
            <v>282</v>
          </cell>
          <cell r="F20">
            <v>74074</v>
          </cell>
          <cell r="G20">
            <v>11</v>
          </cell>
          <cell r="H20">
            <v>3025</v>
          </cell>
          <cell r="I20">
            <v>10</v>
          </cell>
          <cell r="J20">
            <v>1201</v>
          </cell>
          <cell r="K20">
            <v>21</v>
          </cell>
          <cell r="L20">
            <v>4226</v>
          </cell>
          <cell r="M20">
            <v>11</v>
          </cell>
          <cell r="N20">
            <v>1977</v>
          </cell>
          <cell r="O20">
            <v>2</v>
          </cell>
          <cell r="P20">
            <v>207</v>
          </cell>
          <cell r="Q20">
            <v>9</v>
          </cell>
          <cell r="R20">
            <v>1916</v>
          </cell>
          <cell r="S20">
            <v>8</v>
          </cell>
          <cell r="T20">
            <v>1639</v>
          </cell>
          <cell r="U20">
            <v>10</v>
          </cell>
          <cell r="V20">
            <v>1403</v>
          </cell>
          <cell r="W20">
            <v>5</v>
          </cell>
          <cell r="X20">
            <v>1245</v>
          </cell>
        </row>
        <row r="21">
          <cell r="B21" t="str">
            <v>Norfolk, VA</v>
          </cell>
          <cell r="C21">
            <v>32</v>
          </cell>
          <cell r="D21">
            <v>3441</v>
          </cell>
          <cell r="E21">
            <v>319</v>
          </cell>
          <cell r="F21">
            <v>34901</v>
          </cell>
          <cell r="G21">
            <v>4</v>
          </cell>
          <cell r="H21">
            <v>684</v>
          </cell>
          <cell r="I21">
            <v>10</v>
          </cell>
          <cell r="J21">
            <v>1159</v>
          </cell>
          <cell r="K21">
            <v>14</v>
          </cell>
          <cell r="L21">
            <v>1843</v>
          </cell>
          <cell r="M21">
            <v>5</v>
          </cell>
          <cell r="N21">
            <v>860</v>
          </cell>
          <cell r="O21">
            <v>2</v>
          </cell>
          <cell r="P21">
            <v>418</v>
          </cell>
          <cell r="Q21">
            <v>3</v>
          </cell>
          <cell r="R21">
            <v>534</v>
          </cell>
          <cell r="S21">
            <v>7</v>
          </cell>
          <cell r="T21">
            <v>727</v>
          </cell>
          <cell r="U21">
            <v>4</v>
          </cell>
          <cell r="V21">
            <v>582</v>
          </cell>
          <cell r="W21">
            <v>5</v>
          </cell>
          <cell r="X21">
            <v>860</v>
          </cell>
        </row>
        <row r="22">
          <cell r="B22" t="str">
            <v>Oahu, HI</v>
          </cell>
          <cell r="C22">
            <v>1</v>
          </cell>
          <cell r="D22">
            <v>48</v>
          </cell>
          <cell r="E22">
            <v>101</v>
          </cell>
          <cell r="F22">
            <v>34148</v>
          </cell>
          <cell r="G22">
            <v>1</v>
          </cell>
          <cell r="H22">
            <v>453</v>
          </cell>
          <cell r="I22">
            <v>0</v>
          </cell>
          <cell r="J22">
            <v>0</v>
          </cell>
          <cell r="K22">
            <v>1</v>
          </cell>
          <cell r="L22">
            <v>453</v>
          </cell>
          <cell r="M22">
            <v>1</v>
          </cell>
          <cell r="N22">
            <v>299</v>
          </cell>
          <cell r="O22">
            <v>0</v>
          </cell>
          <cell r="P22">
            <v>0</v>
          </cell>
          <cell r="Q22">
            <v>1</v>
          </cell>
          <cell r="R22">
            <v>453</v>
          </cell>
          <cell r="S22">
            <v>0</v>
          </cell>
          <cell r="T22">
            <v>0</v>
          </cell>
          <cell r="U22">
            <v>0</v>
          </cell>
          <cell r="V22">
            <v>0</v>
          </cell>
          <cell r="W22">
            <v>1</v>
          </cell>
          <cell r="X22">
            <v>299</v>
          </cell>
        </row>
        <row r="23">
          <cell r="B23" t="str">
            <v>Orlando, FL</v>
          </cell>
          <cell r="C23">
            <v>89</v>
          </cell>
          <cell r="D23">
            <v>18043</v>
          </cell>
          <cell r="E23">
            <v>412</v>
          </cell>
          <cell r="F23">
            <v>113517</v>
          </cell>
          <cell r="G23">
            <v>15</v>
          </cell>
          <cell r="H23">
            <v>9227</v>
          </cell>
          <cell r="I23">
            <v>17</v>
          </cell>
          <cell r="J23">
            <v>4044</v>
          </cell>
          <cell r="K23">
            <v>32</v>
          </cell>
          <cell r="L23">
            <v>13271</v>
          </cell>
          <cell r="M23">
            <v>29</v>
          </cell>
          <cell r="N23">
            <v>11069</v>
          </cell>
          <cell r="O23">
            <v>3</v>
          </cell>
          <cell r="P23">
            <v>972</v>
          </cell>
          <cell r="Q23">
            <v>9</v>
          </cell>
          <cell r="R23">
            <v>2607</v>
          </cell>
          <cell r="S23">
            <v>17</v>
          </cell>
          <cell r="T23">
            <v>6848</v>
          </cell>
          <cell r="U23">
            <v>10</v>
          </cell>
          <cell r="V23">
            <v>3664</v>
          </cell>
          <cell r="W23">
            <v>25</v>
          </cell>
          <cell r="X23">
            <v>11221</v>
          </cell>
        </row>
        <row r="24">
          <cell r="B24" t="str">
            <v>Philadelphia, PA</v>
          </cell>
          <cell r="C24">
            <v>67</v>
          </cell>
          <cell r="D24">
            <v>12004</v>
          </cell>
          <cell r="E24">
            <v>277</v>
          </cell>
          <cell r="F24">
            <v>45653</v>
          </cell>
          <cell r="G24">
            <v>12</v>
          </cell>
          <cell r="H24">
            <v>2069</v>
          </cell>
          <cell r="I24">
            <v>8</v>
          </cell>
          <cell r="J24">
            <v>997</v>
          </cell>
          <cell r="K24">
            <v>20</v>
          </cell>
          <cell r="L24">
            <v>3066</v>
          </cell>
          <cell r="M24">
            <v>20</v>
          </cell>
          <cell r="N24">
            <v>2756</v>
          </cell>
          <cell r="O24">
            <v>2</v>
          </cell>
          <cell r="P24">
            <v>48</v>
          </cell>
          <cell r="Q24">
            <v>12</v>
          </cell>
          <cell r="R24">
            <v>2069</v>
          </cell>
          <cell r="S24">
            <v>6</v>
          </cell>
          <cell r="T24">
            <v>835</v>
          </cell>
          <cell r="U24">
            <v>9</v>
          </cell>
          <cell r="V24">
            <v>674</v>
          </cell>
          <cell r="W24">
            <v>13</v>
          </cell>
          <cell r="X24">
            <v>2244</v>
          </cell>
        </row>
        <row r="25">
          <cell r="B25" t="str">
            <v>Phoenix, AZ</v>
          </cell>
          <cell r="C25">
            <v>102</v>
          </cell>
          <cell r="D25">
            <v>12645</v>
          </cell>
          <cell r="E25">
            <v>333</v>
          </cell>
          <cell r="F25">
            <v>50170</v>
          </cell>
          <cell r="G25">
            <v>5</v>
          </cell>
          <cell r="H25">
            <v>2419</v>
          </cell>
          <cell r="I25">
            <v>6</v>
          </cell>
          <cell r="J25">
            <v>858</v>
          </cell>
          <cell r="K25">
            <v>11</v>
          </cell>
          <cell r="L25">
            <v>3277</v>
          </cell>
          <cell r="M25">
            <v>9</v>
          </cell>
          <cell r="N25">
            <v>2158</v>
          </cell>
          <cell r="O25">
            <v>0</v>
          </cell>
          <cell r="P25">
            <v>0</v>
          </cell>
          <cell r="Q25">
            <v>2</v>
          </cell>
          <cell r="R25">
            <v>219</v>
          </cell>
          <cell r="S25">
            <v>6</v>
          </cell>
          <cell r="T25">
            <v>2632</v>
          </cell>
          <cell r="U25">
            <v>6</v>
          </cell>
          <cell r="V25">
            <v>685</v>
          </cell>
          <cell r="W25">
            <v>6</v>
          </cell>
          <cell r="X25">
            <v>1899</v>
          </cell>
        </row>
        <row r="26">
          <cell r="B26" t="str">
            <v>Saint Louis, MO</v>
          </cell>
          <cell r="C26">
            <v>57</v>
          </cell>
          <cell r="D26">
            <v>6834</v>
          </cell>
          <cell r="E26">
            <v>234</v>
          </cell>
          <cell r="F26">
            <v>30844</v>
          </cell>
          <cell r="G26">
            <v>5</v>
          </cell>
          <cell r="H26">
            <v>1538</v>
          </cell>
          <cell r="I26">
            <v>7</v>
          </cell>
          <cell r="J26">
            <v>800</v>
          </cell>
          <cell r="K26">
            <v>12</v>
          </cell>
          <cell r="L26">
            <v>2338</v>
          </cell>
          <cell r="M26">
            <v>9</v>
          </cell>
          <cell r="N26">
            <v>1363</v>
          </cell>
          <cell r="O26">
            <v>3</v>
          </cell>
          <cell r="P26">
            <v>406</v>
          </cell>
          <cell r="Q26">
            <v>3</v>
          </cell>
          <cell r="R26">
            <v>459</v>
          </cell>
          <cell r="S26">
            <v>9</v>
          </cell>
          <cell r="T26">
            <v>1879</v>
          </cell>
          <cell r="U26">
            <v>3</v>
          </cell>
          <cell r="V26">
            <v>275</v>
          </cell>
          <cell r="W26">
            <v>6</v>
          </cell>
          <cell r="X26">
            <v>1088</v>
          </cell>
        </row>
        <row r="27">
          <cell r="B27" t="str">
            <v>San Diego, CA</v>
          </cell>
          <cell r="C27">
            <v>23</v>
          </cell>
          <cell r="D27">
            <v>3217</v>
          </cell>
          <cell r="E27">
            <v>398</v>
          </cell>
          <cell r="F27">
            <v>49332</v>
          </cell>
          <cell r="G27">
            <v>10</v>
          </cell>
          <cell r="H27">
            <v>2078</v>
          </cell>
          <cell r="I27">
            <v>14</v>
          </cell>
          <cell r="J27">
            <v>2487</v>
          </cell>
          <cell r="K27">
            <v>24</v>
          </cell>
          <cell r="L27">
            <v>4565</v>
          </cell>
          <cell r="M27">
            <v>7</v>
          </cell>
          <cell r="N27">
            <v>2664</v>
          </cell>
          <cell r="O27">
            <v>0</v>
          </cell>
          <cell r="P27">
            <v>0</v>
          </cell>
          <cell r="Q27">
            <v>6</v>
          </cell>
          <cell r="R27">
            <v>882</v>
          </cell>
          <cell r="S27">
            <v>12</v>
          </cell>
          <cell r="T27">
            <v>2070</v>
          </cell>
          <cell r="U27">
            <v>4</v>
          </cell>
          <cell r="V27">
            <v>591</v>
          </cell>
          <cell r="W27">
            <v>9</v>
          </cell>
          <cell r="X27">
            <v>3686</v>
          </cell>
        </row>
        <row r="28">
          <cell r="B28" t="str">
            <v>San Francisco, CA</v>
          </cell>
          <cell r="C28">
            <v>30</v>
          </cell>
          <cell r="D28">
            <v>3790</v>
          </cell>
          <cell r="E28">
            <v>400</v>
          </cell>
          <cell r="F28">
            <v>51341</v>
          </cell>
          <cell r="G28">
            <v>12</v>
          </cell>
          <cell r="H28">
            <v>1871</v>
          </cell>
          <cell r="I28">
            <v>8</v>
          </cell>
          <cell r="J28">
            <v>1252</v>
          </cell>
          <cell r="K28">
            <v>20</v>
          </cell>
          <cell r="L28">
            <v>3123</v>
          </cell>
          <cell r="M28">
            <v>18</v>
          </cell>
          <cell r="N28">
            <v>3690</v>
          </cell>
          <cell r="O28">
            <v>3</v>
          </cell>
          <cell r="P28">
            <v>675</v>
          </cell>
          <cell r="Q28">
            <v>9</v>
          </cell>
          <cell r="R28">
            <v>1190</v>
          </cell>
          <cell r="S28">
            <v>7</v>
          </cell>
          <cell r="T28">
            <v>970</v>
          </cell>
          <cell r="U28">
            <v>11</v>
          </cell>
          <cell r="V28">
            <v>1629</v>
          </cell>
          <cell r="W28">
            <v>11</v>
          </cell>
          <cell r="X28">
            <v>3024</v>
          </cell>
        </row>
        <row r="29">
          <cell r="B29" t="str">
            <v>Seattle, WA</v>
          </cell>
          <cell r="C29">
            <v>63</v>
          </cell>
          <cell r="D29">
            <v>7482</v>
          </cell>
          <cell r="E29">
            <v>283</v>
          </cell>
          <cell r="F29">
            <v>33145</v>
          </cell>
          <cell r="G29">
            <v>9</v>
          </cell>
          <cell r="H29">
            <v>1593</v>
          </cell>
          <cell r="I29">
            <v>10</v>
          </cell>
          <cell r="J29">
            <v>1992</v>
          </cell>
          <cell r="K29">
            <v>19</v>
          </cell>
          <cell r="L29">
            <v>3585</v>
          </cell>
          <cell r="M29">
            <v>12</v>
          </cell>
          <cell r="N29">
            <v>1875</v>
          </cell>
          <cell r="O29">
            <v>2</v>
          </cell>
          <cell r="P29">
            <v>421</v>
          </cell>
          <cell r="Q29">
            <v>8</v>
          </cell>
          <cell r="R29">
            <v>1290</v>
          </cell>
          <cell r="S29">
            <v>6</v>
          </cell>
          <cell r="T29">
            <v>767</v>
          </cell>
          <cell r="U29">
            <v>6</v>
          </cell>
          <cell r="V29">
            <v>1170</v>
          </cell>
          <cell r="W29">
            <v>11</v>
          </cell>
          <cell r="X29">
            <v>2233</v>
          </cell>
        </row>
        <row r="30">
          <cell r="B30" t="str">
            <v>Tampa, FL</v>
          </cell>
          <cell r="C30">
            <v>50</v>
          </cell>
          <cell r="D30">
            <v>5969</v>
          </cell>
          <cell r="E30">
            <v>305</v>
          </cell>
          <cell r="F30">
            <v>37116</v>
          </cell>
          <cell r="G30">
            <v>12</v>
          </cell>
          <cell r="H30">
            <v>1392</v>
          </cell>
          <cell r="I30">
            <v>7</v>
          </cell>
          <cell r="J30">
            <v>785</v>
          </cell>
          <cell r="K30">
            <v>19</v>
          </cell>
          <cell r="L30">
            <v>2177</v>
          </cell>
          <cell r="M30">
            <v>13</v>
          </cell>
          <cell r="N30">
            <v>1594</v>
          </cell>
          <cell r="O30">
            <v>2</v>
          </cell>
          <cell r="P30">
            <v>149</v>
          </cell>
          <cell r="Q30">
            <v>8</v>
          </cell>
          <cell r="R30">
            <v>929</v>
          </cell>
          <cell r="S30">
            <v>10</v>
          </cell>
          <cell r="T30">
            <v>948</v>
          </cell>
          <cell r="U30">
            <v>7</v>
          </cell>
          <cell r="V30">
            <v>731</v>
          </cell>
          <cell r="W30">
            <v>7</v>
          </cell>
          <cell r="X30">
            <v>1163</v>
          </cell>
        </row>
        <row r="31">
          <cell r="B31" t="str">
            <v>Washington, DC</v>
          </cell>
          <cell r="C31">
            <v>77</v>
          </cell>
          <cell r="D31">
            <v>9326</v>
          </cell>
          <cell r="E31">
            <v>428</v>
          </cell>
          <cell r="F31">
            <v>77867</v>
          </cell>
          <cell r="G31">
            <v>16</v>
          </cell>
          <cell r="H31">
            <v>2322</v>
          </cell>
          <cell r="I31">
            <v>23</v>
          </cell>
          <cell r="J31">
            <v>4199</v>
          </cell>
          <cell r="K31">
            <v>39</v>
          </cell>
          <cell r="L31">
            <v>6521</v>
          </cell>
          <cell r="M31">
            <v>18</v>
          </cell>
          <cell r="N31">
            <v>3040</v>
          </cell>
          <cell r="O31">
            <v>5</v>
          </cell>
          <cell r="P31">
            <v>550</v>
          </cell>
          <cell r="Q31">
            <v>11</v>
          </cell>
          <cell r="R31">
            <v>1472</v>
          </cell>
          <cell r="S31">
            <v>15</v>
          </cell>
          <cell r="T31">
            <v>1922</v>
          </cell>
          <cell r="U31">
            <v>14</v>
          </cell>
          <cell r="V31">
            <v>2237</v>
          </cell>
          <cell r="W31">
            <v>17</v>
          </cell>
          <cell r="X31">
            <v>3930</v>
          </cell>
        </row>
      </sheetData>
      <sheetData sheetId="29"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 Set"/>
      <sheetName val="Baymont by State"/>
      <sheetName val="Comf Suites by State"/>
      <sheetName val="Cyard by State"/>
      <sheetName val="HGI by State"/>
      <sheetName val="Hamp Inn by State"/>
      <sheetName val="Hamp Suite by State"/>
      <sheetName val="HAW LTD by State"/>
      <sheetName val="HI Express by State"/>
      <sheetName val="La Quinta by State"/>
      <sheetName val="HI Ex Suites by State"/>
      <sheetName val="Super 8 by State"/>
      <sheetName val="Wingate by State"/>
      <sheetName val="lookups"/>
      <sheetName val="brand pivots"/>
      <sheetName val="baymont state pivots"/>
      <sheetName val="comf state pivots"/>
      <sheetName val="courtyard state pivots"/>
      <sheetName val="hilt gard inn state pivots"/>
      <sheetName val="hamp inn state pivots"/>
      <sheetName val="hamp suite state pivots"/>
      <sheetName val="haw ltd state pivots"/>
      <sheetName val="hi express state pivots"/>
      <sheetName val="hi suites state pivots"/>
      <sheetName val="la quinta state pivots"/>
      <sheetName val="super 8 state pivots"/>
      <sheetName val="wingate state pivo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row r="33">
          <cell r="EC33" t="str">
            <v>Alabama</v>
          </cell>
          <cell r="ED33">
            <v>0</v>
          </cell>
          <cell r="EE33">
            <v>0</v>
          </cell>
          <cell r="EF33">
            <v>0</v>
          </cell>
          <cell r="EG33">
            <v>0</v>
          </cell>
          <cell r="EH33">
            <v>2</v>
          </cell>
          <cell r="EI33">
            <v>155</v>
          </cell>
          <cell r="EJ33">
            <v>0</v>
          </cell>
          <cell r="EK33">
            <v>0</v>
          </cell>
          <cell r="EL33">
            <v>2</v>
          </cell>
          <cell r="EM33">
            <v>110</v>
          </cell>
          <cell r="EN33">
            <v>0</v>
          </cell>
          <cell r="EO33">
            <v>0</v>
          </cell>
          <cell r="EP33">
            <v>2</v>
          </cell>
          <cell r="EQ33">
            <v>155</v>
          </cell>
          <cell r="ER33">
            <v>0</v>
          </cell>
          <cell r="ES33">
            <v>0</v>
          </cell>
          <cell r="ET33">
            <v>0</v>
          </cell>
          <cell r="EU33">
            <v>0</v>
          </cell>
          <cell r="EV33">
            <v>0</v>
          </cell>
          <cell r="EW33">
            <v>0</v>
          </cell>
        </row>
        <row r="34">
          <cell r="EC34" t="str">
            <v>Alaska</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0</v>
          </cell>
          <cell r="EW34">
            <v>0</v>
          </cell>
        </row>
        <row r="35">
          <cell r="EC35" t="str">
            <v>Arizona</v>
          </cell>
          <cell r="ED35">
            <v>0</v>
          </cell>
          <cell r="EE35">
            <v>0</v>
          </cell>
          <cell r="EF35">
            <v>1</v>
          </cell>
          <cell r="EG35">
            <v>45</v>
          </cell>
          <cell r="EH35">
            <v>0</v>
          </cell>
          <cell r="EI35">
            <v>0</v>
          </cell>
          <cell r="EJ35">
            <v>2</v>
          </cell>
          <cell r="EK35">
            <v>158</v>
          </cell>
          <cell r="EL35">
            <v>0</v>
          </cell>
          <cell r="EM35">
            <v>0</v>
          </cell>
          <cell r="EN35">
            <v>0</v>
          </cell>
          <cell r="EO35">
            <v>0</v>
          </cell>
          <cell r="EP35">
            <v>1</v>
          </cell>
          <cell r="EQ35">
            <v>45</v>
          </cell>
          <cell r="ER35">
            <v>0</v>
          </cell>
          <cell r="ES35">
            <v>0</v>
          </cell>
          <cell r="ET35">
            <v>0</v>
          </cell>
          <cell r="EU35">
            <v>0</v>
          </cell>
          <cell r="EV35">
            <v>0</v>
          </cell>
          <cell r="EW35">
            <v>0</v>
          </cell>
        </row>
        <row r="36">
          <cell r="EC36" t="str">
            <v>Arkansas</v>
          </cell>
          <cell r="ED36">
            <v>3</v>
          </cell>
          <cell r="EE36">
            <v>170</v>
          </cell>
          <cell r="EF36">
            <v>2</v>
          </cell>
          <cell r="EG36">
            <v>110</v>
          </cell>
          <cell r="EH36">
            <v>4</v>
          </cell>
          <cell r="EI36">
            <v>244</v>
          </cell>
          <cell r="EJ36">
            <v>2</v>
          </cell>
          <cell r="EK36">
            <v>105</v>
          </cell>
          <cell r="EL36">
            <v>0</v>
          </cell>
          <cell r="EM36">
            <v>0</v>
          </cell>
          <cell r="EN36">
            <v>3</v>
          </cell>
          <cell r="EO36">
            <v>170</v>
          </cell>
          <cell r="EP36">
            <v>6</v>
          </cell>
          <cell r="EQ36">
            <v>354</v>
          </cell>
          <cell r="ER36">
            <v>0</v>
          </cell>
          <cell r="ES36">
            <v>0</v>
          </cell>
          <cell r="ET36">
            <v>0</v>
          </cell>
          <cell r="EU36">
            <v>0</v>
          </cell>
          <cell r="EV36">
            <v>0</v>
          </cell>
          <cell r="EW36">
            <v>0</v>
          </cell>
        </row>
        <row r="37">
          <cell r="EC37" t="str">
            <v>California</v>
          </cell>
          <cell r="ED37">
            <v>1</v>
          </cell>
          <cell r="EE37">
            <v>56</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1</v>
          </cell>
          <cell r="EW37">
            <v>56</v>
          </cell>
        </row>
        <row r="38">
          <cell r="EC38" t="str">
            <v>Colorado</v>
          </cell>
          <cell r="ED38">
            <v>0</v>
          </cell>
          <cell r="EE38">
            <v>0</v>
          </cell>
          <cell r="EF38">
            <v>0</v>
          </cell>
          <cell r="EG38">
            <v>0</v>
          </cell>
          <cell r="EH38">
            <v>0</v>
          </cell>
          <cell r="EI38">
            <v>0</v>
          </cell>
          <cell r="EJ38">
            <v>1</v>
          </cell>
          <cell r="EK38">
            <v>50</v>
          </cell>
          <cell r="EL38">
            <v>0</v>
          </cell>
          <cell r="EM38">
            <v>0</v>
          </cell>
          <cell r="EN38">
            <v>0</v>
          </cell>
          <cell r="EO38">
            <v>0</v>
          </cell>
          <cell r="EP38">
            <v>0</v>
          </cell>
          <cell r="EQ38">
            <v>0</v>
          </cell>
          <cell r="ER38">
            <v>0</v>
          </cell>
          <cell r="ES38">
            <v>0</v>
          </cell>
          <cell r="ET38">
            <v>0</v>
          </cell>
          <cell r="EU38">
            <v>0</v>
          </cell>
          <cell r="EV38">
            <v>0</v>
          </cell>
          <cell r="EW38">
            <v>0</v>
          </cell>
        </row>
        <row r="39">
          <cell r="EC39" t="str">
            <v>Connecticut</v>
          </cell>
          <cell r="ED39">
            <v>0</v>
          </cell>
          <cell r="EE39">
            <v>0</v>
          </cell>
          <cell r="EF39">
            <v>0</v>
          </cell>
          <cell r="EG39">
            <v>0</v>
          </cell>
          <cell r="EH39">
            <v>1</v>
          </cell>
          <cell r="EI39">
            <v>61</v>
          </cell>
          <cell r="EJ39">
            <v>0</v>
          </cell>
          <cell r="EK39">
            <v>0</v>
          </cell>
          <cell r="EL39">
            <v>0</v>
          </cell>
          <cell r="EM39">
            <v>0</v>
          </cell>
          <cell r="EN39">
            <v>0</v>
          </cell>
          <cell r="EO39">
            <v>0</v>
          </cell>
          <cell r="EP39">
            <v>1</v>
          </cell>
          <cell r="EQ39">
            <v>61</v>
          </cell>
          <cell r="ER39">
            <v>0</v>
          </cell>
          <cell r="ES39">
            <v>0</v>
          </cell>
          <cell r="ET39">
            <v>0</v>
          </cell>
          <cell r="EU39">
            <v>0</v>
          </cell>
          <cell r="EV39">
            <v>0</v>
          </cell>
          <cell r="EW39">
            <v>0</v>
          </cell>
        </row>
        <row r="40">
          <cell r="EC40" t="str">
            <v>Delaware</v>
          </cell>
          <cell r="ED40">
            <v>0</v>
          </cell>
          <cell r="EE40">
            <v>0</v>
          </cell>
          <cell r="EF40">
            <v>0</v>
          </cell>
          <cell r="EG40">
            <v>0</v>
          </cell>
          <cell r="EH40">
            <v>1</v>
          </cell>
          <cell r="EI40">
            <v>100</v>
          </cell>
          <cell r="EJ40">
            <v>0</v>
          </cell>
          <cell r="EK40">
            <v>0</v>
          </cell>
          <cell r="EL40">
            <v>0</v>
          </cell>
          <cell r="EM40">
            <v>0</v>
          </cell>
          <cell r="EN40">
            <v>0</v>
          </cell>
          <cell r="EO40">
            <v>0</v>
          </cell>
          <cell r="EP40">
            <v>1</v>
          </cell>
          <cell r="EQ40">
            <v>100</v>
          </cell>
          <cell r="ER40">
            <v>0</v>
          </cell>
          <cell r="ES40">
            <v>0</v>
          </cell>
          <cell r="ET40">
            <v>0</v>
          </cell>
          <cell r="EU40">
            <v>0</v>
          </cell>
          <cell r="EV40">
            <v>0</v>
          </cell>
          <cell r="EW40">
            <v>0</v>
          </cell>
        </row>
        <row r="41">
          <cell r="EC41" t="str">
            <v>District of Columbia</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row>
        <row r="42">
          <cell r="EC42" t="str">
            <v>Florida</v>
          </cell>
          <cell r="ED42">
            <v>0</v>
          </cell>
          <cell r="EE42">
            <v>0</v>
          </cell>
          <cell r="EF42">
            <v>1</v>
          </cell>
          <cell r="EG42">
            <v>100</v>
          </cell>
          <cell r="EH42">
            <v>1</v>
          </cell>
          <cell r="EI42">
            <v>60</v>
          </cell>
          <cell r="EJ42">
            <v>2</v>
          </cell>
          <cell r="EK42">
            <v>91</v>
          </cell>
          <cell r="EL42">
            <v>1</v>
          </cell>
          <cell r="EM42">
            <v>64</v>
          </cell>
          <cell r="EN42">
            <v>0</v>
          </cell>
          <cell r="EO42">
            <v>0</v>
          </cell>
          <cell r="EP42">
            <v>1</v>
          </cell>
          <cell r="EQ42">
            <v>60</v>
          </cell>
          <cell r="ER42">
            <v>1</v>
          </cell>
          <cell r="ES42">
            <v>100</v>
          </cell>
          <cell r="ET42">
            <v>0</v>
          </cell>
          <cell r="EU42">
            <v>0</v>
          </cell>
          <cell r="EV42">
            <v>0</v>
          </cell>
          <cell r="EW42">
            <v>0</v>
          </cell>
        </row>
        <row r="43">
          <cell r="EC43" t="str">
            <v>Georgia</v>
          </cell>
          <cell r="ED43">
            <v>0</v>
          </cell>
          <cell r="EE43">
            <v>0</v>
          </cell>
          <cell r="EF43">
            <v>0</v>
          </cell>
          <cell r="EG43">
            <v>0</v>
          </cell>
          <cell r="EH43">
            <v>2</v>
          </cell>
          <cell r="EI43">
            <v>160</v>
          </cell>
          <cell r="EJ43">
            <v>2</v>
          </cell>
          <cell r="EK43">
            <v>88</v>
          </cell>
          <cell r="EL43">
            <v>1</v>
          </cell>
          <cell r="EM43">
            <v>60</v>
          </cell>
          <cell r="EN43">
            <v>0</v>
          </cell>
          <cell r="EO43">
            <v>0</v>
          </cell>
          <cell r="EP43">
            <v>2</v>
          </cell>
          <cell r="EQ43">
            <v>160</v>
          </cell>
          <cell r="ER43">
            <v>0</v>
          </cell>
          <cell r="ES43">
            <v>0</v>
          </cell>
          <cell r="ET43">
            <v>0</v>
          </cell>
          <cell r="EU43">
            <v>0</v>
          </cell>
          <cell r="EV43">
            <v>0</v>
          </cell>
          <cell r="EW43">
            <v>0</v>
          </cell>
        </row>
        <row r="44">
          <cell r="EC44" t="str">
            <v>Hawaii</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row>
        <row r="45">
          <cell r="EC45" t="str">
            <v>Idaho</v>
          </cell>
          <cell r="ED45">
            <v>0</v>
          </cell>
          <cell r="EE45">
            <v>0</v>
          </cell>
          <cell r="EF45">
            <v>0</v>
          </cell>
          <cell r="EG45">
            <v>0</v>
          </cell>
          <cell r="EH45">
            <v>2</v>
          </cell>
          <cell r="EI45">
            <v>121</v>
          </cell>
          <cell r="EJ45">
            <v>1</v>
          </cell>
          <cell r="EK45">
            <v>39</v>
          </cell>
          <cell r="EL45">
            <v>1</v>
          </cell>
          <cell r="EM45">
            <v>50</v>
          </cell>
          <cell r="EN45">
            <v>0</v>
          </cell>
          <cell r="EO45">
            <v>0</v>
          </cell>
          <cell r="EP45">
            <v>1</v>
          </cell>
          <cell r="EQ45">
            <v>61</v>
          </cell>
          <cell r="ER45">
            <v>1</v>
          </cell>
          <cell r="ES45">
            <v>60</v>
          </cell>
          <cell r="ET45">
            <v>0</v>
          </cell>
          <cell r="EU45">
            <v>0</v>
          </cell>
          <cell r="EV45">
            <v>0</v>
          </cell>
          <cell r="EW45">
            <v>0</v>
          </cell>
        </row>
        <row r="46">
          <cell r="EC46" t="str">
            <v>Illinois</v>
          </cell>
          <cell r="ED46">
            <v>1</v>
          </cell>
          <cell r="EE46">
            <v>50</v>
          </cell>
          <cell r="EF46">
            <v>2</v>
          </cell>
          <cell r="EG46">
            <v>155</v>
          </cell>
          <cell r="EH46">
            <v>1</v>
          </cell>
          <cell r="EI46">
            <v>40</v>
          </cell>
          <cell r="EJ46">
            <v>3</v>
          </cell>
          <cell r="EK46">
            <v>162</v>
          </cell>
          <cell r="EL46">
            <v>2</v>
          </cell>
          <cell r="EM46">
            <v>89</v>
          </cell>
          <cell r="EN46">
            <v>3</v>
          </cell>
          <cell r="EO46">
            <v>145</v>
          </cell>
          <cell r="EP46">
            <v>1</v>
          </cell>
          <cell r="EQ46">
            <v>100</v>
          </cell>
          <cell r="ER46">
            <v>0</v>
          </cell>
          <cell r="ES46">
            <v>0</v>
          </cell>
          <cell r="ET46">
            <v>0</v>
          </cell>
          <cell r="EU46">
            <v>0</v>
          </cell>
          <cell r="EV46">
            <v>0</v>
          </cell>
          <cell r="EW46">
            <v>0</v>
          </cell>
        </row>
        <row r="47">
          <cell r="EC47" t="str">
            <v>Indiana</v>
          </cell>
          <cell r="ED47">
            <v>3</v>
          </cell>
          <cell r="EE47">
            <v>188</v>
          </cell>
          <cell r="EF47">
            <v>1</v>
          </cell>
          <cell r="EG47">
            <v>70</v>
          </cell>
          <cell r="EH47">
            <v>2</v>
          </cell>
          <cell r="EI47">
            <v>130</v>
          </cell>
          <cell r="EJ47">
            <v>5</v>
          </cell>
          <cell r="EK47">
            <v>221</v>
          </cell>
          <cell r="EL47">
            <v>1</v>
          </cell>
          <cell r="EM47">
            <v>50</v>
          </cell>
          <cell r="EN47">
            <v>2</v>
          </cell>
          <cell r="EO47">
            <v>120</v>
          </cell>
          <cell r="EP47">
            <v>1</v>
          </cell>
          <cell r="EQ47">
            <v>60</v>
          </cell>
          <cell r="ER47">
            <v>1</v>
          </cell>
          <cell r="ES47">
            <v>70</v>
          </cell>
          <cell r="ET47">
            <v>1</v>
          </cell>
          <cell r="EU47">
            <v>70</v>
          </cell>
          <cell r="EV47">
            <v>1</v>
          </cell>
          <cell r="EW47">
            <v>68</v>
          </cell>
        </row>
        <row r="48">
          <cell r="EC48" t="str">
            <v>Iowa</v>
          </cell>
          <cell r="ED48">
            <v>0</v>
          </cell>
          <cell r="EE48">
            <v>0</v>
          </cell>
          <cell r="EF48">
            <v>0</v>
          </cell>
          <cell r="EG48">
            <v>0</v>
          </cell>
          <cell r="EH48">
            <v>1</v>
          </cell>
          <cell r="EI48">
            <v>34</v>
          </cell>
          <cell r="EJ48">
            <v>6</v>
          </cell>
          <cell r="EK48">
            <v>280</v>
          </cell>
          <cell r="EL48">
            <v>2</v>
          </cell>
          <cell r="EM48">
            <v>89</v>
          </cell>
          <cell r="EN48">
            <v>0</v>
          </cell>
          <cell r="EO48">
            <v>0</v>
          </cell>
          <cell r="EP48">
            <v>1</v>
          </cell>
          <cell r="EQ48">
            <v>34</v>
          </cell>
          <cell r="ER48">
            <v>0</v>
          </cell>
          <cell r="ES48">
            <v>0</v>
          </cell>
          <cell r="ET48">
            <v>0</v>
          </cell>
          <cell r="EU48">
            <v>0</v>
          </cell>
          <cell r="EV48">
            <v>0</v>
          </cell>
          <cell r="EW48">
            <v>0</v>
          </cell>
        </row>
        <row r="49">
          <cell r="EC49" t="str">
            <v>Kansas</v>
          </cell>
          <cell r="ED49">
            <v>1</v>
          </cell>
          <cell r="EE49">
            <v>55</v>
          </cell>
          <cell r="EF49">
            <v>1</v>
          </cell>
          <cell r="EG49">
            <v>95</v>
          </cell>
          <cell r="EH49">
            <v>1</v>
          </cell>
          <cell r="EI49">
            <v>55</v>
          </cell>
          <cell r="EJ49">
            <v>3</v>
          </cell>
          <cell r="EK49">
            <v>149</v>
          </cell>
          <cell r="EL49">
            <v>3</v>
          </cell>
          <cell r="EM49">
            <v>136</v>
          </cell>
          <cell r="EN49">
            <v>1</v>
          </cell>
          <cell r="EO49">
            <v>55</v>
          </cell>
          <cell r="EP49">
            <v>2</v>
          </cell>
          <cell r="EQ49">
            <v>150</v>
          </cell>
          <cell r="ER49">
            <v>0</v>
          </cell>
          <cell r="ES49">
            <v>0</v>
          </cell>
          <cell r="ET49">
            <v>0</v>
          </cell>
          <cell r="EU49">
            <v>0</v>
          </cell>
          <cell r="EV49">
            <v>0</v>
          </cell>
          <cell r="EW49">
            <v>0</v>
          </cell>
        </row>
        <row r="50">
          <cell r="EC50" t="str">
            <v>Kentucky</v>
          </cell>
          <cell r="ED50">
            <v>1</v>
          </cell>
          <cell r="EE50">
            <v>40</v>
          </cell>
          <cell r="EF50">
            <v>0</v>
          </cell>
          <cell r="EG50">
            <v>0</v>
          </cell>
          <cell r="EH50">
            <v>0</v>
          </cell>
          <cell r="EI50">
            <v>0</v>
          </cell>
          <cell r="EJ50">
            <v>1</v>
          </cell>
          <cell r="EK50">
            <v>72</v>
          </cell>
          <cell r="EL50">
            <v>2</v>
          </cell>
          <cell r="EM50">
            <v>141</v>
          </cell>
          <cell r="EN50">
            <v>1</v>
          </cell>
          <cell r="EO50">
            <v>40</v>
          </cell>
          <cell r="EP50">
            <v>0</v>
          </cell>
          <cell r="EQ50">
            <v>0</v>
          </cell>
          <cell r="ER50">
            <v>0</v>
          </cell>
          <cell r="ES50">
            <v>0</v>
          </cell>
          <cell r="ET50">
            <v>0</v>
          </cell>
          <cell r="EU50">
            <v>0</v>
          </cell>
          <cell r="EV50">
            <v>0</v>
          </cell>
          <cell r="EW50">
            <v>0</v>
          </cell>
        </row>
        <row r="51">
          <cell r="EC51" t="str">
            <v>Louisiana</v>
          </cell>
          <cell r="ED51">
            <v>0</v>
          </cell>
          <cell r="EE51">
            <v>0</v>
          </cell>
          <cell r="EF51">
            <v>0</v>
          </cell>
          <cell r="EG51">
            <v>0</v>
          </cell>
          <cell r="EH51">
            <v>1</v>
          </cell>
          <cell r="EI51">
            <v>59</v>
          </cell>
          <cell r="EJ51">
            <v>2</v>
          </cell>
          <cell r="EK51">
            <v>113</v>
          </cell>
          <cell r="EL51">
            <v>1</v>
          </cell>
          <cell r="EM51">
            <v>60</v>
          </cell>
          <cell r="EN51">
            <v>0</v>
          </cell>
          <cell r="EO51">
            <v>0</v>
          </cell>
          <cell r="EP51">
            <v>1</v>
          </cell>
          <cell r="EQ51">
            <v>59</v>
          </cell>
          <cell r="ER51">
            <v>0</v>
          </cell>
          <cell r="ES51">
            <v>0</v>
          </cell>
          <cell r="ET51">
            <v>0</v>
          </cell>
          <cell r="EU51">
            <v>0</v>
          </cell>
          <cell r="EV51">
            <v>0</v>
          </cell>
          <cell r="EW51">
            <v>0</v>
          </cell>
        </row>
        <row r="52">
          <cell r="EC52" t="str">
            <v>Maine</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0</v>
          </cell>
          <cell r="EW52">
            <v>0</v>
          </cell>
        </row>
        <row r="53">
          <cell r="EC53" t="str">
            <v>Maryland</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row>
        <row r="54">
          <cell r="EC54" t="str">
            <v>Massachusetts</v>
          </cell>
          <cell r="ED54">
            <v>0</v>
          </cell>
          <cell r="EE54">
            <v>0</v>
          </cell>
          <cell r="EF54">
            <v>0</v>
          </cell>
          <cell r="EG54">
            <v>0</v>
          </cell>
          <cell r="EH54">
            <v>0</v>
          </cell>
          <cell r="EI54">
            <v>0</v>
          </cell>
          <cell r="EJ54">
            <v>0</v>
          </cell>
          <cell r="EK54">
            <v>0</v>
          </cell>
          <cell r="EL54">
            <v>0</v>
          </cell>
          <cell r="EM54">
            <v>0</v>
          </cell>
          <cell r="EN54">
            <v>0</v>
          </cell>
          <cell r="EO54">
            <v>0</v>
          </cell>
          <cell r="EP54">
            <v>0</v>
          </cell>
          <cell r="EQ54">
            <v>0</v>
          </cell>
          <cell r="ER54">
            <v>0</v>
          </cell>
          <cell r="ES54">
            <v>0</v>
          </cell>
          <cell r="ET54">
            <v>0</v>
          </cell>
          <cell r="EU54">
            <v>0</v>
          </cell>
          <cell r="EV54">
            <v>0</v>
          </cell>
          <cell r="EW54">
            <v>0</v>
          </cell>
        </row>
        <row r="55">
          <cell r="EC55" t="str">
            <v>Michigan</v>
          </cell>
          <cell r="ED55">
            <v>2</v>
          </cell>
          <cell r="EE55">
            <v>115</v>
          </cell>
          <cell r="EF55">
            <v>0</v>
          </cell>
          <cell r="EG55">
            <v>0</v>
          </cell>
          <cell r="EH55">
            <v>7</v>
          </cell>
          <cell r="EI55">
            <v>477</v>
          </cell>
          <cell r="EJ55">
            <v>2</v>
          </cell>
          <cell r="EK55">
            <v>91</v>
          </cell>
          <cell r="EL55">
            <v>0</v>
          </cell>
          <cell r="EM55">
            <v>0</v>
          </cell>
          <cell r="EN55">
            <v>2</v>
          </cell>
          <cell r="EO55">
            <v>115</v>
          </cell>
          <cell r="EP55">
            <v>6</v>
          </cell>
          <cell r="EQ55">
            <v>416</v>
          </cell>
          <cell r="ER55">
            <v>1</v>
          </cell>
          <cell r="ES55">
            <v>61</v>
          </cell>
          <cell r="ET55">
            <v>0</v>
          </cell>
          <cell r="EU55">
            <v>0</v>
          </cell>
          <cell r="EV55">
            <v>0</v>
          </cell>
          <cell r="EW55">
            <v>0</v>
          </cell>
        </row>
        <row r="56">
          <cell r="EC56" t="str">
            <v>Minnesota</v>
          </cell>
          <cell r="ED56">
            <v>0</v>
          </cell>
          <cell r="EE56">
            <v>0</v>
          </cell>
          <cell r="EF56">
            <v>0</v>
          </cell>
          <cell r="EG56">
            <v>0</v>
          </cell>
          <cell r="EH56">
            <v>0</v>
          </cell>
          <cell r="EI56">
            <v>0</v>
          </cell>
          <cell r="EJ56">
            <v>1</v>
          </cell>
          <cell r="EK56">
            <v>40</v>
          </cell>
          <cell r="EL56">
            <v>0</v>
          </cell>
          <cell r="EM56">
            <v>0</v>
          </cell>
          <cell r="EN56">
            <v>0</v>
          </cell>
          <cell r="EO56">
            <v>0</v>
          </cell>
          <cell r="EP56">
            <v>0</v>
          </cell>
          <cell r="EQ56">
            <v>0</v>
          </cell>
          <cell r="ER56">
            <v>0</v>
          </cell>
          <cell r="ES56">
            <v>0</v>
          </cell>
          <cell r="ET56">
            <v>0</v>
          </cell>
          <cell r="EU56">
            <v>0</v>
          </cell>
          <cell r="EV56">
            <v>0</v>
          </cell>
          <cell r="EW56">
            <v>0</v>
          </cell>
        </row>
        <row r="57">
          <cell r="EC57" t="str">
            <v>Mississippi</v>
          </cell>
          <cell r="ED57">
            <v>2</v>
          </cell>
          <cell r="EE57">
            <v>105</v>
          </cell>
          <cell r="EF57">
            <v>0</v>
          </cell>
          <cell r="EG57">
            <v>0</v>
          </cell>
          <cell r="EH57">
            <v>2</v>
          </cell>
          <cell r="EI57">
            <v>94</v>
          </cell>
          <cell r="EJ57">
            <v>1</v>
          </cell>
          <cell r="EK57">
            <v>48</v>
          </cell>
          <cell r="EL57">
            <v>0</v>
          </cell>
          <cell r="EM57">
            <v>0</v>
          </cell>
          <cell r="EN57">
            <v>0</v>
          </cell>
          <cell r="EO57">
            <v>0</v>
          </cell>
          <cell r="EP57">
            <v>2</v>
          </cell>
          <cell r="EQ57">
            <v>94</v>
          </cell>
          <cell r="ER57">
            <v>0</v>
          </cell>
          <cell r="ES57">
            <v>0</v>
          </cell>
          <cell r="ET57">
            <v>0</v>
          </cell>
          <cell r="EU57">
            <v>0</v>
          </cell>
          <cell r="EV57">
            <v>2</v>
          </cell>
          <cell r="EW57">
            <v>105</v>
          </cell>
        </row>
        <row r="58">
          <cell r="EC58" t="str">
            <v>Missouri</v>
          </cell>
          <cell r="ED58">
            <v>2</v>
          </cell>
          <cell r="EE58">
            <v>134</v>
          </cell>
          <cell r="EF58">
            <v>0</v>
          </cell>
          <cell r="EG58">
            <v>0</v>
          </cell>
          <cell r="EH58">
            <v>5</v>
          </cell>
          <cell r="EI58">
            <v>355</v>
          </cell>
          <cell r="EJ58">
            <v>4</v>
          </cell>
          <cell r="EK58">
            <v>291</v>
          </cell>
          <cell r="EL58">
            <v>5</v>
          </cell>
          <cell r="EM58">
            <v>273</v>
          </cell>
          <cell r="EN58">
            <v>2</v>
          </cell>
          <cell r="EO58">
            <v>134</v>
          </cell>
          <cell r="EP58">
            <v>5</v>
          </cell>
          <cell r="EQ58">
            <v>355</v>
          </cell>
          <cell r="ER58">
            <v>0</v>
          </cell>
          <cell r="ES58">
            <v>0</v>
          </cell>
          <cell r="ET58">
            <v>0</v>
          </cell>
          <cell r="EU58">
            <v>0</v>
          </cell>
          <cell r="EV58">
            <v>0</v>
          </cell>
          <cell r="EW58">
            <v>0</v>
          </cell>
        </row>
        <row r="59">
          <cell r="EC59" t="str">
            <v>Montana</v>
          </cell>
          <cell r="ED59">
            <v>0</v>
          </cell>
          <cell r="EE59">
            <v>0</v>
          </cell>
          <cell r="EF59">
            <v>1</v>
          </cell>
          <cell r="EG59">
            <v>30</v>
          </cell>
          <cell r="EH59">
            <v>2</v>
          </cell>
          <cell r="EI59">
            <v>94</v>
          </cell>
          <cell r="EJ59">
            <v>1</v>
          </cell>
          <cell r="EK59">
            <v>32</v>
          </cell>
          <cell r="EL59">
            <v>0</v>
          </cell>
          <cell r="EM59">
            <v>0</v>
          </cell>
          <cell r="EN59">
            <v>0</v>
          </cell>
          <cell r="EO59">
            <v>0</v>
          </cell>
          <cell r="EP59">
            <v>3</v>
          </cell>
          <cell r="EQ59">
            <v>124</v>
          </cell>
          <cell r="ER59">
            <v>0</v>
          </cell>
          <cell r="ES59">
            <v>0</v>
          </cell>
          <cell r="ET59">
            <v>0</v>
          </cell>
          <cell r="EU59">
            <v>0</v>
          </cell>
          <cell r="EV59">
            <v>0</v>
          </cell>
          <cell r="EW59">
            <v>0</v>
          </cell>
        </row>
        <row r="60">
          <cell r="EC60" t="str">
            <v>Nebraska</v>
          </cell>
          <cell r="ED60">
            <v>0</v>
          </cell>
          <cell r="EE60">
            <v>0</v>
          </cell>
          <cell r="EF60">
            <v>1</v>
          </cell>
          <cell r="EG60">
            <v>40</v>
          </cell>
          <cell r="EH60">
            <v>1</v>
          </cell>
          <cell r="EI60">
            <v>41</v>
          </cell>
          <cell r="EJ60">
            <v>1</v>
          </cell>
          <cell r="EK60">
            <v>39</v>
          </cell>
          <cell r="EL60">
            <v>2</v>
          </cell>
          <cell r="EM60">
            <v>76</v>
          </cell>
          <cell r="EN60">
            <v>0</v>
          </cell>
          <cell r="EO60">
            <v>0</v>
          </cell>
          <cell r="EP60">
            <v>2</v>
          </cell>
          <cell r="EQ60">
            <v>81</v>
          </cell>
          <cell r="ER60">
            <v>0</v>
          </cell>
          <cell r="ES60">
            <v>0</v>
          </cell>
          <cell r="ET60">
            <v>0</v>
          </cell>
          <cell r="EU60">
            <v>0</v>
          </cell>
          <cell r="EV60">
            <v>0</v>
          </cell>
          <cell r="EW60">
            <v>0</v>
          </cell>
        </row>
        <row r="61">
          <cell r="EC61" t="str">
            <v>Nevada</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0</v>
          </cell>
          <cell r="EW61">
            <v>0</v>
          </cell>
        </row>
        <row r="62">
          <cell r="EC62" t="str">
            <v>New Hampshire</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row>
        <row r="63">
          <cell r="EC63" t="str">
            <v>New Jersey</v>
          </cell>
          <cell r="ED63">
            <v>0</v>
          </cell>
          <cell r="EE63">
            <v>0</v>
          </cell>
          <cell r="EF63">
            <v>0</v>
          </cell>
          <cell r="EG63">
            <v>0</v>
          </cell>
          <cell r="EH63">
            <v>3</v>
          </cell>
          <cell r="EI63">
            <v>183</v>
          </cell>
          <cell r="EJ63">
            <v>0</v>
          </cell>
          <cell r="EK63">
            <v>0</v>
          </cell>
          <cell r="EL63">
            <v>0</v>
          </cell>
          <cell r="EM63">
            <v>0</v>
          </cell>
          <cell r="EN63">
            <v>0</v>
          </cell>
          <cell r="EO63">
            <v>0</v>
          </cell>
          <cell r="EP63">
            <v>3</v>
          </cell>
          <cell r="EQ63">
            <v>183</v>
          </cell>
          <cell r="ER63">
            <v>0</v>
          </cell>
          <cell r="ES63">
            <v>0</v>
          </cell>
          <cell r="ET63">
            <v>0</v>
          </cell>
          <cell r="EU63">
            <v>0</v>
          </cell>
          <cell r="EV63">
            <v>0</v>
          </cell>
          <cell r="EW63">
            <v>0</v>
          </cell>
        </row>
        <row r="64">
          <cell r="EC64" t="str">
            <v>New Mexico</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row>
        <row r="65">
          <cell r="EC65" t="str">
            <v>New York</v>
          </cell>
          <cell r="ED65">
            <v>0</v>
          </cell>
          <cell r="EE65">
            <v>0</v>
          </cell>
          <cell r="EF65">
            <v>0</v>
          </cell>
          <cell r="EG65">
            <v>0</v>
          </cell>
          <cell r="EH65">
            <v>1</v>
          </cell>
          <cell r="EI65">
            <v>70</v>
          </cell>
          <cell r="EJ65">
            <v>0</v>
          </cell>
          <cell r="EK65">
            <v>0</v>
          </cell>
          <cell r="EL65">
            <v>0</v>
          </cell>
          <cell r="EM65">
            <v>0</v>
          </cell>
          <cell r="EN65">
            <v>0</v>
          </cell>
          <cell r="EO65">
            <v>0</v>
          </cell>
          <cell r="EP65">
            <v>1</v>
          </cell>
          <cell r="EQ65">
            <v>70</v>
          </cell>
          <cell r="ER65">
            <v>0</v>
          </cell>
          <cell r="ES65">
            <v>0</v>
          </cell>
          <cell r="ET65">
            <v>0</v>
          </cell>
          <cell r="EU65">
            <v>0</v>
          </cell>
          <cell r="EV65">
            <v>0</v>
          </cell>
          <cell r="EW65">
            <v>0</v>
          </cell>
        </row>
        <row r="66">
          <cell r="EC66" t="str">
            <v>North Carolina</v>
          </cell>
          <cell r="ED66">
            <v>0</v>
          </cell>
          <cell r="EE66">
            <v>0</v>
          </cell>
          <cell r="EF66">
            <v>0</v>
          </cell>
          <cell r="EG66">
            <v>0</v>
          </cell>
          <cell r="EH66">
            <v>0</v>
          </cell>
          <cell r="EI66">
            <v>0</v>
          </cell>
          <cell r="EJ66">
            <v>2</v>
          </cell>
          <cell r="EK66">
            <v>133</v>
          </cell>
          <cell r="EL66">
            <v>2</v>
          </cell>
          <cell r="EM66">
            <v>125</v>
          </cell>
          <cell r="EN66">
            <v>0</v>
          </cell>
          <cell r="EO66">
            <v>0</v>
          </cell>
          <cell r="EP66">
            <v>0</v>
          </cell>
          <cell r="EQ66">
            <v>0</v>
          </cell>
          <cell r="ER66">
            <v>0</v>
          </cell>
          <cell r="ES66">
            <v>0</v>
          </cell>
          <cell r="ET66">
            <v>0</v>
          </cell>
          <cell r="EU66">
            <v>0</v>
          </cell>
          <cell r="EV66">
            <v>0</v>
          </cell>
          <cell r="EW66">
            <v>0</v>
          </cell>
        </row>
        <row r="67">
          <cell r="EC67" t="str">
            <v>North Dakota</v>
          </cell>
          <cell r="ED67">
            <v>1</v>
          </cell>
          <cell r="EE67">
            <v>30</v>
          </cell>
          <cell r="EF67">
            <v>0</v>
          </cell>
          <cell r="EG67">
            <v>0</v>
          </cell>
          <cell r="EH67">
            <v>1</v>
          </cell>
          <cell r="EI67">
            <v>40</v>
          </cell>
          <cell r="EJ67">
            <v>0</v>
          </cell>
          <cell r="EK67">
            <v>0</v>
          </cell>
          <cell r="EL67">
            <v>0</v>
          </cell>
          <cell r="EM67">
            <v>0</v>
          </cell>
          <cell r="EN67">
            <v>0</v>
          </cell>
          <cell r="EO67">
            <v>0</v>
          </cell>
          <cell r="EP67">
            <v>1</v>
          </cell>
          <cell r="EQ67">
            <v>40</v>
          </cell>
          <cell r="ER67">
            <v>0</v>
          </cell>
          <cell r="ES67">
            <v>0</v>
          </cell>
          <cell r="ET67">
            <v>0</v>
          </cell>
          <cell r="EU67">
            <v>0</v>
          </cell>
          <cell r="EV67">
            <v>1</v>
          </cell>
          <cell r="EW67">
            <v>30</v>
          </cell>
        </row>
        <row r="68">
          <cell r="EC68" t="str">
            <v>Ohio</v>
          </cell>
          <cell r="ED68">
            <v>1</v>
          </cell>
          <cell r="EE68">
            <v>83</v>
          </cell>
          <cell r="EF68">
            <v>0</v>
          </cell>
          <cell r="EG68">
            <v>0</v>
          </cell>
          <cell r="EH68">
            <v>1</v>
          </cell>
          <cell r="EI68">
            <v>75</v>
          </cell>
          <cell r="EJ68">
            <v>4</v>
          </cell>
          <cell r="EK68">
            <v>219</v>
          </cell>
          <cell r="EL68">
            <v>1</v>
          </cell>
          <cell r="EM68">
            <v>52</v>
          </cell>
          <cell r="EN68">
            <v>1</v>
          </cell>
          <cell r="EO68">
            <v>83</v>
          </cell>
          <cell r="EP68">
            <v>1</v>
          </cell>
          <cell r="EQ68">
            <v>75</v>
          </cell>
          <cell r="ER68">
            <v>0</v>
          </cell>
          <cell r="ES68">
            <v>0</v>
          </cell>
          <cell r="ET68">
            <v>0</v>
          </cell>
          <cell r="EU68">
            <v>0</v>
          </cell>
          <cell r="EV68">
            <v>0</v>
          </cell>
          <cell r="EW68">
            <v>0</v>
          </cell>
        </row>
        <row r="69">
          <cell r="EC69" t="str">
            <v>Oklahoma</v>
          </cell>
          <cell r="ED69">
            <v>1</v>
          </cell>
          <cell r="EE69">
            <v>75</v>
          </cell>
          <cell r="EF69">
            <v>0</v>
          </cell>
          <cell r="EG69">
            <v>0</v>
          </cell>
          <cell r="EH69">
            <v>2</v>
          </cell>
          <cell r="EI69">
            <v>130</v>
          </cell>
          <cell r="EJ69">
            <v>0</v>
          </cell>
          <cell r="EK69">
            <v>0</v>
          </cell>
          <cell r="EL69">
            <v>0</v>
          </cell>
          <cell r="EM69">
            <v>0</v>
          </cell>
          <cell r="EN69">
            <v>1</v>
          </cell>
          <cell r="EO69">
            <v>75</v>
          </cell>
          <cell r="EP69">
            <v>2</v>
          </cell>
          <cell r="EQ69">
            <v>130</v>
          </cell>
          <cell r="ER69">
            <v>0</v>
          </cell>
          <cell r="ES69">
            <v>0</v>
          </cell>
          <cell r="ET69">
            <v>0</v>
          </cell>
          <cell r="EU69">
            <v>0</v>
          </cell>
          <cell r="EV69">
            <v>0</v>
          </cell>
          <cell r="EW69">
            <v>0</v>
          </cell>
        </row>
        <row r="70">
          <cell r="EC70" t="str">
            <v>Oregon</v>
          </cell>
          <cell r="ED70">
            <v>0</v>
          </cell>
          <cell r="EE70">
            <v>0</v>
          </cell>
          <cell r="EF70">
            <v>0</v>
          </cell>
          <cell r="EG70">
            <v>0</v>
          </cell>
          <cell r="EH70">
            <v>0</v>
          </cell>
          <cell r="EI70">
            <v>0</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row>
        <row r="71">
          <cell r="EC71" t="str">
            <v>Pennsylvania</v>
          </cell>
          <cell r="ED71">
            <v>1</v>
          </cell>
          <cell r="EE71">
            <v>61</v>
          </cell>
          <cell r="EF71">
            <v>1</v>
          </cell>
          <cell r="EG71">
            <v>65</v>
          </cell>
          <cell r="EH71">
            <v>0</v>
          </cell>
          <cell r="EI71">
            <v>0</v>
          </cell>
          <cell r="EJ71">
            <v>2</v>
          </cell>
          <cell r="EK71">
            <v>101</v>
          </cell>
          <cell r="EL71">
            <v>1</v>
          </cell>
          <cell r="EM71">
            <v>50</v>
          </cell>
          <cell r="EN71">
            <v>1</v>
          </cell>
          <cell r="EO71">
            <v>61</v>
          </cell>
          <cell r="EP71">
            <v>1</v>
          </cell>
          <cell r="EQ71">
            <v>65</v>
          </cell>
          <cell r="ER71">
            <v>0</v>
          </cell>
          <cell r="ES71">
            <v>0</v>
          </cell>
          <cell r="ET71">
            <v>0</v>
          </cell>
          <cell r="EU71">
            <v>0</v>
          </cell>
          <cell r="EV71">
            <v>0</v>
          </cell>
          <cell r="EW71">
            <v>0</v>
          </cell>
        </row>
        <row r="72">
          <cell r="EC72" t="str">
            <v>Rhode Island</v>
          </cell>
          <cell r="ED72">
            <v>0</v>
          </cell>
          <cell r="EE72">
            <v>0</v>
          </cell>
          <cell r="EF72">
            <v>0</v>
          </cell>
          <cell r="EG72">
            <v>0</v>
          </cell>
          <cell r="EH72">
            <v>0</v>
          </cell>
          <cell r="EI72">
            <v>0</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row>
        <row r="73">
          <cell r="EC73" t="str">
            <v>South Carolina</v>
          </cell>
          <cell r="ED73">
            <v>0</v>
          </cell>
          <cell r="EE73">
            <v>0</v>
          </cell>
          <cell r="EF73">
            <v>0</v>
          </cell>
          <cell r="EG73">
            <v>0</v>
          </cell>
          <cell r="EH73">
            <v>0</v>
          </cell>
          <cell r="EI73">
            <v>0</v>
          </cell>
          <cell r="EJ73">
            <v>1</v>
          </cell>
          <cell r="EK73">
            <v>50</v>
          </cell>
          <cell r="EL73">
            <v>0</v>
          </cell>
          <cell r="EM73">
            <v>0</v>
          </cell>
          <cell r="EN73">
            <v>0</v>
          </cell>
          <cell r="EO73">
            <v>0</v>
          </cell>
          <cell r="EP73">
            <v>0</v>
          </cell>
          <cell r="EQ73">
            <v>0</v>
          </cell>
          <cell r="ER73">
            <v>0</v>
          </cell>
          <cell r="ES73">
            <v>0</v>
          </cell>
          <cell r="ET73">
            <v>0</v>
          </cell>
          <cell r="EU73">
            <v>0</v>
          </cell>
          <cell r="EV73">
            <v>0</v>
          </cell>
          <cell r="EW73">
            <v>0</v>
          </cell>
        </row>
        <row r="74">
          <cell r="EC74" t="str">
            <v>South Dakota</v>
          </cell>
          <cell r="ED74">
            <v>2</v>
          </cell>
          <cell r="EE74">
            <v>120</v>
          </cell>
          <cell r="EF74">
            <v>0</v>
          </cell>
          <cell r="EG74">
            <v>0</v>
          </cell>
          <cell r="EH74">
            <v>0</v>
          </cell>
          <cell r="EI74">
            <v>0</v>
          </cell>
          <cell r="EJ74">
            <v>1</v>
          </cell>
          <cell r="EK74">
            <v>32</v>
          </cell>
          <cell r="EL74">
            <v>1</v>
          </cell>
          <cell r="EM74">
            <v>56</v>
          </cell>
          <cell r="EN74">
            <v>2</v>
          </cell>
          <cell r="EO74">
            <v>120</v>
          </cell>
          <cell r="EP74">
            <v>0</v>
          </cell>
          <cell r="EQ74">
            <v>0</v>
          </cell>
          <cell r="ER74">
            <v>0</v>
          </cell>
          <cell r="ES74">
            <v>0</v>
          </cell>
          <cell r="ET74">
            <v>0</v>
          </cell>
          <cell r="EU74">
            <v>0</v>
          </cell>
          <cell r="EV74">
            <v>0</v>
          </cell>
          <cell r="EW74">
            <v>0</v>
          </cell>
        </row>
        <row r="75">
          <cell r="EC75" t="str">
            <v>Tennessee</v>
          </cell>
          <cell r="ED75">
            <v>2</v>
          </cell>
          <cell r="EE75">
            <v>101</v>
          </cell>
          <cell r="EF75">
            <v>0</v>
          </cell>
          <cell r="EG75">
            <v>0</v>
          </cell>
          <cell r="EH75">
            <v>0</v>
          </cell>
          <cell r="EI75">
            <v>0</v>
          </cell>
          <cell r="EJ75">
            <v>1</v>
          </cell>
          <cell r="EK75">
            <v>22</v>
          </cell>
          <cell r="EL75">
            <v>1</v>
          </cell>
          <cell r="EM75">
            <v>48</v>
          </cell>
          <cell r="EN75">
            <v>1</v>
          </cell>
          <cell r="EO75">
            <v>61</v>
          </cell>
          <cell r="EP75">
            <v>0</v>
          </cell>
          <cell r="EQ75">
            <v>0</v>
          </cell>
          <cell r="ER75">
            <v>0</v>
          </cell>
          <cell r="ES75">
            <v>0</v>
          </cell>
          <cell r="ET75">
            <v>0</v>
          </cell>
          <cell r="EU75">
            <v>0</v>
          </cell>
          <cell r="EV75">
            <v>1</v>
          </cell>
          <cell r="EW75">
            <v>40</v>
          </cell>
        </row>
        <row r="76">
          <cell r="EC76" t="str">
            <v>Texas</v>
          </cell>
          <cell r="ED76">
            <v>7</v>
          </cell>
          <cell r="EE76">
            <v>343</v>
          </cell>
          <cell r="EF76">
            <v>3</v>
          </cell>
          <cell r="EG76">
            <v>191</v>
          </cell>
          <cell r="EH76">
            <v>10</v>
          </cell>
          <cell r="EI76">
            <v>604</v>
          </cell>
          <cell r="EJ76">
            <v>11</v>
          </cell>
          <cell r="EK76">
            <v>528</v>
          </cell>
          <cell r="EL76">
            <v>5</v>
          </cell>
          <cell r="EM76">
            <v>246</v>
          </cell>
          <cell r="EN76">
            <v>8</v>
          </cell>
          <cell r="EO76">
            <v>433</v>
          </cell>
          <cell r="EP76">
            <v>10</v>
          </cell>
          <cell r="EQ76">
            <v>580</v>
          </cell>
          <cell r="ER76">
            <v>1</v>
          </cell>
          <cell r="ES76">
            <v>75</v>
          </cell>
          <cell r="ET76">
            <v>0</v>
          </cell>
          <cell r="EU76">
            <v>0</v>
          </cell>
          <cell r="EV76">
            <v>1</v>
          </cell>
          <cell r="EW76">
            <v>50</v>
          </cell>
        </row>
        <row r="77">
          <cell r="EC77" t="str">
            <v>Utah</v>
          </cell>
          <cell r="ED77">
            <v>1</v>
          </cell>
          <cell r="EE77">
            <v>64</v>
          </cell>
          <cell r="EF77">
            <v>0</v>
          </cell>
          <cell r="EG77">
            <v>0</v>
          </cell>
          <cell r="EH77">
            <v>0</v>
          </cell>
          <cell r="EI77">
            <v>0</v>
          </cell>
          <cell r="EJ77">
            <v>0</v>
          </cell>
          <cell r="EK77">
            <v>0</v>
          </cell>
          <cell r="EL77">
            <v>0</v>
          </cell>
          <cell r="EM77">
            <v>0</v>
          </cell>
          <cell r="EN77">
            <v>1</v>
          </cell>
          <cell r="EO77">
            <v>64</v>
          </cell>
          <cell r="EP77">
            <v>0</v>
          </cell>
          <cell r="EQ77">
            <v>0</v>
          </cell>
          <cell r="ER77">
            <v>0</v>
          </cell>
          <cell r="ES77">
            <v>0</v>
          </cell>
          <cell r="ET77">
            <v>0</v>
          </cell>
          <cell r="EU77">
            <v>0</v>
          </cell>
          <cell r="EV77">
            <v>0</v>
          </cell>
          <cell r="EW77">
            <v>0</v>
          </cell>
        </row>
        <row r="78">
          <cell r="EC78" t="str">
            <v>Vermont</v>
          </cell>
          <cell r="ED78">
            <v>0</v>
          </cell>
          <cell r="EE78">
            <v>0</v>
          </cell>
          <cell r="EF78">
            <v>0</v>
          </cell>
          <cell r="EG78">
            <v>0</v>
          </cell>
          <cell r="EH78">
            <v>0</v>
          </cell>
          <cell r="EI78">
            <v>0</v>
          </cell>
          <cell r="EJ78">
            <v>0</v>
          </cell>
          <cell r="EK78">
            <v>0</v>
          </cell>
          <cell r="EL78">
            <v>0</v>
          </cell>
          <cell r="EM78">
            <v>0</v>
          </cell>
          <cell r="EN78">
            <v>0</v>
          </cell>
          <cell r="EO78">
            <v>0</v>
          </cell>
          <cell r="EP78">
            <v>0</v>
          </cell>
          <cell r="EQ78">
            <v>0</v>
          </cell>
          <cell r="ER78">
            <v>0</v>
          </cell>
          <cell r="ES78">
            <v>0</v>
          </cell>
          <cell r="ET78">
            <v>0</v>
          </cell>
          <cell r="EU78">
            <v>0</v>
          </cell>
          <cell r="EV78">
            <v>0</v>
          </cell>
          <cell r="EW78">
            <v>0</v>
          </cell>
        </row>
        <row r="79">
          <cell r="EC79" t="str">
            <v>Virginia</v>
          </cell>
          <cell r="ED79">
            <v>0</v>
          </cell>
          <cell r="EE79">
            <v>0</v>
          </cell>
          <cell r="EF79">
            <v>0</v>
          </cell>
          <cell r="EG79">
            <v>0</v>
          </cell>
          <cell r="EH79">
            <v>0</v>
          </cell>
          <cell r="EI79">
            <v>0</v>
          </cell>
          <cell r="EJ79">
            <v>6</v>
          </cell>
          <cell r="EK79">
            <v>312</v>
          </cell>
          <cell r="EL79">
            <v>0</v>
          </cell>
          <cell r="EM79">
            <v>0</v>
          </cell>
          <cell r="EN79">
            <v>0</v>
          </cell>
          <cell r="EO79">
            <v>0</v>
          </cell>
          <cell r="EP79">
            <v>0</v>
          </cell>
          <cell r="EQ79">
            <v>0</v>
          </cell>
          <cell r="ER79">
            <v>0</v>
          </cell>
          <cell r="ES79">
            <v>0</v>
          </cell>
          <cell r="ET79">
            <v>0</v>
          </cell>
          <cell r="EU79">
            <v>0</v>
          </cell>
          <cell r="EV79">
            <v>0</v>
          </cell>
          <cell r="EW79">
            <v>0</v>
          </cell>
        </row>
        <row r="80">
          <cell r="EC80" t="str">
            <v>Washington</v>
          </cell>
          <cell r="ED80">
            <v>0</v>
          </cell>
          <cell r="EE80">
            <v>0</v>
          </cell>
          <cell r="EF80">
            <v>0</v>
          </cell>
          <cell r="EG80">
            <v>0</v>
          </cell>
          <cell r="EH80">
            <v>0</v>
          </cell>
          <cell r="EI80">
            <v>0</v>
          </cell>
          <cell r="EJ80">
            <v>0</v>
          </cell>
          <cell r="EK80">
            <v>0</v>
          </cell>
          <cell r="EL80">
            <v>0</v>
          </cell>
          <cell r="EM80">
            <v>0</v>
          </cell>
          <cell r="EN80">
            <v>0</v>
          </cell>
          <cell r="EO80">
            <v>0</v>
          </cell>
          <cell r="EP80">
            <v>0</v>
          </cell>
          <cell r="EQ80">
            <v>0</v>
          </cell>
          <cell r="ER80">
            <v>0</v>
          </cell>
          <cell r="ES80">
            <v>0</v>
          </cell>
          <cell r="ET80">
            <v>0</v>
          </cell>
          <cell r="EU80">
            <v>0</v>
          </cell>
          <cell r="EV80">
            <v>0</v>
          </cell>
          <cell r="EW80">
            <v>0</v>
          </cell>
        </row>
        <row r="81">
          <cell r="EC81" t="str">
            <v>West Virginia</v>
          </cell>
          <cell r="ED81">
            <v>0</v>
          </cell>
          <cell r="EE81">
            <v>0</v>
          </cell>
          <cell r="EF81">
            <v>0</v>
          </cell>
          <cell r="EG81">
            <v>0</v>
          </cell>
          <cell r="EH81">
            <v>0</v>
          </cell>
          <cell r="EI81">
            <v>0</v>
          </cell>
          <cell r="EJ81">
            <v>1</v>
          </cell>
          <cell r="EK81">
            <v>58</v>
          </cell>
          <cell r="EL81">
            <v>1</v>
          </cell>
          <cell r="EM81">
            <v>54</v>
          </cell>
          <cell r="EN81">
            <v>0</v>
          </cell>
          <cell r="EO81">
            <v>0</v>
          </cell>
          <cell r="EP81">
            <v>0</v>
          </cell>
          <cell r="EQ81">
            <v>0</v>
          </cell>
          <cell r="ER81">
            <v>0</v>
          </cell>
          <cell r="ES81">
            <v>0</v>
          </cell>
          <cell r="ET81">
            <v>0</v>
          </cell>
          <cell r="EU81">
            <v>0</v>
          </cell>
          <cell r="EV81">
            <v>0</v>
          </cell>
          <cell r="EW81">
            <v>0</v>
          </cell>
        </row>
        <row r="82">
          <cell r="EC82" t="str">
            <v>Wisconsin</v>
          </cell>
          <cell r="ED82">
            <v>0</v>
          </cell>
          <cell r="EE82">
            <v>0</v>
          </cell>
          <cell r="EF82">
            <v>0</v>
          </cell>
          <cell r="EG82">
            <v>0</v>
          </cell>
          <cell r="EH82">
            <v>0</v>
          </cell>
          <cell r="EI82">
            <v>0</v>
          </cell>
          <cell r="EJ82">
            <v>2</v>
          </cell>
          <cell r="EK82">
            <v>94</v>
          </cell>
          <cell r="EL82">
            <v>1</v>
          </cell>
          <cell r="EM82">
            <v>41</v>
          </cell>
          <cell r="EN82">
            <v>0</v>
          </cell>
          <cell r="EO82">
            <v>0</v>
          </cell>
          <cell r="EP82">
            <v>0</v>
          </cell>
          <cell r="EQ82">
            <v>0</v>
          </cell>
          <cell r="ER82">
            <v>0</v>
          </cell>
          <cell r="ES82">
            <v>0</v>
          </cell>
          <cell r="ET82">
            <v>0</v>
          </cell>
          <cell r="EU82">
            <v>0</v>
          </cell>
          <cell r="EV82">
            <v>0</v>
          </cell>
          <cell r="EW82">
            <v>0</v>
          </cell>
        </row>
        <row r="83">
          <cell r="EC83" t="str">
            <v>Wyoming</v>
          </cell>
          <cell r="ED83">
            <v>0</v>
          </cell>
          <cell r="EE83">
            <v>0</v>
          </cell>
          <cell r="EF83">
            <v>0</v>
          </cell>
          <cell r="EG83">
            <v>0</v>
          </cell>
          <cell r="EH83">
            <v>1</v>
          </cell>
          <cell r="EI83">
            <v>54</v>
          </cell>
          <cell r="EJ83">
            <v>0</v>
          </cell>
          <cell r="EK83">
            <v>0</v>
          </cell>
          <cell r="EL83">
            <v>0</v>
          </cell>
          <cell r="EM83">
            <v>0</v>
          </cell>
          <cell r="EN83">
            <v>0</v>
          </cell>
          <cell r="EO83">
            <v>0</v>
          </cell>
          <cell r="EP83">
            <v>1</v>
          </cell>
          <cell r="EQ83">
            <v>54</v>
          </cell>
          <cell r="ER83">
            <v>0</v>
          </cell>
          <cell r="ES83">
            <v>0</v>
          </cell>
          <cell r="ET83">
            <v>0</v>
          </cell>
          <cell r="EU83">
            <v>0</v>
          </cell>
          <cell r="EV83">
            <v>0</v>
          </cell>
          <cell r="EW83">
            <v>0</v>
          </cell>
        </row>
        <row r="97">
          <cell r="EC97" t="str">
            <v>Alabama</v>
          </cell>
          <cell r="ED97">
            <v>0</v>
          </cell>
          <cell r="EE97">
            <v>0</v>
          </cell>
          <cell r="EF97">
            <v>0</v>
          </cell>
          <cell r="EG97">
            <v>0</v>
          </cell>
          <cell r="EH97">
            <v>2</v>
          </cell>
          <cell r="EI97">
            <v>220</v>
          </cell>
          <cell r="EJ97">
            <v>0</v>
          </cell>
          <cell r="EK97">
            <v>0</v>
          </cell>
          <cell r="EL97">
            <v>1</v>
          </cell>
          <cell r="EM97">
            <v>84</v>
          </cell>
          <cell r="EN97">
            <v>0</v>
          </cell>
          <cell r="EO97">
            <v>0</v>
          </cell>
          <cell r="EP97">
            <v>1</v>
          </cell>
          <cell r="EQ97">
            <v>100</v>
          </cell>
          <cell r="ER97">
            <v>1</v>
          </cell>
          <cell r="ES97">
            <v>120</v>
          </cell>
          <cell r="ET97">
            <v>0</v>
          </cell>
          <cell r="EU97">
            <v>0</v>
          </cell>
          <cell r="EV97">
            <v>0</v>
          </cell>
          <cell r="EW97">
            <v>0</v>
          </cell>
        </row>
        <row r="98">
          <cell r="EC98" t="str">
            <v>Alaska</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row>
        <row r="99">
          <cell r="EC99" t="str">
            <v>Arizona</v>
          </cell>
          <cell r="ED99">
            <v>0</v>
          </cell>
          <cell r="EE99">
            <v>0</v>
          </cell>
          <cell r="EF99">
            <v>1</v>
          </cell>
          <cell r="EG99">
            <v>100</v>
          </cell>
          <cell r="EH99">
            <v>0</v>
          </cell>
          <cell r="EI99">
            <v>0</v>
          </cell>
          <cell r="EJ99">
            <v>0</v>
          </cell>
          <cell r="EK99">
            <v>0</v>
          </cell>
          <cell r="EL99">
            <v>0</v>
          </cell>
          <cell r="EM99">
            <v>0</v>
          </cell>
          <cell r="EN99">
            <v>0</v>
          </cell>
          <cell r="EO99">
            <v>0</v>
          </cell>
          <cell r="EP99">
            <v>1</v>
          </cell>
          <cell r="EQ99">
            <v>100</v>
          </cell>
          <cell r="ER99">
            <v>0</v>
          </cell>
          <cell r="ES99">
            <v>0</v>
          </cell>
          <cell r="ET99">
            <v>0</v>
          </cell>
          <cell r="EU99">
            <v>0</v>
          </cell>
          <cell r="EV99">
            <v>0</v>
          </cell>
          <cell r="EW99">
            <v>0</v>
          </cell>
        </row>
        <row r="100">
          <cell r="EC100" t="str">
            <v>Arkansas</v>
          </cell>
          <cell r="ED100">
            <v>0</v>
          </cell>
          <cell r="EE100">
            <v>0</v>
          </cell>
          <cell r="EF100">
            <v>0</v>
          </cell>
          <cell r="EG100">
            <v>0</v>
          </cell>
          <cell r="EH100">
            <v>1</v>
          </cell>
          <cell r="EI100">
            <v>120</v>
          </cell>
          <cell r="EJ100">
            <v>0</v>
          </cell>
          <cell r="EK100">
            <v>0</v>
          </cell>
          <cell r="EL100">
            <v>0</v>
          </cell>
          <cell r="EM100">
            <v>0</v>
          </cell>
          <cell r="EN100">
            <v>0</v>
          </cell>
          <cell r="EO100">
            <v>0</v>
          </cell>
          <cell r="EP100">
            <v>0</v>
          </cell>
          <cell r="EQ100">
            <v>0</v>
          </cell>
          <cell r="ER100">
            <v>0</v>
          </cell>
          <cell r="ES100">
            <v>0</v>
          </cell>
          <cell r="ET100">
            <v>1</v>
          </cell>
          <cell r="EU100">
            <v>120</v>
          </cell>
          <cell r="EV100">
            <v>0</v>
          </cell>
          <cell r="EW100">
            <v>0</v>
          </cell>
        </row>
        <row r="101">
          <cell r="EC101" t="str">
            <v>California</v>
          </cell>
          <cell r="ED101">
            <v>1</v>
          </cell>
          <cell r="EE101">
            <v>100</v>
          </cell>
          <cell r="EF101">
            <v>4</v>
          </cell>
          <cell r="EG101">
            <v>360</v>
          </cell>
          <cell r="EH101">
            <v>3</v>
          </cell>
          <cell r="EI101">
            <v>300</v>
          </cell>
          <cell r="EJ101">
            <v>0</v>
          </cell>
          <cell r="EK101">
            <v>0</v>
          </cell>
          <cell r="EL101">
            <v>0</v>
          </cell>
          <cell r="EM101">
            <v>0</v>
          </cell>
          <cell r="EN101">
            <v>2</v>
          </cell>
          <cell r="EO101">
            <v>180</v>
          </cell>
          <cell r="EP101">
            <v>5</v>
          </cell>
          <cell r="EQ101">
            <v>480</v>
          </cell>
          <cell r="ER101">
            <v>1</v>
          </cell>
          <cell r="ES101">
            <v>100</v>
          </cell>
          <cell r="ET101">
            <v>0</v>
          </cell>
          <cell r="EU101">
            <v>0</v>
          </cell>
          <cell r="EV101">
            <v>0</v>
          </cell>
          <cell r="EW101">
            <v>0</v>
          </cell>
        </row>
        <row r="102">
          <cell r="EC102" t="str">
            <v>Colorado</v>
          </cell>
          <cell r="ED102">
            <v>0</v>
          </cell>
          <cell r="EE102">
            <v>0</v>
          </cell>
          <cell r="EF102">
            <v>1</v>
          </cell>
          <cell r="EG102">
            <v>100</v>
          </cell>
          <cell r="EH102">
            <v>3</v>
          </cell>
          <cell r="EI102">
            <v>390</v>
          </cell>
          <cell r="EJ102">
            <v>0</v>
          </cell>
          <cell r="EK102">
            <v>0</v>
          </cell>
          <cell r="EL102">
            <v>0</v>
          </cell>
          <cell r="EM102">
            <v>0</v>
          </cell>
          <cell r="EN102">
            <v>0</v>
          </cell>
          <cell r="EO102">
            <v>0</v>
          </cell>
          <cell r="EP102">
            <v>2</v>
          </cell>
          <cell r="EQ102">
            <v>250</v>
          </cell>
          <cell r="ER102">
            <v>2</v>
          </cell>
          <cell r="ES102">
            <v>240</v>
          </cell>
          <cell r="ET102">
            <v>0</v>
          </cell>
          <cell r="EU102">
            <v>0</v>
          </cell>
          <cell r="EV102">
            <v>0</v>
          </cell>
          <cell r="EW102">
            <v>0</v>
          </cell>
        </row>
        <row r="103">
          <cell r="EC103" t="str">
            <v>Connecticut</v>
          </cell>
          <cell r="ED103">
            <v>0</v>
          </cell>
          <cell r="EE103">
            <v>0</v>
          </cell>
          <cell r="EF103">
            <v>0</v>
          </cell>
          <cell r="EG103">
            <v>0</v>
          </cell>
          <cell r="EH103">
            <v>0</v>
          </cell>
          <cell r="EI103">
            <v>0</v>
          </cell>
          <cell r="EJ103">
            <v>0</v>
          </cell>
          <cell r="EK103">
            <v>0</v>
          </cell>
          <cell r="EL103">
            <v>0</v>
          </cell>
          <cell r="EM103">
            <v>0</v>
          </cell>
          <cell r="EN103">
            <v>0</v>
          </cell>
          <cell r="EO103">
            <v>0</v>
          </cell>
          <cell r="EP103">
            <v>0</v>
          </cell>
          <cell r="EQ103">
            <v>0</v>
          </cell>
          <cell r="ER103">
            <v>0</v>
          </cell>
          <cell r="ES103">
            <v>0</v>
          </cell>
          <cell r="ET103">
            <v>0</v>
          </cell>
          <cell r="EU103">
            <v>0</v>
          </cell>
          <cell r="EV103">
            <v>0</v>
          </cell>
          <cell r="EW103">
            <v>0</v>
          </cell>
        </row>
        <row r="104">
          <cell r="EC104" t="str">
            <v>Delaware</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row>
        <row r="105">
          <cell r="EC105" t="str">
            <v>District of Columbia</v>
          </cell>
          <cell r="ED105">
            <v>0</v>
          </cell>
          <cell r="EE105">
            <v>0</v>
          </cell>
          <cell r="EF105">
            <v>0</v>
          </cell>
          <cell r="EG105">
            <v>0</v>
          </cell>
          <cell r="EH105">
            <v>1</v>
          </cell>
          <cell r="EI105">
            <v>130</v>
          </cell>
          <cell r="EJ105">
            <v>0</v>
          </cell>
          <cell r="EK105">
            <v>0</v>
          </cell>
          <cell r="EL105">
            <v>0</v>
          </cell>
          <cell r="EM105">
            <v>0</v>
          </cell>
          <cell r="EN105">
            <v>0</v>
          </cell>
          <cell r="EO105">
            <v>0</v>
          </cell>
          <cell r="EP105">
            <v>1</v>
          </cell>
          <cell r="EQ105">
            <v>130</v>
          </cell>
          <cell r="ER105">
            <v>0</v>
          </cell>
          <cell r="ES105">
            <v>0</v>
          </cell>
          <cell r="ET105">
            <v>0</v>
          </cell>
          <cell r="EU105">
            <v>0</v>
          </cell>
          <cell r="EV105">
            <v>0</v>
          </cell>
          <cell r="EW105">
            <v>0</v>
          </cell>
        </row>
        <row r="106">
          <cell r="EC106" t="str">
            <v>Florida</v>
          </cell>
          <cell r="ED106">
            <v>2</v>
          </cell>
          <cell r="EE106">
            <v>182</v>
          </cell>
          <cell r="EF106">
            <v>3</v>
          </cell>
          <cell r="EG106">
            <v>285</v>
          </cell>
          <cell r="EH106">
            <v>4</v>
          </cell>
          <cell r="EI106">
            <v>446</v>
          </cell>
          <cell r="EJ106">
            <v>3</v>
          </cell>
          <cell r="EK106">
            <v>255</v>
          </cell>
          <cell r="EL106">
            <v>1</v>
          </cell>
          <cell r="EM106">
            <v>102</v>
          </cell>
          <cell r="EN106">
            <v>2</v>
          </cell>
          <cell r="EO106">
            <v>182</v>
          </cell>
          <cell r="EP106">
            <v>6</v>
          </cell>
          <cell r="EQ106">
            <v>631</v>
          </cell>
          <cell r="ER106">
            <v>1</v>
          </cell>
          <cell r="ES106">
            <v>100</v>
          </cell>
          <cell r="ET106">
            <v>0</v>
          </cell>
          <cell r="EU106">
            <v>0</v>
          </cell>
          <cell r="EV106">
            <v>0</v>
          </cell>
          <cell r="EW106">
            <v>0</v>
          </cell>
        </row>
        <row r="107">
          <cell r="EC107" t="str">
            <v>Georgia</v>
          </cell>
          <cell r="ED107">
            <v>1</v>
          </cell>
          <cell r="EE107">
            <v>100</v>
          </cell>
          <cell r="EF107">
            <v>0</v>
          </cell>
          <cell r="EG107">
            <v>0</v>
          </cell>
          <cell r="EH107">
            <v>3</v>
          </cell>
          <cell r="EI107">
            <v>300</v>
          </cell>
          <cell r="EJ107">
            <v>2</v>
          </cell>
          <cell r="EK107">
            <v>185</v>
          </cell>
          <cell r="EL107">
            <v>3</v>
          </cell>
          <cell r="EM107">
            <v>268</v>
          </cell>
          <cell r="EN107">
            <v>1</v>
          </cell>
          <cell r="EO107">
            <v>100</v>
          </cell>
          <cell r="EP107">
            <v>3</v>
          </cell>
          <cell r="EQ107">
            <v>300</v>
          </cell>
          <cell r="ER107">
            <v>0</v>
          </cell>
          <cell r="ES107">
            <v>0</v>
          </cell>
          <cell r="ET107">
            <v>0</v>
          </cell>
          <cell r="EU107">
            <v>0</v>
          </cell>
          <cell r="EV107">
            <v>0</v>
          </cell>
          <cell r="EW107">
            <v>0</v>
          </cell>
        </row>
        <row r="108">
          <cell r="EC108" t="str">
            <v>Hawaii</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row>
        <row r="109">
          <cell r="EC109" t="str">
            <v>Idaho</v>
          </cell>
          <cell r="ED109">
            <v>0</v>
          </cell>
          <cell r="EE109">
            <v>0</v>
          </cell>
          <cell r="EF109">
            <v>0</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row>
        <row r="110">
          <cell r="EC110" t="str">
            <v>Illinois</v>
          </cell>
          <cell r="ED110">
            <v>1</v>
          </cell>
          <cell r="EE110">
            <v>100</v>
          </cell>
          <cell r="EF110">
            <v>3</v>
          </cell>
          <cell r="EG110">
            <v>299</v>
          </cell>
          <cell r="EH110">
            <v>3</v>
          </cell>
          <cell r="EI110">
            <v>300</v>
          </cell>
          <cell r="EJ110">
            <v>0</v>
          </cell>
          <cell r="EK110">
            <v>0</v>
          </cell>
          <cell r="EL110">
            <v>1</v>
          </cell>
          <cell r="EM110">
            <v>81</v>
          </cell>
          <cell r="EN110">
            <v>1</v>
          </cell>
          <cell r="EO110">
            <v>100</v>
          </cell>
          <cell r="EP110">
            <v>6</v>
          </cell>
          <cell r="EQ110">
            <v>599</v>
          </cell>
          <cell r="ER110">
            <v>0</v>
          </cell>
          <cell r="ES110">
            <v>0</v>
          </cell>
          <cell r="ET110">
            <v>0</v>
          </cell>
          <cell r="EU110">
            <v>0</v>
          </cell>
          <cell r="EV110">
            <v>0</v>
          </cell>
          <cell r="EW110">
            <v>0</v>
          </cell>
        </row>
        <row r="111">
          <cell r="EC111" t="str">
            <v>Indiana</v>
          </cell>
          <cell r="ED111">
            <v>0</v>
          </cell>
          <cell r="EE111">
            <v>0</v>
          </cell>
          <cell r="EF111">
            <v>2</v>
          </cell>
          <cell r="EG111">
            <v>200</v>
          </cell>
          <cell r="EH111">
            <v>3</v>
          </cell>
          <cell r="EI111">
            <v>300</v>
          </cell>
          <cell r="EJ111">
            <v>0</v>
          </cell>
          <cell r="EK111">
            <v>0</v>
          </cell>
          <cell r="EL111">
            <v>0</v>
          </cell>
          <cell r="EM111">
            <v>0</v>
          </cell>
          <cell r="EN111">
            <v>1</v>
          </cell>
          <cell r="EO111">
            <v>100</v>
          </cell>
          <cell r="EP111">
            <v>4</v>
          </cell>
          <cell r="EQ111">
            <v>400</v>
          </cell>
          <cell r="ER111">
            <v>0</v>
          </cell>
          <cell r="ES111">
            <v>0</v>
          </cell>
          <cell r="ET111">
            <v>0</v>
          </cell>
          <cell r="EU111">
            <v>0</v>
          </cell>
          <cell r="EV111">
            <v>0</v>
          </cell>
          <cell r="EW111">
            <v>0</v>
          </cell>
        </row>
        <row r="112">
          <cell r="EC112" t="str">
            <v>Iowa</v>
          </cell>
          <cell r="ED112">
            <v>0</v>
          </cell>
          <cell r="EE112">
            <v>0</v>
          </cell>
          <cell r="EF112">
            <v>0</v>
          </cell>
          <cell r="EG112">
            <v>0</v>
          </cell>
          <cell r="EH112">
            <v>1</v>
          </cell>
          <cell r="EI112">
            <v>101</v>
          </cell>
          <cell r="EJ112">
            <v>1</v>
          </cell>
          <cell r="EK112">
            <v>102</v>
          </cell>
          <cell r="EL112">
            <v>0</v>
          </cell>
          <cell r="EM112">
            <v>0</v>
          </cell>
          <cell r="EN112">
            <v>0</v>
          </cell>
          <cell r="EO112">
            <v>0</v>
          </cell>
          <cell r="EP112">
            <v>1</v>
          </cell>
          <cell r="EQ112">
            <v>101</v>
          </cell>
          <cell r="ER112">
            <v>0</v>
          </cell>
          <cell r="ES112">
            <v>0</v>
          </cell>
          <cell r="ET112">
            <v>0</v>
          </cell>
          <cell r="EU112">
            <v>0</v>
          </cell>
          <cell r="EV112">
            <v>0</v>
          </cell>
          <cell r="EW112">
            <v>0</v>
          </cell>
        </row>
        <row r="113">
          <cell r="EC113" t="str">
            <v>Kansas</v>
          </cell>
          <cell r="ED113">
            <v>0</v>
          </cell>
          <cell r="EE113">
            <v>0</v>
          </cell>
          <cell r="EF113">
            <v>0</v>
          </cell>
          <cell r="EG113">
            <v>0</v>
          </cell>
          <cell r="EH113">
            <v>0</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0</v>
          </cell>
          <cell r="EW113">
            <v>0</v>
          </cell>
        </row>
        <row r="114">
          <cell r="EC114" t="str">
            <v>Kentucky</v>
          </cell>
          <cell r="ED114">
            <v>0</v>
          </cell>
          <cell r="EE114">
            <v>0</v>
          </cell>
          <cell r="EF114">
            <v>1</v>
          </cell>
          <cell r="EG114">
            <v>140</v>
          </cell>
          <cell r="EH114">
            <v>3</v>
          </cell>
          <cell r="EI114">
            <v>340</v>
          </cell>
          <cell r="EJ114">
            <v>0</v>
          </cell>
          <cell r="EK114">
            <v>0</v>
          </cell>
          <cell r="EL114">
            <v>0</v>
          </cell>
          <cell r="EM114">
            <v>0</v>
          </cell>
          <cell r="EN114">
            <v>0</v>
          </cell>
          <cell r="EO114">
            <v>0</v>
          </cell>
          <cell r="EP114">
            <v>4</v>
          </cell>
          <cell r="EQ114">
            <v>480</v>
          </cell>
          <cell r="ER114">
            <v>0</v>
          </cell>
          <cell r="ES114">
            <v>0</v>
          </cell>
          <cell r="ET114">
            <v>0</v>
          </cell>
          <cell r="EU114">
            <v>0</v>
          </cell>
          <cell r="EV114">
            <v>0</v>
          </cell>
          <cell r="EW114">
            <v>0</v>
          </cell>
        </row>
        <row r="115">
          <cell r="EC115" t="str">
            <v>Louisiana</v>
          </cell>
          <cell r="ED115">
            <v>0</v>
          </cell>
          <cell r="EE115">
            <v>0</v>
          </cell>
          <cell r="EF115">
            <v>2</v>
          </cell>
          <cell r="EG115">
            <v>200</v>
          </cell>
          <cell r="EH115">
            <v>1</v>
          </cell>
          <cell r="EI115">
            <v>100</v>
          </cell>
          <cell r="EJ115">
            <v>1</v>
          </cell>
          <cell r="EK115">
            <v>82</v>
          </cell>
          <cell r="EL115">
            <v>1</v>
          </cell>
          <cell r="EM115">
            <v>102</v>
          </cell>
          <cell r="EN115">
            <v>0</v>
          </cell>
          <cell r="EO115">
            <v>0</v>
          </cell>
          <cell r="EP115">
            <v>2</v>
          </cell>
          <cell r="EQ115">
            <v>200</v>
          </cell>
          <cell r="ER115">
            <v>0</v>
          </cell>
          <cell r="ES115">
            <v>0</v>
          </cell>
          <cell r="ET115">
            <v>1</v>
          </cell>
          <cell r="EU115">
            <v>100</v>
          </cell>
          <cell r="EV115">
            <v>0</v>
          </cell>
          <cell r="EW115">
            <v>0</v>
          </cell>
        </row>
        <row r="116">
          <cell r="EC116" t="str">
            <v>Maine</v>
          </cell>
          <cell r="ED116">
            <v>0</v>
          </cell>
          <cell r="EE116">
            <v>0</v>
          </cell>
          <cell r="EF116">
            <v>0</v>
          </cell>
          <cell r="EG116">
            <v>0</v>
          </cell>
          <cell r="EH116">
            <v>0</v>
          </cell>
          <cell r="EI116">
            <v>0</v>
          </cell>
          <cell r="EJ116">
            <v>0</v>
          </cell>
          <cell r="EK116">
            <v>0</v>
          </cell>
          <cell r="EL116">
            <v>0</v>
          </cell>
          <cell r="EM116">
            <v>0</v>
          </cell>
          <cell r="EN116">
            <v>0</v>
          </cell>
          <cell r="EO116">
            <v>0</v>
          </cell>
          <cell r="EP116">
            <v>0</v>
          </cell>
          <cell r="EQ116">
            <v>0</v>
          </cell>
          <cell r="ER116">
            <v>0</v>
          </cell>
          <cell r="ES116">
            <v>0</v>
          </cell>
          <cell r="ET116">
            <v>0</v>
          </cell>
          <cell r="EU116">
            <v>0</v>
          </cell>
          <cell r="EV116">
            <v>0</v>
          </cell>
          <cell r="EW116">
            <v>0</v>
          </cell>
        </row>
        <row r="117">
          <cell r="EC117" t="str">
            <v>Maryland</v>
          </cell>
          <cell r="ED117">
            <v>2</v>
          </cell>
          <cell r="EE117">
            <v>223</v>
          </cell>
          <cell r="EF117">
            <v>1</v>
          </cell>
          <cell r="EG117">
            <v>100</v>
          </cell>
          <cell r="EH117">
            <v>3</v>
          </cell>
          <cell r="EI117">
            <v>300</v>
          </cell>
          <cell r="EJ117">
            <v>0</v>
          </cell>
          <cell r="EK117">
            <v>0</v>
          </cell>
          <cell r="EL117">
            <v>0</v>
          </cell>
          <cell r="EM117">
            <v>0</v>
          </cell>
          <cell r="EN117">
            <v>1</v>
          </cell>
          <cell r="EO117">
            <v>110</v>
          </cell>
          <cell r="EP117">
            <v>3</v>
          </cell>
          <cell r="EQ117">
            <v>300</v>
          </cell>
          <cell r="ER117">
            <v>2</v>
          </cell>
          <cell r="ES117">
            <v>213</v>
          </cell>
          <cell r="ET117">
            <v>0</v>
          </cell>
          <cell r="EU117">
            <v>0</v>
          </cell>
          <cell r="EV117">
            <v>0</v>
          </cell>
          <cell r="EW117">
            <v>0</v>
          </cell>
        </row>
        <row r="118">
          <cell r="EC118" t="str">
            <v>Massachusetts</v>
          </cell>
          <cell r="ED118">
            <v>0</v>
          </cell>
          <cell r="EE118">
            <v>0</v>
          </cell>
          <cell r="EF118">
            <v>0</v>
          </cell>
          <cell r="EG118">
            <v>0</v>
          </cell>
          <cell r="EH118">
            <v>0</v>
          </cell>
          <cell r="EI118">
            <v>0</v>
          </cell>
          <cell r="EJ118">
            <v>0</v>
          </cell>
          <cell r="EK118">
            <v>0</v>
          </cell>
          <cell r="EL118">
            <v>0</v>
          </cell>
          <cell r="EM118">
            <v>0</v>
          </cell>
          <cell r="EN118">
            <v>0</v>
          </cell>
          <cell r="EO118">
            <v>0</v>
          </cell>
          <cell r="EP118">
            <v>0</v>
          </cell>
          <cell r="EQ118">
            <v>0</v>
          </cell>
          <cell r="ER118">
            <v>0</v>
          </cell>
          <cell r="ES118">
            <v>0</v>
          </cell>
          <cell r="ET118">
            <v>0</v>
          </cell>
          <cell r="EU118">
            <v>0</v>
          </cell>
          <cell r="EV118">
            <v>0</v>
          </cell>
          <cell r="EW118">
            <v>0</v>
          </cell>
        </row>
        <row r="119">
          <cell r="EC119" t="str">
            <v>Michigan</v>
          </cell>
          <cell r="ED119">
            <v>0</v>
          </cell>
          <cell r="EE119">
            <v>0</v>
          </cell>
          <cell r="EF119">
            <v>1</v>
          </cell>
          <cell r="EG119">
            <v>100</v>
          </cell>
          <cell r="EH119">
            <v>0</v>
          </cell>
          <cell r="EI119">
            <v>0</v>
          </cell>
          <cell r="EJ119">
            <v>1</v>
          </cell>
          <cell r="EK119">
            <v>82</v>
          </cell>
          <cell r="EL119">
            <v>0</v>
          </cell>
          <cell r="EM119">
            <v>0</v>
          </cell>
          <cell r="EN119">
            <v>0</v>
          </cell>
          <cell r="EO119">
            <v>0</v>
          </cell>
          <cell r="EP119">
            <v>0</v>
          </cell>
          <cell r="EQ119">
            <v>0</v>
          </cell>
          <cell r="ER119">
            <v>1</v>
          </cell>
          <cell r="ES119">
            <v>100</v>
          </cell>
          <cell r="ET119">
            <v>0</v>
          </cell>
          <cell r="EU119">
            <v>0</v>
          </cell>
          <cell r="EV119">
            <v>0</v>
          </cell>
          <cell r="EW119">
            <v>0</v>
          </cell>
        </row>
        <row r="120">
          <cell r="EC120" t="str">
            <v>Minnesota</v>
          </cell>
          <cell r="ED120">
            <v>0</v>
          </cell>
          <cell r="EE120">
            <v>0</v>
          </cell>
          <cell r="EF120">
            <v>1</v>
          </cell>
          <cell r="EG120">
            <v>101</v>
          </cell>
          <cell r="EH120">
            <v>2</v>
          </cell>
          <cell r="EI120">
            <v>212</v>
          </cell>
          <cell r="EJ120">
            <v>1</v>
          </cell>
          <cell r="EK120">
            <v>84</v>
          </cell>
          <cell r="EL120">
            <v>0</v>
          </cell>
          <cell r="EM120">
            <v>0</v>
          </cell>
          <cell r="EN120">
            <v>0</v>
          </cell>
          <cell r="EO120">
            <v>0</v>
          </cell>
          <cell r="EP120">
            <v>2</v>
          </cell>
          <cell r="EQ120">
            <v>207</v>
          </cell>
          <cell r="ER120">
            <v>0</v>
          </cell>
          <cell r="ES120">
            <v>0</v>
          </cell>
          <cell r="ET120">
            <v>1</v>
          </cell>
          <cell r="EU120">
            <v>106</v>
          </cell>
          <cell r="EV120">
            <v>0</v>
          </cell>
          <cell r="EW120">
            <v>0</v>
          </cell>
        </row>
        <row r="121">
          <cell r="EC121" t="str">
            <v>Mississippi</v>
          </cell>
          <cell r="ED121">
            <v>0</v>
          </cell>
          <cell r="EE121">
            <v>0</v>
          </cell>
          <cell r="EF121">
            <v>0</v>
          </cell>
          <cell r="EG121">
            <v>0</v>
          </cell>
          <cell r="EH121">
            <v>1</v>
          </cell>
          <cell r="EI121">
            <v>100</v>
          </cell>
          <cell r="EJ121">
            <v>0</v>
          </cell>
          <cell r="EK121">
            <v>0</v>
          </cell>
          <cell r="EL121">
            <v>0</v>
          </cell>
          <cell r="EM121">
            <v>0</v>
          </cell>
          <cell r="EN121">
            <v>0</v>
          </cell>
          <cell r="EO121">
            <v>0</v>
          </cell>
          <cell r="EP121">
            <v>1</v>
          </cell>
          <cell r="EQ121">
            <v>100</v>
          </cell>
          <cell r="ER121">
            <v>0</v>
          </cell>
          <cell r="ES121">
            <v>0</v>
          </cell>
          <cell r="ET121">
            <v>0</v>
          </cell>
          <cell r="EU121">
            <v>0</v>
          </cell>
          <cell r="EV121">
            <v>0</v>
          </cell>
          <cell r="EW121">
            <v>0</v>
          </cell>
        </row>
        <row r="122">
          <cell r="EC122" t="str">
            <v>Missouri</v>
          </cell>
          <cell r="ED122">
            <v>1</v>
          </cell>
          <cell r="EE122">
            <v>81</v>
          </cell>
          <cell r="EF122">
            <v>0</v>
          </cell>
          <cell r="EG122">
            <v>0</v>
          </cell>
          <cell r="EH122">
            <v>2</v>
          </cell>
          <cell r="EI122">
            <v>200</v>
          </cell>
          <cell r="EJ122">
            <v>0</v>
          </cell>
          <cell r="EK122">
            <v>0</v>
          </cell>
          <cell r="EL122">
            <v>0</v>
          </cell>
          <cell r="EM122">
            <v>0</v>
          </cell>
          <cell r="EN122">
            <v>0</v>
          </cell>
          <cell r="EO122">
            <v>0</v>
          </cell>
          <cell r="EP122">
            <v>2</v>
          </cell>
          <cell r="EQ122">
            <v>200</v>
          </cell>
          <cell r="ER122">
            <v>0</v>
          </cell>
          <cell r="ES122">
            <v>0</v>
          </cell>
          <cell r="ET122">
            <v>0</v>
          </cell>
          <cell r="EU122">
            <v>0</v>
          </cell>
          <cell r="EV122">
            <v>1</v>
          </cell>
          <cell r="EW122">
            <v>81</v>
          </cell>
        </row>
        <row r="123">
          <cell r="EC123" t="str">
            <v>Montana</v>
          </cell>
          <cell r="ED123">
            <v>0</v>
          </cell>
          <cell r="EE123">
            <v>0</v>
          </cell>
          <cell r="EF123">
            <v>0</v>
          </cell>
          <cell r="EG123">
            <v>0</v>
          </cell>
          <cell r="EH123">
            <v>2</v>
          </cell>
          <cell r="EI123">
            <v>204</v>
          </cell>
          <cell r="EJ123">
            <v>1</v>
          </cell>
          <cell r="EK123">
            <v>86</v>
          </cell>
          <cell r="EL123">
            <v>0</v>
          </cell>
          <cell r="EM123">
            <v>0</v>
          </cell>
          <cell r="EN123">
            <v>0</v>
          </cell>
          <cell r="EO123">
            <v>0</v>
          </cell>
          <cell r="EP123">
            <v>2</v>
          </cell>
          <cell r="EQ123">
            <v>204</v>
          </cell>
          <cell r="ER123">
            <v>0</v>
          </cell>
          <cell r="ES123">
            <v>0</v>
          </cell>
          <cell r="ET123">
            <v>0</v>
          </cell>
          <cell r="EU123">
            <v>0</v>
          </cell>
          <cell r="EV123">
            <v>0</v>
          </cell>
          <cell r="EW123">
            <v>0</v>
          </cell>
        </row>
        <row r="124">
          <cell r="EC124" t="str">
            <v>Nebraska</v>
          </cell>
          <cell r="ED124">
            <v>0</v>
          </cell>
          <cell r="EE124">
            <v>0</v>
          </cell>
          <cell r="EF124">
            <v>0</v>
          </cell>
          <cell r="EG124">
            <v>0</v>
          </cell>
          <cell r="EH124">
            <v>0</v>
          </cell>
          <cell r="EI124">
            <v>0</v>
          </cell>
          <cell r="EJ124">
            <v>1</v>
          </cell>
          <cell r="EK124">
            <v>102</v>
          </cell>
          <cell r="EL124">
            <v>0</v>
          </cell>
          <cell r="EM124">
            <v>0</v>
          </cell>
          <cell r="EN124">
            <v>0</v>
          </cell>
          <cell r="EO124">
            <v>0</v>
          </cell>
          <cell r="EP124">
            <v>0</v>
          </cell>
          <cell r="EQ124">
            <v>0</v>
          </cell>
          <cell r="ER124">
            <v>0</v>
          </cell>
          <cell r="ES124">
            <v>0</v>
          </cell>
          <cell r="ET124">
            <v>0</v>
          </cell>
          <cell r="EU124">
            <v>0</v>
          </cell>
          <cell r="EV124">
            <v>0</v>
          </cell>
          <cell r="EW124">
            <v>0</v>
          </cell>
        </row>
        <row r="125">
          <cell r="EC125" t="str">
            <v>Nevada</v>
          </cell>
          <cell r="ED125">
            <v>0</v>
          </cell>
          <cell r="EE125">
            <v>0</v>
          </cell>
          <cell r="EF125">
            <v>0</v>
          </cell>
          <cell r="EG125">
            <v>0</v>
          </cell>
          <cell r="EH125">
            <v>1</v>
          </cell>
          <cell r="EI125">
            <v>100</v>
          </cell>
          <cell r="EJ125">
            <v>0</v>
          </cell>
          <cell r="EK125">
            <v>0</v>
          </cell>
          <cell r="EL125">
            <v>0</v>
          </cell>
          <cell r="EM125">
            <v>0</v>
          </cell>
          <cell r="EN125">
            <v>0</v>
          </cell>
          <cell r="EO125">
            <v>0</v>
          </cell>
          <cell r="EP125">
            <v>1</v>
          </cell>
          <cell r="EQ125">
            <v>100</v>
          </cell>
          <cell r="ER125">
            <v>0</v>
          </cell>
          <cell r="ES125">
            <v>0</v>
          </cell>
          <cell r="ET125">
            <v>0</v>
          </cell>
          <cell r="EU125">
            <v>0</v>
          </cell>
          <cell r="EV125">
            <v>0</v>
          </cell>
          <cell r="EW125">
            <v>0</v>
          </cell>
        </row>
        <row r="126">
          <cell r="EC126" t="str">
            <v>New Hampshire</v>
          </cell>
          <cell r="ED126">
            <v>0</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row>
        <row r="127">
          <cell r="EC127" t="str">
            <v>New Jersey</v>
          </cell>
          <cell r="ED127">
            <v>1</v>
          </cell>
          <cell r="EE127">
            <v>100</v>
          </cell>
          <cell r="EF127">
            <v>3</v>
          </cell>
          <cell r="EG127">
            <v>292</v>
          </cell>
          <cell r="EH127">
            <v>4</v>
          </cell>
          <cell r="EI127">
            <v>490</v>
          </cell>
          <cell r="EJ127">
            <v>0</v>
          </cell>
          <cell r="EK127">
            <v>0</v>
          </cell>
          <cell r="EL127">
            <v>0</v>
          </cell>
          <cell r="EM127">
            <v>0</v>
          </cell>
          <cell r="EN127">
            <v>3</v>
          </cell>
          <cell r="EO127">
            <v>292</v>
          </cell>
          <cell r="EP127">
            <v>5</v>
          </cell>
          <cell r="EQ127">
            <v>590</v>
          </cell>
          <cell r="ER127">
            <v>0</v>
          </cell>
          <cell r="ES127">
            <v>0</v>
          </cell>
          <cell r="ET127">
            <v>0</v>
          </cell>
          <cell r="EU127">
            <v>0</v>
          </cell>
          <cell r="EV127">
            <v>0</v>
          </cell>
          <cell r="EW127">
            <v>0</v>
          </cell>
        </row>
        <row r="128">
          <cell r="EC128" t="str">
            <v>New Mexico</v>
          </cell>
          <cell r="ED128">
            <v>0</v>
          </cell>
          <cell r="EE128">
            <v>0</v>
          </cell>
          <cell r="EF128">
            <v>0</v>
          </cell>
          <cell r="EG128">
            <v>0</v>
          </cell>
          <cell r="EH128">
            <v>1</v>
          </cell>
          <cell r="EI128">
            <v>100</v>
          </cell>
          <cell r="EJ128">
            <v>0</v>
          </cell>
          <cell r="EK128">
            <v>0</v>
          </cell>
          <cell r="EL128">
            <v>0</v>
          </cell>
          <cell r="EM128">
            <v>0</v>
          </cell>
          <cell r="EN128">
            <v>0</v>
          </cell>
          <cell r="EO128">
            <v>0</v>
          </cell>
          <cell r="EP128">
            <v>0</v>
          </cell>
          <cell r="EQ128">
            <v>0</v>
          </cell>
          <cell r="ER128">
            <v>1</v>
          </cell>
          <cell r="ES128">
            <v>100</v>
          </cell>
          <cell r="ET128">
            <v>0</v>
          </cell>
          <cell r="EU128">
            <v>0</v>
          </cell>
          <cell r="EV128">
            <v>0</v>
          </cell>
          <cell r="EW128">
            <v>0</v>
          </cell>
        </row>
        <row r="129">
          <cell r="EC129" t="str">
            <v>New York</v>
          </cell>
          <cell r="ED129">
            <v>0</v>
          </cell>
          <cell r="EE129">
            <v>0</v>
          </cell>
          <cell r="EF129">
            <v>1</v>
          </cell>
          <cell r="EG129">
            <v>100</v>
          </cell>
          <cell r="EH129">
            <v>0</v>
          </cell>
          <cell r="EI129">
            <v>0</v>
          </cell>
          <cell r="EJ129">
            <v>0</v>
          </cell>
          <cell r="EK129">
            <v>0</v>
          </cell>
          <cell r="EL129">
            <v>1</v>
          </cell>
          <cell r="EM129">
            <v>130</v>
          </cell>
          <cell r="EN129">
            <v>1</v>
          </cell>
          <cell r="EO129">
            <v>100</v>
          </cell>
          <cell r="EP129">
            <v>0</v>
          </cell>
          <cell r="EQ129">
            <v>0</v>
          </cell>
          <cell r="ER129">
            <v>0</v>
          </cell>
          <cell r="ES129">
            <v>0</v>
          </cell>
          <cell r="ET129">
            <v>0</v>
          </cell>
          <cell r="EU129">
            <v>0</v>
          </cell>
          <cell r="EV129">
            <v>0</v>
          </cell>
          <cell r="EW129">
            <v>0</v>
          </cell>
        </row>
        <row r="130">
          <cell r="EC130" t="str">
            <v>North Carolina</v>
          </cell>
          <cell r="ED130">
            <v>3</v>
          </cell>
          <cell r="EE130">
            <v>300</v>
          </cell>
          <cell r="EF130">
            <v>2</v>
          </cell>
          <cell r="EG130">
            <v>200</v>
          </cell>
          <cell r="EH130">
            <v>5</v>
          </cell>
          <cell r="EI130">
            <v>561</v>
          </cell>
          <cell r="EJ130">
            <v>4</v>
          </cell>
          <cell r="EK130">
            <v>386</v>
          </cell>
          <cell r="EL130">
            <v>3</v>
          </cell>
          <cell r="EM130">
            <v>296</v>
          </cell>
          <cell r="EN130">
            <v>2</v>
          </cell>
          <cell r="EO130">
            <v>200</v>
          </cell>
          <cell r="EP130">
            <v>6</v>
          </cell>
          <cell r="EQ130">
            <v>621</v>
          </cell>
          <cell r="ER130">
            <v>1</v>
          </cell>
          <cell r="ES130">
            <v>140</v>
          </cell>
          <cell r="ET130">
            <v>0</v>
          </cell>
          <cell r="EU130">
            <v>0</v>
          </cell>
          <cell r="EV130">
            <v>1</v>
          </cell>
          <cell r="EW130">
            <v>100</v>
          </cell>
        </row>
        <row r="131">
          <cell r="EC131" t="str">
            <v>North Dakota</v>
          </cell>
          <cell r="ED131">
            <v>0</v>
          </cell>
          <cell r="EE131">
            <v>0</v>
          </cell>
          <cell r="EF131">
            <v>0</v>
          </cell>
          <cell r="EG131">
            <v>0</v>
          </cell>
          <cell r="EH131">
            <v>0</v>
          </cell>
          <cell r="EI131">
            <v>0</v>
          </cell>
          <cell r="EJ131">
            <v>1</v>
          </cell>
          <cell r="EK131">
            <v>84</v>
          </cell>
          <cell r="EL131">
            <v>0</v>
          </cell>
          <cell r="EM131">
            <v>0</v>
          </cell>
          <cell r="EN131">
            <v>0</v>
          </cell>
          <cell r="EO131">
            <v>0</v>
          </cell>
          <cell r="EP131">
            <v>0</v>
          </cell>
          <cell r="EQ131">
            <v>0</v>
          </cell>
          <cell r="ER131">
            <v>0</v>
          </cell>
          <cell r="ES131">
            <v>0</v>
          </cell>
          <cell r="ET131">
            <v>0</v>
          </cell>
          <cell r="EU131">
            <v>0</v>
          </cell>
          <cell r="EV131">
            <v>0</v>
          </cell>
          <cell r="EW131">
            <v>0</v>
          </cell>
        </row>
        <row r="132">
          <cell r="EC132" t="str">
            <v>Ohio</v>
          </cell>
          <cell r="ED132">
            <v>0</v>
          </cell>
          <cell r="EE132">
            <v>0</v>
          </cell>
          <cell r="EF132">
            <v>1</v>
          </cell>
          <cell r="EG132">
            <v>106</v>
          </cell>
          <cell r="EH132">
            <v>0</v>
          </cell>
          <cell r="EI132">
            <v>0</v>
          </cell>
          <cell r="EJ132">
            <v>1</v>
          </cell>
          <cell r="EK132">
            <v>100</v>
          </cell>
          <cell r="EL132">
            <v>2</v>
          </cell>
          <cell r="EM132">
            <v>170</v>
          </cell>
          <cell r="EN132">
            <v>0</v>
          </cell>
          <cell r="EO132">
            <v>0</v>
          </cell>
          <cell r="EP132">
            <v>1</v>
          </cell>
          <cell r="EQ132">
            <v>106</v>
          </cell>
          <cell r="ER132">
            <v>0</v>
          </cell>
          <cell r="ES132">
            <v>0</v>
          </cell>
          <cell r="ET132">
            <v>0</v>
          </cell>
          <cell r="EU132">
            <v>0</v>
          </cell>
          <cell r="EV132">
            <v>0</v>
          </cell>
          <cell r="EW132">
            <v>0</v>
          </cell>
        </row>
        <row r="133">
          <cell r="EC133" t="str">
            <v>Oklahoma</v>
          </cell>
          <cell r="ED133">
            <v>0</v>
          </cell>
          <cell r="EE133">
            <v>0</v>
          </cell>
          <cell r="EF133">
            <v>1</v>
          </cell>
          <cell r="EG133">
            <v>100</v>
          </cell>
          <cell r="EH133">
            <v>1</v>
          </cell>
          <cell r="EI133">
            <v>100</v>
          </cell>
          <cell r="EJ133">
            <v>0</v>
          </cell>
          <cell r="EK133">
            <v>0</v>
          </cell>
          <cell r="EL133">
            <v>0</v>
          </cell>
          <cell r="EM133">
            <v>0</v>
          </cell>
          <cell r="EN133">
            <v>1</v>
          </cell>
          <cell r="EO133">
            <v>100</v>
          </cell>
          <cell r="EP133">
            <v>1</v>
          </cell>
          <cell r="EQ133">
            <v>100</v>
          </cell>
          <cell r="ER133">
            <v>0</v>
          </cell>
          <cell r="ES133">
            <v>0</v>
          </cell>
          <cell r="ET133">
            <v>0</v>
          </cell>
          <cell r="EU133">
            <v>0</v>
          </cell>
          <cell r="EV133">
            <v>0</v>
          </cell>
          <cell r="EW133">
            <v>0</v>
          </cell>
        </row>
        <row r="134">
          <cell r="EC134" t="str">
            <v>Oregon</v>
          </cell>
          <cell r="ED134">
            <v>1</v>
          </cell>
          <cell r="EE134">
            <v>80</v>
          </cell>
          <cell r="EF134">
            <v>1</v>
          </cell>
          <cell r="EG134">
            <v>100</v>
          </cell>
          <cell r="EH134">
            <v>0</v>
          </cell>
          <cell r="EI134">
            <v>0</v>
          </cell>
          <cell r="EJ134">
            <v>0</v>
          </cell>
          <cell r="EK134">
            <v>0</v>
          </cell>
          <cell r="EL134">
            <v>0</v>
          </cell>
          <cell r="EM134">
            <v>0</v>
          </cell>
          <cell r="EN134">
            <v>0</v>
          </cell>
          <cell r="EO134">
            <v>0</v>
          </cell>
          <cell r="EP134">
            <v>1</v>
          </cell>
          <cell r="EQ134">
            <v>100</v>
          </cell>
          <cell r="ER134">
            <v>0</v>
          </cell>
          <cell r="ES134">
            <v>0</v>
          </cell>
          <cell r="ET134">
            <v>0</v>
          </cell>
          <cell r="EU134">
            <v>0</v>
          </cell>
          <cell r="EV134">
            <v>1</v>
          </cell>
          <cell r="EW134">
            <v>80</v>
          </cell>
        </row>
        <row r="135">
          <cell r="EC135" t="str">
            <v>Pennsylvania</v>
          </cell>
          <cell r="ED135">
            <v>1</v>
          </cell>
          <cell r="EE135">
            <v>103</v>
          </cell>
          <cell r="EF135">
            <v>0</v>
          </cell>
          <cell r="EG135">
            <v>0</v>
          </cell>
          <cell r="EH135">
            <v>1</v>
          </cell>
          <cell r="EI135">
            <v>140</v>
          </cell>
          <cell r="EJ135">
            <v>0</v>
          </cell>
          <cell r="EK135">
            <v>0</v>
          </cell>
          <cell r="EL135">
            <v>1</v>
          </cell>
          <cell r="EM135">
            <v>80</v>
          </cell>
          <cell r="EN135">
            <v>1</v>
          </cell>
          <cell r="EO135">
            <v>103</v>
          </cell>
          <cell r="EP135">
            <v>1</v>
          </cell>
          <cell r="EQ135">
            <v>140</v>
          </cell>
          <cell r="ER135">
            <v>0</v>
          </cell>
          <cell r="ES135">
            <v>0</v>
          </cell>
          <cell r="ET135">
            <v>0</v>
          </cell>
          <cell r="EU135">
            <v>0</v>
          </cell>
          <cell r="EV135">
            <v>0</v>
          </cell>
          <cell r="EW135">
            <v>0</v>
          </cell>
        </row>
        <row r="136">
          <cell r="EC136" t="str">
            <v>Rhode Island</v>
          </cell>
          <cell r="ED136">
            <v>0</v>
          </cell>
          <cell r="EE136">
            <v>0</v>
          </cell>
          <cell r="EF136">
            <v>0</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row>
        <row r="137">
          <cell r="EC137" t="str">
            <v>South Carolina</v>
          </cell>
          <cell r="ED137">
            <v>0</v>
          </cell>
          <cell r="EE137">
            <v>0</v>
          </cell>
          <cell r="EF137">
            <v>1</v>
          </cell>
          <cell r="EG137">
            <v>100</v>
          </cell>
          <cell r="EH137">
            <v>2</v>
          </cell>
          <cell r="EI137">
            <v>184</v>
          </cell>
          <cell r="EJ137">
            <v>2</v>
          </cell>
          <cell r="EK137">
            <v>192</v>
          </cell>
          <cell r="EL137">
            <v>1</v>
          </cell>
          <cell r="EM137">
            <v>100</v>
          </cell>
          <cell r="EN137">
            <v>1</v>
          </cell>
          <cell r="EO137">
            <v>100</v>
          </cell>
          <cell r="EP137">
            <v>2</v>
          </cell>
          <cell r="EQ137">
            <v>184</v>
          </cell>
          <cell r="ER137">
            <v>0</v>
          </cell>
          <cell r="ES137">
            <v>0</v>
          </cell>
          <cell r="ET137">
            <v>0</v>
          </cell>
          <cell r="EU137">
            <v>0</v>
          </cell>
          <cell r="EV137">
            <v>0</v>
          </cell>
          <cell r="EW137">
            <v>0</v>
          </cell>
        </row>
        <row r="138">
          <cell r="EC138" t="str">
            <v>South Dakota</v>
          </cell>
          <cell r="ED138">
            <v>0</v>
          </cell>
          <cell r="EE138">
            <v>0</v>
          </cell>
          <cell r="EF138">
            <v>0</v>
          </cell>
          <cell r="EG138">
            <v>0</v>
          </cell>
          <cell r="EH138">
            <v>1</v>
          </cell>
          <cell r="EI138">
            <v>101</v>
          </cell>
          <cell r="EJ138">
            <v>0</v>
          </cell>
          <cell r="EK138">
            <v>0</v>
          </cell>
          <cell r="EL138">
            <v>0</v>
          </cell>
          <cell r="EM138">
            <v>0</v>
          </cell>
          <cell r="EN138">
            <v>0</v>
          </cell>
          <cell r="EO138">
            <v>0</v>
          </cell>
          <cell r="EP138">
            <v>1</v>
          </cell>
          <cell r="EQ138">
            <v>101</v>
          </cell>
          <cell r="ER138">
            <v>0</v>
          </cell>
          <cell r="ES138">
            <v>0</v>
          </cell>
          <cell r="ET138">
            <v>0</v>
          </cell>
          <cell r="EU138">
            <v>0</v>
          </cell>
          <cell r="EV138">
            <v>0</v>
          </cell>
          <cell r="EW138">
            <v>0</v>
          </cell>
        </row>
        <row r="139">
          <cell r="EC139" t="str">
            <v>Tennessee</v>
          </cell>
          <cell r="ED139">
            <v>0</v>
          </cell>
          <cell r="EE139">
            <v>0</v>
          </cell>
          <cell r="EF139">
            <v>1</v>
          </cell>
          <cell r="EG139">
            <v>100</v>
          </cell>
          <cell r="EH139">
            <v>1</v>
          </cell>
          <cell r="EI139">
            <v>100</v>
          </cell>
          <cell r="EJ139">
            <v>1</v>
          </cell>
          <cell r="EK139">
            <v>100</v>
          </cell>
          <cell r="EL139">
            <v>0</v>
          </cell>
          <cell r="EM139">
            <v>0</v>
          </cell>
          <cell r="EN139">
            <v>1</v>
          </cell>
          <cell r="EO139">
            <v>100</v>
          </cell>
          <cell r="EP139">
            <v>1</v>
          </cell>
          <cell r="EQ139">
            <v>100</v>
          </cell>
          <cell r="ER139">
            <v>0</v>
          </cell>
          <cell r="ES139">
            <v>0</v>
          </cell>
          <cell r="ET139">
            <v>0</v>
          </cell>
          <cell r="EU139">
            <v>0</v>
          </cell>
          <cell r="EV139">
            <v>0</v>
          </cell>
          <cell r="EW139">
            <v>0</v>
          </cell>
        </row>
        <row r="140">
          <cell r="EC140" t="str">
            <v>Texas</v>
          </cell>
          <cell r="ED140">
            <v>3</v>
          </cell>
          <cell r="EE140">
            <v>288</v>
          </cell>
          <cell r="EF140">
            <v>2</v>
          </cell>
          <cell r="EG140">
            <v>200</v>
          </cell>
          <cell r="EH140">
            <v>11</v>
          </cell>
          <cell r="EI140">
            <v>1108</v>
          </cell>
          <cell r="EJ140">
            <v>3</v>
          </cell>
          <cell r="EK140">
            <v>283</v>
          </cell>
          <cell r="EL140">
            <v>2</v>
          </cell>
          <cell r="EM140">
            <v>172</v>
          </cell>
          <cell r="EN140">
            <v>2</v>
          </cell>
          <cell r="EO140">
            <v>187</v>
          </cell>
          <cell r="EP140">
            <v>12</v>
          </cell>
          <cell r="EQ140">
            <v>1208</v>
          </cell>
          <cell r="ER140">
            <v>0</v>
          </cell>
          <cell r="ES140">
            <v>0</v>
          </cell>
          <cell r="ET140">
            <v>1</v>
          </cell>
          <cell r="EU140">
            <v>100</v>
          </cell>
          <cell r="EV140">
            <v>1</v>
          </cell>
          <cell r="EW140">
            <v>101</v>
          </cell>
        </row>
        <row r="141">
          <cell r="EC141" t="str">
            <v>Utah</v>
          </cell>
          <cell r="ED141">
            <v>0</v>
          </cell>
          <cell r="EE141">
            <v>0</v>
          </cell>
          <cell r="EF141">
            <v>0</v>
          </cell>
          <cell r="EG141">
            <v>0</v>
          </cell>
          <cell r="EH141">
            <v>1</v>
          </cell>
          <cell r="EI141">
            <v>200</v>
          </cell>
          <cell r="EJ141">
            <v>0</v>
          </cell>
          <cell r="EK141">
            <v>0</v>
          </cell>
          <cell r="EL141">
            <v>0</v>
          </cell>
          <cell r="EM141">
            <v>0</v>
          </cell>
          <cell r="EN141">
            <v>0</v>
          </cell>
          <cell r="EO141">
            <v>0</v>
          </cell>
          <cell r="EP141">
            <v>0</v>
          </cell>
          <cell r="EQ141">
            <v>0</v>
          </cell>
          <cell r="ER141">
            <v>1</v>
          </cell>
          <cell r="ES141">
            <v>200</v>
          </cell>
          <cell r="ET141">
            <v>0</v>
          </cell>
          <cell r="EU141">
            <v>0</v>
          </cell>
          <cell r="EV141">
            <v>0</v>
          </cell>
          <cell r="EW141">
            <v>0</v>
          </cell>
        </row>
        <row r="142">
          <cell r="EC142" t="str">
            <v>Vermont</v>
          </cell>
          <cell r="ED142">
            <v>0</v>
          </cell>
          <cell r="EE142">
            <v>0</v>
          </cell>
          <cell r="EF142">
            <v>0</v>
          </cell>
          <cell r="EG142">
            <v>0</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row>
        <row r="143">
          <cell r="EC143" t="str">
            <v>Virginia</v>
          </cell>
          <cell r="ED143">
            <v>3</v>
          </cell>
          <cell r="EE143">
            <v>307</v>
          </cell>
          <cell r="EF143">
            <v>0</v>
          </cell>
          <cell r="EG143">
            <v>0</v>
          </cell>
          <cell r="EH143">
            <v>4</v>
          </cell>
          <cell r="EI143">
            <v>400</v>
          </cell>
          <cell r="EJ143">
            <v>0</v>
          </cell>
          <cell r="EK143">
            <v>0</v>
          </cell>
          <cell r="EL143">
            <v>0</v>
          </cell>
          <cell r="EM143">
            <v>0</v>
          </cell>
          <cell r="EN143">
            <v>2</v>
          </cell>
          <cell r="EO143">
            <v>214</v>
          </cell>
          <cell r="EP143">
            <v>4</v>
          </cell>
          <cell r="EQ143">
            <v>400</v>
          </cell>
          <cell r="ER143">
            <v>0</v>
          </cell>
          <cell r="ES143">
            <v>0</v>
          </cell>
          <cell r="ET143">
            <v>0</v>
          </cell>
          <cell r="EU143">
            <v>0</v>
          </cell>
          <cell r="EV143">
            <v>1</v>
          </cell>
          <cell r="EW143">
            <v>93</v>
          </cell>
        </row>
        <row r="144">
          <cell r="EC144" t="str">
            <v>Washington</v>
          </cell>
          <cell r="ED144">
            <v>0</v>
          </cell>
          <cell r="EE144">
            <v>0</v>
          </cell>
          <cell r="EF144">
            <v>0</v>
          </cell>
          <cell r="EG144">
            <v>0</v>
          </cell>
          <cell r="EH144">
            <v>1</v>
          </cell>
          <cell r="EI144">
            <v>159</v>
          </cell>
          <cell r="EJ144">
            <v>0</v>
          </cell>
          <cell r="EK144">
            <v>0</v>
          </cell>
          <cell r="EL144">
            <v>0</v>
          </cell>
          <cell r="EM144">
            <v>0</v>
          </cell>
          <cell r="EN144">
            <v>0</v>
          </cell>
          <cell r="EO144">
            <v>0</v>
          </cell>
          <cell r="EP144">
            <v>0</v>
          </cell>
          <cell r="EQ144">
            <v>0</v>
          </cell>
          <cell r="ER144">
            <v>1</v>
          </cell>
          <cell r="ES144">
            <v>159</v>
          </cell>
          <cell r="ET144">
            <v>0</v>
          </cell>
          <cell r="EU144">
            <v>0</v>
          </cell>
          <cell r="EV144">
            <v>0</v>
          </cell>
          <cell r="EW144">
            <v>0</v>
          </cell>
        </row>
        <row r="145">
          <cell r="EC145" t="str">
            <v>West Virginia</v>
          </cell>
          <cell r="ED145">
            <v>0</v>
          </cell>
          <cell r="EE145">
            <v>0</v>
          </cell>
          <cell r="EF145">
            <v>0</v>
          </cell>
          <cell r="EG145">
            <v>0</v>
          </cell>
          <cell r="EH145">
            <v>0</v>
          </cell>
          <cell r="EI145">
            <v>0</v>
          </cell>
          <cell r="EJ145">
            <v>0</v>
          </cell>
          <cell r="EK145">
            <v>0</v>
          </cell>
          <cell r="EL145">
            <v>0</v>
          </cell>
          <cell r="EM145">
            <v>0</v>
          </cell>
          <cell r="EN145">
            <v>0</v>
          </cell>
          <cell r="EO145">
            <v>0</v>
          </cell>
          <cell r="EP145">
            <v>0</v>
          </cell>
          <cell r="EQ145">
            <v>0</v>
          </cell>
          <cell r="ER145">
            <v>0</v>
          </cell>
          <cell r="ES145">
            <v>0</v>
          </cell>
          <cell r="ET145">
            <v>0</v>
          </cell>
          <cell r="EU145">
            <v>0</v>
          </cell>
          <cell r="EV145">
            <v>0</v>
          </cell>
          <cell r="EW145">
            <v>0</v>
          </cell>
        </row>
        <row r="146">
          <cell r="EC146" t="str">
            <v>Wisconsin</v>
          </cell>
          <cell r="ED146">
            <v>1</v>
          </cell>
          <cell r="EE146">
            <v>100</v>
          </cell>
          <cell r="EF146">
            <v>0</v>
          </cell>
          <cell r="EG146">
            <v>0</v>
          </cell>
          <cell r="EH146">
            <v>1</v>
          </cell>
          <cell r="EI146">
            <v>100</v>
          </cell>
          <cell r="EJ146">
            <v>0</v>
          </cell>
          <cell r="EK146">
            <v>0</v>
          </cell>
          <cell r="EL146">
            <v>0</v>
          </cell>
          <cell r="EM146">
            <v>0</v>
          </cell>
          <cell r="EN146">
            <v>1</v>
          </cell>
          <cell r="EO146">
            <v>100</v>
          </cell>
          <cell r="EP146">
            <v>1</v>
          </cell>
          <cell r="EQ146">
            <v>100</v>
          </cell>
          <cell r="ER146">
            <v>0</v>
          </cell>
          <cell r="ES146">
            <v>0</v>
          </cell>
          <cell r="ET146">
            <v>0</v>
          </cell>
          <cell r="EU146">
            <v>0</v>
          </cell>
          <cell r="EV146">
            <v>0</v>
          </cell>
          <cell r="EW146">
            <v>0</v>
          </cell>
        </row>
        <row r="147">
          <cell r="EC147" t="str">
            <v>Wyoming</v>
          </cell>
          <cell r="ED147">
            <v>0</v>
          </cell>
          <cell r="EE147">
            <v>0</v>
          </cell>
          <cell r="EF147">
            <v>1</v>
          </cell>
          <cell r="EG147">
            <v>80</v>
          </cell>
          <cell r="EH147">
            <v>0</v>
          </cell>
          <cell r="EI147">
            <v>0</v>
          </cell>
          <cell r="EJ147">
            <v>0</v>
          </cell>
          <cell r="EK147">
            <v>0</v>
          </cell>
          <cell r="EL147">
            <v>0</v>
          </cell>
          <cell r="EM147">
            <v>0</v>
          </cell>
          <cell r="EN147">
            <v>0</v>
          </cell>
          <cell r="EO147">
            <v>0</v>
          </cell>
          <cell r="EP147">
            <v>1</v>
          </cell>
          <cell r="EQ147">
            <v>80</v>
          </cell>
          <cell r="ER147">
            <v>0</v>
          </cell>
          <cell r="ES147">
            <v>0</v>
          </cell>
          <cell r="ET147">
            <v>0</v>
          </cell>
          <cell r="EU147">
            <v>0</v>
          </cell>
          <cell r="EV147">
            <v>0</v>
          </cell>
          <cell r="EW147">
            <v>0</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ktLookups"/>
      <sheetName val=" Mkt OpStats Rank"/>
      <sheetName val="Mkt Op Stats Compare"/>
      <sheetName val="Bostonp1"/>
      <sheetName val="Bostonp2"/>
      <sheetName val="census %"/>
      <sheetName val="pipeline %"/>
      <sheetName val="Comp Set"/>
      <sheetName val="Cyard by State"/>
      <sheetName val="Cyard by MSA"/>
      <sheetName val="Marriott Totals"/>
      <sheetName val="Marriott by MSA"/>
      <sheetName val="Top Cos"/>
    </sheetNames>
    <sheetDataSet>
      <sheetData sheetId="0" refreshError="1">
        <row r="4">
          <cell r="A4" t="str">
            <v>Anaheim, CA</v>
          </cell>
          <cell r="B4">
            <v>346</v>
          </cell>
          <cell r="C4">
            <v>46598</v>
          </cell>
          <cell r="D4">
            <v>12</v>
          </cell>
          <cell r="E4">
            <v>3177</v>
          </cell>
          <cell r="F4">
            <v>8</v>
          </cell>
          <cell r="G4">
            <v>2714</v>
          </cell>
          <cell r="H4">
            <v>20</v>
          </cell>
          <cell r="I4">
            <v>5891</v>
          </cell>
          <cell r="J4">
            <v>9</v>
          </cell>
          <cell r="K4">
            <v>1869</v>
          </cell>
          <cell r="L4">
            <v>29</v>
          </cell>
          <cell r="M4">
            <v>7760</v>
          </cell>
        </row>
        <row r="5">
          <cell r="A5" t="str">
            <v>Atlanta, GA</v>
          </cell>
          <cell r="B5">
            <v>614</v>
          </cell>
          <cell r="C5">
            <v>82957</v>
          </cell>
          <cell r="D5">
            <v>19</v>
          </cell>
          <cell r="E5">
            <v>1661</v>
          </cell>
          <cell r="F5">
            <v>12</v>
          </cell>
          <cell r="G5">
            <v>1106</v>
          </cell>
          <cell r="H5">
            <v>31</v>
          </cell>
          <cell r="I5">
            <v>2767</v>
          </cell>
          <cell r="J5">
            <v>43</v>
          </cell>
          <cell r="K5">
            <v>6374</v>
          </cell>
          <cell r="L5">
            <v>74</v>
          </cell>
          <cell r="M5">
            <v>9141</v>
          </cell>
        </row>
        <row r="6">
          <cell r="A6" t="str">
            <v>Boston, MA</v>
          </cell>
          <cell r="B6">
            <v>260</v>
          </cell>
          <cell r="C6">
            <v>42115</v>
          </cell>
          <cell r="D6">
            <v>16</v>
          </cell>
          <cell r="E6">
            <v>2491</v>
          </cell>
          <cell r="F6">
            <v>18</v>
          </cell>
          <cell r="G6">
            <v>4341</v>
          </cell>
          <cell r="H6">
            <v>34</v>
          </cell>
          <cell r="I6">
            <v>6832</v>
          </cell>
          <cell r="J6">
            <v>24</v>
          </cell>
          <cell r="K6">
            <v>4191</v>
          </cell>
          <cell r="L6">
            <v>58</v>
          </cell>
          <cell r="M6">
            <v>11023</v>
          </cell>
        </row>
        <row r="7">
          <cell r="A7" t="str">
            <v>Chicago, IL</v>
          </cell>
          <cell r="B7">
            <v>458</v>
          </cell>
          <cell r="C7">
            <v>81220</v>
          </cell>
          <cell r="D7">
            <v>21</v>
          </cell>
          <cell r="E7">
            <v>3902</v>
          </cell>
          <cell r="F7">
            <v>16</v>
          </cell>
          <cell r="G7">
            <v>3876</v>
          </cell>
          <cell r="H7">
            <v>37</v>
          </cell>
          <cell r="I7">
            <v>7778</v>
          </cell>
          <cell r="J7">
            <v>25</v>
          </cell>
          <cell r="K7">
            <v>4411</v>
          </cell>
          <cell r="L7">
            <v>62</v>
          </cell>
          <cell r="M7">
            <v>12189</v>
          </cell>
        </row>
        <row r="8">
          <cell r="A8" t="str">
            <v>Dallas, TX</v>
          </cell>
          <cell r="B8">
            <v>424</v>
          </cell>
          <cell r="C8">
            <v>61904</v>
          </cell>
          <cell r="D8">
            <v>14</v>
          </cell>
          <cell r="E8">
            <v>1929</v>
          </cell>
          <cell r="F8">
            <v>14</v>
          </cell>
          <cell r="G8">
            <v>2506</v>
          </cell>
          <cell r="H8">
            <v>28</v>
          </cell>
          <cell r="I8">
            <v>4435</v>
          </cell>
          <cell r="J8">
            <v>24</v>
          </cell>
          <cell r="K8">
            <v>3322</v>
          </cell>
          <cell r="L8">
            <v>52</v>
          </cell>
          <cell r="M8">
            <v>7757</v>
          </cell>
        </row>
        <row r="9">
          <cell r="A9" t="str">
            <v>Denver, CO</v>
          </cell>
          <cell r="B9">
            <v>218</v>
          </cell>
          <cell r="C9">
            <v>34818</v>
          </cell>
          <cell r="D9">
            <v>4</v>
          </cell>
          <cell r="E9">
            <v>321</v>
          </cell>
          <cell r="F9">
            <v>11</v>
          </cell>
          <cell r="G9">
            <v>2459</v>
          </cell>
          <cell r="H9">
            <v>15</v>
          </cell>
          <cell r="I9">
            <v>2780</v>
          </cell>
          <cell r="J9">
            <v>15</v>
          </cell>
          <cell r="K9">
            <v>2220</v>
          </cell>
          <cell r="L9">
            <v>30</v>
          </cell>
          <cell r="M9">
            <v>5000</v>
          </cell>
        </row>
        <row r="10">
          <cell r="A10" t="str">
            <v>Detroit, MI</v>
          </cell>
          <cell r="B10">
            <v>279</v>
          </cell>
          <cell r="C10">
            <v>35349</v>
          </cell>
          <cell r="D10">
            <v>12</v>
          </cell>
          <cell r="E10">
            <v>1127</v>
          </cell>
          <cell r="F10">
            <v>12</v>
          </cell>
          <cell r="G10">
            <v>1632</v>
          </cell>
          <cell r="H10">
            <v>24</v>
          </cell>
          <cell r="I10">
            <v>2759</v>
          </cell>
          <cell r="J10">
            <v>20</v>
          </cell>
          <cell r="K10">
            <v>1954</v>
          </cell>
          <cell r="L10">
            <v>44</v>
          </cell>
          <cell r="M10">
            <v>4713</v>
          </cell>
        </row>
        <row r="11">
          <cell r="A11" t="str">
            <v>Houston, TX</v>
          </cell>
          <cell r="B11">
            <v>375</v>
          </cell>
          <cell r="C11">
            <v>51594</v>
          </cell>
          <cell r="D11">
            <v>21</v>
          </cell>
          <cell r="E11">
            <v>1888</v>
          </cell>
          <cell r="F11">
            <v>6</v>
          </cell>
          <cell r="G11">
            <v>759</v>
          </cell>
          <cell r="H11">
            <v>27</v>
          </cell>
          <cell r="I11">
            <v>2647</v>
          </cell>
          <cell r="J11">
            <v>20</v>
          </cell>
          <cell r="K11">
            <v>4364</v>
          </cell>
          <cell r="L11">
            <v>47</v>
          </cell>
          <cell r="M11">
            <v>7011</v>
          </cell>
        </row>
        <row r="12">
          <cell r="A12" t="str">
            <v>Los Angeles, CA</v>
          </cell>
          <cell r="B12">
            <v>679</v>
          </cell>
          <cell r="C12">
            <v>83718</v>
          </cell>
          <cell r="D12">
            <v>11</v>
          </cell>
          <cell r="E12">
            <v>1593</v>
          </cell>
          <cell r="F12">
            <v>13</v>
          </cell>
          <cell r="G12">
            <v>2630</v>
          </cell>
          <cell r="H12">
            <v>24</v>
          </cell>
          <cell r="I12">
            <v>4223</v>
          </cell>
          <cell r="J12">
            <v>12</v>
          </cell>
          <cell r="K12">
            <v>1585</v>
          </cell>
          <cell r="L12">
            <v>36</v>
          </cell>
          <cell r="M12">
            <v>5808</v>
          </cell>
        </row>
        <row r="13">
          <cell r="A13" t="str">
            <v>Miami, FL</v>
          </cell>
          <cell r="B13">
            <v>272</v>
          </cell>
          <cell r="C13">
            <v>43547</v>
          </cell>
          <cell r="D13">
            <v>11</v>
          </cell>
          <cell r="E13">
            <v>2605</v>
          </cell>
          <cell r="F13">
            <v>5</v>
          </cell>
          <cell r="G13">
            <v>625</v>
          </cell>
          <cell r="H13">
            <v>16</v>
          </cell>
          <cell r="I13">
            <v>3230</v>
          </cell>
          <cell r="J13">
            <v>16</v>
          </cell>
          <cell r="K13">
            <v>2192</v>
          </cell>
          <cell r="L13">
            <v>32</v>
          </cell>
          <cell r="M13">
            <v>5422</v>
          </cell>
        </row>
        <row r="14">
          <cell r="A14" t="str">
            <v>Minneapolis, MN</v>
          </cell>
          <cell r="B14">
            <v>233</v>
          </cell>
          <cell r="C14">
            <v>31550</v>
          </cell>
          <cell r="D14">
            <v>6</v>
          </cell>
          <cell r="E14">
            <v>787</v>
          </cell>
          <cell r="F14">
            <v>7</v>
          </cell>
          <cell r="G14">
            <v>894</v>
          </cell>
          <cell r="H14">
            <v>13</v>
          </cell>
          <cell r="I14">
            <v>1681</v>
          </cell>
          <cell r="J14">
            <v>18</v>
          </cell>
          <cell r="K14">
            <v>2215</v>
          </cell>
          <cell r="L14">
            <v>31</v>
          </cell>
          <cell r="M14">
            <v>3896</v>
          </cell>
        </row>
        <row r="15">
          <cell r="A15" t="str">
            <v>Nashville, TN</v>
          </cell>
          <cell r="B15">
            <v>252</v>
          </cell>
          <cell r="C15">
            <v>31435</v>
          </cell>
          <cell r="D15">
            <v>8</v>
          </cell>
          <cell r="E15">
            <v>1262</v>
          </cell>
          <cell r="F15">
            <v>7</v>
          </cell>
          <cell r="G15">
            <v>564</v>
          </cell>
          <cell r="H15">
            <v>15</v>
          </cell>
          <cell r="I15">
            <v>1826</v>
          </cell>
          <cell r="J15">
            <v>11</v>
          </cell>
          <cell r="K15">
            <v>1137</v>
          </cell>
          <cell r="L15">
            <v>26</v>
          </cell>
          <cell r="M15">
            <v>2963</v>
          </cell>
        </row>
        <row r="16">
          <cell r="A16" t="str">
            <v>New Orleans, LA</v>
          </cell>
          <cell r="B16">
            <v>179</v>
          </cell>
          <cell r="C16">
            <v>30755</v>
          </cell>
          <cell r="D16">
            <v>13</v>
          </cell>
          <cell r="E16">
            <v>1924</v>
          </cell>
          <cell r="F16">
            <v>5</v>
          </cell>
          <cell r="G16">
            <v>480</v>
          </cell>
          <cell r="H16">
            <v>18</v>
          </cell>
          <cell r="I16">
            <v>2404</v>
          </cell>
          <cell r="J16">
            <v>17</v>
          </cell>
          <cell r="K16">
            <v>3052</v>
          </cell>
          <cell r="L16">
            <v>35</v>
          </cell>
          <cell r="M16">
            <v>5456</v>
          </cell>
        </row>
        <row r="17">
          <cell r="A17" t="str">
            <v>New York, NY</v>
          </cell>
          <cell r="B17">
            <v>277</v>
          </cell>
          <cell r="C17">
            <v>75608</v>
          </cell>
          <cell r="D17">
            <v>12</v>
          </cell>
          <cell r="E17">
            <v>3079</v>
          </cell>
          <cell r="F17">
            <v>5</v>
          </cell>
          <cell r="G17">
            <v>550</v>
          </cell>
          <cell r="H17">
            <v>17</v>
          </cell>
          <cell r="I17">
            <v>3629</v>
          </cell>
          <cell r="J17">
            <v>14</v>
          </cell>
          <cell r="K17">
            <v>2537</v>
          </cell>
          <cell r="L17">
            <v>31</v>
          </cell>
          <cell r="M17">
            <v>6166</v>
          </cell>
        </row>
        <row r="18">
          <cell r="A18" t="str">
            <v>Norfolk, VA</v>
          </cell>
          <cell r="B18">
            <v>310</v>
          </cell>
          <cell r="C18">
            <v>34697</v>
          </cell>
          <cell r="D18">
            <v>4</v>
          </cell>
          <cell r="E18">
            <v>668</v>
          </cell>
          <cell r="F18">
            <v>3</v>
          </cell>
          <cell r="G18">
            <v>239</v>
          </cell>
          <cell r="H18">
            <v>7</v>
          </cell>
          <cell r="I18">
            <v>907</v>
          </cell>
          <cell r="J18">
            <v>12</v>
          </cell>
          <cell r="K18">
            <v>1634</v>
          </cell>
          <cell r="L18">
            <v>19</v>
          </cell>
          <cell r="M18">
            <v>2541</v>
          </cell>
        </row>
        <row r="19">
          <cell r="A19" t="str">
            <v>Oahu Island, HI</v>
          </cell>
          <cell r="B19">
            <v>109</v>
          </cell>
          <cell r="C19">
            <v>36407</v>
          </cell>
          <cell r="D19">
            <v>1</v>
          </cell>
          <cell r="E19">
            <v>453</v>
          </cell>
          <cell r="F19">
            <v>0</v>
          </cell>
          <cell r="G19">
            <v>0</v>
          </cell>
          <cell r="H19">
            <v>1</v>
          </cell>
          <cell r="I19">
            <v>453</v>
          </cell>
          <cell r="J19">
            <v>1</v>
          </cell>
          <cell r="K19">
            <v>299</v>
          </cell>
          <cell r="L19">
            <v>2</v>
          </cell>
          <cell r="M19">
            <v>752</v>
          </cell>
        </row>
        <row r="20">
          <cell r="A20" t="str">
            <v>Orlando, FL</v>
          </cell>
          <cell r="B20">
            <v>417</v>
          </cell>
          <cell r="C20">
            <v>112948</v>
          </cell>
          <cell r="D20">
            <v>15</v>
          </cell>
          <cell r="E20">
            <v>7899</v>
          </cell>
          <cell r="F20">
            <v>13</v>
          </cell>
          <cell r="G20">
            <v>4788</v>
          </cell>
          <cell r="H20">
            <v>28</v>
          </cell>
          <cell r="I20">
            <v>12687</v>
          </cell>
          <cell r="J20">
            <v>42</v>
          </cell>
          <cell r="K20">
            <v>12195</v>
          </cell>
          <cell r="L20">
            <v>70</v>
          </cell>
          <cell r="M20">
            <v>24882</v>
          </cell>
        </row>
        <row r="21">
          <cell r="A21" t="str">
            <v>Philadelphia, PA</v>
          </cell>
          <cell r="B21">
            <v>238</v>
          </cell>
          <cell r="C21">
            <v>37267</v>
          </cell>
          <cell r="D21">
            <v>11</v>
          </cell>
          <cell r="E21">
            <v>1571</v>
          </cell>
          <cell r="F21">
            <v>6</v>
          </cell>
          <cell r="G21">
            <v>680</v>
          </cell>
          <cell r="H21">
            <v>17</v>
          </cell>
          <cell r="I21">
            <v>2251</v>
          </cell>
          <cell r="J21">
            <v>18</v>
          </cell>
          <cell r="K21">
            <v>1815</v>
          </cell>
          <cell r="L21">
            <v>35</v>
          </cell>
          <cell r="M21">
            <v>4066</v>
          </cell>
        </row>
        <row r="22">
          <cell r="A22" t="str">
            <v>Phoenix, AZ</v>
          </cell>
          <cell r="B22">
            <v>336</v>
          </cell>
          <cell r="C22">
            <v>50713</v>
          </cell>
          <cell r="D22">
            <v>2</v>
          </cell>
          <cell r="E22">
            <v>219</v>
          </cell>
          <cell r="F22">
            <v>9</v>
          </cell>
          <cell r="G22">
            <v>2842</v>
          </cell>
          <cell r="H22">
            <v>11</v>
          </cell>
          <cell r="I22">
            <v>3061</v>
          </cell>
          <cell r="J22">
            <v>10</v>
          </cell>
          <cell r="K22">
            <v>2821</v>
          </cell>
          <cell r="L22">
            <v>21</v>
          </cell>
          <cell r="M22">
            <v>5882</v>
          </cell>
        </row>
        <row r="23">
          <cell r="A23" t="str">
            <v>Saint Louis, MO</v>
          </cell>
          <cell r="B23">
            <v>214</v>
          </cell>
          <cell r="C23">
            <v>30315</v>
          </cell>
          <cell r="D23">
            <v>5</v>
          </cell>
          <cell r="E23">
            <v>782</v>
          </cell>
          <cell r="F23">
            <v>5</v>
          </cell>
          <cell r="G23">
            <v>1818</v>
          </cell>
          <cell r="H23">
            <v>10</v>
          </cell>
          <cell r="I23">
            <v>2600</v>
          </cell>
          <cell r="J23">
            <v>14</v>
          </cell>
          <cell r="K23">
            <v>1480</v>
          </cell>
          <cell r="L23">
            <v>24</v>
          </cell>
          <cell r="M23">
            <v>4080</v>
          </cell>
        </row>
        <row r="24">
          <cell r="A24" t="str">
            <v>San Diego, CA</v>
          </cell>
          <cell r="B24">
            <v>399</v>
          </cell>
          <cell r="C24">
            <v>49458</v>
          </cell>
          <cell r="D24">
            <v>10</v>
          </cell>
          <cell r="E24">
            <v>2086</v>
          </cell>
          <cell r="F24">
            <v>9</v>
          </cell>
          <cell r="G24">
            <v>1606</v>
          </cell>
          <cell r="H24">
            <v>19</v>
          </cell>
          <cell r="I24">
            <v>3692</v>
          </cell>
          <cell r="J24">
            <v>15</v>
          </cell>
          <cell r="K24">
            <v>4536</v>
          </cell>
          <cell r="L24">
            <v>34</v>
          </cell>
          <cell r="M24">
            <v>8228</v>
          </cell>
        </row>
        <row r="25">
          <cell r="A25" t="str">
            <v>San Francisco, CA</v>
          </cell>
          <cell r="B25">
            <v>339</v>
          </cell>
          <cell r="C25">
            <v>48885</v>
          </cell>
          <cell r="D25">
            <v>13</v>
          </cell>
          <cell r="E25">
            <v>2192</v>
          </cell>
          <cell r="F25">
            <v>9</v>
          </cell>
          <cell r="G25">
            <v>1691</v>
          </cell>
          <cell r="H25">
            <v>22</v>
          </cell>
          <cell r="I25">
            <v>3883</v>
          </cell>
          <cell r="J25">
            <v>22</v>
          </cell>
          <cell r="K25">
            <v>4038</v>
          </cell>
          <cell r="L25">
            <v>44</v>
          </cell>
          <cell r="M25">
            <v>7921</v>
          </cell>
        </row>
        <row r="26">
          <cell r="A26" t="str">
            <v>Seattle, WA</v>
          </cell>
          <cell r="B26">
            <v>282</v>
          </cell>
          <cell r="C26">
            <v>32954</v>
          </cell>
          <cell r="D26">
            <v>8</v>
          </cell>
          <cell r="E26">
            <v>1571</v>
          </cell>
          <cell r="F26">
            <v>16</v>
          </cell>
          <cell r="G26">
            <v>2692</v>
          </cell>
          <cell r="H26">
            <v>24</v>
          </cell>
          <cell r="I26">
            <v>4263</v>
          </cell>
          <cell r="J26">
            <v>11</v>
          </cell>
          <cell r="K26">
            <v>2119</v>
          </cell>
          <cell r="L26">
            <v>35</v>
          </cell>
          <cell r="M26">
            <v>6382</v>
          </cell>
        </row>
        <row r="27">
          <cell r="A27" t="str">
            <v>Tampa, FL</v>
          </cell>
          <cell r="B27">
            <v>308</v>
          </cell>
          <cell r="C27">
            <v>38264</v>
          </cell>
          <cell r="D27">
            <v>10</v>
          </cell>
          <cell r="E27">
            <v>1152</v>
          </cell>
          <cell r="F27">
            <v>3</v>
          </cell>
          <cell r="G27">
            <v>213</v>
          </cell>
          <cell r="H27">
            <v>13</v>
          </cell>
          <cell r="I27">
            <v>1365</v>
          </cell>
          <cell r="J27">
            <v>25</v>
          </cell>
          <cell r="K27">
            <v>2785</v>
          </cell>
          <cell r="L27">
            <v>38</v>
          </cell>
          <cell r="M27">
            <v>4150</v>
          </cell>
        </row>
        <row r="28">
          <cell r="A28" t="str">
            <v>Washington, DC</v>
          </cell>
          <cell r="B28">
            <v>425</v>
          </cell>
          <cell r="C28">
            <v>78572</v>
          </cell>
          <cell r="D28">
            <v>16</v>
          </cell>
          <cell r="E28">
            <v>2089</v>
          </cell>
          <cell r="F28">
            <v>15</v>
          </cell>
          <cell r="G28">
            <v>2562</v>
          </cell>
          <cell r="H28">
            <v>31</v>
          </cell>
          <cell r="I28">
            <v>4651</v>
          </cell>
          <cell r="J28">
            <v>28</v>
          </cell>
          <cell r="K28">
            <v>7092</v>
          </cell>
          <cell r="L28">
            <v>59</v>
          </cell>
          <cell r="M28">
            <v>11743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s"/>
      <sheetName val="Occupancy"/>
      <sheetName val="Occ Growth"/>
      <sheetName val="Rate"/>
      <sheetName val="Rate Growth"/>
      <sheetName val="RevPAR"/>
      <sheetName val="RevPAR Growth"/>
      <sheetName val="LTM"/>
      <sheetName val="Inputs"/>
      <sheetName val="Ams All"/>
      <sheetName val="Amsterdam 2"/>
      <sheetName val="Bar All"/>
      <sheetName val="Barcelona 2"/>
      <sheetName val="Ber All"/>
      <sheetName val="Berlin 2"/>
      <sheetName val="Bru All"/>
      <sheetName val="Brussels 2"/>
      <sheetName val="Dub All"/>
      <sheetName val="Dublin 2"/>
      <sheetName val="Fra All"/>
      <sheetName val="Frankfurt 2"/>
      <sheetName val="London All"/>
      <sheetName val="London 1"/>
      <sheetName val="Mad All"/>
      <sheetName val="Madrid 2"/>
      <sheetName val="Mil All"/>
      <sheetName val="Milan 2"/>
      <sheetName val="Mun All"/>
      <sheetName val="Munich 2"/>
      <sheetName val="Par All"/>
      <sheetName val="Paris 2"/>
      <sheetName val="Rom All"/>
      <sheetName val="Rome 2"/>
      <sheetName val="UK Prov All "/>
      <sheetName val="UK Prov"/>
      <sheetName val="Stockh All"/>
      <sheetName val="Stockh 1"/>
      <sheetName val="Germ All"/>
      <sheetName val="Germ All 2"/>
      <sheetName val="Germ Prim Cit All"/>
      <sheetName val="Germ Prim Cit 2"/>
      <sheetName val="FY Averages"/>
      <sheetName val="Update"/>
      <sheetName val="Cons RevPAR"/>
      <sheetName val="Berlin2"/>
      <sheetName val="London 2"/>
      <sheetName val="UK Provinces 1 "/>
      <sheetName val="UK Provinces All "/>
      <sheetName val="UK Provinces 2"/>
      <sheetName val="Stockh 2"/>
      <sheetName val="Germ All Hotels All"/>
      <sheetName val="Germ All Hotels 2"/>
      <sheetName val="Germ Primary Cit All"/>
      <sheetName val="Germ Primary Cit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s"/>
      <sheetName val="Projects export"/>
      <sheetName val="Sheet1"/>
      <sheetName val="Devp Q3"/>
    </sheetNames>
    <sheetDataSet>
      <sheetData sheetId="0" refreshError="1">
        <row r="4">
          <cell r="AF4" t="str">
            <v>Cancelled</v>
          </cell>
          <cell r="AI4" t="str">
            <v>ABILENE, TX</v>
          </cell>
          <cell r="AJ4" t="str">
            <v>Abilene, TX</v>
          </cell>
          <cell r="AK4" t="str">
            <v/>
          </cell>
          <cell r="AL4" t="str">
            <v/>
          </cell>
          <cell r="AM4" t="str">
            <v/>
          </cell>
          <cell r="AN4" t="str">
            <v/>
          </cell>
          <cell r="AO4" t="str">
            <v/>
          </cell>
          <cell r="AP4" t="str">
            <v/>
          </cell>
          <cell r="AQ4" t="str">
            <v/>
          </cell>
          <cell r="AR4" t="str">
            <v/>
          </cell>
          <cell r="AS4" t="str">
            <v/>
          </cell>
          <cell r="AT4" t="str">
            <v/>
          </cell>
        </row>
        <row r="5">
          <cell r="AI5" t="str">
            <v>AKRON, OH</v>
          </cell>
          <cell r="AJ5" t="str">
            <v>Akron, OH</v>
          </cell>
          <cell r="AK5" t="str">
            <v>Akron, OH</v>
          </cell>
          <cell r="AL5" t="str">
            <v>Top 110</v>
          </cell>
          <cell r="AM5" t="str">
            <v/>
          </cell>
          <cell r="AN5" t="str">
            <v/>
          </cell>
          <cell r="AO5" t="str">
            <v/>
          </cell>
          <cell r="AP5" t="str">
            <v/>
          </cell>
          <cell r="AQ5" t="str">
            <v/>
          </cell>
          <cell r="AR5" t="str">
            <v/>
          </cell>
          <cell r="AS5" t="str">
            <v/>
          </cell>
          <cell r="AT5" t="str">
            <v/>
          </cell>
        </row>
        <row r="6">
          <cell r="AI6" t="str">
            <v>ALBANY, GA</v>
          </cell>
          <cell r="AJ6" t="str">
            <v>Albany, GA</v>
          </cell>
          <cell r="AK6" t="str">
            <v/>
          </cell>
          <cell r="AL6" t="str">
            <v/>
          </cell>
          <cell r="AM6" t="str">
            <v/>
          </cell>
          <cell r="AN6" t="str">
            <v/>
          </cell>
          <cell r="AO6" t="str">
            <v/>
          </cell>
          <cell r="AP6" t="str">
            <v/>
          </cell>
          <cell r="AQ6" t="str">
            <v/>
          </cell>
          <cell r="AR6" t="str">
            <v/>
          </cell>
          <cell r="AS6" t="str">
            <v/>
          </cell>
          <cell r="AT6" t="str">
            <v/>
          </cell>
        </row>
        <row r="7">
          <cell r="AI7" t="str">
            <v>ALBANY-SCHENECTADY-TROY, NY</v>
          </cell>
          <cell r="AJ7" t="str">
            <v>Albany-Schenectady-Troy, NY</v>
          </cell>
          <cell r="AK7" t="str">
            <v>Albany, NY</v>
          </cell>
          <cell r="AL7" t="str">
            <v>Top 110</v>
          </cell>
          <cell r="AM7" t="str">
            <v>BS</v>
          </cell>
          <cell r="AN7" t="str">
            <v/>
          </cell>
          <cell r="AO7" t="str">
            <v/>
          </cell>
          <cell r="AP7" t="str">
            <v/>
          </cell>
          <cell r="AQ7" t="str">
            <v/>
          </cell>
          <cell r="AR7" t="str">
            <v/>
          </cell>
          <cell r="AS7" t="str">
            <v/>
          </cell>
          <cell r="AT7" t="str">
            <v/>
          </cell>
        </row>
        <row r="8">
          <cell r="AI8" t="str">
            <v>ALBUQUERQUE, NM</v>
          </cell>
          <cell r="AJ8" t="str">
            <v>Albuquerque, NM</v>
          </cell>
          <cell r="AK8" t="str">
            <v>Albuquerque, NM</v>
          </cell>
          <cell r="AL8" t="str">
            <v>Top 110</v>
          </cell>
          <cell r="AM8" t="str">
            <v>BS</v>
          </cell>
          <cell r="AN8" t="str">
            <v/>
          </cell>
          <cell r="AO8" t="str">
            <v/>
          </cell>
          <cell r="AP8" t="str">
            <v/>
          </cell>
          <cell r="AQ8" t="str">
            <v/>
          </cell>
          <cell r="AR8" t="str">
            <v/>
          </cell>
          <cell r="AS8" t="str">
            <v/>
          </cell>
          <cell r="AT8" t="str">
            <v/>
          </cell>
        </row>
        <row r="9">
          <cell r="AI9" t="str">
            <v>ALEXANDRIA, LA</v>
          </cell>
          <cell r="AJ9" t="str">
            <v>Alexandria, LA</v>
          </cell>
          <cell r="AK9" t="str">
            <v/>
          </cell>
          <cell r="AL9" t="str">
            <v/>
          </cell>
          <cell r="AM9" t="str">
            <v/>
          </cell>
          <cell r="AN9" t="str">
            <v/>
          </cell>
          <cell r="AO9" t="str">
            <v/>
          </cell>
          <cell r="AP9" t="str">
            <v/>
          </cell>
          <cell r="AQ9" t="str">
            <v/>
          </cell>
          <cell r="AR9" t="str">
            <v/>
          </cell>
          <cell r="AS9" t="str">
            <v/>
          </cell>
          <cell r="AT9" t="str">
            <v/>
          </cell>
        </row>
        <row r="10">
          <cell r="AI10" t="str">
            <v>ALLENTOWN-BETHLEHEM-EASTON, PA</v>
          </cell>
          <cell r="AJ10" t="str">
            <v>Allentown, PA</v>
          </cell>
          <cell r="AK10" t="str">
            <v>Allentown, PA</v>
          </cell>
          <cell r="AL10" t="str">
            <v>Top 110</v>
          </cell>
          <cell r="AM10" t="str">
            <v/>
          </cell>
          <cell r="AN10" t="str">
            <v/>
          </cell>
          <cell r="AO10" t="str">
            <v/>
          </cell>
          <cell r="AP10" t="str">
            <v/>
          </cell>
          <cell r="AQ10" t="str">
            <v/>
          </cell>
          <cell r="AR10" t="str">
            <v/>
          </cell>
          <cell r="AS10" t="str">
            <v/>
          </cell>
          <cell r="AT10" t="str">
            <v/>
          </cell>
        </row>
        <row r="11">
          <cell r="AI11" t="str">
            <v>ALTOONA, PA</v>
          </cell>
          <cell r="AJ11" t="str">
            <v>Altoona, PA</v>
          </cell>
          <cell r="AK11" t="str">
            <v/>
          </cell>
          <cell r="AL11" t="str">
            <v/>
          </cell>
          <cell r="AM11" t="str">
            <v/>
          </cell>
          <cell r="AN11" t="str">
            <v/>
          </cell>
          <cell r="AO11" t="str">
            <v/>
          </cell>
          <cell r="AP11" t="str">
            <v/>
          </cell>
          <cell r="AQ11" t="str">
            <v/>
          </cell>
          <cell r="AR11" t="str">
            <v/>
          </cell>
          <cell r="AS11" t="str">
            <v/>
          </cell>
          <cell r="AT11" t="str">
            <v/>
          </cell>
        </row>
        <row r="12">
          <cell r="AI12" t="str">
            <v>AMARILLO, TX</v>
          </cell>
          <cell r="AJ12" t="str">
            <v>Amarillo, TX</v>
          </cell>
          <cell r="AK12" t="str">
            <v/>
          </cell>
          <cell r="AL12" t="str">
            <v/>
          </cell>
          <cell r="AM12" t="str">
            <v/>
          </cell>
          <cell r="AN12" t="str">
            <v/>
          </cell>
          <cell r="AO12" t="str">
            <v/>
          </cell>
          <cell r="AP12" t="str">
            <v/>
          </cell>
          <cell r="AQ12" t="str">
            <v/>
          </cell>
          <cell r="AR12" t="str">
            <v/>
          </cell>
          <cell r="AS12" t="str">
            <v/>
          </cell>
          <cell r="AT12" t="str">
            <v/>
          </cell>
        </row>
        <row r="13">
          <cell r="AI13" t="str">
            <v>ANCHORAGE, AK</v>
          </cell>
          <cell r="AJ13" t="str">
            <v>Anchorage, AK</v>
          </cell>
          <cell r="AK13" t="str">
            <v>Anchorage, AK</v>
          </cell>
          <cell r="AL13" t="str">
            <v>Top 110</v>
          </cell>
          <cell r="AM13" t="str">
            <v/>
          </cell>
          <cell r="AN13" t="str">
            <v/>
          </cell>
          <cell r="AO13" t="str">
            <v/>
          </cell>
          <cell r="AP13" t="str">
            <v/>
          </cell>
          <cell r="AQ13" t="str">
            <v/>
          </cell>
          <cell r="AR13" t="str">
            <v/>
          </cell>
          <cell r="AS13" t="str">
            <v/>
          </cell>
          <cell r="AT13" t="str">
            <v/>
          </cell>
        </row>
        <row r="14">
          <cell r="AI14" t="str">
            <v>ANN ARBOR, MI</v>
          </cell>
          <cell r="AJ14" t="str">
            <v>Ann Arbor, MI</v>
          </cell>
          <cell r="AK14" t="str">
            <v>Ann Arbor, MI</v>
          </cell>
          <cell r="AL14" t="str">
            <v>Top 110</v>
          </cell>
          <cell r="AM14" t="str">
            <v/>
          </cell>
          <cell r="AN14" t="str">
            <v/>
          </cell>
          <cell r="AO14" t="str">
            <v/>
          </cell>
          <cell r="AP14" t="str">
            <v/>
          </cell>
          <cell r="AQ14" t="str">
            <v/>
          </cell>
          <cell r="AR14" t="str">
            <v/>
          </cell>
          <cell r="AS14" t="str">
            <v/>
          </cell>
          <cell r="AT14" t="str">
            <v/>
          </cell>
        </row>
        <row r="15">
          <cell r="AI15" t="str">
            <v>ANNISTON, AL</v>
          </cell>
          <cell r="AJ15" t="str">
            <v>Anniston, AL</v>
          </cell>
          <cell r="AK15" t="str">
            <v/>
          </cell>
          <cell r="AL15" t="str">
            <v/>
          </cell>
          <cell r="AM15" t="str">
            <v/>
          </cell>
          <cell r="AN15" t="str">
            <v/>
          </cell>
          <cell r="AO15" t="str">
            <v/>
          </cell>
          <cell r="AP15" t="str">
            <v/>
          </cell>
          <cell r="AQ15" t="str">
            <v/>
          </cell>
          <cell r="AR15" t="str">
            <v/>
          </cell>
          <cell r="AS15" t="str">
            <v/>
          </cell>
          <cell r="AT15" t="str">
            <v/>
          </cell>
        </row>
        <row r="16">
          <cell r="AI16" t="str">
            <v>APPLETON-OSHKOSH-NEENAH, WI</v>
          </cell>
          <cell r="AJ16" t="str">
            <v>Appleton-Oshkosh-Neenah, WI</v>
          </cell>
          <cell r="AK16" t="str">
            <v/>
          </cell>
          <cell r="AL16" t="str">
            <v/>
          </cell>
          <cell r="AM16" t="str">
            <v/>
          </cell>
          <cell r="AN16" t="str">
            <v/>
          </cell>
          <cell r="AO16" t="str">
            <v/>
          </cell>
          <cell r="AP16" t="str">
            <v/>
          </cell>
          <cell r="AQ16" t="str">
            <v/>
          </cell>
          <cell r="AR16" t="str">
            <v/>
          </cell>
          <cell r="AS16" t="str">
            <v/>
          </cell>
          <cell r="AT16" t="str">
            <v/>
          </cell>
        </row>
        <row r="17">
          <cell r="AI17" t="str">
            <v>ASHEVILLE, NC</v>
          </cell>
          <cell r="AJ17" t="str">
            <v>Asheville, NC</v>
          </cell>
          <cell r="AK17" t="str">
            <v/>
          </cell>
          <cell r="AL17" t="str">
            <v/>
          </cell>
          <cell r="AM17" t="str">
            <v/>
          </cell>
          <cell r="AN17" t="str">
            <v/>
          </cell>
          <cell r="AO17" t="str">
            <v/>
          </cell>
          <cell r="AP17" t="str">
            <v/>
          </cell>
          <cell r="AQ17" t="str">
            <v/>
          </cell>
          <cell r="AR17" t="str">
            <v/>
          </cell>
          <cell r="AS17" t="str">
            <v/>
          </cell>
          <cell r="AT17" t="str">
            <v/>
          </cell>
        </row>
        <row r="18">
          <cell r="AI18" t="str">
            <v>ATHENS, GA</v>
          </cell>
          <cell r="AJ18" t="str">
            <v>Athens, GA</v>
          </cell>
          <cell r="AK18" t="str">
            <v/>
          </cell>
          <cell r="AL18" t="str">
            <v/>
          </cell>
          <cell r="AM18" t="str">
            <v/>
          </cell>
          <cell r="AN18" t="str">
            <v/>
          </cell>
          <cell r="AO18" t="str">
            <v/>
          </cell>
          <cell r="AP18" t="str">
            <v/>
          </cell>
          <cell r="AQ18" t="str">
            <v/>
          </cell>
          <cell r="AR18" t="str">
            <v/>
          </cell>
          <cell r="AS18" t="str">
            <v/>
          </cell>
          <cell r="AT18" t="str">
            <v/>
          </cell>
        </row>
        <row r="19">
          <cell r="AI19" t="str">
            <v>ATLANTA, GA</v>
          </cell>
          <cell r="AJ19" t="str">
            <v>Atlanta, GA</v>
          </cell>
          <cell r="AK19" t="str">
            <v>Atlanta, GA</v>
          </cell>
          <cell r="AL19" t="str">
            <v>Top 25</v>
          </cell>
          <cell r="AM19" t="str">
            <v>BS</v>
          </cell>
          <cell r="AN19" t="str">
            <v>Atlanta, GA</v>
          </cell>
          <cell r="AO19" t="str">
            <v>Atlanta, GA</v>
          </cell>
          <cell r="AP19" t="str">
            <v>ATLANTA, GA</v>
          </cell>
          <cell r="AQ19" t="str">
            <v>Atlanta, GA</v>
          </cell>
          <cell r="AR19" t="str">
            <v>Atlanta, GA</v>
          </cell>
          <cell r="AS19" t="str">
            <v>Atlanta, GA</v>
          </cell>
          <cell r="AT19" t="str">
            <v/>
          </cell>
        </row>
        <row r="20">
          <cell r="AI20" t="str">
            <v>ATLANTIC-CAPE MAY, NJ</v>
          </cell>
          <cell r="AJ20" t="str">
            <v>Atlantic City-Cape May, NJ</v>
          </cell>
          <cell r="AK20" t="str">
            <v/>
          </cell>
          <cell r="AL20" t="str">
            <v/>
          </cell>
          <cell r="AM20" t="str">
            <v>BS</v>
          </cell>
          <cell r="AN20" t="str">
            <v>Atlantic City, NJ</v>
          </cell>
          <cell r="AO20" t="str">
            <v/>
          </cell>
          <cell r="AP20" t="str">
            <v/>
          </cell>
          <cell r="AQ20" t="str">
            <v/>
          </cell>
          <cell r="AR20" t="str">
            <v/>
          </cell>
          <cell r="AS20" t="str">
            <v/>
          </cell>
          <cell r="AT20" t="str">
            <v/>
          </cell>
        </row>
        <row r="21">
          <cell r="AI21" t="str">
            <v>AUGUSTA-AIKEN, GA-SC</v>
          </cell>
          <cell r="AJ21" t="str">
            <v>Augusta-Aiken, GA-SC</v>
          </cell>
          <cell r="AK21" t="str">
            <v/>
          </cell>
          <cell r="AL21" t="str">
            <v/>
          </cell>
          <cell r="AM21" t="str">
            <v/>
          </cell>
          <cell r="AN21" t="str">
            <v/>
          </cell>
          <cell r="AO21" t="str">
            <v/>
          </cell>
          <cell r="AP21" t="str">
            <v/>
          </cell>
          <cell r="AQ21" t="str">
            <v/>
          </cell>
          <cell r="AR21" t="str">
            <v/>
          </cell>
          <cell r="AS21" t="str">
            <v/>
          </cell>
          <cell r="AT21" t="str">
            <v/>
          </cell>
        </row>
        <row r="22">
          <cell r="AI22" t="str">
            <v>AUSTIN-SAN MARCOS, TX</v>
          </cell>
          <cell r="AJ22" t="str">
            <v>Austin, TX</v>
          </cell>
          <cell r="AK22" t="str">
            <v>Austin, TX</v>
          </cell>
          <cell r="AL22" t="str">
            <v>Top 110</v>
          </cell>
          <cell r="AM22" t="str">
            <v>BS</v>
          </cell>
          <cell r="AN22" t="str">
            <v>Austin, TX</v>
          </cell>
          <cell r="AO22" t="str">
            <v/>
          </cell>
          <cell r="AP22" t="str">
            <v>AUSTIN, TX</v>
          </cell>
          <cell r="AQ22" t="str">
            <v>Austin, TX</v>
          </cell>
          <cell r="AR22" t="str">
            <v/>
          </cell>
          <cell r="AS22" t="str">
            <v/>
          </cell>
          <cell r="AT22" t="str">
            <v/>
          </cell>
        </row>
        <row r="23">
          <cell r="AI23" t="str">
            <v>BAKERSFIELD, CA</v>
          </cell>
          <cell r="AJ23" t="str">
            <v>Bakersfield, CA</v>
          </cell>
          <cell r="AK23" t="str">
            <v>Bakersfield, CA</v>
          </cell>
          <cell r="AL23" t="str">
            <v>Top 110</v>
          </cell>
          <cell r="AM23" t="str">
            <v/>
          </cell>
          <cell r="AN23" t="str">
            <v/>
          </cell>
          <cell r="AO23" t="str">
            <v/>
          </cell>
          <cell r="AP23" t="str">
            <v/>
          </cell>
          <cell r="AQ23" t="str">
            <v/>
          </cell>
          <cell r="AR23" t="str">
            <v/>
          </cell>
          <cell r="AS23" t="str">
            <v/>
          </cell>
          <cell r="AT23" t="str">
            <v/>
          </cell>
        </row>
        <row r="24">
          <cell r="AI24" t="str">
            <v>BALTIMORE, MD</v>
          </cell>
          <cell r="AJ24" t="str">
            <v>Baltimore, MD</v>
          </cell>
          <cell r="AK24" t="str">
            <v>Baltimore, MD</v>
          </cell>
          <cell r="AL24" t="str">
            <v>Top 25</v>
          </cell>
          <cell r="AM24" t="str">
            <v>BS</v>
          </cell>
          <cell r="AN24" t="str">
            <v>Baltimore, MD</v>
          </cell>
          <cell r="AO24" t="str">
            <v/>
          </cell>
          <cell r="AP24" t="str">
            <v/>
          </cell>
          <cell r="AQ24" t="str">
            <v/>
          </cell>
          <cell r="AR24" t="str">
            <v/>
          </cell>
          <cell r="AS24" t="str">
            <v/>
          </cell>
          <cell r="AT24" t="str">
            <v/>
          </cell>
        </row>
        <row r="25">
          <cell r="AI25" t="str">
            <v>BATON ROUGE, LA</v>
          </cell>
          <cell r="AJ25" t="str">
            <v>Baton Rouge, LA</v>
          </cell>
          <cell r="AK25" t="str">
            <v>Baton Rouge, LA</v>
          </cell>
          <cell r="AL25" t="str">
            <v>Top 110</v>
          </cell>
          <cell r="AM25" t="str">
            <v/>
          </cell>
          <cell r="AN25" t="str">
            <v/>
          </cell>
          <cell r="AO25" t="str">
            <v/>
          </cell>
          <cell r="AP25" t="str">
            <v/>
          </cell>
          <cell r="AQ25" t="str">
            <v/>
          </cell>
          <cell r="AR25" t="str">
            <v/>
          </cell>
          <cell r="AS25" t="str">
            <v/>
          </cell>
          <cell r="AT25" t="str">
            <v/>
          </cell>
        </row>
        <row r="26">
          <cell r="AI26" t="str">
            <v>BEAUMONT-PORT ARTHUR, TX</v>
          </cell>
          <cell r="AJ26" t="str">
            <v>Beaumont-Port Arthur, TX</v>
          </cell>
          <cell r="AK26" t="str">
            <v/>
          </cell>
          <cell r="AL26" t="str">
            <v/>
          </cell>
          <cell r="AM26" t="str">
            <v/>
          </cell>
          <cell r="AN26" t="str">
            <v/>
          </cell>
          <cell r="AO26" t="str">
            <v/>
          </cell>
          <cell r="AP26" t="str">
            <v/>
          </cell>
          <cell r="AQ26" t="str">
            <v/>
          </cell>
          <cell r="AR26" t="str">
            <v/>
          </cell>
          <cell r="AS26" t="str">
            <v/>
          </cell>
          <cell r="AT26" t="str">
            <v/>
          </cell>
        </row>
        <row r="27">
          <cell r="AI27" t="str">
            <v>BELLINGHAM, WA</v>
          </cell>
          <cell r="AJ27" t="str">
            <v>Bellingham, WA</v>
          </cell>
          <cell r="AK27" t="str">
            <v/>
          </cell>
          <cell r="AL27" t="str">
            <v/>
          </cell>
          <cell r="AM27" t="str">
            <v/>
          </cell>
          <cell r="AN27" t="str">
            <v/>
          </cell>
          <cell r="AO27" t="str">
            <v/>
          </cell>
          <cell r="AP27" t="str">
            <v/>
          </cell>
          <cell r="AQ27" t="str">
            <v/>
          </cell>
          <cell r="AR27" t="str">
            <v/>
          </cell>
          <cell r="AS27" t="str">
            <v/>
          </cell>
          <cell r="AT27" t="str">
            <v/>
          </cell>
        </row>
        <row r="28">
          <cell r="AI28" t="str">
            <v>BENTON HARBOR, MI</v>
          </cell>
          <cell r="AJ28" t="str">
            <v>Benton Harbor, MI</v>
          </cell>
          <cell r="AK28" t="str">
            <v/>
          </cell>
          <cell r="AL28" t="str">
            <v/>
          </cell>
          <cell r="AM28" t="str">
            <v/>
          </cell>
          <cell r="AN28" t="str">
            <v/>
          </cell>
          <cell r="AO28" t="str">
            <v/>
          </cell>
          <cell r="AP28" t="str">
            <v/>
          </cell>
          <cell r="AQ28" t="str">
            <v/>
          </cell>
          <cell r="AR28" t="str">
            <v/>
          </cell>
          <cell r="AS28" t="str">
            <v/>
          </cell>
          <cell r="AT28" t="str">
            <v/>
          </cell>
        </row>
        <row r="29">
          <cell r="AI29" t="str">
            <v>BERGEN-PASSAIC, NJ</v>
          </cell>
          <cell r="AJ29" t="str">
            <v>Bergen-Passaic, NJ</v>
          </cell>
          <cell r="AK29" t="str">
            <v>Bergen, NJ</v>
          </cell>
          <cell r="AL29" t="str">
            <v>Top 50</v>
          </cell>
          <cell r="AM29" t="str">
            <v/>
          </cell>
          <cell r="AN29" t="str">
            <v/>
          </cell>
          <cell r="AO29" t="str">
            <v>New York Suburban</v>
          </cell>
          <cell r="AP29" t="str">
            <v/>
          </cell>
          <cell r="AQ29" t="str">
            <v/>
          </cell>
          <cell r="AR29" t="str">
            <v/>
          </cell>
          <cell r="AS29" t="str">
            <v/>
          </cell>
          <cell r="AT29" t="str">
            <v/>
          </cell>
        </row>
        <row r="30">
          <cell r="AI30" t="str">
            <v>BILOXI-GULFPORT-PASCAGOULA, MS</v>
          </cell>
          <cell r="AJ30" t="str">
            <v>Biloxi-Gulfport-Pascagoula, MS</v>
          </cell>
          <cell r="AK30" t="str">
            <v/>
          </cell>
          <cell r="AL30" t="str">
            <v/>
          </cell>
          <cell r="AM30" t="str">
            <v/>
          </cell>
          <cell r="AN30" t="str">
            <v/>
          </cell>
          <cell r="AO30" t="str">
            <v/>
          </cell>
          <cell r="AP30" t="str">
            <v/>
          </cell>
          <cell r="AQ30" t="str">
            <v/>
          </cell>
          <cell r="AR30" t="str">
            <v/>
          </cell>
          <cell r="AS30" t="str">
            <v/>
          </cell>
          <cell r="AT30" t="str">
            <v/>
          </cell>
        </row>
        <row r="31">
          <cell r="AI31" t="str">
            <v>BINGHAMTON, NY</v>
          </cell>
          <cell r="AJ31" t="str">
            <v>Binghamton, NY</v>
          </cell>
          <cell r="AK31" t="str">
            <v/>
          </cell>
          <cell r="AL31" t="str">
            <v/>
          </cell>
          <cell r="AM31" t="str">
            <v/>
          </cell>
          <cell r="AN31" t="str">
            <v/>
          </cell>
          <cell r="AO31" t="str">
            <v/>
          </cell>
          <cell r="AP31" t="str">
            <v/>
          </cell>
          <cell r="AQ31" t="str">
            <v/>
          </cell>
          <cell r="AR31" t="str">
            <v/>
          </cell>
          <cell r="AS31" t="str">
            <v/>
          </cell>
          <cell r="AT31" t="str">
            <v/>
          </cell>
        </row>
        <row r="32">
          <cell r="AI32" t="str">
            <v>BIRMINGHAM, AL</v>
          </cell>
          <cell r="AJ32" t="str">
            <v>Birmingham, AL</v>
          </cell>
          <cell r="AK32" t="str">
            <v>Birmingham, AL</v>
          </cell>
          <cell r="AL32" t="str">
            <v>Top 110</v>
          </cell>
          <cell r="AM32" t="str">
            <v>BS</v>
          </cell>
          <cell r="AN32" t="str">
            <v/>
          </cell>
          <cell r="AO32" t="str">
            <v/>
          </cell>
          <cell r="AP32" t="str">
            <v/>
          </cell>
          <cell r="AQ32" t="str">
            <v/>
          </cell>
          <cell r="AR32" t="str">
            <v/>
          </cell>
          <cell r="AS32" t="str">
            <v/>
          </cell>
          <cell r="AT32" t="str">
            <v/>
          </cell>
        </row>
        <row r="33">
          <cell r="AI33" t="str">
            <v>BISMARCK, ND</v>
          </cell>
          <cell r="AJ33" t="str">
            <v>Bismarck, ND</v>
          </cell>
          <cell r="AK33" t="str">
            <v/>
          </cell>
          <cell r="AL33" t="str">
            <v/>
          </cell>
          <cell r="AM33" t="str">
            <v/>
          </cell>
          <cell r="AN33" t="str">
            <v/>
          </cell>
          <cell r="AO33" t="str">
            <v/>
          </cell>
          <cell r="AP33" t="str">
            <v/>
          </cell>
          <cell r="AQ33" t="str">
            <v/>
          </cell>
          <cell r="AR33" t="str">
            <v/>
          </cell>
          <cell r="AS33" t="str">
            <v/>
          </cell>
          <cell r="AT33" t="str">
            <v/>
          </cell>
        </row>
        <row r="34">
          <cell r="AI34" t="str">
            <v>BLOOMINGTON, IN</v>
          </cell>
          <cell r="AJ34" t="str">
            <v>Bloomington, IN</v>
          </cell>
          <cell r="AK34" t="str">
            <v/>
          </cell>
          <cell r="AL34" t="str">
            <v/>
          </cell>
          <cell r="AM34" t="str">
            <v/>
          </cell>
          <cell r="AN34" t="str">
            <v/>
          </cell>
          <cell r="AO34" t="str">
            <v/>
          </cell>
          <cell r="AP34" t="str">
            <v/>
          </cell>
          <cell r="AQ34" t="str">
            <v/>
          </cell>
          <cell r="AR34" t="str">
            <v/>
          </cell>
          <cell r="AS34" t="str">
            <v/>
          </cell>
          <cell r="AT34" t="str">
            <v/>
          </cell>
        </row>
        <row r="35">
          <cell r="AI35" t="str">
            <v>BLOOMINGTON-NORMAL, IL</v>
          </cell>
          <cell r="AJ35" t="str">
            <v>Bloomington-Normal, IL</v>
          </cell>
          <cell r="AK35" t="str">
            <v/>
          </cell>
          <cell r="AL35" t="str">
            <v/>
          </cell>
          <cell r="AM35" t="str">
            <v/>
          </cell>
          <cell r="AN35" t="str">
            <v/>
          </cell>
          <cell r="AO35" t="str">
            <v/>
          </cell>
          <cell r="AP35" t="str">
            <v/>
          </cell>
          <cell r="AQ35" t="str">
            <v/>
          </cell>
          <cell r="AR35" t="str">
            <v/>
          </cell>
          <cell r="AS35" t="str">
            <v/>
          </cell>
          <cell r="AT35" t="str">
            <v/>
          </cell>
        </row>
        <row r="36">
          <cell r="AI36" t="str">
            <v>BOISE CITY, ID</v>
          </cell>
          <cell r="AJ36" t="str">
            <v>Boise, ID</v>
          </cell>
          <cell r="AK36" t="str">
            <v>Boise, ID</v>
          </cell>
          <cell r="AL36" t="str">
            <v>Top 110</v>
          </cell>
          <cell r="AM36" t="str">
            <v/>
          </cell>
          <cell r="AN36" t="str">
            <v/>
          </cell>
          <cell r="AO36" t="str">
            <v/>
          </cell>
          <cell r="AP36" t="str">
            <v/>
          </cell>
          <cell r="AQ36" t="str">
            <v/>
          </cell>
          <cell r="AR36" t="str">
            <v/>
          </cell>
          <cell r="AS36" t="str">
            <v/>
          </cell>
          <cell r="AT36" t="str">
            <v/>
          </cell>
        </row>
        <row r="37">
          <cell r="AI37" t="str">
            <v>BOSTON, MA</v>
          </cell>
          <cell r="AJ37" t="str">
            <v>Boston, MA</v>
          </cell>
          <cell r="AK37" t="str">
            <v>Boston, MA</v>
          </cell>
          <cell r="AL37" t="str">
            <v>Top 25</v>
          </cell>
          <cell r="AM37" t="str">
            <v>BS</v>
          </cell>
          <cell r="AN37" t="str">
            <v>Boston, MA</v>
          </cell>
          <cell r="AO37" t="str">
            <v>Boston, MA</v>
          </cell>
          <cell r="AP37" t="str">
            <v>BOSTON, MA</v>
          </cell>
          <cell r="AQ37" t="str">
            <v>Boston, MA</v>
          </cell>
          <cell r="AR37" t="str">
            <v>Boston, MA</v>
          </cell>
          <cell r="AS37" t="str">
            <v>Boston, MA</v>
          </cell>
          <cell r="AT37" t="str">
            <v/>
          </cell>
        </row>
        <row r="38">
          <cell r="AI38" t="str">
            <v>BOULDER-LONGMONT, CO</v>
          </cell>
          <cell r="AJ38" t="str">
            <v>Boulder-Longmont, CO</v>
          </cell>
          <cell r="AK38" t="str">
            <v/>
          </cell>
          <cell r="AL38" t="str">
            <v/>
          </cell>
          <cell r="AM38" t="str">
            <v/>
          </cell>
          <cell r="AN38" t="str">
            <v/>
          </cell>
          <cell r="AO38" t="str">
            <v/>
          </cell>
          <cell r="AP38" t="str">
            <v/>
          </cell>
          <cell r="AQ38" t="str">
            <v/>
          </cell>
          <cell r="AR38" t="str">
            <v/>
          </cell>
          <cell r="AS38" t="str">
            <v/>
          </cell>
          <cell r="AT38" t="str">
            <v/>
          </cell>
        </row>
        <row r="39">
          <cell r="AI39" t="str">
            <v>BREMERTON, WA</v>
          </cell>
          <cell r="AJ39" t="str">
            <v>Bremerton, WA</v>
          </cell>
          <cell r="AK39" t="str">
            <v/>
          </cell>
          <cell r="AL39" t="str">
            <v/>
          </cell>
          <cell r="AM39" t="str">
            <v/>
          </cell>
          <cell r="AN39" t="str">
            <v/>
          </cell>
          <cell r="AO39" t="str">
            <v/>
          </cell>
          <cell r="AP39" t="str">
            <v/>
          </cell>
          <cell r="AQ39" t="str">
            <v/>
          </cell>
          <cell r="AR39" t="str">
            <v/>
          </cell>
          <cell r="AS39" t="str">
            <v/>
          </cell>
          <cell r="AT39" t="str">
            <v/>
          </cell>
        </row>
        <row r="40">
          <cell r="AI40" t="str">
            <v>BROCKTON, MA</v>
          </cell>
          <cell r="AJ40" t="str">
            <v>Brockton, MA</v>
          </cell>
          <cell r="AK40" t="str">
            <v/>
          </cell>
          <cell r="AL40" t="str">
            <v/>
          </cell>
          <cell r="AM40" t="str">
            <v/>
          </cell>
          <cell r="AN40" t="str">
            <v/>
          </cell>
          <cell r="AO40" t="str">
            <v/>
          </cell>
          <cell r="AP40" t="str">
            <v/>
          </cell>
          <cell r="AQ40" t="str">
            <v/>
          </cell>
          <cell r="AR40" t="str">
            <v/>
          </cell>
          <cell r="AS40" t="str">
            <v/>
          </cell>
          <cell r="AT40" t="str">
            <v/>
          </cell>
        </row>
        <row r="41">
          <cell r="AI41" t="str">
            <v>BROWNSVILLE-HARLINGEN-SAN BENITO, TX</v>
          </cell>
          <cell r="AJ41" t="str">
            <v>Brownsville-Harlingen-San Bernito, TX</v>
          </cell>
          <cell r="AK41" t="str">
            <v/>
          </cell>
          <cell r="AL41" t="str">
            <v/>
          </cell>
          <cell r="AM41" t="str">
            <v/>
          </cell>
          <cell r="AN41" t="str">
            <v/>
          </cell>
          <cell r="AO41" t="str">
            <v/>
          </cell>
          <cell r="AP41" t="str">
            <v/>
          </cell>
          <cell r="AQ41" t="str">
            <v/>
          </cell>
          <cell r="AR41" t="str">
            <v/>
          </cell>
          <cell r="AS41" t="str">
            <v/>
          </cell>
          <cell r="AT41" t="str">
            <v/>
          </cell>
        </row>
        <row r="42">
          <cell r="AI42" t="str">
            <v>BRYAN-COLLEGE STATION, TX</v>
          </cell>
          <cell r="AJ42" t="str">
            <v>Bryan-College Station, TX</v>
          </cell>
          <cell r="AK42" t="str">
            <v/>
          </cell>
          <cell r="AL42" t="str">
            <v/>
          </cell>
          <cell r="AM42" t="str">
            <v/>
          </cell>
          <cell r="AN42" t="str">
            <v/>
          </cell>
          <cell r="AO42" t="str">
            <v/>
          </cell>
          <cell r="AP42" t="str">
            <v/>
          </cell>
          <cell r="AQ42" t="str">
            <v/>
          </cell>
          <cell r="AR42" t="str">
            <v/>
          </cell>
          <cell r="AS42" t="str">
            <v/>
          </cell>
          <cell r="AT42" t="str">
            <v/>
          </cell>
        </row>
        <row r="43">
          <cell r="AI43" t="str">
            <v>BUFFALO-NIAGARA FALLS, NY</v>
          </cell>
          <cell r="AJ43" t="str">
            <v>Buffalo-Niagara Falls, NY</v>
          </cell>
          <cell r="AK43" t="str">
            <v>Buffalo, NY</v>
          </cell>
          <cell r="AL43" t="str">
            <v>Top 50</v>
          </cell>
          <cell r="AM43" t="str">
            <v>BS</v>
          </cell>
          <cell r="AN43" t="str">
            <v/>
          </cell>
          <cell r="AO43" t="str">
            <v/>
          </cell>
          <cell r="AP43" t="str">
            <v/>
          </cell>
          <cell r="AQ43" t="str">
            <v/>
          </cell>
          <cell r="AR43" t="str">
            <v/>
          </cell>
          <cell r="AS43" t="str">
            <v/>
          </cell>
          <cell r="AT43" t="str">
            <v/>
          </cell>
        </row>
        <row r="44">
          <cell r="AI44" t="str">
            <v>BURLINGTON, VT</v>
          </cell>
          <cell r="AJ44" t="str">
            <v>Burlington, VT</v>
          </cell>
          <cell r="AK44" t="str">
            <v>Burlington, VT</v>
          </cell>
          <cell r="AL44" t="str">
            <v>Top 110</v>
          </cell>
          <cell r="AM44" t="str">
            <v/>
          </cell>
          <cell r="AN44" t="str">
            <v/>
          </cell>
          <cell r="AO44" t="str">
            <v/>
          </cell>
          <cell r="AP44" t="str">
            <v/>
          </cell>
          <cell r="AQ44" t="str">
            <v/>
          </cell>
          <cell r="AR44" t="str">
            <v/>
          </cell>
          <cell r="AS44" t="str">
            <v/>
          </cell>
          <cell r="AT44" t="str">
            <v/>
          </cell>
        </row>
        <row r="45">
          <cell r="AI45" t="str">
            <v>CANTON-MASSILLON, OH</v>
          </cell>
          <cell r="AJ45" t="str">
            <v>Canton-Massillon, OH</v>
          </cell>
          <cell r="AK45" t="str">
            <v/>
          </cell>
          <cell r="AL45" t="str">
            <v/>
          </cell>
          <cell r="AM45" t="str">
            <v/>
          </cell>
          <cell r="AN45" t="str">
            <v/>
          </cell>
          <cell r="AO45" t="str">
            <v/>
          </cell>
          <cell r="AP45" t="str">
            <v/>
          </cell>
          <cell r="AQ45" t="str">
            <v/>
          </cell>
          <cell r="AR45" t="str">
            <v/>
          </cell>
          <cell r="AS45" t="str">
            <v/>
          </cell>
          <cell r="AT45" t="str">
            <v/>
          </cell>
        </row>
        <row r="46">
          <cell r="AI46" t="str">
            <v>CASPER, WY</v>
          </cell>
          <cell r="AJ46" t="str">
            <v>Casper, WY</v>
          </cell>
          <cell r="AK46" t="str">
            <v/>
          </cell>
          <cell r="AL46" t="str">
            <v/>
          </cell>
          <cell r="AM46" t="str">
            <v/>
          </cell>
          <cell r="AN46" t="str">
            <v/>
          </cell>
          <cell r="AO46" t="str">
            <v/>
          </cell>
          <cell r="AP46" t="str">
            <v/>
          </cell>
          <cell r="AQ46" t="str">
            <v/>
          </cell>
          <cell r="AR46" t="str">
            <v/>
          </cell>
          <cell r="AS46" t="str">
            <v/>
          </cell>
          <cell r="AT46" t="str">
            <v/>
          </cell>
        </row>
        <row r="47">
          <cell r="AI47" t="str">
            <v>CEDAR RAPIDS, IA</v>
          </cell>
          <cell r="AJ47" t="str">
            <v>Cedar Rapids, IA</v>
          </cell>
          <cell r="AK47" t="str">
            <v/>
          </cell>
          <cell r="AL47" t="str">
            <v/>
          </cell>
          <cell r="AM47" t="str">
            <v/>
          </cell>
          <cell r="AN47" t="str">
            <v/>
          </cell>
          <cell r="AO47" t="str">
            <v/>
          </cell>
          <cell r="AP47" t="str">
            <v/>
          </cell>
          <cell r="AQ47" t="str">
            <v/>
          </cell>
          <cell r="AR47" t="str">
            <v/>
          </cell>
          <cell r="AS47" t="str">
            <v/>
          </cell>
          <cell r="AT47" t="str">
            <v/>
          </cell>
        </row>
        <row r="48">
          <cell r="AI48" t="str">
            <v>CHAMPAIGN-URBANA, IL</v>
          </cell>
          <cell r="AJ48" t="str">
            <v>Champaign-Urbana, IL</v>
          </cell>
          <cell r="AK48" t="str">
            <v/>
          </cell>
          <cell r="AL48" t="str">
            <v/>
          </cell>
          <cell r="AM48" t="str">
            <v/>
          </cell>
          <cell r="AN48" t="str">
            <v/>
          </cell>
          <cell r="AO48" t="str">
            <v/>
          </cell>
          <cell r="AP48" t="str">
            <v/>
          </cell>
          <cell r="AQ48" t="str">
            <v/>
          </cell>
          <cell r="AR48" t="str">
            <v/>
          </cell>
          <cell r="AS48" t="str">
            <v/>
          </cell>
          <cell r="AT48" t="str">
            <v/>
          </cell>
        </row>
        <row r="49">
          <cell r="AI49" t="str">
            <v>CHARLESTON, WV</v>
          </cell>
          <cell r="AJ49" t="str">
            <v>Charleston, WV</v>
          </cell>
          <cell r="AK49" t="str">
            <v>Charleston, WV</v>
          </cell>
          <cell r="AL49" t="str">
            <v>Top 110</v>
          </cell>
          <cell r="AM49" t="str">
            <v/>
          </cell>
          <cell r="AN49" t="str">
            <v/>
          </cell>
          <cell r="AO49" t="str">
            <v/>
          </cell>
          <cell r="AP49" t="str">
            <v/>
          </cell>
          <cell r="AQ49" t="str">
            <v/>
          </cell>
          <cell r="AR49" t="str">
            <v/>
          </cell>
          <cell r="AS49" t="str">
            <v/>
          </cell>
          <cell r="AT49" t="str">
            <v/>
          </cell>
        </row>
        <row r="50">
          <cell r="AI50" t="str">
            <v>CHARLESTON-NORTH CHARLESTON, SC</v>
          </cell>
          <cell r="AJ50" t="str">
            <v>Charleston, SC</v>
          </cell>
          <cell r="AK50" t="str">
            <v>Charleston, SC</v>
          </cell>
          <cell r="AL50" t="str">
            <v>Top 110</v>
          </cell>
          <cell r="AM50" t="str">
            <v>BS</v>
          </cell>
          <cell r="AN50" t="str">
            <v/>
          </cell>
          <cell r="AO50" t="str">
            <v/>
          </cell>
          <cell r="AP50" t="str">
            <v/>
          </cell>
          <cell r="AQ50" t="str">
            <v/>
          </cell>
          <cell r="AR50" t="str">
            <v/>
          </cell>
          <cell r="AS50" t="str">
            <v/>
          </cell>
          <cell r="AT50" t="str">
            <v>Charleston, SC</v>
          </cell>
        </row>
        <row r="51">
          <cell r="AI51" t="str">
            <v>CHARLOTTE-GASTONIA-ROCK HILL, NC-SC</v>
          </cell>
          <cell r="AJ51" t="str">
            <v>Charlotte-Gastonia, NC-SC</v>
          </cell>
          <cell r="AK51" t="str">
            <v>Charlotte, NC</v>
          </cell>
          <cell r="AL51" t="str">
            <v>Top 50</v>
          </cell>
          <cell r="AM51" t="str">
            <v>BS</v>
          </cell>
          <cell r="AN51" t="str">
            <v>Charlotte, NC</v>
          </cell>
          <cell r="AO51" t="str">
            <v/>
          </cell>
          <cell r="AP51" t="str">
            <v>CHARLOTTE, NC</v>
          </cell>
          <cell r="AQ51" t="str">
            <v>Charlotte, NC</v>
          </cell>
          <cell r="AR51" t="str">
            <v/>
          </cell>
          <cell r="AS51" t="str">
            <v/>
          </cell>
          <cell r="AT51" t="str">
            <v>Charlotte, NC</v>
          </cell>
        </row>
        <row r="52">
          <cell r="AI52" t="str">
            <v>CHARLOTTESVILLE, VA</v>
          </cell>
          <cell r="AJ52" t="str">
            <v>Charlottesville, VA</v>
          </cell>
          <cell r="AK52" t="str">
            <v/>
          </cell>
          <cell r="AL52" t="str">
            <v/>
          </cell>
          <cell r="AM52" t="str">
            <v/>
          </cell>
          <cell r="AN52" t="str">
            <v/>
          </cell>
          <cell r="AO52" t="str">
            <v/>
          </cell>
          <cell r="AP52" t="str">
            <v/>
          </cell>
          <cell r="AQ52" t="str">
            <v/>
          </cell>
          <cell r="AR52" t="str">
            <v/>
          </cell>
          <cell r="AS52" t="str">
            <v/>
          </cell>
          <cell r="AT52" t="str">
            <v/>
          </cell>
        </row>
        <row r="53">
          <cell r="AI53" t="str">
            <v>CHATTANOOGA, TN-GA</v>
          </cell>
          <cell r="AJ53" t="str">
            <v>Chattanooga, TN-GA</v>
          </cell>
          <cell r="AK53" t="str">
            <v/>
          </cell>
          <cell r="AL53" t="str">
            <v/>
          </cell>
          <cell r="AM53" t="str">
            <v/>
          </cell>
          <cell r="AN53" t="str">
            <v/>
          </cell>
          <cell r="AO53" t="str">
            <v/>
          </cell>
          <cell r="AP53" t="str">
            <v/>
          </cell>
          <cell r="AQ53" t="str">
            <v/>
          </cell>
          <cell r="AR53" t="str">
            <v/>
          </cell>
          <cell r="AS53" t="str">
            <v/>
          </cell>
          <cell r="AT53" t="str">
            <v/>
          </cell>
        </row>
        <row r="54">
          <cell r="AI54" t="str">
            <v>CHEYENNE, WY</v>
          </cell>
          <cell r="AJ54" t="str">
            <v>Cheyenne, WY</v>
          </cell>
          <cell r="AK54" t="str">
            <v/>
          </cell>
          <cell r="AL54" t="str">
            <v/>
          </cell>
          <cell r="AM54" t="str">
            <v/>
          </cell>
          <cell r="AN54" t="str">
            <v/>
          </cell>
          <cell r="AO54" t="str">
            <v/>
          </cell>
          <cell r="AP54" t="str">
            <v/>
          </cell>
          <cell r="AQ54" t="str">
            <v/>
          </cell>
          <cell r="AR54" t="str">
            <v/>
          </cell>
          <cell r="AS54" t="str">
            <v/>
          </cell>
          <cell r="AT54" t="str">
            <v/>
          </cell>
        </row>
        <row r="55">
          <cell r="AI55" t="str">
            <v>CHICAGO, IL</v>
          </cell>
          <cell r="AJ55" t="str">
            <v>Chicago, IL</v>
          </cell>
          <cell r="AK55" t="str">
            <v>Chicago, IL</v>
          </cell>
          <cell r="AL55" t="str">
            <v>Top 25</v>
          </cell>
          <cell r="AM55" t="str">
            <v>BS</v>
          </cell>
          <cell r="AN55" t="str">
            <v>Chicago, IL</v>
          </cell>
          <cell r="AO55" t="str">
            <v>Chicago, IL</v>
          </cell>
          <cell r="AP55" t="str">
            <v>CHICAGO, IL</v>
          </cell>
          <cell r="AQ55" t="str">
            <v>Chicago, IL</v>
          </cell>
          <cell r="AR55" t="str">
            <v>Chicago, IL</v>
          </cell>
          <cell r="AS55" t="str">
            <v>Chicago, IL</v>
          </cell>
          <cell r="AT55" t="str">
            <v>Chicago, IL</v>
          </cell>
        </row>
        <row r="56">
          <cell r="AI56" t="str">
            <v>CHICO-PARADISE, CA</v>
          </cell>
          <cell r="AJ56" t="str">
            <v>Chico-Paradise, CA</v>
          </cell>
          <cell r="AK56" t="str">
            <v/>
          </cell>
          <cell r="AL56" t="str">
            <v/>
          </cell>
          <cell r="AM56" t="str">
            <v/>
          </cell>
          <cell r="AN56" t="str">
            <v/>
          </cell>
          <cell r="AO56" t="str">
            <v/>
          </cell>
          <cell r="AP56" t="str">
            <v/>
          </cell>
          <cell r="AQ56" t="str">
            <v/>
          </cell>
          <cell r="AR56" t="str">
            <v/>
          </cell>
          <cell r="AS56" t="str">
            <v/>
          </cell>
          <cell r="AT56" t="str">
            <v/>
          </cell>
        </row>
        <row r="57">
          <cell r="AI57" t="str">
            <v>CINCINNATI, OH-KY-IN</v>
          </cell>
          <cell r="AJ57" t="str">
            <v>Cincinnati, OH-KY-IN</v>
          </cell>
          <cell r="AK57" t="str">
            <v>Cincinnati, OH</v>
          </cell>
          <cell r="AL57" t="str">
            <v>Top 50</v>
          </cell>
          <cell r="AM57" t="str">
            <v>BS</v>
          </cell>
          <cell r="AN57" t="str">
            <v>Cincinnati, OH</v>
          </cell>
          <cell r="AO57" t="str">
            <v/>
          </cell>
          <cell r="AP57" t="str">
            <v/>
          </cell>
          <cell r="AQ57" t="str">
            <v/>
          </cell>
          <cell r="AR57" t="str">
            <v/>
          </cell>
          <cell r="AS57" t="str">
            <v/>
          </cell>
          <cell r="AT57" t="str">
            <v/>
          </cell>
        </row>
        <row r="58">
          <cell r="AI58" t="str">
            <v>CLARKSVILLE-HOPKINSVILLE, TN-KY</v>
          </cell>
          <cell r="AJ58" t="str">
            <v>Clarksville-Hopkinsville, TN-KY</v>
          </cell>
          <cell r="AK58" t="str">
            <v/>
          </cell>
          <cell r="AL58" t="str">
            <v/>
          </cell>
          <cell r="AM58" t="str">
            <v/>
          </cell>
          <cell r="AN58" t="str">
            <v/>
          </cell>
          <cell r="AO58" t="str">
            <v/>
          </cell>
          <cell r="AP58" t="str">
            <v/>
          </cell>
          <cell r="AQ58" t="str">
            <v/>
          </cell>
          <cell r="AR58" t="str">
            <v/>
          </cell>
          <cell r="AS58" t="str">
            <v/>
          </cell>
          <cell r="AT58" t="str">
            <v/>
          </cell>
        </row>
        <row r="59">
          <cell r="AI59" t="str">
            <v>CLEVELAND-LORAIN-ELYRIA, OH</v>
          </cell>
          <cell r="AJ59" t="str">
            <v>Cleveland, OH</v>
          </cell>
          <cell r="AK59" t="str">
            <v>Cleveland, OH</v>
          </cell>
          <cell r="AL59" t="str">
            <v>Top 25</v>
          </cell>
          <cell r="AM59" t="str">
            <v>BS</v>
          </cell>
          <cell r="AN59" t="str">
            <v>Cleveland, OH</v>
          </cell>
          <cell r="AO59" t="str">
            <v/>
          </cell>
          <cell r="AP59" t="str">
            <v/>
          </cell>
          <cell r="AQ59" t="str">
            <v/>
          </cell>
          <cell r="AR59" t="str">
            <v/>
          </cell>
          <cell r="AS59" t="str">
            <v/>
          </cell>
          <cell r="AT59" t="str">
            <v/>
          </cell>
        </row>
        <row r="60">
          <cell r="AI60" t="str">
            <v>COLORADO SPRINGS, CO</v>
          </cell>
          <cell r="AJ60" t="str">
            <v>Colorado Springs, CO</v>
          </cell>
          <cell r="AK60" t="str">
            <v/>
          </cell>
          <cell r="AL60" t="str">
            <v/>
          </cell>
          <cell r="AM60" t="str">
            <v/>
          </cell>
          <cell r="AN60" t="str">
            <v/>
          </cell>
          <cell r="AO60" t="str">
            <v/>
          </cell>
          <cell r="AP60" t="str">
            <v/>
          </cell>
          <cell r="AQ60" t="str">
            <v/>
          </cell>
          <cell r="AR60" t="str">
            <v/>
          </cell>
          <cell r="AS60" t="str">
            <v/>
          </cell>
          <cell r="AT60" t="str">
            <v/>
          </cell>
        </row>
        <row r="61">
          <cell r="AI61" t="str">
            <v>COLUMBIA, MO</v>
          </cell>
          <cell r="AJ61" t="str">
            <v>Columbia, MO</v>
          </cell>
          <cell r="AK61" t="str">
            <v/>
          </cell>
          <cell r="AL61" t="str">
            <v/>
          </cell>
          <cell r="AM61" t="str">
            <v/>
          </cell>
          <cell r="AN61" t="str">
            <v/>
          </cell>
          <cell r="AO61" t="str">
            <v/>
          </cell>
          <cell r="AP61" t="str">
            <v/>
          </cell>
          <cell r="AQ61" t="str">
            <v/>
          </cell>
          <cell r="AR61" t="str">
            <v/>
          </cell>
          <cell r="AS61" t="str">
            <v/>
          </cell>
          <cell r="AT61" t="str">
            <v/>
          </cell>
        </row>
        <row r="62">
          <cell r="AI62" t="str">
            <v>COLUMBIA, SC</v>
          </cell>
          <cell r="AJ62" t="str">
            <v>Columbia, SC</v>
          </cell>
          <cell r="AK62" t="str">
            <v>Columbia, SC</v>
          </cell>
          <cell r="AL62" t="str">
            <v>Top 110</v>
          </cell>
          <cell r="AM62" t="str">
            <v>BS</v>
          </cell>
          <cell r="AN62" t="str">
            <v/>
          </cell>
          <cell r="AO62" t="str">
            <v/>
          </cell>
          <cell r="AP62" t="str">
            <v/>
          </cell>
          <cell r="AQ62" t="str">
            <v/>
          </cell>
          <cell r="AR62" t="str">
            <v/>
          </cell>
          <cell r="AS62" t="str">
            <v/>
          </cell>
          <cell r="AT62" t="str">
            <v/>
          </cell>
        </row>
        <row r="63">
          <cell r="AI63" t="str">
            <v>COLUMBUS, GA-AL</v>
          </cell>
          <cell r="AJ63" t="str">
            <v>Columbus, GA-AL</v>
          </cell>
          <cell r="AK63" t="str">
            <v/>
          </cell>
          <cell r="AL63" t="str">
            <v/>
          </cell>
          <cell r="AM63" t="str">
            <v/>
          </cell>
          <cell r="AN63" t="str">
            <v/>
          </cell>
          <cell r="AO63" t="str">
            <v/>
          </cell>
          <cell r="AP63" t="str">
            <v/>
          </cell>
          <cell r="AQ63" t="str">
            <v/>
          </cell>
          <cell r="AR63" t="str">
            <v/>
          </cell>
          <cell r="AS63" t="str">
            <v/>
          </cell>
          <cell r="AT63" t="str">
            <v/>
          </cell>
        </row>
        <row r="64">
          <cell r="AI64" t="str">
            <v>COLUMBUS, OH</v>
          </cell>
          <cell r="AJ64" t="str">
            <v>Columbus, OH</v>
          </cell>
          <cell r="AK64" t="str">
            <v>Columbus, OH</v>
          </cell>
          <cell r="AL64" t="str">
            <v>Top 50</v>
          </cell>
          <cell r="AM64" t="str">
            <v>BS</v>
          </cell>
          <cell r="AN64" t="str">
            <v>Columbus, OH</v>
          </cell>
          <cell r="AO64" t="str">
            <v/>
          </cell>
          <cell r="AP64" t="str">
            <v/>
          </cell>
          <cell r="AQ64" t="str">
            <v/>
          </cell>
          <cell r="AR64" t="str">
            <v/>
          </cell>
          <cell r="AS64" t="str">
            <v/>
          </cell>
          <cell r="AT64" t="str">
            <v/>
          </cell>
        </row>
        <row r="65">
          <cell r="AI65" t="str">
            <v>CORPUS CHRISTI, TX</v>
          </cell>
          <cell r="AJ65" t="str">
            <v>Corpus Christi, TX</v>
          </cell>
          <cell r="AK65" t="str">
            <v/>
          </cell>
          <cell r="AL65" t="str">
            <v/>
          </cell>
          <cell r="AM65" t="str">
            <v/>
          </cell>
          <cell r="AN65" t="str">
            <v/>
          </cell>
          <cell r="AO65" t="str">
            <v/>
          </cell>
          <cell r="AP65" t="str">
            <v/>
          </cell>
          <cell r="AQ65" t="str">
            <v/>
          </cell>
          <cell r="AR65" t="str">
            <v/>
          </cell>
          <cell r="AS65" t="str">
            <v/>
          </cell>
          <cell r="AT65" t="str">
            <v/>
          </cell>
        </row>
        <row r="66">
          <cell r="AI66" t="str">
            <v>DALLAS, TX</v>
          </cell>
          <cell r="AJ66" t="str">
            <v>Dallas, TX</v>
          </cell>
          <cell r="AK66" t="str">
            <v>Dallas, TX</v>
          </cell>
          <cell r="AL66" t="str">
            <v>Top 25</v>
          </cell>
          <cell r="AM66" t="str">
            <v>BS</v>
          </cell>
          <cell r="AN66" t="str">
            <v>Dallas, TX</v>
          </cell>
          <cell r="AO66" t="str">
            <v>Dallas, TX</v>
          </cell>
          <cell r="AP66" t="str">
            <v>DALLAS, TX</v>
          </cell>
          <cell r="AQ66" t="str">
            <v>Dallas, TX</v>
          </cell>
          <cell r="AR66" t="str">
            <v>Dallas, TX</v>
          </cell>
          <cell r="AS66" t="str">
            <v>Dallas, TX</v>
          </cell>
          <cell r="AT66" t="str">
            <v/>
          </cell>
        </row>
        <row r="67">
          <cell r="AI67" t="str">
            <v>DANBURY, CT</v>
          </cell>
          <cell r="AJ67" t="str">
            <v>Danbury, CT</v>
          </cell>
          <cell r="AK67" t="str">
            <v/>
          </cell>
          <cell r="AL67" t="str">
            <v/>
          </cell>
          <cell r="AM67" t="str">
            <v/>
          </cell>
          <cell r="AN67" t="str">
            <v/>
          </cell>
          <cell r="AO67" t="str">
            <v>New York Suburban</v>
          </cell>
          <cell r="AP67" t="str">
            <v/>
          </cell>
          <cell r="AQ67" t="str">
            <v/>
          </cell>
          <cell r="AR67" t="str">
            <v/>
          </cell>
          <cell r="AS67" t="str">
            <v/>
          </cell>
          <cell r="AT67" t="str">
            <v/>
          </cell>
        </row>
        <row r="68">
          <cell r="AI68" t="str">
            <v>DANVILLE, VA</v>
          </cell>
          <cell r="AJ68" t="str">
            <v>Danville, VA</v>
          </cell>
          <cell r="AK68" t="str">
            <v/>
          </cell>
          <cell r="AL68" t="str">
            <v/>
          </cell>
          <cell r="AM68" t="str">
            <v/>
          </cell>
          <cell r="AN68" t="str">
            <v/>
          </cell>
          <cell r="AO68" t="str">
            <v/>
          </cell>
          <cell r="AP68" t="str">
            <v/>
          </cell>
          <cell r="AQ68" t="str">
            <v/>
          </cell>
          <cell r="AR68" t="str">
            <v/>
          </cell>
          <cell r="AS68" t="str">
            <v/>
          </cell>
          <cell r="AT68" t="str">
            <v/>
          </cell>
        </row>
        <row r="69">
          <cell r="AI69" t="str">
            <v>DAVENPORT-MOLINE-ROCK ISLAND, IA-IL</v>
          </cell>
          <cell r="AJ69" t="str">
            <v>Davenport-Moline-Rock Island, IA-IL</v>
          </cell>
          <cell r="AK69" t="str">
            <v/>
          </cell>
          <cell r="AL69" t="str">
            <v/>
          </cell>
          <cell r="AM69" t="str">
            <v>BS</v>
          </cell>
          <cell r="AN69" t="str">
            <v/>
          </cell>
          <cell r="AO69" t="str">
            <v/>
          </cell>
          <cell r="AP69" t="str">
            <v/>
          </cell>
          <cell r="AQ69" t="str">
            <v/>
          </cell>
          <cell r="AR69" t="str">
            <v/>
          </cell>
          <cell r="AS69" t="str">
            <v/>
          </cell>
          <cell r="AT69" t="str">
            <v/>
          </cell>
        </row>
        <row r="70">
          <cell r="AI70" t="str">
            <v>DAYTON-SPRINGFIELD, OH</v>
          </cell>
          <cell r="AJ70" t="str">
            <v>Dayton-Springfield, OH</v>
          </cell>
          <cell r="AK70" t="str">
            <v>Dayton, OH</v>
          </cell>
          <cell r="AL70" t="str">
            <v>Top 110</v>
          </cell>
          <cell r="AM70" t="str">
            <v>BS</v>
          </cell>
          <cell r="AN70" t="str">
            <v/>
          </cell>
          <cell r="AO70" t="str">
            <v/>
          </cell>
          <cell r="AP70" t="str">
            <v/>
          </cell>
          <cell r="AQ70" t="str">
            <v/>
          </cell>
          <cell r="AR70" t="str">
            <v/>
          </cell>
          <cell r="AS70" t="str">
            <v/>
          </cell>
          <cell r="AT70" t="str">
            <v/>
          </cell>
        </row>
        <row r="71">
          <cell r="AI71" t="str">
            <v>DAYTONA BEACH, FL</v>
          </cell>
          <cell r="AJ71" t="str">
            <v>Daytona Beach, FL</v>
          </cell>
          <cell r="AK71" t="str">
            <v/>
          </cell>
          <cell r="AL71" t="str">
            <v/>
          </cell>
          <cell r="AM71" t="str">
            <v>BS</v>
          </cell>
          <cell r="AN71" t="str">
            <v/>
          </cell>
          <cell r="AO71" t="str">
            <v/>
          </cell>
          <cell r="AP71" t="str">
            <v/>
          </cell>
          <cell r="AQ71" t="str">
            <v/>
          </cell>
          <cell r="AR71" t="str">
            <v/>
          </cell>
          <cell r="AS71" t="str">
            <v/>
          </cell>
          <cell r="AT71" t="str">
            <v>Daytona, FL</v>
          </cell>
        </row>
        <row r="72">
          <cell r="AI72" t="str">
            <v>DECATUR, AL</v>
          </cell>
          <cell r="AJ72" t="str">
            <v>Decatur, AL</v>
          </cell>
          <cell r="AK72" t="str">
            <v/>
          </cell>
          <cell r="AL72" t="str">
            <v/>
          </cell>
          <cell r="AM72" t="str">
            <v/>
          </cell>
          <cell r="AN72" t="str">
            <v/>
          </cell>
          <cell r="AO72" t="str">
            <v/>
          </cell>
          <cell r="AP72" t="str">
            <v/>
          </cell>
          <cell r="AQ72" t="str">
            <v/>
          </cell>
          <cell r="AR72" t="str">
            <v/>
          </cell>
          <cell r="AS72" t="str">
            <v/>
          </cell>
          <cell r="AT72" t="str">
            <v/>
          </cell>
        </row>
        <row r="73">
          <cell r="AI73" t="str">
            <v>DECATUR, IL</v>
          </cell>
          <cell r="AJ73" t="str">
            <v>Decatur, IL</v>
          </cell>
          <cell r="AK73" t="str">
            <v/>
          </cell>
          <cell r="AL73" t="str">
            <v/>
          </cell>
          <cell r="AM73" t="str">
            <v/>
          </cell>
          <cell r="AN73" t="str">
            <v/>
          </cell>
          <cell r="AO73" t="str">
            <v/>
          </cell>
          <cell r="AP73" t="str">
            <v/>
          </cell>
          <cell r="AQ73" t="str">
            <v/>
          </cell>
          <cell r="AR73" t="str">
            <v/>
          </cell>
          <cell r="AS73" t="str">
            <v/>
          </cell>
          <cell r="AT73" t="str">
            <v/>
          </cell>
        </row>
        <row r="74">
          <cell r="AI74" t="str">
            <v>DENVER, CO</v>
          </cell>
          <cell r="AJ74" t="str">
            <v>Denver, CO</v>
          </cell>
          <cell r="AK74" t="str">
            <v>Denver, CO</v>
          </cell>
          <cell r="AL74" t="str">
            <v>Top 50</v>
          </cell>
          <cell r="AM74" t="str">
            <v>BS</v>
          </cell>
          <cell r="AN74" t="str">
            <v>Denver, CO</v>
          </cell>
          <cell r="AO74" t="str">
            <v>Denver, CO</v>
          </cell>
          <cell r="AP74" t="str">
            <v>DENVER, CO</v>
          </cell>
          <cell r="AQ74" t="str">
            <v>Denver, CO</v>
          </cell>
          <cell r="AR74" t="str">
            <v>Denver, CO</v>
          </cell>
          <cell r="AS74" t="str">
            <v/>
          </cell>
          <cell r="AT74" t="str">
            <v>Denver, CO</v>
          </cell>
        </row>
        <row r="75">
          <cell r="AI75" t="str">
            <v>DES MOINES, IA</v>
          </cell>
          <cell r="AJ75" t="str">
            <v>Des Moines, IA</v>
          </cell>
          <cell r="AK75" t="str">
            <v>Des Moines, IA</v>
          </cell>
          <cell r="AL75" t="str">
            <v>Top 110</v>
          </cell>
          <cell r="AM75" t="str">
            <v/>
          </cell>
          <cell r="AN75" t="str">
            <v/>
          </cell>
          <cell r="AO75" t="str">
            <v/>
          </cell>
          <cell r="AP75" t="str">
            <v/>
          </cell>
          <cell r="AQ75" t="str">
            <v/>
          </cell>
          <cell r="AR75" t="str">
            <v/>
          </cell>
          <cell r="AS75" t="str">
            <v/>
          </cell>
          <cell r="AT75" t="str">
            <v/>
          </cell>
        </row>
        <row r="76">
          <cell r="AI76" t="str">
            <v>DETROIT, MI</v>
          </cell>
          <cell r="AJ76" t="str">
            <v>Detroit, MI</v>
          </cell>
          <cell r="AK76" t="str">
            <v>Detroit, MI</v>
          </cell>
          <cell r="AL76" t="str">
            <v>Top 25</v>
          </cell>
          <cell r="AM76" t="str">
            <v>BS</v>
          </cell>
          <cell r="AN76" t="str">
            <v>Detroit, MI</v>
          </cell>
          <cell r="AO76" t="str">
            <v>Detroit, MI</v>
          </cell>
          <cell r="AP76" t="str">
            <v>DETROIT, MI</v>
          </cell>
          <cell r="AQ76" t="str">
            <v>Detroit, MI</v>
          </cell>
          <cell r="AR76" t="str">
            <v>Detroit, MI</v>
          </cell>
          <cell r="AS76" t="str">
            <v/>
          </cell>
          <cell r="AT76" t="str">
            <v/>
          </cell>
        </row>
        <row r="77">
          <cell r="AI77" t="str">
            <v>DOTHAN, AL</v>
          </cell>
          <cell r="AJ77" t="str">
            <v>Dothan, AL</v>
          </cell>
          <cell r="AK77" t="str">
            <v/>
          </cell>
          <cell r="AL77" t="str">
            <v/>
          </cell>
          <cell r="AM77" t="str">
            <v/>
          </cell>
          <cell r="AN77" t="str">
            <v/>
          </cell>
          <cell r="AO77" t="str">
            <v/>
          </cell>
          <cell r="AP77" t="str">
            <v/>
          </cell>
          <cell r="AQ77" t="str">
            <v/>
          </cell>
          <cell r="AR77" t="str">
            <v/>
          </cell>
          <cell r="AS77" t="str">
            <v/>
          </cell>
          <cell r="AT77" t="str">
            <v/>
          </cell>
        </row>
        <row r="78">
          <cell r="AI78" t="str">
            <v>DOVER, DE</v>
          </cell>
          <cell r="AJ78" t="str">
            <v>Dover, DE</v>
          </cell>
          <cell r="AK78" t="str">
            <v/>
          </cell>
          <cell r="AL78" t="str">
            <v/>
          </cell>
          <cell r="AM78" t="str">
            <v/>
          </cell>
          <cell r="AN78" t="str">
            <v/>
          </cell>
          <cell r="AO78" t="str">
            <v/>
          </cell>
          <cell r="AP78" t="str">
            <v/>
          </cell>
          <cell r="AQ78" t="str">
            <v/>
          </cell>
          <cell r="AR78" t="str">
            <v/>
          </cell>
          <cell r="AS78" t="str">
            <v/>
          </cell>
          <cell r="AT78" t="str">
            <v/>
          </cell>
        </row>
        <row r="79">
          <cell r="AI79" t="str">
            <v>DUBUQUE, IA</v>
          </cell>
          <cell r="AJ79" t="str">
            <v>Dubuque, IA</v>
          </cell>
          <cell r="AK79" t="str">
            <v/>
          </cell>
          <cell r="AL79" t="str">
            <v/>
          </cell>
          <cell r="AM79" t="str">
            <v/>
          </cell>
          <cell r="AN79" t="str">
            <v/>
          </cell>
          <cell r="AO79" t="str">
            <v/>
          </cell>
          <cell r="AP79" t="str">
            <v/>
          </cell>
          <cell r="AQ79" t="str">
            <v/>
          </cell>
          <cell r="AR79" t="str">
            <v/>
          </cell>
          <cell r="AS79" t="str">
            <v/>
          </cell>
          <cell r="AT79" t="str">
            <v/>
          </cell>
        </row>
        <row r="80">
          <cell r="AI80" t="str">
            <v>DULUTH-SUPERIOR, MN-WI</v>
          </cell>
          <cell r="AJ80" t="str">
            <v>Duluth-Superior, MN-WI</v>
          </cell>
          <cell r="AK80" t="str">
            <v/>
          </cell>
          <cell r="AL80" t="str">
            <v/>
          </cell>
          <cell r="AM80" t="str">
            <v/>
          </cell>
          <cell r="AN80" t="str">
            <v/>
          </cell>
          <cell r="AO80" t="str">
            <v/>
          </cell>
          <cell r="AP80" t="str">
            <v/>
          </cell>
          <cell r="AQ80" t="str">
            <v/>
          </cell>
          <cell r="AR80" t="str">
            <v/>
          </cell>
          <cell r="AS80" t="str">
            <v/>
          </cell>
          <cell r="AT80" t="str">
            <v/>
          </cell>
        </row>
        <row r="81">
          <cell r="AI81" t="str">
            <v>DUTCHESS COUNTY, NY</v>
          </cell>
          <cell r="AJ81" t="str">
            <v>Dutchess County, NY</v>
          </cell>
          <cell r="AK81" t="str">
            <v/>
          </cell>
          <cell r="AL81" t="str">
            <v/>
          </cell>
          <cell r="AM81" t="str">
            <v/>
          </cell>
          <cell r="AN81" t="str">
            <v/>
          </cell>
          <cell r="AO81" t="str">
            <v>New York Suburban</v>
          </cell>
          <cell r="AP81" t="str">
            <v/>
          </cell>
          <cell r="AQ81" t="str">
            <v/>
          </cell>
          <cell r="AR81" t="str">
            <v/>
          </cell>
          <cell r="AS81" t="str">
            <v/>
          </cell>
          <cell r="AT81" t="str">
            <v/>
          </cell>
        </row>
        <row r="82">
          <cell r="AI82" t="str">
            <v>EAU CLAIRE, WI</v>
          </cell>
          <cell r="AJ82" t="str">
            <v>Eau Claire, WI</v>
          </cell>
          <cell r="AK82" t="str">
            <v/>
          </cell>
          <cell r="AL82" t="str">
            <v/>
          </cell>
          <cell r="AM82" t="str">
            <v/>
          </cell>
          <cell r="AN82" t="str">
            <v/>
          </cell>
          <cell r="AO82" t="str">
            <v/>
          </cell>
          <cell r="AP82" t="str">
            <v/>
          </cell>
          <cell r="AQ82" t="str">
            <v/>
          </cell>
          <cell r="AR82" t="str">
            <v/>
          </cell>
          <cell r="AS82" t="str">
            <v/>
          </cell>
          <cell r="AT82" t="str">
            <v/>
          </cell>
        </row>
        <row r="83">
          <cell r="AI83" t="str">
            <v>EL PASO, TX</v>
          </cell>
          <cell r="AJ83" t="str">
            <v>El Paso, TX</v>
          </cell>
          <cell r="AK83" t="str">
            <v>El Paso, TX</v>
          </cell>
          <cell r="AL83" t="str">
            <v>Top 110</v>
          </cell>
          <cell r="AM83" t="str">
            <v/>
          </cell>
          <cell r="AN83" t="str">
            <v/>
          </cell>
          <cell r="AO83" t="str">
            <v/>
          </cell>
          <cell r="AP83" t="str">
            <v/>
          </cell>
          <cell r="AQ83" t="str">
            <v/>
          </cell>
          <cell r="AR83" t="str">
            <v/>
          </cell>
          <cell r="AS83" t="str">
            <v/>
          </cell>
          <cell r="AT83" t="str">
            <v/>
          </cell>
        </row>
        <row r="84">
          <cell r="AI84" t="str">
            <v>ELKHART-GOSHEN, IN</v>
          </cell>
          <cell r="AJ84" t="str">
            <v>Elkhart-Goshen, IN</v>
          </cell>
          <cell r="AK84" t="str">
            <v/>
          </cell>
          <cell r="AL84" t="str">
            <v/>
          </cell>
          <cell r="AM84" t="str">
            <v/>
          </cell>
          <cell r="AN84" t="str">
            <v/>
          </cell>
          <cell r="AO84" t="str">
            <v/>
          </cell>
          <cell r="AP84" t="str">
            <v/>
          </cell>
          <cell r="AQ84" t="str">
            <v/>
          </cell>
          <cell r="AR84" t="str">
            <v/>
          </cell>
          <cell r="AS84" t="str">
            <v/>
          </cell>
          <cell r="AT84" t="str">
            <v/>
          </cell>
        </row>
        <row r="85">
          <cell r="AI85" t="str">
            <v>ELMIRA, NY</v>
          </cell>
          <cell r="AJ85" t="str">
            <v>Elmira, NY</v>
          </cell>
          <cell r="AK85" t="str">
            <v/>
          </cell>
          <cell r="AL85" t="str">
            <v/>
          </cell>
          <cell r="AM85" t="str">
            <v/>
          </cell>
          <cell r="AN85" t="str">
            <v/>
          </cell>
          <cell r="AO85" t="str">
            <v/>
          </cell>
          <cell r="AP85" t="str">
            <v/>
          </cell>
          <cell r="AQ85" t="str">
            <v/>
          </cell>
          <cell r="AR85" t="str">
            <v/>
          </cell>
          <cell r="AS85" t="str">
            <v/>
          </cell>
          <cell r="AT85" t="str">
            <v/>
          </cell>
        </row>
        <row r="86">
          <cell r="AI86" t="str">
            <v>ERIE, PA</v>
          </cell>
          <cell r="AJ86" t="str">
            <v>Erie, PA</v>
          </cell>
          <cell r="AK86" t="str">
            <v/>
          </cell>
          <cell r="AL86" t="str">
            <v/>
          </cell>
          <cell r="AM86" t="str">
            <v/>
          </cell>
          <cell r="AN86" t="str">
            <v/>
          </cell>
          <cell r="AO86" t="str">
            <v/>
          </cell>
          <cell r="AP86" t="str">
            <v/>
          </cell>
          <cell r="AQ86" t="str">
            <v/>
          </cell>
          <cell r="AR86" t="str">
            <v/>
          </cell>
          <cell r="AS86" t="str">
            <v/>
          </cell>
          <cell r="AT86" t="str">
            <v/>
          </cell>
        </row>
        <row r="87">
          <cell r="AI87" t="str">
            <v>EUGENE-SPRINGFIELD, OR</v>
          </cell>
          <cell r="AJ87" t="str">
            <v>Eugene-Springfield, OR</v>
          </cell>
          <cell r="AK87" t="str">
            <v/>
          </cell>
          <cell r="AL87" t="str">
            <v/>
          </cell>
          <cell r="AM87" t="str">
            <v/>
          </cell>
          <cell r="AN87" t="str">
            <v/>
          </cell>
          <cell r="AO87" t="str">
            <v/>
          </cell>
          <cell r="AP87" t="str">
            <v/>
          </cell>
          <cell r="AQ87" t="str">
            <v/>
          </cell>
          <cell r="AR87" t="str">
            <v/>
          </cell>
          <cell r="AS87" t="str">
            <v/>
          </cell>
          <cell r="AT87" t="str">
            <v/>
          </cell>
        </row>
        <row r="88">
          <cell r="AI88" t="str">
            <v>EVANSVILLE-HENDERSON, IN-KY</v>
          </cell>
          <cell r="AJ88" t="str">
            <v>Evansville-Henderson, IN-KY</v>
          </cell>
          <cell r="AK88" t="str">
            <v/>
          </cell>
          <cell r="AL88" t="str">
            <v/>
          </cell>
          <cell r="AM88" t="str">
            <v/>
          </cell>
          <cell r="AN88" t="str">
            <v/>
          </cell>
          <cell r="AO88" t="str">
            <v/>
          </cell>
          <cell r="AP88" t="str">
            <v/>
          </cell>
          <cell r="AQ88" t="str">
            <v/>
          </cell>
          <cell r="AR88" t="str">
            <v/>
          </cell>
          <cell r="AS88" t="str">
            <v/>
          </cell>
          <cell r="AT88" t="str">
            <v/>
          </cell>
        </row>
        <row r="89">
          <cell r="AI89" t="str">
            <v>FARGO-MOORHEAD, ND-MN</v>
          </cell>
          <cell r="AJ89" t="str">
            <v>Fargo-Moorhead, ND-MN</v>
          </cell>
          <cell r="AK89" t="str">
            <v/>
          </cell>
          <cell r="AL89" t="str">
            <v/>
          </cell>
          <cell r="AM89" t="str">
            <v/>
          </cell>
          <cell r="AN89" t="str">
            <v/>
          </cell>
          <cell r="AO89" t="str">
            <v/>
          </cell>
          <cell r="AP89" t="str">
            <v/>
          </cell>
          <cell r="AQ89" t="str">
            <v/>
          </cell>
          <cell r="AR89" t="str">
            <v/>
          </cell>
          <cell r="AS89" t="str">
            <v/>
          </cell>
          <cell r="AT89" t="str">
            <v/>
          </cell>
        </row>
        <row r="90">
          <cell r="AI90" t="str">
            <v>FAYETTEVILLE, NC</v>
          </cell>
          <cell r="AJ90" t="str">
            <v>Fayetteville, NC</v>
          </cell>
          <cell r="AK90" t="str">
            <v/>
          </cell>
          <cell r="AL90" t="str">
            <v/>
          </cell>
          <cell r="AM90" t="str">
            <v/>
          </cell>
          <cell r="AN90" t="str">
            <v/>
          </cell>
          <cell r="AO90" t="str">
            <v/>
          </cell>
          <cell r="AP90" t="str">
            <v/>
          </cell>
          <cell r="AQ90" t="str">
            <v/>
          </cell>
          <cell r="AR90" t="str">
            <v/>
          </cell>
          <cell r="AS90" t="str">
            <v/>
          </cell>
          <cell r="AT90" t="str">
            <v/>
          </cell>
        </row>
        <row r="91">
          <cell r="AI91" t="str">
            <v>FAYETTEVILLE-SPRINGDALE-ROGERS, AR</v>
          </cell>
          <cell r="AJ91" t="str">
            <v>Fayetteville-Springdale-Rogers, AR</v>
          </cell>
          <cell r="AK91" t="str">
            <v/>
          </cell>
          <cell r="AL91" t="str">
            <v/>
          </cell>
          <cell r="AM91" t="str">
            <v/>
          </cell>
          <cell r="AN91" t="str">
            <v/>
          </cell>
          <cell r="AO91" t="str">
            <v/>
          </cell>
          <cell r="AP91" t="str">
            <v/>
          </cell>
          <cell r="AQ91" t="str">
            <v/>
          </cell>
          <cell r="AR91" t="str">
            <v/>
          </cell>
          <cell r="AS91" t="str">
            <v/>
          </cell>
          <cell r="AT91" t="str">
            <v/>
          </cell>
        </row>
        <row r="92">
          <cell r="AI92" t="str">
            <v>flagstaff, AZ</v>
          </cell>
          <cell r="AJ92" t="str">
            <v>Flagstaff, AZ</v>
          </cell>
          <cell r="AK92" t="str">
            <v/>
          </cell>
          <cell r="AL92" t="str">
            <v/>
          </cell>
          <cell r="AM92" t="str">
            <v/>
          </cell>
          <cell r="AN92" t="str">
            <v/>
          </cell>
          <cell r="AO92" t="str">
            <v/>
          </cell>
          <cell r="AP92" t="str">
            <v/>
          </cell>
          <cell r="AQ92" t="str">
            <v/>
          </cell>
          <cell r="AR92" t="str">
            <v/>
          </cell>
          <cell r="AS92" t="str">
            <v/>
          </cell>
          <cell r="AT92" t="str">
            <v/>
          </cell>
        </row>
        <row r="93">
          <cell r="AI93" t="str">
            <v>FLINT, MI</v>
          </cell>
          <cell r="AJ93" t="str">
            <v>Flint, MI</v>
          </cell>
          <cell r="AK93" t="str">
            <v>Flint, MI</v>
          </cell>
          <cell r="AL93" t="str">
            <v>Top 110</v>
          </cell>
          <cell r="AM93" t="str">
            <v/>
          </cell>
          <cell r="AN93" t="str">
            <v/>
          </cell>
          <cell r="AO93" t="str">
            <v/>
          </cell>
          <cell r="AP93" t="str">
            <v/>
          </cell>
          <cell r="AQ93" t="str">
            <v/>
          </cell>
          <cell r="AR93" t="str">
            <v/>
          </cell>
          <cell r="AS93" t="str">
            <v/>
          </cell>
          <cell r="AT93" t="str">
            <v/>
          </cell>
        </row>
        <row r="94">
          <cell r="AI94" t="str">
            <v>FLORENCE, AL</v>
          </cell>
          <cell r="AJ94" t="str">
            <v>Florence, AL</v>
          </cell>
          <cell r="AK94" t="str">
            <v/>
          </cell>
          <cell r="AL94" t="str">
            <v/>
          </cell>
          <cell r="AM94" t="str">
            <v/>
          </cell>
          <cell r="AN94" t="str">
            <v/>
          </cell>
          <cell r="AO94" t="str">
            <v/>
          </cell>
          <cell r="AP94" t="str">
            <v/>
          </cell>
          <cell r="AQ94" t="str">
            <v/>
          </cell>
          <cell r="AR94" t="str">
            <v/>
          </cell>
          <cell r="AS94" t="str">
            <v/>
          </cell>
          <cell r="AT94" t="str">
            <v/>
          </cell>
        </row>
        <row r="95">
          <cell r="AI95" t="str">
            <v>FLORENCE, SC</v>
          </cell>
          <cell r="AJ95" t="str">
            <v>Florence, SC</v>
          </cell>
          <cell r="AK95" t="str">
            <v/>
          </cell>
          <cell r="AL95" t="str">
            <v/>
          </cell>
          <cell r="AM95" t="str">
            <v/>
          </cell>
          <cell r="AN95" t="str">
            <v/>
          </cell>
          <cell r="AO95" t="str">
            <v/>
          </cell>
          <cell r="AP95" t="str">
            <v/>
          </cell>
          <cell r="AQ95" t="str">
            <v/>
          </cell>
          <cell r="AR95" t="str">
            <v/>
          </cell>
          <cell r="AS95" t="str">
            <v/>
          </cell>
          <cell r="AT95" t="str">
            <v/>
          </cell>
        </row>
        <row r="96">
          <cell r="AI96" t="str">
            <v>FORT COLLINS-LOVELAND, CO</v>
          </cell>
          <cell r="AJ96" t="str">
            <v>Fort Collins-Loveland, CO</v>
          </cell>
          <cell r="AK96" t="str">
            <v/>
          </cell>
          <cell r="AL96" t="str">
            <v/>
          </cell>
          <cell r="AM96" t="str">
            <v/>
          </cell>
          <cell r="AN96" t="str">
            <v/>
          </cell>
          <cell r="AO96" t="str">
            <v/>
          </cell>
          <cell r="AP96" t="str">
            <v/>
          </cell>
          <cell r="AQ96" t="str">
            <v/>
          </cell>
          <cell r="AR96" t="str">
            <v/>
          </cell>
          <cell r="AS96" t="str">
            <v/>
          </cell>
          <cell r="AT96" t="str">
            <v/>
          </cell>
        </row>
        <row r="97">
          <cell r="AI97" t="str">
            <v>FORT LAUDERDALE, FL</v>
          </cell>
          <cell r="AJ97" t="str">
            <v>Fort Lauderdale, FL</v>
          </cell>
          <cell r="AK97" t="str">
            <v>Fort Lauderdale, FL</v>
          </cell>
          <cell r="AL97" t="str">
            <v>Top 50</v>
          </cell>
          <cell r="AM97" t="str">
            <v>BS</v>
          </cell>
          <cell r="AN97" t="str">
            <v>Fort Lauderdale, FL</v>
          </cell>
          <cell r="AO97" t="str">
            <v/>
          </cell>
          <cell r="AP97" t="str">
            <v>FORT LAUDERDALE, FL</v>
          </cell>
          <cell r="AQ97" t="str">
            <v/>
          </cell>
          <cell r="AR97" t="str">
            <v/>
          </cell>
          <cell r="AS97" t="str">
            <v/>
          </cell>
          <cell r="AT97" t="str">
            <v/>
          </cell>
        </row>
        <row r="98">
          <cell r="AI98" t="str">
            <v>FORT MYERS-CAPE CORAL, FL</v>
          </cell>
          <cell r="AJ98" t="str">
            <v>Fort Myers-Cape Coral, FL</v>
          </cell>
          <cell r="AK98" t="str">
            <v/>
          </cell>
          <cell r="AL98" t="str">
            <v/>
          </cell>
          <cell r="AM98" t="str">
            <v>BS</v>
          </cell>
          <cell r="AN98" t="str">
            <v/>
          </cell>
          <cell r="AO98" t="str">
            <v/>
          </cell>
          <cell r="AP98" t="str">
            <v/>
          </cell>
          <cell r="AQ98" t="str">
            <v/>
          </cell>
          <cell r="AR98" t="str">
            <v/>
          </cell>
          <cell r="AS98" t="str">
            <v/>
          </cell>
          <cell r="AT98" t="str">
            <v/>
          </cell>
        </row>
        <row r="99">
          <cell r="AI99" t="str">
            <v>FORT PIERCE-PORT SAINT LUCIE, FL</v>
          </cell>
          <cell r="AJ99" t="str">
            <v>Fort Pierce-Port St. Lucie, FL</v>
          </cell>
          <cell r="AK99" t="str">
            <v/>
          </cell>
          <cell r="AL99" t="str">
            <v/>
          </cell>
          <cell r="AM99" t="str">
            <v/>
          </cell>
          <cell r="AN99" t="str">
            <v/>
          </cell>
          <cell r="AO99" t="str">
            <v/>
          </cell>
          <cell r="AP99" t="str">
            <v/>
          </cell>
          <cell r="AQ99" t="str">
            <v/>
          </cell>
          <cell r="AR99" t="str">
            <v/>
          </cell>
          <cell r="AS99" t="str">
            <v/>
          </cell>
          <cell r="AT99" t="str">
            <v/>
          </cell>
        </row>
        <row r="100">
          <cell r="AI100" t="str">
            <v>FORT SMITH, AR-OK</v>
          </cell>
          <cell r="AJ100" t="str">
            <v>Fort Smith, AR-OK</v>
          </cell>
          <cell r="AK100" t="str">
            <v/>
          </cell>
          <cell r="AL100" t="str">
            <v/>
          </cell>
          <cell r="AM100" t="str">
            <v/>
          </cell>
          <cell r="AN100" t="str">
            <v/>
          </cell>
          <cell r="AO100" t="str">
            <v/>
          </cell>
          <cell r="AP100" t="str">
            <v/>
          </cell>
          <cell r="AQ100" t="str">
            <v/>
          </cell>
          <cell r="AR100" t="str">
            <v/>
          </cell>
          <cell r="AS100" t="str">
            <v/>
          </cell>
          <cell r="AT100" t="str">
            <v/>
          </cell>
        </row>
        <row r="101">
          <cell r="AI101" t="str">
            <v>FORT WALTON BEACH, FL</v>
          </cell>
          <cell r="AJ101" t="str">
            <v>Fort Walton Beach, FL</v>
          </cell>
          <cell r="AK101" t="str">
            <v/>
          </cell>
          <cell r="AL101" t="str">
            <v/>
          </cell>
          <cell r="AM101" t="str">
            <v/>
          </cell>
          <cell r="AN101" t="str">
            <v/>
          </cell>
          <cell r="AO101" t="str">
            <v/>
          </cell>
          <cell r="AP101" t="str">
            <v/>
          </cell>
          <cell r="AQ101" t="str">
            <v/>
          </cell>
          <cell r="AR101" t="str">
            <v/>
          </cell>
          <cell r="AS101" t="str">
            <v/>
          </cell>
          <cell r="AT101" t="str">
            <v/>
          </cell>
        </row>
        <row r="102">
          <cell r="AI102" t="str">
            <v>FORT WAYNE, IN</v>
          </cell>
          <cell r="AJ102" t="str">
            <v>Fort Wayne, IN</v>
          </cell>
          <cell r="AK102" t="str">
            <v>Fort Wayne, IN</v>
          </cell>
          <cell r="AL102" t="str">
            <v>Top 110</v>
          </cell>
          <cell r="AM102" t="str">
            <v/>
          </cell>
          <cell r="AN102" t="str">
            <v/>
          </cell>
          <cell r="AO102" t="str">
            <v/>
          </cell>
          <cell r="AP102" t="str">
            <v/>
          </cell>
          <cell r="AQ102" t="str">
            <v/>
          </cell>
          <cell r="AR102" t="str">
            <v/>
          </cell>
          <cell r="AS102" t="str">
            <v/>
          </cell>
          <cell r="AT102" t="str">
            <v/>
          </cell>
        </row>
        <row r="103">
          <cell r="AI103" t="str">
            <v>FORT WORTH-ARLINGTON, TX</v>
          </cell>
          <cell r="AJ103" t="str">
            <v>Fort Worth-Arlington, TX</v>
          </cell>
          <cell r="AK103" t="str">
            <v>Fort Worth, TX</v>
          </cell>
          <cell r="AL103" t="str">
            <v>Top 50</v>
          </cell>
          <cell r="AM103" t="str">
            <v>BS</v>
          </cell>
          <cell r="AN103" t="str">
            <v>Fort Worth, TX</v>
          </cell>
          <cell r="AO103" t="str">
            <v/>
          </cell>
          <cell r="AP103" t="str">
            <v>FORT WORTH, TX</v>
          </cell>
          <cell r="AQ103" t="str">
            <v>Fort Worth, TX</v>
          </cell>
          <cell r="AR103" t="str">
            <v/>
          </cell>
          <cell r="AS103" t="str">
            <v/>
          </cell>
          <cell r="AT103" t="str">
            <v/>
          </cell>
        </row>
        <row r="104">
          <cell r="AI104" t="str">
            <v>FRESNO, CA</v>
          </cell>
          <cell r="AJ104" t="str">
            <v>Fresno, CA</v>
          </cell>
          <cell r="AK104" t="str">
            <v>Fresno, CA</v>
          </cell>
          <cell r="AL104" t="str">
            <v>Top 110</v>
          </cell>
          <cell r="AM104" t="str">
            <v/>
          </cell>
          <cell r="AN104" t="str">
            <v/>
          </cell>
          <cell r="AO104" t="str">
            <v/>
          </cell>
          <cell r="AP104" t="str">
            <v/>
          </cell>
          <cell r="AQ104" t="str">
            <v/>
          </cell>
          <cell r="AR104" t="str">
            <v/>
          </cell>
          <cell r="AS104" t="str">
            <v/>
          </cell>
          <cell r="AT104" t="str">
            <v/>
          </cell>
        </row>
        <row r="105">
          <cell r="AI105" t="str">
            <v>GADSDEN, AL</v>
          </cell>
          <cell r="AJ105" t="str">
            <v>Gadsden, AL</v>
          </cell>
          <cell r="AK105" t="str">
            <v/>
          </cell>
          <cell r="AL105" t="str">
            <v/>
          </cell>
          <cell r="AM105" t="str">
            <v/>
          </cell>
          <cell r="AN105" t="str">
            <v/>
          </cell>
          <cell r="AO105" t="str">
            <v/>
          </cell>
          <cell r="AP105" t="str">
            <v/>
          </cell>
          <cell r="AQ105" t="str">
            <v/>
          </cell>
          <cell r="AR105" t="str">
            <v/>
          </cell>
          <cell r="AS105" t="str">
            <v/>
          </cell>
          <cell r="AT105" t="str">
            <v/>
          </cell>
        </row>
        <row r="106">
          <cell r="AI106" t="str">
            <v>GAINESVILLE, FL</v>
          </cell>
          <cell r="AJ106" t="str">
            <v>Gainesville, FL</v>
          </cell>
          <cell r="AK106" t="str">
            <v/>
          </cell>
          <cell r="AL106" t="str">
            <v/>
          </cell>
          <cell r="AM106" t="str">
            <v/>
          </cell>
          <cell r="AN106" t="str">
            <v/>
          </cell>
          <cell r="AO106" t="str">
            <v/>
          </cell>
          <cell r="AP106" t="str">
            <v/>
          </cell>
          <cell r="AQ106" t="str">
            <v/>
          </cell>
          <cell r="AR106" t="str">
            <v/>
          </cell>
          <cell r="AS106" t="str">
            <v/>
          </cell>
          <cell r="AT106" t="str">
            <v/>
          </cell>
        </row>
        <row r="107">
          <cell r="AI107" t="str">
            <v>GARY, IN</v>
          </cell>
          <cell r="AJ107" t="str">
            <v>Gary, IN</v>
          </cell>
          <cell r="AK107" t="str">
            <v>Gary, IN</v>
          </cell>
          <cell r="AL107" t="str">
            <v>Top 110</v>
          </cell>
          <cell r="AM107" t="str">
            <v/>
          </cell>
          <cell r="AN107" t="str">
            <v/>
          </cell>
          <cell r="AO107" t="str">
            <v/>
          </cell>
          <cell r="AP107" t="str">
            <v/>
          </cell>
          <cell r="AQ107" t="str">
            <v/>
          </cell>
          <cell r="AR107" t="str">
            <v/>
          </cell>
          <cell r="AS107" t="str">
            <v/>
          </cell>
          <cell r="AT107" t="str">
            <v/>
          </cell>
        </row>
        <row r="108">
          <cell r="AI108" t="str">
            <v>GATLINBURG-PIGEON FORGE, TN</v>
          </cell>
          <cell r="AJ108" t="str">
            <v>Gatlinburg-Pigeon Forge, TN</v>
          </cell>
          <cell r="AK108" t="str">
            <v/>
          </cell>
          <cell r="AL108" t="str">
            <v/>
          </cell>
          <cell r="AM108" t="str">
            <v>BS</v>
          </cell>
          <cell r="AN108" t="str">
            <v/>
          </cell>
          <cell r="AO108" t="str">
            <v/>
          </cell>
          <cell r="AP108" t="str">
            <v/>
          </cell>
          <cell r="AQ108" t="str">
            <v/>
          </cell>
          <cell r="AR108" t="str">
            <v/>
          </cell>
          <cell r="AS108" t="str">
            <v/>
          </cell>
          <cell r="AT108" t="str">
            <v/>
          </cell>
        </row>
        <row r="109">
          <cell r="AI109" t="str">
            <v>GLENS FALLS, NY</v>
          </cell>
          <cell r="AJ109" t="str">
            <v>Glens Falls, NY</v>
          </cell>
          <cell r="AK109" t="str">
            <v/>
          </cell>
          <cell r="AL109" t="str">
            <v/>
          </cell>
          <cell r="AM109" t="str">
            <v/>
          </cell>
          <cell r="AN109" t="str">
            <v/>
          </cell>
          <cell r="AO109" t="str">
            <v/>
          </cell>
          <cell r="AP109" t="str">
            <v/>
          </cell>
          <cell r="AQ109" t="str">
            <v/>
          </cell>
          <cell r="AR109" t="str">
            <v/>
          </cell>
          <cell r="AS109" t="str">
            <v/>
          </cell>
          <cell r="AT109" t="str">
            <v/>
          </cell>
        </row>
        <row r="110">
          <cell r="AI110" t="str">
            <v>GOLDSBORO, NC</v>
          </cell>
          <cell r="AJ110" t="str">
            <v>Goldsboro, NC</v>
          </cell>
          <cell r="AK110" t="str">
            <v/>
          </cell>
          <cell r="AL110" t="str">
            <v/>
          </cell>
          <cell r="AM110" t="str">
            <v/>
          </cell>
          <cell r="AN110" t="str">
            <v/>
          </cell>
          <cell r="AO110" t="str">
            <v/>
          </cell>
          <cell r="AP110" t="str">
            <v/>
          </cell>
          <cell r="AQ110" t="str">
            <v/>
          </cell>
          <cell r="AR110" t="str">
            <v/>
          </cell>
          <cell r="AS110" t="str">
            <v/>
          </cell>
          <cell r="AT110" t="str">
            <v/>
          </cell>
        </row>
        <row r="111">
          <cell r="AI111" t="str">
            <v>GRAND FORKS, ND-MN</v>
          </cell>
          <cell r="AJ111" t="str">
            <v>Grand Forks, ND-MN</v>
          </cell>
          <cell r="AK111" t="str">
            <v/>
          </cell>
          <cell r="AL111" t="str">
            <v/>
          </cell>
          <cell r="AM111" t="str">
            <v/>
          </cell>
          <cell r="AN111" t="str">
            <v/>
          </cell>
          <cell r="AO111" t="str">
            <v/>
          </cell>
          <cell r="AP111" t="str">
            <v/>
          </cell>
          <cell r="AQ111" t="str">
            <v/>
          </cell>
          <cell r="AR111" t="str">
            <v/>
          </cell>
          <cell r="AS111" t="str">
            <v/>
          </cell>
          <cell r="AT111" t="str">
            <v/>
          </cell>
        </row>
        <row r="112">
          <cell r="AI112" t="str">
            <v>GRAND RAPIDS-MUSKEGON-HOLLAND, MI</v>
          </cell>
          <cell r="AJ112" t="str">
            <v>Grand Rapids, MI</v>
          </cell>
          <cell r="AK112" t="str">
            <v>Grand Rapids, MI</v>
          </cell>
          <cell r="AL112" t="str">
            <v>Top 110</v>
          </cell>
          <cell r="AM112" t="str">
            <v/>
          </cell>
          <cell r="AN112" t="str">
            <v/>
          </cell>
          <cell r="AO112" t="str">
            <v/>
          </cell>
          <cell r="AP112" t="str">
            <v/>
          </cell>
          <cell r="AQ112" t="str">
            <v/>
          </cell>
          <cell r="AR112" t="str">
            <v/>
          </cell>
          <cell r="AS112" t="str">
            <v/>
          </cell>
          <cell r="AT112" t="str">
            <v/>
          </cell>
        </row>
        <row r="113">
          <cell r="AI113" t="str">
            <v>GREAT FALLS, MT</v>
          </cell>
          <cell r="AJ113" t="str">
            <v>Great Falls, MT</v>
          </cell>
          <cell r="AK113" t="str">
            <v/>
          </cell>
          <cell r="AL113" t="str">
            <v/>
          </cell>
          <cell r="AM113" t="str">
            <v/>
          </cell>
          <cell r="AN113" t="str">
            <v/>
          </cell>
          <cell r="AO113" t="str">
            <v/>
          </cell>
          <cell r="AP113" t="str">
            <v/>
          </cell>
          <cell r="AQ113" t="str">
            <v/>
          </cell>
          <cell r="AR113" t="str">
            <v/>
          </cell>
          <cell r="AS113" t="str">
            <v/>
          </cell>
          <cell r="AT113" t="str">
            <v/>
          </cell>
        </row>
        <row r="114">
          <cell r="AI114" t="str">
            <v>GREELEY, CO</v>
          </cell>
          <cell r="AJ114" t="str">
            <v>Greeley, CO</v>
          </cell>
          <cell r="AK114" t="str">
            <v/>
          </cell>
          <cell r="AL114" t="str">
            <v/>
          </cell>
          <cell r="AM114" t="str">
            <v/>
          </cell>
          <cell r="AN114" t="str">
            <v/>
          </cell>
          <cell r="AO114" t="str">
            <v/>
          </cell>
          <cell r="AP114" t="str">
            <v/>
          </cell>
          <cell r="AQ114" t="str">
            <v/>
          </cell>
          <cell r="AR114" t="str">
            <v/>
          </cell>
          <cell r="AS114" t="str">
            <v/>
          </cell>
          <cell r="AT114" t="str">
            <v/>
          </cell>
        </row>
        <row r="115">
          <cell r="AI115" t="str">
            <v>GREEN BAY, WI</v>
          </cell>
          <cell r="AJ115" t="str">
            <v>Green Bay, WI</v>
          </cell>
          <cell r="AK115" t="str">
            <v/>
          </cell>
          <cell r="AL115" t="str">
            <v/>
          </cell>
          <cell r="AM115" t="str">
            <v/>
          </cell>
          <cell r="AN115" t="str">
            <v/>
          </cell>
          <cell r="AO115" t="str">
            <v/>
          </cell>
          <cell r="AP115" t="str">
            <v/>
          </cell>
          <cell r="AQ115" t="str">
            <v/>
          </cell>
          <cell r="AR115" t="str">
            <v/>
          </cell>
          <cell r="AS115" t="str">
            <v/>
          </cell>
          <cell r="AT115" t="str">
            <v/>
          </cell>
        </row>
        <row r="116">
          <cell r="AI116" t="str">
            <v>GREENSBORO-WINSTON-SALEM-HIGH POINT, NC</v>
          </cell>
          <cell r="AJ116" t="str">
            <v>Greensboro-Winston Salem, NC</v>
          </cell>
          <cell r="AK116" t="str">
            <v>Greensboro, NC</v>
          </cell>
          <cell r="AL116" t="str">
            <v>Top 50</v>
          </cell>
          <cell r="AM116" t="str">
            <v>BS</v>
          </cell>
          <cell r="AN116" t="str">
            <v>Greensboro, NC</v>
          </cell>
          <cell r="AO116" t="str">
            <v/>
          </cell>
          <cell r="AP116" t="str">
            <v/>
          </cell>
          <cell r="AQ116" t="str">
            <v/>
          </cell>
          <cell r="AR116" t="str">
            <v/>
          </cell>
          <cell r="AS116" t="str">
            <v/>
          </cell>
          <cell r="AT116" t="str">
            <v/>
          </cell>
        </row>
        <row r="117">
          <cell r="AI117" t="str">
            <v>GREENVILLE, NC</v>
          </cell>
          <cell r="AJ117" t="str">
            <v>Greenville, NC</v>
          </cell>
          <cell r="AK117" t="str">
            <v/>
          </cell>
          <cell r="AL117" t="str">
            <v/>
          </cell>
          <cell r="AM117" t="str">
            <v/>
          </cell>
          <cell r="AN117" t="str">
            <v/>
          </cell>
          <cell r="AO117" t="str">
            <v/>
          </cell>
          <cell r="AP117" t="str">
            <v/>
          </cell>
          <cell r="AQ117" t="str">
            <v/>
          </cell>
          <cell r="AR117" t="str">
            <v/>
          </cell>
          <cell r="AS117" t="str">
            <v/>
          </cell>
          <cell r="AT117" t="str">
            <v/>
          </cell>
        </row>
        <row r="118">
          <cell r="AI118" t="str">
            <v>GREENVILLE-SPARTANBURG-ANDERSON, SC</v>
          </cell>
          <cell r="AJ118" t="str">
            <v>Greenville-Spartanburg, SC</v>
          </cell>
          <cell r="AK118" t="str">
            <v>Greenville, SC</v>
          </cell>
          <cell r="AL118" t="str">
            <v>Top 110</v>
          </cell>
          <cell r="AM118" t="str">
            <v>BS</v>
          </cell>
          <cell r="AN118" t="str">
            <v/>
          </cell>
          <cell r="AO118" t="str">
            <v/>
          </cell>
          <cell r="AP118" t="str">
            <v/>
          </cell>
          <cell r="AQ118" t="str">
            <v/>
          </cell>
          <cell r="AR118" t="str">
            <v/>
          </cell>
          <cell r="AS118" t="str">
            <v/>
          </cell>
          <cell r="AT118" t="str">
            <v/>
          </cell>
        </row>
        <row r="119">
          <cell r="AI119" t="str">
            <v>HAGERSTOWN, MD</v>
          </cell>
          <cell r="AJ119" t="str">
            <v>Hagerstown, MD</v>
          </cell>
          <cell r="AK119" t="str">
            <v/>
          </cell>
          <cell r="AL119" t="str">
            <v/>
          </cell>
          <cell r="AM119" t="str">
            <v/>
          </cell>
          <cell r="AN119" t="str">
            <v/>
          </cell>
          <cell r="AO119" t="str">
            <v/>
          </cell>
          <cell r="AP119" t="str">
            <v/>
          </cell>
          <cell r="AQ119" t="str">
            <v/>
          </cell>
          <cell r="AR119" t="str">
            <v/>
          </cell>
          <cell r="AS119" t="str">
            <v/>
          </cell>
          <cell r="AT119" t="str">
            <v/>
          </cell>
        </row>
        <row r="120">
          <cell r="AI120" t="str">
            <v>HAMILTON-MIDDLETOWN, OH</v>
          </cell>
          <cell r="AJ120" t="str">
            <v>Hamilton-Middletown, OH</v>
          </cell>
          <cell r="AK120" t="str">
            <v/>
          </cell>
          <cell r="AL120" t="str">
            <v/>
          </cell>
          <cell r="AM120" t="str">
            <v/>
          </cell>
          <cell r="AN120" t="str">
            <v/>
          </cell>
          <cell r="AO120" t="str">
            <v/>
          </cell>
          <cell r="AP120" t="str">
            <v/>
          </cell>
          <cell r="AQ120" t="str">
            <v/>
          </cell>
          <cell r="AR120" t="str">
            <v/>
          </cell>
          <cell r="AS120" t="str">
            <v/>
          </cell>
          <cell r="AT120" t="str">
            <v/>
          </cell>
        </row>
        <row r="121">
          <cell r="AI121" t="str">
            <v>HARRISBURG-LEBANON-CARLISLE, PA</v>
          </cell>
          <cell r="AJ121" t="str">
            <v>Harrisburg, PA</v>
          </cell>
          <cell r="AK121" t="str">
            <v>Harrisburg, PA</v>
          </cell>
          <cell r="AL121" t="str">
            <v>Top 110</v>
          </cell>
          <cell r="AM121" t="str">
            <v>BS</v>
          </cell>
          <cell r="AN121" t="str">
            <v/>
          </cell>
          <cell r="AO121" t="str">
            <v/>
          </cell>
          <cell r="AP121" t="str">
            <v/>
          </cell>
          <cell r="AQ121" t="str">
            <v/>
          </cell>
          <cell r="AR121" t="str">
            <v/>
          </cell>
          <cell r="AS121" t="str">
            <v/>
          </cell>
          <cell r="AT121" t="str">
            <v/>
          </cell>
        </row>
        <row r="122">
          <cell r="AI122" t="str">
            <v>HARTFORD, CT</v>
          </cell>
          <cell r="AJ122" t="str">
            <v>Hartford, CT</v>
          </cell>
          <cell r="AK122" t="str">
            <v>Hartford, CT</v>
          </cell>
          <cell r="AL122" t="str">
            <v>Top 50</v>
          </cell>
          <cell r="AM122" t="str">
            <v>BS</v>
          </cell>
          <cell r="AN122" t="str">
            <v/>
          </cell>
          <cell r="AO122" t="str">
            <v/>
          </cell>
          <cell r="AP122" t="str">
            <v/>
          </cell>
          <cell r="AQ122" t="str">
            <v/>
          </cell>
          <cell r="AR122" t="str">
            <v/>
          </cell>
          <cell r="AS122" t="str">
            <v/>
          </cell>
          <cell r="AT122" t="str">
            <v/>
          </cell>
        </row>
        <row r="123">
          <cell r="AI123" t="str">
            <v>HICKORY-MORGANTON, NC</v>
          </cell>
          <cell r="AJ123" t="str">
            <v>Hickory-Morganton, NC</v>
          </cell>
          <cell r="AK123" t="str">
            <v/>
          </cell>
          <cell r="AL123" t="str">
            <v/>
          </cell>
          <cell r="AM123" t="str">
            <v/>
          </cell>
          <cell r="AN123" t="str">
            <v/>
          </cell>
          <cell r="AO123" t="str">
            <v/>
          </cell>
          <cell r="AP123" t="str">
            <v/>
          </cell>
          <cell r="AQ123" t="str">
            <v/>
          </cell>
          <cell r="AR123" t="str">
            <v/>
          </cell>
          <cell r="AS123" t="str">
            <v/>
          </cell>
          <cell r="AT123" t="str">
            <v/>
          </cell>
        </row>
        <row r="124">
          <cell r="AI124" t="str">
            <v>HONOLULU, HI</v>
          </cell>
          <cell r="AJ124" t="str">
            <v>Oahu Island, HI</v>
          </cell>
          <cell r="AK124" t="str">
            <v>Honolulu, HI</v>
          </cell>
          <cell r="AL124" t="str">
            <v>Top 110</v>
          </cell>
          <cell r="AM124" t="str">
            <v>BS</v>
          </cell>
          <cell r="AN124" t="str">
            <v>Honolulu, HI</v>
          </cell>
          <cell r="AO124" t="str">
            <v>Honolulu, HI</v>
          </cell>
          <cell r="AP124" t="str">
            <v/>
          </cell>
          <cell r="AQ124" t="str">
            <v/>
          </cell>
          <cell r="AR124" t="str">
            <v>Oahu Island, HI</v>
          </cell>
          <cell r="AS124" t="str">
            <v/>
          </cell>
          <cell r="AT124" t="str">
            <v/>
          </cell>
        </row>
        <row r="125">
          <cell r="AI125" t="str">
            <v>HOUMA, LA</v>
          </cell>
          <cell r="AJ125" t="str">
            <v>Houma, LA</v>
          </cell>
          <cell r="AK125" t="str">
            <v/>
          </cell>
          <cell r="AL125" t="str">
            <v/>
          </cell>
          <cell r="AM125" t="str">
            <v/>
          </cell>
          <cell r="AN125" t="str">
            <v/>
          </cell>
          <cell r="AO125" t="str">
            <v/>
          </cell>
          <cell r="AP125" t="str">
            <v/>
          </cell>
          <cell r="AQ125" t="str">
            <v/>
          </cell>
          <cell r="AR125" t="str">
            <v/>
          </cell>
          <cell r="AS125" t="str">
            <v/>
          </cell>
          <cell r="AT125" t="str">
            <v/>
          </cell>
        </row>
        <row r="126">
          <cell r="AI126" t="str">
            <v>HOUSTON, TX</v>
          </cell>
          <cell r="AJ126" t="str">
            <v>Houston, TX</v>
          </cell>
          <cell r="AK126" t="str">
            <v>Houston, TX</v>
          </cell>
          <cell r="AL126" t="str">
            <v>Top 25</v>
          </cell>
          <cell r="AM126" t="str">
            <v>BS</v>
          </cell>
          <cell r="AN126" t="str">
            <v>Houston, TX</v>
          </cell>
          <cell r="AO126" t="str">
            <v>Houston, TX</v>
          </cell>
          <cell r="AP126" t="str">
            <v>HOUSTON, TX</v>
          </cell>
          <cell r="AQ126" t="str">
            <v>Houston, TX</v>
          </cell>
          <cell r="AR126" t="str">
            <v>Houston, TX</v>
          </cell>
          <cell r="AS126" t="str">
            <v>Houston, TX</v>
          </cell>
          <cell r="AT126" t="str">
            <v/>
          </cell>
        </row>
        <row r="127">
          <cell r="AI127" t="str">
            <v>HUNTINGTON-ASHLAND, WV-KY-OH</v>
          </cell>
          <cell r="AJ127" t="str">
            <v>Huntington-Ashland, WV-KY-OH</v>
          </cell>
          <cell r="AK127" t="str">
            <v/>
          </cell>
          <cell r="AL127" t="str">
            <v/>
          </cell>
          <cell r="AM127" t="str">
            <v/>
          </cell>
          <cell r="AN127" t="str">
            <v/>
          </cell>
          <cell r="AO127" t="str">
            <v/>
          </cell>
          <cell r="AP127" t="str">
            <v/>
          </cell>
          <cell r="AQ127" t="str">
            <v/>
          </cell>
          <cell r="AR127" t="str">
            <v/>
          </cell>
          <cell r="AS127" t="str">
            <v/>
          </cell>
          <cell r="AT127" t="str">
            <v/>
          </cell>
        </row>
        <row r="128">
          <cell r="AI128" t="str">
            <v>HUNTSVILLE, AL</v>
          </cell>
          <cell r="AJ128" t="str">
            <v>Huntsville, AL</v>
          </cell>
          <cell r="AK128" t="str">
            <v/>
          </cell>
          <cell r="AL128" t="str">
            <v/>
          </cell>
          <cell r="AM128" t="str">
            <v/>
          </cell>
          <cell r="AN128" t="str">
            <v/>
          </cell>
          <cell r="AO128" t="str">
            <v/>
          </cell>
          <cell r="AP128" t="str">
            <v/>
          </cell>
          <cell r="AQ128" t="str">
            <v/>
          </cell>
          <cell r="AR128" t="str">
            <v/>
          </cell>
          <cell r="AS128" t="str">
            <v/>
          </cell>
          <cell r="AT128" t="str">
            <v/>
          </cell>
        </row>
        <row r="129">
          <cell r="AI129" t="str">
            <v>INDIANAPOLIS, IN</v>
          </cell>
          <cell r="AJ129" t="str">
            <v>Indianapolis, IN</v>
          </cell>
          <cell r="AK129" t="str">
            <v>Indianapolis, IN</v>
          </cell>
          <cell r="AL129" t="str">
            <v>Top 50</v>
          </cell>
          <cell r="AM129" t="str">
            <v>BS</v>
          </cell>
          <cell r="AN129" t="str">
            <v>Indianapolis, IN</v>
          </cell>
          <cell r="AO129" t="str">
            <v/>
          </cell>
          <cell r="AP129" t="str">
            <v/>
          </cell>
          <cell r="AQ129" t="str">
            <v/>
          </cell>
          <cell r="AR129" t="str">
            <v/>
          </cell>
          <cell r="AS129" t="str">
            <v/>
          </cell>
          <cell r="AT129" t="str">
            <v/>
          </cell>
        </row>
        <row r="130">
          <cell r="AI130" t="str">
            <v>IOWA CITY, IA</v>
          </cell>
          <cell r="AJ130" t="str">
            <v>Iowa City, IA</v>
          </cell>
          <cell r="AK130" t="str">
            <v/>
          </cell>
          <cell r="AL130" t="str">
            <v/>
          </cell>
          <cell r="AM130" t="str">
            <v/>
          </cell>
          <cell r="AN130" t="str">
            <v/>
          </cell>
          <cell r="AO130" t="str">
            <v/>
          </cell>
          <cell r="AP130" t="str">
            <v/>
          </cell>
          <cell r="AQ130" t="str">
            <v/>
          </cell>
          <cell r="AR130" t="str">
            <v/>
          </cell>
          <cell r="AS130" t="str">
            <v/>
          </cell>
          <cell r="AT130" t="str">
            <v/>
          </cell>
        </row>
        <row r="131">
          <cell r="AI131" t="str">
            <v>JACKSON, MI</v>
          </cell>
          <cell r="AJ131" t="str">
            <v>Jackson, MI</v>
          </cell>
          <cell r="AK131" t="str">
            <v/>
          </cell>
          <cell r="AL131" t="str">
            <v/>
          </cell>
          <cell r="AM131" t="str">
            <v/>
          </cell>
          <cell r="AN131" t="str">
            <v/>
          </cell>
          <cell r="AO131" t="str">
            <v/>
          </cell>
          <cell r="AP131" t="str">
            <v/>
          </cell>
          <cell r="AQ131" t="str">
            <v/>
          </cell>
          <cell r="AR131" t="str">
            <v/>
          </cell>
          <cell r="AS131" t="str">
            <v/>
          </cell>
          <cell r="AT131" t="str">
            <v/>
          </cell>
        </row>
        <row r="132">
          <cell r="AI132" t="str">
            <v>JACKSON, MS</v>
          </cell>
          <cell r="AJ132" t="str">
            <v>Jackson, MS</v>
          </cell>
          <cell r="AK132" t="str">
            <v>Jackson, MS</v>
          </cell>
          <cell r="AL132" t="str">
            <v>Top 110</v>
          </cell>
          <cell r="AM132" t="str">
            <v>BS</v>
          </cell>
          <cell r="AN132" t="str">
            <v/>
          </cell>
          <cell r="AO132" t="str">
            <v/>
          </cell>
          <cell r="AP132" t="str">
            <v/>
          </cell>
          <cell r="AQ132" t="str">
            <v/>
          </cell>
          <cell r="AR132" t="str">
            <v/>
          </cell>
          <cell r="AS132" t="str">
            <v/>
          </cell>
          <cell r="AT132" t="str">
            <v/>
          </cell>
        </row>
        <row r="133">
          <cell r="AI133" t="str">
            <v>JACKSON, TN</v>
          </cell>
          <cell r="AJ133" t="str">
            <v>Jackson, TN</v>
          </cell>
          <cell r="AK133" t="str">
            <v/>
          </cell>
          <cell r="AL133" t="str">
            <v/>
          </cell>
          <cell r="AM133" t="str">
            <v/>
          </cell>
          <cell r="AN133" t="str">
            <v/>
          </cell>
          <cell r="AO133" t="str">
            <v/>
          </cell>
          <cell r="AP133" t="str">
            <v/>
          </cell>
          <cell r="AQ133" t="str">
            <v/>
          </cell>
          <cell r="AR133" t="str">
            <v/>
          </cell>
          <cell r="AS133" t="str">
            <v/>
          </cell>
          <cell r="AT133" t="str">
            <v/>
          </cell>
        </row>
        <row r="134">
          <cell r="AI134" t="str">
            <v>JACKSONVILLE, FL</v>
          </cell>
          <cell r="AJ134" t="str">
            <v>Jacksonville, FL</v>
          </cell>
          <cell r="AK134" t="str">
            <v>Jacksonville, FL</v>
          </cell>
          <cell r="AL134" t="str">
            <v>Top 110</v>
          </cell>
          <cell r="AM134" t="str">
            <v>BS</v>
          </cell>
          <cell r="AN134" t="str">
            <v>Jacksonville, FL</v>
          </cell>
          <cell r="AO134" t="str">
            <v/>
          </cell>
          <cell r="AP134" t="str">
            <v/>
          </cell>
          <cell r="AQ134" t="str">
            <v>Jacksonville, FL</v>
          </cell>
          <cell r="AR134" t="str">
            <v/>
          </cell>
          <cell r="AS134" t="str">
            <v/>
          </cell>
          <cell r="AT134" t="str">
            <v/>
          </cell>
        </row>
        <row r="135">
          <cell r="AI135" t="str">
            <v>JACKSONVILLE, NC</v>
          </cell>
          <cell r="AJ135" t="str">
            <v>Jacksonville, NC</v>
          </cell>
          <cell r="AK135" t="str">
            <v/>
          </cell>
          <cell r="AL135" t="str">
            <v/>
          </cell>
          <cell r="AM135" t="str">
            <v/>
          </cell>
          <cell r="AN135" t="str">
            <v/>
          </cell>
          <cell r="AO135" t="str">
            <v/>
          </cell>
          <cell r="AP135" t="str">
            <v/>
          </cell>
          <cell r="AQ135" t="str">
            <v/>
          </cell>
          <cell r="AR135" t="str">
            <v/>
          </cell>
          <cell r="AS135" t="str">
            <v/>
          </cell>
          <cell r="AT135" t="str">
            <v/>
          </cell>
        </row>
        <row r="136">
          <cell r="AI136" t="str">
            <v>JAMESTOWN, NY</v>
          </cell>
          <cell r="AJ136" t="str">
            <v>Jamestown, NY</v>
          </cell>
          <cell r="AK136" t="str">
            <v/>
          </cell>
          <cell r="AL136" t="str">
            <v/>
          </cell>
          <cell r="AM136" t="str">
            <v/>
          </cell>
          <cell r="AN136" t="str">
            <v/>
          </cell>
          <cell r="AO136" t="str">
            <v/>
          </cell>
          <cell r="AP136" t="str">
            <v/>
          </cell>
          <cell r="AQ136" t="str">
            <v/>
          </cell>
          <cell r="AR136" t="str">
            <v/>
          </cell>
          <cell r="AS136" t="str">
            <v/>
          </cell>
          <cell r="AT136" t="str">
            <v/>
          </cell>
        </row>
        <row r="137">
          <cell r="AI137" t="str">
            <v>JANESVILLE-BELOIT, WI</v>
          </cell>
          <cell r="AJ137" t="str">
            <v>Janesville-Beloit, WI</v>
          </cell>
          <cell r="AK137" t="str">
            <v/>
          </cell>
          <cell r="AL137" t="str">
            <v/>
          </cell>
          <cell r="AM137" t="str">
            <v/>
          </cell>
          <cell r="AN137" t="str">
            <v/>
          </cell>
          <cell r="AO137" t="str">
            <v/>
          </cell>
          <cell r="AP137" t="str">
            <v/>
          </cell>
          <cell r="AQ137" t="str">
            <v/>
          </cell>
          <cell r="AR137" t="str">
            <v/>
          </cell>
          <cell r="AS137" t="str">
            <v/>
          </cell>
          <cell r="AT137" t="str">
            <v/>
          </cell>
        </row>
        <row r="138">
          <cell r="AI138" t="str">
            <v>JERSEY CITY, NJ</v>
          </cell>
          <cell r="AJ138" t="str">
            <v>Jersey City, NJ</v>
          </cell>
          <cell r="AK138" t="str">
            <v>Jersey City, NJ</v>
          </cell>
          <cell r="AL138" t="str">
            <v>Top 110</v>
          </cell>
          <cell r="AM138" t="str">
            <v/>
          </cell>
          <cell r="AN138" t="str">
            <v/>
          </cell>
          <cell r="AO138" t="str">
            <v>New York Suburban</v>
          </cell>
          <cell r="AP138" t="str">
            <v/>
          </cell>
          <cell r="AQ138" t="str">
            <v/>
          </cell>
          <cell r="AR138" t="str">
            <v/>
          </cell>
          <cell r="AS138" t="str">
            <v/>
          </cell>
          <cell r="AT138" t="str">
            <v/>
          </cell>
        </row>
        <row r="139">
          <cell r="AI139" t="str">
            <v>JOHNSON CITY-KINGSPORT- BRISTOL, TN-VA</v>
          </cell>
          <cell r="AJ139" t="str">
            <v>Johnson City-Kingsport-Bristol, TN-VA</v>
          </cell>
          <cell r="AK139" t="str">
            <v/>
          </cell>
          <cell r="AL139" t="str">
            <v/>
          </cell>
          <cell r="AM139" t="str">
            <v/>
          </cell>
          <cell r="AN139" t="str">
            <v/>
          </cell>
          <cell r="AO139" t="str">
            <v/>
          </cell>
          <cell r="AP139" t="str">
            <v/>
          </cell>
          <cell r="AQ139" t="str">
            <v/>
          </cell>
          <cell r="AR139" t="str">
            <v/>
          </cell>
          <cell r="AS139" t="str">
            <v/>
          </cell>
          <cell r="AT139" t="str">
            <v/>
          </cell>
        </row>
        <row r="140">
          <cell r="AI140" t="str">
            <v>JOPLIN, MO</v>
          </cell>
          <cell r="AJ140" t="str">
            <v>Joplin, MO</v>
          </cell>
          <cell r="AK140" t="str">
            <v/>
          </cell>
          <cell r="AL140" t="str">
            <v/>
          </cell>
          <cell r="AM140" t="str">
            <v/>
          </cell>
          <cell r="AN140" t="str">
            <v/>
          </cell>
          <cell r="AO140" t="str">
            <v/>
          </cell>
          <cell r="AP140" t="str">
            <v/>
          </cell>
          <cell r="AQ140" t="str">
            <v/>
          </cell>
          <cell r="AR140" t="str">
            <v/>
          </cell>
          <cell r="AS140" t="str">
            <v/>
          </cell>
          <cell r="AT140" t="str">
            <v/>
          </cell>
        </row>
        <row r="141">
          <cell r="AI141" t="str">
            <v>KALAMAZOO-BATTLE CREEK, MI</v>
          </cell>
          <cell r="AJ141" t="str">
            <v>Kalamazoo-Battle Creek, MI</v>
          </cell>
          <cell r="AK141" t="str">
            <v/>
          </cell>
          <cell r="AL141" t="str">
            <v/>
          </cell>
          <cell r="AM141" t="str">
            <v/>
          </cell>
          <cell r="AN141" t="str">
            <v/>
          </cell>
          <cell r="AO141" t="str">
            <v/>
          </cell>
          <cell r="AP141" t="str">
            <v/>
          </cell>
          <cell r="AQ141" t="str">
            <v/>
          </cell>
          <cell r="AR141" t="str">
            <v/>
          </cell>
          <cell r="AS141" t="str">
            <v/>
          </cell>
          <cell r="AT141" t="str">
            <v/>
          </cell>
        </row>
        <row r="142">
          <cell r="AI142" t="str">
            <v>KANSAS CITY, MO-KS</v>
          </cell>
          <cell r="AJ142" t="str">
            <v>Kansas City, MO-KS</v>
          </cell>
          <cell r="AK142" t="str">
            <v>Kansas City, MO</v>
          </cell>
          <cell r="AL142" t="str">
            <v>Top 50</v>
          </cell>
          <cell r="AM142" t="str">
            <v>BS</v>
          </cell>
          <cell r="AN142" t="str">
            <v>Kansas City, MO</v>
          </cell>
          <cell r="AO142" t="str">
            <v/>
          </cell>
          <cell r="AP142" t="str">
            <v/>
          </cell>
          <cell r="AQ142" t="str">
            <v>Kansas City, MO</v>
          </cell>
          <cell r="AR142" t="str">
            <v/>
          </cell>
          <cell r="AS142" t="str">
            <v/>
          </cell>
          <cell r="AT142" t="str">
            <v/>
          </cell>
        </row>
        <row r="143">
          <cell r="AI143" t="str">
            <v>KENOSHA, WI</v>
          </cell>
          <cell r="AJ143" t="str">
            <v>Kenosha, WI</v>
          </cell>
          <cell r="AK143" t="str">
            <v/>
          </cell>
          <cell r="AL143" t="str">
            <v/>
          </cell>
          <cell r="AM143" t="str">
            <v/>
          </cell>
          <cell r="AN143" t="str">
            <v/>
          </cell>
          <cell r="AO143" t="str">
            <v/>
          </cell>
          <cell r="AP143" t="str">
            <v/>
          </cell>
          <cell r="AQ143" t="str">
            <v/>
          </cell>
          <cell r="AR143" t="str">
            <v/>
          </cell>
          <cell r="AS143" t="str">
            <v/>
          </cell>
          <cell r="AT143" t="str">
            <v/>
          </cell>
        </row>
        <row r="144">
          <cell r="AI144" t="str">
            <v>KEY WEST, FL</v>
          </cell>
          <cell r="AJ144" t="str">
            <v>Key West, FL</v>
          </cell>
          <cell r="AK144" t="str">
            <v/>
          </cell>
          <cell r="AL144" t="str">
            <v/>
          </cell>
          <cell r="AM144" t="str">
            <v>BS</v>
          </cell>
          <cell r="AN144" t="str">
            <v/>
          </cell>
          <cell r="AO144" t="str">
            <v/>
          </cell>
          <cell r="AP144" t="str">
            <v/>
          </cell>
          <cell r="AQ144" t="str">
            <v/>
          </cell>
          <cell r="AR144" t="str">
            <v/>
          </cell>
          <cell r="AS144" t="str">
            <v/>
          </cell>
          <cell r="AT144" t="str">
            <v/>
          </cell>
        </row>
        <row r="145">
          <cell r="AI145" t="str">
            <v>KILLEEN-TEMPLE, TX</v>
          </cell>
          <cell r="AJ145" t="str">
            <v>Killeen-Temple, TX</v>
          </cell>
          <cell r="AK145" t="str">
            <v/>
          </cell>
          <cell r="AL145" t="str">
            <v/>
          </cell>
          <cell r="AM145" t="str">
            <v/>
          </cell>
          <cell r="AN145" t="str">
            <v/>
          </cell>
          <cell r="AO145" t="str">
            <v/>
          </cell>
          <cell r="AP145" t="str">
            <v/>
          </cell>
          <cell r="AQ145" t="str">
            <v/>
          </cell>
          <cell r="AR145" t="str">
            <v/>
          </cell>
          <cell r="AS145" t="str">
            <v/>
          </cell>
          <cell r="AT145" t="str">
            <v/>
          </cell>
        </row>
        <row r="146">
          <cell r="AI146" t="str">
            <v>KNOXVILLE, TN</v>
          </cell>
          <cell r="AJ146" t="str">
            <v>Knoxville, TN</v>
          </cell>
          <cell r="AK146" t="str">
            <v>Knoxville, TN</v>
          </cell>
          <cell r="AL146" t="str">
            <v>Top 110</v>
          </cell>
          <cell r="AM146" t="str">
            <v>BS</v>
          </cell>
          <cell r="AN146" t="str">
            <v/>
          </cell>
          <cell r="AO146" t="str">
            <v/>
          </cell>
          <cell r="AP146" t="str">
            <v/>
          </cell>
          <cell r="AQ146" t="str">
            <v/>
          </cell>
          <cell r="AR146" t="str">
            <v/>
          </cell>
          <cell r="AS146" t="str">
            <v/>
          </cell>
          <cell r="AT146" t="str">
            <v/>
          </cell>
        </row>
        <row r="147">
          <cell r="AI147" t="str">
            <v>KOKOMO, IN</v>
          </cell>
          <cell r="AJ147" t="str">
            <v>Kokomo, IN</v>
          </cell>
          <cell r="AK147" t="str">
            <v/>
          </cell>
          <cell r="AL147" t="str">
            <v/>
          </cell>
          <cell r="AM147" t="str">
            <v/>
          </cell>
          <cell r="AN147" t="str">
            <v/>
          </cell>
          <cell r="AO147" t="str">
            <v/>
          </cell>
          <cell r="AP147" t="str">
            <v/>
          </cell>
          <cell r="AQ147" t="str">
            <v/>
          </cell>
          <cell r="AR147" t="str">
            <v/>
          </cell>
          <cell r="AS147" t="str">
            <v/>
          </cell>
          <cell r="AT147" t="str">
            <v/>
          </cell>
        </row>
        <row r="148">
          <cell r="AI148" t="str">
            <v>LA CROSSE, WI-MN</v>
          </cell>
          <cell r="AJ148" t="str">
            <v>La Crosse, WI-MN</v>
          </cell>
          <cell r="AK148" t="str">
            <v/>
          </cell>
          <cell r="AL148" t="str">
            <v/>
          </cell>
          <cell r="AM148" t="str">
            <v/>
          </cell>
          <cell r="AN148" t="str">
            <v/>
          </cell>
          <cell r="AO148" t="str">
            <v/>
          </cell>
          <cell r="AP148" t="str">
            <v/>
          </cell>
          <cell r="AQ148" t="str">
            <v/>
          </cell>
          <cell r="AR148" t="str">
            <v/>
          </cell>
          <cell r="AS148" t="str">
            <v/>
          </cell>
          <cell r="AT148" t="str">
            <v/>
          </cell>
        </row>
        <row r="149">
          <cell r="AI149" t="str">
            <v>LAFAYETTE, IN</v>
          </cell>
          <cell r="AJ149" t="str">
            <v>Lafayette, IN</v>
          </cell>
          <cell r="AK149" t="str">
            <v/>
          </cell>
          <cell r="AL149" t="str">
            <v/>
          </cell>
          <cell r="AM149" t="str">
            <v/>
          </cell>
          <cell r="AN149" t="str">
            <v/>
          </cell>
          <cell r="AO149" t="str">
            <v/>
          </cell>
          <cell r="AP149" t="str">
            <v/>
          </cell>
          <cell r="AQ149" t="str">
            <v/>
          </cell>
          <cell r="AR149" t="str">
            <v/>
          </cell>
          <cell r="AS149" t="str">
            <v/>
          </cell>
          <cell r="AT149" t="str">
            <v/>
          </cell>
        </row>
        <row r="150">
          <cell r="AI150" t="str">
            <v>LAFAYETTE, LA</v>
          </cell>
          <cell r="AJ150" t="str">
            <v>Lafayette, LA</v>
          </cell>
          <cell r="AK150" t="str">
            <v/>
          </cell>
          <cell r="AL150" t="str">
            <v/>
          </cell>
          <cell r="AM150" t="str">
            <v/>
          </cell>
          <cell r="AN150" t="str">
            <v/>
          </cell>
          <cell r="AO150" t="str">
            <v/>
          </cell>
          <cell r="AP150" t="str">
            <v/>
          </cell>
          <cell r="AQ150" t="str">
            <v/>
          </cell>
          <cell r="AR150" t="str">
            <v/>
          </cell>
          <cell r="AS150" t="str">
            <v/>
          </cell>
          <cell r="AT150" t="str">
            <v/>
          </cell>
        </row>
        <row r="151">
          <cell r="AI151" t="str">
            <v>LAKE CHARLES, LA</v>
          </cell>
          <cell r="AJ151" t="str">
            <v>Lake Charles, LA</v>
          </cell>
          <cell r="AK151" t="str">
            <v/>
          </cell>
          <cell r="AL151" t="str">
            <v/>
          </cell>
          <cell r="AM151" t="str">
            <v/>
          </cell>
          <cell r="AN151" t="str">
            <v/>
          </cell>
          <cell r="AO151" t="str">
            <v/>
          </cell>
          <cell r="AP151" t="str">
            <v/>
          </cell>
          <cell r="AQ151" t="str">
            <v/>
          </cell>
          <cell r="AR151" t="str">
            <v/>
          </cell>
          <cell r="AS151" t="str">
            <v/>
          </cell>
          <cell r="AT151" t="str">
            <v/>
          </cell>
        </row>
        <row r="152">
          <cell r="AI152" t="str">
            <v>LAKELAND-WINTER HAVEN, FL</v>
          </cell>
          <cell r="AJ152" t="str">
            <v>Lakeland-Winter Haven, FL</v>
          </cell>
          <cell r="AK152" t="str">
            <v/>
          </cell>
          <cell r="AL152" t="str">
            <v/>
          </cell>
          <cell r="AM152" t="str">
            <v/>
          </cell>
          <cell r="AN152" t="str">
            <v/>
          </cell>
          <cell r="AO152" t="str">
            <v/>
          </cell>
          <cell r="AP152" t="str">
            <v/>
          </cell>
          <cell r="AQ152" t="str">
            <v/>
          </cell>
          <cell r="AR152" t="str">
            <v/>
          </cell>
          <cell r="AS152" t="str">
            <v/>
          </cell>
          <cell r="AT152" t="str">
            <v/>
          </cell>
        </row>
        <row r="153">
          <cell r="AI153" t="str">
            <v>LANCASTER, PA</v>
          </cell>
          <cell r="AJ153" t="str">
            <v>Lancaster, PA</v>
          </cell>
          <cell r="AK153" t="str">
            <v/>
          </cell>
          <cell r="AL153" t="str">
            <v/>
          </cell>
          <cell r="AM153" t="str">
            <v/>
          </cell>
          <cell r="AN153" t="str">
            <v/>
          </cell>
          <cell r="AO153" t="str">
            <v/>
          </cell>
          <cell r="AP153" t="str">
            <v/>
          </cell>
          <cell r="AQ153" t="str">
            <v/>
          </cell>
          <cell r="AR153" t="str">
            <v/>
          </cell>
          <cell r="AS153" t="str">
            <v/>
          </cell>
          <cell r="AT153" t="str">
            <v/>
          </cell>
        </row>
        <row r="154">
          <cell r="AI154" t="str">
            <v>LANSING-EAST LANSING, MI</v>
          </cell>
          <cell r="AJ154" t="str">
            <v>Lansing-East Lansing, MI</v>
          </cell>
          <cell r="AK154" t="str">
            <v/>
          </cell>
          <cell r="AL154" t="str">
            <v/>
          </cell>
          <cell r="AM154" t="str">
            <v/>
          </cell>
          <cell r="AN154" t="str">
            <v/>
          </cell>
          <cell r="AO154" t="str">
            <v/>
          </cell>
          <cell r="AP154" t="str">
            <v/>
          </cell>
          <cell r="AQ154" t="str">
            <v/>
          </cell>
          <cell r="AR154" t="str">
            <v/>
          </cell>
          <cell r="AS154" t="str">
            <v/>
          </cell>
          <cell r="AT154" t="str">
            <v/>
          </cell>
        </row>
        <row r="155">
          <cell r="AI155" t="str">
            <v>LAREDO, TX</v>
          </cell>
          <cell r="AJ155" t="str">
            <v>Laredo, TX</v>
          </cell>
          <cell r="AK155" t="str">
            <v/>
          </cell>
          <cell r="AL155" t="str">
            <v/>
          </cell>
          <cell r="AM155" t="str">
            <v/>
          </cell>
          <cell r="AN155" t="str">
            <v/>
          </cell>
          <cell r="AO155" t="str">
            <v/>
          </cell>
          <cell r="AP155" t="str">
            <v/>
          </cell>
          <cell r="AQ155" t="str">
            <v/>
          </cell>
          <cell r="AR155" t="str">
            <v/>
          </cell>
          <cell r="AS155" t="str">
            <v/>
          </cell>
          <cell r="AT155" t="str">
            <v/>
          </cell>
        </row>
        <row r="156">
          <cell r="AI156" t="str">
            <v>LAS CRUCES, NM</v>
          </cell>
          <cell r="AJ156" t="str">
            <v>Las Cruces, NM</v>
          </cell>
          <cell r="AK156" t="str">
            <v/>
          </cell>
          <cell r="AL156" t="str">
            <v/>
          </cell>
          <cell r="AM156" t="str">
            <v/>
          </cell>
          <cell r="AN156" t="str">
            <v/>
          </cell>
          <cell r="AO156" t="str">
            <v/>
          </cell>
          <cell r="AP156" t="str">
            <v/>
          </cell>
          <cell r="AQ156" t="str">
            <v/>
          </cell>
          <cell r="AR156" t="str">
            <v/>
          </cell>
          <cell r="AS156" t="str">
            <v/>
          </cell>
          <cell r="AT156" t="str">
            <v/>
          </cell>
        </row>
        <row r="157">
          <cell r="AI157" t="str">
            <v>LAS VEGAS, NV-AZ</v>
          </cell>
          <cell r="AJ157" t="str">
            <v>Las Vegas, NV</v>
          </cell>
          <cell r="AK157" t="str">
            <v>Las Vegas, NV</v>
          </cell>
          <cell r="AL157" t="str">
            <v>Top 50</v>
          </cell>
          <cell r="AM157" t="str">
            <v>BS</v>
          </cell>
          <cell r="AN157" t="str">
            <v/>
          </cell>
          <cell r="AO157" t="str">
            <v>Las Vegas, NV</v>
          </cell>
          <cell r="AP157" t="str">
            <v/>
          </cell>
          <cell r="AQ157" t="str">
            <v>Las Vegas, NV</v>
          </cell>
          <cell r="AR157" t="str">
            <v/>
          </cell>
          <cell r="AS157" t="str">
            <v>Las Vegas, NV</v>
          </cell>
          <cell r="AT157" t="str">
            <v/>
          </cell>
        </row>
        <row r="158">
          <cell r="AI158" t="str">
            <v>LAWRENCE, KS</v>
          </cell>
          <cell r="AJ158" t="str">
            <v>Lawrence, KS</v>
          </cell>
          <cell r="AK158" t="str">
            <v/>
          </cell>
          <cell r="AL158" t="str">
            <v/>
          </cell>
          <cell r="AM158" t="str">
            <v/>
          </cell>
          <cell r="AN158" t="str">
            <v/>
          </cell>
          <cell r="AO158" t="str">
            <v/>
          </cell>
          <cell r="AP158" t="str">
            <v/>
          </cell>
          <cell r="AQ158" t="str">
            <v/>
          </cell>
          <cell r="AR158" t="str">
            <v/>
          </cell>
          <cell r="AS158" t="str">
            <v/>
          </cell>
          <cell r="AT158" t="str">
            <v/>
          </cell>
        </row>
        <row r="159">
          <cell r="AI159" t="str">
            <v>LAWRENCE, MA-NH</v>
          </cell>
          <cell r="AJ159" t="str">
            <v>Lawrence, MA-NH</v>
          </cell>
          <cell r="AK159" t="str">
            <v/>
          </cell>
          <cell r="AL159" t="str">
            <v/>
          </cell>
          <cell r="AM159" t="str">
            <v/>
          </cell>
          <cell r="AN159" t="str">
            <v/>
          </cell>
          <cell r="AO159" t="str">
            <v/>
          </cell>
          <cell r="AP159" t="str">
            <v/>
          </cell>
          <cell r="AQ159" t="str">
            <v/>
          </cell>
          <cell r="AR159" t="str">
            <v/>
          </cell>
          <cell r="AS159" t="str">
            <v/>
          </cell>
          <cell r="AT159" t="str">
            <v/>
          </cell>
        </row>
        <row r="160">
          <cell r="AI160" t="str">
            <v>LAWTON, OK</v>
          </cell>
          <cell r="AJ160" t="str">
            <v>Lawton, OK</v>
          </cell>
          <cell r="AK160" t="str">
            <v/>
          </cell>
          <cell r="AL160" t="str">
            <v/>
          </cell>
          <cell r="AM160" t="str">
            <v/>
          </cell>
          <cell r="AN160" t="str">
            <v/>
          </cell>
          <cell r="AO160" t="str">
            <v/>
          </cell>
          <cell r="AP160" t="str">
            <v/>
          </cell>
          <cell r="AQ160" t="str">
            <v/>
          </cell>
          <cell r="AR160" t="str">
            <v/>
          </cell>
          <cell r="AS160" t="str">
            <v/>
          </cell>
          <cell r="AT160" t="str">
            <v/>
          </cell>
        </row>
        <row r="161">
          <cell r="AI161" t="str">
            <v>LEWISTON-AUBURN, ME</v>
          </cell>
          <cell r="AJ161" t="str">
            <v>Lewiston-Auburn, ME</v>
          </cell>
          <cell r="AK161" t="str">
            <v/>
          </cell>
          <cell r="AL161" t="str">
            <v/>
          </cell>
          <cell r="AM161" t="str">
            <v/>
          </cell>
          <cell r="AN161" t="str">
            <v/>
          </cell>
          <cell r="AO161" t="str">
            <v/>
          </cell>
          <cell r="AP161" t="str">
            <v/>
          </cell>
          <cell r="AQ161" t="str">
            <v/>
          </cell>
          <cell r="AR161" t="str">
            <v/>
          </cell>
          <cell r="AS161" t="str">
            <v/>
          </cell>
          <cell r="AT161" t="str">
            <v/>
          </cell>
        </row>
        <row r="162">
          <cell r="AI162" t="str">
            <v>LEXINGTON, KY</v>
          </cell>
          <cell r="AJ162" t="str">
            <v>Lexington, KY</v>
          </cell>
          <cell r="AK162" t="str">
            <v/>
          </cell>
          <cell r="AL162" t="str">
            <v/>
          </cell>
          <cell r="AM162" t="str">
            <v/>
          </cell>
          <cell r="AN162" t="str">
            <v/>
          </cell>
          <cell r="AO162" t="str">
            <v/>
          </cell>
          <cell r="AP162" t="str">
            <v/>
          </cell>
          <cell r="AQ162" t="str">
            <v/>
          </cell>
          <cell r="AR162" t="str">
            <v/>
          </cell>
          <cell r="AS162" t="str">
            <v/>
          </cell>
          <cell r="AT162" t="str">
            <v/>
          </cell>
        </row>
        <row r="163">
          <cell r="AI163" t="str">
            <v>LIMA, OH</v>
          </cell>
          <cell r="AJ163" t="str">
            <v>Lima, OH</v>
          </cell>
          <cell r="AK163" t="str">
            <v/>
          </cell>
          <cell r="AL163" t="str">
            <v/>
          </cell>
          <cell r="AM163" t="str">
            <v/>
          </cell>
          <cell r="AN163" t="str">
            <v/>
          </cell>
          <cell r="AO163" t="str">
            <v/>
          </cell>
          <cell r="AP163" t="str">
            <v/>
          </cell>
          <cell r="AQ163" t="str">
            <v/>
          </cell>
          <cell r="AR163" t="str">
            <v/>
          </cell>
          <cell r="AS163" t="str">
            <v/>
          </cell>
          <cell r="AT163" t="str">
            <v/>
          </cell>
        </row>
        <row r="164">
          <cell r="AI164" t="str">
            <v>LINCOLN, NE</v>
          </cell>
          <cell r="AJ164" t="str">
            <v>Lincoln, NE</v>
          </cell>
          <cell r="AK164" t="str">
            <v/>
          </cell>
          <cell r="AL164" t="str">
            <v/>
          </cell>
          <cell r="AM164" t="str">
            <v/>
          </cell>
          <cell r="AN164" t="str">
            <v/>
          </cell>
          <cell r="AO164" t="str">
            <v/>
          </cell>
          <cell r="AP164" t="str">
            <v/>
          </cell>
          <cell r="AQ164" t="str">
            <v/>
          </cell>
          <cell r="AR164" t="str">
            <v/>
          </cell>
          <cell r="AS164" t="str">
            <v/>
          </cell>
          <cell r="AT164" t="str">
            <v/>
          </cell>
        </row>
        <row r="165">
          <cell r="AI165" t="str">
            <v>LITTLE ROCK-NORTH LITTLE ROCK, AR</v>
          </cell>
          <cell r="AJ165" t="str">
            <v>Little Rock, AR</v>
          </cell>
          <cell r="AK165" t="str">
            <v>Little Rock, AR</v>
          </cell>
          <cell r="AL165" t="str">
            <v>Top 110</v>
          </cell>
          <cell r="AM165" t="str">
            <v>BS</v>
          </cell>
          <cell r="AN165" t="str">
            <v/>
          </cell>
          <cell r="AO165" t="str">
            <v/>
          </cell>
          <cell r="AP165" t="str">
            <v/>
          </cell>
          <cell r="AQ165" t="str">
            <v/>
          </cell>
          <cell r="AR165" t="str">
            <v/>
          </cell>
          <cell r="AS165" t="str">
            <v/>
          </cell>
          <cell r="AT165" t="str">
            <v/>
          </cell>
        </row>
        <row r="166">
          <cell r="AI166" t="str">
            <v>LONGVIEW-MARSHALL, TX</v>
          </cell>
          <cell r="AJ166" t="str">
            <v>Longview-Marshall, TX</v>
          </cell>
          <cell r="AK166" t="str">
            <v/>
          </cell>
          <cell r="AL166" t="str">
            <v/>
          </cell>
          <cell r="AM166" t="str">
            <v/>
          </cell>
          <cell r="AN166" t="str">
            <v/>
          </cell>
          <cell r="AO166" t="str">
            <v/>
          </cell>
          <cell r="AP166" t="str">
            <v/>
          </cell>
          <cell r="AQ166" t="str">
            <v/>
          </cell>
          <cell r="AR166" t="str">
            <v/>
          </cell>
          <cell r="AS166" t="str">
            <v/>
          </cell>
          <cell r="AT166" t="str">
            <v/>
          </cell>
        </row>
        <row r="167">
          <cell r="AI167" t="str">
            <v>LOS ANGELES-LONG BEACH, CA</v>
          </cell>
          <cell r="AJ167" t="str">
            <v>Los Angeles-Long Beach, CA</v>
          </cell>
          <cell r="AK167" t="str">
            <v>Los Angeles, CA</v>
          </cell>
          <cell r="AL167" t="str">
            <v>Top 25</v>
          </cell>
          <cell r="AM167" t="str">
            <v>BS</v>
          </cell>
          <cell r="AN167" t="str">
            <v>Los Angeles, CA</v>
          </cell>
          <cell r="AO167" t="str">
            <v>Los Angeles, CA</v>
          </cell>
          <cell r="AP167" t="str">
            <v>LOS ANGELES, CA</v>
          </cell>
          <cell r="AQ167" t="str">
            <v>Los Angeles, CA</v>
          </cell>
          <cell r="AR167" t="str">
            <v>Los Angeles, CA</v>
          </cell>
          <cell r="AS167" t="str">
            <v>Los Angeles, CA</v>
          </cell>
          <cell r="AT167" t="str">
            <v/>
          </cell>
        </row>
        <row r="168">
          <cell r="AI168" t="str">
            <v>LOUISVILLE, KY-IN</v>
          </cell>
          <cell r="AJ168" t="str">
            <v>Louisville, KY-IN</v>
          </cell>
          <cell r="AK168" t="str">
            <v>Louisville, KY</v>
          </cell>
          <cell r="AL168" t="str">
            <v>Top 110</v>
          </cell>
          <cell r="AM168" t="str">
            <v>BS</v>
          </cell>
          <cell r="AN168" t="str">
            <v/>
          </cell>
          <cell r="AO168" t="str">
            <v/>
          </cell>
          <cell r="AP168" t="str">
            <v/>
          </cell>
          <cell r="AQ168" t="str">
            <v/>
          </cell>
          <cell r="AR168" t="str">
            <v/>
          </cell>
          <cell r="AS168" t="str">
            <v/>
          </cell>
          <cell r="AT168" t="str">
            <v/>
          </cell>
        </row>
        <row r="169">
          <cell r="AI169" t="str">
            <v>LOWELL, MA-NH</v>
          </cell>
          <cell r="AJ169" t="str">
            <v>Lowell, MA-NH</v>
          </cell>
          <cell r="AK169" t="str">
            <v/>
          </cell>
          <cell r="AL169" t="str">
            <v/>
          </cell>
          <cell r="AM169" t="str">
            <v/>
          </cell>
          <cell r="AN169" t="str">
            <v/>
          </cell>
          <cell r="AO169" t="str">
            <v/>
          </cell>
          <cell r="AP169" t="str">
            <v/>
          </cell>
          <cell r="AQ169" t="str">
            <v/>
          </cell>
          <cell r="AR169" t="str">
            <v/>
          </cell>
          <cell r="AS169" t="str">
            <v/>
          </cell>
          <cell r="AT169" t="str">
            <v/>
          </cell>
        </row>
        <row r="170">
          <cell r="AI170" t="str">
            <v>LUBBOCK, TX</v>
          </cell>
          <cell r="AJ170" t="str">
            <v>Lubbock, TX</v>
          </cell>
          <cell r="AK170" t="str">
            <v/>
          </cell>
          <cell r="AL170" t="str">
            <v/>
          </cell>
          <cell r="AM170" t="str">
            <v/>
          </cell>
          <cell r="AN170" t="str">
            <v/>
          </cell>
          <cell r="AO170" t="str">
            <v/>
          </cell>
          <cell r="AP170" t="str">
            <v/>
          </cell>
          <cell r="AQ170" t="str">
            <v/>
          </cell>
          <cell r="AR170" t="str">
            <v/>
          </cell>
          <cell r="AS170" t="str">
            <v/>
          </cell>
          <cell r="AT170" t="str">
            <v/>
          </cell>
        </row>
        <row r="171">
          <cell r="AI171" t="str">
            <v>LYNCHBURG, VA</v>
          </cell>
          <cell r="AJ171" t="str">
            <v>Lynchburg, VA</v>
          </cell>
          <cell r="AK171" t="str">
            <v/>
          </cell>
          <cell r="AL171" t="str">
            <v/>
          </cell>
          <cell r="AM171" t="str">
            <v/>
          </cell>
          <cell r="AN171" t="str">
            <v/>
          </cell>
          <cell r="AO171" t="str">
            <v/>
          </cell>
          <cell r="AP171" t="str">
            <v/>
          </cell>
          <cell r="AQ171" t="str">
            <v/>
          </cell>
          <cell r="AR171" t="str">
            <v/>
          </cell>
          <cell r="AS171" t="str">
            <v/>
          </cell>
          <cell r="AT171" t="str">
            <v/>
          </cell>
        </row>
        <row r="172">
          <cell r="AI172" t="str">
            <v>MACON, GA</v>
          </cell>
          <cell r="AJ172" t="str">
            <v>Macon, GA</v>
          </cell>
          <cell r="AK172" t="str">
            <v/>
          </cell>
          <cell r="AL172" t="str">
            <v/>
          </cell>
          <cell r="AM172" t="str">
            <v/>
          </cell>
          <cell r="AN172" t="str">
            <v/>
          </cell>
          <cell r="AO172" t="str">
            <v/>
          </cell>
          <cell r="AP172" t="str">
            <v/>
          </cell>
          <cell r="AQ172" t="str">
            <v/>
          </cell>
          <cell r="AR172" t="str">
            <v/>
          </cell>
          <cell r="AS172" t="str">
            <v/>
          </cell>
          <cell r="AT172" t="str">
            <v/>
          </cell>
        </row>
        <row r="173">
          <cell r="AI173" t="str">
            <v>MADISON, WI</v>
          </cell>
          <cell r="AJ173" t="str">
            <v>Madison, WI</v>
          </cell>
          <cell r="AK173" t="str">
            <v/>
          </cell>
          <cell r="AL173" t="str">
            <v/>
          </cell>
          <cell r="AM173" t="str">
            <v/>
          </cell>
          <cell r="AN173" t="str">
            <v/>
          </cell>
          <cell r="AO173" t="str">
            <v/>
          </cell>
          <cell r="AP173" t="str">
            <v/>
          </cell>
          <cell r="AQ173" t="str">
            <v/>
          </cell>
          <cell r="AR173" t="str">
            <v/>
          </cell>
          <cell r="AS173" t="str">
            <v/>
          </cell>
          <cell r="AT173" t="str">
            <v/>
          </cell>
        </row>
        <row r="174">
          <cell r="AI174" t="str">
            <v>MANCHESTER-NASHUA, NH</v>
          </cell>
          <cell r="AJ174" t="str">
            <v>Manchester-Nashua, NH</v>
          </cell>
          <cell r="AK174" t="str">
            <v>Manchester, NH</v>
          </cell>
          <cell r="AL174" t="str">
            <v>Top 110</v>
          </cell>
          <cell r="AM174" t="str">
            <v/>
          </cell>
          <cell r="AN174" t="str">
            <v/>
          </cell>
          <cell r="AO174" t="str">
            <v/>
          </cell>
          <cell r="AP174" t="str">
            <v/>
          </cell>
          <cell r="AQ174" t="str">
            <v/>
          </cell>
          <cell r="AR174" t="str">
            <v/>
          </cell>
          <cell r="AS174" t="str">
            <v/>
          </cell>
          <cell r="AT174" t="str">
            <v/>
          </cell>
        </row>
        <row r="175">
          <cell r="AI175" t="str">
            <v>MANSFIELD, OH</v>
          </cell>
          <cell r="AJ175" t="str">
            <v>Mansfield, OH</v>
          </cell>
          <cell r="AK175" t="str">
            <v/>
          </cell>
          <cell r="AL175" t="str">
            <v/>
          </cell>
          <cell r="AM175" t="str">
            <v/>
          </cell>
          <cell r="AN175" t="str">
            <v/>
          </cell>
          <cell r="AO175" t="str">
            <v/>
          </cell>
          <cell r="AP175" t="str">
            <v/>
          </cell>
          <cell r="AQ175" t="str">
            <v/>
          </cell>
          <cell r="AR175" t="str">
            <v/>
          </cell>
          <cell r="AS175" t="str">
            <v/>
          </cell>
          <cell r="AT175" t="str">
            <v/>
          </cell>
        </row>
        <row r="176">
          <cell r="AI176" t="str">
            <v>McALLEN-EDINBURG-MISSION, TX</v>
          </cell>
          <cell r="AJ176" t="str">
            <v>McAllen-Edinburg-Mission, TX</v>
          </cell>
          <cell r="AK176" t="str">
            <v/>
          </cell>
          <cell r="AL176" t="str">
            <v/>
          </cell>
          <cell r="AM176" t="str">
            <v/>
          </cell>
          <cell r="AN176" t="str">
            <v/>
          </cell>
          <cell r="AO176" t="str">
            <v/>
          </cell>
          <cell r="AP176" t="str">
            <v/>
          </cell>
          <cell r="AQ176" t="str">
            <v/>
          </cell>
          <cell r="AR176" t="str">
            <v/>
          </cell>
          <cell r="AS176" t="str">
            <v/>
          </cell>
          <cell r="AT176" t="str">
            <v/>
          </cell>
        </row>
        <row r="177">
          <cell r="AI177" t="str">
            <v>MEDFORD-ASHLAND, OR</v>
          </cell>
          <cell r="AJ177" t="str">
            <v>Medford-Ashland, OR</v>
          </cell>
          <cell r="AK177" t="str">
            <v/>
          </cell>
          <cell r="AL177" t="str">
            <v/>
          </cell>
          <cell r="AM177" t="str">
            <v/>
          </cell>
          <cell r="AN177" t="str">
            <v/>
          </cell>
          <cell r="AO177" t="str">
            <v/>
          </cell>
          <cell r="AP177" t="str">
            <v/>
          </cell>
          <cell r="AQ177" t="str">
            <v/>
          </cell>
          <cell r="AR177" t="str">
            <v/>
          </cell>
          <cell r="AS177" t="str">
            <v/>
          </cell>
          <cell r="AT177" t="str">
            <v/>
          </cell>
        </row>
        <row r="178">
          <cell r="AI178" t="str">
            <v>MELBOURNE-TITUSVILLE-PALM BAY, FL</v>
          </cell>
          <cell r="AJ178" t="str">
            <v>Melbourne-Titusville-Palm Bay, FL</v>
          </cell>
          <cell r="AK178" t="str">
            <v/>
          </cell>
          <cell r="AL178" t="str">
            <v/>
          </cell>
          <cell r="AM178" t="str">
            <v/>
          </cell>
          <cell r="AN178" t="str">
            <v/>
          </cell>
          <cell r="AO178" t="str">
            <v/>
          </cell>
          <cell r="AP178" t="str">
            <v/>
          </cell>
          <cell r="AQ178" t="str">
            <v/>
          </cell>
          <cell r="AR178" t="str">
            <v/>
          </cell>
          <cell r="AS178" t="str">
            <v/>
          </cell>
          <cell r="AT178" t="str">
            <v/>
          </cell>
        </row>
        <row r="179">
          <cell r="AI179" t="str">
            <v>MEMPHIS, TN-AR-MS</v>
          </cell>
          <cell r="AJ179" t="str">
            <v>Memphis, TN-AR-MS</v>
          </cell>
          <cell r="AK179" t="str">
            <v>Memphis, TN</v>
          </cell>
          <cell r="AL179" t="str">
            <v>Top 110</v>
          </cell>
          <cell r="AM179" t="str">
            <v>BS</v>
          </cell>
          <cell r="AN179" t="str">
            <v>Memphis, TN</v>
          </cell>
          <cell r="AO179" t="str">
            <v/>
          </cell>
          <cell r="AP179" t="str">
            <v/>
          </cell>
          <cell r="AQ179" t="str">
            <v>Memphis, TN</v>
          </cell>
          <cell r="AR179" t="str">
            <v/>
          </cell>
          <cell r="AS179" t="str">
            <v/>
          </cell>
          <cell r="AT179" t="str">
            <v/>
          </cell>
        </row>
        <row r="180">
          <cell r="AI180" t="str">
            <v>MERCED, CA</v>
          </cell>
          <cell r="AJ180" t="str">
            <v>Merced, CA</v>
          </cell>
          <cell r="AK180" t="str">
            <v/>
          </cell>
          <cell r="AL180" t="str">
            <v/>
          </cell>
          <cell r="AM180" t="str">
            <v/>
          </cell>
          <cell r="AN180" t="str">
            <v/>
          </cell>
          <cell r="AO180" t="str">
            <v/>
          </cell>
          <cell r="AP180" t="str">
            <v/>
          </cell>
          <cell r="AQ180" t="str">
            <v/>
          </cell>
          <cell r="AR180" t="str">
            <v/>
          </cell>
          <cell r="AS180" t="str">
            <v/>
          </cell>
          <cell r="AT180" t="str">
            <v/>
          </cell>
        </row>
        <row r="181">
          <cell r="AI181" t="str">
            <v>MIAMI, FL</v>
          </cell>
          <cell r="AJ181" t="str">
            <v>Miami, FL</v>
          </cell>
          <cell r="AK181" t="str">
            <v>Miami, FL</v>
          </cell>
          <cell r="AL181" t="str">
            <v>Top 25</v>
          </cell>
          <cell r="AM181" t="str">
            <v>BS</v>
          </cell>
          <cell r="AN181" t="str">
            <v>Miami, FL</v>
          </cell>
          <cell r="AO181" t="str">
            <v>Miami, FL</v>
          </cell>
          <cell r="AP181" t="str">
            <v>MIAMI, FL</v>
          </cell>
          <cell r="AQ181" t="str">
            <v/>
          </cell>
          <cell r="AR181" t="str">
            <v>Miami, FL</v>
          </cell>
          <cell r="AS181" t="str">
            <v>Miami, FL</v>
          </cell>
          <cell r="AT181" t="str">
            <v>Miami, FL</v>
          </cell>
        </row>
        <row r="182">
          <cell r="AI182" t="str">
            <v>MIDDLESEX-SOMERSET-HUNTERDON, NJ</v>
          </cell>
          <cell r="AJ182" t="str">
            <v>Middlesex-Somerset-Hunterdon, NJ</v>
          </cell>
          <cell r="AK182" t="str">
            <v>Middlesex, NJ</v>
          </cell>
          <cell r="AL182" t="str">
            <v>Top 110</v>
          </cell>
          <cell r="AM182" t="str">
            <v/>
          </cell>
          <cell r="AN182" t="str">
            <v/>
          </cell>
          <cell r="AO182" t="str">
            <v>New York Suburban</v>
          </cell>
          <cell r="AP182" t="str">
            <v/>
          </cell>
          <cell r="AQ182" t="str">
            <v/>
          </cell>
          <cell r="AR182" t="str">
            <v/>
          </cell>
          <cell r="AS182" t="str">
            <v/>
          </cell>
          <cell r="AT182" t="str">
            <v/>
          </cell>
        </row>
        <row r="183">
          <cell r="AI183" t="str">
            <v>MILWAUKEE-WAUKESHA, WI</v>
          </cell>
          <cell r="AJ183" t="str">
            <v>Milwaukee, WI</v>
          </cell>
          <cell r="AK183" t="str">
            <v>Milwaukee, WI</v>
          </cell>
          <cell r="AL183" t="str">
            <v>Top 50</v>
          </cell>
          <cell r="AM183" t="str">
            <v>BS</v>
          </cell>
          <cell r="AN183" t="str">
            <v/>
          </cell>
          <cell r="AO183" t="str">
            <v/>
          </cell>
          <cell r="AP183" t="str">
            <v/>
          </cell>
          <cell r="AQ183" t="str">
            <v/>
          </cell>
          <cell r="AR183" t="str">
            <v/>
          </cell>
          <cell r="AS183" t="str">
            <v/>
          </cell>
          <cell r="AT183" t="str">
            <v/>
          </cell>
        </row>
        <row r="184">
          <cell r="AI184" t="str">
            <v>MINNEAPOLIS-SAINT PAUL, MN-WI</v>
          </cell>
          <cell r="AJ184" t="str">
            <v>Minneapolis-St. Paul, MN-WI</v>
          </cell>
          <cell r="AK184" t="str">
            <v>Minneapolis, MN</v>
          </cell>
          <cell r="AL184" t="str">
            <v>Top 25</v>
          </cell>
          <cell r="AM184" t="str">
            <v>BS</v>
          </cell>
          <cell r="AN184" t="str">
            <v>Minneapolis, MN</v>
          </cell>
          <cell r="AO184" t="str">
            <v>Minneapolis, MN</v>
          </cell>
          <cell r="AP184" t="str">
            <v/>
          </cell>
          <cell r="AQ184" t="str">
            <v>Minneapolis, MN</v>
          </cell>
          <cell r="AR184" t="str">
            <v>Minneapolis, MN</v>
          </cell>
          <cell r="AS184" t="str">
            <v>Minneapolis, MN</v>
          </cell>
          <cell r="AT184" t="str">
            <v/>
          </cell>
        </row>
        <row r="185">
          <cell r="AI185" t="str">
            <v>MOBILE, AL</v>
          </cell>
          <cell r="AJ185" t="str">
            <v>Mobile, AL</v>
          </cell>
          <cell r="AK185" t="str">
            <v>Mobile, AL</v>
          </cell>
          <cell r="AL185" t="str">
            <v>Top 110</v>
          </cell>
          <cell r="AM185" t="str">
            <v/>
          </cell>
          <cell r="AN185" t="str">
            <v/>
          </cell>
          <cell r="AO185" t="str">
            <v/>
          </cell>
          <cell r="AP185" t="str">
            <v/>
          </cell>
          <cell r="AQ185" t="str">
            <v/>
          </cell>
          <cell r="AR185" t="str">
            <v/>
          </cell>
          <cell r="AS185" t="str">
            <v/>
          </cell>
          <cell r="AT185" t="str">
            <v/>
          </cell>
        </row>
        <row r="186">
          <cell r="AI186" t="str">
            <v>MODESTO, CA</v>
          </cell>
          <cell r="AJ186" t="str">
            <v>Modesto, CA</v>
          </cell>
          <cell r="AK186" t="str">
            <v/>
          </cell>
          <cell r="AL186" t="str">
            <v/>
          </cell>
          <cell r="AM186" t="str">
            <v/>
          </cell>
          <cell r="AN186" t="str">
            <v/>
          </cell>
          <cell r="AO186" t="str">
            <v/>
          </cell>
          <cell r="AP186" t="str">
            <v/>
          </cell>
          <cell r="AQ186" t="str">
            <v/>
          </cell>
          <cell r="AR186" t="str">
            <v/>
          </cell>
          <cell r="AS186" t="str">
            <v/>
          </cell>
          <cell r="AT186" t="str">
            <v/>
          </cell>
        </row>
        <row r="187">
          <cell r="AI187" t="str">
            <v>MONMOUTH-OCEAN, NJ</v>
          </cell>
          <cell r="AJ187" t="str">
            <v>Monmouth-Ocean, NJ</v>
          </cell>
          <cell r="AK187" t="str">
            <v>Monmouth, NJ</v>
          </cell>
          <cell r="AL187" t="str">
            <v>Top 110</v>
          </cell>
          <cell r="AM187" t="str">
            <v/>
          </cell>
          <cell r="AN187" t="str">
            <v/>
          </cell>
          <cell r="AO187" t="str">
            <v>New York Suburban</v>
          </cell>
          <cell r="AP187" t="str">
            <v/>
          </cell>
          <cell r="AQ187" t="str">
            <v/>
          </cell>
          <cell r="AR187" t="str">
            <v/>
          </cell>
          <cell r="AS187" t="str">
            <v/>
          </cell>
          <cell r="AT187" t="str">
            <v/>
          </cell>
        </row>
        <row r="188">
          <cell r="AI188" t="str">
            <v>MONROE, LA</v>
          </cell>
          <cell r="AJ188" t="str">
            <v>Monroe, LA</v>
          </cell>
          <cell r="AK188" t="str">
            <v/>
          </cell>
          <cell r="AL188" t="str">
            <v/>
          </cell>
          <cell r="AM188" t="str">
            <v/>
          </cell>
          <cell r="AN188" t="str">
            <v/>
          </cell>
          <cell r="AO188" t="str">
            <v/>
          </cell>
          <cell r="AP188" t="str">
            <v/>
          </cell>
          <cell r="AQ188" t="str">
            <v/>
          </cell>
          <cell r="AR188" t="str">
            <v/>
          </cell>
          <cell r="AS188" t="str">
            <v/>
          </cell>
          <cell r="AT188" t="str">
            <v/>
          </cell>
        </row>
        <row r="189">
          <cell r="AI189" t="str">
            <v>MONTGOMERY, AL</v>
          </cell>
          <cell r="AJ189" t="str">
            <v>Montgomery, AL</v>
          </cell>
          <cell r="AK189" t="str">
            <v/>
          </cell>
          <cell r="AL189" t="str">
            <v/>
          </cell>
          <cell r="AM189" t="str">
            <v/>
          </cell>
          <cell r="AN189" t="str">
            <v/>
          </cell>
          <cell r="AO189" t="str">
            <v/>
          </cell>
          <cell r="AP189" t="str">
            <v/>
          </cell>
          <cell r="AQ189" t="str">
            <v/>
          </cell>
          <cell r="AR189" t="str">
            <v/>
          </cell>
          <cell r="AS189" t="str">
            <v/>
          </cell>
          <cell r="AT189" t="str">
            <v/>
          </cell>
        </row>
        <row r="190">
          <cell r="AI190" t="str">
            <v>MYRTLE BEACH, SC</v>
          </cell>
          <cell r="AJ190" t="str">
            <v>Myrtle Beach, SC</v>
          </cell>
          <cell r="AK190" t="str">
            <v/>
          </cell>
          <cell r="AL190" t="str">
            <v/>
          </cell>
          <cell r="AM190" t="str">
            <v/>
          </cell>
          <cell r="AN190" t="str">
            <v/>
          </cell>
          <cell r="AO190" t="str">
            <v/>
          </cell>
          <cell r="AP190" t="str">
            <v/>
          </cell>
          <cell r="AQ190" t="str">
            <v/>
          </cell>
          <cell r="AR190" t="str">
            <v/>
          </cell>
          <cell r="AS190" t="str">
            <v/>
          </cell>
          <cell r="AT190" t="str">
            <v/>
          </cell>
        </row>
        <row r="191">
          <cell r="AI191" t="str">
            <v>NAPLES, FL</v>
          </cell>
          <cell r="AJ191" t="str">
            <v>Naples, FL</v>
          </cell>
          <cell r="AK191" t="str">
            <v/>
          </cell>
          <cell r="AL191" t="str">
            <v/>
          </cell>
          <cell r="AM191" t="str">
            <v/>
          </cell>
          <cell r="AN191" t="str">
            <v/>
          </cell>
          <cell r="AO191" t="str">
            <v/>
          </cell>
          <cell r="AP191" t="str">
            <v/>
          </cell>
          <cell r="AQ191" t="str">
            <v/>
          </cell>
          <cell r="AR191" t="str">
            <v/>
          </cell>
          <cell r="AS191" t="str">
            <v/>
          </cell>
          <cell r="AT191" t="str">
            <v/>
          </cell>
        </row>
        <row r="192">
          <cell r="AI192" t="str">
            <v>NASHVILLE, TN</v>
          </cell>
          <cell r="AJ192" t="str">
            <v>Nashville, TN</v>
          </cell>
          <cell r="AK192" t="str">
            <v>Nashville, TN</v>
          </cell>
          <cell r="AL192" t="str">
            <v>Top 50</v>
          </cell>
          <cell r="AM192" t="str">
            <v>BS</v>
          </cell>
          <cell r="AN192" t="str">
            <v>Nashville, TN</v>
          </cell>
          <cell r="AO192" t="str">
            <v>Nashville, TN</v>
          </cell>
          <cell r="AP192" t="str">
            <v/>
          </cell>
          <cell r="AQ192" t="str">
            <v>Nashville, TN</v>
          </cell>
          <cell r="AR192" t="str">
            <v>Nashville, TN</v>
          </cell>
          <cell r="AS192" t="str">
            <v/>
          </cell>
          <cell r="AT192" t="str">
            <v/>
          </cell>
        </row>
        <row r="193">
          <cell r="AI193" t="str">
            <v>NASSAU-SUFFOLK, NY</v>
          </cell>
          <cell r="AJ193" t="str">
            <v>Nassau-Suffolk, NY</v>
          </cell>
          <cell r="AK193" t="str">
            <v>Nassau, NY</v>
          </cell>
          <cell r="AL193" t="str">
            <v>Top 25</v>
          </cell>
          <cell r="AM193" t="str">
            <v/>
          </cell>
          <cell r="AN193" t="str">
            <v/>
          </cell>
          <cell r="AO193" t="str">
            <v>New York Suburban</v>
          </cell>
          <cell r="AP193" t="str">
            <v/>
          </cell>
          <cell r="AQ193" t="str">
            <v/>
          </cell>
          <cell r="AR193" t="str">
            <v/>
          </cell>
          <cell r="AS193" t="str">
            <v/>
          </cell>
          <cell r="AT193" t="str">
            <v/>
          </cell>
        </row>
        <row r="194">
          <cell r="AI194" t="str">
            <v>NEW BEDFORD, MA</v>
          </cell>
          <cell r="AJ194" t="str">
            <v>New Bedford, MA</v>
          </cell>
          <cell r="AK194" t="str">
            <v/>
          </cell>
          <cell r="AL194" t="str">
            <v/>
          </cell>
          <cell r="AM194" t="str">
            <v/>
          </cell>
          <cell r="AN194" t="str">
            <v/>
          </cell>
          <cell r="AO194" t="str">
            <v/>
          </cell>
          <cell r="AP194" t="str">
            <v/>
          </cell>
          <cell r="AQ194" t="str">
            <v/>
          </cell>
          <cell r="AR194" t="str">
            <v/>
          </cell>
          <cell r="AS194" t="str">
            <v/>
          </cell>
          <cell r="AT194" t="str">
            <v/>
          </cell>
        </row>
        <row r="195">
          <cell r="AI195" t="str">
            <v>NEW HAVEN-BRIDGEPORT-STAMFORD-, CT</v>
          </cell>
          <cell r="AJ195" t="str">
            <v>New Haven-Bridgeport-Stamford, CT</v>
          </cell>
          <cell r="AK195" t="str">
            <v>New Haven, CT</v>
          </cell>
          <cell r="AL195" t="str">
            <v>Top 50</v>
          </cell>
          <cell r="AM195" t="str">
            <v/>
          </cell>
          <cell r="AN195" t="str">
            <v/>
          </cell>
          <cell r="AO195" t="str">
            <v>New York Suburban</v>
          </cell>
          <cell r="AP195" t="str">
            <v/>
          </cell>
          <cell r="AQ195" t="str">
            <v/>
          </cell>
          <cell r="AR195" t="str">
            <v/>
          </cell>
          <cell r="AS195" t="str">
            <v/>
          </cell>
          <cell r="AT195" t="str">
            <v/>
          </cell>
        </row>
        <row r="196">
          <cell r="AI196" t="str">
            <v>NEW LONDON-NORWICH, CT-RI</v>
          </cell>
          <cell r="AJ196" t="str">
            <v>New London-Norwich, CT</v>
          </cell>
          <cell r="AK196" t="str">
            <v/>
          </cell>
          <cell r="AL196" t="str">
            <v/>
          </cell>
          <cell r="AM196" t="str">
            <v/>
          </cell>
          <cell r="AN196" t="str">
            <v/>
          </cell>
          <cell r="AO196" t="str">
            <v/>
          </cell>
          <cell r="AP196" t="str">
            <v/>
          </cell>
          <cell r="AQ196" t="str">
            <v/>
          </cell>
          <cell r="AR196" t="str">
            <v/>
          </cell>
          <cell r="AS196" t="str">
            <v/>
          </cell>
          <cell r="AT196" t="str">
            <v/>
          </cell>
        </row>
        <row r="197">
          <cell r="AI197" t="str">
            <v>NEW ORLEANS, LA</v>
          </cell>
          <cell r="AJ197" t="str">
            <v>New Orleans, LA</v>
          </cell>
          <cell r="AK197" t="str">
            <v>New Orleans, LA</v>
          </cell>
          <cell r="AL197" t="str">
            <v>Top 50</v>
          </cell>
          <cell r="AM197" t="str">
            <v>BS</v>
          </cell>
          <cell r="AN197" t="str">
            <v>New Orleans, LA</v>
          </cell>
          <cell r="AO197" t="str">
            <v>New Orleans, LA</v>
          </cell>
          <cell r="AP197" t="str">
            <v>NEW ORLEANS, LA</v>
          </cell>
          <cell r="AQ197" t="str">
            <v>New Orleans, LA</v>
          </cell>
          <cell r="AR197" t="str">
            <v>New Orleans, LA</v>
          </cell>
          <cell r="AS197" t="str">
            <v/>
          </cell>
          <cell r="AT197" t="str">
            <v/>
          </cell>
        </row>
        <row r="198">
          <cell r="AI198" t="str">
            <v>NEW YORK, NY</v>
          </cell>
          <cell r="AJ198" t="str">
            <v>New York City, NY</v>
          </cell>
          <cell r="AK198" t="str">
            <v>New York, NY</v>
          </cell>
          <cell r="AL198" t="str">
            <v>Top 25</v>
          </cell>
          <cell r="AM198" t="str">
            <v>BS</v>
          </cell>
          <cell r="AN198" t="str">
            <v>New York, NY</v>
          </cell>
          <cell r="AO198" t="str">
            <v>New York Suburban</v>
          </cell>
          <cell r="AP198" t="str">
            <v>NEW YORK, NY</v>
          </cell>
          <cell r="AQ198" t="str">
            <v>New York, NY</v>
          </cell>
          <cell r="AR198" t="str">
            <v>New York, NY</v>
          </cell>
          <cell r="AS198" t="str">
            <v>New York, NY</v>
          </cell>
          <cell r="AT198" t="str">
            <v/>
          </cell>
        </row>
        <row r="199">
          <cell r="AI199" t="str">
            <v>NEWARK, NJ</v>
          </cell>
          <cell r="AJ199" t="str">
            <v>Newark, NJ</v>
          </cell>
          <cell r="AK199" t="str">
            <v>Newark, NJ</v>
          </cell>
          <cell r="AL199" t="str">
            <v>Top 25</v>
          </cell>
          <cell r="AM199" t="str">
            <v>BS</v>
          </cell>
          <cell r="AN199" t="str">
            <v/>
          </cell>
          <cell r="AO199" t="str">
            <v>New York Suburban</v>
          </cell>
          <cell r="AP199" t="str">
            <v>NEWARK, NJ</v>
          </cell>
          <cell r="AQ199" t="str">
            <v/>
          </cell>
          <cell r="AR199" t="str">
            <v/>
          </cell>
          <cell r="AS199" t="str">
            <v/>
          </cell>
          <cell r="AT199" t="str">
            <v/>
          </cell>
        </row>
        <row r="200">
          <cell r="AI200" t="str">
            <v>NORFOLK-VIRGINIA BEACH- NEWPORT NEWS, VA-NC</v>
          </cell>
          <cell r="AJ200" t="str">
            <v>Norfolk-Virginia Beach, VA</v>
          </cell>
          <cell r="AK200" t="str">
            <v>Norfolk, VA</v>
          </cell>
          <cell r="AL200" t="str">
            <v>Top 50</v>
          </cell>
          <cell r="AM200" t="str">
            <v>BS</v>
          </cell>
          <cell r="AN200" t="str">
            <v>Norfolk, VA</v>
          </cell>
          <cell r="AO200" t="str">
            <v>Norfolk, VA</v>
          </cell>
          <cell r="AP200" t="str">
            <v/>
          </cell>
          <cell r="AQ200" t="str">
            <v/>
          </cell>
          <cell r="AR200" t="str">
            <v>Norfolk, VA</v>
          </cell>
          <cell r="AS200" t="str">
            <v/>
          </cell>
          <cell r="AT200" t="str">
            <v/>
          </cell>
        </row>
        <row r="201">
          <cell r="AI201" t="str">
            <v>OAKLAND, CA</v>
          </cell>
          <cell r="AJ201" t="str">
            <v>Oakland, CA</v>
          </cell>
          <cell r="AK201" t="str">
            <v>Oakland, CA</v>
          </cell>
          <cell r="AL201" t="str">
            <v>Top 25</v>
          </cell>
          <cell r="AM201" t="str">
            <v>BS</v>
          </cell>
          <cell r="AN201" t="str">
            <v>Oakland, CA</v>
          </cell>
          <cell r="AO201" t="str">
            <v/>
          </cell>
          <cell r="AP201" t="str">
            <v/>
          </cell>
          <cell r="AQ201" t="str">
            <v>Oakland, CA</v>
          </cell>
          <cell r="AR201" t="str">
            <v/>
          </cell>
          <cell r="AS201" t="str">
            <v/>
          </cell>
          <cell r="AT201" t="str">
            <v/>
          </cell>
        </row>
        <row r="202">
          <cell r="AI202" t="str">
            <v>OCALA, FL</v>
          </cell>
          <cell r="AJ202" t="str">
            <v>Ocala, FL</v>
          </cell>
          <cell r="AK202" t="str">
            <v/>
          </cell>
          <cell r="AL202" t="str">
            <v/>
          </cell>
          <cell r="AM202" t="str">
            <v/>
          </cell>
          <cell r="AN202" t="str">
            <v/>
          </cell>
          <cell r="AO202" t="str">
            <v/>
          </cell>
          <cell r="AP202" t="str">
            <v/>
          </cell>
          <cell r="AQ202" t="str">
            <v/>
          </cell>
          <cell r="AR202" t="str">
            <v/>
          </cell>
          <cell r="AS202" t="str">
            <v/>
          </cell>
          <cell r="AT202" t="str">
            <v/>
          </cell>
        </row>
        <row r="203">
          <cell r="AI203" t="str">
            <v>OKLAHOMA CITY, OK</v>
          </cell>
          <cell r="AJ203" t="str">
            <v>Oklahoma City, OK</v>
          </cell>
          <cell r="AK203" t="str">
            <v>Oklahoma City, OK</v>
          </cell>
          <cell r="AL203" t="str">
            <v>Top 110</v>
          </cell>
          <cell r="AM203" t="str">
            <v>BS</v>
          </cell>
          <cell r="AN203" t="str">
            <v>Oklahoma City, OK</v>
          </cell>
          <cell r="AO203" t="str">
            <v/>
          </cell>
          <cell r="AP203" t="str">
            <v/>
          </cell>
          <cell r="AQ203" t="str">
            <v/>
          </cell>
          <cell r="AR203" t="str">
            <v/>
          </cell>
          <cell r="AS203" t="str">
            <v/>
          </cell>
          <cell r="AT203" t="str">
            <v/>
          </cell>
        </row>
        <row r="204">
          <cell r="AI204" t="str">
            <v>OLYMPIA, WA</v>
          </cell>
          <cell r="AJ204" t="str">
            <v>Olympia, WA</v>
          </cell>
          <cell r="AK204" t="str">
            <v/>
          </cell>
          <cell r="AL204" t="str">
            <v/>
          </cell>
          <cell r="AM204" t="str">
            <v/>
          </cell>
          <cell r="AN204" t="str">
            <v/>
          </cell>
          <cell r="AO204" t="str">
            <v/>
          </cell>
          <cell r="AP204" t="str">
            <v/>
          </cell>
          <cell r="AQ204" t="str">
            <v/>
          </cell>
          <cell r="AR204" t="str">
            <v/>
          </cell>
          <cell r="AS204" t="str">
            <v/>
          </cell>
          <cell r="AT204" t="str">
            <v/>
          </cell>
        </row>
        <row r="205">
          <cell r="AI205" t="str">
            <v>OMAHA, NE-IA</v>
          </cell>
          <cell r="AJ205" t="str">
            <v>Omaha, NE-IA</v>
          </cell>
          <cell r="AK205" t="str">
            <v>Omaha, NE</v>
          </cell>
          <cell r="AL205" t="str">
            <v>Top 110</v>
          </cell>
          <cell r="AM205" t="str">
            <v>BS</v>
          </cell>
          <cell r="AN205" t="str">
            <v/>
          </cell>
          <cell r="AO205" t="str">
            <v/>
          </cell>
          <cell r="AP205" t="str">
            <v/>
          </cell>
          <cell r="AQ205" t="str">
            <v/>
          </cell>
          <cell r="AR205" t="str">
            <v/>
          </cell>
          <cell r="AS205" t="str">
            <v/>
          </cell>
          <cell r="AT205" t="str">
            <v/>
          </cell>
        </row>
        <row r="206">
          <cell r="AI206" t="str">
            <v>ORANGE COUNTY, CA</v>
          </cell>
          <cell r="AJ206" t="str">
            <v>Orange County, CA</v>
          </cell>
          <cell r="AK206" t="str">
            <v>Orange County, CA</v>
          </cell>
          <cell r="AL206" t="str">
            <v>Top 25</v>
          </cell>
          <cell r="AM206" t="str">
            <v/>
          </cell>
          <cell r="AN206" t="str">
            <v>Anaheim, CA</v>
          </cell>
          <cell r="AO206" t="str">
            <v>Orange County, CA</v>
          </cell>
          <cell r="AP206" t="str">
            <v>ORANGE COUNTY, CA</v>
          </cell>
          <cell r="AQ206" t="str">
            <v/>
          </cell>
          <cell r="AR206" t="str">
            <v>Anaheim, CA</v>
          </cell>
          <cell r="AS206" t="str">
            <v/>
          </cell>
          <cell r="AT206" t="str">
            <v/>
          </cell>
        </row>
        <row r="207">
          <cell r="AI207" t="str">
            <v>ORLANDO, FL</v>
          </cell>
          <cell r="AJ207" t="str">
            <v>Orlando, FL</v>
          </cell>
          <cell r="AK207" t="str">
            <v>Orlando, FL</v>
          </cell>
          <cell r="AL207" t="str">
            <v>Top 50</v>
          </cell>
          <cell r="AM207" t="str">
            <v>BS</v>
          </cell>
          <cell r="AN207" t="str">
            <v>Orlando, FL</v>
          </cell>
          <cell r="AO207" t="str">
            <v>Orlando, FL</v>
          </cell>
          <cell r="AP207" t="str">
            <v>ORLANDO, FL</v>
          </cell>
          <cell r="AQ207" t="str">
            <v>Orlando, FL</v>
          </cell>
          <cell r="AR207" t="str">
            <v>Orlando, FL</v>
          </cell>
          <cell r="AS207" t="str">
            <v/>
          </cell>
          <cell r="AT207" t="str">
            <v/>
          </cell>
        </row>
        <row r="208">
          <cell r="AI208" t="str">
            <v>OWENSBORO, KY</v>
          </cell>
          <cell r="AJ208" t="str">
            <v>Owensboro, KY</v>
          </cell>
          <cell r="AK208" t="str">
            <v/>
          </cell>
          <cell r="AL208" t="str">
            <v/>
          </cell>
          <cell r="AM208" t="str">
            <v/>
          </cell>
          <cell r="AN208" t="str">
            <v/>
          </cell>
          <cell r="AO208" t="str">
            <v/>
          </cell>
          <cell r="AP208" t="str">
            <v/>
          </cell>
          <cell r="AQ208" t="str">
            <v/>
          </cell>
          <cell r="AR208" t="str">
            <v/>
          </cell>
          <cell r="AS208" t="str">
            <v/>
          </cell>
          <cell r="AT208" t="str">
            <v/>
          </cell>
        </row>
        <row r="209">
          <cell r="AI209" t="str">
            <v>PANAMA CITY, FL</v>
          </cell>
          <cell r="AJ209" t="str">
            <v>Panama City, FL</v>
          </cell>
          <cell r="AK209" t="str">
            <v/>
          </cell>
          <cell r="AL209" t="str">
            <v/>
          </cell>
          <cell r="AM209" t="str">
            <v/>
          </cell>
          <cell r="AN209" t="str">
            <v/>
          </cell>
          <cell r="AO209" t="str">
            <v/>
          </cell>
          <cell r="AP209" t="str">
            <v/>
          </cell>
          <cell r="AQ209" t="str">
            <v/>
          </cell>
          <cell r="AR209" t="str">
            <v/>
          </cell>
          <cell r="AS209" t="str">
            <v/>
          </cell>
          <cell r="AT209" t="str">
            <v/>
          </cell>
        </row>
        <row r="210">
          <cell r="AI210" t="str">
            <v>PARK CITY, UT</v>
          </cell>
          <cell r="AJ210" t="str">
            <v>Park City, UT</v>
          </cell>
          <cell r="AK210" t="str">
            <v/>
          </cell>
          <cell r="AL210" t="str">
            <v/>
          </cell>
          <cell r="AM210" t="str">
            <v/>
          </cell>
          <cell r="AN210" t="str">
            <v/>
          </cell>
          <cell r="AO210" t="str">
            <v/>
          </cell>
          <cell r="AP210" t="str">
            <v/>
          </cell>
          <cell r="AQ210" t="str">
            <v/>
          </cell>
          <cell r="AR210" t="str">
            <v/>
          </cell>
          <cell r="AS210" t="str">
            <v/>
          </cell>
          <cell r="AT210" t="str">
            <v/>
          </cell>
        </row>
        <row r="211">
          <cell r="AI211" t="str">
            <v>PARKERSBURG-MARIETTA, WV-OH</v>
          </cell>
          <cell r="AJ211" t="str">
            <v>Parkersburg-Marietta, WV-OH</v>
          </cell>
          <cell r="AK211" t="str">
            <v/>
          </cell>
          <cell r="AL211" t="str">
            <v/>
          </cell>
          <cell r="AM211" t="str">
            <v/>
          </cell>
          <cell r="AN211" t="str">
            <v/>
          </cell>
          <cell r="AO211" t="str">
            <v/>
          </cell>
          <cell r="AP211" t="str">
            <v/>
          </cell>
          <cell r="AQ211" t="str">
            <v/>
          </cell>
          <cell r="AR211" t="str">
            <v/>
          </cell>
          <cell r="AS211" t="str">
            <v/>
          </cell>
          <cell r="AT211" t="str">
            <v/>
          </cell>
        </row>
        <row r="212">
          <cell r="AI212" t="str">
            <v>PENSACOLA, FL</v>
          </cell>
          <cell r="AJ212" t="str">
            <v>Pensacola, FL</v>
          </cell>
          <cell r="AK212" t="str">
            <v/>
          </cell>
          <cell r="AL212" t="str">
            <v/>
          </cell>
          <cell r="AM212" t="str">
            <v/>
          </cell>
          <cell r="AN212" t="str">
            <v/>
          </cell>
          <cell r="AO212" t="str">
            <v/>
          </cell>
          <cell r="AP212" t="str">
            <v/>
          </cell>
          <cell r="AQ212" t="str">
            <v/>
          </cell>
          <cell r="AR212" t="str">
            <v/>
          </cell>
          <cell r="AS212" t="str">
            <v/>
          </cell>
          <cell r="AT212" t="str">
            <v/>
          </cell>
        </row>
        <row r="213">
          <cell r="AI213" t="str">
            <v>PEORIA-PEKIN, IL</v>
          </cell>
          <cell r="AJ213" t="str">
            <v>Peoria-Pekin, IL</v>
          </cell>
          <cell r="AK213" t="str">
            <v>Peoria, IL</v>
          </cell>
          <cell r="AL213" t="str">
            <v>Top 110</v>
          </cell>
          <cell r="AM213" t="str">
            <v/>
          </cell>
          <cell r="AN213" t="str">
            <v/>
          </cell>
          <cell r="AO213" t="str">
            <v/>
          </cell>
          <cell r="AP213" t="str">
            <v/>
          </cell>
          <cell r="AQ213" t="str">
            <v/>
          </cell>
          <cell r="AR213" t="str">
            <v/>
          </cell>
          <cell r="AS213" t="str">
            <v/>
          </cell>
          <cell r="AT213" t="str">
            <v/>
          </cell>
        </row>
        <row r="214">
          <cell r="AI214" t="str">
            <v>PHILADELPHIA, PA-NJ</v>
          </cell>
          <cell r="AJ214" t="str">
            <v>Philadelphia, PA-NJ</v>
          </cell>
          <cell r="AK214" t="str">
            <v>Philadelphia, PA</v>
          </cell>
          <cell r="AL214" t="str">
            <v>Top 25</v>
          </cell>
          <cell r="AM214" t="str">
            <v>BS</v>
          </cell>
          <cell r="AN214" t="str">
            <v>Philadelphia, PA</v>
          </cell>
          <cell r="AO214" t="str">
            <v>Philadelphia, PA</v>
          </cell>
          <cell r="AP214" t="str">
            <v>PHILADELPHIA, PA</v>
          </cell>
          <cell r="AQ214" t="str">
            <v>Philadelphia, PA</v>
          </cell>
          <cell r="AR214" t="str">
            <v>Philadelphia, PA</v>
          </cell>
          <cell r="AS214" t="str">
            <v>Philadelphia, PA</v>
          </cell>
          <cell r="AT214" t="str">
            <v/>
          </cell>
        </row>
        <row r="215">
          <cell r="AI215" t="str">
            <v>PHOENIX-MESA, AZ</v>
          </cell>
          <cell r="AJ215" t="str">
            <v>Phoenix, AZ</v>
          </cell>
          <cell r="AK215" t="str">
            <v>Phoenix, AZ</v>
          </cell>
          <cell r="AL215" t="str">
            <v>Top 25</v>
          </cell>
          <cell r="AM215" t="str">
            <v>BS</v>
          </cell>
          <cell r="AN215" t="str">
            <v>Phoenix, AZ</v>
          </cell>
          <cell r="AO215" t="str">
            <v>Phoenix, AZ</v>
          </cell>
          <cell r="AP215" t="str">
            <v/>
          </cell>
          <cell r="AQ215" t="str">
            <v>Phoenix, AZ</v>
          </cell>
          <cell r="AR215" t="str">
            <v>Phoenix, AZ</v>
          </cell>
          <cell r="AS215" t="str">
            <v>Phoenix, AZ</v>
          </cell>
          <cell r="AT215" t="str">
            <v>Phoenix, AZ</v>
          </cell>
        </row>
        <row r="216">
          <cell r="AI216" t="str">
            <v>PINE BLUFF, AR</v>
          </cell>
          <cell r="AJ216" t="str">
            <v>Pine Bluff, AR</v>
          </cell>
          <cell r="AK216" t="str">
            <v/>
          </cell>
          <cell r="AL216" t="str">
            <v/>
          </cell>
          <cell r="AM216" t="str">
            <v/>
          </cell>
          <cell r="AN216" t="str">
            <v/>
          </cell>
          <cell r="AO216" t="str">
            <v/>
          </cell>
          <cell r="AP216" t="str">
            <v/>
          </cell>
          <cell r="AQ216" t="str">
            <v/>
          </cell>
          <cell r="AR216" t="str">
            <v/>
          </cell>
          <cell r="AS216" t="str">
            <v/>
          </cell>
          <cell r="AT216" t="str">
            <v/>
          </cell>
        </row>
        <row r="217">
          <cell r="AI217" t="str">
            <v>PITTSBURGH, PA</v>
          </cell>
          <cell r="AJ217" t="str">
            <v>Pittsburgh, PA</v>
          </cell>
          <cell r="AK217" t="str">
            <v>Pittsburgh, PA</v>
          </cell>
          <cell r="AL217" t="str">
            <v>Top 25</v>
          </cell>
          <cell r="AM217" t="str">
            <v>BS</v>
          </cell>
          <cell r="AN217" t="str">
            <v/>
          </cell>
          <cell r="AO217" t="str">
            <v/>
          </cell>
          <cell r="AP217" t="str">
            <v/>
          </cell>
          <cell r="AQ217" t="str">
            <v/>
          </cell>
          <cell r="AR217" t="str">
            <v/>
          </cell>
          <cell r="AS217" t="str">
            <v/>
          </cell>
          <cell r="AT217" t="str">
            <v/>
          </cell>
        </row>
        <row r="218">
          <cell r="AI218" t="str">
            <v>PITTSFIELD, MA</v>
          </cell>
          <cell r="AJ218" t="str">
            <v>Pittsfield, MA</v>
          </cell>
          <cell r="AK218" t="str">
            <v/>
          </cell>
          <cell r="AL218" t="str">
            <v/>
          </cell>
          <cell r="AM218" t="str">
            <v/>
          </cell>
          <cell r="AN218" t="str">
            <v/>
          </cell>
          <cell r="AO218" t="str">
            <v/>
          </cell>
          <cell r="AP218" t="str">
            <v/>
          </cell>
          <cell r="AQ218" t="str">
            <v/>
          </cell>
          <cell r="AR218" t="str">
            <v/>
          </cell>
          <cell r="AS218" t="str">
            <v/>
          </cell>
          <cell r="AT218" t="str">
            <v/>
          </cell>
        </row>
        <row r="219">
          <cell r="AI219" t="str">
            <v>PORTLAND, ME</v>
          </cell>
          <cell r="AJ219" t="str">
            <v>Portland, ME</v>
          </cell>
          <cell r="AK219" t="str">
            <v>Portland, ME</v>
          </cell>
          <cell r="AL219" t="str">
            <v>Top 110</v>
          </cell>
          <cell r="AM219" t="str">
            <v/>
          </cell>
          <cell r="AN219" t="str">
            <v/>
          </cell>
          <cell r="AO219" t="str">
            <v/>
          </cell>
          <cell r="AP219" t="str">
            <v/>
          </cell>
          <cell r="AQ219" t="str">
            <v/>
          </cell>
          <cell r="AR219" t="str">
            <v/>
          </cell>
          <cell r="AS219" t="str">
            <v/>
          </cell>
          <cell r="AT219" t="str">
            <v/>
          </cell>
        </row>
        <row r="220">
          <cell r="AI220" t="str">
            <v>PORTLAND-VANCOUVER, OR-WA</v>
          </cell>
          <cell r="AJ220" t="str">
            <v>Portland, OR</v>
          </cell>
          <cell r="AK220" t="str">
            <v>Portland, OR</v>
          </cell>
          <cell r="AL220" t="str">
            <v>Top 50</v>
          </cell>
          <cell r="AM220" t="str">
            <v>BS</v>
          </cell>
          <cell r="AN220" t="str">
            <v>Portland, OR</v>
          </cell>
          <cell r="AO220" t="str">
            <v/>
          </cell>
          <cell r="AP220" t="str">
            <v/>
          </cell>
          <cell r="AQ220" t="str">
            <v>Portland, OR</v>
          </cell>
          <cell r="AR220" t="str">
            <v/>
          </cell>
          <cell r="AS220" t="str">
            <v/>
          </cell>
          <cell r="AT220" t="str">
            <v/>
          </cell>
        </row>
        <row r="221">
          <cell r="AI221" t="str">
            <v>PORTSMOUTH-ROCHESTER, NH-ME</v>
          </cell>
          <cell r="AJ221" t="str">
            <v>Portsmouth-Rochester, NH-ME</v>
          </cell>
          <cell r="AK221" t="str">
            <v/>
          </cell>
          <cell r="AL221" t="str">
            <v/>
          </cell>
          <cell r="AM221" t="str">
            <v/>
          </cell>
          <cell r="AN221" t="str">
            <v/>
          </cell>
          <cell r="AO221" t="str">
            <v/>
          </cell>
          <cell r="AP221" t="str">
            <v/>
          </cell>
          <cell r="AQ221" t="str">
            <v/>
          </cell>
          <cell r="AR221" t="str">
            <v/>
          </cell>
          <cell r="AS221" t="str">
            <v/>
          </cell>
          <cell r="AT221" t="str">
            <v/>
          </cell>
        </row>
        <row r="222">
          <cell r="AI222" t="str">
            <v>PROVIDENCE-FALL RIVER-WARWICK, RI-MA</v>
          </cell>
          <cell r="AJ222" t="str">
            <v>Providence-Warwick, RI</v>
          </cell>
          <cell r="AK222" t="str">
            <v>Providence, RI</v>
          </cell>
          <cell r="AL222" t="str">
            <v>Top 50</v>
          </cell>
          <cell r="AM222" t="str">
            <v/>
          </cell>
          <cell r="AN222" t="str">
            <v/>
          </cell>
          <cell r="AO222" t="str">
            <v/>
          </cell>
          <cell r="AP222" t="str">
            <v/>
          </cell>
          <cell r="AQ222" t="str">
            <v/>
          </cell>
          <cell r="AR222" t="str">
            <v/>
          </cell>
          <cell r="AS222" t="str">
            <v/>
          </cell>
          <cell r="AT222" t="str">
            <v/>
          </cell>
        </row>
        <row r="223">
          <cell r="AI223" t="str">
            <v>PROVO-OREM, UT</v>
          </cell>
          <cell r="AJ223" t="str">
            <v>Provo-Orem, UT</v>
          </cell>
          <cell r="AK223" t="str">
            <v/>
          </cell>
          <cell r="AL223" t="str">
            <v/>
          </cell>
          <cell r="AM223" t="str">
            <v/>
          </cell>
          <cell r="AN223" t="str">
            <v/>
          </cell>
          <cell r="AO223" t="str">
            <v/>
          </cell>
          <cell r="AP223" t="str">
            <v/>
          </cell>
          <cell r="AQ223" t="str">
            <v/>
          </cell>
          <cell r="AR223" t="str">
            <v/>
          </cell>
          <cell r="AS223" t="str">
            <v/>
          </cell>
          <cell r="AT223" t="str">
            <v/>
          </cell>
        </row>
        <row r="224">
          <cell r="AI224" t="str">
            <v>PUEBLO, CO</v>
          </cell>
          <cell r="AJ224" t="str">
            <v>Pueblo, CO</v>
          </cell>
          <cell r="AK224" t="str">
            <v/>
          </cell>
          <cell r="AL224" t="str">
            <v/>
          </cell>
          <cell r="AM224" t="str">
            <v/>
          </cell>
          <cell r="AN224" t="str">
            <v/>
          </cell>
          <cell r="AO224" t="str">
            <v/>
          </cell>
          <cell r="AP224" t="str">
            <v/>
          </cell>
          <cell r="AQ224" t="str">
            <v/>
          </cell>
          <cell r="AR224" t="str">
            <v/>
          </cell>
          <cell r="AS224" t="str">
            <v/>
          </cell>
          <cell r="AT224" t="str">
            <v/>
          </cell>
        </row>
        <row r="225">
          <cell r="AI225" t="str">
            <v>PUNTA GORDA, FL</v>
          </cell>
          <cell r="AJ225" t="str">
            <v>Punta Gorda, FL</v>
          </cell>
          <cell r="AK225" t="str">
            <v/>
          </cell>
          <cell r="AL225" t="str">
            <v/>
          </cell>
          <cell r="AM225" t="str">
            <v/>
          </cell>
          <cell r="AN225" t="str">
            <v/>
          </cell>
          <cell r="AO225" t="str">
            <v/>
          </cell>
          <cell r="AP225" t="str">
            <v/>
          </cell>
          <cell r="AQ225" t="str">
            <v/>
          </cell>
          <cell r="AR225" t="str">
            <v/>
          </cell>
          <cell r="AS225" t="str">
            <v/>
          </cell>
          <cell r="AT225" t="str">
            <v/>
          </cell>
        </row>
        <row r="226">
          <cell r="AI226" t="str">
            <v>RACINE, WI</v>
          </cell>
          <cell r="AJ226" t="str">
            <v>Racine, WI</v>
          </cell>
          <cell r="AK226" t="str">
            <v/>
          </cell>
          <cell r="AL226" t="str">
            <v/>
          </cell>
          <cell r="AM226" t="str">
            <v/>
          </cell>
          <cell r="AN226" t="str">
            <v/>
          </cell>
          <cell r="AO226" t="str">
            <v/>
          </cell>
          <cell r="AP226" t="str">
            <v/>
          </cell>
          <cell r="AQ226" t="str">
            <v/>
          </cell>
          <cell r="AR226" t="str">
            <v/>
          </cell>
          <cell r="AS226" t="str">
            <v/>
          </cell>
          <cell r="AT226" t="str">
            <v/>
          </cell>
        </row>
        <row r="227">
          <cell r="AI227" t="str">
            <v>RALEIGH-DURHAM-CHAPEL HILL, NC</v>
          </cell>
          <cell r="AJ227" t="str">
            <v>Raleigh-Durham-Chapel Hill, NC</v>
          </cell>
          <cell r="AK227" t="str">
            <v>Raleigh, NC</v>
          </cell>
          <cell r="AL227" t="str">
            <v>Top 110</v>
          </cell>
          <cell r="AM227" t="str">
            <v>BS</v>
          </cell>
          <cell r="AN227" t="str">
            <v>Raleigh, NC</v>
          </cell>
          <cell r="AO227" t="str">
            <v/>
          </cell>
          <cell r="AP227" t="str">
            <v/>
          </cell>
          <cell r="AQ227" t="str">
            <v>Raleigh, NC</v>
          </cell>
          <cell r="AR227" t="str">
            <v/>
          </cell>
          <cell r="AS227" t="str">
            <v/>
          </cell>
          <cell r="AT227" t="str">
            <v/>
          </cell>
        </row>
        <row r="228">
          <cell r="AI228" t="str">
            <v>RAPID CITY, SD</v>
          </cell>
          <cell r="AJ228" t="str">
            <v>Rapid City, SD</v>
          </cell>
          <cell r="AK228" t="str">
            <v/>
          </cell>
          <cell r="AL228" t="str">
            <v/>
          </cell>
          <cell r="AM228" t="str">
            <v/>
          </cell>
          <cell r="AN228" t="str">
            <v/>
          </cell>
          <cell r="AO228" t="str">
            <v/>
          </cell>
          <cell r="AP228" t="str">
            <v/>
          </cell>
          <cell r="AQ228" t="str">
            <v/>
          </cell>
          <cell r="AR228" t="str">
            <v/>
          </cell>
          <cell r="AS228" t="str">
            <v/>
          </cell>
          <cell r="AT228" t="str">
            <v/>
          </cell>
        </row>
        <row r="229">
          <cell r="AI229" t="str">
            <v>READING, PA</v>
          </cell>
          <cell r="AJ229" t="str">
            <v>Reading, PA</v>
          </cell>
          <cell r="AK229" t="str">
            <v/>
          </cell>
          <cell r="AL229" t="str">
            <v/>
          </cell>
          <cell r="AM229" t="str">
            <v/>
          </cell>
          <cell r="AN229" t="str">
            <v/>
          </cell>
          <cell r="AO229" t="str">
            <v/>
          </cell>
          <cell r="AP229" t="str">
            <v/>
          </cell>
          <cell r="AQ229" t="str">
            <v/>
          </cell>
          <cell r="AR229" t="str">
            <v/>
          </cell>
          <cell r="AS229" t="str">
            <v/>
          </cell>
          <cell r="AT229" t="str">
            <v/>
          </cell>
        </row>
        <row r="230">
          <cell r="AI230" t="str">
            <v>REDDING, CA</v>
          </cell>
          <cell r="AJ230" t="str">
            <v>Redding, CA</v>
          </cell>
          <cell r="AK230" t="str">
            <v/>
          </cell>
          <cell r="AL230" t="str">
            <v/>
          </cell>
          <cell r="AM230" t="str">
            <v/>
          </cell>
          <cell r="AN230" t="str">
            <v/>
          </cell>
          <cell r="AO230" t="str">
            <v/>
          </cell>
          <cell r="AP230" t="str">
            <v/>
          </cell>
          <cell r="AQ230" t="str">
            <v/>
          </cell>
          <cell r="AR230" t="str">
            <v/>
          </cell>
          <cell r="AS230" t="str">
            <v/>
          </cell>
          <cell r="AT230" t="str">
            <v/>
          </cell>
        </row>
        <row r="231">
          <cell r="AI231" t="str">
            <v>RENO, NV</v>
          </cell>
          <cell r="AJ231" t="str">
            <v>Reno, NV</v>
          </cell>
          <cell r="AK231" t="str">
            <v/>
          </cell>
          <cell r="AL231" t="str">
            <v/>
          </cell>
          <cell r="AM231" t="str">
            <v>BS</v>
          </cell>
          <cell r="AN231" t="str">
            <v>Reno, NV</v>
          </cell>
          <cell r="AO231" t="str">
            <v/>
          </cell>
          <cell r="AP231" t="str">
            <v/>
          </cell>
          <cell r="AQ231" t="str">
            <v/>
          </cell>
          <cell r="AR231" t="str">
            <v/>
          </cell>
          <cell r="AS231" t="str">
            <v/>
          </cell>
          <cell r="AT231" t="str">
            <v/>
          </cell>
        </row>
        <row r="232">
          <cell r="AI232" t="str">
            <v>RICHLAND-KENNEWICK-PASCO, WA</v>
          </cell>
          <cell r="AJ232" t="str">
            <v>Richland-Kennewick-Pasco, WA</v>
          </cell>
          <cell r="AK232" t="str">
            <v/>
          </cell>
          <cell r="AL232" t="str">
            <v/>
          </cell>
          <cell r="AM232" t="str">
            <v/>
          </cell>
          <cell r="AN232" t="str">
            <v/>
          </cell>
          <cell r="AO232" t="str">
            <v/>
          </cell>
          <cell r="AP232" t="str">
            <v/>
          </cell>
          <cell r="AQ232" t="str">
            <v/>
          </cell>
          <cell r="AR232" t="str">
            <v/>
          </cell>
          <cell r="AS232" t="str">
            <v/>
          </cell>
          <cell r="AT232" t="str">
            <v/>
          </cell>
        </row>
        <row r="233">
          <cell r="AI233" t="str">
            <v>RICHMOND-PETERSBURG, VA</v>
          </cell>
          <cell r="AJ233" t="str">
            <v>Richmond-Petersburg, VA</v>
          </cell>
          <cell r="AK233" t="str">
            <v>Richmond, VA</v>
          </cell>
          <cell r="AL233" t="str">
            <v>Top 110</v>
          </cell>
          <cell r="AM233" t="str">
            <v>BS</v>
          </cell>
          <cell r="AN233" t="str">
            <v/>
          </cell>
          <cell r="AO233" t="str">
            <v/>
          </cell>
          <cell r="AP233" t="str">
            <v/>
          </cell>
          <cell r="AQ233" t="str">
            <v/>
          </cell>
          <cell r="AR233" t="str">
            <v/>
          </cell>
          <cell r="AS233" t="str">
            <v/>
          </cell>
          <cell r="AT233" t="str">
            <v/>
          </cell>
        </row>
        <row r="234">
          <cell r="AI234" t="str">
            <v>RIVERSIDE-BERNARDINO, CA</v>
          </cell>
          <cell r="AJ234" t="str">
            <v>Riverside-San Bernadino, CA</v>
          </cell>
          <cell r="AK234" t="str">
            <v>Riverside, CA</v>
          </cell>
          <cell r="AL234" t="str">
            <v>Top 25</v>
          </cell>
          <cell r="AM234" t="str">
            <v>BS</v>
          </cell>
          <cell r="AN234" t="str">
            <v>Riverside, CA</v>
          </cell>
          <cell r="AO234" t="str">
            <v>Riverside, CA</v>
          </cell>
          <cell r="AP234" t="str">
            <v/>
          </cell>
          <cell r="AQ234" t="str">
            <v/>
          </cell>
          <cell r="AR234" t="str">
            <v/>
          </cell>
          <cell r="AS234" t="str">
            <v/>
          </cell>
          <cell r="AT234" t="str">
            <v/>
          </cell>
        </row>
        <row r="235">
          <cell r="AI235" t="str">
            <v>ROANOKE, VA</v>
          </cell>
          <cell r="AJ235" t="str">
            <v>Roanoke, VA</v>
          </cell>
          <cell r="AK235" t="str">
            <v/>
          </cell>
          <cell r="AL235" t="str">
            <v/>
          </cell>
          <cell r="AM235" t="str">
            <v/>
          </cell>
          <cell r="AN235" t="str">
            <v/>
          </cell>
          <cell r="AO235" t="str">
            <v/>
          </cell>
          <cell r="AP235" t="str">
            <v/>
          </cell>
          <cell r="AQ235" t="str">
            <v/>
          </cell>
          <cell r="AR235" t="str">
            <v/>
          </cell>
          <cell r="AS235" t="str">
            <v/>
          </cell>
          <cell r="AT235" t="str">
            <v/>
          </cell>
        </row>
        <row r="236">
          <cell r="AI236" t="str">
            <v>ROCHESTER, MN</v>
          </cell>
          <cell r="AJ236" t="str">
            <v>Rochester, MN</v>
          </cell>
          <cell r="AK236" t="str">
            <v/>
          </cell>
          <cell r="AL236" t="str">
            <v/>
          </cell>
          <cell r="AM236" t="str">
            <v/>
          </cell>
          <cell r="AN236" t="str">
            <v/>
          </cell>
          <cell r="AO236" t="str">
            <v/>
          </cell>
          <cell r="AP236" t="str">
            <v/>
          </cell>
          <cell r="AQ236" t="str">
            <v/>
          </cell>
          <cell r="AR236" t="str">
            <v/>
          </cell>
          <cell r="AS236" t="str">
            <v/>
          </cell>
          <cell r="AT236" t="str">
            <v/>
          </cell>
        </row>
        <row r="237">
          <cell r="AI237" t="str">
            <v>ROCHESTER, NY</v>
          </cell>
          <cell r="AJ237" t="str">
            <v>Rochester, NY</v>
          </cell>
          <cell r="AK237" t="str">
            <v>Rochester, NY</v>
          </cell>
          <cell r="AL237" t="str">
            <v>Top 110</v>
          </cell>
          <cell r="AM237" t="str">
            <v>BS</v>
          </cell>
          <cell r="AN237" t="str">
            <v/>
          </cell>
          <cell r="AO237" t="str">
            <v/>
          </cell>
          <cell r="AP237" t="str">
            <v/>
          </cell>
          <cell r="AQ237" t="str">
            <v/>
          </cell>
          <cell r="AR237" t="str">
            <v/>
          </cell>
          <cell r="AS237" t="str">
            <v/>
          </cell>
          <cell r="AT237" t="str">
            <v/>
          </cell>
        </row>
        <row r="238">
          <cell r="AI238" t="str">
            <v>ROCKFORD, IL</v>
          </cell>
          <cell r="AJ238" t="str">
            <v>Rockford, IL</v>
          </cell>
          <cell r="AK238" t="str">
            <v/>
          </cell>
          <cell r="AL238" t="str">
            <v/>
          </cell>
          <cell r="AM238" t="str">
            <v/>
          </cell>
          <cell r="AN238" t="str">
            <v/>
          </cell>
          <cell r="AO238" t="str">
            <v/>
          </cell>
          <cell r="AP238" t="str">
            <v/>
          </cell>
          <cell r="AQ238" t="str">
            <v/>
          </cell>
          <cell r="AR238" t="str">
            <v/>
          </cell>
          <cell r="AS238" t="str">
            <v/>
          </cell>
          <cell r="AT238" t="str">
            <v/>
          </cell>
        </row>
        <row r="239">
          <cell r="AI239" t="str">
            <v>ROCKY MOUNT, NC</v>
          </cell>
          <cell r="AJ239" t="str">
            <v>Rocky Mount, NC</v>
          </cell>
          <cell r="AK239" t="str">
            <v/>
          </cell>
          <cell r="AL239" t="str">
            <v/>
          </cell>
          <cell r="AM239" t="str">
            <v/>
          </cell>
          <cell r="AN239" t="str">
            <v/>
          </cell>
          <cell r="AO239" t="str">
            <v/>
          </cell>
          <cell r="AP239" t="str">
            <v/>
          </cell>
          <cell r="AQ239" t="str">
            <v/>
          </cell>
          <cell r="AR239" t="str">
            <v/>
          </cell>
          <cell r="AS239" t="str">
            <v/>
          </cell>
          <cell r="AT239" t="str">
            <v/>
          </cell>
        </row>
        <row r="240">
          <cell r="AI240" t="str">
            <v>SACRAMENTO, CA</v>
          </cell>
          <cell r="AJ240" t="str">
            <v>Sacramento, CA</v>
          </cell>
          <cell r="AK240" t="str">
            <v>Sacramento, CA</v>
          </cell>
          <cell r="AL240" t="str">
            <v>Top 50</v>
          </cell>
          <cell r="AM240" t="str">
            <v>BS</v>
          </cell>
          <cell r="AN240" t="str">
            <v>Sacramento, CA</v>
          </cell>
          <cell r="AO240" t="str">
            <v/>
          </cell>
          <cell r="AP240" t="str">
            <v/>
          </cell>
          <cell r="AQ240" t="str">
            <v/>
          </cell>
          <cell r="AR240" t="str">
            <v/>
          </cell>
          <cell r="AS240" t="str">
            <v/>
          </cell>
          <cell r="AT240" t="str">
            <v/>
          </cell>
        </row>
        <row r="241">
          <cell r="AI241" t="str">
            <v>SAGINAW-BAY CITY-MIDLAND, MI</v>
          </cell>
          <cell r="AJ241" t="str">
            <v>Saginaw-Bay City-Midland, MI</v>
          </cell>
          <cell r="AK241" t="str">
            <v/>
          </cell>
          <cell r="AL241" t="str">
            <v/>
          </cell>
          <cell r="AM241" t="str">
            <v/>
          </cell>
          <cell r="AN241" t="str">
            <v/>
          </cell>
          <cell r="AO241" t="str">
            <v/>
          </cell>
          <cell r="AP241" t="str">
            <v/>
          </cell>
          <cell r="AQ241" t="str">
            <v/>
          </cell>
          <cell r="AR241" t="str">
            <v/>
          </cell>
          <cell r="AS241" t="str">
            <v/>
          </cell>
          <cell r="AT241" t="str">
            <v/>
          </cell>
        </row>
        <row r="242">
          <cell r="AI242" t="str">
            <v>SAINT CLOUD, MN</v>
          </cell>
          <cell r="AJ242" t="str">
            <v>Saint Cloud, MN</v>
          </cell>
          <cell r="AK242" t="str">
            <v/>
          </cell>
          <cell r="AL242" t="str">
            <v/>
          </cell>
          <cell r="AM242" t="str">
            <v/>
          </cell>
          <cell r="AN242" t="str">
            <v/>
          </cell>
          <cell r="AO242" t="str">
            <v/>
          </cell>
          <cell r="AP242" t="str">
            <v/>
          </cell>
          <cell r="AQ242" t="str">
            <v/>
          </cell>
          <cell r="AR242" t="str">
            <v/>
          </cell>
          <cell r="AS242" t="str">
            <v/>
          </cell>
          <cell r="AT242" t="str">
            <v/>
          </cell>
        </row>
        <row r="243">
          <cell r="AI243" t="str">
            <v>SAINT JOSEPH, MO</v>
          </cell>
          <cell r="AJ243" t="str">
            <v>Saint Joseph, MO</v>
          </cell>
          <cell r="AK243" t="str">
            <v/>
          </cell>
          <cell r="AL243" t="str">
            <v/>
          </cell>
          <cell r="AM243" t="str">
            <v/>
          </cell>
          <cell r="AN243" t="str">
            <v/>
          </cell>
          <cell r="AO243" t="str">
            <v/>
          </cell>
          <cell r="AP243" t="str">
            <v/>
          </cell>
          <cell r="AQ243" t="str">
            <v/>
          </cell>
          <cell r="AR243" t="str">
            <v/>
          </cell>
          <cell r="AS243" t="str">
            <v/>
          </cell>
          <cell r="AT243" t="str">
            <v/>
          </cell>
        </row>
        <row r="244">
          <cell r="AI244" t="str">
            <v>SAINT LOUIS, MO-IL</v>
          </cell>
          <cell r="AJ244" t="str">
            <v>Saint Louis, MO-IL</v>
          </cell>
          <cell r="AK244" t="str">
            <v>Saint Louis, MO</v>
          </cell>
          <cell r="AL244" t="str">
            <v>Top 25</v>
          </cell>
          <cell r="AM244" t="str">
            <v>BS</v>
          </cell>
          <cell r="AN244" t="str">
            <v>Saint Louis, MO</v>
          </cell>
          <cell r="AO244" t="str">
            <v>Saint Louis, MO</v>
          </cell>
          <cell r="AP244" t="str">
            <v/>
          </cell>
          <cell r="AQ244" t="str">
            <v>Saint Louis, MO</v>
          </cell>
          <cell r="AR244" t="str">
            <v>Saint Louis, MO</v>
          </cell>
          <cell r="AS244" t="str">
            <v/>
          </cell>
          <cell r="AT244" t="str">
            <v/>
          </cell>
        </row>
        <row r="245">
          <cell r="AI245" t="str">
            <v>SALINAS, CA</v>
          </cell>
          <cell r="AJ245" t="str">
            <v>Salinas, CA</v>
          </cell>
          <cell r="AK245" t="str">
            <v/>
          </cell>
          <cell r="AL245" t="str">
            <v/>
          </cell>
          <cell r="AM245" t="str">
            <v>BS</v>
          </cell>
          <cell r="AN245" t="str">
            <v/>
          </cell>
          <cell r="AO245" t="str">
            <v/>
          </cell>
          <cell r="AP245" t="str">
            <v/>
          </cell>
          <cell r="AQ245" t="str">
            <v/>
          </cell>
          <cell r="AR245" t="str">
            <v/>
          </cell>
          <cell r="AS245" t="str">
            <v/>
          </cell>
          <cell r="AT245" t="str">
            <v/>
          </cell>
        </row>
        <row r="246">
          <cell r="AI246" t="str">
            <v>SALT LAKE CITY-OGDEN, UT</v>
          </cell>
          <cell r="AJ246" t="str">
            <v>Salt Lake City, UT</v>
          </cell>
          <cell r="AK246" t="str">
            <v>Salt Lake City, UT</v>
          </cell>
          <cell r="AL246" t="str">
            <v>Top 110</v>
          </cell>
          <cell r="AM246" t="str">
            <v>BS</v>
          </cell>
          <cell r="AN246" t="str">
            <v>Salt Lake City, UT</v>
          </cell>
          <cell r="AO246" t="str">
            <v/>
          </cell>
          <cell r="AP246" t="str">
            <v/>
          </cell>
          <cell r="AQ246" t="str">
            <v>Salt Lake City, UT</v>
          </cell>
          <cell r="AR246" t="str">
            <v/>
          </cell>
          <cell r="AS246" t="str">
            <v/>
          </cell>
          <cell r="AT246" t="str">
            <v/>
          </cell>
        </row>
        <row r="247">
          <cell r="AI247" t="str">
            <v>SAN ANGELO, TX</v>
          </cell>
          <cell r="AJ247" t="str">
            <v>San Angelo, TX</v>
          </cell>
          <cell r="AK247" t="str">
            <v/>
          </cell>
          <cell r="AL247" t="str">
            <v/>
          </cell>
          <cell r="AM247" t="str">
            <v/>
          </cell>
          <cell r="AN247" t="str">
            <v/>
          </cell>
          <cell r="AO247" t="str">
            <v/>
          </cell>
          <cell r="AP247" t="str">
            <v/>
          </cell>
          <cell r="AQ247" t="str">
            <v/>
          </cell>
          <cell r="AR247" t="str">
            <v/>
          </cell>
          <cell r="AS247" t="str">
            <v/>
          </cell>
          <cell r="AT247" t="str">
            <v/>
          </cell>
        </row>
        <row r="248">
          <cell r="AI248" t="str">
            <v>SAN ANTONIO, TX</v>
          </cell>
          <cell r="AJ248" t="str">
            <v>San Antonio, TX</v>
          </cell>
          <cell r="AK248" t="str">
            <v>San Antonio, TX</v>
          </cell>
          <cell r="AL248" t="str">
            <v>Top 50</v>
          </cell>
          <cell r="AM248" t="str">
            <v>BS</v>
          </cell>
          <cell r="AN248" t="str">
            <v>San Antonio, TX</v>
          </cell>
          <cell r="AO248" t="str">
            <v/>
          </cell>
          <cell r="AP248" t="str">
            <v>SAN ANTONIO, TX</v>
          </cell>
          <cell r="AQ248" t="str">
            <v/>
          </cell>
          <cell r="AR248" t="str">
            <v/>
          </cell>
          <cell r="AS248" t="str">
            <v/>
          </cell>
          <cell r="AT248" t="str">
            <v/>
          </cell>
        </row>
        <row r="249">
          <cell r="AI249" t="str">
            <v>SAN DIEGO, CA</v>
          </cell>
          <cell r="AJ249" t="str">
            <v>San Diego, CA</v>
          </cell>
          <cell r="AK249" t="str">
            <v>San Diego, CA</v>
          </cell>
          <cell r="AL249" t="str">
            <v>Top 25</v>
          </cell>
          <cell r="AM249" t="str">
            <v>BS</v>
          </cell>
          <cell r="AN249" t="str">
            <v>San Diego, CA</v>
          </cell>
          <cell r="AO249" t="str">
            <v>San Diego, CA</v>
          </cell>
          <cell r="AP249" t="str">
            <v>SAN DIEGO, CA</v>
          </cell>
          <cell r="AQ249" t="str">
            <v/>
          </cell>
          <cell r="AR249" t="str">
            <v>San Diego, CA</v>
          </cell>
          <cell r="AS249" t="str">
            <v>San Diego, CA</v>
          </cell>
          <cell r="AT249" t="str">
            <v>San Diego, CA</v>
          </cell>
        </row>
        <row r="250">
          <cell r="AI250" t="str">
            <v>SAN FRANCISCO, CA</v>
          </cell>
          <cell r="AJ250" t="str">
            <v>San Francisco, CA</v>
          </cell>
          <cell r="AK250" t="str">
            <v>San Francisco, CA</v>
          </cell>
          <cell r="AL250" t="str">
            <v>Top 50</v>
          </cell>
          <cell r="AM250" t="str">
            <v>BS</v>
          </cell>
          <cell r="AN250" t="str">
            <v>San Francisco, CA</v>
          </cell>
          <cell r="AO250" t="str">
            <v>San Francisco, CA</v>
          </cell>
          <cell r="AP250" t="str">
            <v>SAN FRANCISCO, CA</v>
          </cell>
          <cell r="AQ250" t="str">
            <v>San Francisco, CA</v>
          </cell>
          <cell r="AR250" t="str">
            <v>San Francisco, CA</v>
          </cell>
          <cell r="AS250" t="str">
            <v>San Francisco, CA</v>
          </cell>
          <cell r="AT250" t="str">
            <v>San Francisco, CA</v>
          </cell>
        </row>
        <row r="251">
          <cell r="AI251" t="str">
            <v>SAN JOSE, CA</v>
          </cell>
          <cell r="AJ251" t="str">
            <v>San Jose-Santa Cruz, CA</v>
          </cell>
          <cell r="AK251" t="str">
            <v>San Jose, CA</v>
          </cell>
          <cell r="AL251" t="str">
            <v>Top 50</v>
          </cell>
          <cell r="AM251" t="str">
            <v>BS</v>
          </cell>
          <cell r="AN251" t="str">
            <v>San Jose, CA</v>
          </cell>
          <cell r="AO251" t="str">
            <v/>
          </cell>
          <cell r="AP251" t="str">
            <v>SAN JOSE, CA</v>
          </cell>
          <cell r="AQ251" t="str">
            <v/>
          </cell>
          <cell r="AR251" t="str">
            <v/>
          </cell>
          <cell r="AS251" t="str">
            <v/>
          </cell>
          <cell r="AT251" t="str">
            <v/>
          </cell>
        </row>
        <row r="252">
          <cell r="AI252" t="str">
            <v>SAN LUIS OBISPO-ATASCADERO- PASO ROBLES  CA</v>
          </cell>
          <cell r="AJ252" t="str">
            <v>San Luis Obispo-Atascadero, CA</v>
          </cell>
          <cell r="AK252" t="str">
            <v/>
          </cell>
          <cell r="AL252" t="str">
            <v/>
          </cell>
          <cell r="AM252" t="str">
            <v/>
          </cell>
          <cell r="AN252" t="str">
            <v/>
          </cell>
          <cell r="AO252" t="str">
            <v/>
          </cell>
          <cell r="AP252" t="str">
            <v/>
          </cell>
          <cell r="AQ252" t="str">
            <v/>
          </cell>
          <cell r="AR252" t="str">
            <v/>
          </cell>
          <cell r="AS252" t="str">
            <v/>
          </cell>
          <cell r="AT252" t="str">
            <v/>
          </cell>
        </row>
        <row r="253">
          <cell r="AI253" t="str">
            <v>SANTA BARBARA-SANTA MARIA-LOMPOC, CA</v>
          </cell>
          <cell r="AJ253" t="str">
            <v>Santa Barbara-Santa Maria-Lompoc, CA</v>
          </cell>
          <cell r="AK253" t="str">
            <v/>
          </cell>
          <cell r="AL253" t="str">
            <v/>
          </cell>
          <cell r="AM253" t="str">
            <v/>
          </cell>
          <cell r="AN253" t="str">
            <v/>
          </cell>
          <cell r="AO253" t="str">
            <v/>
          </cell>
          <cell r="AP253" t="str">
            <v/>
          </cell>
          <cell r="AQ253" t="str">
            <v/>
          </cell>
          <cell r="AR253" t="str">
            <v/>
          </cell>
          <cell r="AS253" t="str">
            <v/>
          </cell>
          <cell r="AT253" t="str">
            <v/>
          </cell>
        </row>
        <row r="254">
          <cell r="AI254" t="str">
            <v>SANTA CRUZ-WATSONVILLE, CA</v>
          </cell>
          <cell r="AJ254" t="str">
            <v>Santa Cruz-Watsonville, CA</v>
          </cell>
          <cell r="AK254" t="str">
            <v/>
          </cell>
          <cell r="AL254" t="str">
            <v/>
          </cell>
          <cell r="AM254" t="str">
            <v/>
          </cell>
          <cell r="AN254" t="str">
            <v/>
          </cell>
          <cell r="AO254" t="str">
            <v/>
          </cell>
          <cell r="AP254" t="str">
            <v/>
          </cell>
          <cell r="AQ254" t="str">
            <v/>
          </cell>
          <cell r="AR254" t="str">
            <v/>
          </cell>
          <cell r="AS254" t="str">
            <v/>
          </cell>
          <cell r="AT254" t="str">
            <v/>
          </cell>
        </row>
        <row r="255">
          <cell r="AI255" t="str">
            <v>SANTA FE, NM</v>
          </cell>
          <cell r="AJ255" t="str">
            <v>Santa Fe, NM</v>
          </cell>
          <cell r="AK255" t="str">
            <v/>
          </cell>
          <cell r="AL255" t="str">
            <v/>
          </cell>
          <cell r="AM255" t="str">
            <v/>
          </cell>
          <cell r="AN255" t="str">
            <v/>
          </cell>
          <cell r="AO255" t="str">
            <v/>
          </cell>
          <cell r="AP255" t="str">
            <v/>
          </cell>
          <cell r="AQ255" t="str">
            <v/>
          </cell>
          <cell r="AR255" t="str">
            <v/>
          </cell>
          <cell r="AS255" t="str">
            <v/>
          </cell>
          <cell r="AT255" t="str">
            <v/>
          </cell>
        </row>
        <row r="256">
          <cell r="AI256" t="str">
            <v>SARASOTA-BRADENTON, FL</v>
          </cell>
          <cell r="AJ256" t="str">
            <v>Sarasota-Bradenton, FL</v>
          </cell>
          <cell r="AK256" t="str">
            <v>Sarasota, FL</v>
          </cell>
          <cell r="AL256" t="str">
            <v>Top 110</v>
          </cell>
          <cell r="AM256" t="str">
            <v/>
          </cell>
          <cell r="AN256" t="str">
            <v/>
          </cell>
          <cell r="AO256" t="str">
            <v/>
          </cell>
          <cell r="AP256" t="str">
            <v/>
          </cell>
          <cell r="AQ256" t="str">
            <v/>
          </cell>
          <cell r="AR256" t="str">
            <v/>
          </cell>
          <cell r="AS256" t="str">
            <v/>
          </cell>
          <cell r="AT256" t="str">
            <v/>
          </cell>
        </row>
        <row r="257">
          <cell r="AI257" t="str">
            <v>SAVANNAH, GA</v>
          </cell>
          <cell r="AJ257" t="str">
            <v>Savannah, GA</v>
          </cell>
          <cell r="AK257" t="str">
            <v/>
          </cell>
          <cell r="AL257" t="str">
            <v/>
          </cell>
          <cell r="AM257" t="str">
            <v/>
          </cell>
          <cell r="AN257" t="str">
            <v/>
          </cell>
          <cell r="AO257" t="str">
            <v/>
          </cell>
          <cell r="AP257" t="str">
            <v/>
          </cell>
          <cell r="AQ257" t="str">
            <v/>
          </cell>
          <cell r="AR257" t="str">
            <v/>
          </cell>
          <cell r="AS257" t="str">
            <v/>
          </cell>
          <cell r="AT257" t="str">
            <v/>
          </cell>
        </row>
        <row r="258">
          <cell r="AI258" t="str">
            <v>SCRANTON-WILKES BARRE-HAZLETON, PA</v>
          </cell>
          <cell r="AJ258" t="str">
            <v>Scranton-Wilkes-Barre, PA</v>
          </cell>
          <cell r="AK258" t="str">
            <v>Scranton, PA</v>
          </cell>
          <cell r="AL258" t="str">
            <v>Top 110</v>
          </cell>
          <cell r="AM258" t="str">
            <v>BS</v>
          </cell>
          <cell r="AN258" t="str">
            <v/>
          </cell>
          <cell r="AO258" t="str">
            <v/>
          </cell>
          <cell r="AP258" t="str">
            <v/>
          </cell>
          <cell r="AQ258" t="str">
            <v/>
          </cell>
          <cell r="AR258" t="str">
            <v/>
          </cell>
          <cell r="AS258" t="str">
            <v/>
          </cell>
          <cell r="AT258" t="str">
            <v/>
          </cell>
        </row>
        <row r="259">
          <cell r="AI259" t="str">
            <v>SEATTLE-BELLEVUE-EVERETT, WA</v>
          </cell>
          <cell r="AJ259" t="str">
            <v>Seattle-Everett, WA</v>
          </cell>
          <cell r="AK259" t="str">
            <v>Seattle, WA</v>
          </cell>
          <cell r="AL259" t="str">
            <v>Top 25</v>
          </cell>
          <cell r="AM259" t="str">
            <v>BS</v>
          </cell>
          <cell r="AN259" t="str">
            <v>Seattle, WA</v>
          </cell>
          <cell r="AO259" t="str">
            <v>Seattle, WA</v>
          </cell>
          <cell r="AP259" t="str">
            <v>SEATTLE, WA</v>
          </cell>
          <cell r="AQ259" t="str">
            <v>Seattle, WA</v>
          </cell>
          <cell r="AR259" t="str">
            <v>Seattle, WA</v>
          </cell>
          <cell r="AS259" t="str">
            <v/>
          </cell>
          <cell r="AT259" t="str">
            <v/>
          </cell>
        </row>
        <row r="260">
          <cell r="AI260" t="str">
            <v>SHARON, PA</v>
          </cell>
          <cell r="AJ260" t="str">
            <v>Sharon, PA</v>
          </cell>
          <cell r="AK260" t="str">
            <v/>
          </cell>
          <cell r="AL260" t="str">
            <v/>
          </cell>
          <cell r="AM260" t="str">
            <v/>
          </cell>
          <cell r="AN260" t="str">
            <v/>
          </cell>
          <cell r="AO260" t="str">
            <v/>
          </cell>
          <cell r="AP260" t="str">
            <v/>
          </cell>
          <cell r="AQ260" t="str">
            <v/>
          </cell>
          <cell r="AR260" t="str">
            <v/>
          </cell>
          <cell r="AS260" t="str">
            <v/>
          </cell>
          <cell r="AT260" t="str">
            <v/>
          </cell>
        </row>
        <row r="261">
          <cell r="AI261" t="str">
            <v>SHERMAN-DENISON, TX</v>
          </cell>
          <cell r="AJ261" t="str">
            <v>Sherman-Denison, TX</v>
          </cell>
          <cell r="AK261" t="str">
            <v/>
          </cell>
          <cell r="AL261" t="str">
            <v/>
          </cell>
          <cell r="AM261" t="str">
            <v/>
          </cell>
          <cell r="AN261" t="str">
            <v/>
          </cell>
          <cell r="AO261" t="str">
            <v/>
          </cell>
          <cell r="AP261" t="str">
            <v/>
          </cell>
          <cell r="AQ261" t="str">
            <v/>
          </cell>
          <cell r="AR261" t="str">
            <v/>
          </cell>
          <cell r="AS261" t="str">
            <v/>
          </cell>
          <cell r="AT261" t="str">
            <v/>
          </cell>
        </row>
        <row r="262">
          <cell r="AI262" t="str">
            <v>SHREVEPORT-BOSSIER CITY, LA</v>
          </cell>
          <cell r="AJ262" t="str">
            <v>Shreveport-Bossier City, LA</v>
          </cell>
          <cell r="AK262" t="str">
            <v/>
          </cell>
          <cell r="AL262" t="str">
            <v/>
          </cell>
          <cell r="AM262" t="str">
            <v/>
          </cell>
          <cell r="AN262" t="str">
            <v/>
          </cell>
          <cell r="AO262" t="str">
            <v/>
          </cell>
          <cell r="AP262" t="str">
            <v/>
          </cell>
          <cell r="AQ262" t="str">
            <v/>
          </cell>
          <cell r="AR262" t="str">
            <v/>
          </cell>
          <cell r="AS262" t="str">
            <v/>
          </cell>
          <cell r="AT262" t="str">
            <v/>
          </cell>
        </row>
        <row r="263">
          <cell r="AI263" t="str">
            <v>SIOUX CITY, IA-NE</v>
          </cell>
          <cell r="AJ263" t="str">
            <v>Sioux City, IA-NE</v>
          </cell>
          <cell r="AK263" t="str">
            <v/>
          </cell>
          <cell r="AL263" t="str">
            <v/>
          </cell>
          <cell r="AM263" t="str">
            <v/>
          </cell>
          <cell r="AN263" t="str">
            <v/>
          </cell>
          <cell r="AO263" t="str">
            <v/>
          </cell>
          <cell r="AP263" t="str">
            <v/>
          </cell>
          <cell r="AQ263" t="str">
            <v/>
          </cell>
          <cell r="AR263" t="str">
            <v/>
          </cell>
          <cell r="AS263" t="str">
            <v/>
          </cell>
          <cell r="AT263" t="str">
            <v/>
          </cell>
        </row>
        <row r="264">
          <cell r="AI264" t="str">
            <v>SIOUX FALLS, SD</v>
          </cell>
          <cell r="AJ264" t="str">
            <v>Sioux Falls, SD</v>
          </cell>
          <cell r="AK264" t="str">
            <v/>
          </cell>
          <cell r="AL264" t="str">
            <v/>
          </cell>
          <cell r="AM264" t="str">
            <v/>
          </cell>
          <cell r="AN264" t="str">
            <v/>
          </cell>
          <cell r="AO264" t="str">
            <v/>
          </cell>
          <cell r="AP264" t="str">
            <v/>
          </cell>
          <cell r="AQ264" t="str">
            <v/>
          </cell>
          <cell r="AR264" t="str">
            <v/>
          </cell>
          <cell r="AS264" t="str">
            <v/>
          </cell>
          <cell r="AT264" t="str">
            <v/>
          </cell>
        </row>
        <row r="265">
          <cell r="AI265" t="str">
            <v>SOUTH BEND, IN</v>
          </cell>
          <cell r="AJ265" t="str">
            <v>South Bend, IN</v>
          </cell>
          <cell r="AK265" t="str">
            <v/>
          </cell>
          <cell r="AL265" t="str">
            <v/>
          </cell>
          <cell r="AM265" t="str">
            <v/>
          </cell>
          <cell r="AN265" t="str">
            <v/>
          </cell>
          <cell r="AO265" t="str">
            <v/>
          </cell>
          <cell r="AP265" t="str">
            <v/>
          </cell>
          <cell r="AQ265" t="str">
            <v/>
          </cell>
          <cell r="AR265" t="str">
            <v/>
          </cell>
          <cell r="AS265" t="str">
            <v/>
          </cell>
          <cell r="AT265" t="str">
            <v/>
          </cell>
        </row>
        <row r="266">
          <cell r="AI266" t="str">
            <v>SPOKANE, WA</v>
          </cell>
          <cell r="AJ266" t="str">
            <v>Spokane, WA</v>
          </cell>
          <cell r="AK266" t="str">
            <v/>
          </cell>
          <cell r="AL266" t="str">
            <v/>
          </cell>
          <cell r="AM266" t="str">
            <v/>
          </cell>
          <cell r="AN266" t="str">
            <v/>
          </cell>
          <cell r="AO266" t="str">
            <v/>
          </cell>
          <cell r="AP266" t="str">
            <v/>
          </cell>
          <cell r="AQ266" t="str">
            <v/>
          </cell>
          <cell r="AR266" t="str">
            <v/>
          </cell>
          <cell r="AS266" t="str">
            <v/>
          </cell>
          <cell r="AT266" t="str">
            <v/>
          </cell>
        </row>
        <row r="267">
          <cell r="AI267" t="str">
            <v>SPRINGFIELD, IL</v>
          </cell>
          <cell r="AJ267" t="str">
            <v>Springfield, IL</v>
          </cell>
          <cell r="AK267" t="str">
            <v/>
          </cell>
          <cell r="AL267" t="str">
            <v/>
          </cell>
          <cell r="AM267" t="str">
            <v/>
          </cell>
          <cell r="AN267" t="str">
            <v/>
          </cell>
          <cell r="AO267" t="str">
            <v/>
          </cell>
          <cell r="AP267" t="str">
            <v/>
          </cell>
          <cell r="AQ267" t="str">
            <v/>
          </cell>
          <cell r="AR267" t="str">
            <v/>
          </cell>
          <cell r="AS267" t="str">
            <v/>
          </cell>
          <cell r="AT267" t="str">
            <v>Springfield, IL</v>
          </cell>
        </row>
        <row r="268">
          <cell r="AI268" t="str">
            <v>SPRINGFIELD, MA</v>
          </cell>
          <cell r="AJ268" t="str">
            <v>Springfield, MA</v>
          </cell>
          <cell r="AK268" t="str">
            <v>Springfield, MA</v>
          </cell>
          <cell r="AL268" t="str">
            <v>Top 110</v>
          </cell>
          <cell r="AM268" t="str">
            <v/>
          </cell>
          <cell r="AN268" t="str">
            <v/>
          </cell>
          <cell r="AO268" t="str">
            <v/>
          </cell>
          <cell r="AP268" t="str">
            <v/>
          </cell>
          <cell r="AQ268" t="str">
            <v/>
          </cell>
          <cell r="AR268" t="str">
            <v/>
          </cell>
          <cell r="AS268" t="str">
            <v/>
          </cell>
          <cell r="AT268" t="str">
            <v/>
          </cell>
        </row>
        <row r="269">
          <cell r="AI269" t="str">
            <v>SPRINGFIELD, MO</v>
          </cell>
          <cell r="AJ269" t="str">
            <v>Springfield, MO</v>
          </cell>
          <cell r="AK269" t="str">
            <v/>
          </cell>
          <cell r="AL269" t="str">
            <v/>
          </cell>
          <cell r="AM269" t="str">
            <v/>
          </cell>
          <cell r="AN269" t="str">
            <v/>
          </cell>
          <cell r="AO269" t="str">
            <v/>
          </cell>
          <cell r="AP269" t="str">
            <v/>
          </cell>
          <cell r="AQ269" t="str">
            <v/>
          </cell>
          <cell r="AR269" t="str">
            <v/>
          </cell>
          <cell r="AS269" t="str">
            <v/>
          </cell>
          <cell r="AT269" t="str">
            <v/>
          </cell>
        </row>
        <row r="270">
          <cell r="AI270" t="str">
            <v>STATE COLLEGE, PA</v>
          </cell>
          <cell r="AJ270" t="str">
            <v>State College, PA</v>
          </cell>
          <cell r="AK270" t="str">
            <v/>
          </cell>
          <cell r="AL270" t="str">
            <v/>
          </cell>
          <cell r="AM270" t="str">
            <v/>
          </cell>
          <cell r="AN270" t="str">
            <v/>
          </cell>
          <cell r="AO270" t="str">
            <v/>
          </cell>
          <cell r="AP270" t="str">
            <v/>
          </cell>
          <cell r="AQ270" t="str">
            <v/>
          </cell>
          <cell r="AR270" t="str">
            <v/>
          </cell>
          <cell r="AS270" t="str">
            <v/>
          </cell>
          <cell r="AT270" t="str">
            <v/>
          </cell>
        </row>
        <row r="271">
          <cell r="AI271" t="str">
            <v>STEUBENVILLE-WEIRTON, OH-WV</v>
          </cell>
          <cell r="AJ271" t="str">
            <v>Steubenville-Weirton, OH-WV</v>
          </cell>
          <cell r="AK271" t="str">
            <v/>
          </cell>
          <cell r="AL271" t="str">
            <v/>
          </cell>
          <cell r="AM271" t="str">
            <v/>
          </cell>
          <cell r="AN271" t="str">
            <v/>
          </cell>
          <cell r="AO271" t="str">
            <v/>
          </cell>
          <cell r="AP271" t="str">
            <v/>
          </cell>
          <cell r="AQ271" t="str">
            <v/>
          </cell>
          <cell r="AR271" t="str">
            <v/>
          </cell>
          <cell r="AS271" t="str">
            <v/>
          </cell>
          <cell r="AT271" t="str">
            <v/>
          </cell>
        </row>
        <row r="272">
          <cell r="AI272" t="str">
            <v>STOCKTON-LODI, CA</v>
          </cell>
          <cell r="AJ272" t="str">
            <v>Stockton-Lodi, CA</v>
          </cell>
          <cell r="AK272" t="str">
            <v>Stockton, CA</v>
          </cell>
          <cell r="AL272" t="str">
            <v>Top 110</v>
          </cell>
          <cell r="AM272" t="str">
            <v/>
          </cell>
          <cell r="AN272" t="str">
            <v/>
          </cell>
          <cell r="AO272" t="str">
            <v/>
          </cell>
          <cell r="AP272" t="str">
            <v/>
          </cell>
          <cell r="AQ272" t="str">
            <v/>
          </cell>
          <cell r="AR272" t="str">
            <v/>
          </cell>
          <cell r="AS272" t="str">
            <v/>
          </cell>
          <cell r="AT272" t="str">
            <v/>
          </cell>
        </row>
        <row r="273">
          <cell r="AI273" t="str">
            <v>SUMTER, SC</v>
          </cell>
          <cell r="AJ273" t="str">
            <v>Sumter, SC</v>
          </cell>
          <cell r="AK273" t="str">
            <v/>
          </cell>
          <cell r="AL273" t="str">
            <v/>
          </cell>
          <cell r="AM273" t="str">
            <v/>
          </cell>
          <cell r="AN273" t="str">
            <v/>
          </cell>
          <cell r="AO273" t="str">
            <v/>
          </cell>
          <cell r="AP273" t="str">
            <v/>
          </cell>
          <cell r="AQ273" t="str">
            <v/>
          </cell>
          <cell r="AR273" t="str">
            <v/>
          </cell>
          <cell r="AS273" t="str">
            <v/>
          </cell>
          <cell r="AT273" t="str">
            <v/>
          </cell>
        </row>
        <row r="274">
          <cell r="AI274" t="str">
            <v>SYRACUSE, NY</v>
          </cell>
          <cell r="AJ274" t="str">
            <v>Syracuse, NY</v>
          </cell>
          <cell r="AK274" t="str">
            <v>Syracuse, NY</v>
          </cell>
          <cell r="AL274" t="str">
            <v>Top 110</v>
          </cell>
          <cell r="AM274" t="str">
            <v>BS</v>
          </cell>
          <cell r="AN274" t="str">
            <v/>
          </cell>
          <cell r="AO274" t="str">
            <v/>
          </cell>
          <cell r="AP274" t="str">
            <v/>
          </cell>
          <cell r="AQ274" t="str">
            <v/>
          </cell>
          <cell r="AR274" t="str">
            <v/>
          </cell>
          <cell r="AS274" t="str">
            <v/>
          </cell>
          <cell r="AT274" t="str">
            <v/>
          </cell>
        </row>
        <row r="275">
          <cell r="AI275" t="str">
            <v>TACOMA, WA</v>
          </cell>
          <cell r="AJ275" t="str">
            <v>Tacoma, WA</v>
          </cell>
          <cell r="AK275" t="str">
            <v>Tacoma, WA</v>
          </cell>
          <cell r="AL275" t="str">
            <v>Top 110</v>
          </cell>
          <cell r="AM275" t="str">
            <v/>
          </cell>
          <cell r="AN275" t="str">
            <v/>
          </cell>
          <cell r="AO275" t="str">
            <v/>
          </cell>
          <cell r="AP275" t="str">
            <v/>
          </cell>
          <cell r="AQ275" t="str">
            <v/>
          </cell>
          <cell r="AR275" t="str">
            <v/>
          </cell>
          <cell r="AS275" t="str">
            <v/>
          </cell>
          <cell r="AT275" t="str">
            <v/>
          </cell>
        </row>
        <row r="276">
          <cell r="AI276" t="str">
            <v>TALLAHASSEE, FL</v>
          </cell>
          <cell r="AJ276" t="str">
            <v>Tallahassee, FL</v>
          </cell>
          <cell r="AK276" t="str">
            <v/>
          </cell>
          <cell r="AL276" t="str">
            <v/>
          </cell>
          <cell r="AM276" t="str">
            <v/>
          </cell>
          <cell r="AN276" t="str">
            <v/>
          </cell>
          <cell r="AO276" t="str">
            <v/>
          </cell>
          <cell r="AP276" t="str">
            <v/>
          </cell>
          <cell r="AQ276" t="str">
            <v/>
          </cell>
          <cell r="AR276" t="str">
            <v/>
          </cell>
          <cell r="AS276" t="str">
            <v/>
          </cell>
          <cell r="AT276" t="str">
            <v/>
          </cell>
        </row>
        <row r="277">
          <cell r="AI277" t="str">
            <v>TAMPA-SAINT PETERSBURG-CLEARWATER, FL</v>
          </cell>
          <cell r="AJ277" t="str">
            <v>Tampa-St. Petersburg, FL</v>
          </cell>
          <cell r="AK277" t="str">
            <v>Tampa, FL</v>
          </cell>
          <cell r="AL277" t="str">
            <v>Top 25</v>
          </cell>
          <cell r="AM277" t="str">
            <v>BS</v>
          </cell>
          <cell r="AN277" t="str">
            <v>Tampa, FL</v>
          </cell>
          <cell r="AO277" t="str">
            <v>Tampa, FL</v>
          </cell>
          <cell r="AP277" t="str">
            <v/>
          </cell>
          <cell r="AQ277" t="str">
            <v/>
          </cell>
          <cell r="AR277" t="str">
            <v>Tampa, FL</v>
          </cell>
          <cell r="AS277" t="str">
            <v/>
          </cell>
          <cell r="AT277" t="str">
            <v/>
          </cell>
        </row>
        <row r="278">
          <cell r="AI278" t="str">
            <v>TEXARKANA, TX-TEXARKANA, AR</v>
          </cell>
          <cell r="AJ278" t="str">
            <v>Texarkana, TX-Texarkana, AR</v>
          </cell>
          <cell r="AK278" t="str">
            <v/>
          </cell>
          <cell r="AL278" t="str">
            <v/>
          </cell>
          <cell r="AM278" t="str">
            <v/>
          </cell>
          <cell r="AN278" t="str">
            <v/>
          </cell>
          <cell r="AO278" t="str">
            <v/>
          </cell>
          <cell r="AP278" t="str">
            <v/>
          </cell>
          <cell r="AQ278" t="str">
            <v/>
          </cell>
          <cell r="AR278" t="str">
            <v/>
          </cell>
          <cell r="AS278" t="str">
            <v/>
          </cell>
          <cell r="AT278" t="str">
            <v/>
          </cell>
        </row>
        <row r="279">
          <cell r="AI279" t="str">
            <v>TOLEDO, OH</v>
          </cell>
          <cell r="AJ279" t="str">
            <v>Toledo, OH</v>
          </cell>
          <cell r="AK279" t="str">
            <v>Toledo, OH</v>
          </cell>
          <cell r="AL279" t="str">
            <v>Top 110</v>
          </cell>
          <cell r="AM279" t="str">
            <v/>
          </cell>
          <cell r="AN279" t="str">
            <v/>
          </cell>
          <cell r="AO279" t="str">
            <v/>
          </cell>
          <cell r="AP279" t="str">
            <v/>
          </cell>
          <cell r="AQ279" t="str">
            <v/>
          </cell>
          <cell r="AR279" t="str">
            <v/>
          </cell>
          <cell r="AS279" t="str">
            <v/>
          </cell>
          <cell r="AT279" t="str">
            <v/>
          </cell>
        </row>
        <row r="280">
          <cell r="AI280" t="str">
            <v>TOPEKA, KS</v>
          </cell>
          <cell r="AJ280" t="str">
            <v>Topeka, KS</v>
          </cell>
          <cell r="AK280" t="str">
            <v/>
          </cell>
          <cell r="AL280" t="str">
            <v/>
          </cell>
          <cell r="AM280" t="str">
            <v/>
          </cell>
          <cell r="AN280" t="str">
            <v/>
          </cell>
          <cell r="AO280" t="str">
            <v/>
          </cell>
          <cell r="AP280" t="str">
            <v/>
          </cell>
          <cell r="AQ280" t="str">
            <v/>
          </cell>
          <cell r="AR280" t="str">
            <v/>
          </cell>
          <cell r="AS280" t="str">
            <v/>
          </cell>
          <cell r="AT280" t="str">
            <v/>
          </cell>
        </row>
        <row r="281">
          <cell r="AI281" t="str">
            <v>TRENTON, NJ</v>
          </cell>
          <cell r="AJ281" t="str">
            <v>Trenton, NJ</v>
          </cell>
          <cell r="AK281" t="str">
            <v/>
          </cell>
          <cell r="AL281" t="str">
            <v/>
          </cell>
          <cell r="AM281" t="str">
            <v/>
          </cell>
          <cell r="AN281" t="str">
            <v/>
          </cell>
          <cell r="AO281" t="str">
            <v>New York Suburban</v>
          </cell>
          <cell r="AP281" t="str">
            <v/>
          </cell>
          <cell r="AQ281" t="str">
            <v/>
          </cell>
          <cell r="AR281" t="str">
            <v/>
          </cell>
          <cell r="AS281" t="str">
            <v/>
          </cell>
          <cell r="AT281" t="str">
            <v/>
          </cell>
        </row>
        <row r="282">
          <cell r="AI282" t="str">
            <v>TUCSON, AZ</v>
          </cell>
          <cell r="AJ282" t="str">
            <v>Tucson, AZ</v>
          </cell>
          <cell r="AK282" t="str">
            <v>Tucson, AZ</v>
          </cell>
          <cell r="AL282" t="str">
            <v>Top 110</v>
          </cell>
          <cell r="AM282" t="str">
            <v>BS</v>
          </cell>
          <cell r="AN282" t="str">
            <v/>
          </cell>
          <cell r="AO282" t="str">
            <v/>
          </cell>
          <cell r="AP282" t="str">
            <v/>
          </cell>
          <cell r="AQ282" t="str">
            <v/>
          </cell>
          <cell r="AR282" t="str">
            <v/>
          </cell>
          <cell r="AS282" t="str">
            <v/>
          </cell>
          <cell r="AT282" t="str">
            <v/>
          </cell>
        </row>
        <row r="283">
          <cell r="AI283" t="str">
            <v>TULSA, OK</v>
          </cell>
          <cell r="AJ283" t="str">
            <v>Tulsa, OK</v>
          </cell>
          <cell r="AK283" t="str">
            <v>Tulsa, OK</v>
          </cell>
          <cell r="AL283" t="str">
            <v>Top 110</v>
          </cell>
          <cell r="AM283" t="str">
            <v>BS</v>
          </cell>
          <cell r="AN283" t="str">
            <v/>
          </cell>
          <cell r="AO283" t="str">
            <v/>
          </cell>
          <cell r="AP283" t="str">
            <v/>
          </cell>
          <cell r="AQ283" t="str">
            <v/>
          </cell>
          <cell r="AR283" t="str">
            <v/>
          </cell>
          <cell r="AS283" t="str">
            <v/>
          </cell>
          <cell r="AT283" t="str">
            <v/>
          </cell>
        </row>
        <row r="284">
          <cell r="AI284" t="str">
            <v>TUSCALOOSA, AL</v>
          </cell>
          <cell r="AJ284" t="str">
            <v>Tuscaloosa, AL</v>
          </cell>
          <cell r="AK284" t="str">
            <v/>
          </cell>
          <cell r="AL284" t="str">
            <v/>
          </cell>
          <cell r="AM284" t="str">
            <v/>
          </cell>
          <cell r="AN284" t="str">
            <v/>
          </cell>
          <cell r="AO284" t="str">
            <v/>
          </cell>
          <cell r="AP284" t="str">
            <v/>
          </cell>
          <cell r="AQ284" t="str">
            <v/>
          </cell>
          <cell r="AR284" t="str">
            <v/>
          </cell>
          <cell r="AS284" t="str">
            <v/>
          </cell>
          <cell r="AT284" t="str">
            <v/>
          </cell>
        </row>
        <row r="285">
          <cell r="AI285" t="str">
            <v>TYLER, TX</v>
          </cell>
          <cell r="AJ285" t="str">
            <v>Tyler, TX</v>
          </cell>
          <cell r="AK285" t="str">
            <v/>
          </cell>
          <cell r="AL285" t="str">
            <v/>
          </cell>
          <cell r="AM285" t="str">
            <v/>
          </cell>
          <cell r="AN285" t="str">
            <v/>
          </cell>
          <cell r="AO285" t="str">
            <v/>
          </cell>
          <cell r="AP285" t="str">
            <v/>
          </cell>
          <cell r="AQ285" t="str">
            <v/>
          </cell>
          <cell r="AR285" t="str">
            <v/>
          </cell>
          <cell r="AS285" t="str">
            <v/>
          </cell>
          <cell r="AT285" t="str">
            <v/>
          </cell>
        </row>
        <row r="286">
          <cell r="AI286" t="str">
            <v>VALLEJO-FAIRFIELD-NAPA, CA</v>
          </cell>
          <cell r="AJ286" t="str">
            <v>Vallejo-Fairfield-Napa, CA</v>
          </cell>
          <cell r="AK286" t="str">
            <v>Vallejo, CA</v>
          </cell>
          <cell r="AL286" t="str">
            <v>Top 110</v>
          </cell>
          <cell r="AM286" t="str">
            <v/>
          </cell>
          <cell r="AN286" t="str">
            <v/>
          </cell>
          <cell r="AO286" t="str">
            <v/>
          </cell>
          <cell r="AP286" t="str">
            <v/>
          </cell>
          <cell r="AQ286" t="str">
            <v/>
          </cell>
          <cell r="AR286" t="str">
            <v/>
          </cell>
          <cell r="AS286" t="str">
            <v/>
          </cell>
          <cell r="AT286" t="str">
            <v/>
          </cell>
        </row>
        <row r="287">
          <cell r="AI287" t="str">
            <v>VENTURA, CA</v>
          </cell>
          <cell r="AJ287" t="str">
            <v>Ventura, CA</v>
          </cell>
          <cell r="AK287" t="str">
            <v>Ventura, CA</v>
          </cell>
          <cell r="AL287" t="str">
            <v>Top 110</v>
          </cell>
          <cell r="AM287" t="str">
            <v/>
          </cell>
          <cell r="AN287" t="str">
            <v/>
          </cell>
          <cell r="AO287" t="str">
            <v/>
          </cell>
          <cell r="AP287" t="str">
            <v/>
          </cell>
          <cell r="AQ287" t="str">
            <v/>
          </cell>
          <cell r="AR287" t="str">
            <v/>
          </cell>
          <cell r="AS287" t="str">
            <v/>
          </cell>
          <cell r="AT287" t="str">
            <v/>
          </cell>
        </row>
        <row r="288">
          <cell r="AI288" t="str">
            <v>VICTORIA, TX</v>
          </cell>
          <cell r="AJ288" t="str">
            <v>Victoria, TX</v>
          </cell>
          <cell r="AK288" t="str">
            <v/>
          </cell>
          <cell r="AL288" t="str">
            <v/>
          </cell>
          <cell r="AM288" t="str">
            <v/>
          </cell>
          <cell r="AN288" t="str">
            <v/>
          </cell>
          <cell r="AO288" t="str">
            <v/>
          </cell>
          <cell r="AP288" t="str">
            <v/>
          </cell>
          <cell r="AQ288" t="str">
            <v/>
          </cell>
          <cell r="AR288" t="str">
            <v/>
          </cell>
          <cell r="AS288" t="str">
            <v/>
          </cell>
          <cell r="AT288" t="str">
            <v/>
          </cell>
        </row>
        <row r="289">
          <cell r="AI289" t="str">
            <v>VINELAND-MILLVILLE-BRIDGETON, NJ</v>
          </cell>
          <cell r="AJ289" t="str">
            <v>Vineland-Milville-Bridgeton, NJ</v>
          </cell>
          <cell r="AK289" t="str">
            <v/>
          </cell>
          <cell r="AL289" t="str">
            <v/>
          </cell>
          <cell r="AM289" t="str">
            <v/>
          </cell>
          <cell r="AN289" t="str">
            <v/>
          </cell>
          <cell r="AO289" t="str">
            <v/>
          </cell>
          <cell r="AP289" t="str">
            <v/>
          </cell>
          <cell r="AQ289" t="str">
            <v/>
          </cell>
          <cell r="AR289" t="str">
            <v/>
          </cell>
          <cell r="AS289" t="str">
            <v/>
          </cell>
          <cell r="AT289" t="str">
            <v/>
          </cell>
        </row>
        <row r="290">
          <cell r="AI290" t="str">
            <v>VISALIA-TULARE-PORTERVILLE, CA</v>
          </cell>
          <cell r="AJ290" t="str">
            <v>Visalia-Tulare-Porterville, CA</v>
          </cell>
          <cell r="AK290" t="str">
            <v/>
          </cell>
          <cell r="AL290" t="str">
            <v/>
          </cell>
          <cell r="AM290" t="str">
            <v/>
          </cell>
          <cell r="AN290" t="str">
            <v/>
          </cell>
          <cell r="AO290" t="str">
            <v/>
          </cell>
          <cell r="AP290" t="str">
            <v/>
          </cell>
          <cell r="AQ290" t="str">
            <v/>
          </cell>
          <cell r="AR290" t="str">
            <v/>
          </cell>
          <cell r="AS290" t="str">
            <v/>
          </cell>
          <cell r="AT290" t="str">
            <v/>
          </cell>
        </row>
        <row r="291">
          <cell r="AI291" t="str">
            <v>WACO, TX</v>
          </cell>
          <cell r="AJ291" t="str">
            <v>Waco, TX</v>
          </cell>
          <cell r="AK291" t="str">
            <v/>
          </cell>
          <cell r="AL291" t="str">
            <v/>
          </cell>
          <cell r="AM291" t="str">
            <v/>
          </cell>
          <cell r="AN291" t="str">
            <v/>
          </cell>
          <cell r="AO291" t="str">
            <v/>
          </cell>
          <cell r="AP291" t="str">
            <v/>
          </cell>
          <cell r="AQ291" t="str">
            <v/>
          </cell>
          <cell r="AR291" t="str">
            <v/>
          </cell>
          <cell r="AS291" t="str">
            <v/>
          </cell>
          <cell r="AT291" t="str">
            <v/>
          </cell>
        </row>
        <row r="292">
          <cell r="AI292" t="str">
            <v>WASHINGTON, DC-MD-VA-WV</v>
          </cell>
          <cell r="AJ292" t="str">
            <v>Washington, DC-MD-VA</v>
          </cell>
          <cell r="AK292" t="str">
            <v>Washington, DC</v>
          </cell>
          <cell r="AL292" t="str">
            <v>Top 25</v>
          </cell>
          <cell r="AM292" t="str">
            <v>BS</v>
          </cell>
          <cell r="AN292" t="str">
            <v>Washington, DC</v>
          </cell>
          <cell r="AO292" t="str">
            <v>Washington, DC</v>
          </cell>
          <cell r="AP292" t="str">
            <v>WASHINGTON, DC</v>
          </cell>
          <cell r="AQ292" t="str">
            <v>Washington, DC</v>
          </cell>
          <cell r="AR292" t="str">
            <v>Washington, DC</v>
          </cell>
          <cell r="AS292" t="str">
            <v>Washington, DC</v>
          </cell>
          <cell r="AT292" t="str">
            <v>Washington, DC</v>
          </cell>
        </row>
        <row r="293">
          <cell r="AI293" t="str">
            <v>WATERLOO-CEDAR FALLS, IA</v>
          </cell>
          <cell r="AJ293" t="str">
            <v>Waterloo-Cedar Falls, IA</v>
          </cell>
          <cell r="AK293" t="str">
            <v/>
          </cell>
          <cell r="AL293" t="str">
            <v/>
          </cell>
          <cell r="AM293" t="str">
            <v/>
          </cell>
          <cell r="AN293" t="str">
            <v/>
          </cell>
          <cell r="AO293" t="str">
            <v/>
          </cell>
          <cell r="AP293" t="str">
            <v/>
          </cell>
          <cell r="AQ293" t="str">
            <v/>
          </cell>
          <cell r="AR293" t="str">
            <v/>
          </cell>
          <cell r="AS293" t="str">
            <v/>
          </cell>
          <cell r="AT293" t="str">
            <v/>
          </cell>
        </row>
        <row r="294">
          <cell r="AI294" t="str">
            <v>WEST PALM BEACH-BOCA RATON, FL</v>
          </cell>
          <cell r="AJ294" t="str">
            <v>West Palm Beach-Boca Raton, FL</v>
          </cell>
          <cell r="AK294" t="str">
            <v>West Palm Beach, FL</v>
          </cell>
          <cell r="AL294" t="str">
            <v>Top 110</v>
          </cell>
          <cell r="AM294" t="str">
            <v>BS</v>
          </cell>
          <cell r="AN294" t="str">
            <v/>
          </cell>
          <cell r="AO294" t="str">
            <v/>
          </cell>
          <cell r="AP294" t="str">
            <v/>
          </cell>
          <cell r="AQ294" t="str">
            <v/>
          </cell>
          <cell r="AR294" t="str">
            <v/>
          </cell>
          <cell r="AS294" t="str">
            <v/>
          </cell>
          <cell r="AT294" t="str">
            <v/>
          </cell>
        </row>
        <row r="295">
          <cell r="AI295" t="str">
            <v>WHEELING, WV-OH</v>
          </cell>
          <cell r="AJ295" t="str">
            <v>Wheeling, WV-OH</v>
          </cell>
          <cell r="AK295" t="str">
            <v/>
          </cell>
          <cell r="AL295" t="str">
            <v/>
          </cell>
          <cell r="AM295" t="str">
            <v/>
          </cell>
          <cell r="AN295" t="str">
            <v/>
          </cell>
          <cell r="AO295" t="str">
            <v/>
          </cell>
          <cell r="AP295" t="str">
            <v/>
          </cell>
          <cell r="AQ295" t="str">
            <v/>
          </cell>
          <cell r="AR295" t="str">
            <v/>
          </cell>
          <cell r="AS295" t="str">
            <v/>
          </cell>
          <cell r="AT295" t="str">
            <v/>
          </cell>
        </row>
        <row r="296">
          <cell r="AI296" t="str">
            <v>WICHITA FALLS, TX</v>
          </cell>
          <cell r="AJ296" t="str">
            <v>Wichita Falls, TX</v>
          </cell>
          <cell r="AK296" t="str">
            <v/>
          </cell>
          <cell r="AL296" t="str">
            <v/>
          </cell>
          <cell r="AM296" t="str">
            <v/>
          </cell>
          <cell r="AN296" t="str">
            <v/>
          </cell>
          <cell r="AO296" t="str">
            <v/>
          </cell>
          <cell r="AP296" t="str">
            <v/>
          </cell>
          <cell r="AQ296" t="str">
            <v/>
          </cell>
          <cell r="AR296" t="str">
            <v/>
          </cell>
          <cell r="AS296" t="str">
            <v/>
          </cell>
          <cell r="AT296" t="str">
            <v/>
          </cell>
        </row>
        <row r="297">
          <cell r="AI297" t="str">
            <v>WICHITA, KS</v>
          </cell>
          <cell r="AJ297" t="str">
            <v>Wichita, KS</v>
          </cell>
          <cell r="AK297" t="str">
            <v>Wichita, KS</v>
          </cell>
          <cell r="AL297" t="str">
            <v>Top 110</v>
          </cell>
          <cell r="AM297" t="str">
            <v/>
          </cell>
          <cell r="AN297" t="str">
            <v/>
          </cell>
          <cell r="AO297" t="str">
            <v/>
          </cell>
          <cell r="AP297" t="str">
            <v/>
          </cell>
          <cell r="AQ297" t="str">
            <v/>
          </cell>
          <cell r="AR297" t="str">
            <v/>
          </cell>
          <cell r="AS297" t="str">
            <v/>
          </cell>
          <cell r="AT297" t="str">
            <v/>
          </cell>
        </row>
        <row r="298">
          <cell r="AI298" t="str">
            <v>WILMINGTON, NC</v>
          </cell>
          <cell r="AJ298" t="str">
            <v>Wilmington, NC</v>
          </cell>
          <cell r="AK298" t="str">
            <v/>
          </cell>
          <cell r="AL298" t="str">
            <v/>
          </cell>
          <cell r="AM298" t="str">
            <v/>
          </cell>
          <cell r="AN298" t="str">
            <v/>
          </cell>
          <cell r="AO298" t="str">
            <v/>
          </cell>
          <cell r="AP298" t="str">
            <v/>
          </cell>
          <cell r="AQ298" t="str">
            <v/>
          </cell>
          <cell r="AR298" t="str">
            <v/>
          </cell>
          <cell r="AS298" t="str">
            <v/>
          </cell>
          <cell r="AT298" t="str">
            <v/>
          </cell>
        </row>
        <row r="299">
          <cell r="AI299" t="str">
            <v>WILMINGTON-NEWARK, DE-MD</v>
          </cell>
          <cell r="AJ299" t="str">
            <v>Wilmington-Newark, DE-MD</v>
          </cell>
          <cell r="AK299" t="str">
            <v>Wilmington, DE</v>
          </cell>
          <cell r="AL299" t="str">
            <v>Top 110</v>
          </cell>
          <cell r="AM299" t="str">
            <v/>
          </cell>
          <cell r="AN299" t="str">
            <v/>
          </cell>
          <cell r="AO299" t="str">
            <v/>
          </cell>
          <cell r="AP299" t="str">
            <v/>
          </cell>
          <cell r="AQ299" t="str">
            <v/>
          </cell>
          <cell r="AR299" t="str">
            <v/>
          </cell>
          <cell r="AS299" t="str">
            <v/>
          </cell>
          <cell r="AT299" t="str">
            <v/>
          </cell>
        </row>
        <row r="300">
          <cell r="AI300" t="str">
            <v>WORCESTER, MA-CT</v>
          </cell>
          <cell r="AJ300" t="str">
            <v>Worcester, MA-CT</v>
          </cell>
          <cell r="AK300" t="str">
            <v/>
          </cell>
          <cell r="AL300" t="str">
            <v/>
          </cell>
          <cell r="AM300" t="str">
            <v/>
          </cell>
          <cell r="AN300" t="str">
            <v/>
          </cell>
          <cell r="AO300" t="str">
            <v/>
          </cell>
          <cell r="AP300" t="str">
            <v/>
          </cell>
          <cell r="AQ300" t="str">
            <v/>
          </cell>
          <cell r="AR300" t="str">
            <v/>
          </cell>
          <cell r="AS300" t="str">
            <v/>
          </cell>
          <cell r="AT300" t="str">
            <v/>
          </cell>
        </row>
        <row r="301">
          <cell r="AI301" t="str">
            <v>YAKIMA, WA</v>
          </cell>
          <cell r="AJ301" t="str">
            <v>Yakima, WA</v>
          </cell>
          <cell r="AK301" t="str">
            <v/>
          </cell>
          <cell r="AL301" t="str">
            <v/>
          </cell>
          <cell r="AM301" t="str">
            <v/>
          </cell>
          <cell r="AN301" t="str">
            <v/>
          </cell>
          <cell r="AO301" t="str">
            <v/>
          </cell>
          <cell r="AP301" t="str">
            <v/>
          </cell>
          <cell r="AQ301" t="str">
            <v/>
          </cell>
          <cell r="AR301" t="str">
            <v/>
          </cell>
          <cell r="AS301" t="str">
            <v/>
          </cell>
          <cell r="AT301" t="str">
            <v/>
          </cell>
        </row>
        <row r="302">
          <cell r="AI302" t="str">
            <v>YOLO, CA</v>
          </cell>
          <cell r="AJ302" t="str">
            <v>Yolo, CA</v>
          </cell>
          <cell r="AK302" t="str">
            <v/>
          </cell>
          <cell r="AL302" t="str">
            <v/>
          </cell>
          <cell r="AM302" t="str">
            <v/>
          </cell>
          <cell r="AN302" t="str">
            <v/>
          </cell>
          <cell r="AO302" t="str">
            <v/>
          </cell>
          <cell r="AP302" t="str">
            <v/>
          </cell>
          <cell r="AQ302" t="str">
            <v/>
          </cell>
          <cell r="AR302" t="str">
            <v/>
          </cell>
          <cell r="AS302" t="str">
            <v/>
          </cell>
          <cell r="AT302" t="str">
            <v/>
          </cell>
        </row>
        <row r="303">
          <cell r="AI303" t="str">
            <v>YORK, PA</v>
          </cell>
          <cell r="AJ303" t="str">
            <v>York, PA</v>
          </cell>
          <cell r="AK303" t="str">
            <v/>
          </cell>
          <cell r="AL303" t="str">
            <v/>
          </cell>
          <cell r="AM303" t="str">
            <v/>
          </cell>
          <cell r="AN303" t="str">
            <v/>
          </cell>
          <cell r="AO303" t="str">
            <v/>
          </cell>
          <cell r="AP303" t="str">
            <v/>
          </cell>
          <cell r="AQ303" t="str">
            <v/>
          </cell>
          <cell r="AR303" t="str">
            <v/>
          </cell>
          <cell r="AS303" t="str">
            <v/>
          </cell>
          <cell r="AT303" t="str">
            <v/>
          </cell>
        </row>
        <row r="304">
          <cell r="AI304" t="str">
            <v>YOUNGSTOWN-WARREN, OH</v>
          </cell>
          <cell r="AJ304" t="str">
            <v>Youngstown-Warren, OH</v>
          </cell>
          <cell r="AK304" t="str">
            <v>Youngstown, OH</v>
          </cell>
          <cell r="AL304" t="str">
            <v>Top 110</v>
          </cell>
          <cell r="AM304" t="str">
            <v/>
          </cell>
          <cell r="AN304" t="str">
            <v/>
          </cell>
          <cell r="AO304" t="str">
            <v/>
          </cell>
          <cell r="AP304" t="str">
            <v/>
          </cell>
          <cell r="AQ304" t="str">
            <v/>
          </cell>
          <cell r="AR304" t="str">
            <v/>
          </cell>
          <cell r="AS304" t="str">
            <v/>
          </cell>
          <cell r="AT304" t="str">
            <v/>
          </cell>
        </row>
        <row r="305">
          <cell r="AI305" t="str">
            <v>YUBA CITY, CA</v>
          </cell>
          <cell r="AJ305" t="str">
            <v>Yuba City, CA</v>
          </cell>
          <cell r="AK305" t="str">
            <v/>
          </cell>
          <cell r="AL305" t="str">
            <v/>
          </cell>
          <cell r="AM305" t="str">
            <v/>
          </cell>
          <cell r="AN305" t="str">
            <v/>
          </cell>
          <cell r="AO305" t="str">
            <v/>
          </cell>
          <cell r="AP305" t="str">
            <v/>
          </cell>
          <cell r="AQ305" t="str">
            <v/>
          </cell>
          <cell r="AR305" t="str">
            <v/>
          </cell>
          <cell r="AS305" t="str">
            <v/>
          </cell>
          <cell r="AT305" t="str">
            <v/>
          </cell>
        </row>
      </sheetData>
      <sheetData sheetId="1" refreshError="1"/>
      <sheetData sheetId="2" refreshError="1"/>
      <sheetData sheetId="3"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and census"/>
      <sheetName val="pivots"/>
      <sheetName val="lookups"/>
      <sheetName val="Top Cos w|opens"/>
    </sheetNames>
    <sheetDataSet>
      <sheetData sheetId="0" refreshError="1"/>
      <sheetData sheetId="1" refreshError="1"/>
      <sheetData sheetId="2" refreshError="1">
        <row r="14">
          <cell r="AX14">
            <v>516</v>
          </cell>
          <cell r="AY14">
            <v>57388</v>
          </cell>
          <cell r="AZ14">
            <v>589</v>
          </cell>
          <cell r="BA14">
            <v>59658</v>
          </cell>
          <cell r="BB14">
            <v>1046</v>
          </cell>
          <cell r="BC14">
            <v>124269</v>
          </cell>
          <cell r="BD14">
            <v>1070</v>
          </cell>
          <cell r="BE14">
            <v>167743</v>
          </cell>
          <cell r="BG14">
            <v>4439419</v>
          </cell>
        </row>
      </sheetData>
      <sheetData sheetId="3"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p 10 cos."/>
      <sheetName val="brand lookup"/>
      <sheetName val="census lookups"/>
      <sheetName val="lookups"/>
      <sheetName val="4q pivots"/>
      <sheetName val="top cos ExIV"/>
      <sheetName val="2A Mkt OpStats Rank"/>
      <sheetName val="2A Mkt Op Stats Compare"/>
      <sheetName val="2B census %"/>
      <sheetName val="2B pipeline %"/>
      <sheetName val="Brand Census ConI"/>
      <sheetName val="Anaheim Mkt Share ExII"/>
      <sheetName val="Atlanta Mkt Share ExII"/>
      <sheetName val="Boston Mkt Share ExII"/>
      <sheetName val="Chicago Mkt Share ExII"/>
      <sheetName val="Dallas Mkt Share ExII"/>
      <sheetName val="Denver Mkt Share ExII"/>
      <sheetName val="Detroit Mkt Share ExII"/>
      <sheetName val="Houston Mkt Share ExII"/>
      <sheetName val="Las Vegas Mkt Share ExII"/>
      <sheetName val="Los Angeles Mkt Share ExII"/>
      <sheetName val="Miami Mkt Share ExII"/>
      <sheetName val="Minneapolis Mkt Share ExII"/>
      <sheetName val="Nashville Mkt Share ExII"/>
      <sheetName val="New Orleans Mkt Share ExII"/>
      <sheetName val="New York Mkt Share ExII"/>
      <sheetName val="Oahu Mkt Share ExII"/>
      <sheetName val="Orlando Mkt Share ExII"/>
      <sheetName val="Philadelphia Mkt Share ExII"/>
      <sheetName val="Phoenix Mkt Share ExII"/>
      <sheetName val="Saint Louis Mkt Share ExII"/>
      <sheetName val="San Diego Mkt Share ExII"/>
      <sheetName val="San Francisco Mkt Share ExII"/>
      <sheetName val="Seattle Mkt Share ExII"/>
      <sheetName val="Tampa Mkt Share ExII"/>
      <sheetName val="Washington Mkt Share ExII"/>
      <sheetName val="Mkt Ranks ExV"/>
      <sheetName val="Mkt OpStats Rank ExVII"/>
      <sheetName val="Mkt Op Stats ExVII"/>
      <sheetName val="census"/>
    </sheetNames>
    <sheetDataSet>
      <sheetData sheetId="0" refreshError="1"/>
      <sheetData sheetId="1" refreshError="1"/>
      <sheetData sheetId="2" refreshError="1"/>
      <sheetData sheetId="3" refreshError="1"/>
      <sheetData sheetId="4" refreshError="1">
        <row r="48">
          <cell r="DW48">
            <v>1252</v>
          </cell>
          <cell r="DX48" t="str">
            <v>Ramada Inn</v>
          </cell>
          <cell r="DY48">
            <v>6</v>
          </cell>
          <cell r="DZ48">
            <v>5</v>
          </cell>
        </row>
        <row r="49">
          <cell r="DW49">
            <v>127578</v>
          </cell>
          <cell r="DX49" t="str">
            <v>Ramada Limited</v>
          </cell>
          <cell r="DY49">
            <v>6</v>
          </cell>
          <cell r="DZ49">
            <v>5</v>
          </cell>
        </row>
      </sheetData>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kts 2B (2)"/>
      <sheetName val="brand census"/>
      <sheetName val="CENSUS pivots"/>
      <sheetName val="Mkt Lookups"/>
      <sheetName val="Pipeline pivots"/>
      <sheetName val="old open pivots"/>
      <sheetName val="lookups"/>
      <sheetName val="2A lookups"/>
      <sheetName val="Mkts 2A"/>
      <sheetName val="Mkts 2B"/>
      <sheetName val="Mkts2C1"/>
      <sheetName val="Mkts 2C2"/>
      <sheetName val=" Mkt OpStats Rank 2D"/>
      <sheetName val="Mkt Op Stats Compare 2E"/>
      <sheetName val="STR Legend"/>
    </sheetNames>
    <sheetDataSet>
      <sheetData sheetId="0" refreshError="1"/>
      <sheetData sheetId="1" refreshError="1"/>
      <sheetData sheetId="2" refreshError="1"/>
      <sheetData sheetId="3" refreshError="1"/>
      <sheetData sheetId="4" refreshError="1"/>
      <sheetData sheetId="5" refreshError="1"/>
      <sheetData sheetId="6" refreshError="1">
        <row r="2">
          <cell r="B2">
            <v>40067</v>
          </cell>
        </row>
        <row r="3">
          <cell r="B3">
            <v>4110640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riott Ex III"/>
      <sheetName val="Courtyard Ex III (2)"/>
      <sheetName val="Fairfield Ex III (2)"/>
      <sheetName val="Marriott HRS Ex III (2)"/>
      <sheetName val="Renaissance Ex III (2)"/>
      <sheetName val="Residence Ex III (2)"/>
      <sheetName val="Ritz Ex III (2)"/>
      <sheetName val="Springhill Ex III (2)"/>
      <sheetName val="townplace Ex III (2)"/>
      <sheetName val="BY MSA ExIII (2)"/>
      <sheetName val="Courtyard Ex III"/>
      <sheetName val="Fairfield Ex III"/>
      <sheetName val="Marriott HRS Ex III"/>
      <sheetName val="Renaissance Ex III"/>
      <sheetName val="Residence Ex III"/>
      <sheetName val="Ritz Ex III"/>
      <sheetName val="Springhill Ex III"/>
      <sheetName val="townplace Ex III"/>
      <sheetName val="BY MSA ExIII"/>
      <sheetName val="lookups"/>
      <sheetName val="pivots"/>
      <sheetName val="census"/>
      <sheetName val="brand censu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row r="24">
          <cell r="AC24">
            <v>1734</v>
          </cell>
        </row>
        <row r="25">
          <cell r="AC25">
            <v>298610</v>
          </cell>
        </row>
        <row r="51">
          <cell r="AC51">
            <v>158</v>
          </cell>
          <cell r="AD51">
            <v>184</v>
          </cell>
          <cell r="AE51">
            <v>342</v>
          </cell>
        </row>
        <row r="52">
          <cell r="AC52">
            <v>27327</v>
          </cell>
          <cell r="AD52">
            <v>29133</v>
          </cell>
          <cell r="AE52">
            <v>56460</v>
          </cell>
        </row>
        <row r="61">
          <cell r="AD61">
            <v>222871</v>
          </cell>
        </row>
      </sheetData>
      <sheetData sheetId="21"/>
      <sheetData sheetId="22"/>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and lookup"/>
      <sheetName val="Sheet2"/>
      <sheetName val="PIVOTS"/>
      <sheetName val="CENSUS LOOKUP"/>
      <sheetName val="TRACT LOOKUP"/>
      <sheetName val="CHAIN LOOKUP"/>
      <sheetName val="rawdata"/>
      <sheetName val="Sheet3"/>
    </sheetNames>
    <sheetDataSet>
      <sheetData sheetId="0" refreshError="1"/>
      <sheetData sheetId="1" refreshError="1"/>
      <sheetData sheetId="2" refreshError="1">
        <row r="36">
          <cell r="EP36">
            <v>129283</v>
          </cell>
          <cell r="EQ36">
            <v>124286</v>
          </cell>
        </row>
      </sheetData>
      <sheetData sheetId="3" refreshError="1"/>
      <sheetData sheetId="4" refreshError="1"/>
      <sheetData sheetId="5" refreshError="1"/>
      <sheetData sheetId="6" refreshError="1"/>
      <sheetData sheetId="7"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brand census"/>
      <sheetName val="chain census"/>
      <sheetName val="brand lookup"/>
      <sheetName val="msa lookup"/>
      <sheetName val="mkt-state-company lookups"/>
      <sheetName val="str ind-le affil undeter"/>
      <sheetName val="brand pivots"/>
      <sheetName val="category pivots"/>
      <sheetName val="company pivots"/>
      <sheetName val="conversion pivots"/>
      <sheetName val="attrition "/>
      <sheetName val="Est Open pivots"/>
      <sheetName val="Mar Lookups"/>
      <sheetName val="Marriott pivots"/>
      <sheetName val="MKT pivots"/>
      <sheetName val="mkt census pivot"/>
      <sheetName val="MSA pivots"/>
      <sheetName val="old open pivots"/>
      <sheetName val="qtr pivots"/>
      <sheetName val="region pivots"/>
      <sheetName val="State Pivots"/>
      <sheetName val="summary pivots"/>
      <sheetName val="Chain Lookups"/>
    </sheetNames>
    <sheetDataSet>
      <sheetData sheetId="0" refreshError="1"/>
      <sheetData sheetId="1" refreshError="1"/>
      <sheetData sheetId="2" refreshError="1">
        <row r="15">
          <cell r="C15">
            <v>41114</v>
          </cell>
          <cell r="D15">
            <v>4169199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ass8-Build"/>
      <sheetName val="Class5-7 Build"/>
      <sheetName val="Class8-Retail"/>
      <sheetName val="Class5-7-Retail"/>
      <sheetName val="Macro1"/>
      <sheetName val="Graphs"/>
      <sheetName val="Macro2"/>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and MKT pipe pivots"/>
      <sheetName val="national pivots"/>
      <sheetName val="old open pivots"/>
      <sheetName val="brand lookup"/>
      <sheetName val="census pivots"/>
      <sheetName val="census"/>
      <sheetName val="brand census"/>
    </sheetNames>
    <sheetDataSet>
      <sheetData sheetId="0" refreshError="1"/>
      <sheetData sheetId="1" refreshError="1"/>
      <sheetData sheetId="2" refreshError="1"/>
      <sheetData sheetId="3" refreshError="1"/>
      <sheetData sheetId="4" refreshError="1"/>
      <sheetData sheetId="5" refreshError="1"/>
      <sheetData sheetId="6" refreshError="1">
        <row r="5">
          <cell r="A5" t="str">
            <v>ADAM'S MARK</v>
          </cell>
          <cell r="B5">
            <v>22</v>
          </cell>
          <cell r="C5">
            <v>12003</v>
          </cell>
        </row>
        <row r="6">
          <cell r="A6" t="str">
            <v>ADMIRAL BENBOW</v>
          </cell>
          <cell r="B6">
            <v>7</v>
          </cell>
          <cell r="C6">
            <v>751</v>
          </cell>
        </row>
        <row r="7">
          <cell r="A7" t="str">
            <v>AMERICINN</v>
          </cell>
          <cell r="B7">
            <v>161</v>
          </cell>
          <cell r="C7">
            <v>8243</v>
          </cell>
        </row>
        <row r="8">
          <cell r="A8" t="str">
            <v>AMERIHOST INN</v>
          </cell>
          <cell r="B8">
            <v>84</v>
          </cell>
          <cell r="C8">
            <v>5703</v>
          </cell>
          <cell r="D8" t="str">
            <v>CENDANT</v>
          </cell>
        </row>
        <row r="9">
          <cell r="A9" t="str">
            <v>AMERISUITES</v>
          </cell>
          <cell r="B9">
            <v>135</v>
          </cell>
          <cell r="C9">
            <v>17181</v>
          </cell>
          <cell r="D9" t="str">
            <v>PRIME</v>
          </cell>
        </row>
        <row r="10">
          <cell r="A10" t="str">
            <v>AMFAC</v>
          </cell>
          <cell r="B10">
            <v>27</v>
          </cell>
          <cell r="C10">
            <v>3728</v>
          </cell>
        </row>
        <row r="11">
          <cell r="A11" t="str">
            <v>ASTON</v>
          </cell>
          <cell r="B11">
            <v>38</v>
          </cell>
          <cell r="C11">
            <v>5730</v>
          </cell>
        </row>
        <row r="12">
          <cell r="A12" t="str">
            <v>BAYMONT INNS &amp; SUITES</v>
          </cell>
          <cell r="B12">
            <v>178</v>
          </cell>
          <cell r="C12">
            <v>17240</v>
          </cell>
        </row>
        <row r="13">
          <cell r="A13" t="str">
            <v>BEST HOTELS</v>
          </cell>
          <cell r="B13">
            <v>3</v>
          </cell>
          <cell r="C13">
            <v>311</v>
          </cell>
        </row>
        <row r="14">
          <cell r="A14" t="str">
            <v>BEST INN</v>
          </cell>
          <cell r="B14">
            <v>150</v>
          </cell>
          <cell r="C14">
            <v>11911</v>
          </cell>
          <cell r="D14" t="str">
            <v>USFS</v>
          </cell>
        </row>
        <row r="15">
          <cell r="A15" t="str">
            <v>BEST WESTERN</v>
          </cell>
          <cell r="B15">
            <v>2113</v>
          </cell>
          <cell r="C15">
            <v>187845</v>
          </cell>
        </row>
        <row r="16">
          <cell r="A16" t="str">
            <v>BRADFORD HOMESUITES</v>
          </cell>
          <cell r="B16">
            <v>9</v>
          </cell>
          <cell r="C16">
            <v>1223</v>
          </cell>
        </row>
        <row r="17">
          <cell r="A17" t="str">
            <v>BUDGET HOST INN</v>
          </cell>
          <cell r="B17">
            <v>173</v>
          </cell>
          <cell r="C17">
            <v>6821</v>
          </cell>
        </row>
        <row r="18">
          <cell r="A18" t="str">
            <v>CABOT LODGE</v>
          </cell>
          <cell r="B18">
            <v>6</v>
          </cell>
          <cell r="C18">
            <v>1076</v>
          </cell>
        </row>
        <row r="19">
          <cell r="A19" t="str">
            <v>CAESARS</v>
          </cell>
          <cell r="B19">
            <v>6</v>
          </cell>
          <cell r="C19">
            <v>1839</v>
          </cell>
        </row>
        <row r="20">
          <cell r="A20" t="str">
            <v>CAMINO REAL</v>
          </cell>
          <cell r="B20">
            <v>1</v>
          </cell>
          <cell r="C20">
            <v>375</v>
          </cell>
        </row>
        <row r="21">
          <cell r="A21" t="str">
            <v>CANDLEWOOD HOTEL</v>
          </cell>
          <cell r="B21">
            <v>94</v>
          </cell>
          <cell r="C21">
            <v>10996</v>
          </cell>
        </row>
        <row r="22">
          <cell r="A22" t="str">
            <v>CLARION</v>
          </cell>
          <cell r="B22">
            <v>116</v>
          </cell>
          <cell r="C22">
            <v>17868</v>
          </cell>
          <cell r="D22" t="str">
            <v>CHOICE</v>
          </cell>
        </row>
        <row r="23">
          <cell r="A23" t="str">
            <v>CLUB HOTEL BY DOUBLETREE</v>
          </cell>
          <cell r="B23">
            <v>24</v>
          </cell>
          <cell r="C23">
            <v>4837</v>
          </cell>
          <cell r="D23" t="str">
            <v>HILTON</v>
          </cell>
        </row>
        <row r="24">
          <cell r="A24" t="str">
            <v>CLUB MED</v>
          </cell>
          <cell r="B24">
            <v>2</v>
          </cell>
          <cell r="C24">
            <v>972</v>
          </cell>
        </row>
        <row r="25">
          <cell r="A25" t="str">
            <v>CLUBHOUSE INNS OF AMERIC</v>
          </cell>
          <cell r="B25">
            <v>9</v>
          </cell>
          <cell r="C25">
            <v>1364</v>
          </cell>
        </row>
        <row r="26">
          <cell r="A26" t="str">
            <v>COLONY</v>
          </cell>
          <cell r="B26">
            <v>13</v>
          </cell>
          <cell r="C26">
            <v>1245</v>
          </cell>
        </row>
        <row r="27">
          <cell r="A27" t="str">
            <v>COMFORT INN</v>
          </cell>
          <cell r="B27">
            <v>1317</v>
          </cell>
          <cell r="C27">
            <v>103409</v>
          </cell>
          <cell r="D27" t="str">
            <v>CHOICE</v>
          </cell>
        </row>
        <row r="28">
          <cell r="A28" t="str">
            <v>COMFORT SUITES</v>
          </cell>
          <cell r="B28">
            <v>301</v>
          </cell>
          <cell r="C28">
            <v>23873</v>
          </cell>
          <cell r="D28" t="str">
            <v>CHOICE</v>
          </cell>
        </row>
        <row r="29">
          <cell r="A29" t="str">
            <v>CONLEY INN</v>
          </cell>
          <cell r="B29">
            <v>5</v>
          </cell>
          <cell r="C29">
            <v>291</v>
          </cell>
        </row>
        <row r="30">
          <cell r="A30" t="str">
            <v>COUNTRY HEARTH INN</v>
          </cell>
          <cell r="B30">
            <v>58</v>
          </cell>
          <cell r="C30">
            <v>3562</v>
          </cell>
        </row>
        <row r="31">
          <cell r="A31" t="str">
            <v>COUNTRY INN &amp; SUITES</v>
          </cell>
          <cell r="B31">
            <v>240</v>
          </cell>
          <cell r="C31">
            <v>18377</v>
          </cell>
        </row>
        <row r="32">
          <cell r="A32" t="str">
            <v>COURTYARD BY MARRIOTT</v>
          </cell>
          <cell r="B32">
            <v>503</v>
          </cell>
          <cell r="C32">
            <v>69979</v>
          </cell>
          <cell r="D32" t="str">
            <v>MARRIOTT</v>
          </cell>
        </row>
        <row r="33">
          <cell r="A33" t="str">
            <v>CRICKET INN</v>
          </cell>
          <cell r="B33">
            <v>1</v>
          </cell>
          <cell r="C33">
            <v>126</v>
          </cell>
        </row>
        <row r="34">
          <cell r="A34" t="str">
            <v>CROSS COUNTRY INN</v>
          </cell>
          <cell r="B34">
            <v>25</v>
          </cell>
          <cell r="C34">
            <v>3009</v>
          </cell>
        </row>
        <row r="35">
          <cell r="A35" t="str">
            <v>CROSSLAND ECONOMY STUDIOS</v>
          </cell>
          <cell r="B35">
            <v>39</v>
          </cell>
          <cell r="C35">
            <v>5068</v>
          </cell>
          <cell r="D35" t="str">
            <v>ESA</v>
          </cell>
        </row>
        <row r="36">
          <cell r="A36" t="str">
            <v>CROWNE PLAZA</v>
          </cell>
          <cell r="B36">
            <v>77</v>
          </cell>
          <cell r="C36">
            <v>23725</v>
          </cell>
          <cell r="D36" t="str">
            <v>SIX CONTINENTS</v>
          </cell>
        </row>
        <row r="37">
          <cell r="A37" t="str">
            <v>DAYS INN</v>
          </cell>
          <cell r="B37">
            <v>1815</v>
          </cell>
          <cell r="C37">
            <v>154069</v>
          </cell>
          <cell r="D37" t="str">
            <v>CENDANT</v>
          </cell>
        </row>
        <row r="38">
          <cell r="A38" t="str">
            <v>DELTA HOTELS</v>
          </cell>
          <cell r="B38">
            <v>1</v>
          </cell>
          <cell r="C38">
            <v>760</v>
          </cell>
        </row>
        <row r="39">
          <cell r="A39" t="str">
            <v>DORAL</v>
          </cell>
          <cell r="B39">
            <v>6</v>
          </cell>
          <cell r="C39">
            <v>1778</v>
          </cell>
        </row>
        <row r="40">
          <cell r="A40" t="str">
            <v>DOUBLETREE GUEST SUITES</v>
          </cell>
          <cell r="B40">
            <v>35</v>
          </cell>
          <cell r="C40">
            <v>7588</v>
          </cell>
          <cell r="D40" t="str">
            <v>HILTON</v>
          </cell>
        </row>
        <row r="41">
          <cell r="A41" t="str">
            <v>DOUBLETREE HOTEL</v>
          </cell>
          <cell r="B41">
            <v>95</v>
          </cell>
          <cell r="C41">
            <v>28879</v>
          </cell>
          <cell r="D41" t="str">
            <v>HILTON</v>
          </cell>
        </row>
        <row r="42">
          <cell r="A42" t="str">
            <v>DOWNTOWNER MOTOR INN</v>
          </cell>
          <cell r="B42">
            <v>3</v>
          </cell>
          <cell r="C42">
            <v>236</v>
          </cell>
        </row>
        <row r="43">
          <cell r="A43" t="str">
            <v>DRURY INN</v>
          </cell>
          <cell r="B43">
            <v>73</v>
          </cell>
          <cell r="C43">
            <v>9428</v>
          </cell>
        </row>
        <row r="44">
          <cell r="A44" t="str">
            <v>E-Z 8</v>
          </cell>
          <cell r="B44">
            <v>26</v>
          </cell>
          <cell r="C44">
            <v>2653</v>
          </cell>
        </row>
        <row r="45">
          <cell r="A45" t="str">
            <v>ECONO LODGE</v>
          </cell>
          <cell r="B45">
            <v>706</v>
          </cell>
          <cell r="C45">
            <v>44299</v>
          </cell>
          <cell r="D45" t="str">
            <v>CHOICE</v>
          </cell>
        </row>
        <row r="46">
          <cell r="A46" t="str">
            <v>EMBASSY SUITES</v>
          </cell>
          <cell r="B46">
            <v>166</v>
          </cell>
          <cell r="C46">
            <v>40480</v>
          </cell>
          <cell r="D46" t="str">
            <v>HILTON</v>
          </cell>
        </row>
        <row r="47">
          <cell r="A47" t="str">
            <v>EMBASSY VACATION RESORTS</v>
          </cell>
          <cell r="B47">
            <v>4</v>
          </cell>
          <cell r="C47">
            <v>1124</v>
          </cell>
        </row>
        <row r="48">
          <cell r="A48" t="str">
            <v>ENVOY INN</v>
          </cell>
          <cell r="B48">
            <v>1</v>
          </cell>
          <cell r="C48">
            <v>82</v>
          </cell>
        </row>
        <row r="49">
          <cell r="A49" t="str">
            <v>EXEL INN</v>
          </cell>
          <cell r="B49">
            <v>26</v>
          </cell>
          <cell r="C49">
            <v>2917</v>
          </cell>
        </row>
        <row r="50">
          <cell r="A50" t="str">
            <v>EXTENDED STAY AMERICA</v>
          </cell>
          <cell r="B50">
            <v>277</v>
          </cell>
          <cell r="C50">
            <v>30947</v>
          </cell>
          <cell r="D50" t="str">
            <v>ESA</v>
          </cell>
        </row>
        <row r="51">
          <cell r="A51" t="str">
            <v>FAIRFIELD INN</v>
          </cell>
          <cell r="B51">
            <v>473</v>
          </cell>
          <cell r="C51">
            <v>45337</v>
          </cell>
          <cell r="D51" t="str">
            <v>MARRIOTT</v>
          </cell>
        </row>
        <row r="52">
          <cell r="A52" t="str">
            <v>FAIRMONT HOTEL</v>
          </cell>
          <cell r="B52">
            <v>10</v>
          </cell>
          <cell r="C52">
            <v>5576</v>
          </cell>
        </row>
        <row r="53">
          <cell r="A53" t="str">
            <v>FAMILY INNS OF AMERICA</v>
          </cell>
          <cell r="B53">
            <v>24</v>
          </cell>
          <cell r="C53">
            <v>2102</v>
          </cell>
        </row>
        <row r="54">
          <cell r="A54" t="str">
            <v>FOUR POINTS HOTEL</v>
          </cell>
          <cell r="B54">
            <v>108</v>
          </cell>
          <cell r="C54">
            <v>21093</v>
          </cell>
          <cell r="D54" t="str">
            <v>STARWOOD</v>
          </cell>
        </row>
        <row r="55">
          <cell r="A55" t="str">
            <v>FOUR SEASONS</v>
          </cell>
          <cell r="B55">
            <v>23</v>
          </cell>
          <cell r="C55">
            <v>7208</v>
          </cell>
          <cell r="D55" t="str">
            <v>FOUR SEASONS</v>
          </cell>
        </row>
        <row r="56">
          <cell r="A56" t="str">
            <v>FRIENDSHIP INN</v>
          </cell>
          <cell r="B56">
            <v>7</v>
          </cell>
          <cell r="C56">
            <v>210</v>
          </cell>
          <cell r="D56" t="str">
            <v>CHOICE</v>
          </cell>
        </row>
        <row r="57">
          <cell r="A57" t="str">
            <v>GARDEN PLAZA</v>
          </cell>
          <cell r="B57">
            <v>4</v>
          </cell>
          <cell r="C57">
            <v>691</v>
          </cell>
        </row>
        <row r="58">
          <cell r="A58" t="str">
            <v>GOLDEN TULIP</v>
          </cell>
          <cell r="B58">
            <v>3</v>
          </cell>
          <cell r="C58">
            <v>270</v>
          </cell>
        </row>
        <row r="59">
          <cell r="A59" t="str">
            <v>GOOD NITE INN</v>
          </cell>
          <cell r="B59">
            <v>13</v>
          </cell>
          <cell r="C59">
            <v>1614</v>
          </cell>
        </row>
        <row r="60">
          <cell r="A60" t="str">
            <v>GREAT WESTERN</v>
          </cell>
          <cell r="B60">
            <v>6</v>
          </cell>
          <cell r="C60">
            <v>267</v>
          </cell>
        </row>
        <row r="61">
          <cell r="A61" t="str">
            <v>GUESTHOUSE INNS</v>
          </cell>
          <cell r="B61">
            <v>58</v>
          </cell>
          <cell r="C61">
            <v>4293</v>
          </cell>
        </row>
        <row r="62">
          <cell r="A62" t="str">
            <v>HA' PENNY</v>
          </cell>
          <cell r="B62">
            <v>5</v>
          </cell>
          <cell r="C62">
            <v>454</v>
          </cell>
        </row>
        <row r="63">
          <cell r="A63" t="str">
            <v>HAMPTON INN</v>
          </cell>
          <cell r="B63">
            <v>1020</v>
          </cell>
          <cell r="C63">
            <v>102635</v>
          </cell>
          <cell r="D63" t="str">
            <v>HILTON</v>
          </cell>
        </row>
        <row r="64">
          <cell r="A64" t="str">
            <v>HAMPTON INN &amp; SUITES</v>
          </cell>
          <cell r="B64">
            <v>103</v>
          </cell>
          <cell r="C64">
            <v>12213</v>
          </cell>
          <cell r="D64" t="str">
            <v>HILTON</v>
          </cell>
        </row>
        <row r="65">
          <cell r="A65" t="str">
            <v>HARLEY HOTEL</v>
          </cell>
          <cell r="B65">
            <v>2</v>
          </cell>
          <cell r="C65">
            <v>300</v>
          </cell>
        </row>
        <row r="66">
          <cell r="A66" t="str">
            <v>HARRAH'S</v>
          </cell>
          <cell r="B66">
            <v>9</v>
          </cell>
          <cell r="C66">
            <v>6032</v>
          </cell>
        </row>
        <row r="67">
          <cell r="A67" t="str">
            <v>HARVEY HOTEL</v>
          </cell>
          <cell r="B67">
            <v>6</v>
          </cell>
          <cell r="C67">
            <v>2253</v>
          </cell>
        </row>
        <row r="68">
          <cell r="A68" t="str">
            <v>HAWTHORN SUITES</v>
          </cell>
          <cell r="B68">
            <v>115</v>
          </cell>
          <cell r="C68">
            <v>11793</v>
          </cell>
          <cell r="D68" t="str">
            <v>USFS</v>
          </cell>
        </row>
        <row r="69">
          <cell r="A69" t="str">
            <v>HAWTHORN SUITES LTD.</v>
          </cell>
          <cell r="B69">
            <v>41</v>
          </cell>
          <cell r="C69">
            <v>2995</v>
          </cell>
          <cell r="D69" t="str">
            <v>USFS</v>
          </cell>
        </row>
        <row r="70">
          <cell r="A70" t="str">
            <v>HEARTLAND</v>
          </cell>
          <cell r="B70">
            <v>19</v>
          </cell>
          <cell r="C70">
            <v>1624</v>
          </cell>
        </row>
        <row r="71">
          <cell r="A71" t="str">
            <v>HELMSLEY HOTEL</v>
          </cell>
          <cell r="B71">
            <v>6</v>
          </cell>
          <cell r="C71">
            <v>2203</v>
          </cell>
        </row>
        <row r="72">
          <cell r="A72" t="str">
            <v>HILTON GAMING</v>
          </cell>
          <cell r="B72">
            <v>9</v>
          </cell>
          <cell r="C72">
            <v>15803</v>
          </cell>
        </row>
        <row r="73">
          <cell r="A73" t="str">
            <v>HILTON GARDEN INN</v>
          </cell>
          <cell r="B73">
            <v>111</v>
          </cell>
          <cell r="C73">
            <v>15468</v>
          </cell>
          <cell r="D73" t="str">
            <v>HILTON</v>
          </cell>
        </row>
        <row r="74">
          <cell r="A74" t="str">
            <v>HILTON HOTEL</v>
          </cell>
          <cell r="B74">
            <v>227</v>
          </cell>
          <cell r="C74">
            <v>94640</v>
          </cell>
          <cell r="D74" t="str">
            <v>HILTON</v>
          </cell>
        </row>
        <row r="75">
          <cell r="A75" t="str">
            <v>HILTON INN</v>
          </cell>
          <cell r="B75">
            <v>161</v>
          </cell>
          <cell r="C75">
            <v>42495</v>
          </cell>
        </row>
        <row r="76">
          <cell r="A76" t="str">
            <v>HOLIDAY INN</v>
          </cell>
          <cell r="B76">
            <v>968</v>
          </cell>
          <cell r="C76">
            <v>182601</v>
          </cell>
          <cell r="D76" t="str">
            <v>SIX CONTINENTS</v>
          </cell>
        </row>
        <row r="77">
          <cell r="A77" t="str">
            <v>HOLIDAY INN EXPRESS</v>
          </cell>
          <cell r="B77">
            <v>1113</v>
          </cell>
          <cell r="C77">
            <v>87196</v>
          </cell>
          <cell r="D77" t="str">
            <v>SIX CONTINENTS</v>
          </cell>
        </row>
        <row r="78">
          <cell r="A78" t="str">
            <v>HOLIDAY INN SELECT</v>
          </cell>
          <cell r="B78">
            <v>75</v>
          </cell>
          <cell r="C78">
            <v>19547</v>
          </cell>
          <cell r="D78" t="str">
            <v>SIX CONTINENTS</v>
          </cell>
        </row>
        <row r="79">
          <cell r="A79" t="str">
            <v>HOMEGATE</v>
          </cell>
          <cell r="B79">
            <v>8</v>
          </cell>
          <cell r="C79">
            <v>1044</v>
          </cell>
        </row>
        <row r="80">
          <cell r="A80" t="str">
            <v>HOMESTEAD</v>
          </cell>
          <cell r="B80">
            <v>135</v>
          </cell>
          <cell r="C80">
            <v>17988</v>
          </cell>
        </row>
        <row r="81">
          <cell r="A81" t="str">
            <v>HOMETOWN INN</v>
          </cell>
          <cell r="B81">
            <v>5</v>
          </cell>
          <cell r="C81">
            <v>393</v>
          </cell>
        </row>
        <row r="82">
          <cell r="A82" t="str">
            <v>HOMEWOOD SUITES BY HILTON</v>
          </cell>
          <cell r="B82">
            <v>104</v>
          </cell>
          <cell r="C82">
            <v>11673</v>
          </cell>
          <cell r="D82" t="str">
            <v>HILTON</v>
          </cell>
        </row>
        <row r="83">
          <cell r="A83" t="str">
            <v>HOTEL NOVOTEL</v>
          </cell>
          <cell r="B83">
            <v>3</v>
          </cell>
          <cell r="C83">
            <v>873</v>
          </cell>
        </row>
        <row r="84">
          <cell r="A84" t="str">
            <v>HOTEL SOFITEL</v>
          </cell>
          <cell r="B84">
            <v>9</v>
          </cell>
          <cell r="C84">
            <v>2777</v>
          </cell>
        </row>
        <row r="85">
          <cell r="A85" t="str">
            <v>HOWARD JOHNSON EXPRESS INN</v>
          </cell>
          <cell r="B85">
            <v>182</v>
          </cell>
          <cell r="C85">
            <v>12343</v>
          </cell>
          <cell r="D85" t="str">
            <v>CENDANT</v>
          </cell>
        </row>
        <row r="86">
          <cell r="A86" t="str">
            <v>HOWARD JOHNSON HOTEL</v>
          </cell>
          <cell r="B86">
            <v>244</v>
          </cell>
          <cell r="C86">
            <v>29374</v>
          </cell>
          <cell r="D86" t="str">
            <v>CENDANT</v>
          </cell>
        </row>
        <row r="87">
          <cell r="A87" t="str">
            <v>HYATT</v>
          </cell>
          <cell r="B87">
            <v>116</v>
          </cell>
          <cell r="C87">
            <v>56290</v>
          </cell>
        </row>
        <row r="88">
          <cell r="A88" t="str">
            <v>IMPERIAL INNS</v>
          </cell>
          <cell r="B88">
            <v>4</v>
          </cell>
          <cell r="C88">
            <v>124</v>
          </cell>
        </row>
        <row r="89">
          <cell r="A89" t="str">
            <v>INN TOWN SUITES</v>
          </cell>
          <cell r="B89">
            <v>21</v>
          </cell>
          <cell r="C89">
            <v>2780</v>
          </cell>
        </row>
        <row r="90">
          <cell r="A90" t="str">
            <v>INNCAL</v>
          </cell>
          <cell r="B90">
            <v>2</v>
          </cell>
          <cell r="C90">
            <v>195</v>
          </cell>
        </row>
        <row r="91">
          <cell r="A91" t="str">
            <v>INNKEEPER</v>
          </cell>
          <cell r="B91">
            <v>20</v>
          </cell>
          <cell r="C91">
            <v>1692</v>
          </cell>
        </row>
        <row r="92">
          <cell r="A92" t="str">
            <v>INNS OF AMERICA</v>
          </cell>
          <cell r="B92">
            <v>9</v>
          </cell>
          <cell r="C92">
            <v>1083</v>
          </cell>
        </row>
        <row r="93">
          <cell r="A93" t="str">
            <v>INNSUITES HOTELS</v>
          </cell>
          <cell r="B93">
            <v>12</v>
          </cell>
          <cell r="C93">
            <v>1949</v>
          </cell>
        </row>
        <row r="94">
          <cell r="A94" t="str">
            <v>INTER-CONTINENTAL</v>
          </cell>
          <cell r="B94">
            <v>12</v>
          </cell>
          <cell r="C94">
            <v>4811</v>
          </cell>
          <cell r="D94" t="str">
            <v>SIX CONTINENTS</v>
          </cell>
        </row>
        <row r="95">
          <cell r="A95" t="str">
            <v>INTERSTATE INN</v>
          </cell>
          <cell r="B95">
            <v>11</v>
          </cell>
          <cell r="C95">
            <v>554</v>
          </cell>
        </row>
        <row r="96">
          <cell r="A96" t="str">
            <v>JAMESON INN</v>
          </cell>
          <cell r="B96">
            <v>108</v>
          </cell>
          <cell r="C96">
            <v>5382</v>
          </cell>
        </row>
        <row r="97">
          <cell r="A97" t="str">
            <v>JOLLY HOTELS</v>
          </cell>
          <cell r="B97">
            <v>1</v>
          </cell>
          <cell r="C97">
            <v>216</v>
          </cell>
        </row>
        <row r="98">
          <cell r="A98" t="str">
            <v>KEY WEST INN</v>
          </cell>
          <cell r="B98">
            <v>17</v>
          </cell>
          <cell r="C98">
            <v>845</v>
          </cell>
        </row>
        <row r="99">
          <cell r="A99" t="str">
            <v>KEY WEST INNS &amp; SUITES</v>
          </cell>
          <cell r="B99">
            <v>2</v>
          </cell>
          <cell r="C99">
            <v>171</v>
          </cell>
        </row>
        <row r="100">
          <cell r="A100" t="str">
            <v>KINGS INN</v>
          </cell>
          <cell r="B100">
            <v>3</v>
          </cell>
          <cell r="C100">
            <v>248</v>
          </cell>
        </row>
        <row r="101">
          <cell r="A101" t="str">
            <v>KNIGHTS INN</v>
          </cell>
          <cell r="B101">
            <v>234</v>
          </cell>
          <cell r="C101">
            <v>18800</v>
          </cell>
          <cell r="D101" t="str">
            <v>CENDANT</v>
          </cell>
        </row>
        <row r="102">
          <cell r="A102" t="str">
            <v>LA QUINTA</v>
          </cell>
          <cell r="B102">
            <v>300</v>
          </cell>
          <cell r="C102">
            <v>38839</v>
          </cell>
        </row>
        <row r="103">
          <cell r="A103" t="str">
            <v>LE MERIDIEN</v>
          </cell>
          <cell r="B103">
            <v>5</v>
          </cell>
          <cell r="C103">
            <v>2217</v>
          </cell>
        </row>
        <row r="104">
          <cell r="A104" t="str">
            <v>LEE'S INN OF AMERICA</v>
          </cell>
          <cell r="B104">
            <v>19</v>
          </cell>
          <cell r="C104">
            <v>1495</v>
          </cell>
        </row>
        <row r="105">
          <cell r="A105" t="str">
            <v>LEXINGTON HOTEL SUITES</v>
          </cell>
          <cell r="B105">
            <v>7</v>
          </cell>
          <cell r="C105">
            <v>1073</v>
          </cell>
        </row>
        <row r="106">
          <cell r="A106" t="str">
            <v>LITTLE AMERICA</v>
          </cell>
          <cell r="B106">
            <v>5</v>
          </cell>
          <cell r="C106">
            <v>2053</v>
          </cell>
        </row>
        <row r="107">
          <cell r="A107" t="str">
            <v>LOEWS</v>
          </cell>
          <cell r="B107">
            <v>14</v>
          </cell>
          <cell r="C107">
            <v>5971</v>
          </cell>
        </row>
        <row r="108">
          <cell r="A108" t="str">
            <v>LUXURY COLLECTION</v>
          </cell>
          <cell r="B108">
            <v>14</v>
          </cell>
          <cell r="C108">
            <v>4731</v>
          </cell>
        </row>
        <row r="109">
          <cell r="A109" t="str">
            <v>MAINSTAY SUITES</v>
          </cell>
          <cell r="B109">
            <v>39</v>
          </cell>
          <cell r="C109">
            <v>3411</v>
          </cell>
          <cell r="D109" t="str">
            <v>CHOICE</v>
          </cell>
        </row>
        <row r="110">
          <cell r="A110" t="str">
            <v>MARC</v>
          </cell>
          <cell r="B110">
            <v>17</v>
          </cell>
          <cell r="C110">
            <v>2430</v>
          </cell>
        </row>
        <row r="111">
          <cell r="A111" t="str">
            <v>MARRIOTT HOTEL</v>
          </cell>
          <cell r="B111">
            <v>281</v>
          </cell>
          <cell r="C111">
            <v>115140</v>
          </cell>
          <cell r="D111" t="str">
            <v>MARRIOTT</v>
          </cell>
        </row>
        <row r="112">
          <cell r="A112" t="str">
            <v>MARRIOTT CONFERENCE CENT</v>
          </cell>
          <cell r="B112">
            <v>14</v>
          </cell>
          <cell r="C112">
            <v>3339</v>
          </cell>
        </row>
        <row r="113">
          <cell r="A113" t="str">
            <v>MARRIOTT INTERNATIONAL</v>
          </cell>
          <cell r="B113">
            <v>3</v>
          </cell>
          <cell r="C113">
            <v>1461</v>
          </cell>
        </row>
        <row r="114">
          <cell r="A114" t="str">
            <v>MASTER HOSTS INN</v>
          </cell>
          <cell r="B114">
            <v>2</v>
          </cell>
          <cell r="C114">
            <v>468</v>
          </cell>
        </row>
        <row r="115">
          <cell r="A115" t="str">
            <v>MASTERS INN</v>
          </cell>
          <cell r="B115">
            <v>30</v>
          </cell>
          <cell r="C115">
            <v>3588</v>
          </cell>
        </row>
        <row r="116">
          <cell r="A116" t="str">
            <v>MCINTOSH MOTOR INN</v>
          </cell>
          <cell r="B116">
            <v>14</v>
          </cell>
          <cell r="C116">
            <v>1572</v>
          </cell>
        </row>
        <row r="117">
          <cell r="A117" t="str">
            <v>MICROTEL INN</v>
          </cell>
          <cell r="B117">
            <v>240</v>
          </cell>
          <cell r="C117">
            <v>17407</v>
          </cell>
          <cell r="D117" t="str">
            <v>USFS</v>
          </cell>
        </row>
        <row r="118">
          <cell r="A118" t="str">
            <v>MILLENNIUM HOTELS</v>
          </cell>
          <cell r="B118">
            <v>1</v>
          </cell>
          <cell r="C118">
            <v>752</v>
          </cell>
        </row>
        <row r="119">
          <cell r="A119" t="str">
            <v>MOTEL 6</v>
          </cell>
          <cell r="B119">
            <v>803</v>
          </cell>
          <cell r="C119">
            <v>85048</v>
          </cell>
        </row>
        <row r="120">
          <cell r="A120" t="str">
            <v>MOTEL ORLEANS</v>
          </cell>
          <cell r="B120">
            <v>5</v>
          </cell>
          <cell r="C120">
            <v>354</v>
          </cell>
        </row>
        <row r="121">
          <cell r="A121" t="str">
            <v>NATIONAL 9</v>
          </cell>
          <cell r="B121">
            <v>52</v>
          </cell>
          <cell r="C121">
            <v>1964</v>
          </cell>
        </row>
        <row r="122">
          <cell r="A122" t="str">
            <v>NENDELS</v>
          </cell>
          <cell r="B122">
            <v>11</v>
          </cell>
          <cell r="C122">
            <v>706</v>
          </cell>
        </row>
        <row r="123">
          <cell r="A123" t="str">
            <v>NEW OTANI HOTELS, THE</v>
          </cell>
          <cell r="B123">
            <v>2</v>
          </cell>
          <cell r="C123">
            <v>559</v>
          </cell>
        </row>
        <row r="124">
          <cell r="A124" t="str">
            <v>NIKKO</v>
          </cell>
          <cell r="B124">
            <v>1</v>
          </cell>
          <cell r="C124">
            <v>532</v>
          </cell>
        </row>
        <row r="125">
          <cell r="A125" t="str">
            <v>OHANA HOTELS</v>
          </cell>
          <cell r="B125">
            <v>13</v>
          </cell>
          <cell r="C125">
            <v>4194</v>
          </cell>
        </row>
        <row r="126">
          <cell r="A126" t="str">
            <v>OMNI</v>
          </cell>
          <cell r="B126">
            <v>34</v>
          </cell>
          <cell r="C126">
            <v>11826</v>
          </cell>
        </row>
        <row r="127">
          <cell r="A127" t="str">
            <v>OUTRIGGER</v>
          </cell>
          <cell r="B127">
            <v>11</v>
          </cell>
          <cell r="C127">
            <v>3791</v>
          </cell>
        </row>
        <row r="128">
          <cell r="A128" t="str">
            <v>PAN PACIFIC HOTELS AND R</v>
          </cell>
          <cell r="B128">
            <v>2</v>
          </cell>
          <cell r="C128">
            <v>680</v>
          </cell>
        </row>
        <row r="129">
          <cell r="A129" t="str">
            <v>PARK INN</v>
          </cell>
          <cell r="B129">
            <v>24</v>
          </cell>
          <cell r="C129">
            <v>2284</v>
          </cell>
        </row>
        <row r="130">
          <cell r="A130" t="str">
            <v>PARK INN SUITE HOTEL</v>
          </cell>
          <cell r="B130">
            <v>1</v>
          </cell>
          <cell r="C130">
            <v>163</v>
          </cell>
        </row>
        <row r="131">
          <cell r="A131" t="str">
            <v>PARK PLAZA</v>
          </cell>
          <cell r="B131">
            <v>4</v>
          </cell>
          <cell r="C131">
            <v>896</v>
          </cell>
        </row>
        <row r="132">
          <cell r="A132" t="str">
            <v>PASSPORT INN</v>
          </cell>
          <cell r="B132">
            <v>9</v>
          </cell>
          <cell r="C132">
            <v>394</v>
          </cell>
        </row>
        <row r="133">
          <cell r="A133" t="str">
            <v>PEAR TREE INN</v>
          </cell>
          <cell r="B133">
            <v>10</v>
          </cell>
          <cell r="C133">
            <v>980</v>
          </cell>
        </row>
        <row r="134">
          <cell r="A134" t="str">
            <v>PREFERRED</v>
          </cell>
          <cell r="B134">
            <v>67</v>
          </cell>
          <cell r="C134">
            <v>14063</v>
          </cell>
        </row>
        <row r="135">
          <cell r="A135" t="str">
            <v>QUALITY INN</v>
          </cell>
          <cell r="B135">
            <v>411</v>
          </cell>
          <cell r="C135">
            <v>46768</v>
          </cell>
          <cell r="D135" t="str">
            <v>CHOICE</v>
          </cell>
        </row>
        <row r="136">
          <cell r="A136" t="str">
            <v>QUALITY SUITES</v>
          </cell>
          <cell r="B136">
            <v>41</v>
          </cell>
          <cell r="C136">
            <v>4492</v>
          </cell>
          <cell r="D136" t="str">
            <v>CHOICE</v>
          </cell>
        </row>
        <row r="137">
          <cell r="A137" t="str">
            <v>RADISSON</v>
          </cell>
          <cell r="B137">
            <v>242</v>
          </cell>
          <cell r="C137">
            <v>58705</v>
          </cell>
        </row>
        <row r="138">
          <cell r="A138" t="str">
            <v>RAMADA INN</v>
          </cell>
          <cell r="B138">
            <v>632</v>
          </cell>
          <cell r="C138">
            <v>95809</v>
          </cell>
          <cell r="D138" t="str">
            <v>CENDANT</v>
          </cell>
        </row>
        <row r="139">
          <cell r="A139" t="str">
            <v>RAMADA LIMITED</v>
          </cell>
          <cell r="B139">
            <v>378</v>
          </cell>
          <cell r="C139">
            <v>27863</v>
          </cell>
          <cell r="D139" t="str">
            <v>CENDANT</v>
          </cell>
        </row>
        <row r="140">
          <cell r="A140" t="str">
            <v>RAPHAEL HOTEL</v>
          </cell>
          <cell r="B140">
            <v>2</v>
          </cell>
          <cell r="C140">
            <v>295</v>
          </cell>
        </row>
        <row r="141">
          <cell r="A141" t="str">
            <v>RED CARPET INN</v>
          </cell>
          <cell r="B141">
            <v>94</v>
          </cell>
          <cell r="C141">
            <v>6289</v>
          </cell>
        </row>
        <row r="142">
          <cell r="A142" t="str">
            <v>RED LION</v>
          </cell>
          <cell r="B142">
            <v>41</v>
          </cell>
          <cell r="C142">
            <v>6334</v>
          </cell>
          <cell r="D142" t="str">
            <v>HILTON</v>
          </cell>
        </row>
        <row r="143">
          <cell r="A143" t="str">
            <v>RED ROOF INN</v>
          </cell>
          <cell r="B143">
            <v>357</v>
          </cell>
          <cell r="C143">
            <v>39677</v>
          </cell>
        </row>
        <row r="144">
          <cell r="A144" t="str">
            <v>REGAL</v>
          </cell>
          <cell r="B144">
            <v>12</v>
          </cell>
          <cell r="C144">
            <v>4852</v>
          </cell>
        </row>
        <row r="145">
          <cell r="A145" t="str">
            <v>RELAX INN</v>
          </cell>
          <cell r="B145">
            <v>2</v>
          </cell>
          <cell r="C145">
            <v>129</v>
          </cell>
        </row>
        <row r="146">
          <cell r="A146" t="str">
            <v>RENAISSANCE HOTEL</v>
          </cell>
          <cell r="B146">
            <v>53</v>
          </cell>
          <cell r="C146">
            <v>20933</v>
          </cell>
          <cell r="D146" t="str">
            <v>MARRIOTT</v>
          </cell>
        </row>
        <row r="147">
          <cell r="A147" t="str">
            <v>RESIDENCE INN</v>
          </cell>
          <cell r="B147">
            <v>372</v>
          </cell>
          <cell r="C147">
            <v>43118</v>
          </cell>
          <cell r="D147" t="str">
            <v>MARRIOTT</v>
          </cell>
        </row>
        <row r="148">
          <cell r="A148" t="str">
            <v>RITZ-CARLTON</v>
          </cell>
          <cell r="B148">
            <v>24</v>
          </cell>
          <cell r="C148">
            <v>8542</v>
          </cell>
          <cell r="D148" t="str">
            <v>MARRIOTT</v>
          </cell>
        </row>
        <row r="149">
          <cell r="A149" t="str">
            <v>ROADSTAR INN</v>
          </cell>
          <cell r="B149">
            <v>7</v>
          </cell>
          <cell r="C149">
            <v>576</v>
          </cell>
        </row>
        <row r="150">
          <cell r="A150" t="str">
            <v>RODEWAY INN</v>
          </cell>
          <cell r="B150">
            <v>150</v>
          </cell>
          <cell r="C150">
            <v>9892</v>
          </cell>
          <cell r="D150" t="str">
            <v>CHOICE</v>
          </cell>
        </row>
        <row r="151">
          <cell r="A151" t="str">
            <v>ROMANTIK HOTEL</v>
          </cell>
          <cell r="B151">
            <v>3</v>
          </cell>
          <cell r="C151">
            <v>77</v>
          </cell>
        </row>
        <row r="152">
          <cell r="A152" t="str">
            <v>SCOTTISH INN</v>
          </cell>
          <cell r="B152">
            <v>122</v>
          </cell>
          <cell r="C152">
            <v>5924</v>
          </cell>
        </row>
        <row r="153">
          <cell r="A153" t="str">
            <v>SELECT INN</v>
          </cell>
          <cell r="B153">
            <v>18</v>
          </cell>
          <cell r="C153">
            <v>1627</v>
          </cell>
        </row>
        <row r="154">
          <cell r="A154" t="str">
            <v>SELECT SUITES</v>
          </cell>
          <cell r="B154">
            <v>5</v>
          </cell>
          <cell r="C154">
            <v>746</v>
          </cell>
        </row>
        <row r="155">
          <cell r="A155" t="str">
            <v>SHERATON HOTEL</v>
          </cell>
          <cell r="B155">
            <v>187</v>
          </cell>
          <cell r="C155">
            <v>67786</v>
          </cell>
          <cell r="D155" t="str">
            <v>STARWOOD</v>
          </cell>
        </row>
        <row r="156">
          <cell r="A156" t="str">
            <v>SHERATON INN</v>
          </cell>
          <cell r="B156">
            <v>7</v>
          </cell>
          <cell r="C156">
            <v>1417</v>
          </cell>
          <cell r="D156" t="str">
            <v>STARWOOD</v>
          </cell>
        </row>
        <row r="157">
          <cell r="A157" t="str">
            <v>SHILO INN</v>
          </cell>
          <cell r="B157">
            <v>46</v>
          </cell>
          <cell r="C157">
            <v>5129</v>
          </cell>
        </row>
        <row r="158">
          <cell r="A158" t="str">
            <v>SHONEY'S INN</v>
          </cell>
          <cell r="B158">
            <v>74</v>
          </cell>
          <cell r="C158">
            <v>6958</v>
          </cell>
        </row>
        <row r="159">
          <cell r="A159" t="str">
            <v>SIERRA SUITES</v>
          </cell>
          <cell r="B159">
            <v>17</v>
          </cell>
          <cell r="C159">
            <v>1864</v>
          </cell>
        </row>
        <row r="160">
          <cell r="A160" t="str">
            <v>SIGNATURE INN</v>
          </cell>
          <cell r="B160">
            <v>26</v>
          </cell>
          <cell r="C160">
            <v>3051</v>
          </cell>
        </row>
        <row r="161">
          <cell r="A161" t="str">
            <v>SLEEP INN</v>
          </cell>
          <cell r="B161">
            <v>280</v>
          </cell>
          <cell r="C161">
            <v>21607</v>
          </cell>
          <cell r="D161" t="str">
            <v>CHOICE</v>
          </cell>
        </row>
        <row r="162">
          <cell r="A162" t="str">
            <v>SONESTA HOTEL</v>
          </cell>
          <cell r="B162">
            <v>4</v>
          </cell>
          <cell r="C162">
            <v>1452</v>
          </cell>
        </row>
        <row r="163">
          <cell r="A163" t="str">
            <v>SPRINGHILL SUITES</v>
          </cell>
          <cell r="B163">
            <v>81</v>
          </cell>
          <cell r="C163">
            <v>9065</v>
          </cell>
          <cell r="D163" t="str">
            <v>MARRIOTT</v>
          </cell>
        </row>
        <row r="164">
          <cell r="A164" t="str">
            <v>ST. REGIS</v>
          </cell>
          <cell r="B164">
            <v>15</v>
          </cell>
          <cell r="C164">
            <v>5137</v>
          </cell>
          <cell r="D164" t="str">
            <v>STARWOOD</v>
          </cell>
        </row>
        <row r="165">
          <cell r="A165" t="str">
            <v>STARHOTELS</v>
          </cell>
          <cell r="B165">
            <v>1</v>
          </cell>
          <cell r="C165">
            <v>178</v>
          </cell>
        </row>
        <row r="166">
          <cell r="A166" t="str">
            <v>STAYBRIDGE SUITES</v>
          </cell>
          <cell r="B166">
            <v>36</v>
          </cell>
          <cell r="C166">
            <v>4116</v>
          </cell>
          <cell r="D166" t="str">
            <v>SIX CONTINENTS</v>
          </cell>
        </row>
        <row r="167">
          <cell r="A167" t="str">
            <v>STUDIO 6</v>
          </cell>
          <cell r="B167">
            <v>11</v>
          </cell>
          <cell r="C167">
            <v>1253</v>
          </cell>
        </row>
        <row r="168">
          <cell r="A168" t="str">
            <v>STUDIOPLUS HOTEL</v>
          </cell>
          <cell r="B168">
            <v>95</v>
          </cell>
          <cell r="C168">
            <v>7624</v>
          </cell>
          <cell r="D168" t="str">
            <v>ESA</v>
          </cell>
        </row>
        <row r="169">
          <cell r="A169" t="str">
            <v>SUBURBAN LODGE</v>
          </cell>
          <cell r="B169">
            <v>122</v>
          </cell>
          <cell r="C169">
            <v>16340</v>
          </cell>
        </row>
        <row r="170">
          <cell r="A170" t="str">
            <v>SUMMERFIELD SUITES BY WYNDHAM</v>
          </cell>
          <cell r="B170">
            <v>38</v>
          </cell>
          <cell r="C170">
            <v>5101</v>
          </cell>
          <cell r="D170" t="str">
            <v>WYNDHAM</v>
          </cell>
        </row>
        <row r="171">
          <cell r="A171" t="str">
            <v>SUMNER/AMERISUITE</v>
          </cell>
          <cell r="B171">
            <v>27</v>
          </cell>
          <cell r="C171">
            <v>3297</v>
          </cell>
        </row>
        <row r="172">
          <cell r="A172" t="str">
            <v>SUNSPREE RESORTS</v>
          </cell>
          <cell r="B172">
            <v>19</v>
          </cell>
          <cell r="C172">
            <v>4242</v>
          </cell>
          <cell r="D172" t="str">
            <v>SIX CONTINENTS</v>
          </cell>
        </row>
        <row r="173">
          <cell r="A173" t="str">
            <v>SUPER 8</v>
          </cell>
          <cell r="B173">
            <v>1944</v>
          </cell>
          <cell r="C173">
            <v>117792</v>
          </cell>
          <cell r="D173" t="str">
            <v>CENDANT</v>
          </cell>
        </row>
        <row r="174">
          <cell r="A174" t="str">
            <v>SUSSE CHALET</v>
          </cell>
          <cell r="B174">
            <v>30</v>
          </cell>
          <cell r="C174">
            <v>3425</v>
          </cell>
        </row>
        <row r="175">
          <cell r="A175" t="str">
            <v>SWISSOTEL</v>
          </cell>
          <cell r="B175">
            <v>5</v>
          </cell>
          <cell r="C175">
            <v>2238</v>
          </cell>
        </row>
        <row r="176">
          <cell r="A176" t="str">
            <v>THRIFTLODGE</v>
          </cell>
          <cell r="B176">
            <v>15</v>
          </cell>
          <cell r="C176">
            <v>753</v>
          </cell>
          <cell r="D176" t="str">
            <v>CENDANT</v>
          </cell>
        </row>
        <row r="177">
          <cell r="A177" t="str">
            <v>THRIFTY INN</v>
          </cell>
          <cell r="B177">
            <v>2</v>
          </cell>
          <cell r="C177">
            <v>134</v>
          </cell>
        </row>
        <row r="178">
          <cell r="A178" t="str">
            <v>TOWNEPLACE SUITES</v>
          </cell>
          <cell r="B178">
            <v>95</v>
          </cell>
          <cell r="C178">
            <v>9707</v>
          </cell>
          <cell r="D178" t="str">
            <v>MARRIOTT</v>
          </cell>
        </row>
        <row r="179">
          <cell r="A179" t="str">
            <v>TRAVEL INN</v>
          </cell>
          <cell r="B179">
            <v>1</v>
          </cell>
          <cell r="C179">
            <v>28</v>
          </cell>
        </row>
        <row r="180">
          <cell r="A180" t="str">
            <v>TRAVELERS INN</v>
          </cell>
          <cell r="B180">
            <v>14</v>
          </cell>
          <cell r="C180">
            <v>1295</v>
          </cell>
        </row>
        <row r="181">
          <cell r="A181" t="str">
            <v>TRAVELODGE</v>
          </cell>
          <cell r="B181">
            <v>481</v>
          </cell>
          <cell r="C181">
            <v>37691</v>
          </cell>
          <cell r="D181" t="str">
            <v>CENDANT</v>
          </cell>
        </row>
        <row r="182">
          <cell r="A182" t="str">
            <v>USA INN</v>
          </cell>
          <cell r="B182">
            <v>1</v>
          </cell>
          <cell r="C182">
            <v>63</v>
          </cell>
        </row>
        <row r="183">
          <cell r="A183" t="str">
            <v>VAGABOND INN</v>
          </cell>
          <cell r="B183">
            <v>36</v>
          </cell>
          <cell r="C183">
            <v>3055</v>
          </cell>
        </row>
        <row r="184">
          <cell r="A184" t="str">
            <v>VILLAGER LODGE</v>
          </cell>
          <cell r="B184">
            <v>127</v>
          </cell>
          <cell r="C184">
            <v>11633</v>
          </cell>
          <cell r="D184" t="str">
            <v>CENDANT</v>
          </cell>
        </row>
        <row r="185">
          <cell r="A185" t="str">
            <v>W HOTEL</v>
          </cell>
          <cell r="B185">
            <v>13</v>
          </cell>
          <cell r="C185">
            <v>3817</v>
          </cell>
          <cell r="D185" t="str">
            <v>STARWOOD</v>
          </cell>
        </row>
        <row r="186">
          <cell r="A186" t="str">
            <v>WANDLYN INN</v>
          </cell>
          <cell r="B186">
            <v>2</v>
          </cell>
          <cell r="C186">
            <v>167</v>
          </cell>
        </row>
        <row r="187">
          <cell r="A187" t="str">
            <v>WELLESLEY INN</v>
          </cell>
          <cell r="B187">
            <v>81</v>
          </cell>
          <cell r="C187">
            <v>9306</v>
          </cell>
          <cell r="D187" t="str">
            <v>PRIME</v>
          </cell>
        </row>
        <row r="188">
          <cell r="A188" t="str">
            <v>WELLESLEY INN &amp; SUITES</v>
          </cell>
          <cell r="B188">
            <v>39</v>
          </cell>
          <cell r="C188">
            <v>4776</v>
          </cell>
        </row>
        <row r="189">
          <cell r="A189" t="str">
            <v>WESTCOAST</v>
          </cell>
          <cell r="B189">
            <v>24</v>
          </cell>
          <cell r="C189">
            <v>5256</v>
          </cell>
        </row>
        <row r="190">
          <cell r="A190" t="str">
            <v>Westin  Hotel</v>
          </cell>
          <cell r="B190">
            <v>57</v>
          </cell>
          <cell r="C190">
            <v>27930</v>
          </cell>
          <cell r="D190" t="str">
            <v>STARWOOD</v>
          </cell>
        </row>
        <row r="191">
          <cell r="A191" t="str">
            <v>WESTMARK</v>
          </cell>
          <cell r="B191">
            <v>10</v>
          </cell>
          <cell r="C191">
            <v>1450</v>
          </cell>
        </row>
        <row r="192">
          <cell r="A192" t="str">
            <v>WILSON</v>
          </cell>
          <cell r="B192">
            <v>8</v>
          </cell>
          <cell r="C192">
            <v>1255</v>
          </cell>
        </row>
        <row r="193">
          <cell r="A193" t="str">
            <v>WINGATE INN</v>
          </cell>
          <cell r="B193">
            <v>107</v>
          </cell>
          <cell r="C193">
            <v>10010</v>
          </cell>
          <cell r="D193" t="str">
            <v>CENDANT</v>
          </cell>
        </row>
        <row r="194">
          <cell r="A194" t="str">
            <v>WOODFIELD SUITES</v>
          </cell>
          <cell r="B194">
            <v>7</v>
          </cell>
          <cell r="C194">
            <v>889</v>
          </cell>
        </row>
        <row r="195">
          <cell r="A195" t="str">
            <v>WOODFIN SUITES</v>
          </cell>
          <cell r="B195">
            <v>8</v>
          </cell>
          <cell r="C195">
            <v>1096</v>
          </cell>
        </row>
        <row r="196">
          <cell r="A196" t="str">
            <v>WYNDHAM GARDEN</v>
          </cell>
          <cell r="B196">
            <v>31</v>
          </cell>
          <cell r="C196">
            <v>5184</v>
          </cell>
          <cell r="D196" t="str">
            <v>WYNDHAM</v>
          </cell>
        </row>
        <row r="197">
          <cell r="A197" t="str">
            <v>WYNDHAM HISTORIC HOTEL</v>
          </cell>
          <cell r="B197">
            <v>11</v>
          </cell>
          <cell r="C197">
            <v>5121</v>
          </cell>
          <cell r="D197" t="str">
            <v>WYNDHAM</v>
          </cell>
        </row>
        <row r="198">
          <cell r="A198" t="str">
            <v>WYNDHAM HOTEL</v>
          </cell>
          <cell r="B198">
            <v>78</v>
          </cell>
          <cell r="C198">
            <v>24275</v>
          </cell>
          <cell r="D198" t="str">
            <v>WYNDHAM</v>
          </cell>
        </row>
        <row r="199">
          <cell r="A199" t="str">
            <v>WYNDHAM LUXURY</v>
          </cell>
          <cell r="B199">
            <v>3</v>
          </cell>
          <cell r="C199">
            <v>354</v>
          </cell>
          <cell r="D199" t="str">
            <v>WYNDHAM</v>
          </cell>
        </row>
        <row r="200">
          <cell r="A200" t="str">
            <v>WYNFIELD INN</v>
          </cell>
          <cell r="B200">
            <v>3</v>
          </cell>
          <cell r="C200">
            <v>578</v>
          </cell>
        </row>
      </sheetData>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VS-Q (old) (2)"/>
      <sheetName val="CVS Q"/>
      <sheetName val="Publish"/>
      <sheetName val="Seventh Continent Backpage"/>
      <sheetName val="Income Statement"/>
    </sheetNames>
    <sheetDataSet>
      <sheetData sheetId="0" refreshError="1"/>
      <sheetData sheetId="1" refreshError="1"/>
      <sheetData sheetId="2" refreshError="1"/>
      <sheetData sheetId="3" refreshError="1"/>
      <sheetData sheetId="4"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notes"/>
      <sheetName val="q201 v q101%"/>
      <sheetName val="Chain Summ"/>
      <sheetName val="By Brand"/>
      <sheetName val="By Region"/>
      <sheetName val="Region|Chain"/>
      <sheetName val="By MSA"/>
      <sheetName val="By MSA sort"/>
      <sheetName val="Est Opens"/>
      <sheetName val="Bar Charts"/>
      <sheetName val="Bar Charts3Q98+"/>
    </sheetNames>
    <sheetDataSet>
      <sheetData sheetId="0" refreshError="1">
        <row r="29">
          <cell r="A29" t="str">
            <v>2Q 2001</v>
          </cell>
          <cell r="B29" t="str">
            <v>1Q 2001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sheetName val="RECON"/>
      <sheetName val="SWING"/>
      <sheetName val="disclosure"/>
      <sheetName val="Module1"/>
      <sheetName val="ratio"/>
      <sheetName val="OPERPL"/>
      <sheetName val="Structure"/>
      <sheetName val="ass"/>
      <sheetName val="cover"/>
      <sheetName val="cover (3)"/>
      <sheetName val="roinew"/>
      <sheetName val="roirep"/>
      <sheetName val="roienl"/>
      <sheetName val="roisuper"/>
      <sheetName val="roiConv"/>
      <sheetName val="roiminor"/>
      <sheetName val="cover (2)"/>
      <sheetName val="ass (2)"/>
      <sheetName val="INC00"/>
      <sheetName val="BALAN00"/>
      <sheetName val="Debt00"/>
      <sheetName val="CashF00"/>
      <sheetName val="CASHFDET00"/>
      <sheetName val="Int00"/>
      <sheetName val="LCASH00"/>
      <sheetName val="PPd_Exp00"/>
      <sheetName val="AR00"/>
      <sheetName val="OTHASS00"/>
      <sheetName val="ONonCL00"/>
      <sheetName val="ACCRU00"/>
      <sheetName val="Tax00"/>
      <sheetName val="Ldebtest_00"/>
      <sheetName val="CAP00"/>
      <sheetName val="Payables00"/>
      <sheetName val="INV00"/>
      <sheetName val="INVDET00"/>
      <sheetName val="STRINV00"/>
      <sheetName val="assumptions"/>
      <sheetName val="assumptions (2)"/>
      <sheetName val="Equip Leases"/>
      <sheetName val="Store Leases"/>
      <sheetName val="Int_suppo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Valuation"/>
      <sheetName val="Capitalization"/>
      <sheetName val="NAV"/>
      <sheetName val="Income Statement"/>
      <sheetName val="Owned and Leased Hotels"/>
      <sheetName val="Managed and Franchised Hotels"/>
      <sheetName val="Debt Projections"/>
      <sheetName val="Cash Flows"/>
      <sheetName val="hy sheet"/>
      <sheetName val="Balance Sheet"/>
      <sheetName val="Stats"/>
      <sheetName val="Comments"/>
      <sheetName val="Income Statement-old "/>
      <sheetName val="Property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MGM Model"/>
      <sheetName val="JV Work sheet"/>
      <sheetName val="Val with JV Scenarios"/>
      <sheetName val="2Q07"/>
      <sheetName val="1Q07"/>
      <sheetName val="MBG Property Model"/>
      <sheetName val="Kerkorian Scenario -----&gt;"/>
      <sheetName val="KK Scenario 2008 Sum of Parts"/>
      <sheetName val="KK Scenario MGM Model"/>
      <sheetName val="KK Scenario MBG Property Model"/>
      <sheetName val="KK Scenario Val. Macau, CC "/>
      <sheetName val="EV-EBITDA Multipes"/>
      <sheetName val="Share Returns"/>
      <sheetName val="Risk-Reward Analysis"/>
      <sheetName val="__FDSCACHE__"/>
      <sheetName val="ROIC"/>
      <sheetName val="Legacy"/>
      <sheetName val="CityCenter"/>
      <sheetName val="MGM Macau"/>
      <sheetName val="NYRA"/>
      <sheetName val="1Q05"/>
      <sheetName val="Transaction Multiple"/>
      <sheetName val="Valuation"/>
      <sheetName val="Valuation EVEBITDA"/>
      <sheetName val="PF ROIC"/>
      <sheetName val="MGG Standalone ROIC"/>
      <sheetName val="DCF Model"/>
      <sheetName val="Valuation By Prop"/>
      <sheetName val="FCF"/>
      <sheetName val="D&amp;A"/>
      <sheetName val="Bellagio Spa Tower"/>
      <sheetName val="RevPAR Data"/>
      <sheetName val="Land Bank"/>
      <sheetName val="Signature Pricing"/>
      <sheetName val="Props 05"/>
      <sheetName val="Old ---&gt;"/>
      <sheetName val="2008 Sum of Parts"/>
      <sheetName val="Valuation, Macau, City Center "/>
      <sheetName val="3Q06"/>
      <sheetName val="2Q06"/>
      <sheetName val="1Q06"/>
      <sheetName val="4Q06"/>
      <sheetName val="4Q05"/>
      <sheetName val="3Q05"/>
      <sheetName val="2Q05 "/>
      <sheetName val="Capital Projects"/>
      <sheetName val="EBITDA Returns 2002"/>
      <sheetName val="Props"/>
      <sheetName val="mgg buying mir2-00"/>
      <sheetName val="mgg buying mir9-99"/>
      <sheetName val="NYNY"/>
      <sheetName val="MGGPRMA"/>
      <sheetName val="New Valuation 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row r="21">
          <cell r="A21" t="str">
            <v>New York New York</v>
          </cell>
        </row>
        <row r="22">
          <cell r="E22" t="str">
            <v>1Q97A</v>
          </cell>
          <cell r="F22" t="str">
            <v>2Q97A</v>
          </cell>
          <cell r="G22" t="str">
            <v>3Q97A</v>
          </cell>
          <cell r="H22" t="str">
            <v>4Q97</v>
          </cell>
          <cell r="I22">
            <v>1997</v>
          </cell>
          <cell r="J22" t="str">
            <v>1Q98A</v>
          </cell>
          <cell r="K22" t="str">
            <v>2Q98A</v>
          </cell>
          <cell r="L22" t="str">
            <v>3Q98A</v>
          </cell>
          <cell r="M22" t="str">
            <v>4Q98E</v>
          </cell>
          <cell r="N22" t="str">
            <v>1998E</v>
          </cell>
          <cell r="O22" t="str">
            <v>1Q99E</v>
          </cell>
          <cell r="P22" t="str">
            <v>2Q99E</v>
          </cell>
          <cell r="Q22" t="str">
            <v>3Q99E</v>
          </cell>
          <cell r="R22" t="str">
            <v>4Q99E</v>
          </cell>
          <cell r="S22" t="str">
            <v>1999E</v>
          </cell>
          <cell r="T22" t="str">
            <v>2000E</v>
          </cell>
        </row>
        <row r="23">
          <cell r="A23" t="str">
            <v>Revenues</v>
          </cell>
          <cell r="E23">
            <v>67.900000000000006</v>
          </cell>
          <cell r="F23">
            <v>67.3</v>
          </cell>
          <cell r="G23">
            <v>61.7</v>
          </cell>
          <cell r="H23">
            <v>58.6</v>
          </cell>
          <cell r="I23">
            <v>256.20265237500001</v>
          </cell>
          <cell r="J23">
            <v>54</v>
          </cell>
          <cell r="K23">
            <v>54.7</v>
          </cell>
          <cell r="L23">
            <v>55.9</v>
          </cell>
          <cell r="M23">
            <v>53.6</v>
          </cell>
          <cell r="N23">
            <v>218.2</v>
          </cell>
          <cell r="O23">
            <v>51.3</v>
          </cell>
          <cell r="P23">
            <v>54.7</v>
          </cell>
          <cell r="Q23">
            <v>52.475000000000001</v>
          </cell>
          <cell r="R23">
            <v>55.208000000000006</v>
          </cell>
          <cell r="S23">
            <v>213.68299999999999</v>
          </cell>
          <cell r="T23">
            <v>208.340925</v>
          </cell>
        </row>
        <row r="24">
          <cell r="A24" t="str">
            <v>EBITDA</v>
          </cell>
          <cell r="E24">
            <v>35.700000000000003</v>
          </cell>
          <cell r="F24">
            <v>35.5</v>
          </cell>
          <cell r="G24">
            <v>31.2</v>
          </cell>
          <cell r="H24">
            <v>28.2</v>
          </cell>
          <cell r="I24">
            <v>130.6</v>
          </cell>
          <cell r="J24">
            <v>26</v>
          </cell>
          <cell r="K24">
            <v>25.1</v>
          </cell>
          <cell r="L24">
            <v>25.5</v>
          </cell>
          <cell r="M24">
            <v>23.6</v>
          </cell>
          <cell r="N24">
            <v>100.19999999999999</v>
          </cell>
          <cell r="O24">
            <v>23.400000000000002</v>
          </cell>
          <cell r="P24">
            <v>23.844999999999999</v>
          </cell>
          <cell r="Q24">
            <v>23.652000000000001</v>
          </cell>
          <cell r="R24">
            <v>24.843600000000002</v>
          </cell>
          <cell r="S24">
            <v>95.740600000000001</v>
          </cell>
          <cell r="T24">
            <v>93.347084999999993</v>
          </cell>
        </row>
        <row r="25">
          <cell r="A25" t="str">
            <v>EBITDA Margin</v>
          </cell>
          <cell r="E25">
            <v>0.52577319587628868</v>
          </cell>
          <cell r="F25">
            <v>0.52748885586924221</v>
          </cell>
          <cell r="G25">
            <v>0.5056726094003241</v>
          </cell>
          <cell r="H25">
            <v>0.48122866894197952</v>
          </cell>
          <cell r="I25">
            <v>0.50975272421786921</v>
          </cell>
          <cell r="J25">
            <v>0.48148148148148145</v>
          </cell>
          <cell r="K25">
            <v>0.45886654478976235</v>
          </cell>
          <cell r="L25">
            <v>0.45617173524150267</v>
          </cell>
          <cell r="M25">
            <v>0.44029850746268656</v>
          </cell>
          <cell r="N25">
            <v>0.459211732355637</v>
          </cell>
          <cell r="O25">
            <v>0.45614035087719307</v>
          </cell>
          <cell r="P25">
            <v>0.43592321755027419</v>
          </cell>
          <cell r="Q25">
            <v>0.45072891853263458</v>
          </cell>
          <cell r="R25">
            <v>0.45</v>
          </cell>
          <cell r="S25">
            <v>0.44804968106962184</v>
          </cell>
          <cell r="T25">
            <v>0.44804968106962179</v>
          </cell>
        </row>
        <row r="26">
          <cell r="A26" t="str">
            <v>Depreciation</v>
          </cell>
          <cell r="E26">
            <v>6.4380000000000024</v>
          </cell>
          <cell r="F26">
            <v>6.0526315789473681</v>
          </cell>
          <cell r="G26">
            <v>5.3539999999999992</v>
          </cell>
          <cell r="H26">
            <v>5.3019999999999996</v>
          </cell>
          <cell r="I26">
            <v>23.146631578947371</v>
          </cell>
          <cell r="J26">
            <v>5.5940000000000012</v>
          </cell>
          <cell r="K26">
            <v>6.1680000000000028</v>
          </cell>
          <cell r="L26">
            <v>5.7560000000000002</v>
          </cell>
          <cell r="M26">
            <v>5.9280000000000008</v>
          </cell>
          <cell r="N26">
            <v>23.446000000000005</v>
          </cell>
          <cell r="O26">
            <v>5.75</v>
          </cell>
          <cell r="P26">
            <v>5.75</v>
          </cell>
          <cell r="Q26">
            <v>5.75</v>
          </cell>
          <cell r="R26">
            <v>5.75</v>
          </cell>
          <cell r="S26">
            <v>23</v>
          </cell>
          <cell r="T26">
            <v>23</v>
          </cell>
        </row>
        <row r="27">
          <cell r="A27" t="str">
            <v>Operating Income</v>
          </cell>
          <cell r="E27">
            <v>29.262</v>
          </cell>
          <cell r="F27">
            <v>29.44736842105263</v>
          </cell>
          <cell r="G27">
            <v>25.846</v>
          </cell>
          <cell r="H27">
            <v>22.898</v>
          </cell>
          <cell r="I27">
            <v>107.45336842105263</v>
          </cell>
          <cell r="J27">
            <v>20.405999999999999</v>
          </cell>
          <cell r="K27">
            <v>18.931999999999999</v>
          </cell>
          <cell r="L27">
            <v>19.744</v>
          </cell>
          <cell r="M27">
            <v>17.672000000000001</v>
          </cell>
          <cell r="N27">
            <v>76.753999999999991</v>
          </cell>
          <cell r="O27">
            <v>17.650000000000002</v>
          </cell>
          <cell r="P27">
            <v>18.094999999999999</v>
          </cell>
          <cell r="Q27">
            <v>17.902000000000001</v>
          </cell>
          <cell r="R27">
            <v>19.093600000000002</v>
          </cell>
          <cell r="S27">
            <v>72.740600000000001</v>
          </cell>
          <cell r="T27">
            <v>70.347084999999993</v>
          </cell>
        </row>
        <row r="28">
          <cell r="A28" t="str">
            <v>Operating  Margin</v>
          </cell>
          <cell r="E28">
            <v>0.43095729013254785</v>
          </cell>
          <cell r="F28">
            <v>0.43755376554312975</v>
          </cell>
          <cell r="G28">
            <v>0.41889789303079417</v>
          </cell>
          <cell r="H28">
            <v>0.39075085324232078</v>
          </cell>
          <cell r="I28">
            <v>0.419407712703047</v>
          </cell>
          <cell r="J28">
            <v>0.37788888888888889</v>
          </cell>
          <cell r="K28">
            <v>0.34610603290676412</v>
          </cell>
          <cell r="L28">
            <v>0.3532021466905188</v>
          </cell>
          <cell r="M28">
            <v>0.32970149253731346</v>
          </cell>
          <cell r="N28">
            <v>0.35175985334555449</v>
          </cell>
          <cell r="O28">
            <v>0.34405458089668622</v>
          </cell>
          <cell r="P28">
            <v>0.33080438756855574</v>
          </cell>
          <cell r="Q28">
            <v>0.34115292996665081</v>
          </cell>
          <cell r="R28">
            <v>0.34584842776409219</v>
          </cell>
          <cell r="S28">
            <v>0.34041360332829473</v>
          </cell>
          <cell r="T28">
            <v>0.33765370389902988</v>
          </cell>
        </row>
        <row r="30">
          <cell r="A30" t="str">
            <v>Interest Expense</v>
          </cell>
          <cell r="E30">
            <v>4.93</v>
          </cell>
          <cell r="F30">
            <v>5.0860000000000003</v>
          </cell>
          <cell r="G30">
            <v>5.0220000000000002</v>
          </cell>
          <cell r="H30">
            <v>4.7439999999999998</v>
          </cell>
          <cell r="I30">
            <v>19.782</v>
          </cell>
          <cell r="J30">
            <v>4.3419999999999996</v>
          </cell>
          <cell r="K30">
            <v>4.37</v>
          </cell>
          <cell r="L30">
            <v>4.234</v>
          </cell>
          <cell r="M30">
            <v>4.2</v>
          </cell>
          <cell r="N30">
            <v>17.146000000000001</v>
          </cell>
          <cell r="O30">
            <v>4.1007812499999998</v>
          </cell>
          <cell r="P30">
            <v>4.0418750000000001</v>
          </cell>
          <cell r="Q30">
            <v>3.8062499999999999</v>
          </cell>
          <cell r="R30">
            <v>3.6630624999999997</v>
          </cell>
          <cell r="S30">
            <v>15.611968749999999</v>
          </cell>
          <cell r="T30">
            <v>13.169624999999998</v>
          </cell>
        </row>
        <row r="31">
          <cell r="A31" t="str">
            <v>Pretax Income</v>
          </cell>
          <cell r="E31">
            <v>24.332000000000001</v>
          </cell>
          <cell r="F31">
            <v>24.361368421052632</v>
          </cell>
          <cell r="G31">
            <v>20.823999999999998</v>
          </cell>
          <cell r="H31">
            <v>18.154</v>
          </cell>
          <cell r="I31">
            <v>87.671368421052634</v>
          </cell>
          <cell r="J31">
            <v>16.064</v>
          </cell>
          <cell r="K31">
            <v>14.561999999999998</v>
          </cell>
          <cell r="L31">
            <v>15.51</v>
          </cell>
          <cell r="M31">
            <v>13.472000000000001</v>
          </cell>
          <cell r="N31">
            <v>59.60799999999999</v>
          </cell>
          <cell r="O31">
            <v>13.549218750000001</v>
          </cell>
          <cell r="P31">
            <v>14.053124999999998</v>
          </cell>
          <cell r="Q31">
            <v>14.095750000000001</v>
          </cell>
          <cell r="R31">
            <v>15.430537500000003</v>
          </cell>
          <cell r="S31">
            <v>57.128631249999998</v>
          </cell>
          <cell r="T31">
            <v>57.177459999999996</v>
          </cell>
        </row>
        <row r="32">
          <cell r="A32" t="str">
            <v>Taxes</v>
          </cell>
          <cell r="E32">
            <v>8.7108559999999997</v>
          </cell>
          <cell r="F32">
            <v>8.526478947368421</v>
          </cell>
          <cell r="G32">
            <v>7.4966399999999993</v>
          </cell>
          <cell r="H32">
            <v>5.7185100000000002</v>
          </cell>
          <cell r="I32">
            <v>31.561692631578946</v>
          </cell>
          <cell r="J32">
            <v>5.6866560000000002</v>
          </cell>
          <cell r="K32">
            <v>5.1403859999999986</v>
          </cell>
          <cell r="L32">
            <v>5.9093099999999996</v>
          </cell>
          <cell r="M32">
            <v>4.84992</v>
          </cell>
          <cell r="N32">
            <v>21.586271999999997</v>
          </cell>
          <cell r="O32">
            <v>4.8777187500000005</v>
          </cell>
          <cell r="P32">
            <v>5.059124999999999</v>
          </cell>
          <cell r="Q32">
            <v>5.0744699999999998</v>
          </cell>
          <cell r="R32">
            <v>5.554993500000001</v>
          </cell>
          <cell r="S32">
            <v>20.566307250000001</v>
          </cell>
          <cell r="T32">
            <v>20.583885599999999</v>
          </cell>
        </row>
        <row r="33">
          <cell r="A33" t="str">
            <v>Net Income</v>
          </cell>
          <cell r="E33">
            <v>15.621144000000001</v>
          </cell>
          <cell r="F33">
            <v>15.834889473684211</v>
          </cell>
          <cell r="G33">
            <v>13.327359999999999</v>
          </cell>
          <cell r="H33">
            <v>12.43549</v>
          </cell>
          <cell r="I33">
            <v>56.109675789473684</v>
          </cell>
          <cell r="J33">
            <v>10.377344000000001</v>
          </cell>
          <cell r="K33">
            <v>9.4216139999999982</v>
          </cell>
          <cell r="L33">
            <v>9.6006900000000002</v>
          </cell>
          <cell r="M33">
            <v>8.6220800000000004</v>
          </cell>
          <cell r="N33">
            <v>38.021727999999996</v>
          </cell>
          <cell r="O33">
            <v>8.6715000000000018</v>
          </cell>
          <cell r="P33">
            <v>8.9939999999999998</v>
          </cell>
          <cell r="Q33">
            <v>9.0212800000000009</v>
          </cell>
          <cell r="R33">
            <v>9.8755440000000014</v>
          </cell>
          <cell r="S33">
            <v>36.562324000000004</v>
          </cell>
          <cell r="T33">
            <v>36.593574399999994</v>
          </cell>
        </row>
        <row r="35">
          <cell r="A35" t="str">
            <v>MGG EPS</v>
          </cell>
          <cell r="E35">
            <v>0.13238257627118644</v>
          </cell>
          <cell r="F35">
            <v>0.13419397859054416</v>
          </cell>
          <cell r="G35">
            <v>0.11294372881355931</v>
          </cell>
          <cell r="H35">
            <v>0.10538550847457627</v>
          </cell>
          <cell r="I35">
            <v>0.48490579214986618</v>
          </cell>
          <cell r="J35">
            <v>8.7943593220338984E-2</v>
          </cell>
          <cell r="K35">
            <v>7.984418644067795E-2</v>
          </cell>
          <cell r="L35">
            <v>8.7278999999999995E-2</v>
          </cell>
          <cell r="M35">
            <v>8.1340377358490576E-2</v>
          </cell>
          <cell r="N35">
            <v>0.33640715701950752</v>
          </cell>
          <cell r="O35">
            <v>8.1806603773584924E-2</v>
          </cell>
          <cell r="P35">
            <v>8.4849056603773579E-2</v>
          </cell>
          <cell r="Q35">
            <v>8.5106415094339624E-2</v>
          </cell>
          <cell r="R35">
            <v>9.3165509433962276E-2</v>
          </cell>
          <cell r="S35">
            <v>0.34492758490566044</v>
          </cell>
          <cell r="T35">
            <v>0.34522239999999993</v>
          </cell>
        </row>
        <row r="36">
          <cell r="A36" t="str">
            <v>MGG EBITDA</v>
          </cell>
          <cell r="E36">
            <v>17.850000000000001</v>
          </cell>
          <cell r="F36">
            <v>17.75</v>
          </cell>
          <cell r="G36">
            <v>15.6</v>
          </cell>
          <cell r="H36">
            <v>14.1</v>
          </cell>
          <cell r="I36">
            <v>65.3</v>
          </cell>
          <cell r="J36">
            <v>13</v>
          </cell>
          <cell r="K36">
            <v>12.55</v>
          </cell>
          <cell r="L36">
            <v>12.75</v>
          </cell>
          <cell r="M36">
            <v>11.8</v>
          </cell>
          <cell r="N36">
            <v>50.099999999999994</v>
          </cell>
          <cell r="O36">
            <v>11.700000000000001</v>
          </cell>
          <cell r="P36">
            <v>11.922499999999999</v>
          </cell>
          <cell r="Q36">
            <v>11.826000000000001</v>
          </cell>
          <cell r="R36">
            <v>12.421800000000001</v>
          </cell>
          <cell r="S36">
            <v>47.8703</v>
          </cell>
          <cell r="T36">
            <v>46.673542499999996</v>
          </cell>
        </row>
        <row r="37">
          <cell r="A37" t="str">
            <v>PRMA EPS</v>
          </cell>
          <cell r="E37">
            <v>0.25948744186046513</v>
          </cell>
          <cell r="F37">
            <v>0.26748124110953059</v>
          </cell>
          <cell r="G37">
            <v>0.22954270341744662</v>
          </cell>
          <cell r="H37">
            <v>0.21486436519455387</v>
          </cell>
          <cell r="I37">
            <v>0.97137575158199629</v>
          </cell>
          <cell r="J37">
            <v>0.17935884406650768</v>
          </cell>
          <cell r="K37">
            <v>0.16356968749999998</v>
          </cell>
          <cell r="L37">
            <v>0.16618240670220868</v>
          </cell>
          <cell r="M37">
            <v>0.1496888888888889</v>
          </cell>
          <cell r="N37">
            <v>0.66009944444444435</v>
          </cell>
          <cell r="O37">
            <v>0.15054687500000002</v>
          </cell>
          <cell r="P37">
            <v>0.15614583333333332</v>
          </cell>
          <cell r="Q37">
            <v>0.15661944444444445</v>
          </cell>
          <cell r="R37">
            <v>0.17145041666666669</v>
          </cell>
          <cell r="S37">
            <v>0.63476256944444454</v>
          </cell>
          <cell r="T37">
            <v>0.63530511111111099</v>
          </cell>
        </row>
        <row r="38">
          <cell r="A38" t="str">
            <v>PRMA EBITDA</v>
          </cell>
          <cell r="E38">
            <v>17.850000000000001</v>
          </cell>
          <cell r="F38">
            <v>17.75</v>
          </cell>
          <cell r="G38">
            <v>15.6</v>
          </cell>
          <cell r="H38">
            <v>14.1</v>
          </cell>
          <cell r="I38">
            <v>65.3</v>
          </cell>
          <cell r="J38">
            <v>13</v>
          </cell>
          <cell r="K38">
            <v>12.55</v>
          </cell>
          <cell r="L38">
            <v>12.75</v>
          </cell>
          <cell r="M38">
            <v>11.8</v>
          </cell>
          <cell r="N38">
            <v>50.099999999999994</v>
          </cell>
          <cell r="O38">
            <v>11.700000000000001</v>
          </cell>
          <cell r="P38">
            <v>11.922499999999999</v>
          </cell>
          <cell r="Q38">
            <v>11.826000000000001</v>
          </cell>
          <cell r="R38">
            <v>12.421800000000001</v>
          </cell>
          <cell r="S38">
            <v>47.8703</v>
          </cell>
          <cell r="T38">
            <v>46.673542499999996</v>
          </cell>
        </row>
        <row r="40">
          <cell r="A40" t="str">
            <v>New York New York Debt</v>
          </cell>
        </row>
        <row r="41">
          <cell r="A41" t="str">
            <v>$285 Bank Financing</v>
          </cell>
        </row>
        <row r="42">
          <cell r="A42" t="str">
            <v>$20 Capital Lease</v>
          </cell>
        </row>
        <row r="44">
          <cell r="A44" t="str">
            <v>New York New York Cash Flow Analysis</v>
          </cell>
        </row>
        <row r="45">
          <cell r="E45" t="str">
            <v>1Q97A</v>
          </cell>
          <cell r="F45" t="str">
            <v>2Q97A</v>
          </cell>
          <cell r="G45" t="str">
            <v>3Q97A</v>
          </cell>
          <cell r="H45" t="str">
            <v>4Q97</v>
          </cell>
          <cell r="I45">
            <v>1997</v>
          </cell>
          <cell r="J45" t="str">
            <v>1Q98A</v>
          </cell>
          <cell r="K45" t="str">
            <v>2Q98A</v>
          </cell>
          <cell r="L45" t="str">
            <v>3Q98A</v>
          </cell>
          <cell r="M45" t="str">
            <v>4Q98E</v>
          </cell>
          <cell r="N45">
            <v>1998</v>
          </cell>
          <cell r="O45" t="str">
            <v>1Q99E</v>
          </cell>
          <cell r="P45" t="str">
            <v>2Q99E</v>
          </cell>
          <cell r="Q45" t="str">
            <v>3Q99E</v>
          </cell>
          <cell r="R45" t="str">
            <v>4Q99E</v>
          </cell>
          <cell r="S45">
            <v>1999</v>
          </cell>
          <cell r="T45">
            <v>2000</v>
          </cell>
        </row>
        <row r="46">
          <cell r="A46" t="str">
            <v>Net Income</v>
          </cell>
          <cell r="E46">
            <v>15.621144000000001</v>
          </cell>
          <cell r="F46">
            <v>15.834889473684211</v>
          </cell>
          <cell r="G46">
            <v>13.327359999999999</v>
          </cell>
          <cell r="H46">
            <v>12.43549</v>
          </cell>
          <cell r="I46">
            <v>57.218883473684215</v>
          </cell>
          <cell r="J46">
            <v>10.377344000000001</v>
          </cell>
          <cell r="K46">
            <v>9.4216139999999982</v>
          </cell>
          <cell r="L46">
            <v>9.6006900000000002</v>
          </cell>
          <cell r="M46">
            <v>8.6220800000000004</v>
          </cell>
          <cell r="N46">
            <v>38.021727999999996</v>
          </cell>
          <cell r="O46">
            <v>8.6715000000000018</v>
          </cell>
          <cell r="P46">
            <v>8.9939999999999998</v>
          </cell>
          <cell r="Q46">
            <v>9.0212800000000009</v>
          </cell>
          <cell r="R46">
            <v>9.8755440000000014</v>
          </cell>
          <cell r="S46">
            <v>36.562324000000004</v>
          </cell>
          <cell r="T46">
            <v>36.593574399999994</v>
          </cell>
        </row>
        <row r="47">
          <cell r="A47" t="str">
            <v>Depreciation</v>
          </cell>
          <cell r="E47">
            <v>6.4380000000000024</v>
          </cell>
          <cell r="F47">
            <v>6.0526315789473681</v>
          </cell>
          <cell r="G47">
            <v>5.3539999999999992</v>
          </cell>
          <cell r="H47">
            <v>5.3019999999999996</v>
          </cell>
          <cell r="I47">
            <v>23.146631578947371</v>
          </cell>
          <cell r="J47">
            <v>5.5940000000000012</v>
          </cell>
          <cell r="K47">
            <v>6.1680000000000028</v>
          </cell>
          <cell r="L47">
            <v>5.7560000000000002</v>
          </cell>
          <cell r="M47">
            <v>5.9280000000000008</v>
          </cell>
          <cell r="N47">
            <v>23.446000000000005</v>
          </cell>
          <cell r="O47">
            <v>5.75</v>
          </cell>
          <cell r="P47">
            <v>5.75</v>
          </cell>
          <cell r="Q47">
            <v>5.75</v>
          </cell>
          <cell r="R47">
            <v>5.75</v>
          </cell>
          <cell r="S47">
            <v>23</v>
          </cell>
          <cell r="T47">
            <v>23</v>
          </cell>
        </row>
        <row r="48">
          <cell r="A48" t="str">
            <v xml:space="preserve">  Gross Cash Flow</v>
          </cell>
          <cell r="E48">
            <v>22.059144000000003</v>
          </cell>
          <cell r="F48">
            <v>21.887521052631577</v>
          </cell>
          <cell r="G48">
            <v>18.681359999999998</v>
          </cell>
          <cell r="H48">
            <v>17.737490000000001</v>
          </cell>
          <cell r="I48">
            <v>80.365515052631594</v>
          </cell>
          <cell r="J48">
            <v>15.971344000000002</v>
          </cell>
          <cell r="K48">
            <v>15.589614000000001</v>
          </cell>
          <cell r="L48">
            <v>15.35669</v>
          </cell>
          <cell r="M48">
            <v>14.550080000000001</v>
          </cell>
          <cell r="N48">
            <v>61.467728000000001</v>
          </cell>
          <cell r="O48">
            <v>14.421500000000002</v>
          </cell>
          <cell r="P48">
            <v>14.744</v>
          </cell>
          <cell r="Q48">
            <v>14.771280000000001</v>
          </cell>
          <cell r="R48">
            <v>15.625544000000001</v>
          </cell>
          <cell r="S48">
            <v>59.562324000000004</v>
          </cell>
          <cell r="T48">
            <v>59.593574399999994</v>
          </cell>
        </row>
        <row r="50">
          <cell r="A50" t="str">
            <v>Maintenance Cap. Ex.</v>
          </cell>
          <cell r="E50">
            <v>2.5</v>
          </cell>
          <cell r="F50">
            <v>3.5</v>
          </cell>
          <cell r="G50">
            <v>4.5</v>
          </cell>
          <cell r="H50">
            <v>5.5</v>
          </cell>
          <cell r="I50">
            <v>16</v>
          </cell>
          <cell r="J50">
            <v>2.5</v>
          </cell>
          <cell r="K50">
            <v>2.5</v>
          </cell>
          <cell r="L50">
            <v>2.5</v>
          </cell>
          <cell r="M50">
            <v>2.5</v>
          </cell>
          <cell r="N50">
            <v>10</v>
          </cell>
          <cell r="O50">
            <v>2.5</v>
          </cell>
          <cell r="P50">
            <v>2.5</v>
          </cell>
          <cell r="Q50">
            <v>2.5</v>
          </cell>
          <cell r="R50">
            <v>2.5</v>
          </cell>
          <cell r="S50">
            <v>10</v>
          </cell>
          <cell r="T50">
            <v>10</v>
          </cell>
        </row>
        <row r="52">
          <cell r="A52" t="str">
            <v>Free Cash</v>
          </cell>
          <cell r="E52">
            <v>19.559144000000003</v>
          </cell>
          <cell r="F52">
            <v>18.387521052631577</v>
          </cell>
          <cell r="G52">
            <v>14.181359999999998</v>
          </cell>
          <cell r="H52">
            <v>12.237490000000001</v>
          </cell>
          <cell r="I52">
            <v>64.365515052631594</v>
          </cell>
          <cell r="J52">
            <v>13.471344000000002</v>
          </cell>
          <cell r="K52">
            <v>13.089614000000001</v>
          </cell>
          <cell r="L52">
            <v>12.85669</v>
          </cell>
          <cell r="M52">
            <v>12.050080000000001</v>
          </cell>
          <cell r="N52">
            <v>51.467728000000001</v>
          </cell>
          <cell r="O52">
            <v>11.921500000000002</v>
          </cell>
          <cell r="P52">
            <v>12.244</v>
          </cell>
          <cell r="Q52">
            <v>12.271280000000001</v>
          </cell>
          <cell r="R52">
            <v>13.125544000000001</v>
          </cell>
          <cell r="S52">
            <v>49.562324000000004</v>
          </cell>
          <cell r="T52">
            <v>49.593574399999994</v>
          </cell>
        </row>
        <row r="54">
          <cell r="A54" t="str">
            <v>Free Cash for Debt Reduction</v>
          </cell>
          <cell r="E54">
            <v>9.7795720000000017</v>
          </cell>
          <cell r="F54">
            <v>9.1937605263157884</v>
          </cell>
          <cell r="G54">
            <v>7.090679999999999</v>
          </cell>
          <cell r="H54">
            <v>6.1187450000000005</v>
          </cell>
          <cell r="I54">
            <v>32.18275752631579</v>
          </cell>
          <cell r="J54">
            <v>6.735672000000001</v>
          </cell>
          <cell r="K54">
            <v>6.5448070000000005</v>
          </cell>
          <cell r="L54">
            <v>6.4283450000000002</v>
          </cell>
          <cell r="M54">
            <v>6.0250400000000006</v>
          </cell>
          <cell r="N54">
            <v>25.733864000000001</v>
          </cell>
        </row>
        <row r="56">
          <cell r="A56" t="str">
            <v>Begin Debt Bal.</v>
          </cell>
          <cell r="E56">
            <v>285</v>
          </cell>
          <cell r="F56">
            <v>275.22042799999997</v>
          </cell>
          <cell r="G56">
            <v>266.0266674736842</v>
          </cell>
          <cell r="H56">
            <v>258.93598747368418</v>
          </cell>
          <cell r="I56">
            <v>285</v>
          </cell>
          <cell r="J56">
            <v>252.81724247368422</v>
          </cell>
          <cell r="K56">
            <v>246.08157047368422</v>
          </cell>
          <cell r="L56">
            <v>239.53676347368423</v>
          </cell>
          <cell r="M56">
            <v>233.10841847368422</v>
          </cell>
          <cell r="N56">
            <v>252.81724247368422</v>
          </cell>
          <cell r="O56">
            <v>227.08337847368421</v>
          </cell>
          <cell r="P56">
            <v>215.1618784736842</v>
          </cell>
          <cell r="Q56">
            <v>202.9178784736842</v>
          </cell>
          <cell r="R56">
            <v>190.64659847368421</v>
          </cell>
          <cell r="S56">
            <v>227.08337847368421</v>
          </cell>
          <cell r="T56">
            <v>177.52105447368422</v>
          </cell>
        </row>
        <row r="57">
          <cell r="A57" t="str">
            <v>Less Free Cash</v>
          </cell>
          <cell r="E57">
            <v>9.7795720000000017</v>
          </cell>
          <cell r="F57">
            <v>9.1937605263157884</v>
          </cell>
          <cell r="G57">
            <v>7.090679999999999</v>
          </cell>
          <cell r="H57">
            <v>6.1187450000000005</v>
          </cell>
          <cell r="I57">
            <v>32.18275752631579</v>
          </cell>
          <cell r="J57">
            <v>6.735672000000001</v>
          </cell>
          <cell r="K57">
            <v>6.5448070000000005</v>
          </cell>
          <cell r="L57">
            <v>6.4283450000000002</v>
          </cell>
          <cell r="M57">
            <v>6.0250400000000006</v>
          </cell>
          <cell r="N57">
            <v>25.733864000000001</v>
          </cell>
          <cell r="O57">
            <v>11.921500000000002</v>
          </cell>
          <cell r="P57">
            <v>12.244</v>
          </cell>
          <cell r="Q57">
            <v>12.271280000000001</v>
          </cell>
          <cell r="R57">
            <v>13.125544000000001</v>
          </cell>
          <cell r="S57">
            <v>49.562324000000004</v>
          </cell>
          <cell r="T57">
            <v>49.593574399999994</v>
          </cell>
        </row>
        <row r="58">
          <cell r="A58" t="str">
            <v>Ending Debt Bal.</v>
          </cell>
          <cell r="E58">
            <v>275.22042799999997</v>
          </cell>
          <cell r="F58">
            <v>266.0266674736842</v>
          </cell>
          <cell r="G58">
            <v>258.93598747368418</v>
          </cell>
          <cell r="H58">
            <v>252.81724247368419</v>
          </cell>
          <cell r="I58">
            <v>252.81724247368422</v>
          </cell>
          <cell r="J58">
            <v>246.08157047368422</v>
          </cell>
          <cell r="K58">
            <v>239.53676347368423</v>
          </cell>
          <cell r="L58">
            <v>233.10841847368422</v>
          </cell>
          <cell r="M58">
            <v>227.08337847368423</v>
          </cell>
          <cell r="N58">
            <v>227.08337847368421</v>
          </cell>
          <cell r="O58">
            <v>215.1618784736842</v>
          </cell>
          <cell r="P58">
            <v>202.9178784736842</v>
          </cell>
          <cell r="Q58">
            <v>190.64659847368421</v>
          </cell>
          <cell r="R58">
            <v>177.52105447368422</v>
          </cell>
          <cell r="S58">
            <v>177.52105447368422</v>
          </cell>
          <cell r="T58">
            <v>127.92748007368422</v>
          </cell>
        </row>
        <row r="60">
          <cell r="A60" t="str">
            <v>Interest Expense 7.25%</v>
          </cell>
          <cell r="E60">
            <v>5.1656249999999995</v>
          </cell>
          <cell r="F60">
            <v>4.9883702574999988</v>
          </cell>
          <cell r="G60">
            <v>4.8217333479605262</v>
          </cell>
          <cell r="H60">
            <v>4.6932147729605251</v>
          </cell>
          <cell r="I60">
            <v>19.668943378421048</v>
          </cell>
          <cell r="J60">
            <v>4.5823125198355266</v>
          </cell>
          <cell r="K60">
            <v>4.4602284648355264</v>
          </cell>
          <cell r="L60">
            <v>4.3416038379605268</v>
          </cell>
          <cell r="M60">
            <v>4.2250900848355259</v>
          </cell>
          <cell r="N60">
            <v>17.609234907467105</v>
          </cell>
          <cell r="O60">
            <v>4.0078476410855259</v>
          </cell>
          <cell r="P60">
            <v>3.7888477973355261</v>
          </cell>
          <cell r="Q60">
            <v>3.566678072335526</v>
          </cell>
          <cell r="R60">
            <v>3.3365193548355263</v>
          </cell>
          <cell r="S60">
            <v>14.699892865592105</v>
          </cell>
          <cell r="T60">
            <v>11.072509377342106</v>
          </cell>
        </row>
      </sheetData>
      <sheetData sheetId="52" refreshError="1"/>
      <sheetData sheetId="53"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L"/>
      <sheetName val="Revsum"/>
      <sheetName val="Quarterly"/>
      <sheetName val="U.S. Generics"/>
      <sheetName val="bs-cf-wc"/>
      <sheetName val="epsrpt"/>
      <sheetName val="WACC"/>
      <sheetName val="DCF"/>
      <sheetName val="ROIC"/>
      <sheetName val="Warfarin"/>
      <sheetName val="Ov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YEProd"/>
      <sheetName val="QtrlySum"/>
      <sheetName val="DCF"/>
      <sheetName val="WACC"/>
      <sheetName val="ROIC"/>
      <sheetName val="NSAIDs"/>
      <sheetName val="Valuation"/>
      <sheetName val="Prdts_Quart"/>
      <sheetName val="Segments"/>
      <sheetName val="AHP"/>
      <sheetName val="ACY"/>
      <sheetName val="Balance"/>
      <sheetName val="AHP-GI"/>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
      <sheetName val="1997"/>
      <sheetName val="1998"/>
      <sheetName val="99-01"/>
      <sheetName val="Summary"/>
    </sheetNames>
    <sheetDataSet>
      <sheetData sheetId="0" refreshError="1"/>
      <sheetData sheetId="1" refreshError="1"/>
      <sheetData sheetId="2" refreshError="1"/>
      <sheetData sheetId="3" refreshError="1"/>
      <sheetData sheetId="4"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Disclaimer"/>
      <sheetName val="Table "/>
      <sheetName val="Results"/>
      <sheetName val="Stats"/>
      <sheetName val="MHRS Q3"/>
      <sheetName val="RITZ Q3"/>
      <sheetName val="REN Q3"/>
      <sheetName val="Int'l MHRS Q3"/>
      <sheetName val="Int'l CY &amp; Ren Q3"/>
      <sheetName val="CY Q3"/>
      <sheetName val="FFI Q3"/>
      <sheetName val="SHS Q3"/>
      <sheetName val="RI Q3"/>
      <sheetName val="TPS Q3"/>
      <sheetName val="CL &amp; Other Q3"/>
      <sheetName val="MVCI Q3"/>
      <sheetName val="SLS Q3"/>
      <sheetName val="MDS Q3"/>
      <sheetName val="Int Exp &amp; Inc"/>
      <sheetName val="CorpExp Q3"/>
      <sheetName val="YTD Results"/>
      <sheetName val="YTD Stats"/>
      <sheetName val="MHRS YTD"/>
      <sheetName val="RITZ YTD"/>
      <sheetName val="REN YTD"/>
      <sheetName val="Int'l MHRS YTD"/>
      <sheetName val="Int'l CY &amp; Ren YTD"/>
      <sheetName val="CY YTD"/>
      <sheetName val="FFI YTD"/>
      <sheetName val="SHS YTD"/>
      <sheetName val="RI YTD"/>
      <sheetName val="TPS YTD"/>
      <sheetName val="CL &amp; Other Q3 YTD"/>
      <sheetName val="MVCI YTD"/>
      <sheetName val="SLS YTD"/>
      <sheetName val="MDS YTD"/>
      <sheetName val="Int Exp YTD"/>
      <sheetName val="CorpExp YTD"/>
      <sheetName val="Industry"/>
      <sheetName val="Industry (2)"/>
      <sheetName val="Model"/>
    </sheetNames>
    <sheetDataSet>
      <sheetData sheetId="0" refreshError="1">
        <row r="1">
          <cell r="J1" t="str">
            <v>THIRD</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Summary &amp; Valuation"/>
      <sheetName val="Valuation-DCF"/>
      <sheetName val="Valuation-NAV"/>
      <sheetName val="P&amp;L Drivers"/>
      <sheetName val="P&amp;L"/>
      <sheetName val="CFS"/>
      <sheetName val="BS"/>
      <sheetName val="Debt Sched"/>
      <sheetName val="Debt Summary"/>
      <sheetName val="Analysis"/>
      <sheetName val="Supp Sched"/>
      <sheetName val="Driver-LV"/>
      <sheetName val="JV-Macau"/>
      <sheetName val="Earnings Slug"/>
      <sheetName val="QTD Results"/>
      <sheetName val="Notes"/>
      <sheetName val="External Links"/>
      <sheetName val="Driver-Le Rev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12">
          <cell r="E12">
            <v>7.9922000000000004</v>
          </cell>
        </row>
      </sheetData>
      <sheetData sheetId="17" refreshError="1"/>
      <sheetData sheetId="18"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ummary"/>
      <sheetName val="Deprec Sched_Comcast standalone"/>
      <sheetName val="Deprec Sched_ATTB"/>
      <sheetName val="Deprec Lives"/>
      <sheetName val="Combined Quarterly"/>
      <sheetName val="Combined Summary"/>
      <sheetName val="ATTBB Summary"/>
      <sheetName val="Comcast Summary Table"/>
      <sheetName val="ATTBB Capex"/>
      <sheetName val="Comcast Capex"/>
      <sheetName val="AT&amp;T Broadband Quarterly"/>
      <sheetName val="Comcast Quarterly"/>
      <sheetName val="Bell&amp;AIT"/>
      <sheetName val="BCECF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and 2Q00"/>
      <sheetName val="Lookup"/>
      <sheetName val="Pivot"/>
      <sheetName val="Brands"/>
      <sheetName val="BT Brand p6"/>
      <sheetName val="Sheet1"/>
      <sheetName val="Top 10 cos."/>
      <sheetName val="Census Chain"/>
      <sheetName val="Cos"/>
    </sheetNames>
    <sheetDataSet>
      <sheetData sheetId="0"/>
      <sheetData sheetId="1" refreshError="1">
        <row r="1">
          <cell r="A1" t="str">
            <v>Brand</v>
          </cell>
          <cell r="B1" t="str">
            <v>Chain Scale</v>
          </cell>
        </row>
        <row r="2">
          <cell r="A2" t="str">
            <v>Adam's Mark</v>
          </cell>
          <cell r="B2" t="str">
            <v>Upscale</v>
          </cell>
        </row>
        <row r="3">
          <cell r="A3" t="str">
            <v>AmericInn</v>
          </cell>
          <cell r="B3" t="str">
            <v>Economy</v>
          </cell>
        </row>
        <row r="4">
          <cell r="A4" t="str">
            <v>AmeriHost Inn</v>
          </cell>
          <cell r="B4" t="str">
            <v>Midscale w/o F&amp;B</v>
          </cell>
        </row>
        <row r="5">
          <cell r="A5" t="str">
            <v>AmeriSuites</v>
          </cell>
          <cell r="B5" t="str">
            <v>Upscale</v>
          </cell>
        </row>
        <row r="6">
          <cell r="A6" t="str">
            <v>AmeriTel Inn</v>
          </cell>
          <cell r="B6" t="str">
            <v>Independent</v>
          </cell>
        </row>
        <row r="7">
          <cell r="A7" t="str">
            <v>Arbogate Inn</v>
          </cell>
        </row>
        <row r="8">
          <cell r="A8" t="str">
            <v>Arte Business Suites</v>
          </cell>
          <cell r="B8" t="str">
            <v>Independent</v>
          </cell>
        </row>
        <row r="9">
          <cell r="A9" t="str">
            <v>Arte Palatial Suites</v>
          </cell>
          <cell r="B9" t="str">
            <v>Independent</v>
          </cell>
        </row>
        <row r="10">
          <cell r="A10" t="str">
            <v>Baymont Inn</v>
          </cell>
          <cell r="B10" t="str">
            <v>Economy</v>
          </cell>
        </row>
        <row r="11">
          <cell r="A11" t="str">
            <v>Baymont Inn &amp; Suites</v>
          </cell>
          <cell r="B11" t="str">
            <v>Economy</v>
          </cell>
        </row>
        <row r="12">
          <cell r="A12" t="str">
            <v xml:space="preserve">Best Inn </v>
          </cell>
          <cell r="B12" t="str">
            <v>Economy</v>
          </cell>
        </row>
        <row r="13">
          <cell r="A13" t="str">
            <v>Best Inn &amp; Suites</v>
          </cell>
          <cell r="B13" t="str">
            <v>Economy</v>
          </cell>
        </row>
        <row r="14">
          <cell r="A14" t="str">
            <v>Best Suites</v>
          </cell>
          <cell r="B14" t="str">
            <v>Economy</v>
          </cell>
        </row>
        <row r="15">
          <cell r="A15" t="str">
            <v>Best Western</v>
          </cell>
          <cell r="B15" t="str">
            <v>Midscale w/F&amp;B</v>
          </cell>
        </row>
        <row r="16">
          <cell r="A16" t="str">
            <v>Best Western Executel</v>
          </cell>
          <cell r="B16" t="str">
            <v>Midscale w/F&amp;B</v>
          </cell>
        </row>
        <row r="17">
          <cell r="A17" t="str">
            <v>Bradford Homesuites</v>
          </cell>
          <cell r="B17" t="str">
            <v>Midscale w/o F&amp;B</v>
          </cell>
        </row>
        <row r="18">
          <cell r="A18" t="str">
            <v>Budget Host</v>
          </cell>
          <cell r="B18" t="str">
            <v>Economy</v>
          </cell>
        </row>
        <row r="19">
          <cell r="A19" t="str">
            <v>Budget Suites of America</v>
          </cell>
          <cell r="B19" t="str">
            <v>Independent</v>
          </cell>
        </row>
        <row r="20">
          <cell r="A20" t="str">
            <v>Budgetel Inn</v>
          </cell>
          <cell r="B20" t="str">
            <v>Economy</v>
          </cell>
        </row>
        <row r="21">
          <cell r="A21" t="str">
            <v>Candlewood Suites</v>
          </cell>
          <cell r="B21" t="str">
            <v>Midscale w/o F&amp;B</v>
          </cell>
        </row>
        <row r="22">
          <cell r="A22" t="str">
            <v>Clarion</v>
          </cell>
          <cell r="B22" t="str">
            <v>Midscale w/F&amp;B</v>
          </cell>
        </row>
        <row r="23">
          <cell r="A23" t="str">
            <v>Club Hotel by Doubletree</v>
          </cell>
          <cell r="B23" t="str">
            <v>Midscale w/F&amp;B</v>
          </cell>
        </row>
        <row r="24">
          <cell r="A24" t="str">
            <v>ClubHouse Inn</v>
          </cell>
          <cell r="B24" t="str">
            <v>Midscale w/o F&amp;B</v>
          </cell>
        </row>
        <row r="25">
          <cell r="A25" t="str">
            <v>Comfort Inn</v>
          </cell>
          <cell r="B25" t="str">
            <v>Midscale w/o F&amp;B</v>
          </cell>
        </row>
        <row r="26">
          <cell r="A26" t="str">
            <v>Comfort Inn &amp; Suites</v>
          </cell>
          <cell r="B26" t="str">
            <v>Midscale w/o F&amp;B</v>
          </cell>
        </row>
        <row r="27">
          <cell r="A27" t="str">
            <v>Comfort Suites</v>
          </cell>
          <cell r="B27" t="str">
            <v>Midscale w/o F&amp;B</v>
          </cell>
        </row>
        <row r="28">
          <cell r="A28" t="str">
            <v>Country Hearth Inn</v>
          </cell>
          <cell r="B28" t="str">
            <v>Economy</v>
          </cell>
        </row>
        <row r="29">
          <cell r="A29" t="str">
            <v>Country Inn &amp; Suites</v>
          </cell>
          <cell r="B29" t="str">
            <v>Midscale w/o F&amp;B</v>
          </cell>
        </row>
        <row r="30">
          <cell r="A30" t="str">
            <v>Country Lodging</v>
          </cell>
        </row>
        <row r="31">
          <cell r="A31" t="str">
            <v>Courtyard by Marriott</v>
          </cell>
          <cell r="B31" t="str">
            <v>Upscale</v>
          </cell>
        </row>
        <row r="32">
          <cell r="A32" t="str">
            <v>Crossland Economy Studios</v>
          </cell>
          <cell r="B32" t="str">
            <v>Economy</v>
          </cell>
        </row>
        <row r="33">
          <cell r="A33" t="str">
            <v>Crown Sterling Suites</v>
          </cell>
        </row>
        <row r="34">
          <cell r="A34" t="str">
            <v>Crowne Plaza</v>
          </cell>
          <cell r="B34" t="str">
            <v>Upscale</v>
          </cell>
        </row>
        <row r="35">
          <cell r="A35" t="str">
            <v>Cypress Inn</v>
          </cell>
          <cell r="B35" t="str">
            <v>Midscale w/o F&amp;B</v>
          </cell>
        </row>
        <row r="36">
          <cell r="A36" t="str">
            <v>Days Inn</v>
          </cell>
          <cell r="B36" t="str">
            <v>Economy</v>
          </cell>
        </row>
        <row r="37">
          <cell r="A37" t="str">
            <v>Doubletree Guest Suites</v>
          </cell>
          <cell r="B37" t="str">
            <v>Upper Upscale</v>
          </cell>
        </row>
        <row r="38">
          <cell r="A38" t="str">
            <v>Doubletree Hotel</v>
          </cell>
          <cell r="B38" t="str">
            <v>Upscale</v>
          </cell>
        </row>
        <row r="39">
          <cell r="A39" t="str">
            <v>Drury Inn</v>
          </cell>
          <cell r="B39" t="str">
            <v>Midscale w/o F&amp;B</v>
          </cell>
        </row>
        <row r="40">
          <cell r="A40" t="str">
            <v>Econo Lodge</v>
          </cell>
          <cell r="B40" t="str">
            <v>Economy</v>
          </cell>
        </row>
        <row r="41">
          <cell r="A41" t="str">
            <v>Embassy Suites</v>
          </cell>
          <cell r="B41" t="str">
            <v>Upper Upscale</v>
          </cell>
        </row>
        <row r="42">
          <cell r="A42" t="str">
            <v>Extended Stay America</v>
          </cell>
          <cell r="B42" t="str">
            <v>Economy</v>
          </cell>
        </row>
        <row r="43">
          <cell r="A43" t="str">
            <v>Fairfield Inn</v>
          </cell>
          <cell r="B43" t="str">
            <v>Midscale w/o F&amp;B</v>
          </cell>
        </row>
        <row r="44">
          <cell r="A44" t="str">
            <v>Fairfield Inn &amp; Suites</v>
          </cell>
          <cell r="B44" t="str">
            <v>Midscale w/o F&amp;B</v>
          </cell>
        </row>
        <row r="45">
          <cell r="A45" t="str">
            <v>Family Inn</v>
          </cell>
          <cell r="B45" t="str">
            <v>Economy</v>
          </cell>
        </row>
        <row r="46">
          <cell r="A46" t="str">
            <v>Famous Host Inn</v>
          </cell>
        </row>
        <row r="47">
          <cell r="A47" t="str">
            <v>Four Points Hotel</v>
          </cell>
          <cell r="B47" t="str">
            <v>Midscale w/F&amp;B</v>
          </cell>
        </row>
        <row r="48">
          <cell r="A48" t="str">
            <v>Four Seasons</v>
          </cell>
          <cell r="B48" t="str">
            <v>Upper Upscale</v>
          </cell>
        </row>
        <row r="49">
          <cell r="A49" t="str">
            <v>French Quarter Suites</v>
          </cell>
        </row>
        <row r="50">
          <cell r="A50" t="str">
            <v>Friendship Inn</v>
          </cell>
          <cell r="B50" t="str">
            <v>Economy</v>
          </cell>
        </row>
        <row r="51">
          <cell r="A51" t="str">
            <v>Fullerton Suites</v>
          </cell>
        </row>
        <row r="52">
          <cell r="A52" t="str">
            <v>Good Night Inn</v>
          </cell>
          <cell r="B52" t="str">
            <v>Economy</v>
          </cell>
        </row>
        <row r="53">
          <cell r="A53" t="str">
            <v>Grand Bay Hotel</v>
          </cell>
          <cell r="B53" t="str">
            <v>Upper Upscale</v>
          </cell>
        </row>
        <row r="54">
          <cell r="A54" t="str">
            <v>Grand Chalet</v>
          </cell>
          <cell r="B54" t="str">
            <v>Economy</v>
          </cell>
        </row>
        <row r="55">
          <cell r="A55" t="str">
            <v>Guest Quarters</v>
          </cell>
        </row>
        <row r="56">
          <cell r="A56" t="str">
            <v>GuestHouse Hotel</v>
          </cell>
          <cell r="B56" t="str">
            <v>Economy</v>
          </cell>
        </row>
        <row r="57">
          <cell r="A57" t="str">
            <v>GuestHouse Inn</v>
          </cell>
          <cell r="B57" t="str">
            <v>Economy</v>
          </cell>
        </row>
        <row r="58">
          <cell r="A58" t="str">
            <v>GuestHouse Inn &amp; Suites</v>
          </cell>
          <cell r="B58" t="str">
            <v>Economy</v>
          </cell>
        </row>
        <row r="59">
          <cell r="A59" t="str">
            <v>GuestHouse Suites</v>
          </cell>
          <cell r="B59" t="str">
            <v>Economy</v>
          </cell>
        </row>
        <row r="60">
          <cell r="A60" t="str">
            <v>Hampton Inn</v>
          </cell>
          <cell r="B60" t="str">
            <v>Midscale w/o F&amp;B</v>
          </cell>
        </row>
        <row r="61">
          <cell r="A61" t="str">
            <v>Hampton Inn &amp; Suites</v>
          </cell>
          <cell r="B61" t="str">
            <v>Midscale w/o F&amp;B</v>
          </cell>
        </row>
        <row r="62">
          <cell r="A62" t="str">
            <v>Hawthorn Suites</v>
          </cell>
          <cell r="B62" t="str">
            <v>Upscale</v>
          </cell>
        </row>
        <row r="63">
          <cell r="A63" t="str">
            <v>Hawthorn Suites LTD.</v>
          </cell>
          <cell r="B63" t="str">
            <v>Upscale</v>
          </cell>
        </row>
        <row r="64">
          <cell r="A64" t="str">
            <v>Hearthside Inn</v>
          </cell>
          <cell r="B64" t="str">
            <v>Independent</v>
          </cell>
        </row>
        <row r="65">
          <cell r="A65" t="str">
            <v>Hilton Garden Inn</v>
          </cell>
          <cell r="B65" t="str">
            <v>Upscale</v>
          </cell>
        </row>
        <row r="66">
          <cell r="A66" t="str">
            <v>Hilton Hotel</v>
          </cell>
          <cell r="B66" t="str">
            <v>Upper Upscale</v>
          </cell>
        </row>
        <row r="67">
          <cell r="A67" t="str">
            <v>Hilton Inn</v>
          </cell>
          <cell r="B67" t="str">
            <v>Upscale</v>
          </cell>
        </row>
        <row r="68">
          <cell r="A68" t="str">
            <v>HoJo Inn</v>
          </cell>
          <cell r="B68" t="str">
            <v>Economy</v>
          </cell>
        </row>
        <row r="69">
          <cell r="A69" t="str">
            <v>Holiday Inn</v>
          </cell>
          <cell r="B69" t="str">
            <v>Midscale w/F&amp;B</v>
          </cell>
        </row>
        <row r="70">
          <cell r="A70" t="str">
            <v>Holiday Inn Express</v>
          </cell>
          <cell r="B70" t="str">
            <v>Midscale w/o F&amp;B</v>
          </cell>
        </row>
        <row r="71">
          <cell r="A71" t="str">
            <v>Holiday Inn Express &amp; Suites</v>
          </cell>
          <cell r="B71" t="str">
            <v>Midscale w/o F&amp;B</v>
          </cell>
        </row>
        <row r="72">
          <cell r="A72" t="str">
            <v>Holiday Inn Select</v>
          </cell>
          <cell r="B72" t="str">
            <v>Midscale w/F&amp;B</v>
          </cell>
        </row>
        <row r="73">
          <cell r="A73" t="str">
            <v>Homegate Studios &amp; Suites</v>
          </cell>
          <cell r="B73" t="str">
            <v>Economy</v>
          </cell>
        </row>
        <row r="74">
          <cell r="A74" t="str">
            <v>Homestead Village</v>
          </cell>
          <cell r="B74" t="str">
            <v>Economy</v>
          </cell>
        </row>
        <row r="75">
          <cell r="A75" t="str">
            <v>HomeTown Suites</v>
          </cell>
        </row>
        <row r="76">
          <cell r="A76" t="str">
            <v>Homewood Suites by Hilton</v>
          </cell>
          <cell r="B76" t="str">
            <v>Upscale</v>
          </cell>
        </row>
        <row r="77">
          <cell r="A77" t="str">
            <v>Hotel Sofitel</v>
          </cell>
          <cell r="B77" t="str">
            <v>Upper Upscale</v>
          </cell>
        </row>
        <row r="78">
          <cell r="A78" t="str">
            <v>Howard Johnson Express Inn</v>
          </cell>
          <cell r="B78" t="str">
            <v>Economy</v>
          </cell>
        </row>
        <row r="79">
          <cell r="A79" t="str">
            <v>Howard Johnson Hotel</v>
          </cell>
          <cell r="B79" t="str">
            <v>Midscale w/F&amp;B</v>
          </cell>
        </row>
        <row r="80">
          <cell r="A80" t="str">
            <v>Howard Johnson Inn</v>
          </cell>
          <cell r="B80" t="str">
            <v>Midscale w/F&amp;B</v>
          </cell>
        </row>
        <row r="81">
          <cell r="A81" t="str">
            <v>Howard Johnson Lodge</v>
          </cell>
          <cell r="B81" t="str">
            <v>Economy</v>
          </cell>
        </row>
        <row r="82">
          <cell r="A82" t="str">
            <v>Howard Johnson Plaza</v>
          </cell>
          <cell r="B82" t="str">
            <v>Midscale w/F&amp;B</v>
          </cell>
        </row>
        <row r="83">
          <cell r="A83" t="str">
            <v>Hyatt Hotel</v>
          </cell>
          <cell r="B83" t="str">
            <v>Upper Upscale</v>
          </cell>
        </row>
        <row r="84">
          <cell r="A84" t="str">
            <v>InnSuites</v>
          </cell>
          <cell r="B84" t="str">
            <v>Economy</v>
          </cell>
        </row>
        <row r="85">
          <cell r="A85" t="str">
            <v>Inter-Continental</v>
          </cell>
          <cell r="B85" t="str">
            <v>Upper Upscale</v>
          </cell>
        </row>
        <row r="86">
          <cell r="A86" t="str">
            <v>Intown Suites</v>
          </cell>
          <cell r="B86" t="str">
            <v>Economy</v>
          </cell>
        </row>
        <row r="87">
          <cell r="A87" t="str">
            <v>Jameson Inn</v>
          </cell>
          <cell r="B87" t="str">
            <v>Economy</v>
          </cell>
        </row>
        <row r="88">
          <cell r="A88" t="str">
            <v>Key West Inn</v>
          </cell>
          <cell r="B88" t="str">
            <v>Economy</v>
          </cell>
        </row>
        <row r="89">
          <cell r="A89" t="str">
            <v>Knights Inn</v>
          </cell>
          <cell r="B89" t="str">
            <v>Economy</v>
          </cell>
        </row>
        <row r="90">
          <cell r="A90" t="str">
            <v>La Quinta Inn</v>
          </cell>
          <cell r="B90" t="str">
            <v>Midscale w/o F&amp;B</v>
          </cell>
        </row>
        <row r="91">
          <cell r="A91" t="str">
            <v>La Quinta Inn &amp; Suites</v>
          </cell>
          <cell r="B91" t="str">
            <v>Midscale w/o F&amp;B</v>
          </cell>
        </row>
        <row r="92">
          <cell r="A92" t="str">
            <v xml:space="preserve">Le Meridien </v>
          </cell>
          <cell r="B92" t="str">
            <v>Upper Upscale</v>
          </cell>
        </row>
        <row r="93">
          <cell r="A93" t="str">
            <v>Leading Hotels of the World</v>
          </cell>
        </row>
        <row r="94">
          <cell r="A94" t="str">
            <v>Lexington Hotel Suites</v>
          </cell>
          <cell r="B94" t="str">
            <v>Economy</v>
          </cell>
        </row>
        <row r="95">
          <cell r="A95" t="str">
            <v>Loews Hotel</v>
          </cell>
          <cell r="B95" t="str">
            <v>Upper Upscale</v>
          </cell>
        </row>
        <row r="96">
          <cell r="A96" t="str">
            <v>MainStay Suites</v>
          </cell>
          <cell r="B96" t="str">
            <v>Economy</v>
          </cell>
        </row>
        <row r="97">
          <cell r="A97" t="str">
            <v>Marriott Hotel</v>
          </cell>
          <cell r="B97" t="str">
            <v>Upper Upscale</v>
          </cell>
        </row>
        <row r="98">
          <cell r="A98" t="str">
            <v>Marriott Hotel</v>
          </cell>
          <cell r="B98" t="str">
            <v>Upper Upscale</v>
          </cell>
        </row>
        <row r="99">
          <cell r="A99" t="str">
            <v>Meridien Hotel</v>
          </cell>
          <cell r="B99" t="str">
            <v>Upper Upscale</v>
          </cell>
        </row>
        <row r="100">
          <cell r="A100" t="str">
            <v>Microtel Inn</v>
          </cell>
          <cell r="B100" t="str">
            <v>Economy</v>
          </cell>
        </row>
        <row r="101">
          <cell r="A101" t="str">
            <v>Microtel Inn &amp; Suites</v>
          </cell>
          <cell r="B101" t="str">
            <v>Economy</v>
          </cell>
        </row>
        <row r="102">
          <cell r="A102" t="str">
            <v>Motel 6</v>
          </cell>
          <cell r="B102" t="str">
            <v>Economy</v>
          </cell>
        </row>
        <row r="103">
          <cell r="A103" t="str">
            <v>Nendels</v>
          </cell>
        </row>
        <row r="104">
          <cell r="A104" t="str">
            <v>Oak Tree Inn</v>
          </cell>
        </row>
        <row r="105">
          <cell r="A105" t="str">
            <v>Omni Hotel</v>
          </cell>
          <cell r="B105" t="str">
            <v>Upper Upscale</v>
          </cell>
        </row>
        <row r="106">
          <cell r="A106" t="str">
            <v>Other Franchise</v>
          </cell>
        </row>
        <row r="107">
          <cell r="A107" t="str">
            <v>Park Inn</v>
          </cell>
          <cell r="B107" t="str">
            <v>Midscale w/F&amp;B</v>
          </cell>
        </row>
        <row r="108">
          <cell r="A108" t="str">
            <v>Platinum Suites</v>
          </cell>
          <cell r="B108" t="str">
            <v>Independent</v>
          </cell>
        </row>
        <row r="109">
          <cell r="A109" t="str">
            <v>Quality Inn</v>
          </cell>
          <cell r="B109" t="str">
            <v>Midscale w/F&amp;B</v>
          </cell>
        </row>
        <row r="110">
          <cell r="A110" t="str">
            <v>Quality Inn &amp; Suites</v>
          </cell>
          <cell r="B110" t="str">
            <v>Midscale w/F&amp;B</v>
          </cell>
        </row>
        <row r="111">
          <cell r="A111" t="str">
            <v>Quality Suites</v>
          </cell>
          <cell r="B111" t="str">
            <v>Midscale w/F&amp;B</v>
          </cell>
        </row>
        <row r="112">
          <cell r="A112" t="str">
            <v>Radisson Hotel</v>
          </cell>
          <cell r="B112" t="str">
            <v>Upscale</v>
          </cell>
        </row>
        <row r="113">
          <cell r="A113" t="str">
            <v>Radisson Inn</v>
          </cell>
          <cell r="B113" t="str">
            <v>Upscale</v>
          </cell>
        </row>
        <row r="114">
          <cell r="A114" t="str">
            <v>Ramada Inn</v>
          </cell>
          <cell r="B114" t="str">
            <v>Midscale w/F&amp;B</v>
          </cell>
        </row>
        <row r="115">
          <cell r="A115" t="str">
            <v>Ramada Limited</v>
          </cell>
          <cell r="B115" t="str">
            <v>Economy</v>
          </cell>
        </row>
        <row r="116">
          <cell r="A116" t="str">
            <v>Ramada Plaza</v>
          </cell>
          <cell r="B116" t="str">
            <v>Midscale w/F&amp;B</v>
          </cell>
        </row>
        <row r="117">
          <cell r="A117" t="str">
            <v>Red Carpet Inn</v>
          </cell>
          <cell r="B117" t="str">
            <v>Economy</v>
          </cell>
        </row>
        <row r="118">
          <cell r="A118" t="str">
            <v>Red Lion</v>
          </cell>
          <cell r="B118" t="str">
            <v>Upscale</v>
          </cell>
        </row>
        <row r="119">
          <cell r="A119" t="str">
            <v>Red Roof Inn</v>
          </cell>
          <cell r="B119" t="str">
            <v>Economy</v>
          </cell>
        </row>
        <row r="120">
          <cell r="A120" t="str">
            <v>Renaissance Hotel</v>
          </cell>
          <cell r="B120" t="str">
            <v>Upper Upscale</v>
          </cell>
        </row>
        <row r="121">
          <cell r="A121" t="str">
            <v>Research</v>
          </cell>
        </row>
        <row r="122">
          <cell r="A122" t="str">
            <v>Residence Inn</v>
          </cell>
          <cell r="B122" t="str">
            <v>Upscale</v>
          </cell>
        </row>
        <row r="123">
          <cell r="A123" t="str">
            <v>Ritz-Carlton</v>
          </cell>
          <cell r="B123" t="str">
            <v>Upper Upscale</v>
          </cell>
        </row>
        <row r="124">
          <cell r="A124" t="str">
            <v>Rodeway Inn</v>
          </cell>
          <cell r="B124" t="str">
            <v>Economy</v>
          </cell>
        </row>
        <row r="125">
          <cell r="A125" t="str">
            <v>Save Inn</v>
          </cell>
        </row>
        <row r="126">
          <cell r="A126" t="str">
            <v>Scottish Inn</v>
          </cell>
          <cell r="B126" t="str">
            <v>Economy</v>
          </cell>
        </row>
        <row r="127">
          <cell r="A127" t="str">
            <v>Sheraton Hotel</v>
          </cell>
          <cell r="B127" t="str">
            <v>Upper Upscale</v>
          </cell>
        </row>
        <row r="128">
          <cell r="A128" t="str">
            <v>Sheraton Hotel &amp; Convention Center</v>
          </cell>
        </row>
        <row r="129">
          <cell r="A129" t="str">
            <v>Sheraton Inn</v>
          </cell>
          <cell r="B129" t="str">
            <v>Midscale w/F&amp;B</v>
          </cell>
        </row>
        <row r="130">
          <cell r="A130" t="str">
            <v>Sheraton Luxury Collection</v>
          </cell>
          <cell r="B130" t="str">
            <v>Upper Upscale</v>
          </cell>
        </row>
        <row r="131">
          <cell r="A131" t="str">
            <v>Shoney's Inn</v>
          </cell>
          <cell r="B131" t="str">
            <v>Economy</v>
          </cell>
        </row>
        <row r="132">
          <cell r="A132" t="str">
            <v>Sierra Suites</v>
          </cell>
          <cell r="B132" t="str">
            <v>Midscale w/o F&amp;B</v>
          </cell>
        </row>
        <row r="133">
          <cell r="A133" t="str">
            <v>Signature Inns</v>
          </cell>
          <cell r="B133" t="str">
            <v>Midscale w/o F&amp;B</v>
          </cell>
        </row>
        <row r="134">
          <cell r="A134" t="str">
            <v>Sleep Inn</v>
          </cell>
          <cell r="B134" t="str">
            <v>Midscale w/o F&amp;B</v>
          </cell>
        </row>
        <row r="135">
          <cell r="A135" t="str">
            <v>Sonesta Hotel</v>
          </cell>
          <cell r="B135" t="str">
            <v>Upper Upscale</v>
          </cell>
        </row>
        <row r="136">
          <cell r="A136" t="str">
            <v>SpringHill Suites</v>
          </cell>
          <cell r="B136" t="str">
            <v>Midscale w/o F&amp;B</v>
          </cell>
        </row>
        <row r="137">
          <cell r="A137" t="str">
            <v>Starwood Hotel</v>
          </cell>
        </row>
        <row r="138">
          <cell r="A138" t="str">
            <v>Staybridge Suites</v>
          </cell>
          <cell r="B138" t="str">
            <v>Midscale w/o F&amp;B</v>
          </cell>
        </row>
        <row r="139">
          <cell r="A139" t="str">
            <v>Stouffer Hotel</v>
          </cell>
        </row>
        <row r="140">
          <cell r="A140" t="str">
            <v>Studio 6</v>
          </cell>
          <cell r="B140" t="str">
            <v>Independent</v>
          </cell>
        </row>
        <row r="141">
          <cell r="A141" t="str">
            <v>StudioPlus Hotel</v>
          </cell>
          <cell r="B141" t="str">
            <v>Economy</v>
          </cell>
        </row>
        <row r="142">
          <cell r="A142" t="str">
            <v>Suburban Lodge</v>
          </cell>
          <cell r="B142" t="str">
            <v>Economy</v>
          </cell>
        </row>
        <row r="143">
          <cell r="A143" t="str">
            <v>Summerfield Suites by Wyndham</v>
          </cell>
          <cell r="B143" t="str">
            <v>Upper Upscale</v>
          </cell>
        </row>
        <row r="144">
          <cell r="A144" t="str">
            <v>Sumner Suites</v>
          </cell>
          <cell r="B144" t="str">
            <v>Upscale</v>
          </cell>
        </row>
        <row r="145">
          <cell r="A145" t="str">
            <v>Sun Suites</v>
          </cell>
          <cell r="B145" t="str">
            <v>Independent</v>
          </cell>
        </row>
        <row r="146">
          <cell r="A146" t="str">
            <v>Sunspree Resort</v>
          </cell>
          <cell r="B146" t="str">
            <v>Midscale w/F&amp;B</v>
          </cell>
        </row>
        <row r="147">
          <cell r="A147" t="str">
            <v>Super 8</v>
          </cell>
          <cell r="B147" t="str">
            <v>Economy</v>
          </cell>
        </row>
        <row r="148">
          <cell r="A148" t="str">
            <v>Susse Chalet</v>
          </cell>
          <cell r="B148" t="str">
            <v>Economy</v>
          </cell>
        </row>
        <row r="149">
          <cell r="A149" t="str">
            <v>Swissotel</v>
          </cell>
          <cell r="B149" t="str">
            <v>Upper Upscale</v>
          </cell>
        </row>
        <row r="150">
          <cell r="A150" t="str">
            <v>TownePlace Suites</v>
          </cell>
          <cell r="B150" t="str">
            <v>Midscale w/o F&amp;B</v>
          </cell>
        </row>
        <row r="151">
          <cell r="A151" t="str">
            <v>Travelodge</v>
          </cell>
          <cell r="B151" t="str">
            <v>Economy</v>
          </cell>
        </row>
        <row r="152">
          <cell r="A152" t="str">
            <v>Travelodge Viscount</v>
          </cell>
        </row>
        <row r="153">
          <cell r="A153" t="str">
            <v>Vagabond Inn</v>
          </cell>
          <cell r="B153" t="str">
            <v>Economy</v>
          </cell>
        </row>
        <row r="154">
          <cell r="A154" t="str">
            <v>Valu Inn</v>
          </cell>
        </row>
        <row r="155">
          <cell r="A155" t="str">
            <v>Vantage Hotel</v>
          </cell>
        </row>
        <row r="156">
          <cell r="A156" t="str">
            <v>Villager Lodge</v>
          </cell>
          <cell r="B156" t="str">
            <v>Economy</v>
          </cell>
        </row>
        <row r="157">
          <cell r="A157" t="str">
            <v>W Hotel</v>
          </cell>
          <cell r="B157" t="str">
            <v>Upper Upscale</v>
          </cell>
        </row>
        <row r="158">
          <cell r="A158" t="str">
            <v>Wellesley Inn</v>
          </cell>
          <cell r="B158" t="str">
            <v>Midscale w/o F&amp;B</v>
          </cell>
        </row>
        <row r="159">
          <cell r="A159" t="str">
            <v>Westin  Hotel</v>
          </cell>
          <cell r="B159" t="str">
            <v>Upper Upscale</v>
          </cell>
        </row>
        <row r="160">
          <cell r="A160" t="str">
            <v>Wilson Inn</v>
          </cell>
          <cell r="B160" t="str">
            <v>Economy</v>
          </cell>
        </row>
        <row r="161">
          <cell r="A161" t="str">
            <v>Wingate Inn</v>
          </cell>
          <cell r="B161" t="str">
            <v>Midscale w/o F&amp;B</v>
          </cell>
        </row>
        <row r="162">
          <cell r="A162" t="str">
            <v>Woodfield Suites</v>
          </cell>
          <cell r="B162" t="str">
            <v>Economy</v>
          </cell>
        </row>
        <row r="163">
          <cell r="A163" t="str">
            <v>Woodfin Suites</v>
          </cell>
          <cell r="B163" t="str">
            <v>Upscale</v>
          </cell>
        </row>
        <row r="164">
          <cell r="A164" t="str">
            <v xml:space="preserve">Wyndham Garden </v>
          </cell>
          <cell r="B164" t="str">
            <v>Upscale</v>
          </cell>
        </row>
        <row r="165">
          <cell r="A165" t="str">
            <v>Wyndham Hotel</v>
          </cell>
          <cell r="B165" t="str">
            <v>Upper Upscale</v>
          </cell>
        </row>
      </sheetData>
      <sheetData sheetId="2"/>
      <sheetData sheetId="3"/>
      <sheetData sheetId="4"/>
      <sheetData sheetId="5"/>
      <sheetData sheetId="6"/>
      <sheetData sheetId="7"/>
      <sheetData sheetId="8"/>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oldman Pivots"/>
      <sheetName val="Est Comp"/>
      <sheetName val="Category Pivots"/>
      <sheetName val="Sheet1"/>
      <sheetName val="Brand Pivots"/>
      <sheetName val="Lookups"/>
      <sheetName val="Projects"/>
      <sheetName val="LE Brand"/>
      <sheetName val="All Cat"/>
      <sheetName val="STR Brand"/>
      <sheetName val="STR Est. Opens"/>
      <sheetName val="By MSA"/>
      <sheetName val="New Openings"/>
      <sheetName val="LEC PRojects"/>
      <sheetName val="LEC Pivot"/>
      <sheetName val="LEC Brand"/>
      <sheetName val="MS Ex Stay Pivot"/>
      <sheetName val="MS Ex Stay Chart"/>
      <sheetName val="Devp 1999 Q1 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
    </sheetNames>
    <sheetDataSet>
      <sheetData sheetId="0" refreshError="1">
        <row r="1">
          <cell r="A1" t="str">
            <v>source</v>
          </cell>
          <cell r="B1" t="str">
            <v>Seq No</v>
          </cell>
          <cell r="F1" t="str">
            <v>State</v>
          </cell>
          <cell r="G1" t="str">
            <v>Selling Price</v>
          </cell>
          <cell r="I1" t="str">
            <v>Selling Price per Room</v>
          </cell>
          <cell r="AH1" t="str">
            <v>Sort Order</v>
          </cell>
        </row>
      </sheetData>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2 MSA Ranks-pipe by cens rooms"/>
      <sheetName val="82 MSA Ranks-pipe by % of cens"/>
      <sheetName val="footnotes"/>
      <sheetName val="State"/>
      <sheetName val="Region"/>
      <sheetName val="BS Brand"/>
      <sheetName val="2Q Summary"/>
      <sheetName val="Region Summ"/>
      <sheetName val="Rooms by Phase"/>
      <sheetName val="Projects and Rooms"/>
      <sheetName val="lookups"/>
      <sheetName val="82 MSA Ranks"/>
      <sheetName val="82 MSA Ranks-pipe"/>
      <sheetName val="Top 25"/>
      <sheetName val="Bottom 25"/>
      <sheetName val="census"/>
      <sheetName val="BS est ope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6">
          <cell r="B6" t="str">
            <v>Albany-Schenectady-Troy, NY</v>
          </cell>
          <cell r="D6" t="str">
            <v>Albany, NY</v>
          </cell>
        </row>
        <row r="7">
          <cell r="B7" t="str">
            <v>Albuquerque, NM</v>
          </cell>
          <cell r="D7" t="str">
            <v>Albuquerque, NM</v>
          </cell>
        </row>
        <row r="8">
          <cell r="B8" t="str">
            <v>Anaheim-Santa Ana, CA</v>
          </cell>
          <cell r="D8" t="str">
            <v>Anaheim, CA</v>
          </cell>
        </row>
        <row r="9">
          <cell r="B9" t="str">
            <v>Atlanta, GA</v>
          </cell>
          <cell r="D9" t="str">
            <v>Atlanta, GA</v>
          </cell>
        </row>
        <row r="10">
          <cell r="B10" t="str">
            <v>Atlantic City-Cape May, NJ</v>
          </cell>
          <cell r="D10" t="str">
            <v>Atlantic City, NJ</v>
          </cell>
        </row>
        <row r="11">
          <cell r="B11" t="str">
            <v>Austin, TX</v>
          </cell>
          <cell r="D11" t="str">
            <v>Austin, TX</v>
          </cell>
        </row>
        <row r="12">
          <cell r="B12" t="str">
            <v>Baltimore, MD</v>
          </cell>
          <cell r="D12" t="str">
            <v>Baltimore, MD</v>
          </cell>
        </row>
        <row r="13">
          <cell r="B13" t="str">
            <v>Birmingham, AL</v>
          </cell>
          <cell r="D13" t="str">
            <v>Birmingham, AL</v>
          </cell>
        </row>
        <row r="14">
          <cell r="B14" t="str">
            <v>Boston, MA</v>
          </cell>
          <cell r="D14" t="str">
            <v>Boston, MA</v>
          </cell>
        </row>
        <row r="15">
          <cell r="B15" t="str">
            <v>Buffalo-Niagara Falls, NY</v>
          </cell>
          <cell r="D15" t="str">
            <v>Buffalo, NY</v>
          </cell>
        </row>
        <row r="16">
          <cell r="B16" t="str">
            <v>Charleston, SC</v>
          </cell>
          <cell r="D16" t="str">
            <v>Charleston, SC</v>
          </cell>
        </row>
        <row r="17">
          <cell r="B17" t="str">
            <v>Charlotte-Gastonia, NC-SC</v>
          </cell>
          <cell r="D17" t="str">
            <v>Charlotte, NC</v>
          </cell>
        </row>
        <row r="18">
          <cell r="B18" t="str">
            <v>Chicago, IL</v>
          </cell>
          <cell r="D18" t="str">
            <v>Chicago, IL</v>
          </cell>
        </row>
        <row r="19">
          <cell r="B19" t="str">
            <v>Cincinnati, OH-KY-IN</v>
          </cell>
          <cell r="D19" t="str">
            <v>Cincinnati, OH</v>
          </cell>
        </row>
        <row r="20">
          <cell r="B20" t="str">
            <v>Cleveland, OH</v>
          </cell>
          <cell r="D20" t="str">
            <v>Cleveland, OH</v>
          </cell>
        </row>
        <row r="21">
          <cell r="B21" t="str">
            <v>Columbia, SC</v>
          </cell>
          <cell r="D21" t="str">
            <v>Columbia, SC</v>
          </cell>
        </row>
        <row r="22">
          <cell r="B22" t="str">
            <v>Columbus, OH</v>
          </cell>
          <cell r="D22" t="str">
            <v>Columbus, OH</v>
          </cell>
        </row>
        <row r="23">
          <cell r="B23" t="str">
            <v>Dallas, TX</v>
          </cell>
          <cell r="D23" t="str">
            <v>Dallas, TX</v>
          </cell>
        </row>
        <row r="24">
          <cell r="B24" t="str">
            <v>Davenport-Moline-Rock Island, IA-IL</v>
          </cell>
          <cell r="D24" t="str">
            <v>Davenport, IA</v>
          </cell>
        </row>
        <row r="25">
          <cell r="B25" t="str">
            <v>Dayton-Springfield, OH</v>
          </cell>
          <cell r="D25" t="str">
            <v>Dayton, OH</v>
          </cell>
        </row>
        <row r="26">
          <cell r="B26" t="str">
            <v>Daytona Beach, FL</v>
          </cell>
          <cell r="D26" t="str">
            <v>Daytona Beach, FL</v>
          </cell>
        </row>
        <row r="27">
          <cell r="B27" t="str">
            <v>Denver, CO</v>
          </cell>
          <cell r="D27" t="str">
            <v>Denver, CO</v>
          </cell>
        </row>
        <row r="28">
          <cell r="B28" t="str">
            <v>Detroit, MI</v>
          </cell>
          <cell r="D28" t="str">
            <v>Detroit, MI</v>
          </cell>
        </row>
        <row r="29">
          <cell r="B29" t="str">
            <v>Fort Lauderdale, FL</v>
          </cell>
          <cell r="D29" t="str">
            <v>Fort Lauderdale, FL</v>
          </cell>
        </row>
        <row r="30">
          <cell r="B30" t="str">
            <v>Fort Myers-Cape Coral, FL</v>
          </cell>
          <cell r="D30" t="str">
            <v>Fort Myers, FL</v>
          </cell>
        </row>
        <row r="31">
          <cell r="B31" t="str">
            <v>Fort Worth-Arlington, TX</v>
          </cell>
          <cell r="D31" t="str">
            <v>Fort Worth, TX</v>
          </cell>
        </row>
        <row r="32">
          <cell r="B32" t="str">
            <v>Gatlinburg-Pigeon Forge, TN</v>
          </cell>
          <cell r="D32" t="str">
            <v>Gatlinburg, TN</v>
          </cell>
        </row>
        <row r="33">
          <cell r="B33" t="str">
            <v>Greensboro-Winston Salem, NC</v>
          </cell>
          <cell r="D33" t="str">
            <v>Greensboro, NC</v>
          </cell>
        </row>
        <row r="34">
          <cell r="B34" t="str">
            <v>Greenville-Spartanburg, SC</v>
          </cell>
          <cell r="D34" t="str">
            <v>Greenville, SC</v>
          </cell>
        </row>
        <row r="35">
          <cell r="B35" t="str">
            <v>Harrisburg, PA</v>
          </cell>
          <cell r="D35" t="str">
            <v>Harrisburg, PA</v>
          </cell>
        </row>
        <row r="36">
          <cell r="B36" t="str">
            <v>Hartford, CT</v>
          </cell>
          <cell r="D36" t="str">
            <v>Hartford, CT</v>
          </cell>
        </row>
        <row r="37">
          <cell r="B37" t="str">
            <v>Houston, TX</v>
          </cell>
          <cell r="D37" t="str">
            <v>Houston, TX</v>
          </cell>
        </row>
        <row r="38">
          <cell r="B38" t="str">
            <v>Indianapolis, IN</v>
          </cell>
          <cell r="D38" t="str">
            <v>Indianapolis, IN</v>
          </cell>
        </row>
        <row r="39">
          <cell r="B39" t="str">
            <v>Jackson, MS</v>
          </cell>
          <cell r="D39" t="str">
            <v>Jackson, MS</v>
          </cell>
        </row>
        <row r="40">
          <cell r="B40" t="str">
            <v>Jacksonville, FL</v>
          </cell>
          <cell r="D40" t="str">
            <v>Jacksonville, FL</v>
          </cell>
        </row>
        <row r="41">
          <cell r="B41" t="str">
            <v>Kansas City, MO-KS</v>
          </cell>
          <cell r="D41" t="str">
            <v>Kansas City, MO</v>
          </cell>
        </row>
        <row r="42">
          <cell r="B42" t="str">
            <v>Key West, FL</v>
          </cell>
          <cell r="D42" t="str">
            <v>Key West, FL</v>
          </cell>
        </row>
        <row r="43">
          <cell r="B43" t="str">
            <v>Knoxville, TN</v>
          </cell>
          <cell r="D43" t="str">
            <v>Knoxville, TN</v>
          </cell>
        </row>
        <row r="44">
          <cell r="B44" t="str">
            <v>Las Vegas, NV</v>
          </cell>
          <cell r="D44" t="str">
            <v>Las Vegas, NV</v>
          </cell>
        </row>
        <row r="45">
          <cell r="B45" t="str">
            <v>Little Rock, AR</v>
          </cell>
          <cell r="D45" t="str">
            <v>Little Rock, AR</v>
          </cell>
        </row>
        <row r="46">
          <cell r="B46" t="str">
            <v>Los Angeles-Long Beach, CA</v>
          </cell>
          <cell r="D46" t="str">
            <v>Los Angeles, CA</v>
          </cell>
        </row>
        <row r="47">
          <cell r="B47" t="str">
            <v>Louisville, KY-IN</v>
          </cell>
          <cell r="D47" t="str">
            <v>Louisville, KY</v>
          </cell>
        </row>
        <row r="48">
          <cell r="B48" t="str">
            <v>Memphis, TN-AR-MS</v>
          </cell>
          <cell r="D48" t="str">
            <v>Memphis, TN</v>
          </cell>
        </row>
        <row r="49">
          <cell r="B49" t="str">
            <v>Miami, FL</v>
          </cell>
          <cell r="D49" t="str">
            <v>Miami, FL</v>
          </cell>
        </row>
        <row r="50">
          <cell r="B50" t="str">
            <v>Milwaukee, WI</v>
          </cell>
          <cell r="D50" t="str">
            <v>Milwaukee, WI</v>
          </cell>
        </row>
        <row r="51">
          <cell r="B51" t="str">
            <v>Minneapolis-St. Paul, MN-WI</v>
          </cell>
          <cell r="D51" t="str">
            <v>Minneapolis, MN</v>
          </cell>
        </row>
        <row r="52">
          <cell r="B52" t="str">
            <v>Nashville, TN</v>
          </cell>
          <cell r="D52" t="str">
            <v>Nashville, TN</v>
          </cell>
        </row>
        <row r="53">
          <cell r="B53" t="str">
            <v>New Orleans, LA</v>
          </cell>
          <cell r="D53" t="str">
            <v>New Orleans, LA</v>
          </cell>
        </row>
        <row r="54">
          <cell r="B54" t="str">
            <v>New York City, NY</v>
          </cell>
          <cell r="D54" t="str">
            <v>New York, NY</v>
          </cell>
        </row>
        <row r="55">
          <cell r="B55" t="str">
            <v>Newark, NJ</v>
          </cell>
          <cell r="D55" t="str">
            <v>Newark, NJ</v>
          </cell>
        </row>
        <row r="56">
          <cell r="B56" t="str">
            <v>Norfolk-Virginia Beach, VA</v>
          </cell>
          <cell r="D56" t="str">
            <v>Norfolk, VA</v>
          </cell>
        </row>
        <row r="57">
          <cell r="B57" t="str">
            <v>Oahu Island, HI</v>
          </cell>
          <cell r="D57" t="str">
            <v>Oahu Island, HI</v>
          </cell>
        </row>
        <row r="58">
          <cell r="B58" t="str">
            <v>Oakland, CA</v>
          </cell>
          <cell r="D58" t="str">
            <v>Oakland, CA</v>
          </cell>
        </row>
        <row r="59">
          <cell r="B59" t="str">
            <v>Oklahoma City, OK</v>
          </cell>
          <cell r="D59" t="str">
            <v>Oklahoma City, OK</v>
          </cell>
        </row>
        <row r="60">
          <cell r="B60" t="str">
            <v>Omaha, NE</v>
          </cell>
          <cell r="D60" t="str">
            <v>Omaha, NE</v>
          </cell>
        </row>
        <row r="61">
          <cell r="B61" t="str">
            <v>Orlando, FL</v>
          </cell>
          <cell r="D61" t="str">
            <v>Orlando, FL</v>
          </cell>
        </row>
        <row r="62">
          <cell r="B62" t="str">
            <v>Palm Springs, CA</v>
          </cell>
          <cell r="D62" t="str">
            <v>Palm Springs, CA</v>
          </cell>
        </row>
        <row r="63">
          <cell r="B63" t="str">
            <v>Philadelphia, PA-NJ</v>
          </cell>
          <cell r="D63" t="str">
            <v>Philadelphia, PA</v>
          </cell>
        </row>
        <row r="64">
          <cell r="B64" t="str">
            <v>Phoenix, AZ</v>
          </cell>
          <cell r="D64" t="str">
            <v>Phoenix, AZ</v>
          </cell>
        </row>
        <row r="65">
          <cell r="B65" t="str">
            <v>Pittsburgh, PA</v>
          </cell>
          <cell r="D65" t="str">
            <v>Pittsburgh, PA</v>
          </cell>
        </row>
        <row r="66">
          <cell r="B66" t="str">
            <v>Portland, OR</v>
          </cell>
          <cell r="D66" t="str">
            <v>Portland, OR</v>
          </cell>
        </row>
        <row r="67">
          <cell r="B67" t="str">
            <v>Raleigh-Durham-Chapel Hill, NC</v>
          </cell>
          <cell r="D67" t="str">
            <v>Raleigh, NC</v>
          </cell>
        </row>
        <row r="68">
          <cell r="B68" t="str">
            <v>Reno, NV</v>
          </cell>
          <cell r="D68" t="str">
            <v>Reno, NV</v>
          </cell>
        </row>
        <row r="69">
          <cell r="B69" t="str">
            <v>Richmond-Petersburg, VA</v>
          </cell>
          <cell r="D69" t="str">
            <v>Richmond, VA</v>
          </cell>
        </row>
        <row r="70">
          <cell r="B70" t="str">
            <v>Riverside-San Bernadino, CA</v>
          </cell>
          <cell r="D70" t="str">
            <v>Riverside, CA</v>
          </cell>
        </row>
        <row r="71">
          <cell r="B71" t="str">
            <v>Rochester, NY</v>
          </cell>
          <cell r="D71" t="str">
            <v>Rochester, NY</v>
          </cell>
        </row>
        <row r="72">
          <cell r="B72" t="str">
            <v>Sacramento, CA</v>
          </cell>
          <cell r="D72" t="str">
            <v>Sacramento, CA</v>
          </cell>
        </row>
        <row r="73">
          <cell r="B73" t="str">
            <v>Saint Louis, MO-IL</v>
          </cell>
          <cell r="D73" t="str">
            <v>Saint Louis, MO</v>
          </cell>
        </row>
        <row r="74">
          <cell r="B74" t="str">
            <v>Salinas, CA</v>
          </cell>
          <cell r="D74" t="str">
            <v>Salinas, CA</v>
          </cell>
        </row>
        <row r="75">
          <cell r="B75" t="str">
            <v>Salt Lake City, UT</v>
          </cell>
          <cell r="D75" t="str">
            <v>Salt Lake City, UT</v>
          </cell>
        </row>
        <row r="76">
          <cell r="B76" t="str">
            <v>San Antonio, TX</v>
          </cell>
          <cell r="D76" t="str">
            <v>San Antonio, TX</v>
          </cell>
        </row>
        <row r="77">
          <cell r="B77" t="str">
            <v>San Diego, CA</v>
          </cell>
          <cell r="D77" t="str">
            <v>San Diego, CA</v>
          </cell>
        </row>
        <row r="78">
          <cell r="B78" t="str">
            <v>San Francisco, CA</v>
          </cell>
          <cell r="D78" t="str">
            <v>San Francisco, CA</v>
          </cell>
        </row>
        <row r="79">
          <cell r="B79" t="str">
            <v>San Jose, CA</v>
          </cell>
          <cell r="D79" t="str">
            <v>San Jose, CA</v>
          </cell>
        </row>
        <row r="80">
          <cell r="B80" t="str">
            <v>Scranton-Wilkes-Barre, PA</v>
          </cell>
          <cell r="D80" t="str">
            <v>Scranton, PA</v>
          </cell>
        </row>
        <row r="81">
          <cell r="B81" t="str">
            <v>Seattle-Everett, WA</v>
          </cell>
          <cell r="D81" t="str">
            <v>Seattle, WA</v>
          </cell>
        </row>
        <row r="82">
          <cell r="B82" t="str">
            <v>Syracuse, NY</v>
          </cell>
          <cell r="D82" t="str">
            <v>Syracuse, NY</v>
          </cell>
        </row>
        <row r="83">
          <cell r="B83" t="str">
            <v>Tampa-St. Petersburg, FL</v>
          </cell>
          <cell r="D83" t="str">
            <v>Tampa, FL</v>
          </cell>
        </row>
        <row r="84">
          <cell r="B84" t="str">
            <v>Tucson, AZ</v>
          </cell>
          <cell r="D84" t="str">
            <v>Tucson, AZ</v>
          </cell>
        </row>
        <row r="85">
          <cell r="B85" t="str">
            <v>Tulsa, OK</v>
          </cell>
          <cell r="D85" t="str">
            <v>Tulsa, OK</v>
          </cell>
        </row>
        <row r="86">
          <cell r="B86" t="str">
            <v>Washington, DC-MD-VA</v>
          </cell>
          <cell r="D86" t="str">
            <v>Washington, DC</v>
          </cell>
        </row>
        <row r="87">
          <cell r="B87" t="str">
            <v>West Palm Beach-Boca Raton, FL</v>
          </cell>
          <cell r="D87" t="str">
            <v>West Palm Beach, FL</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sor"/>
      <sheetName val="Ssor0102"/>
    </sheetNames>
    <sheetDataSet>
      <sheetData sheetId="0"/>
      <sheetData sheetId="1"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rnings Model"/>
      <sheetName val="__FDSCACHE__"/>
      <sheetName val="ROIC"/>
      <sheetName val="Estimate Summary"/>
      <sheetName val="STN Guidance"/>
      <sheetName val="2Q05"/>
      <sheetName val="Valuation Most Current"/>
      <sheetName val="Valuation Sensitivity"/>
      <sheetName val="1Q05"/>
      <sheetName val="ROIC old"/>
      <sheetName val="Balance sheet - charts"/>
      <sheetName val=" Development Pipeline"/>
      <sheetName val="TV Addl slots math"/>
      <sheetName val="Thunder Valley"/>
      <sheetName val="NPV Thunder Valley"/>
      <sheetName val="Graton"/>
      <sheetName val="NPV Graton"/>
      <sheetName val="Gun Lake NPV Conservative case"/>
      <sheetName val="Chico NPV"/>
      <sheetName val="Mono NPV"/>
      <sheetName val="Mono Prop Math"/>
      <sheetName val="Gun Lake Math"/>
      <sheetName val="Charts"/>
      <sheetName val="Gun Lake NPV Optimistic Case"/>
      <sheetName val="Props"/>
      <sheetName val="Cover Page"/>
      <sheetName val="Guidance and Estimates"/>
      <sheetName val="4Q04"/>
      <sheetName val="RR-GVRComp"/>
      <sheetName val="Valuation - old"/>
      <sheetName val="3Q04"/>
      <sheetName val="2Q04"/>
      <sheetName val="1Q04"/>
      <sheetName val="DCF Model"/>
      <sheetName val="4Q03"/>
      <sheetName val="3Q03"/>
      <sheetName val="2Q03"/>
      <sheetName val="1Q03"/>
      <sheetName val="4Q05"/>
      <sheetName val="4Q05 &amp; 06 Guidance as of 3Q"/>
      <sheetName val="Aliante Math"/>
      <sheetName val="3Q05"/>
      <sheetName val="Report Tables"/>
      <sheetName val="Valuation"/>
      <sheetName val="EarningsModel"/>
      <sheetName val="Mono"/>
      <sheetName val="3Q03 Comp"/>
      <sheetName val="2Q03 Comp"/>
      <sheetName val="1Q03 Comp"/>
    </sheetNames>
    <sheetDataSet>
      <sheetData sheetId="0" refreshError="1">
        <row r="55">
          <cell r="AA55">
            <v>0.7687445413786721</v>
          </cell>
          <cell r="AF55">
            <v>1.1657864568950194</v>
          </cell>
          <cell r="AK55">
            <v>0.55883752249814356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ces"/>
      <sheetName val="Earnings Model"/>
    </sheetNames>
    <sheetDataSet>
      <sheetData sheetId="0" refreshError="1"/>
      <sheetData sheetId="1"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sum"/>
      <sheetName val="Ssor"/>
      <sheetName val="Sseg"/>
      <sheetName val="Scal"/>
      <sheetName val="Strl"/>
      <sheetName val="Top 15"/>
    </sheetNames>
    <sheetDataSet>
      <sheetData sheetId="0"/>
      <sheetData sheetId="1"/>
      <sheetData sheetId="2"/>
      <sheetData sheetId="3"/>
      <sheetData sheetId="4"/>
      <sheetData sheetId="5"/>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inc stmt"/>
      <sheetName val="comp.comm inc stmt"/>
      <sheetName val="comp.bal sht"/>
      <sheetName val="comp.comm bal sht"/>
      <sheetName val="comp.activ ratio"/>
      <sheetName val="comp.liquid ratio"/>
      <sheetName val="comp.debt ratio"/>
      <sheetName val="comp.return ratio"/>
      <sheetName val="comp.cash flow"/>
      <sheetName val="valuation"/>
      <sheetName val="comp.per share"/>
      <sheetName val="comp.mkt cap"/>
      <sheetName val="Sheet1"/>
      <sheetName val="valuation.graph"/>
      <sheetName val="bwa.valuation"/>
      <sheetName val="val.auto v S&amp;P"/>
      <sheetName val="val.P-BV"/>
      <sheetName val="val.P-BV.500"/>
      <sheetName val="roe.auto"/>
      <sheetName val="roe.auto.500"/>
      <sheetName val="dbt-cap.auto"/>
      <sheetName val="dbt-cap.auto.500"/>
      <sheetName val="roc.auto"/>
      <sheetName val="roc.auto.500"/>
      <sheetName val="matrix"/>
      <sheetName val="94-98.rev"/>
      <sheetName val="94-98.eps"/>
      <sheetName val="98-00.eps"/>
      <sheetName val="comp.EV-EBITDA"/>
      <sheetName val="comp.val ratio"/>
      <sheetName val="hedge clause"/>
      <sheetName val="COMPARE"/>
      <sheetName val="#REF"/>
      <sheetName val="univ.daily"/>
      <sheetName val="compare.daily"/>
      <sheetName val="val.P-BV.4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
          <cell r="A1" t="str">
            <v>Exhibit XXX. Auto Parts Suppliers Price/Earnings Ratio</v>
          </cell>
          <cell r="N1" t="str">
            <v>1994</v>
          </cell>
          <cell r="O1" t="str">
            <v>1995</v>
          </cell>
          <cell r="P1" t="str">
            <v>1996</v>
          </cell>
          <cell r="Q1" t="str">
            <v>1997</v>
          </cell>
          <cell r="R1" t="str">
            <v>1998</v>
          </cell>
          <cell r="S1" t="str">
            <v>1999</v>
          </cell>
          <cell r="T1" t="str">
            <v>2000E</v>
          </cell>
          <cell r="U1" t="str">
            <v>94-98 Avg</v>
          </cell>
        </row>
        <row r="2">
          <cell r="M2" t="str">
            <v>High</v>
          </cell>
          <cell r="N2">
            <v>21.25180586996515</v>
          </cell>
          <cell r="O2">
            <v>16.870533176555636</v>
          </cell>
          <cell r="P2">
            <v>18.299511618913069</v>
          </cell>
          <cell r="Q2">
            <v>19.609485223015877</v>
          </cell>
          <cell r="R2">
            <v>20.120300532861304</v>
          </cell>
          <cell r="S2">
            <v>15.235620624386568</v>
          </cell>
          <cell r="T2">
            <v>13.895143952176179</v>
          </cell>
          <cell r="U2">
            <v>19.230327284262209</v>
          </cell>
        </row>
        <row r="3">
          <cell r="M3" t="str">
            <v>Low</v>
          </cell>
          <cell r="N3">
            <v>12.075283389389989</v>
          </cell>
          <cell r="O3">
            <v>10.678233682411097</v>
          </cell>
          <cell r="P3">
            <v>11.298571225881162</v>
          </cell>
          <cell r="Q3">
            <v>11.82105944871658</v>
          </cell>
          <cell r="R3">
            <v>11.129466717936522</v>
          </cell>
          <cell r="S3">
            <v>8.0276489449901121</v>
          </cell>
          <cell r="T3">
            <v>6.6518744458925685</v>
          </cell>
          <cell r="U3">
            <v>11.40052289286707</v>
          </cell>
        </row>
        <row r="4">
          <cell r="M4" t="str">
            <v>Close</v>
          </cell>
          <cell r="N4">
            <v>14.028977294499475</v>
          </cell>
          <cell r="O4">
            <v>14.393299911678492</v>
          </cell>
          <cell r="P4">
            <v>16.054165862845206</v>
          </cell>
          <cell r="Q4">
            <v>16.905329948376796</v>
          </cell>
          <cell r="R4">
            <v>15.814239654372736</v>
          </cell>
          <cell r="S4">
            <v>10.381528846691436</v>
          </cell>
          <cell r="T4">
            <v>7.2810346945703994</v>
          </cell>
          <cell r="U4">
            <v>15.439202534354541</v>
          </cell>
        </row>
        <row r="5">
          <cell r="M5" t="str">
            <v>Mean</v>
          </cell>
          <cell r="N5">
            <v>16.66354462967757</v>
          </cell>
          <cell r="O5">
            <v>13.774383429483366</v>
          </cell>
          <cell r="P5">
            <v>14.799041422397115</v>
          </cell>
          <cell r="Q5">
            <v>15.715272335866228</v>
          </cell>
          <cell r="R5">
            <v>15.624883625398912</v>
          </cell>
          <cell r="S5">
            <v>11.631634784688341</v>
          </cell>
          <cell r="T5">
            <v>10.273509199034374</v>
          </cell>
          <cell r="U5">
            <v>15.315425088564638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sheetData sheetId="34"/>
      <sheetData sheetId="35"/>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inancial One Pager Rev(bn)"/>
      <sheetName val="Prism One Pager"/>
      <sheetName val="Financial One Pager"/>
      <sheetName val="Workings"/>
      <sheetName val="Assumption sheet"/>
      <sheetName val="GPS7 - CoverSheet"/>
      <sheetName val="U.S. Retail Pharm Build"/>
      <sheetName val="International Build"/>
      <sheetName val="U.S. Healthcare Build"/>
      <sheetName val="Corporate Costs Build"/>
      <sheetName val="Quarterly IS"/>
      <sheetName val="Annual IS"/>
      <sheetName val="Balance Sheet"/>
      <sheetName val="Cash Flow"/>
      <sheetName val="Free Cash Flow"/>
      <sheetName val="NWI"/>
      <sheetName val="BS Inputs"/>
      <sheetName val="GPSVAL7-154138-1493"/>
      <sheetName val="Debt Schedule"/>
      <sheetName val="GPSVAL7-154138-171"/>
      <sheetName val="GPSVAL7-154138-2431"/>
      <sheetName val="GPSVAL7-154138-1774"/>
    </sheetNames>
    <sheetDataSet>
      <sheetData sheetId="0"/>
      <sheetData sheetId="1"/>
      <sheetData sheetId="2"/>
      <sheetData sheetId="3">
        <row r="24">
          <cell r="X24">
            <v>111802.22812484912</v>
          </cell>
        </row>
        <row r="26">
          <cell r="X26">
            <v>22900.013369640001</v>
          </cell>
        </row>
        <row r="28">
          <cell r="X28">
            <v>9018.6037491000006</v>
          </cell>
        </row>
        <row r="35">
          <cell r="X35">
            <v>25947.930047421105</v>
          </cell>
        </row>
        <row r="39">
          <cell r="X39">
            <v>23929.520733057594</v>
          </cell>
        </row>
        <row r="143">
          <cell r="J143">
            <v>1087.2875945883441</v>
          </cell>
        </row>
        <row r="156">
          <cell r="H156">
            <v>4053.5322836661549</v>
          </cell>
        </row>
      </sheetData>
      <sheetData sheetId="4"/>
      <sheetData sheetId="5"/>
      <sheetData sheetId="6"/>
      <sheetData sheetId="7"/>
      <sheetData sheetId="8"/>
      <sheetData sheetId="9"/>
      <sheetData sheetId="10"/>
      <sheetData sheetId="11">
        <row r="14">
          <cell r="B14">
            <v>118214</v>
          </cell>
        </row>
        <row r="20">
          <cell r="C20">
            <v>30792</v>
          </cell>
        </row>
        <row r="27">
          <cell r="C27">
            <v>23617</v>
          </cell>
        </row>
        <row r="34">
          <cell r="B34">
            <v>8835</v>
          </cell>
          <cell r="C34">
            <v>9131</v>
          </cell>
        </row>
        <row r="52">
          <cell r="C52">
            <v>616</v>
          </cell>
        </row>
        <row r="56">
          <cell r="C56">
            <v>998</v>
          </cell>
        </row>
      </sheetData>
      <sheetData sheetId="12">
        <row r="8">
          <cell r="C8">
            <v>785</v>
          </cell>
        </row>
        <row r="29">
          <cell r="C29">
            <v>1966</v>
          </cell>
          <cell r="D29">
            <v>5738</v>
          </cell>
          <cell r="E29">
            <v>3265</v>
          </cell>
        </row>
        <row r="32">
          <cell r="C32">
            <v>12431</v>
          </cell>
          <cell r="D32">
            <v>11098</v>
          </cell>
          <cell r="E32">
            <v>12203</v>
          </cell>
        </row>
      </sheetData>
      <sheetData sheetId="13">
        <row r="16">
          <cell r="C16">
            <v>1939</v>
          </cell>
        </row>
        <row r="18">
          <cell r="C18">
            <v>8263</v>
          </cell>
        </row>
        <row r="21">
          <cell r="C21">
            <v>-1367</v>
          </cell>
        </row>
        <row r="28">
          <cell r="C28">
            <v>1596</v>
          </cell>
        </row>
        <row r="29">
          <cell r="C29">
            <v>174</v>
          </cell>
        </row>
        <row r="30">
          <cell r="C30">
            <v>-1739</v>
          </cell>
        </row>
        <row r="31">
          <cell r="C31">
            <v>-5228</v>
          </cell>
        </row>
        <row r="36">
          <cell r="C36">
            <v>-2522</v>
          </cell>
        </row>
      </sheetData>
      <sheetData sheetId="14"/>
      <sheetData sheetId="15"/>
      <sheetData sheetId="16"/>
      <sheetData sheetId="17"/>
      <sheetData sheetId="18"/>
      <sheetData sheetId="19"/>
      <sheetData sheetId="20"/>
      <sheetData sheetId="2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ic"/>
      <sheetName val="Financial One Pager"/>
      <sheetName val="Workngs"/>
      <sheetName val="Revenue&amp;EBITDAworkings"/>
      <sheetName val="Prism One Pager"/>
      <sheetName val="Latest Financials"/>
      <sheetName val="Financials"/>
      <sheetName val="Q3 2022 Call"/>
      <sheetName val="Q2 2022 Call "/>
      <sheetName val="Additional Information"/>
      <sheetName val="Dec 2020 Charts"/>
      <sheetName val="Reconcile vs. prior est"/>
      <sheetName val="Notes"/>
      <sheetName val="Org chart"/>
      <sheetName val="Q's"/>
      <sheetName val="CFO other re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persons/person.xml><?xml version="1.0" encoding="utf-8"?>
<personList xmlns="http://schemas.microsoft.com/office/spreadsheetml/2018/threadedcomments" xmlns:x="http://schemas.openxmlformats.org/spreadsheetml/2006/main">
  <person displayName="Koolwal, Prateek" id="{EB1532AE-32E3-4624-BB46-57332225192B}" userId="S::prateek.koolwal@alliancebernstein.com::cdd822a9-2b84-497b-a327-d53404e83d90"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60" dT="2024-07-09T11:32:25.27" personId="{EB1532AE-32E3-4624-BB46-57332225192B}" id="{FC14DE19-041B-451B-A15E-3CF55CE514AC}">
    <text>Proceeds from sale of asests 655</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6.xml"/></Relationships>
</file>

<file path=xl/worksheets/_rels/sheet14.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C4295-2809-49E6-98A3-828E9FC06F5B}">
  <sheetPr>
    <tabColor rgb="FF92D050"/>
    <pageSetUpPr fitToPage="1"/>
  </sheetPr>
  <dimension ref="A1:XFC151"/>
  <sheetViews>
    <sheetView showGridLines="0" topLeftCell="A6" zoomScaleNormal="100" workbookViewId="0">
      <selection activeCell="N36" sqref="N36"/>
    </sheetView>
  </sheetViews>
  <sheetFormatPr baseColWidth="10" defaultColWidth="10.6640625" defaultRowHeight="15" outlineLevelRow="1" outlineLevelCol="1"/>
  <cols>
    <col min="1" max="1" width="2.33203125" style="5" customWidth="1" outlineLevel="1"/>
    <col min="2" max="2" width="2" style="5" customWidth="1"/>
    <col min="3" max="3" width="12.83203125" style="5" customWidth="1"/>
    <col min="4" max="4" width="22.33203125" style="5" bestFit="1" customWidth="1"/>
    <col min="5" max="6" width="13" style="5" customWidth="1"/>
    <col min="7" max="7" width="13" style="5" hidden="1" customWidth="1"/>
    <col min="8" max="9" width="14.83203125" style="5" hidden="1" customWidth="1"/>
    <col min="10" max="13" width="14.83203125" style="672" customWidth="1"/>
    <col min="14" max="14" width="5.6640625" style="5" customWidth="1"/>
    <col min="15" max="15" width="14.33203125" style="5" customWidth="1"/>
    <col min="16" max="16" width="15.1640625" style="5" customWidth="1"/>
    <col min="17" max="17" width="15.5" style="5" customWidth="1"/>
    <col min="18" max="18" width="14.33203125" style="5" hidden="1" customWidth="1"/>
    <col min="19" max="19" width="3.6640625" style="5" customWidth="1"/>
    <col min="20" max="20" width="14.33203125" style="5" customWidth="1"/>
    <col min="21" max="21" width="15.6640625" style="5" customWidth="1"/>
    <col min="22" max="22" width="16.6640625" style="5" customWidth="1"/>
    <col min="23" max="23" width="13" style="5" hidden="1" customWidth="1"/>
    <col min="24" max="24" width="1.6640625" style="5" customWidth="1"/>
    <col min="25" max="25" width="28.83203125" style="5" customWidth="1"/>
    <col min="26" max="26" width="22" style="331" customWidth="1"/>
    <col min="27" max="27" width="22.33203125" style="331" customWidth="1"/>
    <col min="28" max="28" width="11.5" style="5" customWidth="1"/>
    <col min="29" max="29" width="13" style="5" customWidth="1"/>
    <col min="30" max="30" width="14.1640625" style="5" customWidth="1"/>
    <col min="31" max="31" width="15.6640625" style="5" bestFit="1" customWidth="1"/>
    <col min="32" max="33" width="15.6640625" style="5" customWidth="1"/>
    <col min="34" max="34" width="17.6640625" style="5" customWidth="1"/>
    <col min="35" max="35" width="5" style="5" customWidth="1"/>
    <col min="36" max="16384" width="10.6640625" style="5"/>
  </cols>
  <sheetData>
    <row r="1" spans="1:43" ht="14.25" hidden="1" customHeight="1" outlineLevel="1">
      <c r="C1" s="324"/>
      <c r="D1" s="325"/>
      <c r="E1" s="326"/>
      <c r="F1" s="326"/>
      <c r="G1" s="326"/>
      <c r="H1" s="326"/>
      <c r="I1" s="326"/>
      <c r="J1" s="765"/>
      <c r="K1" s="765"/>
      <c r="L1" s="765"/>
      <c r="M1" s="766"/>
      <c r="N1" s="327"/>
      <c r="O1" s="328" t="s">
        <v>0</v>
      </c>
      <c r="P1" s="329"/>
      <c r="Q1" s="329"/>
      <c r="R1" s="330"/>
      <c r="S1" s="327"/>
      <c r="T1" s="328" t="s">
        <v>1</v>
      </c>
      <c r="U1" s="329"/>
      <c r="V1" s="329"/>
      <c r="W1" s="330"/>
      <c r="AA1" s="332"/>
      <c r="AB1" s="324"/>
      <c r="AC1" s="324"/>
      <c r="AD1" s="324"/>
      <c r="AE1" s="324"/>
      <c r="AF1" s="324"/>
    </row>
    <row r="2" spans="1:43" s="333" customFormat="1" ht="15.75" hidden="1" customHeight="1" outlineLevel="1">
      <c r="B2" s="6"/>
      <c r="C2" s="334"/>
      <c r="D2" s="334"/>
      <c r="E2" s="335"/>
      <c r="F2" s="335"/>
      <c r="G2" s="335"/>
      <c r="H2" s="335"/>
      <c r="I2" s="335"/>
      <c r="J2" s="767"/>
      <c r="K2" s="767" t="s">
        <v>2</v>
      </c>
      <c r="L2" s="767"/>
      <c r="M2" s="336"/>
      <c r="N2" s="335"/>
      <c r="O2" s="337"/>
      <c r="P2" s="335">
        <v>0.21</v>
      </c>
      <c r="Q2" s="335"/>
      <c r="R2" s="338">
        <f>+P2</f>
        <v>0.21</v>
      </c>
      <c r="S2" s="6"/>
      <c r="T2" s="337"/>
      <c r="U2" s="335">
        <v>0.2</v>
      </c>
      <c r="V2" s="335"/>
      <c r="W2" s="338">
        <f>+U2</f>
        <v>0.2</v>
      </c>
      <c r="X2" s="6"/>
      <c r="Y2" s="6"/>
      <c r="Z2" s="339"/>
      <c r="AA2" s="340"/>
      <c r="AB2" s="334"/>
      <c r="AC2" s="334"/>
      <c r="AD2" s="334"/>
      <c r="AE2" s="334"/>
      <c r="AF2" s="334"/>
    </row>
    <row r="3" spans="1:43" s="341" customFormat="1" ht="21.75" hidden="1" customHeight="1" outlineLevel="1">
      <c r="C3" s="342"/>
      <c r="F3" s="342"/>
      <c r="G3" s="342"/>
      <c r="H3" s="342"/>
      <c r="I3" s="342"/>
      <c r="J3" s="768"/>
      <c r="K3" s="768" t="s">
        <v>3</v>
      </c>
      <c r="L3" s="768"/>
      <c r="M3" s="336"/>
      <c r="N3" s="342"/>
      <c r="O3" s="343"/>
      <c r="P3" s="342">
        <v>0.04</v>
      </c>
      <c r="Q3" s="342"/>
      <c r="R3" s="344">
        <f>+P3</f>
        <v>0.04</v>
      </c>
      <c r="S3" s="342"/>
      <c r="T3" s="343"/>
      <c r="U3" s="342">
        <v>0.05</v>
      </c>
      <c r="V3" s="342"/>
      <c r="W3" s="344">
        <f>+U3</f>
        <v>0.05</v>
      </c>
      <c r="Z3" s="345"/>
      <c r="AA3" s="346"/>
      <c r="AB3" s="342"/>
      <c r="AC3" s="342"/>
      <c r="AD3" s="342"/>
      <c r="AE3" s="342"/>
      <c r="AF3" s="342"/>
    </row>
    <row r="4" spans="1:43" s="333" customFormat="1" ht="15.75" hidden="1" customHeight="1" outlineLevel="1">
      <c r="B4" s="6"/>
      <c r="C4" s="334"/>
      <c r="J4" s="769"/>
      <c r="K4" s="769"/>
      <c r="L4" s="769"/>
      <c r="M4" s="770"/>
      <c r="N4" s="6"/>
      <c r="O4" s="347"/>
      <c r="P4" s="6"/>
      <c r="Q4" s="6"/>
      <c r="R4" s="348"/>
      <c r="S4" s="6"/>
      <c r="T4" s="347"/>
      <c r="U4" s="6"/>
      <c r="V4" s="6"/>
      <c r="W4" s="348"/>
      <c r="X4" s="6"/>
      <c r="Y4" s="6"/>
      <c r="Z4" s="339"/>
      <c r="AA4" s="349"/>
      <c r="AB4" s="334"/>
      <c r="AC4" s="334"/>
      <c r="AD4" s="334"/>
      <c r="AE4" s="334"/>
      <c r="AF4" s="334"/>
    </row>
    <row r="5" spans="1:43" ht="15.75" hidden="1" customHeight="1" outlineLevel="1">
      <c r="C5" s="350"/>
      <c r="F5" s="350"/>
      <c r="G5" s="350"/>
      <c r="H5" s="324"/>
      <c r="I5" s="324"/>
      <c r="J5" s="771"/>
      <c r="K5" s="771"/>
      <c r="L5" s="771"/>
      <c r="M5" s="772"/>
      <c r="N5" s="351"/>
      <c r="O5" s="352"/>
      <c r="P5" s="353"/>
      <c r="Q5" s="353"/>
      <c r="R5" s="354"/>
      <c r="S5" s="351"/>
      <c r="T5" s="352"/>
      <c r="U5" s="353"/>
      <c r="V5" s="353"/>
      <c r="W5" s="354"/>
      <c r="AA5" s="355"/>
      <c r="AB5" s="350"/>
      <c r="AC5" s="350"/>
      <c r="AD5" s="350"/>
      <c r="AE5" s="350"/>
      <c r="AF5" s="350"/>
    </row>
    <row r="6" spans="1:43" ht="15" customHeight="1" collapsed="1" thickBot="1">
      <c r="B6" s="873"/>
      <c r="C6" s="895"/>
      <c r="D6" s="895"/>
      <c r="E6" s="895"/>
      <c r="F6" s="895"/>
      <c r="G6" s="895"/>
      <c r="H6" s="873"/>
      <c r="I6" s="873"/>
      <c r="J6" s="896"/>
      <c r="K6" s="896"/>
      <c r="L6" s="896"/>
      <c r="M6" s="778"/>
      <c r="N6" s="873"/>
      <c r="O6" s="873"/>
      <c r="P6" s="873"/>
      <c r="Q6" s="873"/>
      <c r="R6" s="873"/>
      <c r="S6" s="873"/>
      <c r="T6" s="873"/>
      <c r="U6" s="873"/>
      <c r="V6" s="873"/>
      <c r="W6" s="873"/>
      <c r="Y6" s="12"/>
      <c r="Z6" s="356"/>
      <c r="AA6" s="356"/>
      <c r="AB6" s="12"/>
      <c r="AC6" s="12"/>
      <c r="AD6" s="12"/>
      <c r="AE6" s="12"/>
      <c r="AF6" s="12"/>
      <c r="AG6" s="12"/>
    </row>
    <row r="7" spans="1:43" ht="10" customHeight="1" thickBot="1">
      <c r="A7" s="873"/>
      <c r="B7" s="897"/>
      <c r="C7" s="898"/>
      <c r="D7" s="898"/>
      <c r="E7" s="898"/>
      <c r="F7" s="898"/>
      <c r="G7" s="898"/>
      <c r="H7" s="899"/>
      <c r="I7" s="899"/>
      <c r="J7" s="900"/>
      <c r="K7" s="900"/>
      <c r="L7" s="900"/>
      <c r="M7" s="900"/>
      <c r="N7" s="899"/>
      <c r="O7" s="899"/>
      <c r="P7" s="899"/>
      <c r="Q7" s="899"/>
      <c r="R7" s="899"/>
      <c r="S7" s="899"/>
      <c r="T7" s="899"/>
      <c r="U7" s="899"/>
      <c r="V7" s="899"/>
      <c r="W7" s="901"/>
      <c r="Y7" s="359"/>
      <c r="Z7" s="360"/>
      <c r="AA7" s="360"/>
      <c r="AB7" s="359"/>
      <c r="AC7" s="359"/>
      <c r="AD7" s="359"/>
      <c r="AE7" s="359"/>
      <c r="AF7" s="359"/>
      <c r="AG7" s="359"/>
      <c r="AH7" s="359"/>
      <c r="AI7" s="361"/>
    </row>
    <row r="8" spans="1:43" ht="27" thickBot="1">
      <c r="A8" s="873"/>
      <c r="B8" s="902"/>
      <c r="C8" s="903"/>
      <c r="D8" s="964"/>
      <c r="E8" s="965"/>
      <c r="F8" s="966"/>
      <c r="G8" s="363"/>
      <c r="H8" s="364"/>
      <c r="I8" s="1" t="s">
        <v>75</v>
      </c>
      <c r="J8" s="788" t="s">
        <v>75</v>
      </c>
      <c r="K8" s="773"/>
      <c r="L8" s="773"/>
      <c r="M8" s="774"/>
      <c r="N8" s="357" t="s">
        <v>4</v>
      </c>
      <c r="O8" s="967" t="s">
        <v>5</v>
      </c>
      <c r="P8" s="967"/>
      <c r="Q8" s="967"/>
      <c r="R8" s="967"/>
      <c r="S8" s="894"/>
      <c r="T8" s="967"/>
      <c r="U8" s="967"/>
      <c r="V8" s="967"/>
      <c r="W8" s="968"/>
      <c r="Y8" s="969" t="s">
        <v>6</v>
      </c>
      <c r="Z8" s="969"/>
      <c r="AB8" s="803">
        <f ca="1">TODAY()</f>
        <v>46283</v>
      </c>
      <c r="AC8" s="804"/>
      <c r="AD8" s="805"/>
      <c r="AE8" s="67"/>
      <c r="AF8" s="67"/>
      <c r="AG8" s="67"/>
      <c r="AI8" s="357"/>
    </row>
    <row r="9" spans="1:43" ht="24" customHeight="1" thickBot="1">
      <c r="A9" s="873"/>
      <c r="B9" s="902"/>
      <c r="C9" s="903"/>
      <c r="D9" s="970" t="s">
        <v>74</v>
      </c>
      <c r="E9" s="971"/>
      <c r="F9" s="972"/>
      <c r="G9" s="2"/>
      <c r="H9" s="3"/>
      <c r="I9" s="4" t="s">
        <v>68</v>
      </c>
      <c r="J9" s="4" t="s">
        <v>262</v>
      </c>
      <c r="K9" s="775"/>
      <c r="L9" s="775"/>
      <c r="M9" s="776"/>
      <c r="N9" s="357"/>
      <c r="O9" s="973" t="s">
        <v>423</v>
      </c>
      <c r="P9" s="974"/>
      <c r="Q9" s="974"/>
      <c r="R9" s="974"/>
      <c r="S9" s="873"/>
      <c r="T9" s="974"/>
      <c r="U9" s="974"/>
      <c r="V9" s="974"/>
      <c r="W9" s="975"/>
      <c r="Y9" s="976" t="s">
        <v>405</v>
      </c>
      <c r="Z9" s="976"/>
      <c r="AD9" s="365"/>
      <c r="AE9" s="365"/>
      <c r="AF9" s="365"/>
      <c r="AI9" s="357"/>
    </row>
    <row r="10" spans="1:43" ht="25.5" hidden="1" customHeight="1" thickBot="1">
      <c r="A10" s="873"/>
      <c r="B10" s="902"/>
      <c r="C10" s="903"/>
      <c r="D10" s="873"/>
      <c r="E10" s="873"/>
      <c r="F10" s="873"/>
      <c r="G10" s="873"/>
      <c r="H10" s="873"/>
      <c r="I10" s="873"/>
      <c r="J10" s="896"/>
      <c r="K10" s="896"/>
      <c r="L10" s="896"/>
      <c r="M10" s="896"/>
      <c r="N10" s="873"/>
      <c r="O10" s="12"/>
      <c r="P10" s="873"/>
      <c r="Q10" s="873"/>
      <c r="R10" s="873"/>
      <c r="S10" s="873"/>
      <c r="T10" s="873"/>
      <c r="U10" s="873"/>
      <c r="V10" s="873"/>
      <c r="W10" s="904"/>
      <c r="AD10" s="365"/>
      <c r="AE10" s="365"/>
      <c r="AF10" s="365"/>
      <c r="AI10" s="357"/>
    </row>
    <row r="11" spans="1:43" ht="17.25" customHeight="1" thickBot="1">
      <c r="A11" s="873"/>
      <c r="B11" s="902"/>
      <c r="C11" s="903"/>
      <c r="D11" s="903"/>
      <c r="E11" s="873"/>
      <c r="F11" s="873"/>
      <c r="G11" s="873"/>
      <c r="H11" s="6"/>
      <c r="I11" s="6"/>
      <c r="J11" s="777"/>
      <c r="K11" s="778"/>
      <c r="L11" s="778"/>
      <c r="M11" s="779"/>
      <c r="N11" s="873"/>
      <c r="O11" s="7" t="s">
        <v>7</v>
      </c>
      <c r="P11" s="8"/>
      <c r="Q11" s="8"/>
      <c r="R11" s="9"/>
      <c r="S11" s="905"/>
      <c r="T11" s="7" t="s">
        <v>8</v>
      </c>
      <c r="U11" s="8"/>
      <c r="V11" s="8"/>
      <c r="W11" s="906"/>
      <c r="Y11" s="365"/>
      <c r="Z11" s="366"/>
      <c r="AA11" s="366"/>
      <c r="AB11" s="365"/>
      <c r="AC11" s="365"/>
      <c r="AD11" s="10" t="s">
        <v>9</v>
      </c>
      <c r="AE11" s="10"/>
      <c r="AF11" s="11"/>
      <c r="AI11" s="357"/>
      <c r="AN11" s="367"/>
      <c r="AO11" s="367"/>
      <c r="AP11" s="367"/>
      <c r="AQ11" s="367"/>
    </row>
    <row r="12" spans="1:43" ht="17" thickBot="1">
      <c r="A12" s="873"/>
      <c r="B12" s="907" t="s">
        <v>4</v>
      </c>
      <c r="C12" s="977" t="s">
        <v>10</v>
      </c>
      <c r="D12" s="978"/>
      <c r="E12" s="979"/>
      <c r="F12" s="979"/>
      <c r="G12" s="979" t="s">
        <v>11</v>
      </c>
      <c r="H12" s="979" t="s">
        <v>12</v>
      </c>
      <c r="I12" s="979" t="s">
        <v>13</v>
      </c>
      <c r="J12" s="980" t="s">
        <v>82</v>
      </c>
      <c r="K12" s="980" t="s">
        <v>81</v>
      </c>
      <c r="L12" s="980" t="s">
        <v>111</v>
      </c>
      <c r="M12" s="981" t="s">
        <v>73</v>
      </c>
      <c r="N12" s="908"/>
      <c r="O12" s="372" t="s">
        <v>14</v>
      </c>
      <c r="P12" s="909" t="s">
        <v>15</v>
      </c>
      <c r="Q12" s="909" t="s">
        <v>130</v>
      </c>
      <c r="R12" s="373" t="s">
        <v>15</v>
      </c>
      <c r="S12" s="910"/>
      <c r="T12" s="982" t="s">
        <v>14</v>
      </c>
      <c r="U12" s="983" t="s">
        <v>15</v>
      </c>
      <c r="V12" s="983" t="s">
        <v>130</v>
      </c>
      <c r="W12" s="911" t="str">
        <f>+R12</f>
        <v>2027E</v>
      </c>
      <c r="Y12" s="977" t="s">
        <v>16</v>
      </c>
      <c r="Z12" s="984" t="s">
        <v>69</v>
      </c>
      <c r="AA12" s="985" t="s">
        <v>66</v>
      </c>
      <c r="AB12" s="984"/>
      <c r="AC12" s="985" t="str">
        <f>+M12</f>
        <v>LTM</v>
      </c>
      <c r="AD12" s="986"/>
      <c r="AE12" s="986"/>
      <c r="AF12" s="374"/>
      <c r="AI12" s="357"/>
      <c r="AN12" s="375"/>
    </row>
    <row r="13" spans="1:43" ht="17" thickBot="1">
      <c r="A13" s="873"/>
      <c r="B13" s="907" t="s">
        <v>4</v>
      </c>
      <c r="C13" s="376"/>
      <c r="D13" s="869"/>
      <c r="E13" s="378"/>
      <c r="F13" s="378"/>
      <c r="G13" s="379">
        <v>43330</v>
      </c>
      <c r="H13" s="379"/>
      <c r="I13" s="379"/>
      <c r="J13" s="780"/>
      <c r="K13" s="780"/>
      <c r="L13" s="780"/>
      <c r="M13" s="781"/>
      <c r="N13" s="867"/>
      <c r="O13" s="379"/>
      <c r="P13" s="379"/>
      <c r="Q13" s="379"/>
      <c r="R13" s="379"/>
      <c r="S13" s="378"/>
      <c r="T13" s="379"/>
      <c r="U13" s="379"/>
      <c r="V13" s="379"/>
      <c r="W13" s="912">
        <v>46617</v>
      </c>
      <c r="Y13" s="667" t="s">
        <v>365</v>
      </c>
      <c r="Z13" s="679">
        <v>3.7499999999999999E-2</v>
      </c>
      <c r="AA13" s="763">
        <v>46827</v>
      </c>
      <c r="AC13" s="67">
        <v>597</v>
      </c>
      <c r="AD13" s="115" t="s">
        <v>367</v>
      </c>
      <c r="AE13" s="361"/>
      <c r="AF13" s="381"/>
      <c r="AI13" s="357"/>
      <c r="AK13" s="118" t="s">
        <v>361</v>
      </c>
      <c r="AL13" s="118" t="s">
        <v>362</v>
      </c>
      <c r="AM13" s="118" t="s">
        <v>66</v>
      </c>
      <c r="AN13" s="118" t="s">
        <v>363</v>
      </c>
      <c r="AO13" s="118" t="s">
        <v>364</v>
      </c>
    </row>
    <row r="14" spans="1:43" ht="17" thickBot="1">
      <c r="A14" s="873"/>
      <c r="B14" s="907"/>
      <c r="C14" s="987" t="s">
        <v>17</v>
      </c>
      <c r="D14" s="988"/>
      <c r="E14" s="989"/>
      <c r="F14" s="989"/>
      <c r="G14" s="989"/>
      <c r="H14" s="989"/>
      <c r="I14" s="963"/>
      <c r="J14" s="990"/>
      <c r="K14" s="990"/>
      <c r="L14" s="990"/>
      <c r="M14" s="991"/>
      <c r="N14" s="867"/>
      <c r="O14" s="387"/>
      <c r="P14" s="384"/>
      <c r="Q14" s="388"/>
      <c r="R14" s="389"/>
      <c r="S14" s="390"/>
      <c r="T14" s="992"/>
      <c r="U14" s="989"/>
      <c r="V14" s="993"/>
      <c r="W14" s="913"/>
      <c r="Y14" s="667" t="s">
        <v>368</v>
      </c>
      <c r="Z14" s="16" t="s">
        <v>369</v>
      </c>
      <c r="AA14" s="763">
        <v>46639</v>
      </c>
      <c r="AC14" s="67">
        <v>386</v>
      </c>
      <c r="AD14" s="115" t="s">
        <v>370</v>
      </c>
      <c r="AE14" s="357"/>
      <c r="AF14" s="381"/>
      <c r="AI14" s="357"/>
      <c r="AK14" s="67" t="s">
        <v>365</v>
      </c>
      <c r="AL14" s="391">
        <v>3.7499999999999999E-2</v>
      </c>
      <c r="AM14" s="67" t="s">
        <v>366</v>
      </c>
      <c r="AN14" s="67">
        <v>597</v>
      </c>
      <c r="AO14" s="67" t="s">
        <v>367</v>
      </c>
    </row>
    <row r="15" spans="1:43" ht="16">
      <c r="A15" s="873"/>
      <c r="B15" s="907"/>
      <c r="C15" s="392" t="s">
        <v>101</v>
      </c>
      <c r="D15" s="914"/>
      <c r="E15" s="394"/>
      <c r="F15" s="394"/>
      <c r="G15" s="394"/>
      <c r="H15" s="394"/>
      <c r="I15" s="915"/>
      <c r="J15" s="916"/>
      <c r="K15" s="916"/>
      <c r="L15" s="916"/>
      <c r="M15" s="782"/>
      <c r="N15" s="917"/>
      <c r="O15" s="397"/>
      <c r="P15" s="398"/>
      <c r="Q15" s="399"/>
      <c r="R15" s="399"/>
      <c r="S15" s="400"/>
      <c r="T15" s="401"/>
      <c r="U15" s="402"/>
      <c r="V15" s="403"/>
      <c r="W15" s="918">
        <f>[129]Workings!X24-[129]Workings!J143</f>
        <v>110714.94053026078</v>
      </c>
      <c r="Y15" s="667" t="s">
        <v>371</v>
      </c>
      <c r="Z15" s="16" t="s">
        <v>369</v>
      </c>
      <c r="AA15" s="763">
        <v>47726</v>
      </c>
      <c r="AC15" s="67">
        <v>70</v>
      </c>
      <c r="AD15" s="115" t="s">
        <v>373</v>
      </c>
      <c r="AE15" s="404"/>
      <c r="AF15" s="381"/>
      <c r="AG15" s="405"/>
      <c r="AI15" s="357"/>
      <c r="AK15" s="67" t="s">
        <v>368</v>
      </c>
      <c r="AL15" s="67" t="s">
        <v>369</v>
      </c>
      <c r="AM15" s="406">
        <v>46639</v>
      </c>
      <c r="AN15" s="67">
        <v>386</v>
      </c>
      <c r="AO15" s="67" t="s">
        <v>370</v>
      </c>
    </row>
    <row r="16" spans="1:43" ht="16">
      <c r="A16" s="892"/>
      <c r="B16" s="907" t="s">
        <v>4</v>
      </c>
      <c r="C16" s="408" t="s">
        <v>76</v>
      </c>
      <c r="D16" s="919"/>
      <c r="E16" s="410"/>
      <c r="F16" s="410"/>
      <c r="G16" s="411"/>
      <c r="H16" s="411"/>
      <c r="I16" s="411"/>
      <c r="J16" s="412">
        <f>6342</f>
        <v>6342</v>
      </c>
      <c r="K16" s="413">
        <f>6076</f>
        <v>6076</v>
      </c>
      <c r="L16" s="413">
        <f>5960</f>
        <v>5960</v>
      </c>
      <c r="M16" s="414">
        <f>1483-1470+L16</f>
        <v>5973</v>
      </c>
      <c r="N16" s="917"/>
      <c r="O16" s="397">
        <f>'Base Case Forecast '!K21</f>
        <v>5985.9747912328776</v>
      </c>
      <c r="P16" s="398">
        <f>'Base Case Forecast '!L21</f>
        <v>6020.2276312499998</v>
      </c>
      <c r="Q16" s="399">
        <f>'Base Case Forecast '!M21</f>
        <v>6030.2148285487483</v>
      </c>
      <c r="R16" s="399"/>
      <c r="S16" s="411"/>
      <c r="T16" s="397">
        <f>'Bear Case Forecast'!K20</f>
        <v>5896.2865200000006</v>
      </c>
      <c r="U16" s="398">
        <f>'Bear Case Forecast'!L20</f>
        <v>5881.8061799999996</v>
      </c>
      <c r="V16" s="399">
        <f>'Bear Case Forecast'!M20</f>
        <v>5848.3485000000001</v>
      </c>
      <c r="W16" s="918">
        <f>[129]Workings!X26</f>
        <v>22900.013369640001</v>
      </c>
      <c r="Y16" s="667" t="s">
        <v>374</v>
      </c>
      <c r="Z16" s="679">
        <v>0.05</v>
      </c>
      <c r="AA16" s="763">
        <v>46600</v>
      </c>
      <c r="AC16" s="415">
        <v>1248</v>
      </c>
      <c r="AD16" s="115" t="s">
        <v>375</v>
      </c>
      <c r="AE16" s="404"/>
      <c r="AF16" s="381"/>
      <c r="AI16" s="357"/>
      <c r="AK16" s="67" t="s">
        <v>371</v>
      </c>
      <c r="AL16" s="67" t="s">
        <v>369</v>
      </c>
      <c r="AM16" s="67" t="s">
        <v>372</v>
      </c>
      <c r="AN16" s="67">
        <v>70</v>
      </c>
      <c r="AO16" s="67" t="s">
        <v>373</v>
      </c>
    </row>
    <row r="17" spans="1:43" ht="16">
      <c r="A17" s="892"/>
      <c r="B17" s="907"/>
      <c r="C17" s="416" t="s">
        <v>77</v>
      </c>
      <c r="D17" s="919"/>
      <c r="E17" s="410"/>
      <c r="F17" s="410"/>
      <c r="G17" s="411"/>
      <c r="H17" s="411"/>
      <c r="I17" s="411"/>
      <c r="J17" s="412">
        <f>169</f>
        <v>169</v>
      </c>
      <c r="K17" s="412">
        <f>167</f>
        <v>167</v>
      </c>
      <c r="L17" s="412">
        <f>157</f>
        <v>157</v>
      </c>
      <c r="M17" s="414">
        <f>35-39+L17</f>
        <v>153</v>
      </c>
      <c r="N17" s="917"/>
      <c r="O17" s="397">
        <f>'Base Case Forecast '!K22</f>
        <v>157</v>
      </c>
      <c r="P17" s="398">
        <f>'Base Case Forecast '!L22</f>
        <v>157</v>
      </c>
      <c r="Q17" s="399">
        <f>'Base Case Forecast '!M22</f>
        <v>157</v>
      </c>
      <c r="R17" s="399"/>
      <c r="S17" s="398"/>
      <c r="T17" s="397">
        <f>'Bear Case Forecast'!K21</f>
        <v>156.99999999999997</v>
      </c>
      <c r="U17" s="398">
        <f>'Bear Case Forecast'!L21</f>
        <v>156.99999999999997</v>
      </c>
      <c r="V17" s="399">
        <f>'Bear Case Forecast'!M21</f>
        <v>156.99999999999997</v>
      </c>
      <c r="W17" s="918">
        <f>[129]Workings!X28</f>
        <v>9018.6037491000006</v>
      </c>
      <c r="Y17" s="667" t="s">
        <v>376</v>
      </c>
      <c r="Z17" s="679">
        <v>0.04</v>
      </c>
      <c r="AA17" s="763">
        <v>46949</v>
      </c>
      <c r="AC17" s="415">
        <v>1992</v>
      </c>
      <c r="AD17" s="115" t="s">
        <v>378</v>
      </c>
      <c r="AE17" s="404"/>
      <c r="AF17" s="381"/>
      <c r="AI17" s="357"/>
      <c r="AK17" s="67" t="s">
        <v>374</v>
      </c>
      <c r="AL17" s="391">
        <v>0.05</v>
      </c>
      <c r="AM17" s="406">
        <v>46395</v>
      </c>
      <c r="AN17" s="415">
        <v>1248</v>
      </c>
      <c r="AO17" s="67" t="s">
        <v>375</v>
      </c>
    </row>
    <row r="18" spans="1:43" ht="16">
      <c r="A18" s="892"/>
      <c r="B18" s="907"/>
      <c r="C18" s="416" t="s">
        <v>78</v>
      </c>
      <c r="D18" s="919"/>
      <c r="E18" s="410"/>
      <c r="F18" s="410"/>
      <c r="G18" s="411"/>
      <c r="H18" s="398"/>
      <c r="I18" s="398"/>
      <c r="J18" s="413">
        <v>193</v>
      </c>
      <c r="K18" s="413">
        <v>182</v>
      </c>
      <c r="L18" s="413">
        <v>178</v>
      </c>
      <c r="M18" s="414">
        <f>41-41+L18</f>
        <v>178</v>
      </c>
      <c r="N18" s="917"/>
      <c r="O18" s="397">
        <f>'Base Case Forecast '!K23</f>
        <v>174.08791208791209</v>
      </c>
      <c r="P18" s="398">
        <f>'Base Case Forecast '!L23</f>
        <v>170.261804129936</v>
      </c>
      <c r="Q18" s="399">
        <f>'Base Case Forecast '!M23</f>
        <v>166.51978645675058</v>
      </c>
      <c r="R18" s="399"/>
      <c r="S18" s="398"/>
      <c r="T18" s="397">
        <f>'Bear Case Forecast'!K22</f>
        <v>174.08791208791209</v>
      </c>
      <c r="U18" s="398">
        <f>'Bear Case Forecast'!L22</f>
        <v>170.261804129936</v>
      </c>
      <c r="V18" s="399">
        <f>'Bear Case Forecast'!M22</f>
        <v>166.51978645675058</v>
      </c>
      <c r="W18" s="918"/>
      <c r="Y18" s="667" t="s">
        <v>379</v>
      </c>
      <c r="Z18" s="679">
        <v>5.5E-2</v>
      </c>
      <c r="AA18" s="763">
        <v>47300</v>
      </c>
      <c r="AC18" s="415">
        <v>1245</v>
      </c>
      <c r="AD18" s="115" t="s">
        <v>375</v>
      </c>
      <c r="AE18" s="404"/>
      <c r="AF18" s="381"/>
      <c r="AI18" s="357"/>
      <c r="AK18" s="67" t="s">
        <v>376</v>
      </c>
      <c r="AL18" s="391">
        <v>0.04</v>
      </c>
      <c r="AM18" s="67" t="s">
        <v>377</v>
      </c>
      <c r="AN18" s="415">
        <v>1992</v>
      </c>
      <c r="AO18" s="67" t="s">
        <v>378</v>
      </c>
    </row>
    <row r="19" spans="1:43" ht="16">
      <c r="A19" s="892"/>
      <c r="B19" s="907"/>
      <c r="C19" s="416" t="s">
        <v>79</v>
      </c>
      <c r="D19" s="919"/>
      <c r="E19" s="410"/>
      <c r="F19" s="410"/>
      <c r="G19" s="411"/>
      <c r="H19" s="411"/>
      <c r="I19" s="411"/>
      <c r="J19" s="412">
        <v>136</v>
      </c>
      <c r="K19" s="413">
        <v>128</v>
      </c>
      <c r="L19" s="413">
        <v>122</v>
      </c>
      <c r="M19" s="414">
        <f>31-31+L19</f>
        <v>122</v>
      </c>
      <c r="N19" s="917"/>
      <c r="O19" s="397">
        <f>'Base Case Forecast '!K24</f>
        <v>122</v>
      </c>
      <c r="P19" s="398">
        <f>'Base Case Forecast '!L24</f>
        <v>122</v>
      </c>
      <c r="Q19" s="399">
        <f>'Base Case Forecast '!M24</f>
        <v>122</v>
      </c>
      <c r="R19" s="399"/>
      <c r="S19" s="398"/>
      <c r="T19" s="397">
        <f>'Bear Case Forecast'!K23</f>
        <v>122</v>
      </c>
      <c r="U19" s="398">
        <f>'Bear Case Forecast'!L23</f>
        <v>122</v>
      </c>
      <c r="V19" s="399">
        <f>'Bear Case Forecast'!M23</f>
        <v>122</v>
      </c>
      <c r="W19" s="918"/>
      <c r="Y19" s="667" t="s">
        <v>380</v>
      </c>
      <c r="Z19" s="679">
        <v>4.1250000000000002E-2</v>
      </c>
      <c r="AA19" s="763">
        <v>47665</v>
      </c>
      <c r="AC19" s="415">
        <v>1492</v>
      </c>
      <c r="AD19" s="115" t="s">
        <v>381</v>
      </c>
      <c r="AE19" s="404"/>
      <c r="AF19" s="381"/>
      <c r="AI19" s="357"/>
      <c r="AK19" s="67" t="s">
        <v>379</v>
      </c>
      <c r="AL19" s="391">
        <v>5.5E-2</v>
      </c>
      <c r="AM19" s="406">
        <v>47125</v>
      </c>
      <c r="AN19" s="415">
        <v>1245</v>
      </c>
      <c r="AO19" s="67" t="s">
        <v>375</v>
      </c>
    </row>
    <row r="20" spans="1:43" ht="16">
      <c r="A20" s="892"/>
      <c r="B20" s="907"/>
      <c r="C20" s="417" t="s">
        <v>83</v>
      </c>
      <c r="D20" s="919"/>
      <c r="E20" s="410"/>
      <c r="F20" s="410"/>
      <c r="G20" s="411"/>
      <c r="H20" s="411"/>
      <c r="I20" s="411"/>
      <c r="J20" s="412"/>
      <c r="K20" s="413"/>
      <c r="L20" s="413"/>
      <c r="M20" s="414"/>
      <c r="N20" s="917"/>
      <c r="O20" s="397"/>
      <c r="P20" s="398"/>
      <c r="Q20" s="399"/>
      <c r="R20" s="399"/>
      <c r="S20" s="398"/>
      <c r="T20" s="397"/>
      <c r="U20" s="398"/>
      <c r="V20" s="399"/>
      <c r="W20" s="918"/>
      <c r="Y20" s="667" t="s">
        <v>382</v>
      </c>
      <c r="Z20" s="679">
        <v>3.875E-2</v>
      </c>
      <c r="AA20" s="763">
        <v>48092</v>
      </c>
      <c r="AC20" s="415">
        <v>1490</v>
      </c>
      <c r="AD20" s="115" t="s">
        <v>381</v>
      </c>
      <c r="AE20" s="404"/>
      <c r="AF20" s="381"/>
      <c r="AI20" s="357"/>
      <c r="AK20" s="67" t="s">
        <v>380</v>
      </c>
      <c r="AL20" s="391">
        <v>4.1250000000000002E-2</v>
      </c>
      <c r="AM20" s="406">
        <v>47490</v>
      </c>
      <c r="AN20" s="415">
        <v>1492</v>
      </c>
      <c r="AO20" s="67" t="s">
        <v>381</v>
      </c>
    </row>
    <row r="21" spans="1:43" ht="16">
      <c r="A21" s="892"/>
      <c r="B21" s="907"/>
      <c r="C21" s="408" t="s">
        <v>76</v>
      </c>
      <c r="D21" s="919"/>
      <c r="E21" s="410"/>
      <c r="F21" s="410"/>
      <c r="G21" s="411"/>
      <c r="H21" s="411"/>
      <c r="I21" s="411"/>
      <c r="J21" s="412">
        <v>524</v>
      </c>
      <c r="K21" s="413">
        <v>540</v>
      </c>
      <c r="L21" s="413">
        <v>526</v>
      </c>
      <c r="M21" s="414">
        <f>129-132+L21</f>
        <v>523</v>
      </c>
      <c r="N21" s="917"/>
      <c r="O21" s="397">
        <f>'Base Case Forecast '!K26</f>
        <v>509.59841730667978</v>
      </c>
      <c r="P21" s="398">
        <f>'Base Case Forecast '!L26</f>
        <v>508.95086804179556</v>
      </c>
      <c r="Q21" s="399">
        <f>'Base Case Forecast '!M26</f>
        <v>496.27799142755481</v>
      </c>
      <c r="R21" s="399"/>
      <c r="S21" s="398"/>
      <c r="T21" s="397">
        <f>'Bear Case Forecast'!K25</f>
        <v>509.59861907807112</v>
      </c>
      <c r="U21" s="398">
        <f>'Bear Case Forecast'!L25</f>
        <v>499.72114683551411</v>
      </c>
      <c r="V21" s="399">
        <f>'Bear Case Forecast'!M25</f>
        <v>471.92070094332996</v>
      </c>
      <c r="W21" s="918"/>
      <c r="Y21" s="667" t="s">
        <v>383</v>
      </c>
      <c r="Z21" s="679">
        <v>5.8749999999999997E-2</v>
      </c>
      <c r="AA21" s="763">
        <v>48319</v>
      </c>
      <c r="AC21" s="415">
        <v>1236</v>
      </c>
      <c r="AD21" s="115" t="s">
        <v>375</v>
      </c>
      <c r="AE21" s="404"/>
      <c r="AF21" s="381"/>
      <c r="AI21" s="357"/>
      <c r="AK21" s="67" t="s">
        <v>382</v>
      </c>
      <c r="AL21" s="391">
        <v>3.875E-2</v>
      </c>
      <c r="AM21" s="406">
        <v>47857</v>
      </c>
      <c r="AN21" s="415">
        <v>1490</v>
      </c>
      <c r="AO21" s="67" t="s">
        <v>381</v>
      </c>
    </row>
    <row r="22" spans="1:43" ht="16">
      <c r="A22" s="892"/>
      <c r="B22" s="907"/>
      <c r="C22" s="416" t="s">
        <v>77</v>
      </c>
      <c r="D22" s="919"/>
      <c r="E22" s="410"/>
      <c r="F22" s="410"/>
      <c r="G22" s="411"/>
      <c r="H22" s="411"/>
      <c r="I22" s="411"/>
      <c r="J22" s="412">
        <v>1589</v>
      </c>
      <c r="K22" s="413">
        <v>1606</v>
      </c>
      <c r="L22" s="413">
        <v>1615</v>
      </c>
      <c r="M22" s="414">
        <f>372-355+L22</f>
        <v>1632</v>
      </c>
      <c r="N22" s="917"/>
      <c r="O22" s="397">
        <f>'Base Case Forecast '!K29</f>
        <v>1699.9798193350905</v>
      </c>
      <c r="P22" s="398">
        <f>'Base Case Forecast '!L29</f>
        <v>1798.2453507881148</v>
      </c>
      <c r="Q22" s="399">
        <f>'Base Case Forecast '!M29</f>
        <v>1984.6930666363623</v>
      </c>
      <c r="R22" s="399"/>
      <c r="S22" s="398"/>
      <c r="T22" s="397">
        <f>'Bear Case Forecast'!K28</f>
        <v>1163.8113375</v>
      </c>
      <c r="U22" s="398">
        <f>'Bear Case Forecast'!L28</f>
        <v>970.43737749999991</v>
      </c>
      <c r="V22" s="399">
        <f>'Bear Case Forecast'!M28</f>
        <v>970.43737749999991</v>
      </c>
      <c r="W22" s="918"/>
      <c r="Y22" s="667" t="s">
        <v>385</v>
      </c>
      <c r="Z22" s="16" t="s">
        <v>104</v>
      </c>
      <c r="AA22" s="16" t="s">
        <v>386</v>
      </c>
      <c r="AC22" s="67">
        <v>4</v>
      </c>
      <c r="AD22" s="115" t="s">
        <v>387</v>
      </c>
      <c r="AE22" s="404"/>
      <c r="AF22" s="381"/>
      <c r="AI22" s="357"/>
      <c r="AK22" s="67" t="s">
        <v>383</v>
      </c>
      <c r="AL22" s="391">
        <v>5.8749999999999997E-2</v>
      </c>
      <c r="AM22" s="67" t="s">
        <v>384</v>
      </c>
      <c r="AN22" s="415">
        <v>1236</v>
      </c>
      <c r="AO22" s="67" t="s">
        <v>375</v>
      </c>
    </row>
    <row r="23" spans="1:43" ht="16">
      <c r="A23" s="873"/>
      <c r="B23" s="907" t="s">
        <v>4</v>
      </c>
      <c r="C23" s="418" t="s">
        <v>19</v>
      </c>
      <c r="D23" s="419"/>
      <c r="E23" s="420"/>
      <c r="F23" s="420"/>
      <c r="G23" s="421">
        <f>SUM(G16:G19)</f>
        <v>0</v>
      </c>
      <c r="H23" s="421"/>
      <c r="I23" s="421"/>
      <c r="J23" s="421">
        <f>SUM(J16:J22)</f>
        <v>8953</v>
      </c>
      <c r="K23" s="421">
        <f t="shared" ref="K23:M23" si="0">SUM(K16:K22)</f>
        <v>8699</v>
      </c>
      <c r="L23" s="421">
        <f t="shared" si="0"/>
        <v>8558</v>
      </c>
      <c r="M23" s="421">
        <f t="shared" si="0"/>
        <v>8581</v>
      </c>
      <c r="N23" s="422"/>
      <c r="O23" s="423">
        <f>'Base Case Forecast '!K31</f>
        <v>8648.6409399625591</v>
      </c>
      <c r="P23" s="424">
        <f>'Base Case Forecast '!L31</f>
        <v>8776.6856542098467</v>
      </c>
      <c r="Q23" s="425">
        <f>'Base Case Forecast '!M31</f>
        <v>8956.7056730694167</v>
      </c>
      <c r="R23" s="399"/>
      <c r="S23" s="398"/>
      <c r="T23" s="426">
        <f>'Bear Case Forecast'!K30</f>
        <v>8022.7843886659839</v>
      </c>
      <c r="U23" s="421">
        <f>'Bear Case Forecast'!L30</f>
        <v>7801.22650846545</v>
      </c>
      <c r="V23" s="427">
        <f>'Bear Case Forecast'!M30</f>
        <v>7736.2263649000815</v>
      </c>
      <c r="W23" s="918">
        <f>[129]Workings!X35</f>
        <v>25947.930047421105</v>
      </c>
      <c r="X23" s="405"/>
      <c r="Y23" s="667"/>
      <c r="Z23" s="16"/>
      <c r="AA23" s="16"/>
      <c r="AC23" s="118"/>
      <c r="AD23" s="67"/>
      <c r="AE23" s="404"/>
      <c r="AF23" s="381"/>
      <c r="AI23" s="357"/>
      <c r="AK23" s="67" t="s">
        <v>385</v>
      </c>
      <c r="AL23" s="67" t="s">
        <v>104</v>
      </c>
      <c r="AM23" s="67" t="s">
        <v>386</v>
      </c>
      <c r="AN23" s="67">
        <v>4</v>
      </c>
      <c r="AO23" s="67" t="s">
        <v>387</v>
      </c>
      <c r="AP23" s="428"/>
      <c r="AQ23" s="428"/>
    </row>
    <row r="24" spans="1:43" ht="16">
      <c r="A24" s="873"/>
      <c r="B24" s="907"/>
      <c r="C24" s="408" t="s">
        <v>85</v>
      </c>
      <c r="D24" s="920"/>
      <c r="E24" s="429"/>
      <c r="F24" s="429"/>
      <c r="G24" s="398"/>
      <c r="H24" s="398"/>
      <c r="I24" s="398"/>
      <c r="J24" s="413">
        <v>4209</v>
      </c>
      <c r="K24" s="413">
        <v>4129</v>
      </c>
      <c r="L24" s="413">
        <v>4118</v>
      </c>
      <c r="M24" s="414">
        <f>(697+150+106+47+2)-(687+153+112+50+2)+4118</f>
        <v>4116</v>
      </c>
      <c r="N24" s="422"/>
      <c r="O24" s="397">
        <f>'Base Case Forecast '!K34</f>
        <v>4112.2953453098162</v>
      </c>
      <c r="P24" s="398">
        <f>'Base Case Forecast '!L34</f>
        <v>4163.4532346369642</v>
      </c>
      <c r="Q24" s="399">
        <f>'Base Case Forecast '!M34</f>
        <v>4248.8504972654564</v>
      </c>
      <c r="R24" s="399"/>
      <c r="S24" s="398"/>
      <c r="T24" s="397">
        <f>'Bear Case Forecast'!K33</f>
        <v>3810.3715599040443</v>
      </c>
      <c r="U24" s="398">
        <f>'Bear Case Forecast'!L33</f>
        <v>3700.7183600368153</v>
      </c>
      <c r="V24" s="399">
        <f>'Bear Case Forecast'!M33</f>
        <v>3669.8838208221982</v>
      </c>
      <c r="W24" s="918"/>
      <c r="X24" s="405"/>
      <c r="Y24" s="430"/>
      <c r="Z24" s="680"/>
      <c r="AA24" s="681"/>
      <c r="AB24" s="431"/>
      <c r="AC24" s="682"/>
      <c r="AD24" s="432"/>
      <c r="AE24" s="433"/>
      <c r="AF24" s="431"/>
      <c r="AI24" s="357"/>
      <c r="AK24" s="67" t="s">
        <v>388</v>
      </c>
      <c r="AL24" s="67" t="s">
        <v>389</v>
      </c>
      <c r="AM24" s="67" t="s">
        <v>389</v>
      </c>
      <c r="AN24" s="118">
        <v>-13</v>
      </c>
      <c r="AO24" s="67" t="s">
        <v>389</v>
      </c>
      <c r="AP24" s="428"/>
      <c r="AQ24" s="428"/>
    </row>
    <row r="25" spans="1:43" ht="16">
      <c r="A25" s="873"/>
      <c r="B25" s="907"/>
      <c r="C25" s="434" t="s">
        <v>20</v>
      </c>
      <c r="D25" s="873"/>
      <c r="E25" s="435"/>
      <c r="F25" s="435"/>
      <c r="G25" s="411">
        <f>'[129]Annual IS'!C20</f>
        <v>30792</v>
      </c>
      <c r="H25" s="411"/>
      <c r="I25" s="422"/>
      <c r="J25" s="422">
        <f>J23-J24</f>
        <v>4744</v>
      </c>
      <c r="K25" s="422">
        <f t="shared" ref="K25:M25" si="1">K23-K24</f>
        <v>4570</v>
      </c>
      <c r="L25" s="422">
        <f t="shared" si="1"/>
        <v>4440</v>
      </c>
      <c r="M25" s="399">
        <f t="shared" si="1"/>
        <v>4465</v>
      </c>
      <c r="N25" s="422"/>
      <c r="O25" s="397">
        <f>'Base Case Forecast '!K35</f>
        <v>4535.3015465288427</v>
      </c>
      <c r="P25" s="398">
        <f>'Base Case Forecast '!L35</f>
        <v>4613.2324195728825</v>
      </c>
      <c r="Q25" s="399">
        <f>'Base Case Forecast '!M35</f>
        <v>4707.8551758039603</v>
      </c>
      <c r="R25" s="399"/>
      <c r="S25" s="398"/>
      <c r="T25" s="397">
        <f>'Bear Case Forecast'!K34</f>
        <v>4200.7608379923331</v>
      </c>
      <c r="U25" s="398">
        <f>'Bear Case Forecast'!L34</f>
        <v>4100.5081484286347</v>
      </c>
      <c r="V25" s="399">
        <f>'Bear Case Forecast'!M34</f>
        <v>4066.3425440778833</v>
      </c>
      <c r="W25" s="918">
        <f>[129]Workings!X39</f>
        <v>23929.520733057594</v>
      </c>
      <c r="X25" s="405"/>
      <c r="Y25" s="436"/>
      <c r="AA25" s="437"/>
      <c r="AC25" s="682"/>
      <c r="AD25" s="438"/>
      <c r="AE25" s="357"/>
      <c r="AF25" s="381"/>
      <c r="AI25" s="357"/>
      <c r="AK25" s="118" t="s">
        <v>24</v>
      </c>
      <c r="AL25" s="67"/>
      <c r="AM25" s="67"/>
      <c r="AN25" s="439">
        <v>9747</v>
      </c>
      <c r="AO25" s="118" t="s">
        <v>390</v>
      </c>
      <c r="AP25" s="428"/>
      <c r="AQ25" s="428"/>
    </row>
    <row r="26" spans="1:43" ht="16">
      <c r="A26" s="873"/>
      <c r="B26" s="907"/>
      <c r="C26" s="440" t="s">
        <v>86</v>
      </c>
      <c r="D26" s="873"/>
      <c r="E26" s="435"/>
      <c r="F26" s="435"/>
      <c r="G26" s="411">
        <f>'[129]Annual IS'!C27</f>
        <v>23617</v>
      </c>
      <c r="H26" s="422"/>
      <c r="I26" s="422"/>
      <c r="J26" s="441">
        <v>359</v>
      </c>
      <c r="K26" s="441">
        <v>369</v>
      </c>
      <c r="L26" s="441">
        <v>414</v>
      </c>
      <c r="M26" s="414">
        <f>100-100+414</f>
        <v>414</v>
      </c>
      <c r="N26" s="422"/>
      <c r="O26" s="397">
        <f>'Base Case Forecast '!K36</f>
        <v>447.97671700515002</v>
      </c>
      <c r="P26" s="398">
        <f>'Base Case Forecast '!L36</f>
        <v>450.85572069988206</v>
      </c>
      <c r="Q26" s="399">
        <f>'Base Case Forecast '!M36</f>
        <v>455.42717576807019</v>
      </c>
      <c r="R26" s="399"/>
      <c r="S26" s="398"/>
      <c r="T26" s="397">
        <f>'Bear Case Forecast'!K35</f>
        <v>431.03762213266145</v>
      </c>
      <c r="U26" s="398">
        <f>'Bear Case Forecast'!L35</f>
        <v>425.18387551365339</v>
      </c>
      <c r="V26" s="399">
        <f>'Bear Case Forecast'!M35</f>
        <v>425.68015712517268</v>
      </c>
      <c r="W26" s="918"/>
      <c r="X26" s="405"/>
      <c r="Y26" s="436"/>
      <c r="AA26" s="437"/>
      <c r="AC26" s="682"/>
      <c r="AD26" s="438"/>
      <c r="AE26" s="404"/>
      <c r="AF26" s="431"/>
      <c r="AI26" s="357"/>
      <c r="AK26" s="67" t="s">
        <v>391</v>
      </c>
      <c r="AL26" s="67"/>
      <c r="AM26" s="67"/>
      <c r="AN26" s="118">
        <v>-75</v>
      </c>
      <c r="AO26" s="118" t="s">
        <v>392</v>
      </c>
      <c r="AP26" s="428"/>
      <c r="AQ26" s="428"/>
    </row>
    <row r="27" spans="1:43" ht="16">
      <c r="A27" s="873"/>
      <c r="B27" s="907"/>
      <c r="C27" s="440" t="s">
        <v>87</v>
      </c>
      <c r="D27" s="873"/>
      <c r="E27" s="435"/>
      <c r="F27" s="435"/>
      <c r="G27" s="411"/>
      <c r="H27" s="422"/>
      <c r="I27" s="422"/>
      <c r="J27" s="441">
        <v>931</v>
      </c>
      <c r="K27" s="441">
        <v>894</v>
      </c>
      <c r="L27" s="441">
        <v>760</v>
      </c>
      <c r="M27" s="414">
        <f>187-190+760</f>
        <v>757</v>
      </c>
      <c r="N27" s="422"/>
      <c r="O27" s="397">
        <f>'Base Case Forecast '!K37</f>
        <v>831.76779069549332</v>
      </c>
      <c r="P27" s="398">
        <f>'Base Case Forecast '!L37</f>
        <v>835.39280863375996</v>
      </c>
      <c r="Q27" s="399">
        <f>'Base Case Forecast '!M37</f>
        <v>843.86328048011558</v>
      </c>
      <c r="R27" s="399"/>
      <c r="S27" s="398"/>
      <c r="T27" s="397">
        <f>'Bear Case Forecast'!K36</f>
        <v>800.38125750639438</v>
      </c>
      <c r="U27" s="398">
        <f>'Bear Case Forecast'!L36</f>
        <v>787.82531892853228</v>
      </c>
      <c r="V27" s="399">
        <f>'Bear Case Forecast'!M36</f>
        <v>788.74488159633381</v>
      </c>
      <c r="W27" s="918"/>
      <c r="X27" s="405"/>
      <c r="Y27" s="436"/>
      <c r="AA27" s="437"/>
      <c r="AC27" s="682"/>
      <c r="AD27" s="438"/>
      <c r="AE27" s="404"/>
      <c r="AF27" s="431"/>
      <c r="AI27" s="357"/>
      <c r="AK27" s="118" t="s">
        <v>27</v>
      </c>
      <c r="AL27" s="67"/>
      <c r="AM27" s="67"/>
      <c r="AN27" s="439">
        <v>9672</v>
      </c>
      <c r="AO27" s="118" t="s">
        <v>393</v>
      </c>
      <c r="AP27" s="428"/>
      <c r="AQ27" s="428"/>
    </row>
    <row r="28" spans="1:43" ht="16">
      <c r="A28" s="873"/>
      <c r="B28" s="907"/>
      <c r="C28" s="442" t="s">
        <v>88</v>
      </c>
      <c r="D28" s="873"/>
      <c r="E28" s="435"/>
      <c r="F28" s="435"/>
      <c r="G28" s="411"/>
      <c r="H28" s="422"/>
      <c r="I28" s="422"/>
      <c r="J28" s="441">
        <v>322</v>
      </c>
      <c r="K28" s="441">
        <v>296</v>
      </c>
      <c r="L28" s="441">
        <v>263</v>
      </c>
      <c r="M28" s="414">
        <f>69-73+263</f>
        <v>259</v>
      </c>
      <c r="N28" s="422"/>
      <c r="O28" s="397">
        <f>'Base Case Forecast '!K38</f>
        <v>299.59780888307751</v>
      </c>
      <c r="P28" s="398">
        <f>'Base Case Forecast '!L38</f>
        <v>298.77384386684372</v>
      </c>
      <c r="Q28" s="399">
        <f>'Base Case Forecast '!M38</f>
        <v>301.80326356826595</v>
      </c>
      <c r="R28" s="399"/>
      <c r="S28" s="398"/>
      <c r="T28" s="397">
        <f>'Bear Case Forecast'!K37</f>
        <v>288.37258038021582</v>
      </c>
      <c r="U28" s="398">
        <f>'Bear Case Forecast'!L37</f>
        <v>281.76158137733267</v>
      </c>
      <c r="V28" s="399">
        <f>'Bear Case Forecast'!M37</f>
        <v>282.09045812859995</v>
      </c>
      <c r="W28" s="918"/>
      <c r="X28" s="405"/>
      <c r="Y28" s="436"/>
      <c r="AA28" s="437"/>
      <c r="AC28" s="682"/>
      <c r="AD28" s="438"/>
      <c r="AE28" s="404"/>
      <c r="AF28" s="431"/>
      <c r="AI28" s="357"/>
      <c r="AN28" s="428"/>
      <c r="AO28" s="428"/>
      <c r="AP28" s="428"/>
      <c r="AQ28" s="428"/>
    </row>
    <row r="29" spans="1:43" ht="16">
      <c r="A29" s="873"/>
      <c r="B29" s="907"/>
      <c r="C29" s="442" t="s">
        <v>89</v>
      </c>
      <c r="D29" s="873"/>
      <c r="E29" s="435"/>
      <c r="F29" s="435"/>
      <c r="G29" s="411"/>
      <c r="H29" s="422"/>
      <c r="I29" s="422"/>
      <c r="J29" s="441">
        <v>608</v>
      </c>
      <c r="K29" s="441">
        <v>497</v>
      </c>
      <c r="L29" s="441">
        <v>549</v>
      </c>
      <c r="M29" s="414">
        <f>122-122+549</f>
        <v>549</v>
      </c>
      <c r="N29" s="422"/>
      <c r="O29" s="397">
        <f>'Base Case Forecast '!K39</f>
        <v>564.95653064005637</v>
      </c>
      <c r="P29" s="398">
        <f>'Base Case Forecast '!L39</f>
        <v>573.91623088818983</v>
      </c>
      <c r="Q29" s="399">
        <f>'Base Case Forecast '!M39</f>
        <v>579.73545895151904</v>
      </c>
      <c r="R29" s="399"/>
      <c r="S29" s="398"/>
      <c r="T29" s="397">
        <f>'Bear Case Forecast'!K38</f>
        <v>543.39393081591561</v>
      </c>
      <c r="U29" s="398">
        <f>'Bear Case Forecast'!L38</f>
        <v>541.23728737527608</v>
      </c>
      <c r="V29" s="399">
        <f>'Bear Case Forecast'!M38</f>
        <v>541.86902843758332</v>
      </c>
      <c r="W29" s="918"/>
      <c r="X29" s="405"/>
      <c r="Y29" s="436"/>
      <c r="AA29" s="437"/>
      <c r="AC29" s="682"/>
      <c r="AD29" s="438"/>
      <c r="AE29" s="404"/>
      <c r="AF29" s="431"/>
      <c r="AI29" s="357"/>
      <c r="AN29" s="428"/>
      <c r="AO29" s="428"/>
      <c r="AP29" s="428"/>
      <c r="AQ29" s="428"/>
    </row>
    <row r="30" spans="1:43" ht="16">
      <c r="A30" s="873"/>
      <c r="B30" s="907"/>
      <c r="C30" s="443" t="s">
        <v>93</v>
      </c>
      <c r="D30" s="444"/>
      <c r="E30" s="445"/>
      <c r="F30" s="445"/>
      <c r="G30" s="446"/>
      <c r="H30" s="446"/>
      <c r="I30" s="446"/>
      <c r="J30" s="424">
        <f>J25-SUM(J26:J29)</f>
        <v>2524</v>
      </c>
      <c r="K30" s="424">
        <f t="shared" ref="K30:M30" si="2">K25-SUM(K26:K29)</f>
        <v>2514</v>
      </c>
      <c r="L30" s="424">
        <f>L25-SUM(L26:L29)</f>
        <v>2454</v>
      </c>
      <c r="M30" s="425">
        <f t="shared" si="2"/>
        <v>2486</v>
      </c>
      <c r="N30" s="422"/>
      <c r="O30" s="423">
        <f>'Base Case Forecast '!K40</f>
        <v>2391.0026993050651</v>
      </c>
      <c r="P30" s="424">
        <f>'Base Case Forecast '!L40</f>
        <v>2454.2938154842068</v>
      </c>
      <c r="Q30" s="425">
        <f>'Base Case Forecast '!M40</f>
        <v>2527.0259970359893</v>
      </c>
      <c r="R30" s="399"/>
      <c r="S30" s="398"/>
      <c r="T30" s="426">
        <f>'Bear Case Forecast'!K39</f>
        <v>2137.5754471571454</v>
      </c>
      <c r="U30" s="421">
        <f>'Bear Case Forecast'!L39</f>
        <v>2064.5000852338403</v>
      </c>
      <c r="V30" s="427">
        <f>'Bear Case Forecast'!M39</f>
        <v>2027.9580187901934</v>
      </c>
      <c r="W30" s="918"/>
      <c r="X30" s="405"/>
      <c r="Y30" s="436"/>
      <c r="AA30" s="437"/>
      <c r="AC30" s="682"/>
      <c r="AD30" s="438"/>
      <c r="AE30" s="404"/>
      <c r="AF30" s="431"/>
      <c r="AI30" s="357"/>
      <c r="AN30" s="428"/>
      <c r="AO30" s="428"/>
      <c r="AP30" s="428"/>
      <c r="AQ30" s="428"/>
    </row>
    <row r="31" spans="1:43" ht="16">
      <c r="A31" s="873"/>
      <c r="B31" s="907"/>
      <c r="C31" s="447" t="s">
        <v>90</v>
      </c>
      <c r="D31" s="873"/>
      <c r="E31" s="435"/>
      <c r="F31" s="435"/>
      <c r="G31" s="411"/>
      <c r="H31" s="422"/>
      <c r="I31" s="422"/>
      <c r="J31" s="422"/>
      <c r="K31" s="422"/>
      <c r="L31" s="422"/>
      <c r="M31" s="448"/>
      <c r="N31" s="422"/>
      <c r="O31" s="397">
        <f>'Base Case Forecast '!K41</f>
        <v>0</v>
      </c>
      <c r="P31" s="398">
        <f>'Base Case Forecast '!L41</f>
        <v>0</v>
      </c>
      <c r="Q31" s="399">
        <f>'Base Case Forecast '!M41</f>
        <v>0</v>
      </c>
      <c r="R31" s="399"/>
      <c r="S31" s="398"/>
      <c r="T31" s="397">
        <f>'Bear Case Forecast'!K40</f>
        <v>0</v>
      </c>
      <c r="U31" s="398">
        <f>'Bear Case Forecast'!L40</f>
        <v>0</v>
      </c>
      <c r="V31" s="399">
        <f>'Bear Case Forecast'!M40</f>
        <v>0</v>
      </c>
      <c r="W31" s="918"/>
      <c r="X31" s="405"/>
      <c r="Y31" s="436"/>
      <c r="AA31" s="437"/>
      <c r="AC31" s="682"/>
      <c r="AD31" s="438"/>
      <c r="AE31" s="404"/>
      <c r="AF31" s="431"/>
      <c r="AI31" s="357"/>
      <c r="AN31" s="428"/>
      <c r="AO31" s="428"/>
      <c r="AP31" s="428"/>
      <c r="AQ31" s="428"/>
    </row>
    <row r="32" spans="1:43" ht="16">
      <c r="A32" s="873"/>
      <c r="B32" s="907"/>
      <c r="C32" s="442" t="s">
        <v>91</v>
      </c>
      <c r="D32" s="873"/>
      <c r="E32" s="435"/>
      <c r="F32" s="435"/>
      <c r="G32" s="411"/>
      <c r="H32" s="422"/>
      <c r="I32" s="422"/>
      <c r="J32" s="441">
        <v>203</v>
      </c>
      <c r="K32" s="441">
        <v>200</v>
      </c>
      <c r="L32" s="441">
        <v>181</v>
      </c>
      <c r="M32" s="449">
        <f>181+1-0</f>
        <v>182</v>
      </c>
      <c r="N32" s="422"/>
      <c r="O32" s="397">
        <f>'Base Case Forecast '!K42</f>
        <v>207.997300694936</v>
      </c>
      <c r="P32" s="398">
        <f>'Base Case Forecast '!L42</f>
        <v>206.14137518179214</v>
      </c>
      <c r="Q32" s="399">
        <f>'Base Case Forecast '!M42</f>
        <v>210.36957426627956</v>
      </c>
      <c r="R32" s="399"/>
      <c r="S32" s="398"/>
      <c r="T32" s="397">
        <f>'Bear Case Forecast'!K41</f>
        <v>193.04841552292208</v>
      </c>
      <c r="U32" s="398">
        <f>'Bear Case Forecast'!L41</f>
        <v>183.2303928748259</v>
      </c>
      <c r="V32" s="399">
        <f>'Bear Case Forecast'!M41</f>
        <v>181.70370962450897</v>
      </c>
      <c r="W32" s="918"/>
      <c r="X32" s="405"/>
      <c r="Y32" s="436"/>
      <c r="AA32" s="437"/>
      <c r="AC32" s="682"/>
      <c r="AD32" s="438"/>
      <c r="AE32" s="404"/>
      <c r="AF32" s="431"/>
      <c r="AI32" s="357"/>
      <c r="AN32" s="428"/>
      <c r="AO32" s="428"/>
      <c r="AP32" s="428"/>
      <c r="AQ32" s="428"/>
    </row>
    <row r="33" spans="1:43 16383:16383" ht="16">
      <c r="A33" s="873"/>
      <c r="B33" s="907"/>
      <c r="C33" s="442" t="s">
        <v>92</v>
      </c>
      <c r="D33" s="873"/>
      <c r="E33" s="435"/>
      <c r="F33" s="435"/>
      <c r="G33" s="411"/>
      <c r="H33" s="422"/>
      <c r="I33" s="422"/>
      <c r="J33" s="441">
        <v>31</v>
      </c>
      <c r="K33" s="441">
        <v>3</v>
      </c>
      <c r="L33" s="441">
        <v>30</v>
      </c>
      <c r="M33" s="449">
        <f>30+54-50</f>
        <v>34</v>
      </c>
      <c r="N33" s="422"/>
      <c r="O33" s="397">
        <f>'Base Case Forecast '!K43</f>
        <v>1</v>
      </c>
      <c r="P33" s="398">
        <f>'Base Case Forecast '!L43</f>
        <v>0</v>
      </c>
      <c r="Q33" s="399">
        <f>'Base Case Forecast '!M43</f>
        <v>0</v>
      </c>
      <c r="R33" s="399"/>
      <c r="S33" s="398"/>
      <c r="T33" s="397">
        <f>'Bear Case Forecast'!K42</f>
        <v>1</v>
      </c>
      <c r="U33" s="398">
        <f>'Bear Case Forecast'!L42</f>
        <v>0</v>
      </c>
      <c r="V33" s="399">
        <f>'Bear Case Forecast'!M42</f>
        <v>0</v>
      </c>
      <c r="W33" s="918"/>
      <c r="X33" s="405"/>
      <c r="Y33" s="436"/>
      <c r="AA33" s="437"/>
      <c r="AC33" s="682"/>
      <c r="AD33" s="438"/>
      <c r="AE33" s="404"/>
      <c r="AF33" s="431"/>
      <c r="AI33" s="357"/>
      <c r="AN33" s="428"/>
      <c r="AO33" s="428"/>
      <c r="AP33" s="428"/>
      <c r="AQ33" s="428"/>
    </row>
    <row r="34" spans="1:43 16383:16383" ht="16">
      <c r="A34" s="873"/>
      <c r="B34" s="907"/>
      <c r="C34" s="450" t="s">
        <v>21</v>
      </c>
      <c r="D34" s="451"/>
      <c r="E34" s="452"/>
      <c r="F34" s="452"/>
      <c r="G34" s="453">
        <f>'[129]Annual IS'!C34</f>
        <v>9131</v>
      </c>
      <c r="H34" s="453"/>
      <c r="I34" s="453"/>
      <c r="J34" s="454">
        <f>J30+SUM(J32:J33)</f>
        <v>2758</v>
      </c>
      <c r="K34" s="454">
        <f t="shared" ref="K34:M34" si="3">K30+SUM(K32:K33)</f>
        <v>2717</v>
      </c>
      <c r="L34" s="454">
        <f t="shared" si="3"/>
        <v>2665</v>
      </c>
      <c r="M34" s="455">
        <f t="shared" si="3"/>
        <v>2702</v>
      </c>
      <c r="N34" s="864"/>
      <c r="O34" s="456">
        <f>'Base Case Forecast '!K44</f>
        <v>2600.0000000000009</v>
      </c>
      <c r="P34" s="457">
        <f>'Base Case Forecast '!L44</f>
        <v>2660.435190665999</v>
      </c>
      <c r="Q34" s="458">
        <f>'Base Case Forecast '!M44</f>
        <v>2737.3955713022688</v>
      </c>
      <c r="R34" s="399"/>
      <c r="S34" s="398"/>
      <c r="T34" s="456">
        <f>'Bear Case Forecast'!K43</f>
        <v>2331.6238626800673</v>
      </c>
      <c r="U34" s="457">
        <f>'Bear Case Forecast'!L43</f>
        <v>2247.7304781086664</v>
      </c>
      <c r="V34" s="458">
        <f>'Bear Case Forecast'!M43</f>
        <v>2209.6617284147023</v>
      </c>
      <c r="W34" s="918"/>
      <c r="X34" s="405"/>
      <c r="Y34" s="436"/>
      <c r="AA34" s="437"/>
      <c r="AC34" s="682"/>
      <c r="AD34" s="438"/>
      <c r="AE34" s="404"/>
      <c r="AF34" s="431"/>
      <c r="AI34" s="357"/>
      <c r="AN34" s="428"/>
      <c r="AO34" s="428"/>
      <c r="AP34" s="428"/>
      <c r="AQ34" s="428"/>
    </row>
    <row r="35" spans="1:43 16383:16383" ht="16">
      <c r="A35" s="873"/>
      <c r="B35" s="907" t="s">
        <v>4</v>
      </c>
      <c r="C35" s="430" t="s">
        <v>106</v>
      </c>
      <c r="D35" s="873"/>
      <c r="E35" s="429"/>
      <c r="F35" s="429"/>
      <c r="G35" s="429"/>
      <c r="H35" s="459"/>
      <c r="I35" s="459"/>
      <c r="J35" s="460">
        <v>-534</v>
      </c>
      <c r="K35" s="460">
        <v>-496</v>
      </c>
      <c r="L35" s="460">
        <v>-459</v>
      </c>
      <c r="M35" s="461">
        <f>(-112)-(-117)+(-459)</f>
        <v>-454</v>
      </c>
      <c r="N35" s="865"/>
      <c r="O35" s="572">
        <f>AVERAGE(J35:M35)</f>
        <v>-485.75</v>
      </c>
      <c r="P35" s="574">
        <f>O35</f>
        <v>-485.75</v>
      </c>
      <c r="Q35" s="575">
        <f>P35</f>
        <v>-485.75</v>
      </c>
      <c r="R35" s="464"/>
      <c r="S35" s="465"/>
      <c r="T35" s="466">
        <f>AVERAGE(J35:M35)</f>
        <v>-485.75</v>
      </c>
      <c r="U35" s="429">
        <f>T35</f>
        <v>-485.75</v>
      </c>
      <c r="V35" s="464">
        <f>U35</f>
        <v>-485.75</v>
      </c>
      <c r="W35" s="918">
        <f>[129]Workings!H156</f>
        <v>4053.5322836661549</v>
      </c>
      <c r="X35" s="467"/>
      <c r="Y35" s="436"/>
      <c r="Z35" s="366"/>
      <c r="AA35" s="468"/>
      <c r="AB35" s="683"/>
      <c r="AC35" s="682"/>
      <c r="AD35" s="438"/>
      <c r="AE35" s="433"/>
      <c r="AF35" s="381"/>
      <c r="AI35" s="357"/>
      <c r="AN35" s="428"/>
      <c r="AO35" s="428"/>
      <c r="AP35" s="428"/>
      <c r="AQ35" s="428"/>
    </row>
    <row r="36" spans="1:43 16383:16383" ht="16">
      <c r="A36" s="873"/>
      <c r="B36" s="907"/>
      <c r="C36" s="430" t="s">
        <v>108</v>
      </c>
      <c r="D36" s="873"/>
      <c r="E36" s="429"/>
      <c r="F36" s="429"/>
      <c r="G36" s="429"/>
      <c r="H36" s="459"/>
      <c r="I36" s="459"/>
      <c r="J36" s="460">
        <v>-222</v>
      </c>
      <c r="K36" s="460">
        <v>-210</v>
      </c>
      <c r="L36" s="460">
        <v>-251</v>
      </c>
      <c r="M36" s="461">
        <f>(-81)-(-65)+(251)</f>
        <v>235</v>
      </c>
      <c r="N36" s="865"/>
      <c r="O36" s="469"/>
      <c r="P36" s="470"/>
      <c r="Q36" s="471"/>
      <c r="R36" s="471"/>
      <c r="S36" s="472"/>
      <c r="T36" s="469"/>
      <c r="U36" s="470"/>
      <c r="V36" s="471"/>
      <c r="W36" s="921" t="e">
        <f>+#REF!+W35</f>
        <v>#REF!</v>
      </c>
      <c r="X36" s="467"/>
      <c r="Y36" s="436"/>
      <c r="Z36" s="366"/>
      <c r="AA36" s="474"/>
      <c r="AB36" s="684"/>
      <c r="AC36" s="682"/>
      <c r="AD36" s="438"/>
      <c r="AE36" s="404"/>
      <c r="AF36" s="431"/>
      <c r="AI36" s="357"/>
      <c r="AN36" s="428"/>
      <c r="AO36" s="428"/>
      <c r="AP36" s="428"/>
      <c r="AQ36" s="428"/>
    </row>
    <row r="37" spans="1:43 16383:16383" ht="16">
      <c r="A37" s="873"/>
      <c r="B37" s="907"/>
      <c r="C37" s="430" t="s">
        <v>109</v>
      </c>
      <c r="D37" s="873"/>
      <c r="E37" s="429"/>
      <c r="F37" s="429"/>
      <c r="G37" s="429"/>
      <c r="H37" s="459"/>
      <c r="I37" s="459"/>
      <c r="J37" s="459">
        <f>J34-J35-J36-J38</f>
        <v>2526</v>
      </c>
      <c r="K37" s="459">
        <f t="shared" ref="K37:L37" si="4">K34-K35-K36-K38</f>
        <v>5498</v>
      </c>
      <c r="L37" s="459">
        <f t="shared" si="4"/>
        <v>2570</v>
      </c>
      <c r="M37" s="475">
        <f>M34-M35-M36-M38</f>
        <v>2076</v>
      </c>
      <c r="N37" s="865"/>
      <c r="O37" s="469"/>
      <c r="P37" s="470"/>
      <c r="Q37" s="471"/>
      <c r="R37" s="471"/>
      <c r="S37" s="472"/>
      <c r="T37" s="469"/>
      <c r="U37" s="470"/>
      <c r="V37" s="471"/>
      <c r="W37" s="921"/>
      <c r="X37" s="467"/>
      <c r="Y37" s="436"/>
      <c r="Z37" s="366"/>
      <c r="AA37" s="474"/>
      <c r="AB37" s="684"/>
      <c r="AC37" s="682"/>
      <c r="AD37" s="438"/>
      <c r="AE37" s="404"/>
      <c r="AF37" s="431"/>
      <c r="AI37" s="357"/>
      <c r="AN37" s="428"/>
      <c r="AO37" s="428"/>
      <c r="AP37" s="428"/>
      <c r="AQ37" s="428"/>
    </row>
    <row r="38" spans="1:43 16383:16383" ht="16">
      <c r="A38" s="873"/>
      <c r="B38" s="907"/>
      <c r="C38" s="476" t="s">
        <v>107</v>
      </c>
      <c r="D38" s="477"/>
      <c r="E38" s="478"/>
      <c r="F38" s="478"/>
      <c r="G38" s="478"/>
      <c r="H38" s="478"/>
      <c r="I38" s="478"/>
      <c r="J38" s="479">
        <v>988</v>
      </c>
      <c r="K38" s="479">
        <v>-2075</v>
      </c>
      <c r="L38" s="479">
        <v>805</v>
      </c>
      <c r="M38" s="480">
        <f>245-205+805</f>
        <v>845</v>
      </c>
      <c r="N38" s="865"/>
      <c r="O38" s="469"/>
      <c r="P38" s="470"/>
      <c r="Q38" s="471"/>
      <c r="R38" s="471"/>
      <c r="S38" s="472"/>
      <c r="T38" s="469"/>
      <c r="U38" s="470"/>
      <c r="V38" s="471"/>
      <c r="W38" s="921"/>
      <c r="X38" s="467"/>
      <c r="Y38" s="436"/>
      <c r="Z38" s="366"/>
      <c r="AA38" s="474"/>
      <c r="AB38" s="684"/>
      <c r="AC38" s="682"/>
      <c r="AD38" s="438"/>
      <c r="AE38" s="404"/>
      <c r="AF38" s="431"/>
      <c r="AI38" s="357"/>
      <c r="AN38" s="428"/>
      <c r="AO38" s="428"/>
      <c r="AP38" s="428"/>
      <c r="AQ38" s="428"/>
    </row>
    <row r="39" spans="1:43 16383:16383" ht="17" thickBot="1">
      <c r="A39" s="873"/>
      <c r="B39" s="907" t="s">
        <v>4</v>
      </c>
      <c r="C39" s="481"/>
      <c r="D39" s="482"/>
      <c r="E39" s="483"/>
      <c r="F39" s="483"/>
      <c r="G39" s="483"/>
      <c r="H39" s="484"/>
      <c r="I39" s="484"/>
      <c r="J39" s="484"/>
      <c r="K39" s="484"/>
      <c r="L39" s="484"/>
      <c r="M39" s="485"/>
      <c r="N39" s="867"/>
      <c r="O39" s="486"/>
      <c r="P39" s="484"/>
      <c r="Q39" s="485"/>
      <c r="R39" s="487"/>
      <c r="S39" s="472"/>
      <c r="T39" s="488"/>
      <c r="U39" s="483"/>
      <c r="V39" s="489"/>
      <c r="W39" s="922"/>
      <c r="X39" s="405"/>
      <c r="Y39" s="436"/>
      <c r="Z39" s="685"/>
      <c r="AA39" s="437"/>
      <c r="AC39" s="499"/>
      <c r="AD39" s="438"/>
      <c r="AE39" s="404"/>
      <c r="AF39" s="381"/>
      <c r="AI39" s="357"/>
      <c r="AN39" s="428"/>
      <c r="AO39" s="428"/>
      <c r="AP39" s="428"/>
      <c r="AQ39" s="428"/>
    </row>
    <row r="40" spans="1:43 16383:16383" ht="15" customHeight="1" thickBot="1">
      <c r="A40" s="893"/>
      <c r="B40" s="923"/>
      <c r="C40" s="987" t="s">
        <v>22</v>
      </c>
      <c r="D40" s="988"/>
      <c r="E40" s="989"/>
      <c r="F40" s="989"/>
      <c r="G40" s="989"/>
      <c r="H40" s="989"/>
      <c r="I40" s="963"/>
      <c r="J40" s="980" t="s">
        <v>82</v>
      </c>
      <c r="K40" s="980" t="s">
        <v>81</v>
      </c>
      <c r="L40" s="980" t="s">
        <v>80</v>
      </c>
      <c r="M40" s="981" t="s">
        <v>73</v>
      </c>
      <c r="N40" s="908"/>
      <c r="O40" s="994" t="s">
        <v>14</v>
      </c>
      <c r="P40" s="980" t="s">
        <v>15</v>
      </c>
      <c r="Q40" s="981" t="s">
        <v>130</v>
      </c>
      <c r="R40" s="789" t="s">
        <v>15</v>
      </c>
      <c r="S40" s="924"/>
      <c r="T40" s="994" t="s">
        <v>14</v>
      </c>
      <c r="U40" s="980" t="s">
        <v>15</v>
      </c>
      <c r="V40" s="981" t="s">
        <v>130</v>
      </c>
      <c r="W40" s="925"/>
      <c r="Y40" s="490"/>
      <c r="Z40" s="686"/>
      <c r="AA40" s="468"/>
      <c r="AB40" s="683"/>
      <c r="AC40" s="682"/>
      <c r="AD40" s="438"/>
      <c r="AE40" s="433"/>
      <c r="AI40" s="357"/>
    </row>
    <row r="41" spans="1:43 16383:16383" ht="15" customHeight="1">
      <c r="A41" s="873"/>
      <c r="B41" s="902"/>
      <c r="C41" s="491" t="s">
        <v>21</v>
      </c>
      <c r="D41" s="867"/>
      <c r="E41" s="435"/>
      <c r="F41" s="435"/>
      <c r="G41" s="435" t="e">
        <f>G34+#REF!</f>
        <v>#REF!</v>
      </c>
      <c r="H41" s="435"/>
      <c r="I41" s="435"/>
      <c r="J41" s="435">
        <f>J34</f>
        <v>2758</v>
      </c>
      <c r="K41" s="435">
        <f t="shared" ref="K41:M41" si="5">K34</f>
        <v>2717</v>
      </c>
      <c r="L41" s="435">
        <f t="shared" si="5"/>
        <v>2665</v>
      </c>
      <c r="M41" s="473">
        <f t="shared" si="5"/>
        <v>2702</v>
      </c>
      <c r="N41" s="864"/>
      <c r="O41" s="492">
        <f>O34</f>
        <v>2600.0000000000009</v>
      </c>
      <c r="P41" s="493">
        <f t="shared" ref="P41:Q41" si="6">P34</f>
        <v>2660.435190665999</v>
      </c>
      <c r="Q41" s="494">
        <f t="shared" si="6"/>
        <v>2737.3955713022688</v>
      </c>
      <c r="R41" s="473"/>
      <c r="S41" s="873"/>
      <c r="T41" s="492">
        <f>T34</f>
        <v>2331.6238626800673</v>
      </c>
      <c r="U41" s="435">
        <f>U34</f>
        <v>2247.7304781086664</v>
      </c>
      <c r="V41" s="494">
        <f>V34</f>
        <v>2209.6617284147023</v>
      </c>
      <c r="W41" s="926"/>
      <c r="Y41" s="436"/>
      <c r="Z41" s="687"/>
      <c r="AA41" s="474"/>
      <c r="AB41" s="684"/>
      <c r="AC41" s="682"/>
      <c r="AD41" s="438"/>
      <c r="AE41" s="404"/>
      <c r="AI41" s="357"/>
    </row>
    <row r="42" spans="1:43 16383:16383" ht="15" customHeight="1" thickBot="1">
      <c r="A42" s="873"/>
      <c r="B42" s="902"/>
      <c r="C42" s="491" t="s">
        <v>23</v>
      </c>
      <c r="D42" s="867"/>
      <c r="E42" s="435"/>
      <c r="F42" s="435"/>
      <c r="G42" s="435">
        <f>-'[129]Annual IS'!C56</f>
        <v>-998</v>
      </c>
      <c r="H42" s="435"/>
      <c r="I42" s="429"/>
      <c r="J42" s="460">
        <v>-165</v>
      </c>
      <c r="K42" s="460">
        <v>-218</v>
      </c>
      <c r="L42" s="460">
        <v>-156</v>
      </c>
      <c r="M42" s="461">
        <f>-(0-3+156)</f>
        <v>-153</v>
      </c>
      <c r="N42" s="864"/>
      <c r="O42" s="466">
        <f>'Base Case Forecast '!K54</f>
        <v>-152.19512195121956</v>
      </c>
      <c r="P42" s="429">
        <f>'Base Case Forecast '!L54</f>
        <v>-155.73279164874143</v>
      </c>
      <c r="Q42" s="464">
        <f>'Base Case Forecast '!M54</f>
        <v>-160.23778953964501</v>
      </c>
      <c r="R42" s="464"/>
      <c r="S42" s="465"/>
      <c r="T42" s="466">
        <f>'Bear Case Forecast'!K53</f>
        <v>-136.48529927883322</v>
      </c>
      <c r="U42" s="429">
        <f>'Bear Case Forecast'!L53</f>
        <v>-131.57446701123902</v>
      </c>
      <c r="V42" s="464">
        <f>'Bear Case Forecast'!M53</f>
        <v>-129.34605239500698</v>
      </c>
      <c r="W42" s="913"/>
      <c r="X42" s="429">
        <f>-[130]Financials!AN34</f>
        <v>0</v>
      </c>
      <c r="Y42" s="496"/>
      <c r="Z42" s="356"/>
      <c r="AA42" s="497"/>
      <c r="AB42" s="12"/>
      <c r="AC42" s="498"/>
      <c r="AD42" s="688"/>
      <c r="AE42" s="649"/>
      <c r="AF42" s="438"/>
      <c r="AI42" s="357"/>
      <c r="XFC42" s="435">
        <f>-XFC26</f>
        <v>0</v>
      </c>
    </row>
    <row r="43" spans="1:43 16383:16383" ht="15" customHeight="1" thickBot="1">
      <c r="A43" s="873"/>
      <c r="B43" s="902"/>
      <c r="C43" s="500" t="s">
        <v>25</v>
      </c>
      <c r="D43" s="501"/>
      <c r="E43" s="502"/>
      <c r="F43" s="502"/>
      <c r="G43" s="502">
        <f>-'[129]Annual IS'!C52</f>
        <v>-616</v>
      </c>
      <c r="H43" s="502"/>
      <c r="I43" s="503"/>
      <c r="J43" s="504">
        <v>-507</v>
      </c>
      <c r="K43" s="504">
        <v>-473</v>
      </c>
      <c r="L43" s="504">
        <v>-439</v>
      </c>
      <c r="M43" s="505">
        <f>-(205-212+439)</f>
        <v>-432</v>
      </c>
      <c r="N43" s="865"/>
      <c r="O43" s="466">
        <f>'Base Case Forecast '!K55</f>
        <v>-425</v>
      </c>
      <c r="P43" s="429">
        <f>'Base Case Forecast '!L55</f>
        <v>-386</v>
      </c>
      <c r="Q43" s="464">
        <f>'Base Case Forecast '!M55</f>
        <v>-286</v>
      </c>
      <c r="R43" s="473"/>
      <c r="S43" s="465"/>
      <c r="T43" s="466">
        <f>'Bear Case Forecast'!K54</f>
        <v>-425</v>
      </c>
      <c r="U43" s="429">
        <f>'Bear Case Forecast'!L54</f>
        <v>-386</v>
      </c>
      <c r="V43" s="464">
        <f>'Bear Case Forecast'!M54</f>
        <v>-286</v>
      </c>
      <c r="W43" s="921" t="e">
        <f>#REF!+W35</f>
        <v>#REF!</v>
      </c>
      <c r="X43" s="429"/>
      <c r="Y43" s="358"/>
      <c r="AC43" s="331"/>
      <c r="AD43" s="359"/>
      <c r="AE43" s="506"/>
      <c r="AF43" s="438"/>
      <c r="AI43" s="357"/>
    </row>
    <row r="44" spans="1:43 16383:16383" ht="15" customHeight="1">
      <c r="A44" s="873"/>
      <c r="B44" s="902"/>
      <c r="C44" s="507" t="s">
        <v>70</v>
      </c>
      <c r="D44" s="868"/>
      <c r="E44" s="410"/>
      <c r="F44" s="410"/>
      <c r="G44" s="508" t="e">
        <f>SUM(G41:G43)</f>
        <v>#REF!</v>
      </c>
      <c r="H44" s="508"/>
      <c r="I44" s="508"/>
      <c r="J44" s="508">
        <f>SUM(J41:J43)</f>
        <v>2086</v>
      </c>
      <c r="K44" s="508">
        <f>SUM(K41:K43)</f>
        <v>2026</v>
      </c>
      <c r="L44" s="508">
        <f>SUM(L41:L43)</f>
        <v>2070</v>
      </c>
      <c r="M44" s="509">
        <f>SUM(M41:M43)</f>
        <v>2117</v>
      </c>
      <c r="N44" s="864"/>
      <c r="O44" s="510">
        <f>'Base Case Forecast '!K56</f>
        <v>2022.8048780487816</v>
      </c>
      <c r="P44" s="511">
        <f>'Base Case Forecast '!L56</f>
        <v>2118.7023990172574</v>
      </c>
      <c r="Q44" s="509">
        <f>'Base Case Forecast '!M56</f>
        <v>2291.1577817626239</v>
      </c>
      <c r="R44" s="464"/>
      <c r="S44" s="465"/>
      <c r="T44" s="510">
        <f>'Bear Case Forecast'!K55</f>
        <v>1770.138563401234</v>
      </c>
      <c r="U44" s="511">
        <f>'Bear Case Forecast'!L55</f>
        <v>1730.1560110974274</v>
      </c>
      <c r="V44" s="509">
        <f>'Bear Case Forecast'!M55</f>
        <v>1794.3156760196953</v>
      </c>
      <c r="W44" s="927" t="e">
        <f>#REF!-W52*7.5%</f>
        <v>#REF!</v>
      </c>
      <c r="Y44" s="362" t="s">
        <v>26</v>
      </c>
      <c r="AC44" s="513">
        <f>M68</f>
        <v>75</v>
      </c>
      <c r="AD44" s="514"/>
      <c r="AE44" s="515"/>
      <c r="AI44" s="357"/>
    </row>
    <row r="45" spans="1:43 16383:16383" ht="15" customHeight="1">
      <c r="A45" s="873"/>
      <c r="B45" s="902"/>
      <c r="C45" s="491" t="s">
        <v>28</v>
      </c>
      <c r="D45" s="869"/>
      <c r="E45" s="435"/>
      <c r="F45" s="435"/>
      <c r="G45" s="435">
        <f>SUM('[129]Cash Flow'!C16)</f>
        <v>1939</v>
      </c>
      <c r="H45" s="435"/>
      <c r="I45" s="435"/>
      <c r="J45" s="460">
        <f>-148+98</f>
        <v>-50</v>
      </c>
      <c r="K45" s="516">
        <f>-128+19</f>
        <v>-109</v>
      </c>
      <c r="L45" s="516">
        <f>-84+59</f>
        <v>-25</v>
      </c>
      <c r="M45" s="783">
        <f>(-84+59)+(16-295)-(45-250)</f>
        <v>-99</v>
      </c>
      <c r="N45" s="864"/>
      <c r="O45" s="466">
        <f>'Base Case Forecast '!K57</f>
        <v>-25.264784236861882</v>
      </c>
      <c r="P45" s="429">
        <f>'Base Case Forecast '!L57</f>
        <v>-25.638833998042319</v>
      </c>
      <c r="Q45" s="464">
        <f>'Base Case Forecast '!M57</f>
        <v>-26.164716268606615</v>
      </c>
      <c r="R45" s="464"/>
      <c r="S45" s="465"/>
      <c r="T45" s="466">
        <f>'Bear Case Forecast'!K56</f>
        <v>-23.436504991429025</v>
      </c>
      <c r="U45" s="429">
        <f>'Bear Case Forecast'!L56</f>
        <v>-22.789280522509493</v>
      </c>
      <c r="V45" s="464">
        <f>'Bear Case Forecast'!M56</f>
        <v>-22.599399289845998</v>
      </c>
      <c r="W45" s="928" t="e">
        <f>SUM(W43:W44)</f>
        <v>#REF!</v>
      </c>
      <c r="Y45" s="518" t="s">
        <v>27</v>
      </c>
      <c r="Z45" s="519"/>
      <c r="AA45" s="519"/>
      <c r="AB45" s="520"/>
      <c r="AC45" s="521">
        <f>M69</f>
        <v>9672</v>
      </c>
      <c r="AD45" s="522"/>
      <c r="AE45" s="523"/>
      <c r="AF45" s="438"/>
      <c r="AI45" s="357"/>
    </row>
    <row r="46" spans="1:43 16383:16383" ht="15" customHeight="1">
      <c r="A46" s="873"/>
      <c r="B46" s="902"/>
      <c r="C46" s="500" t="s">
        <v>29</v>
      </c>
      <c r="D46" s="524"/>
      <c r="E46" s="502"/>
      <c r="F46" s="502"/>
      <c r="G46" s="503" t="e">
        <f t="shared" ref="G46" si="7">+G47-G45-G44</f>
        <v>#REF!</v>
      </c>
      <c r="H46" s="503">
        <f>H47-SUM(H44:H45)</f>
        <v>0</v>
      </c>
      <c r="I46" s="503">
        <f t="shared" ref="I46:M46" si="8">I47-SUM(I44:I45)</f>
        <v>0</v>
      </c>
      <c r="J46" s="503">
        <f>J47-SUM(J44:J45)</f>
        <v>-207</v>
      </c>
      <c r="K46" s="503">
        <f t="shared" si="8"/>
        <v>-176</v>
      </c>
      <c r="L46" s="503">
        <f t="shared" si="8"/>
        <v>-147</v>
      </c>
      <c r="M46" s="512">
        <f t="shared" si="8"/>
        <v>-91</v>
      </c>
      <c r="N46" s="865"/>
      <c r="O46" s="466">
        <f>'Base Case Forecast '!K58</f>
        <v>-125.04009381191969</v>
      </c>
      <c r="P46" s="429">
        <f>'Base Case Forecast '!L58</f>
        <v>-135.56356501921513</v>
      </c>
      <c r="Q46" s="464">
        <f>'Base Case Forecast '!M58</f>
        <v>-314.10145371583087</v>
      </c>
      <c r="R46" s="464"/>
      <c r="S46" s="465"/>
      <c r="T46" s="466">
        <f>'Bear Case Forecast'!K57</f>
        <v>-224.20205840980518</v>
      </c>
      <c r="U46" s="429">
        <f>'Bear Case Forecast'!L57</f>
        <v>-224.20205840980518</v>
      </c>
      <c r="V46" s="464">
        <f>'Bear Case Forecast'!M57</f>
        <v>-224.20205840980518</v>
      </c>
      <c r="W46" s="922" t="e">
        <f>(R44/#REF!)*#REF!</f>
        <v>#REF!</v>
      </c>
      <c r="X46" s="324"/>
      <c r="Y46" s="362"/>
      <c r="AC46" s="513"/>
      <c r="AD46" s="514"/>
      <c r="AE46" s="525"/>
      <c r="AF46" s="438"/>
      <c r="AI46" s="357"/>
    </row>
    <row r="47" spans="1:43 16383:16383" ht="15" customHeight="1">
      <c r="A47" s="873"/>
      <c r="B47" s="902"/>
      <c r="C47" s="507" t="s">
        <v>30</v>
      </c>
      <c r="D47" s="868"/>
      <c r="E47" s="410"/>
      <c r="F47" s="410"/>
      <c r="G47" s="410">
        <f>'[129]Cash Flow'!C18</f>
        <v>8263</v>
      </c>
      <c r="H47" s="410"/>
      <c r="I47" s="410"/>
      <c r="J47" s="410">
        <v>1829</v>
      </c>
      <c r="K47" s="410">
        <v>1741</v>
      </c>
      <c r="L47" s="410">
        <v>1898</v>
      </c>
      <c r="M47" s="495">
        <f>271-242+1898</f>
        <v>1927</v>
      </c>
      <c r="N47" s="864"/>
      <c r="O47" s="510">
        <f>'Base Case Forecast '!K59</f>
        <v>1872.5</v>
      </c>
      <c r="P47" s="511">
        <f>'Base Case Forecast '!L59</f>
        <v>1957.5</v>
      </c>
      <c r="Q47" s="509">
        <f>'Base Case Forecast '!M59</f>
        <v>1950.8916117781864</v>
      </c>
      <c r="R47" s="464"/>
      <c r="S47" s="465"/>
      <c r="T47" s="510">
        <f>'Bear Case Forecast'!K58</f>
        <v>1522.4999999999998</v>
      </c>
      <c r="U47" s="511">
        <f>'Bear Case Forecast'!L58</f>
        <v>1483.1646721651127</v>
      </c>
      <c r="V47" s="509">
        <f>'Bear Case Forecast'!M58</f>
        <v>1547.5142183200442</v>
      </c>
      <c r="W47" s="927" t="e">
        <f>#REF!</f>
        <v>#REF!</v>
      </c>
      <c r="Y47" s="362"/>
      <c r="AC47" s="513"/>
      <c r="AD47" s="514"/>
      <c r="AE47" s="523"/>
      <c r="AI47" s="357"/>
    </row>
    <row r="48" spans="1:43 16383:16383" ht="15" customHeight="1">
      <c r="A48" s="873"/>
      <c r="B48" s="902"/>
      <c r="C48" s="526" t="s">
        <v>110</v>
      </c>
      <c r="D48" s="501"/>
      <c r="E48" s="502"/>
      <c r="F48" s="502"/>
      <c r="G48" s="502">
        <f>'[129]Cash Flow'!C21</f>
        <v>-1367</v>
      </c>
      <c r="H48" s="502"/>
      <c r="I48" s="502"/>
      <c r="J48" s="516">
        <f>(-105)-(-189)+(-653)-J49</f>
        <v>-284</v>
      </c>
      <c r="K48" s="516">
        <f t="shared" ref="K48:L48" si="9">(-105)-(-189)+(-653)-K49</f>
        <v>-307</v>
      </c>
      <c r="L48" s="516">
        <f t="shared" si="9"/>
        <v>-365</v>
      </c>
      <c r="M48" s="527">
        <f>(-105)-(-189)+(-653)-M49</f>
        <v>-405</v>
      </c>
      <c r="N48" s="865"/>
      <c r="O48" s="466">
        <f>'Base Case Forecast '!K60</f>
        <v>-407.5</v>
      </c>
      <c r="P48" s="503">
        <f>'Base Case Forecast '!L60</f>
        <v>-407.5</v>
      </c>
      <c r="Q48" s="464">
        <f>'Base Case Forecast '!M60</f>
        <v>-407.5</v>
      </c>
      <c r="R48" s="512"/>
      <c r="S48" s="528"/>
      <c r="T48" s="466">
        <f>'Bear Case Forecast'!K59</f>
        <v>-407.5</v>
      </c>
      <c r="U48" s="429">
        <f>'Bear Case Forecast'!L59</f>
        <v>-396.24644614539744</v>
      </c>
      <c r="V48" s="464">
        <f>'Bear Case Forecast'!M59</f>
        <v>-392.94490428415691</v>
      </c>
      <c r="W48" s="928" t="e">
        <f t="shared" ref="W48" si="10">SUM(W45:W47)</f>
        <v>#REF!</v>
      </c>
      <c r="X48" s="324"/>
      <c r="Y48" s="518"/>
      <c r="Z48" s="519"/>
      <c r="AA48" s="519"/>
      <c r="AB48" s="520"/>
      <c r="AC48" s="521"/>
      <c r="AD48" s="522"/>
      <c r="AE48" s="523"/>
      <c r="AF48" s="438"/>
      <c r="AI48" s="357"/>
    </row>
    <row r="49" spans="1:35" ht="15" customHeight="1">
      <c r="A49" s="873"/>
      <c r="B49" s="902"/>
      <c r="C49" s="529" t="s">
        <v>103</v>
      </c>
      <c r="D49" s="870"/>
      <c r="E49" s="530"/>
      <c r="F49" s="530"/>
      <c r="G49" s="530"/>
      <c r="H49" s="530"/>
      <c r="I49" s="530"/>
      <c r="J49" s="531">
        <v>-285</v>
      </c>
      <c r="K49" s="531">
        <v>-262</v>
      </c>
      <c r="L49" s="531">
        <v>-204</v>
      </c>
      <c r="M49" s="532">
        <f>(-29)-(-69)+(-204)</f>
        <v>-164</v>
      </c>
      <c r="N49" s="929"/>
      <c r="O49" s="533">
        <f>'Base Case Forecast '!K61</f>
        <v>-115</v>
      </c>
      <c r="P49" s="530">
        <f>'Base Case Forecast '!L61</f>
        <v>-50</v>
      </c>
      <c r="Q49" s="534">
        <f>'Base Case Forecast '!M61</f>
        <v>0</v>
      </c>
      <c r="R49" s="517"/>
      <c r="S49" s="535"/>
      <c r="T49" s="673">
        <f>'Bear Case Forecast'!K60</f>
        <v>-115</v>
      </c>
      <c r="U49" s="676">
        <f>'Bear Case Forecast'!L60</f>
        <v>-50</v>
      </c>
      <c r="V49" s="675">
        <f>'Bear Case Forecast'!M60</f>
        <v>0</v>
      </c>
      <c r="W49" s="928"/>
      <c r="X49" s="324"/>
      <c r="Y49" s="362"/>
      <c r="AC49" s="513"/>
      <c r="AD49" s="514"/>
      <c r="AE49" s="523"/>
      <c r="AF49" s="438"/>
      <c r="AI49" s="357"/>
    </row>
    <row r="50" spans="1:35" ht="15" customHeight="1" thickBot="1">
      <c r="A50" s="873"/>
      <c r="B50" s="902"/>
      <c r="C50" s="536" t="s">
        <v>32</v>
      </c>
      <c r="D50" s="537"/>
      <c r="E50" s="538"/>
      <c r="F50" s="538"/>
      <c r="G50" s="538">
        <f>SUM(G47:G48)</f>
        <v>6896</v>
      </c>
      <c r="H50" s="538"/>
      <c r="I50" s="538"/>
      <c r="J50" s="538">
        <f>SUM(J47:J48)</f>
        <v>1545</v>
      </c>
      <c r="K50" s="538">
        <f>SUM(K47:K48)</f>
        <v>1434</v>
      </c>
      <c r="L50" s="538">
        <f>SUM(L47:L48)</f>
        <v>1533</v>
      </c>
      <c r="M50" s="539">
        <f>SUM(M47:M48)</f>
        <v>1522</v>
      </c>
      <c r="N50" s="930"/>
      <c r="O50" s="510">
        <f>'Base Case Forecast '!K62</f>
        <v>1350</v>
      </c>
      <c r="P50" s="511">
        <f>'Base Case Forecast '!L62</f>
        <v>1500</v>
      </c>
      <c r="Q50" s="509">
        <f>'Base Case Forecast '!M62</f>
        <v>1543.3916117781864</v>
      </c>
      <c r="R50" s="517"/>
      <c r="S50" s="535"/>
      <c r="T50" s="510">
        <f>'Bear Case Forecast'!K61</f>
        <v>999.99999999999977</v>
      </c>
      <c r="U50" s="511">
        <f>'Bear Case Forecast'!L61</f>
        <v>1036.9182260197153</v>
      </c>
      <c r="V50" s="509">
        <f>'Bear Case Forecast'!M61</f>
        <v>1154.5693140358871</v>
      </c>
      <c r="W50" s="927" t="e">
        <f>(V48/#REF!)*#REF!</f>
        <v>#REF!</v>
      </c>
      <c r="Y50" s="362" t="s">
        <v>31</v>
      </c>
      <c r="AC50" s="672">
        <v>10708</v>
      </c>
      <c r="AD50" s="514"/>
      <c r="AE50" s="540"/>
      <c r="AI50" s="357"/>
    </row>
    <row r="51" spans="1:35" ht="15" customHeight="1" thickBot="1">
      <c r="A51" s="873"/>
      <c r="B51" s="902"/>
      <c r="C51" s="491" t="s">
        <v>34</v>
      </c>
      <c r="D51" s="869"/>
      <c r="E51" s="435"/>
      <c r="F51" s="435"/>
      <c r="G51" s="435">
        <f>'[129]Cash Flow'!C28</f>
        <v>1596</v>
      </c>
      <c r="H51" s="435"/>
      <c r="I51" s="435"/>
      <c r="J51" s="516">
        <f>1670-1750+1011-2032</f>
        <v>-1101</v>
      </c>
      <c r="K51" s="516">
        <f>2105-2105+1100-1809</f>
        <v>-709</v>
      </c>
      <c r="L51" s="460">
        <f>1462-1442-0-699</f>
        <v>-679</v>
      </c>
      <c r="M51" s="541">
        <f>(520-470+1235-1263)-(696-596+0-16)+(1462-1442-699)</f>
        <v>-741</v>
      </c>
      <c r="N51" s="930"/>
      <c r="O51" s="466">
        <f>'Base Case Forecast '!K63</f>
        <v>-89.25</v>
      </c>
      <c r="P51" s="429">
        <f>'Base Case Forecast '!L63</f>
        <v>-1594.75</v>
      </c>
      <c r="Q51" s="464">
        <f>'Base Case Forecast '!M63</f>
        <v>-1575</v>
      </c>
      <c r="R51" s="464"/>
      <c r="S51" s="465"/>
      <c r="T51" s="466">
        <f>'Bear Case Forecast'!K62</f>
        <v>-89.25</v>
      </c>
      <c r="U51" s="429">
        <f>'Bear Case Forecast'!L62</f>
        <v>-969.75</v>
      </c>
      <c r="V51" s="464">
        <f>'Bear Case Forecast'!M62</f>
        <v>0</v>
      </c>
      <c r="W51" s="928" t="e">
        <f>SUM(W48:W50)</f>
        <v>#REF!</v>
      </c>
      <c r="Y51" s="542" t="s">
        <v>33</v>
      </c>
      <c r="Z51" s="543"/>
      <c r="AA51" s="543"/>
      <c r="AB51" s="544"/>
      <c r="AC51" s="671">
        <f xml:space="preserve"> AC50+AC45</f>
        <v>20380</v>
      </c>
      <c r="AD51" s="545"/>
      <c r="AE51" s="545"/>
      <c r="AI51" s="357"/>
    </row>
    <row r="52" spans="1:35" ht="15" customHeight="1">
      <c r="A52" s="873"/>
      <c r="B52" s="902"/>
      <c r="C52" s="491" t="s">
        <v>35</v>
      </c>
      <c r="D52" s="869"/>
      <c r="E52" s="435"/>
      <c r="F52" s="435"/>
      <c r="G52" s="435">
        <f>'[129]Cash Flow'!C29</f>
        <v>174</v>
      </c>
      <c r="H52" s="435"/>
      <c r="I52" s="435"/>
      <c r="J52" s="516">
        <v>0</v>
      </c>
      <c r="K52" s="516">
        <v>0</v>
      </c>
      <c r="L52" s="866">
        <v>0</v>
      </c>
      <c r="M52" s="541">
        <v>0</v>
      </c>
      <c r="N52" s="930"/>
      <c r="O52" s="466">
        <f>'Base Case Forecast '!K64</f>
        <v>0</v>
      </c>
      <c r="P52" s="429">
        <f>'Base Case Forecast '!L64</f>
        <v>0</v>
      </c>
      <c r="Q52" s="464">
        <f>'Base Case Forecast '!M64</f>
        <v>0</v>
      </c>
      <c r="R52" s="464"/>
      <c r="S52" s="465"/>
      <c r="T52" s="466">
        <f>'Bear Case Forecast'!K63</f>
        <v>0</v>
      </c>
      <c r="U52" s="429">
        <f>'Bear Case Forecast'!L63</f>
        <v>0</v>
      </c>
      <c r="V52" s="464">
        <f>'Bear Case Forecast'!M63</f>
        <v>0</v>
      </c>
      <c r="W52" s="922">
        <v>1000</v>
      </c>
      <c r="Y52" s="546"/>
      <c r="AC52" s="547"/>
      <c r="AI52" s="357"/>
    </row>
    <row r="53" spans="1:35" ht="15" customHeight="1" thickBot="1">
      <c r="A53" s="873"/>
      <c r="B53" s="902"/>
      <c r="C53" s="491" t="s">
        <v>36</v>
      </c>
      <c r="D53" s="869"/>
      <c r="E53" s="435"/>
      <c r="F53" s="435"/>
      <c r="G53" s="435">
        <f>'[129]Cash Flow'!C31</f>
        <v>-5228</v>
      </c>
      <c r="H53" s="435"/>
      <c r="I53" s="435"/>
      <c r="J53" s="516">
        <v>-274</v>
      </c>
      <c r="K53" s="516">
        <v>-6</v>
      </c>
      <c r="L53" s="516">
        <f>-136</f>
        <v>-136</v>
      </c>
      <c r="M53" s="461">
        <f>(-22)-(-25)+(-136)</f>
        <v>-133</v>
      </c>
      <c r="N53" s="930"/>
      <c r="O53" s="466">
        <f>'Base Case Forecast '!K65</f>
        <v>-22</v>
      </c>
      <c r="P53" s="429" t="str">
        <f>'Base Case Forecast '!L65</f>
        <v>0</v>
      </c>
      <c r="Q53" s="464">
        <f>'Base Case Forecast '!M65</f>
        <v>0</v>
      </c>
      <c r="R53" s="464"/>
      <c r="S53" s="465"/>
      <c r="T53" s="466">
        <f>'Bear Case Forecast'!K64</f>
        <v>-22</v>
      </c>
      <c r="U53" s="429" t="str">
        <f>'Bear Case Forecast'!L64</f>
        <v>0</v>
      </c>
      <c r="V53" s="464">
        <f>'Bear Case Forecast'!M64</f>
        <v>0</v>
      </c>
      <c r="W53" s="922">
        <f>+R52</f>
        <v>0</v>
      </c>
      <c r="AC53" s="547"/>
      <c r="AF53" s="548"/>
      <c r="AI53" s="357"/>
    </row>
    <row r="54" spans="1:35" ht="15" customHeight="1" thickBot="1">
      <c r="A54" s="873"/>
      <c r="B54" s="902"/>
      <c r="C54" s="491" t="s">
        <v>38</v>
      </c>
      <c r="D54" s="869"/>
      <c r="E54" s="435"/>
      <c r="F54" s="435"/>
      <c r="G54" s="435">
        <f>-4793+655</f>
        <v>-4138</v>
      </c>
      <c r="H54" s="435"/>
      <c r="I54" s="435"/>
      <c r="J54" s="516">
        <v>0</v>
      </c>
      <c r="K54" s="516">
        <v>0</v>
      </c>
      <c r="L54" s="516">
        <v>0</v>
      </c>
      <c r="M54" s="461">
        <v>0</v>
      </c>
      <c r="N54" s="930"/>
      <c r="O54" s="466">
        <f>'Base Case Forecast '!K66</f>
        <v>0</v>
      </c>
      <c r="P54" s="429">
        <f>'Base Case Forecast '!L66</f>
        <v>0</v>
      </c>
      <c r="Q54" s="464">
        <f>'Base Case Forecast '!M66</f>
        <v>0</v>
      </c>
      <c r="R54" s="464"/>
      <c r="S54" s="465"/>
      <c r="T54" s="466">
        <f>'Bear Case Forecast'!K65</f>
        <v>0</v>
      </c>
      <c r="U54" s="429">
        <f>'Bear Case Forecast'!L65</f>
        <v>0</v>
      </c>
      <c r="V54" s="464">
        <f>'Bear Case Forecast'!M65</f>
        <v>0</v>
      </c>
      <c r="W54" s="922">
        <f>+R53</f>
        <v>0</v>
      </c>
      <c r="Y54" s="977" t="s">
        <v>37</v>
      </c>
      <c r="Z54" s="984"/>
      <c r="AA54" s="985"/>
      <c r="AB54" s="996"/>
      <c r="AC54" s="997" t="str">
        <f>+M12</f>
        <v>LTM</v>
      </c>
      <c r="AD54" s="548"/>
      <c r="AE54" s="14"/>
      <c r="AF54" s="14"/>
      <c r="AG54" s="14"/>
      <c r="AI54" s="357"/>
    </row>
    <row r="55" spans="1:35" ht="15" customHeight="1">
      <c r="A55" s="873"/>
      <c r="B55" s="902"/>
      <c r="C55" s="491" t="s">
        <v>40</v>
      </c>
      <c r="D55" s="869"/>
      <c r="E55" s="435"/>
      <c r="F55" s="435"/>
      <c r="G55" s="435">
        <v>0</v>
      </c>
      <c r="H55" s="435"/>
      <c r="I55" s="435"/>
      <c r="J55" s="516">
        <v>0</v>
      </c>
      <c r="K55" s="516">
        <v>0</v>
      </c>
      <c r="L55" s="516">
        <v>0</v>
      </c>
      <c r="M55" s="461">
        <v>0</v>
      </c>
      <c r="N55" s="930"/>
      <c r="O55" s="466">
        <f>'Base Case Forecast '!K67</f>
        <v>0</v>
      </c>
      <c r="P55" s="429">
        <f>'Base Case Forecast '!L67</f>
        <v>0</v>
      </c>
      <c r="Q55" s="464">
        <f>'Base Case Forecast '!M67</f>
        <v>0</v>
      </c>
      <c r="R55" s="464"/>
      <c r="S55" s="465"/>
      <c r="T55" s="466">
        <f>'Bear Case Forecast'!K66</f>
        <v>0</v>
      </c>
      <c r="U55" s="429">
        <f>'Bear Case Forecast'!L66</f>
        <v>0</v>
      </c>
      <c r="V55" s="464">
        <f>'Bear Case Forecast'!M66</f>
        <v>0</v>
      </c>
      <c r="W55" s="922">
        <v>0</v>
      </c>
      <c r="Y55" s="654" t="s">
        <v>39</v>
      </c>
      <c r="Z55" s="655"/>
      <c r="AA55" s="656"/>
      <c r="AB55" s="657"/>
      <c r="AC55" s="658">
        <v>75</v>
      </c>
      <c r="AD55" s="549"/>
      <c r="AE55" s="48"/>
      <c r="AF55"/>
      <c r="AG55"/>
      <c r="AI55" s="357"/>
    </row>
    <row r="56" spans="1:35" ht="15" customHeight="1">
      <c r="A56" s="873"/>
      <c r="B56" s="902"/>
      <c r="C56" s="491" t="s">
        <v>41</v>
      </c>
      <c r="D56" s="869"/>
      <c r="E56" s="435"/>
      <c r="F56" s="435"/>
      <c r="G56" s="435">
        <f>'[129]Cash Flow'!C30</f>
        <v>-1739</v>
      </c>
      <c r="H56" s="435"/>
      <c r="I56" s="435"/>
      <c r="J56" s="516">
        <v>-65</v>
      </c>
      <c r="K56" s="516">
        <v>-143</v>
      </c>
      <c r="L56" s="516">
        <v>-365</v>
      </c>
      <c r="M56" s="541">
        <f>(-91)-(-91)+(-365)</f>
        <v>-365</v>
      </c>
      <c r="N56" s="930"/>
      <c r="O56" s="466">
        <f>'Base Case Forecast '!K68</f>
        <v>-365.04</v>
      </c>
      <c r="P56" s="429">
        <f>'Base Case Forecast '!L68</f>
        <v>-365.04</v>
      </c>
      <c r="Q56" s="464">
        <f>'Base Case Forecast '!M68</f>
        <v>-365.04</v>
      </c>
      <c r="R56" s="464"/>
      <c r="S56" s="465"/>
      <c r="T56" s="466">
        <f>'Bear Case Forecast'!K67</f>
        <v>-365.04</v>
      </c>
      <c r="U56" s="429">
        <f>'Bear Case Forecast'!L67</f>
        <v>-365.04</v>
      </c>
      <c r="V56" s="464">
        <f>'Bear Case Forecast'!M67</f>
        <v>-365.04</v>
      </c>
      <c r="W56" s="922">
        <v>0</v>
      </c>
      <c r="X56" s="324"/>
      <c r="Y56" s="436" t="s">
        <v>42</v>
      </c>
      <c r="Z56" s="366"/>
      <c r="AA56" s="552"/>
      <c r="AB56" s="549"/>
      <c r="AC56" s="659">
        <v>2000</v>
      </c>
      <c r="AD56" s="549"/>
      <c r="AE56" s="48"/>
      <c r="AF56"/>
      <c r="AG56" s="13"/>
      <c r="AI56" s="357"/>
    </row>
    <row r="57" spans="1:35" ht="15" customHeight="1">
      <c r="A57" s="873"/>
      <c r="B57" s="902"/>
      <c r="C57" s="491" t="s">
        <v>43</v>
      </c>
      <c r="D57" s="869"/>
      <c r="E57" s="435"/>
      <c r="F57" s="435"/>
      <c r="G57" s="435">
        <v>0</v>
      </c>
      <c r="H57" s="435"/>
      <c r="I57" s="435"/>
      <c r="J57" s="516">
        <v>0</v>
      </c>
      <c r="K57" s="516">
        <v>0</v>
      </c>
      <c r="L57" s="516">
        <v>0</v>
      </c>
      <c r="M57" s="541">
        <v>0</v>
      </c>
      <c r="N57" s="930"/>
      <c r="O57" s="466">
        <f>'Base Case Forecast '!K69</f>
        <v>0</v>
      </c>
      <c r="P57" s="429">
        <f>'Base Case Forecast '!L69</f>
        <v>0</v>
      </c>
      <c r="Q57" s="464">
        <f>'Base Case Forecast '!M69</f>
        <v>0</v>
      </c>
      <c r="R57" s="464"/>
      <c r="S57" s="465"/>
      <c r="T57" s="466">
        <f>'Bear Case Forecast'!K68</f>
        <v>0</v>
      </c>
      <c r="U57" s="429">
        <f>'Bear Case Forecast'!L68</f>
        <v>0</v>
      </c>
      <c r="V57" s="464">
        <f>'Bear Case Forecast'!M68</f>
        <v>0</v>
      </c>
      <c r="W57" s="922">
        <f>V56</f>
        <v>-365.04</v>
      </c>
      <c r="Y57" s="436" t="s">
        <v>44</v>
      </c>
      <c r="Z57" s="366"/>
      <c r="AA57" s="550"/>
      <c r="AB57" s="549"/>
      <c r="AC57" s="56">
        <v>-70</v>
      </c>
      <c r="AD57" s="549"/>
      <c r="AE57" s="48"/>
      <c r="AF57"/>
      <c r="AG57"/>
      <c r="AI57" s="357"/>
    </row>
    <row r="58" spans="1:35" ht="15" customHeight="1">
      <c r="A58" s="873"/>
      <c r="B58" s="902"/>
      <c r="C58" s="491" t="s">
        <v>45</v>
      </c>
      <c r="D58" s="869"/>
      <c r="E58" s="435"/>
      <c r="F58" s="435"/>
      <c r="G58" s="435">
        <v>0</v>
      </c>
      <c r="H58" s="435"/>
      <c r="I58" s="435"/>
      <c r="J58" s="516">
        <v>0</v>
      </c>
      <c r="K58" s="516">
        <v>0</v>
      </c>
      <c r="L58" s="516">
        <v>0</v>
      </c>
      <c r="M58" s="541">
        <v>0</v>
      </c>
      <c r="N58" s="930"/>
      <c r="O58" s="466">
        <f>'Base Case Forecast '!K70</f>
        <v>0</v>
      </c>
      <c r="P58" s="429">
        <f>'Base Case Forecast '!L70</f>
        <v>0</v>
      </c>
      <c r="Q58" s="464">
        <f>'Base Case Forecast '!M70</f>
        <v>0</v>
      </c>
      <c r="R58" s="464"/>
      <c r="S58" s="465"/>
      <c r="T58" s="466">
        <f>'Bear Case Forecast'!K69</f>
        <v>0</v>
      </c>
      <c r="U58" s="429">
        <f>'Bear Case Forecast'!L69</f>
        <v>0</v>
      </c>
      <c r="V58" s="464">
        <f>'Bear Case Forecast'!M69</f>
        <v>0</v>
      </c>
      <c r="W58" s="922">
        <f>V57</f>
        <v>0</v>
      </c>
      <c r="Y58" s="434" t="s">
        <v>47</v>
      </c>
      <c r="Z58" s="366"/>
      <c r="AA58" s="550"/>
      <c r="AB58" s="551"/>
      <c r="AC58" s="660">
        <v>1930</v>
      </c>
      <c r="AD58" s="549"/>
      <c r="AE58" s="48"/>
      <c r="AF58" s="14"/>
      <c r="AG58" s="40"/>
      <c r="AI58" s="357"/>
    </row>
    <row r="59" spans="1:35" ht="15" customHeight="1">
      <c r="A59" s="873"/>
      <c r="B59" s="902"/>
      <c r="C59" s="491" t="s">
        <v>100</v>
      </c>
      <c r="D59" s="869"/>
      <c r="E59" s="435"/>
      <c r="F59" s="435"/>
      <c r="G59" s="435"/>
      <c r="H59" s="435"/>
      <c r="I59" s="435"/>
      <c r="J59" s="516">
        <v>273</v>
      </c>
      <c r="K59" s="516">
        <v>0</v>
      </c>
      <c r="L59" s="516">
        <v>0</v>
      </c>
      <c r="M59" s="541">
        <v>0</v>
      </c>
      <c r="N59" s="930"/>
      <c r="O59" s="466">
        <f>'Base Case Forecast '!K71</f>
        <v>0</v>
      </c>
      <c r="P59" s="429">
        <f>'Base Case Forecast '!L71</f>
        <v>0</v>
      </c>
      <c r="Q59" s="464">
        <f>'Base Case Forecast '!M71</f>
        <v>0</v>
      </c>
      <c r="R59" s="464"/>
      <c r="S59" s="465"/>
      <c r="T59" s="466">
        <f>'Bear Case Forecast'!K70</f>
        <v>0</v>
      </c>
      <c r="U59" s="429">
        <f>'Bear Case Forecast'!L70</f>
        <v>0</v>
      </c>
      <c r="V59" s="464">
        <f>'Bear Case Forecast'!M70</f>
        <v>0</v>
      </c>
      <c r="W59" s="922"/>
      <c r="Y59" s="436" t="s">
        <v>18</v>
      </c>
      <c r="Z59" s="366"/>
      <c r="AA59" s="550"/>
      <c r="AB59" s="551"/>
      <c r="AC59" s="56">
        <v>0</v>
      </c>
      <c r="AD59" s="549"/>
      <c r="AE59" s="48"/>
      <c r="AF59"/>
      <c r="AG59"/>
      <c r="AI59" s="357"/>
    </row>
    <row r="60" spans="1:35" ht="15" customHeight="1" thickBot="1">
      <c r="A60" s="873"/>
      <c r="B60" s="902" t="s">
        <v>4</v>
      </c>
      <c r="C60" s="500" t="s">
        <v>46</v>
      </c>
      <c r="D60" s="501"/>
      <c r="E60" s="502"/>
      <c r="F60" s="502"/>
      <c r="G60" s="502">
        <f>+G61-SUM(G50:G58)</f>
        <v>-83</v>
      </c>
      <c r="H60" s="502">
        <f>H61-SUM(H50:H58)</f>
        <v>0</v>
      </c>
      <c r="I60" s="502">
        <f>I61-SUM(I50:I58)</f>
        <v>0</v>
      </c>
      <c r="J60" s="553">
        <f>J61-SUM(J50:J59)</f>
        <v>-433</v>
      </c>
      <c r="K60" s="553">
        <f>K61-SUM(K50:K59)</f>
        <v>-721</v>
      </c>
      <c r="L60" s="553">
        <f>L61-SUM(L50:L59)</f>
        <v>-421</v>
      </c>
      <c r="M60" s="554">
        <f>M61-SUM(M50:M59)</f>
        <v>-335</v>
      </c>
      <c r="N60" s="865"/>
      <c r="O60" s="466">
        <f>'Base Case Forecast '!K72</f>
        <v>0</v>
      </c>
      <c r="P60" s="429">
        <f>'Base Case Forecast '!L72</f>
        <v>0</v>
      </c>
      <c r="Q60" s="464">
        <f>'Base Case Forecast '!M72</f>
        <v>0</v>
      </c>
      <c r="R60" s="464"/>
      <c r="S60" s="465"/>
      <c r="T60" s="466">
        <f>O60</f>
        <v>0</v>
      </c>
      <c r="U60" s="429">
        <f t="shared" ref="U60:V60" si="11">P60</f>
        <v>0</v>
      </c>
      <c r="V60" s="464">
        <f t="shared" si="11"/>
        <v>0</v>
      </c>
      <c r="W60" s="922"/>
      <c r="Y60" s="573" t="s">
        <v>49</v>
      </c>
      <c r="Z60" s="661"/>
      <c r="AA60" s="662"/>
      <c r="AB60" s="663"/>
      <c r="AC60" s="664">
        <v>2005</v>
      </c>
      <c r="AD60" s="549"/>
      <c r="AE60" s="48"/>
      <c r="AF60" s="14"/>
      <c r="AG60" s="40"/>
      <c r="AI60" s="357"/>
    </row>
    <row r="61" spans="1:35" ht="15" customHeight="1">
      <c r="A61" s="873"/>
      <c r="B61" s="902"/>
      <c r="C61" s="507" t="s">
        <v>48</v>
      </c>
      <c r="D61" s="868"/>
      <c r="E61" s="410"/>
      <c r="F61" s="410"/>
      <c r="G61" s="410">
        <f>'[129]Cash Flow'!C36</f>
        <v>-2522</v>
      </c>
      <c r="H61" s="410"/>
      <c r="I61" s="410"/>
      <c r="J61" s="555">
        <v>-55</v>
      </c>
      <c r="K61" s="555">
        <v>-145</v>
      </c>
      <c r="L61" s="555">
        <v>-68</v>
      </c>
      <c r="M61" s="556">
        <f>(-19)-(-35)+(-68)</f>
        <v>-52</v>
      </c>
      <c r="N61" s="864"/>
      <c r="O61" s="557">
        <f>SUM(O50:O60)</f>
        <v>873.71</v>
      </c>
      <c r="P61" s="478">
        <f t="shared" ref="P61:Q61" si="12">SUM(P50:P60)</f>
        <v>-459.79</v>
      </c>
      <c r="Q61" s="558">
        <f t="shared" si="12"/>
        <v>-396.6483882218136</v>
      </c>
      <c r="R61" s="464"/>
      <c r="S61" s="465"/>
      <c r="T61" s="557">
        <f>'Bear Case Forecast'!K72</f>
        <v>523.70999999999981</v>
      </c>
      <c r="U61" s="511">
        <f>'Bear Case Forecast'!L72</f>
        <v>-297.87177398028467</v>
      </c>
      <c r="V61" s="558">
        <f>'Bear Case Forecast'!M72</f>
        <v>789.52931403588718</v>
      </c>
      <c r="W61" s="922"/>
      <c r="Y61" s="365"/>
      <c r="Z61" s="366"/>
      <c r="AA61" s="550"/>
      <c r="AB61" s="551"/>
      <c r="AC61" s="551"/>
      <c r="AD61" s="549"/>
      <c r="AE61" s="549"/>
      <c r="AF61" s="549"/>
      <c r="AI61" s="357"/>
    </row>
    <row r="62" spans="1:35" ht="15" customHeight="1" thickBot="1">
      <c r="A62" s="873"/>
      <c r="B62" s="902"/>
      <c r="C62" s="559"/>
      <c r="D62" s="560"/>
      <c r="E62" s="561"/>
      <c r="F62" s="561"/>
      <c r="G62" s="561"/>
      <c r="H62" s="561"/>
      <c r="I62" s="561"/>
      <c r="J62" s="561"/>
      <c r="K62" s="561"/>
      <c r="L62" s="561"/>
      <c r="M62" s="562"/>
      <c r="N62" s="867"/>
      <c r="O62" s="563"/>
      <c r="P62" s="564"/>
      <c r="Q62" s="565"/>
      <c r="R62" s="517"/>
      <c r="S62" s="535"/>
      <c r="T62" s="563"/>
      <c r="U62" s="564"/>
      <c r="V62" s="565"/>
      <c r="W62" s="927" t="e">
        <f>+#REF!</f>
        <v>#REF!</v>
      </c>
      <c r="Y62" s="11"/>
      <c r="Z62" s="685"/>
      <c r="AA62" s="566"/>
      <c r="AB62" s="551"/>
      <c r="AC62" s="567"/>
      <c r="AD62" s="549"/>
      <c r="AE62" s="549"/>
      <c r="AF62" s="567"/>
      <c r="AI62" s="357"/>
    </row>
    <row r="63" spans="1:35" ht="15" customHeight="1" thickBot="1">
      <c r="A63" s="873"/>
      <c r="B63" s="902" t="s">
        <v>4</v>
      </c>
      <c r="C63" s="998" t="s">
        <v>50</v>
      </c>
      <c r="D63" s="999"/>
      <c r="E63" s="1000"/>
      <c r="F63" s="1000"/>
      <c r="G63" s="1000"/>
      <c r="H63" s="1000"/>
      <c r="I63" s="995"/>
      <c r="J63" s="980" t="s">
        <v>82</v>
      </c>
      <c r="K63" s="980" t="s">
        <v>81</v>
      </c>
      <c r="L63" s="980" t="s">
        <v>80</v>
      </c>
      <c r="M63" s="981" t="s">
        <v>73</v>
      </c>
      <c r="N63" s="908"/>
      <c r="O63" s="1001" t="s">
        <v>14</v>
      </c>
      <c r="P63" s="979" t="s">
        <v>15</v>
      </c>
      <c r="Q63" s="1002" t="s">
        <v>130</v>
      </c>
      <c r="R63" s="373" t="s">
        <v>15</v>
      </c>
      <c r="S63" s="910"/>
      <c r="T63" s="1001" t="s">
        <v>14</v>
      </c>
      <c r="U63" s="979" t="s">
        <v>15</v>
      </c>
      <c r="V63" s="1002" t="s">
        <v>130</v>
      </c>
      <c r="W63" s="928" t="e">
        <f>SUM(W51:W62)</f>
        <v>#REF!</v>
      </c>
      <c r="Y63" s="365"/>
      <c r="Z63" s="366"/>
      <c r="AA63" s="550"/>
      <c r="AB63" s="567"/>
      <c r="AC63" s="551"/>
      <c r="AD63" s="567"/>
      <c r="AE63" s="567"/>
      <c r="AF63" s="567"/>
      <c r="AI63" s="357"/>
    </row>
    <row r="64" spans="1:35" ht="15.75" customHeight="1">
      <c r="A64" s="873"/>
      <c r="B64" s="907" t="s">
        <v>4</v>
      </c>
      <c r="C64" s="430" t="s">
        <v>105</v>
      </c>
      <c r="D64" s="871"/>
      <c r="E64" s="462"/>
      <c r="F64" s="462"/>
      <c r="G64" s="462">
        <f>'[129]Balance Sheet'!C29</f>
        <v>1966</v>
      </c>
      <c r="H64" s="462">
        <f>'[129]Balance Sheet'!D29</f>
        <v>5738</v>
      </c>
      <c r="I64" s="462">
        <f>'[129]Balance Sheet'!E29</f>
        <v>3265</v>
      </c>
      <c r="J64" s="460">
        <v>1195</v>
      </c>
      <c r="K64" s="460">
        <v>1050</v>
      </c>
      <c r="L64" s="460">
        <v>1058</v>
      </c>
      <c r="M64" s="461">
        <v>59</v>
      </c>
      <c r="N64" s="931"/>
      <c r="O64" s="568">
        <f>'Base Case Forecast '!K47</f>
        <v>59</v>
      </c>
      <c r="P64" s="569">
        <f>'Base Case Forecast '!L47</f>
        <v>59</v>
      </c>
      <c r="Q64" s="570">
        <f>'Base Case Forecast '!M47</f>
        <v>59</v>
      </c>
      <c r="R64" s="463">
        <f>+P64</f>
        <v>59</v>
      </c>
      <c r="S64" s="571"/>
      <c r="T64" s="572">
        <f>'Bear Case Forecast'!K46</f>
        <v>59</v>
      </c>
      <c r="U64" s="574">
        <f>'Bear Case Forecast'!L46</f>
        <v>59</v>
      </c>
      <c r="V64" s="575">
        <f>'Bear Case Forecast'!M46</f>
        <v>59</v>
      </c>
      <c r="W64" s="921"/>
      <c r="Y64" s="11"/>
      <c r="Z64" s="685"/>
      <c r="AA64" s="566"/>
      <c r="AB64" s="567"/>
      <c r="AC64" s="567"/>
      <c r="AD64" s="567"/>
      <c r="AE64" s="567"/>
      <c r="AI64" s="357"/>
    </row>
    <row r="65" spans="1:35" ht="15" customHeight="1" thickBot="1">
      <c r="A65" s="873"/>
      <c r="B65" s="907" t="s">
        <v>4</v>
      </c>
      <c r="C65" s="430" t="s">
        <v>51</v>
      </c>
      <c r="D65" s="871"/>
      <c r="E65" s="462"/>
      <c r="F65" s="462"/>
      <c r="G65" s="462">
        <f>'[129]Balance Sheet'!C32</f>
        <v>12431</v>
      </c>
      <c r="H65" s="462">
        <f>'[129]Balance Sheet'!D32</f>
        <v>11098</v>
      </c>
      <c r="I65" s="462">
        <f>'[129]Balance Sheet'!E32</f>
        <v>12203</v>
      </c>
      <c r="J65" s="460">
        <v>10073</v>
      </c>
      <c r="K65" s="460">
        <v>10314</v>
      </c>
      <c r="L65" s="460">
        <v>8648</v>
      </c>
      <c r="M65" s="461">
        <v>9688</v>
      </c>
      <c r="N65" s="931"/>
      <c r="O65" s="572">
        <f>'Base Case Forecast '!K48</f>
        <v>9576.75</v>
      </c>
      <c r="P65" s="574">
        <f>'Base Case Forecast '!L48</f>
        <v>7982</v>
      </c>
      <c r="Q65" s="575">
        <f>'Base Case Forecast '!M48</f>
        <v>6407</v>
      </c>
      <c r="R65" s="463">
        <f>+Q65+R51</f>
        <v>6407</v>
      </c>
      <c r="S65" s="571"/>
      <c r="T65" s="572">
        <f>'Bear Case Forecast'!K47</f>
        <v>9576.75</v>
      </c>
      <c r="U65" s="574">
        <f>'Bear Case Forecast'!L47</f>
        <v>8607</v>
      </c>
      <c r="V65" s="575">
        <f>'Bear Case Forecast'!M47</f>
        <v>8607</v>
      </c>
      <c r="W65" s="932"/>
      <c r="Y65" s="576"/>
      <c r="Z65" s="374"/>
      <c r="AA65" s="374"/>
      <c r="AB65" s="577"/>
      <c r="AC65" s="374"/>
      <c r="AD65" s="548"/>
      <c r="AE65" s="548"/>
      <c r="AF65" s="548"/>
      <c r="AI65" s="357"/>
    </row>
    <row r="66" spans="1:35" ht="15" customHeight="1">
      <c r="A66" s="873"/>
      <c r="B66" s="907" t="s">
        <v>4</v>
      </c>
      <c r="C66" s="430" t="s">
        <v>52</v>
      </c>
      <c r="D66" s="871"/>
      <c r="E66" s="578"/>
      <c r="F66" s="578"/>
      <c r="G66" s="578"/>
      <c r="H66" s="578"/>
      <c r="I66" s="578"/>
      <c r="J66" s="516">
        <v>0</v>
      </c>
      <c r="K66" s="516">
        <v>0</v>
      </c>
      <c r="L66" s="516">
        <v>0</v>
      </c>
      <c r="M66" s="461">
        <v>0</v>
      </c>
      <c r="N66" s="865"/>
      <c r="O66" s="579">
        <v>0</v>
      </c>
      <c r="P66" s="580">
        <v>0</v>
      </c>
      <c r="Q66" s="581">
        <v>0</v>
      </c>
      <c r="R66" s="582">
        <f>P66</f>
        <v>0</v>
      </c>
      <c r="S66" s="583"/>
      <c r="T66" s="579">
        <f>O66</f>
        <v>0</v>
      </c>
      <c r="U66" s="580">
        <f>P66</f>
        <v>0</v>
      </c>
      <c r="V66" s="581">
        <v>0</v>
      </c>
      <c r="W66" s="933">
        <f>+V64</f>
        <v>59</v>
      </c>
      <c r="Y66" s="576"/>
      <c r="Z66" s="584"/>
      <c r="AA66" s="584"/>
      <c r="AB66" s="548"/>
      <c r="AC66" s="548"/>
      <c r="AD66" s="374"/>
      <c r="AE66" s="548"/>
      <c r="AF66" s="548"/>
      <c r="AI66" s="357"/>
    </row>
    <row r="67" spans="1:35" ht="15.75" customHeight="1">
      <c r="A67" s="873"/>
      <c r="B67" s="907" t="s">
        <v>4</v>
      </c>
      <c r="C67" s="585" t="s">
        <v>24</v>
      </c>
      <c r="D67" s="586"/>
      <c r="E67" s="587"/>
      <c r="F67" s="587"/>
      <c r="G67" s="587">
        <f>SUM(G64:G66)</f>
        <v>14397</v>
      </c>
      <c r="H67" s="587"/>
      <c r="I67" s="587"/>
      <c r="J67" s="588">
        <f>SUM(J64:J66)</f>
        <v>11268</v>
      </c>
      <c r="K67" s="588">
        <f t="shared" ref="K67:M67" si="13">SUM(K64:K66)</f>
        <v>11364</v>
      </c>
      <c r="L67" s="588">
        <f t="shared" si="13"/>
        <v>9706</v>
      </c>
      <c r="M67" s="872">
        <f t="shared" si="13"/>
        <v>9747</v>
      </c>
      <c r="N67" s="864"/>
      <c r="O67" s="589">
        <f>SUM(O64:O66)</f>
        <v>9635.75</v>
      </c>
      <c r="P67" s="587">
        <f t="shared" ref="P67:Q67" si="14">SUM(P64:P66)</f>
        <v>8041</v>
      </c>
      <c r="Q67" s="590">
        <f t="shared" si="14"/>
        <v>6466</v>
      </c>
      <c r="R67" s="517"/>
      <c r="S67" s="934"/>
      <c r="T67" s="589">
        <f>SUM(T64:T66)</f>
        <v>9635.75</v>
      </c>
      <c r="U67" s="677">
        <f t="shared" ref="U67:V67" si="15">SUM(U64:U66)</f>
        <v>8666</v>
      </c>
      <c r="V67" s="590">
        <f t="shared" si="15"/>
        <v>8666</v>
      </c>
      <c r="W67" s="933">
        <f>+V65+W52</f>
        <v>9607</v>
      </c>
      <c r="Y67" s="365"/>
      <c r="Z67" s="591"/>
      <c r="AA67" s="591"/>
      <c r="AB67" s="549"/>
      <c r="AC67" s="592"/>
      <c r="AD67" s="551"/>
      <c r="AE67" s="593"/>
      <c r="AF67" s="593"/>
      <c r="AG67" s="548"/>
      <c r="AH67" s="67"/>
      <c r="AI67" s="357"/>
    </row>
    <row r="68" spans="1:35" ht="16">
      <c r="A68" s="873"/>
      <c r="B68" s="907"/>
      <c r="C68" s="436" t="s">
        <v>53</v>
      </c>
      <c r="D68" s="873"/>
      <c r="E68" s="435"/>
      <c r="F68" s="435"/>
      <c r="G68" s="435">
        <f>'[129]Balance Sheet'!C8</f>
        <v>785</v>
      </c>
      <c r="H68" s="435"/>
      <c r="I68" s="435"/>
      <c r="J68" s="516">
        <v>306</v>
      </c>
      <c r="K68" s="516">
        <f>162</f>
        <v>162</v>
      </c>
      <c r="L68" s="516">
        <f>94</f>
        <v>94</v>
      </c>
      <c r="M68" s="461">
        <v>75</v>
      </c>
      <c r="N68" s="864"/>
      <c r="O68" s="466">
        <f>'Base Case Forecast '!K50</f>
        <v>967.71</v>
      </c>
      <c r="P68" s="429">
        <f>'Base Case Forecast '!L50</f>
        <v>507.92</v>
      </c>
      <c r="Q68" s="464">
        <f>'Base Case Forecast '!M50</f>
        <v>111.27161177818641</v>
      </c>
      <c r="R68" s="464"/>
      <c r="S68" s="465"/>
      <c r="T68" s="466">
        <f>'Bear Case Forecast'!K49</f>
        <v>617.70999999999981</v>
      </c>
      <c r="U68" s="676">
        <f>'Bear Case Forecast'!L49</f>
        <v>319.83822601971514</v>
      </c>
      <c r="V68" s="464">
        <f>'Bear Case Forecast'!M49</f>
        <v>1109.3675400556024</v>
      </c>
      <c r="W68" s="935">
        <f>R66</f>
        <v>0</v>
      </c>
      <c r="Y68" s="365"/>
      <c r="Z68" s="591"/>
      <c r="AA68" s="591"/>
      <c r="AB68" s="549"/>
      <c r="AC68" s="592"/>
      <c r="AD68" s="551"/>
      <c r="AE68" s="594"/>
      <c r="AF68" s="594"/>
      <c r="AG68" s="593"/>
      <c r="AH68" s="67"/>
      <c r="AI68" s="357"/>
    </row>
    <row r="69" spans="1:35" ht="15.75" customHeight="1">
      <c r="A69" s="873"/>
      <c r="B69" s="907"/>
      <c r="C69" s="595" t="s">
        <v>54</v>
      </c>
      <c r="D69" s="596"/>
      <c r="E69" s="587"/>
      <c r="F69" s="587"/>
      <c r="G69" s="587">
        <f t="shared" ref="G69" si="16">+G67-G68</f>
        <v>13612</v>
      </c>
      <c r="H69" s="587"/>
      <c r="I69" s="587"/>
      <c r="J69" s="587">
        <f>J67-J68</f>
        <v>10962</v>
      </c>
      <c r="K69" s="587">
        <f t="shared" ref="K69:M69" si="17">K67-K68</f>
        <v>11202</v>
      </c>
      <c r="L69" s="587">
        <f t="shared" si="17"/>
        <v>9612</v>
      </c>
      <c r="M69" s="590">
        <f t="shared" si="17"/>
        <v>9672</v>
      </c>
      <c r="N69" s="864"/>
      <c r="O69" s="876">
        <f>O67-O68</f>
        <v>8668.0400000000009</v>
      </c>
      <c r="P69" s="677">
        <f t="shared" ref="P69:Q69" si="18">P67-P68</f>
        <v>7533.08</v>
      </c>
      <c r="Q69" s="877">
        <f t="shared" si="18"/>
        <v>6354.7283882218135</v>
      </c>
      <c r="R69" s="495"/>
      <c r="S69" s="472"/>
      <c r="T69" s="589">
        <f>T67-T68</f>
        <v>9018.0400000000009</v>
      </c>
      <c r="U69" s="677">
        <f t="shared" ref="U69:V69" si="19">U67-U68</f>
        <v>8346.1617739802841</v>
      </c>
      <c r="V69" s="590">
        <f t="shared" si="19"/>
        <v>7556.6324599443979</v>
      </c>
      <c r="W69" s="928">
        <f t="shared" ref="W69" si="20">SUM(W66:W68)</f>
        <v>9666</v>
      </c>
      <c r="Y69" s="365"/>
      <c r="Z69" s="591"/>
      <c r="AA69" s="591"/>
      <c r="AB69" s="549"/>
      <c r="AC69" s="592"/>
      <c r="AD69" s="551"/>
      <c r="AE69" s="594"/>
      <c r="AF69" s="594"/>
      <c r="AG69" s="594"/>
      <c r="AH69" s="67"/>
      <c r="AI69" s="357"/>
    </row>
    <row r="70" spans="1:35" ht="16">
      <c r="A70" s="873"/>
      <c r="B70" s="907"/>
      <c r="C70" s="436"/>
      <c r="D70" s="873"/>
      <c r="E70" s="435"/>
      <c r="F70" s="435"/>
      <c r="G70" s="435"/>
      <c r="H70" s="435"/>
      <c r="I70" s="435"/>
      <c r="J70" s="435"/>
      <c r="K70" s="435"/>
      <c r="L70" s="435"/>
      <c r="M70" s="464"/>
      <c r="N70" s="864"/>
      <c r="O70" s="878"/>
      <c r="P70" s="678"/>
      <c r="Q70" s="879"/>
      <c r="R70" s="473"/>
      <c r="S70" s="472"/>
      <c r="T70" s="597"/>
      <c r="U70" s="678"/>
      <c r="V70" s="473"/>
      <c r="W70" s="922" t="e">
        <f>V68+W63</f>
        <v>#REF!</v>
      </c>
      <c r="X70" s="405"/>
      <c r="Y70" s="11"/>
      <c r="Z70" s="598"/>
      <c r="AA70" s="598"/>
      <c r="AB70" s="599"/>
      <c r="AC70" s="600"/>
      <c r="AD70" s="601"/>
      <c r="AE70" s="602"/>
      <c r="AG70" s="594"/>
      <c r="AH70" s="67"/>
      <c r="AI70" s="357"/>
    </row>
    <row r="71" spans="1:35" ht="15" customHeight="1" thickBot="1">
      <c r="A71" s="873"/>
      <c r="B71" s="907"/>
      <c r="C71" s="436"/>
      <c r="D71" s="873"/>
      <c r="E71" s="435"/>
      <c r="F71" s="435"/>
      <c r="G71" s="435"/>
      <c r="H71" s="435"/>
      <c r="I71" s="435"/>
      <c r="J71" s="435"/>
      <c r="K71" s="435"/>
      <c r="L71" s="435"/>
      <c r="M71" s="464"/>
      <c r="N71" s="864"/>
      <c r="O71" s="597"/>
      <c r="P71" s="435"/>
      <c r="Q71" s="473"/>
      <c r="R71" s="473"/>
      <c r="S71" s="472"/>
      <c r="T71" s="597"/>
      <c r="U71" s="435"/>
      <c r="V71" s="473"/>
      <c r="W71" s="926" t="e">
        <f t="shared" ref="W71" si="21">+W69-W70</f>
        <v>#REF!</v>
      </c>
      <c r="X71" s="405"/>
      <c r="Y71" s="603" t="s">
        <v>7</v>
      </c>
      <c r="Z71" s="366"/>
      <c r="AA71" s="550"/>
      <c r="AB71" s="604"/>
      <c r="AC71" s="551"/>
      <c r="AD71" s="594"/>
      <c r="AE71" s="594"/>
      <c r="AF71" s="602"/>
      <c r="AG71" s="602"/>
      <c r="AH71" s="67"/>
      <c r="AI71" s="357"/>
    </row>
    <row r="72" spans="1:35" ht="17" thickBot="1">
      <c r="A72" s="873"/>
      <c r="B72" s="907"/>
      <c r="C72" s="874"/>
      <c r="D72" s="12"/>
      <c r="E72" s="561"/>
      <c r="F72" s="561"/>
      <c r="G72" s="561"/>
      <c r="H72" s="561"/>
      <c r="I72" s="561"/>
      <c r="J72" s="561"/>
      <c r="K72" s="561"/>
      <c r="L72" s="561"/>
      <c r="M72" s="875"/>
      <c r="N72" s="867"/>
      <c r="O72" s="605"/>
      <c r="P72" s="561"/>
      <c r="Q72" s="562"/>
      <c r="R72" s="606"/>
      <c r="S72" s="472"/>
      <c r="T72" s="605"/>
      <c r="U72" s="561"/>
      <c r="V72" s="562"/>
      <c r="W72" s="921">
        <f>W35*8</f>
        <v>32428.258269329239</v>
      </c>
      <c r="Y72" s="1003" t="s">
        <v>394</v>
      </c>
      <c r="Z72" s="1004" t="s">
        <v>208</v>
      </c>
      <c r="AA72" s="1004" t="s">
        <v>207</v>
      </c>
      <c r="AB72" s="1004" t="s">
        <v>206</v>
      </c>
      <c r="AC72" s="1004" t="s">
        <v>163</v>
      </c>
      <c r="AD72" s="1004" t="s">
        <v>14</v>
      </c>
      <c r="AE72" s="1004" t="s">
        <v>15</v>
      </c>
      <c r="AF72" s="1004" t="s">
        <v>130</v>
      </c>
      <c r="AG72" s="1005"/>
      <c r="AH72" s="986"/>
      <c r="AI72" s="357"/>
    </row>
    <row r="73" spans="1:35" ht="29.25" customHeight="1" thickBot="1">
      <c r="A73" s="894"/>
      <c r="B73" s="907"/>
      <c r="C73" s="382" t="s">
        <v>55</v>
      </c>
      <c r="D73" s="988"/>
      <c r="E73" s="989"/>
      <c r="F73" s="989"/>
      <c r="G73" s="989"/>
      <c r="H73" s="989"/>
      <c r="I73" s="963"/>
      <c r="J73" s="980" t="s">
        <v>82</v>
      </c>
      <c r="K73" s="980" t="s">
        <v>81</v>
      </c>
      <c r="L73" s="980" t="s">
        <v>80</v>
      </c>
      <c r="M73" s="981" t="s">
        <v>73</v>
      </c>
      <c r="N73" s="908"/>
      <c r="O73" s="1001" t="s">
        <v>14</v>
      </c>
      <c r="P73" s="979" t="s">
        <v>15</v>
      </c>
      <c r="Q73" s="1002" t="s">
        <v>130</v>
      </c>
      <c r="R73" s="373" t="s">
        <v>15</v>
      </c>
      <c r="S73" s="910"/>
      <c r="T73" s="1001" t="s">
        <v>14</v>
      </c>
      <c r="U73" s="979" t="s">
        <v>15</v>
      </c>
      <c r="V73" s="1002" t="s">
        <v>130</v>
      </c>
      <c r="W73" s="921">
        <f t="shared" ref="W73" si="22">+W72+W69</f>
        <v>42094.258269329235</v>
      </c>
      <c r="Y73" s="665" t="s">
        <v>75</v>
      </c>
      <c r="Z73" s="115"/>
      <c r="AA73" s="115"/>
      <c r="AB73" s="115"/>
      <c r="AC73" s="115"/>
      <c r="AD73" s="115"/>
      <c r="AE73" s="115"/>
      <c r="AF73" s="115"/>
      <c r="AG73" s="666"/>
      <c r="AH73" s="357"/>
      <c r="AI73" s="357"/>
    </row>
    <row r="74" spans="1:35" ht="23" customHeight="1" thickBot="1">
      <c r="A74" s="894"/>
      <c r="B74" s="907"/>
      <c r="C74" s="416" t="s">
        <v>56</v>
      </c>
      <c r="D74" s="867"/>
      <c r="E74" s="607"/>
      <c r="F74" s="607"/>
      <c r="G74" s="607">
        <f>G23/'[129]Annual IS'!B14-1</f>
        <v>-1</v>
      </c>
      <c r="H74" s="607"/>
      <c r="I74" s="607"/>
      <c r="J74" s="608" t="s">
        <v>104</v>
      </c>
      <c r="K74" s="609">
        <f>K23/J23-1</f>
        <v>-2.8370378644029914E-2</v>
      </c>
      <c r="L74" s="609">
        <f>L23/K23-1</f>
        <v>-1.6208759627543423E-2</v>
      </c>
      <c r="M74" s="610">
        <f>M23/L23-1</f>
        <v>2.6875438186491074E-3</v>
      </c>
      <c r="N74" s="934"/>
      <c r="O74" s="611">
        <f>O23/L23-1</f>
        <v>1.0591369474475254E-2</v>
      </c>
      <c r="P74" s="612">
        <f xml:space="preserve"> P23/O23-1</f>
        <v>1.4805183280951706E-2</v>
      </c>
      <c r="Q74" s="613">
        <f xml:space="preserve"> Q23/P23-1</f>
        <v>2.051116172461076E-2</v>
      </c>
      <c r="R74" s="614"/>
      <c r="S74" s="936"/>
      <c r="T74" s="611">
        <f>T23/L23-1</f>
        <v>-6.2539800342839014E-2</v>
      </c>
      <c r="U74" s="612">
        <f xml:space="preserve"> U23/T23-1</f>
        <v>-2.7616083078779385E-2</v>
      </c>
      <c r="V74" s="613">
        <f xml:space="preserve"> V23/U23-1</f>
        <v>-8.332041569980575E-3</v>
      </c>
      <c r="W74" s="921"/>
      <c r="Y74" s="667" t="s">
        <v>395</v>
      </c>
      <c r="Z74" s="693">
        <f>'Base Case Forecast '!C4</f>
        <v>31942</v>
      </c>
      <c r="AA74" s="693">
        <f>'Base Case Forecast '!D4</f>
        <v>31646</v>
      </c>
      <c r="AB74" s="693">
        <f>'Base Case Forecast '!E4</f>
        <v>31345</v>
      </c>
      <c r="AC74" s="693">
        <f>'Base Case Forecast '!F4</f>
        <v>31234</v>
      </c>
      <c r="AD74" s="668">
        <f>'Base Case Forecast '!K4</f>
        <v>31236</v>
      </c>
      <c r="AE74" s="668">
        <f>'Base Case Forecast '!L4</f>
        <v>31127</v>
      </c>
      <c r="AF74" s="668">
        <f>'Base Case Forecast '!M4</f>
        <v>31018</v>
      </c>
      <c r="AG74" s="669"/>
      <c r="AH74" s="357"/>
      <c r="AI74" s="357"/>
    </row>
    <row r="75" spans="1:35" ht="15" customHeight="1">
      <c r="A75" s="894"/>
      <c r="B75" s="907"/>
      <c r="C75" s="416" t="s">
        <v>57</v>
      </c>
      <c r="D75" s="867"/>
      <c r="E75" s="607"/>
      <c r="F75" s="607"/>
      <c r="G75" s="607" t="e">
        <f>G25/G23</f>
        <v>#DIV/0!</v>
      </c>
      <c r="H75" s="607"/>
      <c r="I75" s="607"/>
      <c r="J75" s="607">
        <f>J25/J23</f>
        <v>0.52987825309951975</v>
      </c>
      <c r="K75" s="607">
        <f>K25/K23</f>
        <v>0.52534774111966898</v>
      </c>
      <c r="L75" s="607">
        <f>L25/L23</f>
        <v>0.51881280673054453</v>
      </c>
      <c r="M75" s="614">
        <f>M25/M23</f>
        <v>0.52033562521850596</v>
      </c>
      <c r="N75" s="934"/>
      <c r="O75" s="615">
        <f>O25/O23</f>
        <v>0.52439470871922644</v>
      </c>
      <c r="P75" s="607">
        <f>P25/P23</f>
        <v>0.52562352137564461</v>
      </c>
      <c r="Q75" s="614">
        <f>Q25/Q23</f>
        <v>0.52562352137564461</v>
      </c>
      <c r="R75" s="614"/>
      <c r="S75" s="936"/>
      <c r="T75" s="615">
        <f>T25/T23</f>
        <v>0.5236038555301159</v>
      </c>
      <c r="U75" s="607">
        <f>U25/U23</f>
        <v>0.52562352137564461</v>
      </c>
      <c r="V75" s="614">
        <f>V25/V23</f>
        <v>0.52562352137564461</v>
      </c>
      <c r="W75" s="937"/>
      <c r="Y75" s="667" t="s">
        <v>396</v>
      </c>
      <c r="Z75" s="693">
        <f>'Base Case Forecast '!C5</f>
        <v>1933</v>
      </c>
      <c r="AA75" s="693">
        <f>'Base Case Forecast '!D5</f>
        <v>1580</v>
      </c>
      <c r="AB75" s="693">
        <f>'Base Case Forecast '!E5</f>
        <v>1582</v>
      </c>
      <c r="AC75" s="693">
        <f>'Base Case Forecast '!F5</f>
        <v>1545</v>
      </c>
      <c r="AD75" s="668">
        <f>'Base Case Forecast '!K5</f>
        <v>1606</v>
      </c>
      <c r="AE75" s="668">
        <f>'Base Case Forecast '!L5</f>
        <v>1606</v>
      </c>
      <c r="AF75" s="668">
        <f>'Base Case Forecast '!M5</f>
        <v>1606</v>
      </c>
      <c r="AH75" s="357"/>
      <c r="AI75" s="357"/>
    </row>
    <row r="76" spans="1:35" ht="16">
      <c r="A76" s="873"/>
      <c r="B76" s="907"/>
      <c r="C76" s="416" t="s">
        <v>58</v>
      </c>
      <c r="D76" s="867"/>
      <c r="E76" s="607"/>
      <c r="F76" s="607"/>
      <c r="G76" s="607" t="e">
        <f>G26/G23</f>
        <v>#DIV/0!</v>
      </c>
      <c r="H76" s="607"/>
      <c r="I76" s="607"/>
      <c r="J76" s="607">
        <f>SUM(J26:J29)/J23</f>
        <v>0.24796157712498604</v>
      </c>
      <c r="K76" s="607">
        <f>SUM(K26:K29)/K23</f>
        <v>0.23634900563283137</v>
      </c>
      <c r="L76" s="607">
        <f>SUM(L26:L29)/L23</f>
        <v>0.23206356625379762</v>
      </c>
      <c r="M76" s="614">
        <f>SUM(M26:M29)/M23</f>
        <v>0.23062580118867265</v>
      </c>
      <c r="N76" s="934"/>
      <c r="O76" s="615">
        <f>SUM(O26:O29)/O23</f>
        <v>0.2479347751986869</v>
      </c>
      <c r="P76" s="607">
        <f>SUM(P26:P29)/P23</f>
        <v>0.24598563616700955</v>
      </c>
      <c r="Q76" s="614">
        <f>SUM(Q26:Q29)/Q23</f>
        <v>0.24348563616700961</v>
      </c>
      <c r="R76" s="614"/>
      <c r="S76" s="936"/>
      <c r="T76" s="615">
        <f>SUM(T26:T29)/T23</f>
        <v>0.25716575329506647</v>
      </c>
      <c r="U76" s="607">
        <f>SUM(U26:U29)/U23</f>
        <v>0.26098563616700959</v>
      </c>
      <c r="V76" s="614">
        <f>SUM(V26:V29)/V23</f>
        <v>0.2634856361670096</v>
      </c>
      <c r="W76" s="938" t="e">
        <f>+#REF!/#REF!-1</f>
        <v>#REF!</v>
      </c>
      <c r="Y76" s="667" t="s">
        <v>397</v>
      </c>
      <c r="Z76" s="693">
        <f>'Base Case Forecast '!C6</f>
        <v>33875</v>
      </c>
      <c r="AA76" s="693">
        <f>'Base Case Forecast '!D6</f>
        <v>33226</v>
      </c>
      <c r="AB76" s="693">
        <f>'Base Case Forecast '!E6</f>
        <v>32927</v>
      </c>
      <c r="AC76" s="693">
        <f>'Base Case Forecast '!F6</f>
        <v>32779</v>
      </c>
      <c r="AD76" s="668">
        <f>'Base Case Forecast '!K6</f>
        <v>32842</v>
      </c>
      <c r="AE76" s="668">
        <f>'Base Case Forecast '!L6</f>
        <v>32733</v>
      </c>
      <c r="AF76" s="668">
        <f>'Base Case Forecast '!M6</f>
        <v>32624</v>
      </c>
      <c r="AG76" s="666"/>
      <c r="AH76" s="357"/>
      <c r="AI76" s="357"/>
    </row>
    <row r="77" spans="1:35" ht="15" customHeight="1">
      <c r="A77" s="873"/>
      <c r="B77" s="907"/>
      <c r="C77" s="416" t="s">
        <v>59</v>
      </c>
      <c r="D77" s="867"/>
      <c r="E77" s="607"/>
      <c r="F77" s="607"/>
      <c r="G77" s="607">
        <f>G34/'[129]Annual IS'!B34-1</f>
        <v>3.3503112620260289E-2</v>
      </c>
      <c r="H77" s="607"/>
      <c r="I77" s="607"/>
      <c r="J77" s="607" t="s">
        <v>104</v>
      </c>
      <c r="K77" s="607">
        <f>K34/J34-1</f>
        <v>-1.4865844815083351E-2</v>
      </c>
      <c r="L77" s="607">
        <f>L34/K34-1</f>
        <v>-1.9138755980861233E-2</v>
      </c>
      <c r="M77" s="614">
        <f>M34/L34-1</f>
        <v>1.3883677298311525E-2</v>
      </c>
      <c r="N77" s="934"/>
      <c r="O77" s="616">
        <f>O34/L34-1</f>
        <v>-2.4390243902438713E-2</v>
      </c>
      <c r="P77" s="607">
        <f>P34/O34-1</f>
        <v>2.3244304102306934E-2</v>
      </c>
      <c r="Q77" s="614">
        <f>Q34/P34-1</f>
        <v>2.8927741185457601E-2</v>
      </c>
      <c r="R77" s="614"/>
      <c r="S77" s="936"/>
      <c r="T77" s="616">
        <f>T34/Q34-1</f>
        <v>-0.14823276287729314</v>
      </c>
      <c r="U77" s="607">
        <f>U34/T34-1</f>
        <v>-3.5980668200474852E-2</v>
      </c>
      <c r="V77" s="614">
        <f>V34/U34-1</f>
        <v>-1.6936527784237154E-2</v>
      </c>
      <c r="W77" s="938" t="e">
        <f>W23/#REF!</f>
        <v>#REF!</v>
      </c>
      <c r="Y77" s="667" t="s">
        <v>398</v>
      </c>
      <c r="Z77" s="694">
        <f>'Base Case Forecast '!C8</f>
        <v>1.6E-2</v>
      </c>
      <c r="AA77" s="694">
        <f>'Base Case Forecast '!D8</f>
        <v>1.6E-2</v>
      </c>
      <c r="AB77" s="694">
        <f>'Base Case Forecast '!E8</f>
        <v>1.4999999999999999E-2</v>
      </c>
      <c r="AC77" s="694">
        <f>'Base Case Forecast '!F8</f>
        <v>1.4999999999999999E-2</v>
      </c>
      <c r="AD77" s="690">
        <f>'Base Case Forecast '!K8</f>
        <v>1.4999999999999999E-2</v>
      </c>
      <c r="AE77" s="690">
        <f>'Base Case Forecast '!L8</f>
        <v>1.4999999999999999E-2</v>
      </c>
      <c r="AF77" s="690">
        <f>'Base Case Forecast '!M8</f>
        <v>1.4999999999999999E-2</v>
      </c>
      <c r="AH77" s="357"/>
      <c r="AI77" s="357"/>
    </row>
    <row r="78" spans="1:35" ht="15" customHeight="1">
      <c r="A78" s="873"/>
      <c r="B78" s="907"/>
      <c r="C78" s="416" t="s">
        <v>60</v>
      </c>
      <c r="D78" s="867"/>
      <c r="E78" s="607"/>
      <c r="F78" s="607"/>
      <c r="G78" s="607" t="e">
        <f>G34/G23</f>
        <v>#DIV/0!</v>
      </c>
      <c r="H78" s="607"/>
      <c r="I78" s="607"/>
      <c r="J78" s="607">
        <f>J34/J23</f>
        <v>0.3080531665363565</v>
      </c>
      <c r="K78" s="607">
        <f>K34/K23</f>
        <v>0.31233475112081849</v>
      </c>
      <c r="L78" s="607">
        <f>L34/L23</f>
        <v>0.31140453376957233</v>
      </c>
      <c r="M78" s="614">
        <f>M34/M23</f>
        <v>0.31488171541778348</v>
      </c>
      <c r="N78" s="617"/>
      <c r="O78" s="615">
        <f>O34/O23</f>
        <v>0.30062526795236066</v>
      </c>
      <c r="P78" s="607">
        <f>P34/P23</f>
        <v>0.30312526795236061</v>
      </c>
      <c r="Q78" s="614">
        <f>Q34/Q23</f>
        <v>0.30562526795236061</v>
      </c>
      <c r="R78" s="614"/>
      <c r="S78" s="607"/>
      <c r="T78" s="615">
        <f>T34/T23</f>
        <v>0.2906252679523606</v>
      </c>
      <c r="U78" s="607">
        <f>U34/U23</f>
        <v>0.2881252679523606</v>
      </c>
      <c r="V78" s="614">
        <f>V34/V23</f>
        <v>0.2856252679523606</v>
      </c>
      <c r="W78" s="938" t="e">
        <f>W25/#REF!</f>
        <v>#REF!</v>
      </c>
      <c r="Y78" s="667" t="s">
        <v>406</v>
      </c>
      <c r="Z78" s="695">
        <f>'Base Case Forecast '!C9</f>
        <v>15.56</v>
      </c>
      <c r="AA78" s="695">
        <f>'Base Case Forecast '!D9</f>
        <v>15.21</v>
      </c>
      <c r="AB78" s="695">
        <f>'Base Case Forecast '!E9</f>
        <v>15.11</v>
      </c>
      <c r="AC78" s="695">
        <f>'Base Case Forecast '!F9</f>
        <v>14.99</v>
      </c>
      <c r="AD78" s="692">
        <f>'Base Case Forecast '!K9</f>
        <v>15.225000000000001</v>
      </c>
      <c r="AE78" s="692">
        <f>'Base Case Forecast '!L9</f>
        <v>15.301124999999999</v>
      </c>
      <c r="AF78" s="692">
        <f>'Base Case Forecast '!M9</f>
        <v>15.377630624999997</v>
      </c>
      <c r="AH78" s="357"/>
      <c r="AI78" s="357"/>
    </row>
    <row r="79" spans="1:35" ht="15" customHeight="1">
      <c r="A79" s="873"/>
      <c r="B79" s="907"/>
      <c r="C79" s="416"/>
      <c r="D79" s="867"/>
      <c r="E79" s="607"/>
      <c r="F79" s="607"/>
      <c r="G79" s="617" t="e">
        <f>#REF!/(#REF!-G43)</f>
        <v>#REF!</v>
      </c>
      <c r="H79" s="617"/>
      <c r="I79" s="617"/>
      <c r="J79" s="617"/>
      <c r="K79" s="617"/>
      <c r="L79" s="617"/>
      <c r="M79" s="618"/>
      <c r="N79" s="617"/>
      <c r="O79" s="619"/>
      <c r="P79" s="617"/>
      <c r="Q79" s="618"/>
      <c r="R79" s="618"/>
      <c r="S79" s="617"/>
      <c r="T79" s="619"/>
      <c r="U79" s="617"/>
      <c r="V79" s="618"/>
      <c r="W79" s="938" t="e">
        <f>+#REF!/#REF!-1</f>
        <v>#REF!</v>
      </c>
      <c r="Y79" s="665" t="s">
        <v>98</v>
      </c>
      <c r="Z79" s="223"/>
      <c r="AA79" s="223"/>
      <c r="AB79" s="223"/>
      <c r="AC79" s="223"/>
      <c r="AD79" s="115"/>
      <c r="AE79" s="115"/>
      <c r="AF79" s="115"/>
      <c r="AG79" s="670"/>
      <c r="AH79" s="357"/>
      <c r="AI79" s="357"/>
    </row>
    <row r="80" spans="1:35" ht="15" customHeight="1">
      <c r="A80" s="873"/>
      <c r="B80" s="902"/>
      <c r="C80" s="416" t="s">
        <v>61</v>
      </c>
      <c r="D80" s="869"/>
      <c r="E80" s="617"/>
      <c r="F80" s="617"/>
      <c r="G80" s="617">
        <f>+G34/-G43</f>
        <v>14.823051948051948</v>
      </c>
      <c r="H80" s="617"/>
      <c r="I80" s="617"/>
      <c r="J80" s="620">
        <f>-J34/J35</f>
        <v>5.1647940074906371</v>
      </c>
      <c r="K80" s="620">
        <f>-K34/K35</f>
        <v>5.477822580645161</v>
      </c>
      <c r="L80" s="620">
        <f>-L34/L35</f>
        <v>5.8061002178649241</v>
      </c>
      <c r="M80" s="621">
        <f>-M34/M35</f>
        <v>5.9515418502202646</v>
      </c>
      <c r="N80" s="873"/>
      <c r="O80" s="622">
        <f>-O34/O35</f>
        <v>5.3525476067936202</v>
      </c>
      <c r="P80" s="620">
        <f>-P34/P35</f>
        <v>5.4769638510880059</v>
      </c>
      <c r="Q80" s="621">
        <f>-Q34/Q35</f>
        <v>5.6354000438543874</v>
      </c>
      <c r="R80" s="618"/>
      <c r="S80" s="617"/>
      <c r="T80" s="622">
        <f>-T34/T35</f>
        <v>4.8000491254350335</v>
      </c>
      <c r="U80" s="620">
        <f>-U34/U35</f>
        <v>4.6273401505067762</v>
      </c>
      <c r="V80" s="621">
        <f>-V34/V35</f>
        <v>4.5489690754806018</v>
      </c>
      <c r="W80" s="939" t="e">
        <f>(W36+W50)/(W35-W44)</f>
        <v>#REF!</v>
      </c>
      <c r="Y80" s="667" t="s">
        <v>399</v>
      </c>
      <c r="Z80" s="693" t="str">
        <f>'Base Case Forecast '!C11</f>
        <v>46,026 </v>
      </c>
      <c r="AA80" s="693">
        <f>'Base Case Forecast '!D11</f>
        <v>43344</v>
      </c>
      <c r="AB80" s="693">
        <f>'Base Case Forecast '!E11</f>
        <v>41112</v>
      </c>
      <c r="AC80" s="693">
        <f>'Base Case Forecast '!F11</f>
        <v>40068</v>
      </c>
      <c r="AD80" s="689">
        <f>'Base Case Forecast '!K11</f>
        <v>38890.28061477442</v>
      </c>
      <c r="AE80" s="689">
        <f>'Base Case Forecast '!L11</f>
        <v>36945.7665840357</v>
      </c>
      <c r="AF80" s="689">
        <f>'Base Case Forecast '!M11</f>
        <v>35098.478254833914</v>
      </c>
      <c r="AH80" s="357"/>
      <c r="AI80" s="357"/>
    </row>
    <row r="81" spans="1:35 16383:16383" ht="15" customHeight="1">
      <c r="A81" s="873"/>
      <c r="B81" s="902"/>
      <c r="C81" s="416" t="s">
        <v>62</v>
      </c>
      <c r="D81" s="869"/>
      <c r="E81" s="617"/>
      <c r="F81" s="617"/>
      <c r="G81" s="617">
        <f>+(G34+G48)/-G43</f>
        <v>12.603896103896103</v>
      </c>
      <c r="H81" s="617"/>
      <c r="I81" s="617"/>
      <c r="J81" s="620">
        <f>-(J34+SUM(J48:J49))/J35</f>
        <v>4.0992509363295877</v>
      </c>
      <c r="K81" s="620">
        <f t="shared" ref="K81:Q81" si="23">-(K34+SUM(K48:K49))/K35</f>
        <v>4.330645161290323</v>
      </c>
      <c r="L81" s="620">
        <f t="shared" si="23"/>
        <v>4.5664488017429194</v>
      </c>
      <c r="M81" s="621">
        <f t="shared" si="23"/>
        <v>4.6982378854625555</v>
      </c>
      <c r="N81" s="623"/>
      <c r="O81" s="622">
        <f t="shared" si="23"/>
        <v>4.2768914050437488</v>
      </c>
      <c r="P81" s="620">
        <f t="shared" si="23"/>
        <v>4.5351213395079757</v>
      </c>
      <c r="Q81" s="621">
        <f t="shared" si="23"/>
        <v>4.7964911400973111</v>
      </c>
      <c r="R81" s="618"/>
      <c r="S81" s="617"/>
      <c r="T81" s="622">
        <f t="shared" ref="T81:V81" si="24">-(T34+SUM(T48:T49))/T35</f>
        <v>3.7243929236851616</v>
      </c>
      <c r="U81" s="620">
        <f t="shared" si="24"/>
        <v>3.7086650169084283</v>
      </c>
      <c r="V81" s="621">
        <f t="shared" si="24"/>
        <v>3.7400243420083279</v>
      </c>
      <c r="W81" s="940"/>
      <c r="Y81" s="667" t="s">
        <v>395</v>
      </c>
      <c r="Z81" s="693">
        <f>'Base Case Forecast '!C12</f>
        <v>6053</v>
      </c>
      <c r="AA81" s="693">
        <f>'Base Case Forecast '!D12</f>
        <v>5774</v>
      </c>
      <c r="AB81" s="693">
        <f>'Base Case Forecast '!E12</f>
        <v>5630</v>
      </c>
      <c r="AC81" s="693">
        <f>'Base Case Forecast '!F12</f>
        <v>5597</v>
      </c>
      <c r="AD81" s="689">
        <f>'Base Case Forecast '!K12</f>
        <v>5596.9868277944452</v>
      </c>
      <c r="AE81" s="689">
        <f>'Base Case Forecast '!L12</f>
        <v>5485.0470912385563</v>
      </c>
      <c r="AF81" s="689">
        <f>'Base Case Forecast '!M12</f>
        <v>5375.3461494137855</v>
      </c>
      <c r="AH81" s="357"/>
      <c r="AI81" s="357"/>
    </row>
    <row r="82" spans="1:35 16383:16383" ht="15" customHeight="1">
      <c r="A82" s="873"/>
      <c r="B82" s="902"/>
      <c r="C82" s="416" t="s">
        <v>63</v>
      </c>
      <c r="D82" s="873"/>
      <c r="E82" s="623"/>
      <c r="F82" s="623"/>
      <c r="G82" s="623" t="e">
        <f>-G48/G23</f>
        <v>#DIV/0!</v>
      </c>
      <c r="H82" s="623"/>
      <c r="I82" s="623"/>
      <c r="J82" s="623">
        <f>-SUM(J48:J49)/J23</f>
        <v>6.3554115938791469E-2</v>
      </c>
      <c r="K82" s="623">
        <f t="shared" ref="K82:Q82" si="25">-SUM(K48:K49)/K23</f>
        <v>6.5409817220370162E-2</v>
      </c>
      <c r="L82" s="623">
        <f t="shared" si="25"/>
        <v>6.6487497078756716E-2</v>
      </c>
      <c r="M82" s="624">
        <f t="shared" si="25"/>
        <v>6.6309287961776014E-2</v>
      </c>
      <c r="N82" s="623"/>
      <c r="O82" s="625">
        <f t="shared" si="25"/>
        <v>6.0414116348118614E-2</v>
      </c>
      <c r="P82" s="623">
        <f t="shared" si="25"/>
        <v>5.2126738728594482E-2</v>
      </c>
      <c r="Q82" s="624">
        <f t="shared" si="25"/>
        <v>4.549663848229947E-2</v>
      </c>
      <c r="R82" s="624"/>
      <c r="S82" s="623"/>
      <c r="T82" s="625">
        <f t="shared" ref="T82:V82" si="26">-SUM(T48:T49)/T23</f>
        <v>6.5127015096922036E-2</v>
      </c>
      <c r="U82" s="623">
        <f t="shared" si="26"/>
        <v>5.7202088115395192E-2</v>
      </c>
      <c r="V82" s="624">
        <f t="shared" si="26"/>
        <v>5.0792839525350686E-2</v>
      </c>
      <c r="W82" s="939" t="e">
        <f>+#REF!/-W44</f>
        <v>#REF!</v>
      </c>
      <c r="Y82" s="667" t="s">
        <v>169</v>
      </c>
      <c r="Z82" s="223">
        <f>'Base Case Forecast '!C14</f>
        <v>10.48</v>
      </c>
      <c r="AA82" s="223">
        <f>'Base Case Forecast '!D14</f>
        <v>9.94</v>
      </c>
      <c r="AB82" s="223">
        <f>'Base Case Forecast '!E14</f>
        <v>9.75</v>
      </c>
      <c r="AC82" s="696">
        <f>'Base Case Forecast '!F14</f>
        <v>2.2210000000000001</v>
      </c>
      <c r="AD82" s="691">
        <f>'Base Case Forecast '!K14</f>
        <v>9.2147872340425536</v>
      </c>
      <c r="AE82" s="691">
        <f>'Base Case Forecast '!L14</f>
        <v>9.0386494498908352</v>
      </c>
      <c r="AF82" s="691">
        <f>'Base Case Forecast '!M14</f>
        <v>8.8658784845508691</v>
      </c>
      <c r="AH82" s="357"/>
      <c r="AI82" s="357"/>
    </row>
    <row r="83" spans="1:35 16383:16383" ht="15" customHeight="1">
      <c r="B83" s="907"/>
      <c r="C83" s="416" t="s">
        <v>64</v>
      </c>
      <c r="D83" s="873"/>
      <c r="E83" s="623"/>
      <c r="F83" s="623"/>
      <c r="G83" s="623">
        <f>-G48/G34</f>
        <v>0.14970977987076992</v>
      </c>
      <c r="H83" s="623"/>
      <c r="I83" s="623"/>
      <c r="J83" s="623">
        <f>-SUM(J48,J49)/J34</f>
        <v>0.20630891950688904</v>
      </c>
      <c r="K83" s="623">
        <f t="shared" ref="K83:Q83" si="27">-SUM(K48,K49)/K34</f>
        <v>0.20942215679057785</v>
      </c>
      <c r="L83" s="623">
        <f t="shared" si="27"/>
        <v>0.21350844277673545</v>
      </c>
      <c r="M83" s="624">
        <f t="shared" si="27"/>
        <v>0.21058475203552923</v>
      </c>
      <c r="N83" s="623"/>
      <c r="O83" s="625">
        <f t="shared" si="27"/>
        <v>0.20096153846153839</v>
      </c>
      <c r="P83" s="623">
        <f t="shared" si="27"/>
        <v>0.17196434688772549</v>
      </c>
      <c r="Q83" s="624">
        <f t="shared" si="27"/>
        <v>0.14886412627829995</v>
      </c>
      <c r="R83" s="624"/>
      <c r="S83" s="623"/>
      <c r="T83" s="625">
        <f t="shared" ref="T83:V83" si="28">-SUM(T48,T49)/T34</f>
        <v>0.22409274856168968</v>
      </c>
      <c r="U83" s="623">
        <f t="shared" si="28"/>
        <v>0.19853200839314494</v>
      </c>
      <c r="V83" s="624">
        <f t="shared" si="28"/>
        <v>0.17783034354587429</v>
      </c>
      <c r="W83" s="939" t="e">
        <f>+(#REF!+W50)/-W44</f>
        <v>#REF!</v>
      </c>
      <c r="Y83" s="667" t="s">
        <v>407</v>
      </c>
      <c r="Z83" s="223">
        <f>'Base Case Forecast '!C15</f>
        <v>99.39</v>
      </c>
      <c r="AA83" s="223">
        <f>'Base Case Forecast '!D15</f>
        <v>100.59</v>
      </c>
      <c r="AB83" s="223">
        <f>'Base Case Forecast '!E15</f>
        <v>91.78</v>
      </c>
      <c r="AC83" s="223">
        <f>'Base Case Forecast '!F15</f>
        <v>84.11</v>
      </c>
      <c r="AD83" s="691">
        <f>'Base Case Forecast '!K15</f>
        <v>87.8911912109307</v>
      </c>
      <c r="AE83" s="691">
        <f>'Base Case Forecast '!L15</f>
        <v>86.00059560546535</v>
      </c>
      <c r="AF83" s="691">
        <f>'Base Case Forecast '!M15</f>
        <v>91.78</v>
      </c>
      <c r="AH83" s="357"/>
      <c r="AI83" s="357"/>
    </row>
    <row r="84" spans="1:35 16383:16383" ht="15.75" customHeight="1" thickBot="1">
      <c r="A84" s="626"/>
      <c r="B84" s="907"/>
      <c r="C84" s="416" t="s">
        <v>65</v>
      </c>
      <c r="D84" s="869"/>
      <c r="E84" s="627"/>
      <c r="F84" s="627"/>
      <c r="G84" s="627">
        <f>+G50/G69</f>
        <v>0.50661181310608283</v>
      </c>
      <c r="H84" s="627"/>
      <c r="I84" s="627"/>
      <c r="J84" s="627">
        <f>J50/J67</f>
        <v>0.13711395101171459</v>
      </c>
      <c r="K84" s="627">
        <f t="shared" ref="K84:M84" si="29">K50/K67</f>
        <v>0.12618796198521648</v>
      </c>
      <c r="L84" s="627">
        <f t="shared" si="29"/>
        <v>0.15794354007830208</v>
      </c>
      <c r="M84" s="606">
        <f t="shared" si="29"/>
        <v>0.15615061044423925</v>
      </c>
      <c r="N84" s="873"/>
      <c r="O84" s="628">
        <f t="shared" ref="O84:Q84" si="30">O50/O67</f>
        <v>0.1401032612925823</v>
      </c>
      <c r="P84" s="627">
        <f t="shared" si="30"/>
        <v>0.18654396219375699</v>
      </c>
      <c r="Q84" s="606">
        <f t="shared" si="30"/>
        <v>0.23869341351348383</v>
      </c>
      <c r="R84" s="606"/>
      <c r="S84" s="627"/>
      <c r="T84" s="628">
        <f t="shared" ref="T84:V84" si="31">T50/T67</f>
        <v>0.10378019355006095</v>
      </c>
      <c r="U84" s="627">
        <f t="shared" si="31"/>
        <v>0.11965361481879937</v>
      </c>
      <c r="V84" s="606">
        <f t="shared" si="31"/>
        <v>0.13322978467988544</v>
      </c>
      <c r="W84" s="941" t="e">
        <f>-W50/#REF!</f>
        <v>#REF!</v>
      </c>
      <c r="Y84" s="883"/>
      <c r="Z84" s="884"/>
      <c r="AA84" s="884"/>
      <c r="AB84" s="885"/>
      <c r="AC84" s="885"/>
      <c r="AD84" s="885"/>
      <c r="AE84" s="885"/>
      <c r="AF84" s="885"/>
      <c r="AG84" s="885"/>
      <c r="AH84" s="886"/>
      <c r="AI84" s="357"/>
    </row>
    <row r="85" spans="1:35 16383:16383" ht="15.75" customHeight="1">
      <c r="A85" s="626"/>
      <c r="B85" s="907"/>
      <c r="C85" s="417" t="s">
        <v>71</v>
      </c>
      <c r="D85" s="869"/>
      <c r="E85" s="627"/>
      <c r="F85" s="627"/>
      <c r="G85" s="629" t="e">
        <f>G71/#REF!</f>
        <v>#REF!</v>
      </c>
      <c r="H85" s="629"/>
      <c r="I85" s="629"/>
      <c r="J85" s="629">
        <f>J67/J34</f>
        <v>4.0855692530819434</v>
      </c>
      <c r="K85" s="629">
        <f>K67/K34</f>
        <v>4.182554287817446</v>
      </c>
      <c r="L85" s="629">
        <f>L67/L34</f>
        <v>3.6420262664165102</v>
      </c>
      <c r="M85" s="630">
        <f>M67/M34</f>
        <v>3.6073279052553664</v>
      </c>
      <c r="N85" s="629"/>
      <c r="O85" s="631">
        <f>O67/O34</f>
        <v>3.7060576923076911</v>
      </c>
      <c r="P85" s="629">
        <f>P67/P34</f>
        <v>3.0224378433315864</v>
      </c>
      <c r="Q85" s="630">
        <f>Q67/Q34</f>
        <v>2.3620992405288037</v>
      </c>
      <c r="R85" s="630"/>
      <c r="S85" s="629"/>
      <c r="T85" s="631">
        <f>T67/T34</f>
        <v>4.1326348362742609</v>
      </c>
      <c r="U85" s="629">
        <f>U67/U34</f>
        <v>3.8554444513703134</v>
      </c>
      <c r="V85" s="630">
        <f>V67/V34</f>
        <v>3.9218672652747291</v>
      </c>
      <c r="W85" s="941" t="e">
        <f>-W50/#REF!</f>
        <v>#REF!</v>
      </c>
      <c r="Y85" s="887"/>
      <c r="Z85" s="888"/>
      <c r="AA85" s="888"/>
      <c r="AB85" s="889"/>
      <c r="AC85" s="889"/>
      <c r="AD85" s="889"/>
      <c r="AE85" s="889"/>
      <c r="AF85" s="889"/>
      <c r="AG85" s="889"/>
      <c r="AH85" s="889"/>
      <c r="AI85" s="357"/>
      <c r="XFC85" s="632" t="e">
        <f>XEK16/#REF!</f>
        <v>#REF!</v>
      </c>
    </row>
    <row r="86" spans="1:35 16383:16383" ht="17" thickBot="1">
      <c r="A86" s="626"/>
      <c r="B86" s="902"/>
      <c r="C86" s="481" t="s">
        <v>72</v>
      </c>
      <c r="D86" s="560"/>
      <c r="E86" s="633"/>
      <c r="F86" s="633"/>
      <c r="G86" s="634" t="e">
        <f>(G71-G68)/#REF!</f>
        <v>#REF!</v>
      </c>
      <c r="H86" s="634"/>
      <c r="I86" s="634"/>
      <c r="J86" s="634">
        <f>J69/J34</f>
        <v>3.9746192893401013</v>
      </c>
      <c r="K86" s="634">
        <f>K69/K34</f>
        <v>4.1229297018770703</v>
      </c>
      <c r="L86" s="634">
        <f>L69/L34</f>
        <v>3.6067542213883677</v>
      </c>
      <c r="M86" s="635">
        <f>M69/M34</f>
        <v>3.5795706883789786</v>
      </c>
      <c r="N86" s="634"/>
      <c r="O86" s="636">
        <f>O69/O34</f>
        <v>3.3338615384615378</v>
      </c>
      <c r="P86" s="634">
        <f>P69/P34</f>
        <v>2.8315217098425949</v>
      </c>
      <c r="Q86" s="635">
        <f>Q69/Q34</f>
        <v>2.321450525763312</v>
      </c>
      <c r="R86" s="635"/>
      <c r="S86" s="634"/>
      <c r="T86" s="636">
        <f>T69/T34</f>
        <v>3.8677078856253786</v>
      </c>
      <c r="U86" s="634">
        <f>U69/U34</f>
        <v>3.713150600245938</v>
      </c>
      <c r="V86" s="635">
        <f>V69/V34</f>
        <v>3.4198141565160842</v>
      </c>
      <c r="W86" s="942" t="e">
        <f>+W51/W71</f>
        <v>#REF!</v>
      </c>
      <c r="Y86" s="887"/>
      <c r="Z86" s="888"/>
      <c r="AA86" s="888"/>
      <c r="AB86" s="889"/>
      <c r="AC86" s="889"/>
      <c r="AD86" s="889"/>
      <c r="AE86" s="889"/>
      <c r="AF86" s="889"/>
      <c r="AG86" s="889"/>
      <c r="AH86" s="889"/>
      <c r="AI86" s="357"/>
    </row>
    <row r="87" spans="1:35 16383:16383" s="405" customFormat="1" ht="17" thickBot="1">
      <c r="B87" s="943"/>
      <c r="C87" s="880"/>
      <c r="D87" s="880"/>
      <c r="E87" s="881"/>
      <c r="F87" s="881"/>
      <c r="G87" s="881">
        <f t="shared" ref="G87:M87" si="32">+G67/G34</f>
        <v>1.5767166794436536</v>
      </c>
      <c r="H87" s="881" t="e">
        <f t="shared" si="32"/>
        <v>#DIV/0!</v>
      </c>
      <c r="I87" s="881" t="e">
        <f t="shared" si="32"/>
        <v>#DIV/0!</v>
      </c>
      <c r="J87" s="881">
        <f t="shared" si="32"/>
        <v>4.0855692530819434</v>
      </c>
      <c r="K87" s="881">
        <f t="shared" si="32"/>
        <v>4.182554287817446</v>
      </c>
      <c r="L87" s="881">
        <f t="shared" si="32"/>
        <v>3.6420262664165102</v>
      </c>
      <c r="M87" s="881">
        <f t="shared" si="32"/>
        <v>3.6073279052553664</v>
      </c>
      <c r="N87" s="881"/>
      <c r="O87" s="881" t="e">
        <f>+O67/#REF!</f>
        <v>#REF!</v>
      </c>
      <c r="P87" s="881" t="e">
        <f>+P67/#REF!</f>
        <v>#REF!</v>
      </c>
      <c r="Q87" s="881" t="e">
        <f>+Q67/#REF!</f>
        <v>#REF!</v>
      </c>
      <c r="R87" s="881" t="e">
        <f>+R67/#REF!</f>
        <v>#REF!</v>
      </c>
      <c r="S87" s="881"/>
      <c r="T87" s="882" t="e">
        <f>+T67/#REF!</f>
        <v>#REF!</v>
      </c>
      <c r="U87" s="882" t="e">
        <f>+U67/#REF!</f>
        <v>#REF!</v>
      </c>
      <c r="V87" s="882" t="e">
        <f>+V67/#REF!</f>
        <v>#REF!</v>
      </c>
      <c r="W87" s="944" t="e">
        <f>W73/W36</f>
        <v>#REF!</v>
      </c>
      <c r="Y87" s="887"/>
      <c r="Z87" s="888"/>
      <c r="AA87" s="888"/>
      <c r="AB87" s="889"/>
      <c r="AC87" s="889"/>
      <c r="AD87" s="889"/>
      <c r="AE87" s="889"/>
      <c r="AF87" s="889"/>
      <c r="AG87" s="889"/>
      <c r="AH87" s="889"/>
      <c r="AI87" s="407"/>
    </row>
    <row r="88" spans="1:35 16383:16383" ht="17" thickBot="1">
      <c r="B88" s="945"/>
      <c r="C88" s="640"/>
      <c r="D88" s="640"/>
      <c r="E88" s="641"/>
      <c r="F88" s="642"/>
      <c r="G88" s="643"/>
      <c r="H88" s="643"/>
      <c r="I88" s="644"/>
      <c r="J88" s="785"/>
      <c r="K88" s="786"/>
      <c r="L88" s="787"/>
      <c r="M88" s="787"/>
      <c r="N88" s="646"/>
      <c r="O88" s="647"/>
      <c r="P88" s="648"/>
      <c r="Q88" s="645"/>
      <c r="R88" s="12"/>
      <c r="S88" s="12"/>
      <c r="T88" s="12"/>
      <c r="U88" s="12"/>
      <c r="V88" s="12"/>
      <c r="W88" s="946"/>
      <c r="X88" s="12"/>
      <c r="Y88" s="12"/>
      <c r="Z88" s="356"/>
      <c r="AA88" s="356"/>
      <c r="AB88" s="12"/>
      <c r="AC88" s="12"/>
      <c r="AD88" s="12"/>
      <c r="AE88" s="12"/>
      <c r="AF88" s="12"/>
      <c r="AG88" s="12"/>
      <c r="AH88" s="12"/>
      <c r="AI88" s="649"/>
    </row>
    <row r="89" spans="1:35 16383:16383" ht="16">
      <c r="B89" s="902"/>
      <c r="C89" s="947"/>
      <c r="D89" s="947"/>
      <c r="E89" s="637"/>
      <c r="F89" s="638"/>
      <c r="G89" s="948"/>
      <c r="H89" s="948"/>
      <c r="I89" s="949"/>
      <c r="J89" s="950"/>
      <c r="K89" s="784"/>
      <c r="L89" s="951"/>
      <c r="M89" s="951"/>
      <c r="N89" s="952"/>
      <c r="O89" s="953"/>
      <c r="P89" s="954"/>
      <c r="Q89" s="639"/>
      <c r="R89" s="873"/>
      <c r="S89" s="873"/>
      <c r="T89" s="955"/>
      <c r="U89" s="955"/>
      <c r="V89" s="955"/>
      <c r="W89" s="904"/>
      <c r="AF89" s="650"/>
    </row>
    <row r="90" spans="1:35 16383:16383" ht="16">
      <c r="B90" s="902"/>
      <c r="C90" s="947"/>
      <c r="D90" s="947"/>
      <c r="E90" s="637"/>
      <c r="F90" s="638"/>
      <c r="G90" s="948"/>
      <c r="H90" s="948"/>
      <c r="I90" s="949"/>
      <c r="J90" s="950"/>
      <c r="K90" s="784"/>
      <c r="L90" s="951"/>
      <c r="M90" s="951"/>
      <c r="N90" s="952"/>
      <c r="O90" s="953"/>
      <c r="P90" s="954"/>
      <c r="Q90" s="639"/>
      <c r="R90" s="956" t="s">
        <v>67</v>
      </c>
      <c r="S90" s="955"/>
      <c r="T90" s="873"/>
      <c r="U90" s="873"/>
      <c r="V90" s="873"/>
      <c r="W90" s="904"/>
    </row>
    <row r="91" spans="1:35 16383:16383" ht="16">
      <c r="B91" s="902"/>
      <c r="C91" s="957"/>
      <c r="D91" s="947"/>
      <c r="E91" s="637"/>
      <c r="F91" s="638"/>
      <c r="G91" s="948"/>
      <c r="H91" s="948"/>
      <c r="I91" s="954"/>
      <c r="J91" s="950"/>
      <c r="K91" s="784"/>
      <c r="L91" s="951"/>
      <c r="M91" s="951"/>
      <c r="N91" s="952"/>
      <c r="O91" s="953"/>
      <c r="P91" s="954"/>
      <c r="Q91" s="639"/>
      <c r="R91" s="873"/>
      <c r="S91" s="873"/>
      <c r="T91" s="873"/>
      <c r="U91" s="873"/>
      <c r="V91" s="873"/>
      <c r="W91" s="958"/>
    </row>
    <row r="92" spans="1:35 16383:16383" ht="16">
      <c r="B92" s="902"/>
      <c r="C92" s="947"/>
      <c r="D92" s="947"/>
      <c r="E92" s="637"/>
      <c r="F92" s="638"/>
      <c r="G92" s="948"/>
      <c r="H92" s="948"/>
      <c r="I92" s="954"/>
      <c r="J92" s="950"/>
      <c r="K92" s="784"/>
      <c r="L92" s="951"/>
      <c r="M92" s="951"/>
      <c r="N92" s="952"/>
      <c r="O92" s="953"/>
      <c r="P92" s="954"/>
      <c r="Q92" s="639"/>
      <c r="R92" s="873"/>
      <c r="S92" s="873"/>
      <c r="T92" s="873"/>
      <c r="U92" s="873"/>
      <c r="V92" s="873"/>
      <c r="W92" s="904"/>
    </row>
    <row r="93" spans="1:35 16383:16383" ht="16">
      <c r="B93" s="902"/>
      <c r="C93" s="947"/>
      <c r="D93" s="947"/>
      <c r="E93" s="637"/>
      <c r="F93" s="638"/>
      <c r="G93" s="948"/>
      <c r="H93" s="948"/>
      <c r="I93" s="954"/>
      <c r="J93" s="950"/>
      <c r="K93" s="784"/>
      <c r="L93" s="951"/>
      <c r="M93" s="951"/>
      <c r="N93" s="952"/>
      <c r="O93" s="953"/>
      <c r="P93" s="954"/>
      <c r="Q93" s="639"/>
      <c r="R93" s="873"/>
      <c r="S93" s="873"/>
      <c r="T93" s="873"/>
      <c r="U93" s="873"/>
      <c r="V93" s="873"/>
      <c r="W93" s="904"/>
    </row>
    <row r="94" spans="1:35 16383:16383" ht="16">
      <c r="B94" s="902"/>
      <c r="C94" s="947"/>
      <c r="D94" s="947"/>
      <c r="E94" s="637"/>
      <c r="F94" s="638"/>
      <c r="G94" s="948"/>
      <c r="H94" s="948"/>
      <c r="I94" s="954"/>
      <c r="J94" s="950"/>
      <c r="K94" s="784"/>
      <c r="L94" s="951"/>
      <c r="M94" s="951"/>
      <c r="N94" s="952"/>
      <c r="O94" s="953"/>
      <c r="P94" s="954"/>
      <c r="Q94" s="639"/>
      <c r="R94" s="873"/>
      <c r="S94" s="873"/>
      <c r="T94" s="873"/>
      <c r="U94" s="873"/>
      <c r="V94" s="873"/>
      <c r="W94" s="904"/>
    </row>
    <row r="95" spans="1:35 16383:16383" ht="16">
      <c r="B95" s="902"/>
      <c r="C95" s="947"/>
      <c r="D95" s="947"/>
      <c r="E95" s="651"/>
      <c r="F95" s="652"/>
      <c r="G95" s="948"/>
      <c r="H95" s="948"/>
      <c r="I95" s="954"/>
      <c r="J95" s="950"/>
      <c r="K95" s="951"/>
      <c r="L95" s="951"/>
      <c r="M95" s="951"/>
      <c r="N95" s="952"/>
      <c r="O95" s="953"/>
      <c r="P95" s="954"/>
      <c r="Q95" s="653"/>
      <c r="R95" s="873"/>
      <c r="S95" s="873"/>
      <c r="T95" s="873"/>
      <c r="U95" s="873"/>
      <c r="V95" s="873"/>
      <c r="W95" s="904"/>
    </row>
    <row r="96" spans="1:35 16383:16383" ht="16">
      <c r="B96" s="902"/>
      <c r="C96" s="947"/>
      <c r="D96" s="947"/>
      <c r="E96" s="651"/>
      <c r="F96" s="652"/>
      <c r="G96" s="948"/>
      <c r="H96" s="948"/>
      <c r="I96" s="954"/>
      <c r="J96" s="950"/>
      <c r="K96" s="951"/>
      <c r="L96" s="951"/>
      <c r="M96" s="951"/>
      <c r="N96" s="952"/>
      <c r="O96" s="953"/>
      <c r="P96" s="954"/>
      <c r="Q96" s="653"/>
      <c r="R96" s="873"/>
      <c r="S96" s="873"/>
      <c r="T96" s="873"/>
      <c r="U96" s="873"/>
      <c r="V96" s="873"/>
      <c r="W96" s="904"/>
    </row>
    <row r="97" spans="2:23">
      <c r="B97" s="902"/>
      <c r="C97" s="873"/>
      <c r="D97" s="873"/>
      <c r="E97" s="873"/>
      <c r="F97" s="873"/>
      <c r="G97" s="873"/>
      <c r="H97" s="873"/>
      <c r="I97" s="873"/>
      <c r="J97" s="896"/>
      <c r="K97" s="896"/>
      <c r="L97" s="896"/>
      <c r="M97" s="896"/>
      <c r="N97" s="873"/>
      <c r="O97" s="873"/>
      <c r="P97" s="873"/>
      <c r="Q97" s="873"/>
      <c r="R97" s="873"/>
      <c r="S97" s="873"/>
      <c r="T97" s="873"/>
      <c r="U97" s="873"/>
      <c r="V97" s="873"/>
      <c r="W97" s="904"/>
    </row>
    <row r="98" spans="2:23">
      <c r="B98" s="902"/>
      <c r="C98" s="873"/>
      <c r="D98" s="873"/>
      <c r="E98" s="873"/>
      <c r="F98" s="873"/>
      <c r="G98" s="873"/>
      <c r="H98" s="873"/>
      <c r="I98" s="873"/>
      <c r="J98" s="896"/>
      <c r="K98" s="896"/>
      <c r="L98" s="896"/>
      <c r="M98" s="896"/>
      <c r="N98" s="873"/>
      <c r="O98" s="873"/>
      <c r="P98" s="873"/>
      <c r="Q98" s="873"/>
      <c r="R98" s="873"/>
      <c r="S98" s="873"/>
      <c r="T98" s="873"/>
      <c r="U98" s="873"/>
      <c r="V98" s="873"/>
      <c r="W98" s="904"/>
    </row>
    <row r="99" spans="2:23">
      <c r="B99" s="902"/>
      <c r="C99" s="873"/>
      <c r="D99" s="873"/>
      <c r="E99" s="873"/>
      <c r="F99" s="873"/>
      <c r="G99" s="873"/>
      <c r="H99" s="873"/>
      <c r="I99" s="873"/>
      <c r="J99" s="896"/>
      <c r="K99" s="896"/>
      <c r="L99" s="896"/>
      <c r="M99" s="896"/>
      <c r="N99" s="873"/>
      <c r="O99" s="873"/>
      <c r="P99" s="873"/>
      <c r="Q99" s="873"/>
      <c r="R99" s="873"/>
      <c r="S99" s="873"/>
      <c r="T99" s="873"/>
      <c r="U99" s="873"/>
      <c r="V99" s="873"/>
      <c r="W99" s="904"/>
    </row>
    <row r="100" spans="2:23">
      <c r="B100" s="902"/>
      <c r="C100" s="873"/>
      <c r="D100" s="873"/>
      <c r="E100" s="873"/>
      <c r="F100" s="873"/>
      <c r="G100" s="873"/>
      <c r="H100" s="873"/>
      <c r="I100" s="873"/>
      <c r="J100" s="896"/>
      <c r="K100" s="896"/>
      <c r="L100" s="896"/>
      <c r="M100" s="896"/>
      <c r="N100" s="873"/>
      <c r="O100" s="873"/>
      <c r="P100" s="873"/>
      <c r="Q100" s="873"/>
      <c r="R100" s="873"/>
      <c r="S100" s="873"/>
      <c r="T100" s="873"/>
      <c r="U100" s="873"/>
      <c r="V100" s="873"/>
      <c r="W100" s="904"/>
    </row>
    <row r="101" spans="2:23">
      <c r="B101" s="902"/>
      <c r="C101" s="873"/>
      <c r="D101" s="873"/>
      <c r="E101" s="873"/>
      <c r="F101" s="873"/>
      <c r="G101" s="873"/>
      <c r="H101" s="873"/>
      <c r="I101" s="873"/>
      <c r="J101" s="896"/>
      <c r="K101" s="896"/>
      <c r="L101" s="896"/>
      <c r="M101" s="896"/>
      <c r="N101" s="873"/>
      <c r="O101" s="873"/>
      <c r="P101" s="873"/>
      <c r="Q101" s="873"/>
      <c r="R101" s="873"/>
      <c r="S101" s="873"/>
      <c r="T101" s="873"/>
      <c r="U101" s="873"/>
      <c r="V101" s="873"/>
      <c r="W101" s="904"/>
    </row>
    <row r="102" spans="2:23">
      <c r="B102" s="902"/>
      <c r="C102" s="873"/>
      <c r="D102" s="873"/>
      <c r="E102" s="873"/>
      <c r="F102" s="873"/>
      <c r="G102" s="873"/>
      <c r="H102" s="873"/>
      <c r="I102" s="873"/>
      <c r="J102" s="896"/>
      <c r="K102" s="896"/>
      <c r="L102" s="896"/>
      <c r="M102" s="896"/>
      <c r="N102" s="873"/>
      <c r="O102" s="873"/>
      <c r="P102" s="873"/>
      <c r="Q102" s="873"/>
      <c r="R102" s="873"/>
      <c r="S102" s="873"/>
      <c r="T102" s="873"/>
      <c r="U102" s="873"/>
      <c r="V102" s="873"/>
      <c r="W102" s="904"/>
    </row>
    <row r="103" spans="2:23">
      <c r="B103" s="902"/>
      <c r="C103" s="873"/>
      <c r="D103" s="873"/>
      <c r="E103" s="873"/>
      <c r="F103" s="873"/>
      <c r="G103" s="873"/>
      <c r="H103" s="873"/>
      <c r="I103" s="873"/>
      <c r="J103" s="896"/>
      <c r="K103" s="896"/>
      <c r="L103" s="896"/>
      <c r="M103" s="896"/>
      <c r="N103" s="873"/>
      <c r="O103" s="873"/>
      <c r="P103" s="873"/>
      <c r="Q103" s="873"/>
      <c r="R103" s="873"/>
      <c r="S103" s="873"/>
      <c r="T103" s="873"/>
      <c r="U103" s="873"/>
      <c r="V103" s="873"/>
      <c r="W103" s="904"/>
    </row>
    <row r="104" spans="2:23">
      <c r="B104" s="902"/>
      <c r="C104" s="873"/>
      <c r="D104" s="873"/>
      <c r="E104" s="873"/>
      <c r="F104" s="873"/>
      <c r="G104" s="873"/>
      <c r="H104" s="873"/>
      <c r="I104" s="873"/>
      <c r="J104" s="896"/>
      <c r="K104" s="896"/>
      <c r="L104" s="896"/>
      <c r="M104" s="896"/>
      <c r="N104" s="873"/>
      <c r="O104" s="873"/>
      <c r="P104" s="873"/>
      <c r="Q104" s="873"/>
      <c r="R104" s="873"/>
      <c r="S104" s="873"/>
      <c r="T104" s="873"/>
      <c r="U104" s="873"/>
      <c r="V104" s="873"/>
      <c r="W104" s="904"/>
    </row>
    <row r="105" spans="2:23">
      <c r="B105" s="902"/>
      <c r="C105" s="873"/>
      <c r="D105" s="873"/>
      <c r="E105" s="873"/>
      <c r="F105" s="873"/>
      <c r="G105" s="873"/>
      <c r="H105" s="873"/>
      <c r="I105" s="873"/>
      <c r="J105" s="896"/>
      <c r="K105" s="896"/>
      <c r="L105" s="896"/>
      <c r="M105" s="896"/>
      <c r="N105" s="873"/>
      <c r="O105" s="873"/>
      <c r="P105" s="873"/>
      <c r="Q105" s="873"/>
      <c r="R105" s="873"/>
      <c r="S105" s="873"/>
      <c r="T105" s="873"/>
      <c r="U105" s="873"/>
      <c r="V105" s="873"/>
      <c r="W105" s="904"/>
    </row>
    <row r="106" spans="2:23">
      <c r="B106" s="902"/>
      <c r="C106" s="873"/>
      <c r="D106" s="873"/>
      <c r="E106" s="873"/>
      <c r="F106" s="873"/>
      <c r="G106" s="873"/>
      <c r="H106" s="873"/>
      <c r="I106" s="873"/>
      <c r="J106" s="896"/>
      <c r="K106" s="896"/>
      <c r="L106" s="896"/>
      <c r="M106" s="896"/>
      <c r="N106" s="873"/>
      <c r="O106" s="873"/>
      <c r="P106" s="873"/>
      <c r="Q106" s="873"/>
      <c r="R106" s="873"/>
      <c r="S106" s="873"/>
      <c r="T106" s="873"/>
      <c r="U106" s="873"/>
      <c r="V106" s="873"/>
      <c r="W106" s="904"/>
    </row>
    <row r="107" spans="2:23">
      <c r="B107" s="902"/>
      <c r="C107" s="873"/>
      <c r="D107" s="873"/>
      <c r="E107" s="873"/>
      <c r="F107" s="873"/>
      <c r="G107" s="873"/>
      <c r="H107" s="873"/>
      <c r="I107" s="873"/>
      <c r="J107" s="896"/>
      <c r="K107" s="896"/>
      <c r="L107" s="896"/>
      <c r="M107" s="896"/>
      <c r="N107" s="873"/>
      <c r="O107" s="873"/>
      <c r="P107" s="873"/>
      <c r="Q107" s="873"/>
      <c r="R107" s="873"/>
      <c r="S107" s="873"/>
      <c r="T107" s="873"/>
      <c r="U107" s="873"/>
      <c r="V107" s="873"/>
      <c r="W107" s="904"/>
    </row>
    <row r="108" spans="2:23">
      <c r="B108" s="902"/>
      <c r="C108" s="873"/>
      <c r="D108" s="873"/>
      <c r="E108" s="873"/>
      <c r="F108" s="873"/>
      <c r="G108" s="873"/>
      <c r="H108" s="873"/>
      <c r="I108" s="873"/>
      <c r="J108" s="896"/>
      <c r="K108" s="896"/>
      <c r="L108" s="896"/>
      <c r="M108" s="896"/>
      <c r="N108" s="873"/>
      <c r="O108" s="873"/>
      <c r="P108" s="873"/>
      <c r="Q108" s="873"/>
      <c r="R108" s="873"/>
      <c r="S108" s="873"/>
      <c r="T108" s="873"/>
      <c r="U108" s="873"/>
      <c r="V108" s="873"/>
      <c r="W108" s="904"/>
    </row>
    <row r="109" spans="2:23">
      <c r="B109" s="902"/>
      <c r="C109" s="873"/>
      <c r="D109" s="873"/>
      <c r="E109" s="873"/>
      <c r="F109" s="873"/>
      <c r="G109" s="873"/>
      <c r="H109" s="873"/>
      <c r="I109" s="873"/>
      <c r="J109" s="896"/>
      <c r="K109" s="896"/>
      <c r="L109" s="896"/>
      <c r="M109" s="896"/>
      <c r="N109" s="873"/>
      <c r="O109" s="873"/>
      <c r="P109" s="873"/>
      <c r="Q109" s="873"/>
      <c r="R109" s="873"/>
      <c r="S109" s="873"/>
      <c r="T109" s="873"/>
      <c r="U109" s="873"/>
      <c r="V109" s="873"/>
      <c r="W109" s="904"/>
    </row>
    <row r="110" spans="2:23">
      <c r="B110" s="902"/>
      <c r="C110" s="873"/>
      <c r="D110" s="873"/>
      <c r="E110" s="873"/>
      <c r="F110" s="873"/>
      <c r="G110" s="873"/>
      <c r="H110" s="873"/>
      <c r="I110" s="873"/>
      <c r="J110" s="896"/>
      <c r="K110" s="896"/>
      <c r="L110" s="896"/>
      <c r="M110" s="896"/>
      <c r="N110" s="873"/>
      <c r="O110" s="873"/>
      <c r="P110" s="873"/>
      <c r="Q110" s="873"/>
      <c r="R110" s="873"/>
      <c r="S110" s="873"/>
      <c r="T110" s="873"/>
      <c r="U110" s="873"/>
      <c r="V110" s="873"/>
      <c r="W110" s="904"/>
    </row>
    <row r="111" spans="2:23">
      <c r="B111" s="902"/>
      <c r="C111" s="873"/>
      <c r="D111" s="873"/>
      <c r="E111" s="873"/>
      <c r="F111" s="873"/>
      <c r="G111" s="873"/>
      <c r="H111" s="873"/>
      <c r="I111" s="873"/>
      <c r="J111" s="896"/>
      <c r="K111" s="896"/>
      <c r="L111" s="896"/>
      <c r="M111" s="896"/>
      <c r="N111" s="873"/>
      <c r="O111" s="873"/>
      <c r="P111" s="873"/>
      <c r="Q111" s="873"/>
      <c r="R111" s="873"/>
      <c r="S111" s="873"/>
      <c r="T111" s="873"/>
      <c r="U111" s="873"/>
      <c r="V111" s="873"/>
      <c r="W111" s="904"/>
    </row>
    <row r="112" spans="2:23">
      <c r="B112" s="902"/>
      <c r="C112" s="873"/>
      <c r="D112" s="873"/>
      <c r="E112" s="873"/>
      <c r="F112" s="873"/>
      <c r="G112" s="873"/>
      <c r="H112" s="873"/>
      <c r="I112" s="873"/>
      <c r="J112" s="896"/>
      <c r="K112" s="896"/>
      <c r="L112" s="896"/>
      <c r="M112" s="896"/>
      <c r="N112" s="873"/>
      <c r="O112" s="873"/>
      <c r="P112" s="873"/>
      <c r="Q112" s="873"/>
      <c r="R112" s="873"/>
      <c r="S112" s="873"/>
      <c r="T112" s="873"/>
      <c r="U112" s="873"/>
      <c r="V112" s="873"/>
      <c r="W112" s="904"/>
    </row>
    <row r="113" spans="2:23">
      <c r="B113" s="902"/>
      <c r="C113" s="873"/>
      <c r="D113" s="873"/>
      <c r="E113" s="873"/>
      <c r="F113" s="873"/>
      <c r="G113" s="873"/>
      <c r="H113" s="873"/>
      <c r="I113" s="873"/>
      <c r="J113" s="896"/>
      <c r="K113" s="896"/>
      <c r="L113" s="896"/>
      <c r="M113" s="896"/>
      <c r="N113" s="873"/>
      <c r="O113" s="873"/>
      <c r="P113" s="873"/>
      <c r="Q113" s="873"/>
      <c r="R113" s="873"/>
      <c r="S113" s="873"/>
      <c r="T113" s="873"/>
      <c r="U113" s="873"/>
      <c r="V113" s="873"/>
      <c r="W113" s="904"/>
    </row>
    <row r="114" spans="2:23">
      <c r="B114" s="902"/>
      <c r="C114" s="873"/>
      <c r="D114" s="873"/>
      <c r="E114" s="873"/>
      <c r="F114" s="873"/>
      <c r="G114" s="873"/>
      <c r="H114" s="873"/>
      <c r="I114" s="873"/>
      <c r="J114" s="896"/>
      <c r="K114" s="896"/>
      <c r="L114" s="896"/>
      <c r="M114" s="896"/>
      <c r="N114" s="873"/>
      <c r="O114" s="873"/>
      <c r="P114" s="873"/>
      <c r="Q114" s="873"/>
      <c r="R114" s="873"/>
      <c r="S114" s="873"/>
      <c r="T114" s="873"/>
      <c r="U114" s="873"/>
      <c r="V114" s="873"/>
      <c r="W114" s="904"/>
    </row>
    <row r="115" spans="2:23">
      <c r="B115" s="902"/>
      <c r="C115" s="873"/>
      <c r="D115" s="873"/>
      <c r="E115" s="873"/>
      <c r="F115" s="873"/>
      <c r="G115" s="873"/>
      <c r="H115" s="873"/>
      <c r="I115" s="873"/>
      <c r="J115" s="896"/>
      <c r="K115" s="896"/>
      <c r="L115" s="896"/>
      <c r="M115" s="896"/>
      <c r="N115" s="873"/>
      <c r="O115" s="873"/>
      <c r="P115" s="873"/>
      <c r="Q115" s="873"/>
      <c r="R115" s="873"/>
      <c r="S115" s="873"/>
      <c r="T115" s="873"/>
      <c r="U115" s="873"/>
      <c r="V115" s="873"/>
      <c r="W115" s="904"/>
    </row>
    <row r="116" spans="2:23">
      <c r="B116" s="902"/>
      <c r="C116" s="873"/>
      <c r="D116" s="873"/>
      <c r="E116" s="873"/>
      <c r="F116" s="873"/>
      <c r="G116" s="873"/>
      <c r="H116" s="873"/>
      <c r="I116" s="873"/>
      <c r="J116" s="896"/>
      <c r="K116" s="896"/>
      <c r="L116" s="896"/>
      <c r="M116" s="896"/>
      <c r="N116" s="873"/>
      <c r="O116" s="873"/>
      <c r="P116" s="873"/>
      <c r="Q116" s="873"/>
      <c r="R116" s="873"/>
      <c r="S116" s="873"/>
      <c r="T116" s="873"/>
      <c r="U116" s="873"/>
      <c r="V116" s="873"/>
      <c r="W116" s="904"/>
    </row>
    <row r="117" spans="2:23">
      <c r="B117" s="902"/>
      <c r="C117" s="873"/>
      <c r="D117" s="873"/>
      <c r="E117" s="873"/>
      <c r="F117" s="873"/>
      <c r="G117" s="873"/>
      <c r="H117" s="873"/>
      <c r="I117" s="873"/>
      <c r="J117" s="896"/>
      <c r="K117" s="896"/>
      <c r="L117" s="896"/>
      <c r="M117" s="896"/>
      <c r="N117" s="873"/>
      <c r="O117" s="873"/>
      <c r="P117" s="873"/>
      <c r="Q117" s="873"/>
      <c r="R117" s="873"/>
      <c r="S117" s="873"/>
      <c r="T117" s="873"/>
      <c r="U117" s="873"/>
      <c r="V117" s="873"/>
      <c r="W117" s="904"/>
    </row>
    <row r="118" spans="2:23">
      <c r="B118" s="902"/>
      <c r="C118" s="873"/>
      <c r="D118" s="873"/>
      <c r="E118" s="873"/>
      <c r="F118" s="873"/>
      <c r="G118" s="873"/>
      <c r="H118" s="873"/>
      <c r="I118" s="873"/>
      <c r="J118" s="896"/>
      <c r="K118" s="896"/>
      <c r="L118" s="896"/>
      <c r="M118" s="896"/>
      <c r="N118" s="873"/>
      <c r="O118" s="873"/>
      <c r="P118" s="873"/>
      <c r="Q118" s="873"/>
      <c r="R118" s="873"/>
      <c r="S118" s="873"/>
      <c r="T118" s="873"/>
      <c r="U118" s="873"/>
      <c r="V118" s="873"/>
      <c r="W118" s="904"/>
    </row>
    <row r="119" spans="2:23">
      <c r="B119" s="902"/>
      <c r="C119" s="873"/>
      <c r="D119" s="873"/>
      <c r="E119" s="873"/>
      <c r="F119" s="873"/>
      <c r="G119" s="873"/>
      <c r="H119" s="873"/>
      <c r="I119" s="873"/>
      <c r="J119" s="896"/>
      <c r="K119" s="896"/>
      <c r="L119" s="896"/>
      <c r="M119" s="896"/>
      <c r="N119" s="873"/>
      <c r="O119" s="873"/>
      <c r="P119" s="873"/>
      <c r="Q119" s="873"/>
      <c r="R119" s="873"/>
      <c r="S119" s="873"/>
      <c r="T119" s="873"/>
      <c r="U119" s="873"/>
      <c r="V119" s="873"/>
      <c r="W119" s="904"/>
    </row>
    <row r="120" spans="2:23">
      <c r="B120" s="902"/>
      <c r="C120" s="873"/>
      <c r="D120" s="873"/>
      <c r="E120" s="873"/>
      <c r="F120" s="873"/>
      <c r="G120" s="873"/>
      <c r="H120" s="873"/>
      <c r="I120" s="873"/>
      <c r="J120" s="896"/>
      <c r="K120" s="896"/>
      <c r="L120" s="896"/>
      <c r="M120" s="896"/>
      <c r="N120" s="873"/>
      <c r="O120" s="873"/>
      <c r="P120" s="873"/>
      <c r="Q120" s="873"/>
      <c r="R120" s="873"/>
      <c r="S120" s="873"/>
      <c r="T120" s="873"/>
      <c r="U120" s="873"/>
      <c r="V120" s="873"/>
      <c r="W120" s="904"/>
    </row>
    <row r="121" spans="2:23">
      <c r="B121" s="902"/>
      <c r="C121" s="873"/>
      <c r="D121" s="873"/>
      <c r="E121" s="873"/>
      <c r="F121" s="873"/>
      <c r="G121" s="873"/>
      <c r="H121" s="873"/>
      <c r="I121" s="873"/>
      <c r="J121" s="896"/>
      <c r="K121" s="896"/>
      <c r="L121" s="896"/>
      <c r="M121" s="896"/>
      <c r="N121" s="873"/>
      <c r="O121" s="873"/>
      <c r="P121" s="873"/>
      <c r="Q121" s="873"/>
      <c r="R121" s="873"/>
      <c r="S121" s="873"/>
      <c r="T121" s="873"/>
      <c r="U121" s="873"/>
      <c r="V121" s="873"/>
      <c r="W121" s="904"/>
    </row>
    <row r="122" spans="2:23">
      <c r="B122" s="902"/>
      <c r="C122" s="873"/>
      <c r="D122" s="873"/>
      <c r="E122" s="873"/>
      <c r="F122" s="873"/>
      <c r="G122" s="873"/>
      <c r="H122" s="873"/>
      <c r="I122" s="873"/>
      <c r="J122" s="896"/>
      <c r="K122" s="896"/>
      <c r="L122" s="896"/>
      <c r="M122" s="896"/>
      <c r="N122" s="873"/>
      <c r="O122" s="873"/>
      <c r="P122" s="873"/>
      <c r="Q122" s="873"/>
      <c r="R122" s="873"/>
      <c r="S122" s="873"/>
      <c r="T122" s="873"/>
      <c r="U122" s="873"/>
      <c r="V122" s="873"/>
      <c r="W122" s="904"/>
    </row>
    <row r="123" spans="2:23">
      <c r="B123" s="902"/>
      <c r="C123" s="873"/>
      <c r="D123" s="873"/>
      <c r="E123" s="873"/>
      <c r="F123" s="873"/>
      <c r="G123" s="873"/>
      <c r="H123" s="873"/>
      <c r="I123" s="873"/>
      <c r="J123" s="896"/>
      <c r="K123" s="896"/>
      <c r="L123" s="896"/>
      <c r="M123" s="896"/>
      <c r="N123" s="873"/>
      <c r="O123" s="873"/>
      <c r="P123" s="873"/>
      <c r="Q123" s="873"/>
      <c r="R123" s="873"/>
      <c r="S123" s="873"/>
      <c r="T123" s="873"/>
      <c r="U123" s="873"/>
      <c r="V123" s="873"/>
      <c r="W123" s="904"/>
    </row>
    <row r="124" spans="2:23">
      <c r="B124" s="902"/>
      <c r="C124" s="873"/>
      <c r="D124" s="873"/>
      <c r="E124" s="873"/>
      <c r="F124" s="873"/>
      <c r="G124" s="873"/>
      <c r="H124" s="873"/>
      <c r="I124" s="873"/>
      <c r="J124" s="896"/>
      <c r="K124" s="896"/>
      <c r="L124" s="896"/>
      <c r="M124" s="896"/>
      <c r="N124" s="873"/>
      <c r="O124" s="873"/>
      <c r="P124" s="873"/>
      <c r="Q124" s="873"/>
      <c r="R124" s="873"/>
      <c r="S124" s="873"/>
      <c r="T124" s="873"/>
      <c r="U124" s="873"/>
      <c r="V124" s="873"/>
      <c r="W124" s="904"/>
    </row>
    <row r="125" spans="2:23">
      <c r="B125" s="902"/>
      <c r="C125" s="873"/>
      <c r="D125" s="873"/>
      <c r="E125" s="873"/>
      <c r="F125" s="873"/>
      <c r="G125" s="873"/>
      <c r="H125" s="873"/>
      <c r="I125" s="873"/>
      <c r="J125" s="896"/>
      <c r="K125" s="896"/>
      <c r="L125" s="896"/>
      <c r="M125" s="896"/>
      <c r="N125" s="873"/>
      <c r="O125" s="873"/>
      <c r="P125" s="873"/>
      <c r="Q125" s="873"/>
      <c r="R125" s="873"/>
      <c r="S125" s="873"/>
      <c r="T125" s="873"/>
      <c r="U125" s="873"/>
      <c r="V125" s="873"/>
      <c r="W125" s="904"/>
    </row>
    <row r="126" spans="2:23">
      <c r="B126" s="902"/>
      <c r="C126" s="873"/>
      <c r="D126" s="873"/>
      <c r="E126" s="873"/>
      <c r="F126" s="873"/>
      <c r="G126" s="873"/>
      <c r="H126" s="873"/>
      <c r="I126" s="873"/>
      <c r="J126" s="896"/>
      <c r="K126" s="896"/>
      <c r="L126" s="896"/>
      <c r="M126" s="896"/>
      <c r="N126" s="873"/>
      <c r="O126" s="873"/>
      <c r="P126" s="873"/>
      <c r="Q126" s="873"/>
      <c r="R126" s="873"/>
      <c r="S126" s="873"/>
      <c r="T126" s="873"/>
      <c r="U126" s="873"/>
      <c r="V126" s="873"/>
      <c r="W126" s="904"/>
    </row>
    <row r="127" spans="2:23">
      <c r="B127" s="902"/>
      <c r="C127" s="873"/>
      <c r="D127" s="873"/>
      <c r="E127" s="873"/>
      <c r="F127" s="873"/>
      <c r="G127" s="873"/>
      <c r="H127" s="873"/>
      <c r="I127" s="873"/>
      <c r="J127" s="896"/>
      <c r="K127" s="896"/>
      <c r="L127" s="896"/>
      <c r="M127" s="896"/>
      <c r="N127" s="873"/>
      <c r="O127" s="873"/>
      <c r="P127" s="873"/>
      <c r="Q127" s="873"/>
      <c r="R127" s="873"/>
      <c r="S127" s="873"/>
      <c r="T127" s="873"/>
      <c r="U127" s="873"/>
      <c r="V127" s="873"/>
      <c r="W127" s="904"/>
    </row>
    <row r="128" spans="2:23">
      <c r="B128" s="902"/>
      <c r="C128" s="873"/>
      <c r="D128" s="873"/>
      <c r="E128" s="873"/>
      <c r="F128" s="873"/>
      <c r="G128" s="873"/>
      <c r="H128" s="873"/>
      <c r="I128" s="873"/>
      <c r="J128" s="896"/>
      <c r="K128" s="896"/>
      <c r="L128" s="896"/>
      <c r="M128" s="896"/>
      <c r="N128" s="873"/>
      <c r="O128" s="873"/>
      <c r="P128" s="873"/>
      <c r="Q128" s="873"/>
      <c r="R128" s="873"/>
      <c r="S128" s="873"/>
      <c r="T128" s="873"/>
      <c r="U128" s="873"/>
      <c r="V128" s="873"/>
      <c r="W128" s="904"/>
    </row>
    <row r="129" spans="2:23">
      <c r="B129" s="902"/>
      <c r="C129" s="873"/>
      <c r="D129" s="873"/>
      <c r="E129" s="873"/>
      <c r="F129" s="873"/>
      <c r="G129" s="873"/>
      <c r="H129" s="873"/>
      <c r="I129" s="873"/>
      <c r="J129" s="896"/>
      <c r="K129" s="896"/>
      <c r="L129" s="896"/>
      <c r="M129" s="896"/>
      <c r="N129" s="873"/>
      <c r="O129" s="873"/>
      <c r="P129" s="873"/>
      <c r="Q129" s="873"/>
      <c r="R129" s="873"/>
      <c r="S129" s="873"/>
      <c r="T129" s="873"/>
      <c r="U129" s="873"/>
      <c r="V129" s="873"/>
      <c r="W129" s="904"/>
    </row>
    <row r="130" spans="2:23">
      <c r="B130" s="902"/>
      <c r="C130" s="873"/>
      <c r="D130" s="873"/>
      <c r="E130" s="873"/>
      <c r="F130" s="873"/>
      <c r="G130" s="873"/>
      <c r="H130" s="873"/>
      <c r="I130" s="873"/>
      <c r="J130" s="896"/>
      <c r="K130" s="896"/>
      <c r="L130" s="896"/>
      <c r="M130" s="896"/>
      <c r="N130" s="873"/>
      <c r="O130" s="873"/>
      <c r="P130" s="873"/>
      <c r="Q130" s="873"/>
      <c r="R130" s="873"/>
      <c r="S130" s="873"/>
      <c r="T130" s="873"/>
      <c r="U130" s="873"/>
      <c r="V130" s="873"/>
      <c r="W130" s="904"/>
    </row>
    <row r="131" spans="2:23">
      <c r="B131" s="902"/>
      <c r="C131" s="873"/>
      <c r="D131" s="873"/>
      <c r="E131" s="873"/>
      <c r="F131" s="873"/>
      <c r="G131" s="873"/>
      <c r="H131" s="873"/>
      <c r="I131" s="873"/>
      <c r="J131" s="896"/>
      <c r="K131" s="896"/>
      <c r="L131" s="896"/>
      <c r="M131" s="896"/>
      <c r="N131" s="873"/>
      <c r="O131" s="873"/>
      <c r="P131" s="873"/>
      <c r="Q131" s="873"/>
      <c r="R131" s="873"/>
      <c r="S131" s="873"/>
      <c r="T131" s="873"/>
      <c r="U131" s="873"/>
      <c r="V131" s="873"/>
      <c r="W131" s="904"/>
    </row>
    <row r="132" spans="2:23">
      <c r="B132" s="902"/>
      <c r="C132" s="873"/>
      <c r="D132" s="873"/>
      <c r="E132" s="873"/>
      <c r="F132" s="873"/>
      <c r="G132" s="873"/>
      <c r="H132" s="873"/>
      <c r="I132" s="873"/>
      <c r="J132" s="896"/>
      <c r="K132" s="896"/>
      <c r="L132" s="896"/>
      <c r="M132" s="896"/>
      <c r="N132" s="873"/>
      <c r="O132" s="873"/>
      <c r="P132" s="873"/>
      <c r="Q132" s="873"/>
      <c r="R132" s="873"/>
      <c r="S132" s="873"/>
      <c r="T132" s="873"/>
      <c r="U132" s="873"/>
      <c r="V132" s="873"/>
      <c r="W132" s="904"/>
    </row>
    <row r="133" spans="2:23">
      <c r="B133" s="902"/>
      <c r="C133" s="873"/>
      <c r="D133" s="873"/>
      <c r="E133" s="873"/>
      <c r="F133" s="873"/>
      <c r="G133" s="873"/>
      <c r="H133" s="873"/>
      <c r="I133" s="873"/>
      <c r="J133" s="896"/>
      <c r="K133" s="896"/>
      <c r="L133" s="896"/>
      <c r="M133" s="896"/>
      <c r="N133" s="873"/>
      <c r="O133" s="873"/>
      <c r="P133" s="873"/>
      <c r="Q133" s="873"/>
      <c r="R133" s="873"/>
      <c r="S133" s="873"/>
      <c r="T133" s="873"/>
      <c r="U133" s="873"/>
      <c r="V133" s="873"/>
      <c r="W133" s="904"/>
    </row>
    <row r="134" spans="2:23">
      <c r="B134" s="902"/>
      <c r="C134" s="873"/>
      <c r="D134" s="873"/>
      <c r="E134" s="873"/>
      <c r="F134" s="873"/>
      <c r="G134" s="873"/>
      <c r="H134" s="873"/>
      <c r="I134" s="873"/>
      <c r="J134" s="896"/>
      <c r="K134" s="896"/>
      <c r="L134" s="896"/>
      <c r="M134" s="896"/>
      <c r="N134" s="873"/>
      <c r="O134" s="873"/>
      <c r="P134" s="873"/>
      <c r="Q134" s="873"/>
      <c r="R134" s="873"/>
      <c r="S134" s="873"/>
      <c r="T134" s="873"/>
      <c r="U134" s="873"/>
      <c r="V134" s="873"/>
      <c r="W134" s="904"/>
    </row>
    <row r="135" spans="2:23">
      <c r="B135" s="902"/>
      <c r="C135" s="873"/>
      <c r="D135" s="873"/>
      <c r="E135" s="873"/>
      <c r="F135" s="873"/>
      <c r="G135" s="873"/>
      <c r="H135" s="873"/>
      <c r="I135" s="873"/>
      <c r="J135" s="896"/>
      <c r="K135" s="896"/>
      <c r="L135" s="896"/>
      <c r="M135" s="896"/>
      <c r="N135" s="873"/>
      <c r="O135" s="873"/>
      <c r="P135" s="873"/>
      <c r="Q135" s="873"/>
      <c r="R135" s="873"/>
      <c r="S135" s="873"/>
      <c r="T135" s="873"/>
      <c r="U135" s="873"/>
      <c r="V135" s="873"/>
      <c r="W135" s="904"/>
    </row>
    <row r="136" spans="2:23">
      <c r="B136" s="902"/>
      <c r="C136" s="873"/>
      <c r="D136" s="873"/>
      <c r="E136" s="873"/>
      <c r="F136" s="873"/>
      <c r="G136" s="873"/>
      <c r="H136" s="873"/>
      <c r="I136" s="873"/>
      <c r="J136" s="896"/>
      <c r="K136" s="896"/>
      <c r="L136" s="896"/>
      <c r="M136" s="896"/>
      <c r="N136" s="873"/>
      <c r="O136" s="873"/>
      <c r="P136" s="873"/>
      <c r="Q136" s="873"/>
      <c r="R136" s="873"/>
      <c r="S136" s="873"/>
      <c r="T136" s="873"/>
      <c r="U136" s="873"/>
      <c r="V136" s="873"/>
      <c r="W136" s="904"/>
    </row>
    <row r="137" spans="2:23">
      <c r="B137" s="902"/>
      <c r="C137" s="873"/>
      <c r="D137" s="873"/>
      <c r="E137" s="873"/>
      <c r="F137" s="873"/>
      <c r="G137" s="873"/>
      <c r="H137" s="873"/>
      <c r="I137" s="873"/>
      <c r="J137" s="896"/>
      <c r="K137" s="896"/>
      <c r="L137" s="896"/>
      <c r="M137" s="896"/>
      <c r="N137" s="873"/>
      <c r="O137" s="873"/>
      <c r="P137" s="873"/>
      <c r="Q137" s="873"/>
      <c r="R137" s="873"/>
      <c r="S137" s="873"/>
      <c r="T137" s="873"/>
      <c r="U137" s="873"/>
      <c r="V137" s="873"/>
      <c r="W137" s="904"/>
    </row>
    <row r="138" spans="2:23">
      <c r="B138" s="902"/>
      <c r="C138" s="873"/>
      <c r="D138" s="873"/>
      <c r="E138" s="873"/>
      <c r="F138" s="873"/>
      <c r="G138" s="873"/>
      <c r="H138" s="873"/>
      <c r="I138" s="873"/>
      <c r="J138" s="896"/>
      <c r="K138" s="896"/>
      <c r="L138" s="896"/>
      <c r="M138" s="896"/>
      <c r="N138" s="873"/>
      <c r="O138" s="873"/>
      <c r="P138" s="873"/>
      <c r="Q138" s="873"/>
      <c r="R138" s="873"/>
      <c r="S138" s="873"/>
      <c r="T138" s="873"/>
      <c r="U138" s="873"/>
      <c r="V138" s="873"/>
      <c r="W138" s="904"/>
    </row>
    <row r="139" spans="2:23">
      <c r="B139" s="902"/>
      <c r="C139" s="873"/>
      <c r="D139" s="873"/>
      <c r="E139" s="873"/>
      <c r="F139" s="873"/>
      <c r="G139" s="873"/>
      <c r="H139" s="873"/>
      <c r="I139" s="873"/>
      <c r="J139" s="896"/>
      <c r="K139" s="896"/>
      <c r="L139" s="896"/>
      <c r="M139" s="896"/>
      <c r="N139" s="873"/>
      <c r="O139" s="873"/>
      <c r="P139" s="873"/>
      <c r="Q139" s="873"/>
      <c r="R139" s="873"/>
      <c r="S139" s="873"/>
      <c r="T139" s="873"/>
      <c r="U139" s="873"/>
      <c r="V139" s="873"/>
      <c r="W139" s="904"/>
    </row>
    <row r="140" spans="2:23">
      <c r="B140" s="902"/>
      <c r="C140" s="873"/>
      <c r="D140" s="873"/>
      <c r="E140" s="873"/>
      <c r="F140" s="873"/>
      <c r="G140" s="873"/>
      <c r="H140" s="873"/>
      <c r="I140" s="873"/>
      <c r="J140" s="896"/>
      <c r="K140" s="896"/>
      <c r="L140" s="896"/>
      <c r="M140" s="896"/>
      <c r="N140" s="873"/>
      <c r="O140" s="873"/>
      <c r="P140" s="873"/>
      <c r="Q140" s="873"/>
      <c r="R140" s="873"/>
      <c r="S140" s="873"/>
      <c r="T140" s="873"/>
      <c r="U140" s="873"/>
      <c r="V140" s="873"/>
      <c r="W140" s="904"/>
    </row>
    <row r="141" spans="2:23">
      <c r="B141" s="902"/>
      <c r="C141" s="873"/>
      <c r="D141" s="873"/>
      <c r="E141" s="873"/>
      <c r="F141" s="873"/>
      <c r="G141" s="873"/>
      <c r="H141" s="873"/>
      <c r="I141" s="873"/>
      <c r="J141" s="896"/>
      <c r="K141" s="896"/>
      <c r="L141" s="896"/>
      <c r="M141" s="896"/>
      <c r="N141" s="873"/>
      <c r="O141" s="873"/>
      <c r="P141" s="873"/>
      <c r="Q141" s="873"/>
      <c r="R141" s="873"/>
      <c r="S141" s="873"/>
      <c r="T141" s="873"/>
      <c r="U141" s="873"/>
      <c r="V141" s="873"/>
      <c r="W141" s="904"/>
    </row>
    <row r="142" spans="2:23">
      <c r="B142" s="902"/>
      <c r="C142" s="873"/>
      <c r="D142" s="873"/>
      <c r="E142" s="873"/>
      <c r="F142" s="873"/>
      <c r="G142" s="873"/>
      <c r="H142" s="873"/>
      <c r="I142" s="873"/>
      <c r="J142" s="896"/>
      <c r="K142" s="896"/>
      <c r="L142" s="896"/>
      <c r="M142" s="896"/>
      <c r="N142" s="873"/>
      <c r="O142" s="873"/>
      <c r="P142" s="873"/>
      <c r="Q142" s="873"/>
      <c r="R142" s="873"/>
      <c r="S142" s="873"/>
      <c r="T142" s="873"/>
      <c r="U142" s="873"/>
      <c r="V142" s="873"/>
      <c r="W142" s="904"/>
    </row>
    <row r="143" spans="2:23">
      <c r="B143" s="902"/>
      <c r="C143" s="873"/>
      <c r="D143" s="873"/>
      <c r="E143" s="873"/>
      <c r="F143" s="873"/>
      <c r="G143" s="873"/>
      <c r="H143" s="873"/>
      <c r="I143" s="873"/>
      <c r="J143" s="896"/>
      <c r="K143" s="896"/>
      <c r="L143" s="896"/>
      <c r="M143" s="896"/>
      <c r="N143" s="873"/>
      <c r="O143" s="873"/>
      <c r="P143" s="873"/>
      <c r="Q143" s="873"/>
      <c r="R143" s="873"/>
      <c r="S143" s="873"/>
      <c r="T143" s="873"/>
      <c r="U143" s="873"/>
      <c r="V143" s="873"/>
      <c r="W143" s="904"/>
    </row>
    <row r="144" spans="2:23">
      <c r="B144" s="902"/>
      <c r="C144" s="873"/>
      <c r="D144" s="873"/>
      <c r="E144" s="873"/>
      <c r="F144" s="873"/>
      <c r="G144" s="873"/>
      <c r="H144" s="873"/>
      <c r="I144" s="873"/>
      <c r="J144" s="896"/>
      <c r="K144" s="896"/>
      <c r="L144" s="896"/>
      <c r="M144" s="896"/>
      <c r="N144" s="873"/>
      <c r="O144" s="873"/>
      <c r="P144" s="873"/>
      <c r="Q144" s="873"/>
      <c r="R144" s="873"/>
      <c r="S144" s="873"/>
      <c r="T144" s="873"/>
      <c r="U144" s="873"/>
      <c r="V144" s="873"/>
      <c r="W144" s="904"/>
    </row>
    <row r="145" spans="2:23">
      <c r="B145" s="902"/>
      <c r="C145" s="873"/>
      <c r="D145" s="873"/>
      <c r="E145" s="873"/>
      <c r="F145" s="873"/>
      <c r="G145" s="873"/>
      <c r="H145" s="873"/>
      <c r="I145" s="873"/>
      <c r="J145" s="896"/>
      <c r="K145" s="896"/>
      <c r="L145" s="896"/>
      <c r="M145" s="896"/>
      <c r="N145" s="873"/>
      <c r="O145" s="873"/>
      <c r="P145" s="873"/>
      <c r="Q145" s="873"/>
      <c r="R145" s="873"/>
      <c r="S145" s="873"/>
      <c r="T145" s="873"/>
      <c r="U145" s="873"/>
      <c r="V145" s="873"/>
      <c r="W145" s="904"/>
    </row>
    <row r="146" spans="2:23">
      <c r="B146" s="902"/>
      <c r="C146" s="873"/>
      <c r="D146" s="873"/>
      <c r="E146" s="873"/>
      <c r="F146" s="873"/>
      <c r="G146" s="873"/>
      <c r="H146" s="873"/>
      <c r="I146" s="873"/>
      <c r="J146" s="896"/>
      <c r="K146" s="896"/>
      <c r="L146" s="896"/>
      <c r="M146" s="896"/>
      <c r="N146" s="873"/>
      <c r="O146" s="873"/>
      <c r="P146" s="873"/>
      <c r="Q146" s="873"/>
      <c r="R146" s="873"/>
      <c r="S146" s="873"/>
      <c r="T146" s="873"/>
      <c r="U146" s="873"/>
      <c r="V146" s="873"/>
      <c r="W146" s="904"/>
    </row>
    <row r="147" spans="2:23">
      <c r="B147" s="902"/>
      <c r="C147" s="873"/>
      <c r="D147" s="873"/>
      <c r="E147" s="873"/>
      <c r="F147" s="873"/>
      <c r="G147" s="873"/>
      <c r="H147" s="873"/>
      <c r="I147" s="873"/>
      <c r="J147" s="896"/>
      <c r="K147" s="896"/>
      <c r="L147" s="896"/>
      <c r="M147" s="896"/>
      <c r="N147" s="873"/>
      <c r="O147" s="873"/>
      <c r="P147" s="873"/>
      <c r="Q147" s="873"/>
      <c r="R147" s="873"/>
      <c r="S147" s="873"/>
      <c r="T147" s="873"/>
      <c r="U147" s="873"/>
      <c r="V147" s="873"/>
      <c r="W147" s="904"/>
    </row>
    <row r="148" spans="2:23">
      <c r="B148" s="902"/>
      <c r="C148" s="873"/>
      <c r="D148" s="873"/>
      <c r="E148" s="873"/>
      <c r="F148" s="873"/>
      <c r="G148" s="873"/>
      <c r="H148" s="873"/>
      <c r="I148" s="873"/>
      <c r="J148" s="896"/>
      <c r="K148" s="896"/>
      <c r="L148" s="896"/>
      <c r="M148" s="896"/>
      <c r="N148" s="873"/>
      <c r="O148" s="873"/>
      <c r="P148" s="873"/>
      <c r="Q148" s="873"/>
      <c r="R148" s="873"/>
      <c r="S148" s="873"/>
      <c r="T148" s="873"/>
      <c r="U148" s="873"/>
      <c r="V148" s="873"/>
      <c r="W148" s="904"/>
    </row>
    <row r="149" spans="2:23">
      <c r="B149" s="902"/>
      <c r="C149" s="873"/>
      <c r="D149" s="873"/>
      <c r="E149" s="873"/>
      <c r="F149" s="873"/>
      <c r="G149" s="873"/>
      <c r="H149" s="873"/>
      <c r="I149" s="873"/>
      <c r="J149" s="896"/>
      <c r="K149" s="896"/>
      <c r="L149" s="896"/>
      <c r="M149" s="896"/>
      <c r="N149" s="873"/>
      <c r="O149" s="873"/>
      <c r="P149" s="873"/>
      <c r="Q149" s="873"/>
      <c r="R149" s="873"/>
      <c r="S149" s="873"/>
      <c r="T149" s="873"/>
      <c r="U149" s="873"/>
      <c r="V149" s="873"/>
      <c r="W149" s="904"/>
    </row>
    <row r="150" spans="2:23">
      <c r="B150" s="959"/>
      <c r="C150" s="960"/>
      <c r="D150" s="960"/>
      <c r="E150" s="960"/>
      <c r="F150" s="960"/>
      <c r="G150" s="960"/>
      <c r="H150" s="960"/>
      <c r="I150" s="960"/>
      <c r="J150" s="961"/>
      <c r="K150" s="961"/>
      <c r="L150" s="961"/>
      <c r="M150" s="961"/>
      <c r="N150" s="960"/>
      <c r="O150" s="960"/>
      <c r="P150" s="960"/>
      <c r="Q150" s="960"/>
      <c r="R150" s="960"/>
      <c r="S150" s="960"/>
      <c r="T150" s="960"/>
      <c r="U150" s="960"/>
      <c r="V150" s="960"/>
      <c r="W150" s="962"/>
    </row>
    <row r="151" spans="2:23">
      <c r="T151" s="899"/>
    </row>
  </sheetData>
  <mergeCells count="8">
    <mergeCell ref="O8:R8"/>
    <mergeCell ref="T8:W8"/>
    <mergeCell ref="Y8:Z8"/>
    <mergeCell ref="AB8:AD8"/>
    <mergeCell ref="E9:F9"/>
    <mergeCell ref="O9:R9"/>
    <mergeCell ref="T9:W9"/>
    <mergeCell ref="Y9:Z9"/>
  </mergeCells>
  <conditionalFormatting sqref="O15 X42:X43 T42:V60 W54:W65 T62:V62 T70:W70">
    <cfRule type="expression" dxfId="7" priority="8">
      <formula>IF(Consensus="y",1,0)</formula>
    </cfRule>
  </conditionalFormatting>
  <conditionalFormatting sqref="O35">
    <cfRule type="expression" dxfId="6" priority="1">
      <formula>IF(Consensus="y",1,0)</formula>
    </cfRule>
  </conditionalFormatting>
  <conditionalFormatting sqref="O20:Q22">
    <cfRule type="expression" dxfId="5" priority="15">
      <formula>IF(Consensus="y",1,0)</formula>
    </cfRule>
  </conditionalFormatting>
  <conditionalFormatting sqref="O65:R66">
    <cfRule type="expression" dxfId="4" priority="6">
      <formula>IF(Consensus="y",1,0)</formula>
    </cfRule>
  </conditionalFormatting>
  <conditionalFormatting sqref="T15">
    <cfRule type="expression" dxfId="3" priority="5">
      <formula>IF(Consensus="y",1,0)</formula>
    </cfRule>
  </conditionalFormatting>
  <conditionalFormatting sqref="T64:V66 T68:V68">
    <cfRule type="expression" dxfId="2" priority="16">
      <formula>IF(Consensus="y",1,0)</formula>
    </cfRule>
  </conditionalFormatting>
  <conditionalFormatting sqref="T11:W11 T14:W14 T20:T22 U21:V22 T35 T39:V39 W41:W42 W47 W67:W68 T72:W72 W74:W75">
    <cfRule type="expression" dxfId="1" priority="26">
      <formula>IF(Consensus="y",1,0)</formula>
    </cfRule>
  </conditionalFormatting>
  <conditionalFormatting sqref="W44">
    <cfRule type="expression" dxfId="0" priority="25">
      <formula>IF(Consensus="y",1,0)</formula>
    </cfRule>
  </conditionalFormatting>
  <pageMargins left="0.2" right="0.2" top="0.25" bottom="0.25" header="0" footer="0"/>
  <pageSetup scale="34"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35957-0B3B-8B4A-837C-20A8BCE3746E}">
  <dimension ref="B2:J55"/>
  <sheetViews>
    <sheetView showGridLines="0" topLeftCell="A36" workbookViewId="0">
      <selection activeCell="B61" sqref="B61"/>
    </sheetView>
  </sheetViews>
  <sheetFormatPr baseColWidth="10" defaultRowHeight="15"/>
  <cols>
    <col min="2" max="2" width="26.1640625" bestFit="1" customWidth="1"/>
    <col min="6" max="6" width="5.6640625" customWidth="1"/>
    <col min="7" max="7" width="25.5" bestFit="1" customWidth="1"/>
  </cols>
  <sheetData>
    <row r="2" spans="2:5">
      <c r="B2" s="19" t="s">
        <v>439</v>
      </c>
      <c r="C2" s="30" t="s">
        <v>441</v>
      </c>
      <c r="D2" s="30" t="s">
        <v>440</v>
      </c>
    </row>
    <row r="3" spans="2:5">
      <c r="B3" s="18" t="s">
        <v>75</v>
      </c>
      <c r="C3" s="18">
        <f>SUM('Financial One Pager'!L16:L19)</f>
        <v>6417</v>
      </c>
      <c r="D3" s="60">
        <f>C3/$C$5</f>
        <v>0.74982472540313161</v>
      </c>
    </row>
    <row r="4" spans="2:5">
      <c r="B4" s="18" t="s">
        <v>83</v>
      </c>
      <c r="C4" s="18">
        <f>SUM('Financial One Pager'!L21:L22)</f>
        <v>2141</v>
      </c>
      <c r="D4" s="60">
        <f t="shared" ref="D4:D5" si="0">C4/$C$5</f>
        <v>0.25017527459686845</v>
      </c>
    </row>
    <row r="5" spans="2:5">
      <c r="B5" s="18" t="s">
        <v>19</v>
      </c>
      <c r="C5" s="18">
        <f>SUM(C3:C4)</f>
        <v>8558</v>
      </c>
      <c r="D5" s="60">
        <f t="shared" si="0"/>
        <v>1</v>
      </c>
    </row>
    <row r="8" spans="2:5">
      <c r="B8" s="834" t="s">
        <v>444</v>
      </c>
      <c r="C8" s="835" t="s">
        <v>208</v>
      </c>
      <c r="D8" s="835" t="s">
        <v>207</v>
      </c>
      <c r="E8" s="835" t="s">
        <v>206</v>
      </c>
    </row>
    <row r="9" spans="2:5">
      <c r="B9" s="18" t="s">
        <v>445</v>
      </c>
      <c r="C9" s="18">
        <v>8.9499999999999993</v>
      </c>
      <c r="D9" s="18">
        <v>8.6999999999999993</v>
      </c>
      <c r="E9" s="18">
        <v>8.56</v>
      </c>
    </row>
    <row r="10" spans="2:5">
      <c r="B10" s="18" t="s">
        <v>446</v>
      </c>
      <c r="C10" s="18">
        <v>2.76</v>
      </c>
      <c r="D10" s="18">
        <v>2.72</v>
      </c>
      <c r="E10" s="18">
        <v>2.67</v>
      </c>
    </row>
    <row r="11" spans="2:5">
      <c r="B11" s="18" t="s">
        <v>442</v>
      </c>
      <c r="C11" s="832">
        <v>0.308</v>
      </c>
      <c r="D11" s="832">
        <v>0.312</v>
      </c>
      <c r="E11" s="832">
        <v>0.311</v>
      </c>
    </row>
    <row r="12" spans="2:5">
      <c r="B12" s="18" t="s">
        <v>447</v>
      </c>
      <c r="C12" s="18">
        <v>1.55</v>
      </c>
      <c r="D12" s="18">
        <v>1.43</v>
      </c>
      <c r="E12" s="18">
        <v>1.53</v>
      </c>
    </row>
    <row r="13" spans="2:5">
      <c r="B13" s="18" t="s">
        <v>448</v>
      </c>
      <c r="C13" s="18">
        <v>11.27</v>
      </c>
      <c r="D13" s="18">
        <v>11.36</v>
      </c>
      <c r="E13" s="18">
        <v>9.7100000000000009</v>
      </c>
    </row>
    <row r="14" spans="2:5">
      <c r="B14" s="18" t="s">
        <v>449</v>
      </c>
      <c r="C14" s="833">
        <f>C13/C10</f>
        <v>4.0833333333333339</v>
      </c>
      <c r="D14" s="833">
        <f t="shared" ref="D14:E14" si="1">D13/D10</f>
        <v>4.1764705882352935</v>
      </c>
      <c r="E14" s="833">
        <f t="shared" si="1"/>
        <v>3.6367041198501875</v>
      </c>
    </row>
    <row r="17" spans="2:5">
      <c r="B17" s="834" t="s">
        <v>468</v>
      </c>
      <c r="C17" s="835" t="s">
        <v>14</v>
      </c>
      <c r="D17" s="835" t="s">
        <v>15</v>
      </c>
      <c r="E17" s="835" t="s">
        <v>130</v>
      </c>
    </row>
    <row r="18" spans="2:5">
      <c r="B18" s="18" t="s">
        <v>450</v>
      </c>
      <c r="C18" s="26" t="s">
        <v>451</v>
      </c>
      <c r="D18" s="26" t="s">
        <v>452</v>
      </c>
      <c r="E18" s="26" t="s">
        <v>453</v>
      </c>
    </row>
    <row r="19" spans="2:5">
      <c r="B19" s="18" t="s">
        <v>454</v>
      </c>
      <c r="C19" s="26" t="s">
        <v>455</v>
      </c>
      <c r="D19" s="26" t="s">
        <v>455</v>
      </c>
      <c r="E19" s="26" t="s">
        <v>455</v>
      </c>
    </row>
    <row r="20" spans="2:5">
      <c r="B20" s="18" t="s">
        <v>456</v>
      </c>
      <c r="C20" s="26" t="s">
        <v>457</v>
      </c>
      <c r="D20" s="26" t="s">
        <v>458</v>
      </c>
      <c r="E20" s="26" t="s">
        <v>459</v>
      </c>
    </row>
    <row r="21" spans="2:5">
      <c r="B21" s="18" t="s">
        <v>460</v>
      </c>
      <c r="C21" s="26" t="s">
        <v>461</v>
      </c>
      <c r="D21" s="26" t="s">
        <v>462</v>
      </c>
      <c r="E21" s="26" t="s">
        <v>463</v>
      </c>
    </row>
    <row r="22" spans="2:5">
      <c r="B22" s="18" t="s">
        <v>464</v>
      </c>
      <c r="C22" s="26" t="s">
        <v>465</v>
      </c>
      <c r="D22" s="26" t="s">
        <v>466</v>
      </c>
      <c r="E22" s="26" t="s">
        <v>467</v>
      </c>
    </row>
    <row r="23" spans="2:5">
      <c r="B23" s="18" t="s">
        <v>442</v>
      </c>
      <c r="C23" s="836">
        <v>0.30099999999999999</v>
      </c>
      <c r="D23" s="836">
        <v>0.30299999999999999</v>
      </c>
      <c r="E23" s="836">
        <v>0.30599999999999999</v>
      </c>
    </row>
    <row r="25" spans="2:5">
      <c r="B25" s="838" t="s">
        <v>478</v>
      </c>
      <c r="C25" s="835" t="s">
        <v>14</v>
      </c>
      <c r="D25" s="835" t="s">
        <v>15</v>
      </c>
      <c r="E25" s="835" t="s">
        <v>130</v>
      </c>
    </row>
    <row r="26" spans="2:5">
      <c r="B26" s="837" t="s">
        <v>197</v>
      </c>
      <c r="C26" s="26" t="s">
        <v>469</v>
      </c>
      <c r="D26" s="26" t="s">
        <v>470</v>
      </c>
      <c r="E26" s="26" t="s">
        <v>471</v>
      </c>
    </row>
    <row r="27" spans="2:5">
      <c r="B27" s="837" t="s">
        <v>401</v>
      </c>
      <c r="C27" s="26" t="s">
        <v>472</v>
      </c>
      <c r="D27" s="26" t="s">
        <v>473</v>
      </c>
      <c r="E27" s="26" t="s">
        <v>474</v>
      </c>
    </row>
    <row r="28" spans="2:5">
      <c r="B28" s="837" t="s">
        <v>475</v>
      </c>
      <c r="C28" s="26" t="s">
        <v>476</v>
      </c>
      <c r="D28" s="26" t="s">
        <v>476</v>
      </c>
      <c r="E28" s="26" t="s">
        <v>476</v>
      </c>
    </row>
    <row r="29" spans="2:5">
      <c r="B29" s="837" t="s">
        <v>232</v>
      </c>
      <c r="C29" s="26" t="s">
        <v>477</v>
      </c>
      <c r="D29" s="26" t="s">
        <v>474</v>
      </c>
      <c r="E29" s="26" t="s">
        <v>474</v>
      </c>
    </row>
    <row r="33" spans="2:10">
      <c r="B33" s="840" t="s">
        <v>489</v>
      </c>
      <c r="C33" s="841" t="s">
        <v>14</v>
      </c>
      <c r="D33" s="841" t="s">
        <v>15</v>
      </c>
      <c r="E33" s="841" t="s">
        <v>130</v>
      </c>
    </row>
    <row r="34" spans="2:10">
      <c r="B34" s="71" t="s">
        <v>329</v>
      </c>
      <c r="C34" s="116" t="s">
        <v>479</v>
      </c>
      <c r="D34" s="116" t="s">
        <v>480</v>
      </c>
      <c r="E34" s="116" t="s">
        <v>481</v>
      </c>
    </row>
    <row r="35" spans="2:10">
      <c r="B35" s="71" t="s">
        <v>99</v>
      </c>
      <c r="C35" s="116" t="s">
        <v>482</v>
      </c>
      <c r="D35" s="116" t="s">
        <v>483</v>
      </c>
      <c r="E35" s="116" t="s">
        <v>484</v>
      </c>
    </row>
    <row r="36" spans="2:10">
      <c r="B36" s="71" t="s">
        <v>442</v>
      </c>
      <c r="C36" s="733">
        <v>0.30099999999999999</v>
      </c>
      <c r="D36" s="733">
        <v>0.30299999999999999</v>
      </c>
      <c r="E36" s="733">
        <v>0.30599999999999999</v>
      </c>
    </row>
    <row r="37" spans="2:10">
      <c r="B37" s="71" t="s">
        <v>409</v>
      </c>
      <c r="C37" s="116" t="s">
        <v>485</v>
      </c>
      <c r="D37" s="116" t="s">
        <v>486</v>
      </c>
      <c r="E37" s="116" t="s">
        <v>487</v>
      </c>
    </row>
    <row r="38" spans="2:10">
      <c r="B38" s="71" t="s">
        <v>488</v>
      </c>
      <c r="C38" s="733">
        <v>0.14000000000000001</v>
      </c>
      <c r="D38" s="733">
        <v>0.187</v>
      </c>
      <c r="E38" s="733">
        <v>0.23899999999999999</v>
      </c>
    </row>
    <row r="39" spans="2:10">
      <c r="B39" s="62" t="s">
        <v>211</v>
      </c>
      <c r="C39" s="116" t="s">
        <v>490</v>
      </c>
      <c r="D39" s="116" t="s">
        <v>491</v>
      </c>
      <c r="E39" s="116" t="s">
        <v>492</v>
      </c>
    </row>
    <row r="40" spans="2:10">
      <c r="B40" s="62" t="s">
        <v>443</v>
      </c>
      <c r="C40" s="116" t="s">
        <v>493</v>
      </c>
      <c r="D40" s="116" t="s">
        <v>494</v>
      </c>
      <c r="E40" s="116" t="s">
        <v>495</v>
      </c>
    </row>
    <row r="43" spans="2:10">
      <c r="B43" s="842" t="s">
        <v>508</v>
      </c>
      <c r="C43" s="843" t="s">
        <v>14</v>
      </c>
      <c r="D43" s="843" t="s">
        <v>15</v>
      </c>
      <c r="E43" s="843" t="s">
        <v>130</v>
      </c>
      <c r="F43" s="844"/>
      <c r="G43" s="845" t="s">
        <v>522</v>
      </c>
      <c r="H43" s="843" t="s">
        <v>14</v>
      </c>
      <c r="I43" s="843" t="s">
        <v>15</v>
      </c>
      <c r="J43" s="843" t="s">
        <v>130</v>
      </c>
    </row>
    <row r="44" spans="2:10">
      <c r="B44" s="846" t="s">
        <v>496</v>
      </c>
      <c r="C44" s="847" t="s">
        <v>497</v>
      </c>
      <c r="D44" s="847" t="s">
        <v>498</v>
      </c>
      <c r="E44" s="847" t="s">
        <v>389</v>
      </c>
      <c r="F44" s="844"/>
      <c r="G44" s="846" t="s">
        <v>409</v>
      </c>
      <c r="H44" s="851">
        <f>'Base Case Forecast '!K62</f>
        <v>1350</v>
      </c>
      <c r="I44" s="851">
        <f>'Base Case Forecast '!L62</f>
        <v>1500</v>
      </c>
      <c r="J44" s="851">
        <f>'Base Case Forecast '!M62</f>
        <v>1543.3916117781864</v>
      </c>
    </row>
    <row r="45" spans="2:10">
      <c r="B45" s="846" t="s">
        <v>499</v>
      </c>
      <c r="C45" s="847" t="s">
        <v>389</v>
      </c>
      <c r="D45" s="847" t="s">
        <v>500</v>
      </c>
      <c r="E45" s="847" t="s">
        <v>389</v>
      </c>
      <c r="F45" s="844"/>
      <c r="G45" s="846" t="s">
        <v>521</v>
      </c>
      <c r="H45" s="850">
        <f>'Base Case Forecast '!K44/ABS('Base Case Assumptions'!J44)</f>
        <v>6.1176470588235317</v>
      </c>
      <c r="I45" s="850">
        <f>'Base Case Forecast '!L44/ABS('Base Case Assumptions'!K44)</f>
        <v>6.8923191468031062</v>
      </c>
      <c r="J45" s="850">
        <f>'Base Case Forecast '!M44/ABS('Base Case Assumptions'!L44)</f>
        <v>9.5713131863715688</v>
      </c>
    </row>
    <row r="46" spans="2:10">
      <c r="B46" s="846" t="s">
        <v>501</v>
      </c>
      <c r="C46" s="847" t="s">
        <v>389</v>
      </c>
      <c r="D46" s="847" t="s">
        <v>389</v>
      </c>
      <c r="E46" s="847" t="s">
        <v>502</v>
      </c>
      <c r="F46" s="844"/>
      <c r="G46" s="846" t="s">
        <v>509</v>
      </c>
      <c r="H46" s="852">
        <f>'Base Case Debt schedule'!H8</f>
        <v>0</v>
      </c>
      <c r="I46" s="852">
        <f>'Base Case Debt schedule'!I8</f>
        <v>0</v>
      </c>
      <c r="J46" s="852">
        <f>'Base Case Debt schedule'!J8</f>
        <v>1000</v>
      </c>
    </row>
    <row r="47" spans="2:10">
      <c r="B47" s="846" t="s">
        <v>503</v>
      </c>
      <c r="C47" s="847" t="s">
        <v>389</v>
      </c>
      <c r="D47" s="847" t="s">
        <v>389</v>
      </c>
      <c r="E47" s="847" t="s">
        <v>504</v>
      </c>
      <c r="F47" s="844"/>
      <c r="G47" s="846" t="s">
        <v>265</v>
      </c>
      <c r="H47" s="851">
        <f>'Base Case Forecast '!K75</f>
        <v>967.71</v>
      </c>
      <c r="I47" s="851">
        <f>'Base Case Forecast '!L75</f>
        <v>507.92</v>
      </c>
      <c r="J47" s="851">
        <f>'Base Case Forecast '!M75</f>
        <v>111.27161177818641</v>
      </c>
    </row>
    <row r="48" spans="2:10">
      <c r="B48" s="848" t="s">
        <v>505</v>
      </c>
      <c r="C48" s="849" t="s">
        <v>497</v>
      </c>
      <c r="D48" s="849" t="s">
        <v>506</v>
      </c>
      <c r="E48" s="849" t="s">
        <v>507</v>
      </c>
      <c r="F48" s="844"/>
      <c r="G48" s="844"/>
      <c r="H48" s="844"/>
      <c r="I48" s="844"/>
      <c r="J48" s="844"/>
    </row>
    <row r="52" spans="2:5">
      <c r="B52" s="834"/>
      <c r="C52" s="841" t="s">
        <v>14</v>
      </c>
      <c r="D52" s="841" t="s">
        <v>15</v>
      </c>
      <c r="E52" s="841" t="s">
        <v>130</v>
      </c>
    </row>
    <row r="53" spans="2:5">
      <c r="B53" s="62" t="s">
        <v>510</v>
      </c>
      <c r="C53" s="116" t="s">
        <v>511</v>
      </c>
      <c r="D53" s="116" t="s">
        <v>512</v>
      </c>
      <c r="E53" s="116" t="s">
        <v>513</v>
      </c>
    </row>
    <row r="54" spans="2:5">
      <c r="B54" s="62" t="s">
        <v>25</v>
      </c>
      <c r="C54" s="116" t="s">
        <v>514</v>
      </c>
      <c r="D54" s="116" t="s">
        <v>515</v>
      </c>
      <c r="E54" s="116" t="s">
        <v>516</v>
      </c>
    </row>
    <row r="55" spans="2:5">
      <c r="B55" s="62" t="s">
        <v>517</v>
      </c>
      <c r="C55" s="103" t="s">
        <v>518</v>
      </c>
      <c r="D55" s="103" t="s">
        <v>519</v>
      </c>
      <c r="E55" s="103" t="s">
        <v>520</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EF1AE-90D4-4D40-B3A2-222CD273406D}">
  <sheetPr>
    <tabColor theme="4"/>
  </sheetPr>
  <dimension ref="B2:K30"/>
  <sheetViews>
    <sheetView showGridLines="0" zoomScaleNormal="100" workbookViewId="0">
      <selection activeCell="B21" sqref="B21:I26"/>
    </sheetView>
  </sheetViews>
  <sheetFormatPr baseColWidth="10" defaultRowHeight="15"/>
  <cols>
    <col min="1" max="1" width="3.83203125" customWidth="1"/>
    <col min="2" max="2" width="30.1640625" customWidth="1"/>
    <col min="8" max="9" width="11.83203125" bestFit="1" customWidth="1"/>
  </cols>
  <sheetData>
    <row r="2" spans="2:11">
      <c r="B2" s="36" t="s">
        <v>121</v>
      </c>
      <c r="C2" s="35" t="s">
        <v>82</v>
      </c>
      <c r="D2" s="35" t="s">
        <v>81</v>
      </c>
      <c r="E2" s="35" t="s">
        <v>111</v>
      </c>
      <c r="F2" s="35" t="s">
        <v>125</v>
      </c>
      <c r="H2" s="42" t="s">
        <v>142</v>
      </c>
      <c r="I2" s="42" t="s">
        <v>143</v>
      </c>
      <c r="J2" s="14"/>
    </row>
    <row r="3" spans="2:11">
      <c r="B3" s="811" t="s">
        <v>75</v>
      </c>
      <c r="C3" s="812"/>
      <c r="D3" s="812"/>
      <c r="E3" s="812"/>
      <c r="F3" s="813"/>
      <c r="H3" s="806" t="s">
        <v>75</v>
      </c>
      <c r="I3" s="807"/>
      <c r="J3" s="14"/>
      <c r="K3" s="14"/>
    </row>
    <row r="4" spans="2:11">
      <c r="B4" s="20" t="s">
        <v>95</v>
      </c>
      <c r="C4" s="21">
        <v>31942</v>
      </c>
      <c r="D4" s="31">
        <v>31646</v>
      </c>
      <c r="E4" s="21">
        <v>31345</v>
      </c>
      <c r="F4" s="21">
        <v>31234</v>
      </c>
      <c r="H4" s="51">
        <f>D4/C4-1</f>
        <v>-9.2667960678730621E-3</v>
      </c>
      <c r="I4" s="51">
        <f t="shared" ref="I4" si="0">E4/D4-1</f>
        <v>-9.5114706439992647E-3</v>
      </c>
      <c r="J4" s="52"/>
    </row>
    <row r="5" spans="2:11">
      <c r="B5" s="20" t="s">
        <v>112</v>
      </c>
      <c r="C5" s="21">
        <v>1933</v>
      </c>
      <c r="D5" s="31">
        <v>1580</v>
      </c>
      <c r="E5" s="21">
        <v>1582</v>
      </c>
      <c r="F5" s="21">
        <v>1545</v>
      </c>
      <c r="H5" s="51">
        <f t="shared" ref="H5:H18" si="1">D5/C5-1</f>
        <v>-0.18261769270563888</v>
      </c>
      <c r="I5" s="51">
        <f t="shared" ref="I5:I18" si="2">E5/D5-1</f>
        <v>1.2658227848101333E-3</v>
      </c>
      <c r="J5" s="53"/>
    </row>
    <row r="6" spans="2:11">
      <c r="B6" s="19" t="s">
        <v>94</v>
      </c>
      <c r="C6" s="28">
        <v>33875</v>
      </c>
      <c r="D6" s="32">
        <v>33226</v>
      </c>
      <c r="E6" s="28">
        <v>32927</v>
      </c>
      <c r="F6" s="28">
        <f>SUM(F4:F5)</f>
        <v>32779</v>
      </c>
      <c r="H6" s="51">
        <f t="shared" si="1"/>
        <v>-1.9158671586715914E-2</v>
      </c>
      <c r="I6" s="51">
        <f t="shared" si="2"/>
        <v>-8.9989767049900582E-3</v>
      </c>
      <c r="J6" s="53"/>
    </row>
    <row r="7" spans="2:11">
      <c r="B7" s="19" t="s">
        <v>123</v>
      </c>
      <c r="C7" s="28">
        <v>2629</v>
      </c>
      <c r="D7" s="32">
        <v>2516</v>
      </c>
      <c r="E7" s="28">
        <v>2437</v>
      </c>
      <c r="F7" s="28">
        <v>2428</v>
      </c>
      <c r="H7" s="51">
        <f t="shared" si="1"/>
        <v>-4.2982122480030416E-2</v>
      </c>
      <c r="I7" s="51">
        <f t="shared" si="2"/>
        <v>-3.1399046104928496E-2</v>
      </c>
      <c r="J7" s="53"/>
    </row>
    <row r="8" spans="2:11">
      <c r="B8" s="18" t="s">
        <v>97</v>
      </c>
      <c r="C8" s="21">
        <v>33993</v>
      </c>
      <c r="D8" s="31">
        <v>33292</v>
      </c>
      <c r="E8" s="21">
        <v>32797</v>
      </c>
      <c r="F8" s="21">
        <v>32799</v>
      </c>
      <c r="H8" s="51">
        <f t="shared" si="1"/>
        <v>-2.0621892742623493E-2</v>
      </c>
      <c r="I8" s="51">
        <f t="shared" si="2"/>
        <v>-1.4868436861708467E-2</v>
      </c>
      <c r="J8" s="54"/>
    </row>
    <row r="9" spans="2:11">
      <c r="B9" s="19" t="s">
        <v>147</v>
      </c>
      <c r="C9" s="29">
        <v>1.6E-2</v>
      </c>
      <c r="D9" s="33">
        <v>1.6E-2</v>
      </c>
      <c r="E9" s="29">
        <v>1.4999999999999999E-2</v>
      </c>
      <c r="F9" s="29">
        <v>1.4999999999999999E-2</v>
      </c>
      <c r="H9" s="51">
        <f t="shared" si="1"/>
        <v>0</v>
      </c>
      <c r="I9" s="51">
        <f t="shared" si="2"/>
        <v>-6.25E-2</v>
      </c>
      <c r="J9" s="23"/>
    </row>
    <row r="10" spans="2:11">
      <c r="B10" s="19" t="s">
        <v>303</v>
      </c>
      <c r="C10" s="38">
        <v>15.56</v>
      </c>
      <c r="D10" s="37">
        <v>15.21</v>
      </c>
      <c r="E10" s="37">
        <v>15.11</v>
      </c>
      <c r="F10" s="38">
        <v>14.99</v>
      </c>
      <c r="H10" s="51">
        <f t="shared" si="1"/>
        <v>-2.2493573264781519E-2</v>
      </c>
      <c r="I10" s="51">
        <f t="shared" si="2"/>
        <v>-6.5746219592374144E-3</v>
      </c>
      <c r="J10" s="23"/>
    </row>
    <row r="11" spans="2:11">
      <c r="B11" s="19" t="s">
        <v>114</v>
      </c>
      <c r="C11" s="39">
        <v>13.18</v>
      </c>
      <c r="D11" s="37">
        <v>14.55</v>
      </c>
      <c r="E11" s="37">
        <v>18.21</v>
      </c>
      <c r="F11" s="39">
        <v>18.8</v>
      </c>
      <c r="H11" s="51">
        <f t="shared" si="1"/>
        <v>0.10394537177541729</v>
      </c>
      <c r="I11" s="51">
        <f t="shared" si="2"/>
        <v>0.25154639175257731</v>
      </c>
      <c r="J11" s="53"/>
    </row>
    <row r="12" spans="2:11">
      <c r="B12" s="18"/>
      <c r="C12" s="18"/>
      <c r="D12" s="18"/>
      <c r="E12" s="18"/>
      <c r="F12" s="18"/>
      <c r="H12" s="51"/>
      <c r="I12" s="51"/>
      <c r="J12" s="53"/>
    </row>
    <row r="13" spans="2:11">
      <c r="B13" s="811" t="s">
        <v>98</v>
      </c>
      <c r="C13" s="812"/>
      <c r="D13" s="812"/>
      <c r="E13" s="812"/>
      <c r="F13" s="813"/>
      <c r="H13" s="806" t="s">
        <v>98</v>
      </c>
      <c r="I13" s="807"/>
      <c r="J13" s="14"/>
      <c r="K13" s="14"/>
    </row>
    <row r="14" spans="2:11">
      <c r="B14" s="18" t="s">
        <v>159</v>
      </c>
      <c r="C14" s="21">
        <v>46026</v>
      </c>
      <c r="D14" s="31">
        <v>43344</v>
      </c>
      <c r="E14" s="34">
        <v>41112</v>
      </c>
      <c r="F14" s="21">
        <v>40068</v>
      </c>
      <c r="H14" s="51">
        <f t="shared" si="1"/>
        <v>-5.8271411810715712E-2</v>
      </c>
      <c r="I14" s="51">
        <f t="shared" si="2"/>
        <v>-5.149501661129563E-2</v>
      </c>
      <c r="J14" s="23"/>
    </row>
    <row r="15" spans="2:11">
      <c r="B15" s="18" t="s">
        <v>95</v>
      </c>
      <c r="C15" s="21">
        <v>6053</v>
      </c>
      <c r="D15" s="31">
        <v>5774</v>
      </c>
      <c r="E15" s="34">
        <v>5630</v>
      </c>
      <c r="F15" s="21">
        <v>5597</v>
      </c>
      <c r="H15" s="51">
        <f t="shared" si="1"/>
        <v>-4.6092846522385544E-2</v>
      </c>
      <c r="I15" s="51">
        <f t="shared" si="2"/>
        <v>-2.4939383443020491E-2</v>
      </c>
    </row>
    <row r="16" spans="2:11">
      <c r="B16" s="18" t="s">
        <v>97</v>
      </c>
      <c r="C16" s="21">
        <v>6169</v>
      </c>
      <c r="D16" s="31">
        <v>5929</v>
      </c>
      <c r="E16" s="34">
        <v>5698</v>
      </c>
      <c r="F16" s="21">
        <v>5605</v>
      </c>
      <c r="H16" s="51">
        <f t="shared" si="1"/>
        <v>-3.8904198411411905E-2</v>
      </c>
      <c r="I16" s="51">
        <f t="shared" si="2"/>
        <v>-3.8961038961038974E-2</v>
      </c>
    </row>
    <row r="17" spans="2:9">
      <c r="B17" s="19" t="s">
        <v>122</v>
      </c>
      <c r="C17" s="19">
        <v>10.48</v>
      </c>
      <c r="D17" s="30">
        <v>9.94</v>
      </c>
      <c r="E17" s="43">
        <v>9.75</v>
      </c>
      <c r="F17" s="55">
        <v>2.2210000000000001</v>
      </c>
      <c r="H17" s="51">
        <f t="shared" si="1"/>
        <v>-5.1526717557252022E-2</v>
      </c>
      <c r="I17" s="51">
        <f t="shared" si="2"/>
        <v>-1.9114688128772594E-2</v>
      </c>
    </row>
    <row r="18" spans="2:9">
      <c r="B18" s="19" t="s">
        <v>170</v>
      </c>
      <c r="C18" s="39">
        <v>99.39</v>
      </c>
      <c r="D18" s="37">
        <v>100.59</v>
      </c>
      <c r="E18" s="37">
        <v>91.78</v>
      </c>
      <c r="F18" s="38">
        <v>84.11</v>
      </c>
      <c r="H18" s="51">
        <f t="shared" si="1"/>
        <v>1.2073649260488928E-2</v>
      </c>
      <c r="I18" s="51">
        <f t="shared" si="2"/>
        <v>-8.7583258773237915E-2</v>
      </c>
    </row>
    <row r="19" spans="2:9">
      <c r="C19" s="863">
        <f>C17*C18</f>
        <v>1041.6072000000001</v>
      </c>
      <c r="D19" s="863">
        <f t="shared" ref="D19:F19" si="3">D17*D18</f>
        <v>999.8646</v>
      </c>
      <c r="E19" s="863">
        <f t="shared" si="3"/>
        <v>894.85500000000002</v>
      </c>
      <c r="F19" s="863">
        <f t="shared" si="3"/>
        <v>186.80831000000001</v>
      </c>
    </row>
    <row r="20" spans="2:9">
      <c r="B20" s="25" t="s">
        <v>113</v>
      </c>
    </row>
    <row r="21" spans="2:9" ht="15" customHeight="1">
      <c r="B21" s="808" t="s">
        <v>116</v>
      </c>
      <c r="C21" s="808"/>
      <c r="D21" s="808"/>
      <c r="E21" s="808"/>
      <c r="F21" s="808"/>
      <c r="G21" s="808"/>
      <c r="H21" s="808"/>
      <c r="I21" s="808"/>
    </row>
    <row r="22" spans="2:9">
      <c r="B22" s="809" t="s">
        <v>117</v>
      </c>
      <c r="C22" s="809"/>
      <c r="D22" s="809"/>
      <c r="E22" s="809"/>
      <c r="F22" s="809"/>
      <c r="G22" s="809"/>
      <c r="H22" s="809"/>
      <c r="I22" s="809"/>
    </row>
    <row r="23" spans="2:9" ht="30" customHeight="1">
      <c r="B23" s="809" t="s">
        <v>118</v>
      </c>
      <c r="C23" s="809"/>
      <c r="D23" s="809"/>
      <c r="E23" s="809"/>
      <c r="F23" s="809"/>
      <c r="G23" s="809"/>
      <c r="H23" s="809"/>
      <c r="I23" s="809"/>
    </row>
    <row r="24" spans="2:9" ht="31" customHeight="1">
      <c r="B24" s="809" t="s">
        <v>119</v>
      </c>
      <c r="C24" s="809"/>
      <c r="D24" s="809"/>
      <c r="E24" s="809"/>
      <c r="F24" s="809"/>
      <c r="G24" s="809"/>
      <c r="H24" s="809"/>
      <c r="I24" s="809"/>
    </row>
    <row r="25" spans="2:9" ht="31" customHeight="1">
      <c r="B25" s="810" t="s">
        <v>115</v>
      </c>
      <c r="C25" s="810"/>
      <c r="D25" s="810"/>
      <c r="E25" s="810"/>
      <c r="F25" s="810"/>
      <c r="G25" s="810"/>
      <c r="H25" s="810"/>
      <c r="I25" s="810"/>
    </row>
    <row r="26" spans="2:9" ht="29" customHeight="1">
      <c r="B26" s="809" t="s">
        <v>120</v>
      </c>
      <c r="C26" s="809"/>
      <c r="D26" s="809"/>
      <c r="E26" s="809"/>
      <c r="F26" s="809"/>
      <c r="G26" s="809"/>
      <c r="H26" s="809"/>
      <c r="I26" s="809"/>
    </row>
    <row r="28" spans="2:9">
      <c r="B28" s="44" t="s">
        <v>127</v>
      </c>
    </row>
    <row r="29" spans="2:9">
      <c r="B29" s="44" t="s">
        <v>128</v>
      </c>
    </row>
    <row r="30" spans="2:9">
      <c r="B30" s="44" t="s">
        <v>129</v>
      </c>
    </row>
  </sheetData>
  <mergeCells count="10">
    <mergeCell ref="H3:I3"/>
    <mergeCell ref="H13:I13"/>
    <mergeCell ref="B21:I21"/>
    <mergeCell ref="B26:I26"/>
    <mergeCell ref="B25:I25"/>
    <mergeCell ref="B24:I24"/>
    <mergeCell ref="B23:I23"/>
    <mergeCell ref="B22:I22"/>
    <mergeCell ref="B13:F13"/>
    <mergeCell ref="B3:F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0E628-6C8A-A040-A333-3495F8290430}">
  <sheetPr>
    <tabColor theme="4"/>
  </sheetPr>
  <dimension ref="B1:N13"/>
  <sheetViews>
    <sheetView showGridLines="0" zoomScaleNormal="100" workbookViewId="0"/>
  </sheetViews>
  <sheetFormatPr baseColWidth="10" defaultRowHeight="15"/>
  <cols>
    <col min="1" max="1" width="5" style="67" customWidth="1"/>
    <col min="2" max="7" width="10.83203125" style="67"/>
    <col min="8" max="9" width="10.83203125" style="67" customWidth="1"/>
    <col min="10" max="10" width="7.5" style="67" customWidth="1"/>
    <col min="11" max="11" width="10.83203125" style="67"/>
    <col min="12" max="12" width="16.6640625" style="91" bestFit="1" customWidth="1"/>
    <col min="13" max="13" width="34.83203125" style="91" customWidth="1"/>
    <col min="14" max="14" width="32" style="91" customWidth="1"/>
    <col min="15" max="16384" width="10.83203125" style="67"/>
  </cols>
  <sheetData>
    <row r="1" spans="2:14" ht="16" thickBot="1"/>
    <row r="2" spans="2:14" ht="16">
      <c r="B2" s="368" t="s">
        <v>10</v>
      </c>
      <c r="C2" s="369"/>
      <c r="D2" s="370"/>
      <c r="E2" s="370" t="s">
        <v>82</v>
      </c>
      <c r="F2" s="370" t="s">
        <v>81</v>
      </c>
      <c r="G2" s="371" t="s">
        <v>80</v>
      </c>
      <c r="H2" s="370" t="s">
        <v>125</v>
      </c>
      <c r="I2" s="371" t="s">
        <v>73</v>
      </c>
    </row>
    <row r="3" spans="2:14" ht="17" thickBot="1">
      <c r="B3" s="376"/>
      <c r="C3" s="377"/>
      <c r="D3" s="378"/>
      <c r="E3" s="379"/>
      <c r="F3" s="379"/>
      <c r="G3" s="380"/>
      <c r="H3" s="379"/>
      <c r="I3" s="790"/>
    </row>
    <row r="4" spans="2:14" ht="16">
      <c r="B4" s="382" t="s">
        <v>17</v>
      </c>
      <c r="C4" s="383"/>
      <c r="D4" s="384"/>
      <c r="E4" s="385"/>
      <c r="F4" s="385"/>
      <c r="G4" s="791"/>
      <c r="H4" s="385"/>
      <c r="I4" s="386"/>
      <c r="L4" s="67"/>
      <c r="M4" s="67"/>
      <c r="N4" s="67"/>
    </row>
    <row r="5" spans="2:14" ht="17">
      <c r="B5" s="392" t="s">
        <v>101</v>
      </c>
      <c r="C5" s="393"/>
      <c r="D5" s="394"/>
      <c r="E5" s="395"/>
      <c r="F5" s="395"/>
      <c r="G5" s="792"/>
      <c r="H5" s="395"/>
      <c r="I5" s="396"/>
      <c r="L5" s="801"/>
      <c r="M5" s="801" t="s">
        <v>75</v>
      </c>
      <c r="N5" s="801" t="s">
        <v>326</v>
      </c>
    </row>
    <row r="6" spans="2:14" ht="51">
      <c r="B6" s="416" t="s">
        <v>76</v>
      </c>
      <c r="C6" s="409"/>
      <c r="D6" s="410"/>
      <c r="E6" s="411">
        <f>6342</f>
        <v>6342</v>
      </c>
      <c r="F6" s="398">
        <f>6076</f>
        <v>6076</v>
      </c>
      <c r="G6" s="399">
        <f>5960</f>
        <v>5960</v>
      </c>
      <c r="H6" s="398">
        <v>1483</v>
      </c>
      <c r="I6" s="399">
        <f>H6+G6-1470</f>
        <v>5973</v>
      </c>
      <c r="L6" s="802" t="s">
        <v>427</v>
      </c>
      <c r="M6" s="802" t="s">
        <v>428</v>
      </c>
      <c r="N6" s="802" t="s">
        <v>429</v>
      </c>
    </row>
    <row r="7" spans="2:14" ht="34">
      <c r="B7" s="416" t="s">
        <v>77</v>
      </c>
      <c r="C7" s="409"/>
      <c r="D7" s="410"/>
      <c r="E7" s="411">
        <f>169</f>
        <v>169</v>
      </c>
      <c r="F7" s="411">
        <f>167</f>
        <v>167</v>
      </c>
      <c r="G7" s="793">
        <f>157</f>
        <v>157</v>
      </c>
      <c r="H7" s="411">
        <v>35</v>
      </c>
      <c r="I7" s="399">
        <f>H7+G7-39</f>
        <v>153</v>
      </c>
      <c r="L7" s="802" t="s">
        <v>430</v>
      </c>
      <c r="M7" s="802" t="s">
        <v>431</v>
      </c>
      <c r="N7" s="802" t="s">
        <v>432</v>
      </c>
    </row>
    <row r="8" spans="2:14" ht="34">
      <c r="B8" s="416" t="s">
        <v>78</v>
      </c>
      <c r="C8" s="409"/>
      <c r="D8" s="410"/>
      <c r="E8" s="398">
        <v>193</v>
      </c>
      <c r="F8" s="398">
        <v>182</v>
      </c>
      <c r="G8" s="399">
        <v>178</v>
      </c>
      <c r="H8" s="398">
        <v>41</v>
      </c>
      <c r="I8" s="399">
        <f>H8+G8-41</f>
        <v>178</v>
      </c>
      <c r="L8" s="802" t="s">
        <v>433</v>
      </c>
      <c r="M8" s="802" t="s">
        <v>434</v>
      </c>
      <c r="N8" s="802" t="s">
        <v>435</v>
      </c>
    </row>
    <row r="9" spans="2:14" ht="34">
      <c r="B9" s="416" t="s">
        <v>79</v>
      </c>
      <c r="C9" s="409"/>
      <c r="D9" s="410"/>
      <c r="E9" s="411">
        <v>136</v>
      </c>
      <c r="F9" s="398">
        <v>128</v>
      </c>
      <c r="G9" s="399">
        <v>122</v>
      </c>
      <c r="H9" s="398">
        <v>31</v>
      </c>
      <c r="I9" s="399">
        <f>H9+G9-31</f>
        <v>122</v>
      </c>
      <c r="L9" s="802" t="s">
        <v>436</v>
      </c>
      <c r="M9" s="802" t="s">
        <v>437</v>
      </c>
      <c r="N9" s="802" t="s">
        <v>438</v>
      </c>
    </row>
    <row r="10" spans="2:14">
      <c r="B10" s="665" t="s">
        <v>83</v>
      </c>
      <c r="G10" s="794"/>
      <c r="I10" s="794"/>
    </row>
    <row r="11" spans="2:14" ht="16">
      <c r="B11" s="416" t="s">
        <v>76</v>
      </c>
      <c r="E11" s="67">
        <v>524</v>
      </c>
      <c r="F11" s="67">
        <v>540</v>
      </c>
      <c r="G11" s="794">
        <v>526</v>
      </c>
      <c r="H11" s="398">
        <v>129</v>
      </c>
      <c r="I11" s="795">
        <f>H11+G11-132</f>
        <v>523</v>
      </c>
      <c r="J11" s="814"/>
    </row>
    <row r="12" spans="2:14" ht="17" thickBot="1">
      <c r="B12" s="416" t="s">
        <v>77</v>
      </c>
      <c r="E12" s="67">
        <v>1589</v>
      </c>
      <c r="F12" s="67">
        <v>1606</v>
      </c>
      <c r="G12" s="794">
        <v>1615</v>
      </c>
      <c r="H12" s="67">
        <v>372</v>
      </c>
      <c r="I12" s="794">
        <f>H12+G12-355</f>
        <v>1632</v>
      </c>
      <c r="J12" s="814"/>
    </row>
    <row r="13" spans="2:14" ht="16" thickBot="1">
      <c r="B13" s="796" t="s">
        <v>102</v>
      </c>
      <c r="C13" s="797"/>
      <c r="D13" s="797"/>
      <c r="E13" s="798">
        <f>SUM(E6:E12)</f>
        <v>8953</v>
      </c>
      <c r="F13" s="798">
        <f t="shared" ref="F13:I13" si="0">SUM(F6:F12)</f>
        <v>8699</v>
      </c>
      <c r="G13" s="799">
        <f t="shared" si="0"/>
        <v>8558</v>
      </c>
      <c r="H13" s="798">
        <f>SUM(H6:H12)</f>
        <v>2091</v>
      </c>
      <c r="I13" s="800">
        <f t="shared" si="0"/>
        <v>8581</v>
      </c>
    </row>
  </sheetData>
  <mergeCells count="1">
    <mergeCell ref="J11:J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0C509-55D1-4546-8899-FA656409BFFE}">
  <dimension ref="C14"/>
  <sheetViews>
    <sheetView showGridLines="0" workbookViewId="0">
      <selection activeCell="C15" sqref="C15"/>
    </sheetView>
  </sheetViews>
  <sheetFormatPr baseColWidth="10" defaultRowHeight="15"/>
  <sheetData>
    <row r="14" spans="3:3" ht="62">
      <c r="C14" s="90" t="s">
        <v>175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E2C7A-4198-6844-88A6-4A3DC9548627}">
  <sheetPr>
    <tabColor theme="4"/>
  </sheetPr>
  <dimension ref="A2:L9"/>
  <sheetViews>
    <sheetView showGridLines="0" zoomScaleNormal="100" workbookViewId="0">
      <selection activeCell="J26" sqref="J26:J27"/>
    </sheetView>
  </sheetViews>
  <sheetFormatPr baseColWidth="10" defaultRowHeight="15"/>
  <cols>
    <col min="1" max="1" width="3.1640625" style="67" customWidth="1"/>
    <col min="2" max="2" width="22.83203125" style="67" customWidth="1"/>
    <col min="3" max="3" width="9.33203125" style="67" customWidth="1"/>
    <col min="4" max="6" width="10.83203125" style="67"/>
    <col min="7" max="7" width="3.6640625" style="67" customWidth="1"/>
    <col min="8" max="10" width="10.83203125" style="67"/>
    <col min="11" max="11" width="3.5" style="67" customWidth="1"/>
    <col min="12" max="12" width="57.1640625" style="91" customWidth="1"/>
    <col min="13" max="16384" width="10.83203125" style="67"/>
  </cols>
  <sheetData>
    <row r="2" spans="1:12" ht="16">
      <c r="B2" s="93" t="s">
        <v>230</v>
      </c>
      <c r="C2" s="173" t="s">
        <v>125</v>
      </c>
      <c r="D2" s="94" t="s">
        <v>156</v>
      </c>
      <c r="E2" s="94" t="s">
        <v>157</v>
      </c>
      <c r="F2" s="94" t="s">
        <v>158</v>
      </c>
      <c r="H2" s="722" t="s">
        <v>14</v>
      </c>
      <c r="I2" s="722" t="s">
        <v>15</v>
      </c>
      <c r="J2" s="722" t="s">
        <v>130</v>
      </c>
      <c r="L2" s="96" t="s">
        <v>223</v>
      </c>
    </row>
    <row r="3" spans="1:12" ht="80">
      <c r="A3" s="130"/>
      <c r="B3" s="62" t="s">
        <v>194</v>
      </c>
      <c r="C3" s="174">
        <v>74</v>
      </c>
      <c r="D3" s="63">
        <f>($H$3-$C$3)/3</f>
        <v>108.5</v>
      </c>
      <c r="E3" s="63">
        <f>($H$3-$C$3)/3</f>
        <v>108.5</v>
      </c>
      <c r="F3" s="63">
        <f>($H$3-$C$3)/3</f>
        <v>108.5</v>
      </c>
      <c r="H3" s="63">
        <f>H6-H4-H5</f>
        <v>399.5</v>
      </c>
      <c r="I3" s="63">
        <f>H3</f>
        <v>399.5</v>
      </c>
      <c r="J3" s="63">
        <f>I3</f>
        <v>399.5</v>
      </c>
      <c r="L3" s="66" t="s">
        <v>231</v>
      </c>
    </row>
    <row r="4" spans="1:12" ht="64">
      <c r="A4" s="130"/>
      <c r="B4" s="62" t="s">
        <v>195</v>
      </c>
      <c r="C4" s="174">
        <v>29</v>
      </c>
      <c r="D4" s="63">
        <f>($H$4-$C$4)/3</f>
        <v>28.666666666666668</v>
      </c>
      <c r="E4" s="63">
        <f t="shared" ref="E4:F4" si="0">($H$4-$C$4)/3</f>
        <v>28.666666666666668</v>
      </c>
      <c r="F4" s="63">
        <f t="shared" si="0"/>
        <v>28.666666666666668</v>
      </c>
      <c r="H4" s="99">
        <v>115</v>
      </c>
      <c r="I4" s="99">
        <v>50</v>
      </c>
      <c r="J4" s="99">
        <v>0</v>
      </c>
      <c r="L4" s="66" t="s">
        <v>261</v>
      </c>
    </row>
    <row r="5" spans="1:12" ht="16">
      <c r="A5" s="130"/>
      <c r="B5" s="62" t="s">
        <v>196</v>
      </c>
      <c r="C5" s="174">
        <f>C6-SUM(C3:C4)</f>
        <v>2</v>
      </c>
      <c r="D5" s="63">
        <f>$C$5</f>
        <v>2</v>
      </c>
      <c r="E5" s="63">
        <f>$C$5</f>
        <v>2</v>
      </c>
      <c r="F5" s="63">
        <f>$C$5</f>
        <v>2</v>
      </c>
      <c r="H5" s="63">
        <f>C5+SUM(D5:F5)</f>
        <v>8</v>
      </c>
      <c r="I5" s="63">
        <f t="shared" ref="I5:J5" si="1">H5</f>
        <v>8</v>
      </c>
      <c r="J5" s="63">
        <f t="shared" si="1"/>
        <v>8</v>
      </c>
      <c r="L5" s="66" t="s">
        <v>263</v>
      </c>
    </row>
    <row r="6" spans="1:12" ht="16">
      <c r="A6" s="130"/>
      <c r="B6" s="119" t="s">
        <v>197</v>
      </c>
      <c r="C6" s="175">
        <v>105</v>
      </c>
      <c r="D6" s="131">
        <f>SUM(D3:D5)</f>
        <v>139.16666666666666</v>
      </c>
      <c r="E6" s="131">
        <f t="shared" ref="E6:F6" si="2">SUM(E3:E5)</f>
        <v>139.16666666666666</v>
      </c>
      <c r="F6" s="131">
        <f t="shared" si="2"/>
        <v>139.16666666666666</v>
      </c>
      <c r="G6" s="118"/>
      <c r="H6" s="172">
        <f>AVERAGE(400,415)+H4</f>
        <v>522.5</v>
      </c>
      <c r="I6" s="172">
        <f t="shared" ref="I6:J6" si="3">AVERAGE(400,415)+I4</f>
        <v>457.5</v>
      </c>
      <c r="J6" s="172">
        <f t="shared" si="3"/>
        <v>407.5</v>
      </c>
    </row>
    <row r="7" spans="1:12">
      <c r="H7" s="17"/>
    </row>
    <row r="8" spans="1:12">
      <c r="F8" s="146">
        <f>SUM(C6+SUM(D6:F6))</f>
        <v>522.5</v>
      </c>
    </row>
    <row r="9" spans="1:12">
      <c r="E9" s="146"/>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28DBE-0E4E-F54C-B0AF-E59AFCF0F86F}">
  <sheetPr>
    <tabColor theme="4"/>
  </sheetPr>
  <dimension ref="B2:M44"/>
  <sheetViews>
    <sheetView showGridLines="0" topLeftCell="A13" zoomScaleNormal="100" workbookViewId="0">
      <selection activeCell="I23" sqref="I23"/>
    </sheetView>
  </sheetViews>
  <sheetFormatPr baseColWidth="10" defaultRowHeight="15"/>
  <cols>
    <col min="1" max="1" width="4.6640625" customWidth="1"/>
    <col min="2" max="2" width="48.6640625" bestFit="1" customWidth="1"/>
    <col min="4" max="4" width="11.1640625" customWidth="1"/>
    <col min="5" max="5" width="9.83203125" customWidth="1"/>
    <col min="6" max="6" width="11" bestFit="1" customWidth="1"/>
    <col min="7" max="7" width="10.1640625" bestFit="1" customWidth="1"/>
    <col min="8" max="8" width="3.1640625" customWidth="1"/>
    <col min="9" max="9" width="8.33203125" customWidth="1"/>
    <col min="10" max="10" width="10" customWidth="1"/>
    <col min="12" max="12" width="5" customWidth="1"/>
  </cols>
  <sheetData>
    <row r="2" spans="2:13">
      <c r="B2" s="1011" t="s">
        <v>321</v>
      </c>
      <c r="C2" s="1012"/>
      <c r="D2" s="1012"/>
      <c r="E2" s="1012"/>
      <c r="F2" s="1012"/>
      <c r="G2" s="1012"/>
      <c r="I2" s="1021"/>
      <c r="J2" s="1021"/>
      <c r="K2" s="1021"/>
    </row>
    <row r="3" spans="2:13">
      <c r="B3" s="93" t="s">
        <v>198</v>
      </c>
      <c r="C3" s="94" t="s">
        <v>125</v>
      </c>
      <c r="D3" s="94" t="s">
        <v>313</v>
      </c>
      <c r="E3" s="49" t="s">
        <v>160</v>
      </c>
      <c r="F3" s="49" t="s">
        <v>161</v>
      </c>
      <c r="G3" s="49" t="s">
        <v>162</v>
      </c>
      <c r="I3" s="129" t="s">
        <v>208</v>
      </c>
      <c r="J3" s="129" t="s">
        <v>207</v>
      </c>
      <c r="K3" s="49" t="s">
        <v>206</v>
      </c>
    </row>
    <row r="4" spans="2:13">
      <c r="B4" s="293" t="s">
        <v>310</v>
      </c>
      <c r="C4" s="116">
        <f>'Revenue split'!H12</f>
        <v>372</v>
      </c>
      <c r="D4" s="291">
        <v>355</v>
      </c>
      <c r="E4" s="77">
        <v>394</v>
      </c>
      <c r="F4" s="77">
        <v>416</v>
      </c>
      <c r="G4" s="77">
        <f>'Revenue split'!G12-SUM(D4:F4)</f>
        <v>450</v>
      </c>
      <c r="I4" s="27">
        <f>'Revenue split'!E12</f>
        <v>1589</v>
      </c>
      <c r="J4" s="27">
        <f>'Revenue split'!F12</f>
        <v>1606</v>
      </c>
      <c r="K4" s="27">
        <f>'Revenue split'!G12</f>
        <v>1615</v>
      </c>
    </row>
    <row r="5" spans="2:13">
      <c r="B5" s="293" t="s">
        <v>311</v>
      </c>
      <c r="C5" s="289">
        <f>KPIs!F17*KPIs!F18</f>
        <v>186.80831000000001</v>
      </c>
      <c r="D5" s="292">
        <f>2.352*87.23</f>
        <v>205.16496000000001</v>
      </c>
      <c r="E5" s="295">
        <f>2.58*85.97</f>
        <v>221.80260000000001</v>
      </c>
      <c r="F5" s="295">
        <f>2.494*91.24</f>
        <v>227.55256</v>
      </c>
      <c r="G5" s="295">
        <f>(KPIs!E17*KPIs!E18)-SUM(D5:F5)</f>
        <v>240.33488</v>
      </c>
      <c r="I5" s="27">
        <f>KPIs!C17*KPIs!C18</f>
        <v>1041.6072000000001</v>
      </c>
      <c r="J5" s="27">
        <f>KPIs!D17*KPIs!D18</f>
        <v>999.8646</v>
      </c>
      <c r="K5" s="27">
        <f>KPIs!E17*KPIs!E18</f>
        <v>894.85500000000002</v>
      </c>
    </row>
    <row r="6" spans="2:13">
      <c r="B6" s="19" t="s">
        <v>312</v>
      </c>
      <c r="C6" s="290">
        <f>C4-C5</f>
        <v>185.19168999999999</v>
      </c>
      <c r="D6" s="176">
        <f>D4-D5</f>
        <v>149.83503999999999</v>
      </c>
      <c r="E6" s="176">
        <f t="shared" ref="E6:G6" si="0">E4-E5</f>
        <v>172.19739999999999</v>
      </c>
      <c r="F6" s="176">
        <f t="shared" si="0"/>
        <v>188.44744</v>
      </c>
      <c r="G6" s="176">
        <f t="shared" si="0"/>
        <v>209.66512</v>
      </c>
      <c r="I6" s="76">
        <f>I4-I5</f>
        <v>547.39279999999985</v>
      </c>
      <c r="J6" s="76">
        <f>J4-J5</f>
        <v>606.1354</v>
      </c>
      <c r="K6" s="76">
        <f>K4-K5</f>
        <v>720.14499999999998</v>
      </c>
    </row>
    <row r="7" spans="2:13">
      <c r="B7" s="67"/>
      <c r="C7" s="115"/>
      <c r="D7" s="67"/>
      <c r="E7" s="67"/>
      <c r="F7" s="67"/>
      <c r="G7" s="67"/>
      <c r="H7" s="67"/>
      <c r="I7" s="67"/>
      <c r="J7" s="67"/>
    </row>
    <row r="8" spans="2:13">
      <c r="B8" s="93" t="s">
        <v>314</v>
      </c>
      <c r="C8" s="294">
        <f>C6/D6-1</f>
        <v>0.23597050462962477</v>
      </c>
      <c r="D8" s="67"/>
      <c r="I8" s="19" t="s">
        <v>199</v>
      </c>
      <c r="J8" s="60">
        <f>J6/I6-1</f>
        <v>0.10731343196329979</v>
      </c>
      <c r="K8" s="60">
        <f>K6/J6-1</f>
        <v>0.18809262748884148</v>
      </c>
      <c r="M8" s="22">
        <f>AVERAGE(J8:K8)</f>
        <v>0.14770302972607063</v>
      </c>
    </row>
    <row r="9" spans="2:13">
      <c r="B9" s="67"/>
      <c r="C9" s="115"/>
      <c r="D9" s="67"/>
      <c r="I9" s="19" t="s">
        <v>315</v>
      </c>
      <c r="J9" s="132">
        <f>(K6/I6)^(1/2)-1</f>
        <v>0.1469921206507756</v>
      </c>
      <c r="K9" s="132" t="s">
        <v>316</v>
      </c>
    </row>
    <row r="10" spans="2:13" ht="16" thickBot="1">
      <c r="B10" s="67"/>
      <c r="C10" s="115"/>
      <c r="D10" s="67"/>
    </row>
    <row r="11" spans="2:13" ht="17" thickTop="1" thickBot="1">
      <c r="B11" s="1008" t="s">
        <v>317</v>
      </c>
      <c r="C11" s="1009"/>
      <c r="D11" s="1009"/>
      <c r="E11" s="1009"/>
      <c r="F11" s="1009"/>
      <c r="G11" s="1010"/>
      <c r="I11" s="1021"/>
      <c r="J11" s="1022"/>
      <c r="K11" s="1021"/>
    </row>
    <row r="12" spans="2:13" ht="16" thickTop="1">
      <c r="B12" s="1006" t="s">
        <v>319</v>
      </c>
      <c r="C12" s="1007" t="s">
        <v>125</v>
      </c>
      <c r="D12" s="1007" t="s">
        <v>193</v>
      </c>
      <c r="E12" s="1007" t="s">
        <v>160</v>
      </c>
      <c r="F12" s="1007" t="s">
        <v>161</v>
      </c>
      <c r="G12" s="1007" t="s">
        <v>162</v>
      </c>
      <c r="H12" s="67"/>
      <c r="I12" s="313" t="s">
        <v>206</v>
      </c>
      <c r="J12" s="313" t="s">
        <v>14</v>
      </c>
    </row>
    <row r="13" spans="2:13">
      <c r="B13" s="119" t="s">
        <v>322</v>
      </c>
      <c r="C13" s="116">
        <f>'Revenue split'!H7</f>
        <v>35</v>
      </c>
      <c r="D13" s="116">
        <v>39</v>
      </c>
      <c r="E13" s="310">
        <v>38</v>
      </c>
      <c r="F13" s="116">
        <v>39</v>
      </c>
      <c r="G13" s="62">
        <v>41</v>
      </c>
      <c r="I13" s="67">
        <f>SUM(D13:G13)</f>
        <v>157</v>
      </c>
      <c r="J13">
        <f>I13+(1*'Base Case Assumptions'!J26)</f>
        <v>157</v>
      </c>
    </row>
    <row r="14" spans="2:13">
      <c r="B14" s="287" t="s">
        <v>320</v>
      </c>
      <c r="C14" s="116"/>
      <c r="D14" s="311">
        <f>D13/$I$13</f>
        <v>0.24840764331210191</v>
      </c>
      <c r="E14" s="311">
        <f>E13/$I$13</f>
        <v>0.24203821656050956</v>
      </c>
      <c r="F14" s="311">
        <f>F13/$I$13</f>
        <v>0.24840764331210191</v>
      </c>
      <c r="G14" s="311">
        <f>G13/$I$13</f>
        <v>0.26114649681528662</v>
      </c>
      <c r="H14" s="67"/>
    </row>
    <row r="15" spans="2:13">
      <c r="B15" s="115"/>
      <c r="C15" s="115"/>
      <c r="D15" s="308"/>
      <c r="E15" s="308"/>
      <c r="F15" s="308"/>
      <c r="G15" s="308"/>
      <c r="I15" s="67"/>
    </row>
    <row r="16" spans="2:13">
      <c r="B16" s="71" t="s">
        <v>323</v>
      </c>
      <c r="C16" s="116" t="s">
        <v>104</v>
      </c>
      <c r="D16" s="815">
        <f>J13-C13</f>
        <v>122</v>
      </c>
      <c r="E16" s="815"/>
      <c r="F16" s="815"/>
      <c r="G16" s="815"/>
      <c r="H16" s="67"/>
    </row>
    <row r="17" spans="2:10">
      <c r="B17" s="1013"/>
      <c r="C17" s="861"/>
      <c r="D17" s="1014"/>
      <c r="E17" s="1014"/>
      <c r="F17" s="1014"/>
      <c r="G17" s="1014"/>
      <c r="H17" s="67"/>
    </row>
    <row r="19" spans="2:10" ht="16">
      <c r="B19" s="1015" t="s">
        <v>326</v>
      </c>
      <c r="C19" s="816" t="s">
        <v>104</v>
      </c>
      <c r="D19" s="1017" t="s">
        <v>313</v>
      </c>
      <c r="E19" s="1018" t="s">
        <v>160</v>
      </c>
      <c r="F19" s="1018" t="s">
        <v>161</v>
      </c>
      <c r="G19" s="1018" t="s">
        <v>162</v>
      </c>
    </row>
    <row r="20" spans="2:10">
      <c r="B20" s="18" t="s">
        <v>167</v>
      </c>
      <c r="C20" s="817"/>
      <c r="D20" s="27">
        <v>42357</v>
      </c>
      <c r="E20" s="27">
        <v>42684</v>
      </c>
      <c r="F20" s="27">
        <v>41562</v>
      </c>
      <c r="G20" s="27">
        <v>41112</v>
      </c>
    </row>
    <row r="21" spans="2:10">
      <c r="B21" s="293" t="s">
        <v>324</v>
      </c>
      <c r="C21" s="817"/>
      <c r="D21" s="18"/>
      <c r="E21" s="61">
        <f>E20/D20-1</f>
        <v>7.720093491040414E-3</v>
      </c>
      <c r="F21" s="61">
        <f>F20/E20-1</f>
        <v>-2.628619623278039E-2</v>
      </c>
      <c r="G21" s="61">
        <f t="shared" ref="G21" si="1">G20/F20-1</f>
        <v>-1.0827197921178033E-2</v>
      </c>
    </row>
    <row r="22" spans="2:10">
      <c r="B22" s="18" t="s">
        <v>164</v>
      </c>
      <c r="C22" s="817"/>
      <c r="D22" s="21">
        <v>5705</v>
      </c>
      <c r="E22" s="21">
        <v>5706</v>
      </c>
      <c r="F22" s="21">
        <v>5691</v>
      </c>
      <c r="G22" s="21">
        <v>5630</v>
      </c>
    </row>
    <row r="23" spans="2:10">
      <c r="B23" s="293" t="s">
        <v>324</v>
      </c>
      <c r="C23" s="817"/>
      <c r="D23" s="18"/>
      <c r="E23" s="61">
        <f>E22/D22-1</f>
        <v>1.7528483786155569E-4</v>
      </c>
      <c r="F23" s="61">
        <f>F22/E22-1</f>
        <v>-2.628811777076745E-3</v>
      </c>
      <c r="G23" s="61">
        <f t="shared" ref="G23" si="2">G22/F22-1</f>
        <v>-1.071867861535758E-2</v>
      </c>
    </row>
    <row r="24" spans="2:10">
      <c r="B24" s="18" t="s">
        <v>327</v>
      </c>
      <c r="C24" s="817"/>
      <c r="D24" s="18">
        <v>2.35</v>
      </c>
      <c r="E24" s="18">
        <v>2.58</v>
      </c>
      <c r="F24" s="18">
        <v>2.4900000000000002</v>
      </c>
      <c r="G24" s="18">
        <f>I24-SUM(D24:F24)</f>
        <v>2.33</v>
      </c>
      <c r="I24">
        <v>9.75</v>
      </c>
    </row>
    <row r="25" spans="2:10">
      <c r="B25" s="293" t="s">
        <v>324</v>
      </c>
      <c r="C25" s="817"/>
      <c r="D25" s="18"/>
      <c r="E25" s="60">
        <f>E24/D24-1</f>
        <v>9.7872340425531945E-2</v>
      </c>
      <c r="F25" s="60">
        <f t="shared" ref="F25:G25" si="3">F24/E24-1</f>
        <v>-3.4883720930232509E-2</v>
      </c>
      <c r="G25" s="60">
        <f t="shared" si="3"/>
        <v>-6.4257028112449821E-2</v>
      </c>
    </row>
    <row r="26" spans="2:10">
      <c r="B26" s="18" t="s">
        <v>328</v>
      </c>
      <c r="C26" s="817"/>
      <c r="D26" s="18">
        <v>87.23</v>
      </c>
      <c r="E26" s="18">
        <v>85.97</v>
      </c>
      <c r="F26" s="18">
        <v>91.24</v>
      </c>
      <c r="G26" s="27">
        <f>((I24*I26)-(SUM(D24:F24)*88.14))/(I24-SUM(D24:F24))</f>
        <v>103.37175965665239</v>
      </c>
      <c r="I26">
        <v>91.78</v>
      </c>
    </row>
    <row r="27" spans="2:10">
      <c r="B27" s="293" t="s">
        <v>324</v>
      </c>
      <c r="C27" s="818"/>
      <c r="D27" s="18"/>
      <c r="E27" s="60">
        <f>E26/D26-1</f>
        <v>-1.4444571821621066E-2</v>
      </c>
      <c r="F27" s="60">
        <f t="shared" ref="F27" si="4">F26/E26-1</f>
        <v>6.1300453646620845E-2</v>
      </c>
      <c r="G27" s="60">
        <f t="shared" ref="G27" si="5">G26/F26-1</f>
        <v>0.13296536230438827</v>
      </c>
    </row>
    <row r="28" spans="2:10">
      <c r="B28" s="315"/>
      <c r="E28" s="316"/>
      <c r="F28" s="316"/>
      <c r="G28" s="316"/>
    </row>
    <row r="29" spans="2:10">
      <c r="B29" s="1019" t="s">
        <v>329</v>
      </c>
      <c r="C29" s="1017" t="s">
        <v>125</v>
      </c>
      <c r="D29" s="1017" t="s">
        <v>313</v>
      </c>
      <c r="E29" s="1018" t="s">
        <v>160</v>
      </c>
      <c r="F29" s="1018" t="s">
        <v>161</v>
      </c>
      <c r="G29" s="1018" t="s">
        <v>162</v>
      </c>
      <c r="I29" s="313" t="s">
        <v>206</v>
      </c>
      <c r="J29" s="313" t="s">
        <v>14</v>
      </c>
    </row>
    <row r="30" spans="2:10" ht="16">
      <c r="B30" s="66" t="s">
        <v>78</v>
      </c>
      <c r="C30" s="18">
        <f>'Revenue split'!H8</f>
        <v>41</v>
      </c>
      <c r="D30" s="18">
        <v>41</v>
      </c>
      <c r="E30" s="18">
        <v>46</v>
      </c>
      <c r="F30" s="18">
        <v>43</v>
      </c>
      <c r="G30" s="18">
        <f>I30-SUM(D30:F30)</f>
        <v>48</v>
      </c>
      <c r="I30">
        <v>178</v>
      </c>
    </row>
    <row r="31" spans="2:10">
      <c r="B31" s="287" t="s">
        <v>320</v>
      </c>
      <c r="C31" s="18"/>
      <c r="D31" s="18"/>
      <c r="E31" s="317">
        <f>E30/$I$30</f>
        <v>0.25842696629213485</v>
      </c>
      <c r="F31" s="317">
        <f t="shared" ref="F31:G31" si="6">F30/$I$30</f>
        <v>0.24157303370786518</v>
      </c>
      <c r="G31" s="317">
        <f t="shared" si="6"/>
        <v>0.2696629213483146</v>
      </c>
    </row>
    <row r="32" spans="2:10">
      <c r="B32" s="18" t="s">
        <v>79</v>
      </c>
      <c r="C32" s="18">
        <f>'Revenue split'!H9</f>
        <v>31</v>
      </c>
      <c r="D32" s="18">
        <v>31</v>
      </c>
      <c r="E32" s="18">
        <v>31</v>
      </c>
      <c r="F32" s="18">
        <v>32</v>
      </c>
      <c r="G32" s="18">
        <f>I32-SUM(D32:F32)</f>
        <v>28</v>
      </c>
      <c r="I32">
        <v>122</v>
      </c>
    </row>
    <row r="33" spans="2:7">
      <c r="B33" s="287" t="s">
        <v>320</v>
      </c>
      <c r="C33" s="18"/>
      <c r="D33" s="18"/>
      <c r="E33" s="317">
        <f>E32/$I$32</f>
        <v>0.25409836065573771</v>
      </c>
      <c r="F33" s="317">
        <f t="shared" ref="F33:G33" si="7">F32/$I$32</f>
        <v>0.26229508196721313</v>
      </c>
      <c r="G33" s="317">
        <f t="shared" si="7"/>
        <v>0.22950819672131148</v>
      </c>
    </row>
    <row r="36" spans="2:7">
      <c r="B36" s="1020" t="s">
        <v>198</v>
      </c>
      <c r="C36" s="1016" t="s">
        <v>163</v>
      </c>
    </row>
    <row r="37" spans="2:7">
      <c r="B37" s="47" t="s">
        <v>19</v>
      </c>
      <c r="C37" s="862">
        <v>2091</v>
      </c>
    </row>
    <row r="38" spans="2:7">
      <c r="B38" s="47" t="s">
        <v>342</v>
      </c>
      <c r="C38" s="49">
        <v>986</v>
      </c>
    </row>
    <row r="39" spans="2:7" ht="16">
      <c r="B39" s="18" t="s">
        <v>333</v>
      </c>
      <c r="C39" s="106">
        <v>100</v>
      </c>
      <c r="E39" s="50">
        <f>C39/$C$43</f>
        <v>0.20920502092050208</v>
      </c>
    </row>
    <row r="40" spans="2:7" ht="16">
      <c r="B40" s="18" t="s">
        <v>334</v>
      </c>
      <c r="C40" s="106">
        <v>187</v>
      </c>
      <c r="E40" s="50">
        <f t="shared" ref="E40:E42" si="8">C40/$C$43</f>
        <v>0.39121338912133891</v>
      </c>
    </row>
    <row r="41" spans="2:7" ht="16">
      <c r="B41" s="18" t="s">
        <v>335</v>
      </c>
      <c r="C41" s="106">
        <v>69</v>
      </c>
      <c r="E41" s="50">
        <f t="shared" si="8"/>
        <v>0.14435146443514643</v>
      </c>
    </row>
    <row r="42" spans="2:7" ht="16">
      <c r="B42" s="18" t="s">
        <v>336</v>
      </c>
      <c r="C42" s="106">
        <v>122</v>
      </c>
      <c r="E42" s="50">
        <f t="shared" si="8"/>
        <v>0.25523012552301255</v>
      </c>
    </row>
    <row r="43" spans="2:7">
      <c r="C43">
        <f>SUM(C39:C42)</f>
        <v>478</v>
      </c>
    </row>
    <row r="44" spans="2:7">
      <c r="C44" s="41"/>
    </row>
  </sheetData>
  <mergeCells count="3">
    <mergeCell ref="D16:G16"/>
    <mergeCell ref="C19:C27"/>
    <mergeCell ref="B11:G1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E7CC8-9DE1-AF40-8C2B-016A80F55C9C}">
  <sheetPr>
    <tabColor theme="7"/>
  </sheetPr>
  <dimension ref="A1"/>
  <sheetViews>
    <sheetView workbookViewId="0"/>
  </sheetViews>
  <sheetFormatPr baseColWidth="10" defaultRowHeight="1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41E52-407F-974B-B3C6-5BC1D6C51527}">
  <sheetPr>
    <tabColor theme="7"/>
  </sheetPr>
  <dimension ref="B2:T54"/>
  <sheetViews>
    <sheetView showGridLines="0" zoomScaleNormal="100" workbookViewId="0">
      <selection activeCell="K45" sqref="K45"/>
    </sheetView>
  </sheetViews>
  <sheetFormatPr baseColWidth="10" defaultRowHeight="15"/>
  <cols>
    <col min="1" max="1" width="4" style="67" customWidth="1"/>
    <col min="2" max="2" width="37" style="91" bestFit="1" customWidth="1"/>
    <col min="3" max="3" width="12.1640625" style="91" bestFit="1" customWidth="1"/>
    <col min="4" max="4" width="12.33203125" style="91" bestFit="1" customWidth="1"/>
    <col min="5" max="5" width="8.83203125" style="91" bestFit="1" customWidth="1"/>
    <col min="6" max="6" width="9.1640625" style="91" bestFit="1" customWidth="1"/>
    <col min="7" max="9" width="12.33203125" style="67" bestFit="1" customWidth="1"/>
    <col min="10" max="11" width="12.1640625" style="67" bestFit="1" customWidth="1"/>
    <col min="12" max="12" width="11.6640625" style="67" bestFit="1" customWidth="1"/>
    <col min="13" max="13" width="122.1640625" style="91" customWidth="1"/>
    <col min="14" max="14" width="10.83203125" style="67"/>
    <col min="15" max="15" width="17.83203125" style="115" customWidth="1"/>
    <col min="16" max="19" width="7.6640625" style="115" bestFit="1" customWidth="1"/>
    <col min="20" max="20" width="7.83203125" style="67" bestFit="1" customWidth="1"/>
    <col min="21" max="16384" width="10.83203125" style="67"/>
  </cols>
  <sheetData>
    <row r="2" spans="2:20" ht="16">
      <c r="B2" s="102" t="s">
        <v>7</v>
      </c>
      <c r="C2" s="819" t="s">
        <v>297</v>
      </c>
      <c r="D2" s="819"/>
      <c r="E2" s="819"/>
      <c r="F2" s="819" t="s">
        <v>298</v>
      </c>
      <c r="G2" s="819"/>
      <c r="H2" s="819"/>
      <c r="I2" s="819"/>
      <c r="J2" s="820" t="s">
        <v>297</v>
      </c>
      <c r="K2" s="820"/>
      <c r="L2" s="820"/>
    </row>
    <row r="3" spans="2:20" ht="16">
      <c r="B3" s="96" t="s">
        <v>137</v>
      </c>
      <c r="C3" s="307" t="s">
        <v>208</v>
      </c>
      <c r="D3" s="307" t="s">
        <v>207</v>
      </c>
      <c r="E3" s="307" t="s">
        <v>206</v>
      </c>
      <c r="F3" s="307" t="s">
        <v>163</v>
      </c>
      <c r="G3" s="94" t="s">
        <v>156</v>
      </c>
      <c r="H3" s="94" t="s">
        <v>157</v>
      </c>
      <c r="I3" s="94" t="s">
        <v>158</v>
      </c>
      <c r="J3" s="722" t="s">
        <v>14</v>
      </c>
      <c r="K3" s="722" t="s">
        <v>15</v>
      </c>
      <c r="L3" s="722" t="s">
        <v>130</v>
      </c>
      <c r="M3" s="96" t="s">
        <v>136</v>
      </c>
      <c r="O3" s="94" t="s">
        <v>346</v>
      </c>
      <c r="P3" s="94" t="s">
        <v>125</v>
      </c>
      <c r="Q3" s="94" t="s">
        <v>193</v>
      </c>
      <c r="R3" s="94" t="s">
        <v>160</v>
      </c>
      <c r="S3" s="94" t="s">
        <v>161</v>
      </c>
      <c r="T3" s="93" t="s">
        <v>162</v>
      </c>
    </row>
    <row r="4" spans="2:20" ht="16">
      <c r="B4" s="78" t="s">
        <v>151</v>
      </c>
      <c r="C4" s="189"/>
      <c r="D4" s="194">
        <f>D5/C5-1</f>
        <v>-9.2667960678730621E-3</v>
      </c>
      <c r="E4" s="194">
        <f t="shared" ref="E4:F4" si="0">E5/D5-1</f>
        <v>-9.5114706439992647E-3</v>
      </c>
      <c r="F4" s="194">
        <f t="shared" si="0"/>
        <v>-3.5412346466741074E-3</v>
      </c>
      <c r="G4" s="97">
        <f>R5</f>
        <v>-68</v>
      </c>
      <c r="H4" s="97">
        <f t="shared" ref="H4:I4" si="1">S5</f>
        <v>-40</v>
      </c>
      <c r="I4" s="97">
        <f t="shared" si="1"/>
        <v>110</v>
      </c>
      <c r="J4" s="192">
        <f>J5-E5</f>
        <v>-109</v>
      </c>
      <c r="K4" s="192">
        <f>J4</f>
        <v>-109</v>
      </c>
      <c r="L4" s="192">
        <f>K4</f>
        <v>-109</v>
      </c>
      <c r="M4" s="821" t="s">
        <v>301</v>
      </c>
      <c r="O4" s="158" t="s">
        <v>348</v>
      </c>
      <c r="P4" s="310">
        <v>31234</v>
      </c>
      <c r="Q4" s="21">
        <v>31343</v>
      </c>
      <c r="R4" s="21">
        <v>31275</v>
      </c>
      <c r="S4" s="21">
        <v>31235</v>
      </c>
      <c r="T4" s="21">
        <v>31345</v>
      </c>
    </row>
    <row r="5" spans="2:20" ht="16">
      <c r="B5" s="66" t="s">
        <v>150</v>
      </c>
      <c r="C5" s="191">
        <f>KPIs!C4</f>
        <v>31942</v>
      </c>
      <c r="D5" s="191">
        <f>KPIs!D4</f>
        <v>31646</v>
      </c>
      <c r="E5" s="191">
        <f>KPIs!E4</f>
        <v>31345</v>
      </c>
      <c r="F5" s="191">
        <f>KPIs!F4</f>
        <v>31234</v>
      </c>
      <c r="G5" s="63">
        <f>KPIs!F4+'Base Case Assumptions'!G4</f>
        <v>31166</v>
      </c>
      <c r="H5" s="63">
        <f>G5+H4</f>
        <v>31126</v>
      </c>
      <c r="I5" s="63">
        <f>H5+I4</f>
        <v>31236</v>
      </c>
      <c r="J5" s="63">
        <f>I5</f>
        <v>31236</v>
      </c>
      <c r="K5" s="98">
        <f>J5+K4</f>
        <v>31127</v>
      </c>
      <c r="L5" s="98">
        <f>K5+L4</f>
        <v>31018</v>
      </c>
      <c r="M5" s="822"/>
      <c r="O5" s="116" t="s">
        <v>349</v>
      </c>
      <c r="P5" s="116"/>
      <c r="Q5" s="116"/>
      <c r="R5" s="310">
        <f>R4-Q4</f>
        <v>-68</v>
      </c>
      <c r="S5" s="310">
        <f t="shared" ref="S5:T5" si="2">S4-R4</f>
        <v>-40</v>
      </c>
      <c r="T5" s="310">
        <f t="shared" si="2"/>
        <v>110</v>
      </c>
    </row>
    <row r="6" spans="2:20" ht="16">
      <c r="B6" s="78" t="s">
        <v>153</v>
      </c>
      <c r="C6" s="189"/>
      <c r="D6" s="190">
        <f>D7-C7</f>
        <v>-353</v>
      </c>
      <c r="E6" s="190">
        <f t="shared" ref="E6:F6" si="3">E7-D7</f>
        <v>2</v>
      </c>
      <c r="F6" s="190">
        <f t="shared" si="3"/>
        <v>-37</v>
      </c>
      <c r="G6" s="99">
        <v>2</v>
      </c>
      <c r="H6" s="99">
        <v>51</v>
      </c>
      <c r="I6" s="99">
        <v>8</v>
      </c>
      <c r="J6" s="192">
        <f>J7-E7</f>
        <v>24</v>
      </c>
      <c r="K6" s="192">
        <f>K7-F7</f>
        <v>61</v>
      </c>
      <c r="L6" s="192">
        <f>L7-G7</f>
        <v>59</v>
      </c>
      <c r="M6" s="822"/>
    </row>
    <row r="7" spans="2:20" ht="18" customHeight="1">
      <c r="B7" s="66" t="s">
        <v>152</v>
      </c>
      <c r="C7" s="191">
        <f>KPIs!C5</f>
        <v>1933</v>
      </c>
      <c r="D7" s="191">
        <f>KPIs!D5</f>
        <v>1580</v>
      </c>
      <c r="E7" s="191">
        <f>KPIs!E5</f>
        <v>1582</v>
      </c>
      <c r="F7" s="191">
        <f>KPIs!F5</f>
        <v>1545</v>
      </c>
      <c r="G7" s="63">
        <f>F7+G6</f>
        <v>1547</v>
      </c>
      <c r="H7" s="63">
        <f>G7+H6</f>
        <v>1598</v>
      </c>
      <c r="I7" s="63">
        <f>H7+I6</f>
        <v>1606</v>
      </c>
      <c r="J7" s="64">
        <f>I7</f>
        <v>1606</v>
      </c>
      <c r="K7" s="98">
        <f>J7</f>
        <v>1606</v>
      </c>
      <c r="L7" s="98">
        <f>K7</f>
        <v>1606</v>
      </c>
      <c r="M7" s="823"/>
    </row>
    <row r="8" spans="2:20" ht="32">
      <c r="B8" s="66" t="s">
        <v>154</v>
      </c>
      <c r="C8" s="191">
        <f>KPIs!C8</f>
        <v>33993</v>
      </c>
      <c r="D8" s="191">
        <f>KPIs!D8</f>
        <v>33292</v>
      </c>
      <c r="E8" s="191">
        <f>KPIs!E8</f>
        <v>32797</v>
      </c>
      <c r="F8" s="191">
        <f>KPIs!F8</f>
        <v>32799</v>
      </c>
      <c r="G8" s="63">
        <f>(F8+'Base Case Assumptions'!G5+'Base Case Assumptions'!G7)/2</f>
        <v>32756</v>
      </c>
      <c r="H8" s="63">
        <f>(G5+G7+H5+H7)/2</f>
        <v>32718.5</v>
      </c>
      <c r="I8" s="63">
        <f>(H5+H7+I5+I7)/2</f>
        <v>32783</v>
      </c>
      <c r="J8" s="64">
        <f>(F8*90+G8*91+H8*92+I8*92)/365</f>
        <v>32763.956164383562</v>
      </c>
      <c r="K8" s="65">
        <f>(J5+J7+K5+K7)/2</f>
        <v>32787.5</v>
      </c>
      <c r="L8" s="65">
        <f>(K5+K7+L5+L7)/2</f>
        <v>32678.5</v>
      </c>
      <c r="M8" s="66" t="s">
        <v>177</v>
      </c>
      <c r="O8" s="322" t="s">
        <v>347</v>
      </c>
      <c r="P8" s="94" t="s">
        <v>125</v>
      </c>
      <c r="Q8" s="94" t="s">
        <v>193</v>
      </c>
      <c r="R8" s="94" t="s">
        <v>160</v>
      </c>
      <c r="S8" s="93" t="s">
        <v>161</v>
      </c>
      <c r="T8" s="93" t="s">
        <v>162</v>
      </c>
    </row>
    <row r="9" spans="2:20" ht="128" hidden="1">
      <c r="B9" s="66" t="s">
        <v>141</v>
      </c>
      <c r="C9" s="117"/>
      <c r="D9" s="117"/>
      <c r="E9" s="117"/>
      <c r="F9" s="117"/>
      <c r="G9" s="68">
        <v>1.4999999999999999E-2</v>
      </c>
      <c r="H9" s="68">
        <v>1.6E-2</v>
      </c>
      <c r="I9" s="68">
        <v>1.4E-2</v>
      </c>
      <c r="J9" s="69">
        <f>AVERAGE(KPIs!F9,'Base Case Assumptions'!G9:I9)</f>
        <v>1.4999999999999999E-2</v>
      </c>
      <c r="K9" s="69">
        <f>J9</f>
        <v>1.4999999999999999E-2</v>
      </c>
      <c r="L9" s="69">
        <f>K9</f>
        <v>1.4999999999999999E-2</v>
      </c>
      <c r="M9" s="66" t="s">
        <v>155</v>
      </c>
      <c r="O9" s="103"/>
      <c r="P9" s="116"/>
      <c r="Q9" s="116"/>
      <c r="R9" s="116"/>
      <c r="S9" s="116"/>
      <c r="T9" s="116"/>
    </row>
    <row r="10" spans="2:20" ht="128">
      <c r="B10" s="66" t="s">
        <v>132</v>
      </c>
      <c r="C10" s="117">
        <f>KPIs!C10</f>
        <v>15.56</v>
      </c>
      <c r="D10" s="117">
        <f>KPIs!D10</f>
        <v>15.21</v>
      </c>
      <c r="E10" s="117">
        <f>KPIs!E10</f>
        <v>15.11</v>
      </c>
      <c r="F10" s="117">
        <f>KPIs!F10</f>
        <v>14.99</v>
      </c>
      <c r="G10" s="74">
        <f>R10+(F10-Q10)</f>
        <v>15.350000000000001</v>
      </c>
      <c r="H10" s="74">
        <f>S10+P11</f>
        <v>15.32</v>
      </c>
      <c r="I10" s="74">
        <f>T10+P11</f>
        <v>15.24</v>
      </c>
      <c r="J10" s="70">
        <f>AVERAGE(F10:I10)</f>
        <v>15.225000000000001</v>
      </c>
      <c r="K10" s="75">
        <f>J10*(1+0.5%)</f>
        <v>15.301124999999999</v>
      </c>
      <c r="L10" s="75">
        <f>K10*(1+0.5%)</f>
        <v>15.377630624999997</v>
      </c>
      <c r="M10" s="66" t="s">
        <v>421</v>
      </c>
      <c r="N10" s="157" t="s">
        <v>343</v>
      </c>
      <c r="O10" s="321" t="s">
        <v>344</v>
      </c>
      <c r="P10" s="116">
        <f>F10</f>
        <v>14.99</v>
      </c>
      <c r="Q10" s="116">
        <v>14.86</v>
      </c>
      <c r="R10" s="116">
        <v>15.22</v>
      </c>
      <c r="S10" s="116">
        <v>15.19</v>
      </c>
      <c r="T10" s="116">
        <v>15.11</v>
      </c>
    </row>
    <row r="11" spans="2:20">
      <c r="O11" s="321" t="s">
        <v>345</v>
      </c>
      <c r="P11" s="116">
        <f>P10-Q10</f>
        <v>0.13000000000000078</v>
      </c>
      <c r="T11" s="115"/>
    </row>
    <row r="12" spans="2:20" ht="16">
      <c r="B12" s="96" t="s">
        <v>138</v>
      </c>
      <c r="C12" s="307" t="s">
        <v>208</v>
      </c>
      <c r="D12" s="307" t="s">
        <v>207</v>
      </c>
      <c r="E12" s="307" t="s">
        <v>206</v>
      </c>
      <c r="F12" s="307" t="s">
        <v>163</v>
      </c>
      <c r="G12" s="94" t="s">
        <v>156</v>
      </c>
      <c r="H12" s="94" t="s">
        <v>157</v>
      </c>
      <c r="I12" s="94" t="s">
        <v>158</v>
      </c>
      <c r="J12" s="722" t="s">
        <v>14</v>
      </c>
      <c r="K12" s="722" t="s">
        <v>15</v>
      </c>
      <c r="L12" s="722" t="s">
        <v>130</v>
      </c>
      <c r="M12" s="96" t="s">
        <v>136</v>
      </c>
    </row>
    <row r="13" spans="2:20" ht="16">
      <c r="B13" s="78" t="s">
        <v>176</v>
      </c>
      <c r="C13" s="298"/>
      <c r="D13" s="193">
        <f>D14/C14-1</f>
        <v>-5.8271411810715712E-2</v>
      </c>
      <c r="E13" s="193">
        <f t="shared" ref="E13:F13" si="4">E14/D14-1</f>
        <v>-5.149501661129563E-2</v>
      </c>
      <c r="F13" s="193">
        <f t="shared" si="4"/>
        <v>-2.5394045534150589E-2</v>
      </c>
      <c r="G13" s="306">
        <f>Misc.!E21</f>
        <v>7.720093491040414E-3</v>
      </c>
      <c r="H13" s="306">
        <f>Misc.!F21</f>
        <v>-2.628619623278039E-2</v>
      </c>
      <c r="I13" s="306">
        <f>Misc.!G21</f>
        <v>-1.0827197921178033E-2</v>
      </c>
      <c r="J13" s="89">
        <v>0</v>
      </c>
      <c r="K13" s="73">
        <v>-0.05</v>
      </c>
      <c r="L13" s="73">
        <v>-0.05</v>
      </c>
      <c r="M13" s="824" t="s">
        <v>325</v>
      </c>
    </row>
    <row r="14" spans="2:20" ht="31" customHeight="1">
      <c r="B14" s="66" t="s">
        <v>167</v>
      </c>
      <c r="C14" s="191">
        <f>KPIs!C14</f>
        <v>46026</v>
      </c>
      <c r="D14" s="191">
        <f>KPIs!D14</f>
        <v>43344</v>
      </c>
      <c r="E14" s="191">
        <f>KPIs!E14</f>
        <v>41112</v>
      </c>
      <c r="F14" s="191">
        <f>KPIs!F14</f>
        <v>40068</v>
      </c>
      <c r="G14" s="98">
        <f>F14*(1+'Base Case Assumptions'!G13)</f>
        <v>40377.328705999011</v>
      </c>
      <c r="H14" s="98">
        <f>G14*(1+'Base Case Assumptions'!H13)</f>
        <v>39315.962320277642</v>
      </c>
      <c r="I14" s="98">
        <f>H14*(1+'Base Case Assumptions'!I13)</f>
        <v>38890.28061477442</v>
      </c>
      <c r="J14" s="98">
        <f>I14</f>
        <v>38890.28061477442</v>
      </c>
      <c r="K14" s="98">
        <f>J14*(1+K13)</f>
        <v>36945.7665840357</v>
      </c>
      <c r="L14" s="98">
        <f>K14*(1+L13)</f>
        <v>35098.478254833914</v>
      </c>
      <c r="M14" s="824"/>
    </row>
    <row r="15" spans="2:20" ht="16">
      <c r="B15" s="66" t="s">
        <v>165</v>
      </c>
      <c r="C15" s="117"/>
      <c r="D15" s="303">
        <f>D16/C16-1</f>
        <v>-4.6092846522385544E-2</v>
      </c>
      <c r="E15" s="303">
        <f t="shared" ref="E15:F15" si="5">E16/D16-1</f>
        <v>-2.4939383443020491E-2</v>
      </c>
      <c r="F15" s="303">
        <f t="shared" si="5"/>
        <v>-5.8614564831260818E-3</v>
      </c>
      <c r="G15" s="306">
        <f>Misc.!E23</f>
        <v>1.7528483786155569E-4</v>
      </c>
      <c r="H15" s="306">
        <f>Misc.!F23</f>
        <v>-2.628811777076745E-3</v>
      </c>
      <c r="I15" s="306">
        <f>Misc.!G23</f>
        <v>-1.071867861535758E-2</v>
      </c>
      <c r="J15" s="98">
        <v>0</v>
      </c>
      <c r="K15" s="302">
        <v>-0.02</v>
      </c>
      <c r="L15" s="302">
        <f>K15</f>
        <v>-0.02</v>
      </c>
      <c r="M15" s="824" t="s">
        <v>166</v>
      </c>
    </row>
    <row r="16" spans="2:20" ht="33" customHeight="1">
      <c r="B16" s="66" t="s">
        <v>164</v>
      </c>
      <c r="C16" s="300">
        <f>KPIs!C15</f>
        <v>6053</v>
      </c>
      <c r="D16" s="300">
        <f>KPIs!D15</f>
        <v>5774</v>
      </c>
      <c r="E16" s="300">
        <f>KPIs!E15</f>
        <v>5630</v>
      </c>
      <c r="F16" s="300">
        <f>KPIs!F15</f>
        <v>5597</v>
      </c>
      <c r="G16" s="64">
        <f>F16+'Base Case Assumptions'!G15</f>
        <v>5597.0001752848375</v>
      </c>
      <c r="H16" s="64">
        <f>G16+H15</f>
        <v>5596.9975464730605</v>
      </c>
      <c r="I16" s="64">
        <f>H16+I15</f>
        <v>5596.9868277944452</v>
      </c>
      <c r="J16" s="64">
        <f>I16</f>
        <v>5596.9868277944452</v>
      </c>
      <c r="K16" s="839">
        <f>J16*(1+K15)</f>
        <v>5485.0470912385563</v>
      </c>
      <c r="L16" s="839">
        <f>K16*(1+L15)</f>
        <v>5375.3461494137855</v>
      </c>
      <c r="M16" s="824"/>
    </row>
    <row r="17" spans="2:19" ht="64">
      <c r="B17" s="66" t="s">
        <v>154</v>
      </c>
      <c r="C17" s="191">
        <f>KPIs!C16</f>
        <v>6169</v>
      </c>
      <c r="D17" s="191">
        <f>KPIs!D16</f>
        <v>5929</v>
      </c>
      <c r="E17" s="191">
        <f>KPIs!E16</f>
        <v>5698</v>
      </c>
      <c r="F17" s="191">
        <f>KPIs!F16</f>
        <v>5605</v>
      </c>
      <c r="G17" s="63">
        <f>(G16*90+F16*90)/(90+90)</f>
        <v>5597.0000876424183</v>
      </c>
      <c r="H17" s="63">
        <f t="shared" ref="H17:I17" si="6">(H16*90+G16*90)/(90+90)</f>
        <v>5596.998860878949</v>
      </c>
      <c r="I17" s="63">
        <f t="shared" si="6"/>
        <v>5596.9921871337529</v>
      </c>
      <c r="J17" s="63">
        <f>(F16*90+G17*90+H17*90+I17*90)/365</f>
        <v>5520.3265813944136</v>
      </c>
      <c r="K17" s="63">
        <f>(J16*90+K16*90)/(90+90)</f>
        <v>5541.0169595165007</v>
      </c>
      <c r="L17" s="63">
        <f>(K16*90+L16*90)/(90+90)</f>
        <v>5430.1966203261709</v>
      </c>
      <c r="M17" s="66" t="s">
        <v>168</v>
      </c>
    </row>
    <row r="18" spans="2:19" ht="32">
      <c r="B18" s="66" t="s">
        <v>169</v>
      </c>
      <c r="C18" s="299">
        <f>KPIs!C17</f>
        <v>10.48</v>
      </c>
      <c r="D18" s="299">
        <f>KPIs!D17</f>
        <v>9.94</v>
      </c>
      <c r="E18" s="299">
        <f>KPIs!E17</f>
        <v>9.75</v>
      </c>
      <c r="F18" s="299">
        <f>KPIs!F17</f>
        <v>2.2210000000000001</v>
      </c>
      <c r="G18" s="80">
        <f>F18*(1+Misc.!E25)</f>
        <v>2.4383744680851067</v>
      </c>
      <c r="H18" s="80">
        <f>G18*(1+Misc.!F25)</f>
        <v>2.3533148936170218</v>
      </c>
      <c r="I18" s="80">
        <f>H18*(1+Misc.!G25)</f>
        <v>2.2020978723404259</v>
      </c>
      <c r="J18" s="81">
        <f>SUM(F18:I18)</f>
        <v>9.2147872340425536</v>
      </c>
      <c r="K18" s="80">
        <f>J18*(1+($E$18/$D$18-1))</f>
        <v>9.0386494498908352</v>
      </c>
      <c r="L18" s="80">
        <f>K18*(1+($E$18/$D$18-1))</f>
        <v>8.8658784845508691</v>
      </c>
      <c r="M18" s="66" t="s">
        <v>302</v>
      </c>
    </row>
    <row r="19" spans="2:19" ht="48">
      <c r="B19" s="66" t="s">
        <v>133</v>
      </c>
      <c r="C19" s="117">
        <f>KPIs!C18</f>
        <v>99.39</v>
      </c>
      <c r="D19" s="117">
        <f>KPIs!D18</f>
        <v>100.59</v>
      </c>
      <c r="E19" s="117">
        <f>KPIs!E18</f>
        <v>91.78</v>
      </c>
      <c r="F19" s="117">
        <f>KPIs!F18</f>
        <v>84.11</v>
      </c>
      <c r="G19" s="80">
        <f>$F$19*(Misc.!E26/Misc.!D26)</f>
        <v>82.895067064083449</v>
      </c>
      <c r="H19" s="80">
        <f>$F$19*(Misc.!F26/Misc.!E26)</f>
        <v>89.265981156217279</v>
      </c>
      <c r="I19" s="80">
        <f>$F$19*(Misc.!G26/Misc.!F26)</f>
        <v>95.2937166234221</v>
      </c>
      <c r="J19" s="314">
        <f>AVERAGE(F19:I19)</f>
        <v>87.8911912109307</v>
      </c>
      <c r="K19" s="81">
        <f>AVERAGE(J19,F19)</f>
        <v>86.00059560546535</v>
      </c>
      <c r="L19" s="81">
        <f>KPIs!E18</f>
        <v>91.78</v>
      </c>
      <c r="M19" s="66" t="s">
        <v>171</v>
      </c>
    </row>
    <row r="20" spans="2:19" ht="32">
      <c r="B20" s="66" t="s">
        <v>307</v>
      </c>
      <c r="C20" s="300">
        <f>C18*C19</f>
        <v>1041.6072000000001</v>
      </c>
      <c r="D20" s="300">
        <f t="shared" ref="D20:L20" si="7">D18*D19</f>
        <v>999.8646</v>
      </c>
      <c r="E20" s="300">
        <f t="shared" si="7"/>
        <v>894.85500000000002</v>
      </c>
      <c r="F20" s="300">
        <f t="shared" si="7"/>
        <v>186.80831000000001</v>
      </c>
      <c r="G20" s="286">
        <f>G18*G19</f>
        <v>202.12921505926371</v>
      </c>
      <c r="H20" s="286">
        <f>H18*H19</f>
        <v>210.07096294826255</v>
      </c>
      <c r="I20" s="286">
        <f>I18*I19</f>
        <v>209.84609062384928</v>
      </c>
      <c r="J20" s="286">
        <f>J18*J19</f>
        <v>809.89862675527729</v>
      </c>
      <c r="K20" s="286">
        <f t="shared" si="7"/>
        <v>777.32923615962352</v>
      </c>
      <c r="L20" s="286">
        <f t="shared" si="7"/>
        <v>813.71032731207879</v>
      </c>
      <c r="M20" s="91" t="s">
        <v>306</v>
      </c>
    </row>
    <row r="21" spans="2:19" ht="16">
      <c r="B21" s="66" t="s">
        <v>308</v>
      </c>
      <c r="C21" s="300">
        <f>'Revenue split'!E12</f>
        <v>1589</v>
      </c>
      <c r="D21" s="300">
        <f>'Revenue split'!F12</f>
        <v>1606</v>
      </c>
      <c r="E21" s="300">
        <f>'Revenue split'!G12</f>
        <v>1615</v>
      </c>
      <c r="F21" s="300">
        <f>'Revenue split'!H12</f>
        <v>372</v>
      </c>
      <c r="G21" s="286"/>
      <c r="H21" s="286"/>
      <c r="I21" s="286"/>
      <c r="J21" s="98"/>
      <c r="K21" s="286"/>
      <c r="L21" s="286"/>
      <c r="M21" s="66"/>
    </row>
    <row r="22" spans="2:19" ht="80">
      <c r="B22" s="66" t="s">
        <v>309</v>
      </c>
      <c r="C22" s="301">
        <f>C21-C20</f>
        <v>547.39279999999985</v>
      </c>
      <c r="D22" s="301">
        <f t="shared" ref="D22:F22" si="8">D21-D20</f>
        <v>606.1354</v>
      </c>
      <c r="E22" s="301">
        <f t="shared" si="8"/>
        <v>720.14499999999998</v>
      </c>
      <c r="F22" s="301">
        <f t="shared" si="8"/>
        <v>185.19168999999999</v>
      </c>
      <c r="G22" s="151">
        <f>172.2*(1+Misc.!C8)</f>
        <v>212.83412089722137</v>
      </c>
      <c r="H22" s="151">
        <f>Misc.!F6*(1+Misc.!$C$8)</f>
        <v>232.91547751296093</v>
      </c>
      <c r="I22" s="151">
        <f>Misc.!G6*(1+Misc.!$C$8)</f>
        <v>259.13990416963082</v>
      </c>
      <c r="J22" s="98">
        <f>SUM(F22:I22)</f>
        <v>890.08119257981321</v>
      </c>
      <c r="K22" s="674">
        <f>J22*(1+Misc.!$J$9)</f>
        <v>1020.9161146284913</v>
      </c>
      <c r="L22" s="674">
        <f>K22*(1+Misc.!$J$9)</f>
        <v>1170.9827393242836</v>
      </c>
      <c r="M22" s="66" t="s">
        <v>420</v>
      </c>
    </row>
    <row r="23" spans="2:19" ht="17">
      <c r="J23" s="100"/>
    </row>
    <row r="24" spans="2:19" ht="16">
      <c r="B24" s="96" t="s">
        <v>140</v>
      </c>
      <c r="C24" s="307" t="s">
        <v>208</v>
      </c>
      <c r="D24" s="307" t="s">
        <v>207</v>
      </c>
      <c r="E24" s="307" t="s">
        <v>206</v>
      </c>
      <c r="F24" s="307" t="s">
        <v>163</v>
      </c>
      <c r="G24" s="94" t="s">
        <v>144</v>
      </c>
      <c r="H24" s="94" t="s">
        <v>145</v>
      </c>
      <c r="I24" s="94" t="s">
        <v>146</v>
      </c>
      <c r="J24" s="722" t="s">
        <v>14</v>
      </c>
      <c r="K24" s="722" t="s">
        <v>15</v>
      </c>
      <c r="L24" s="722" t="s">
        <v>130</v>
      </c>
      <c r="M24" s="96" t="s">
        <v>139</v>
      </c>
    </row>
    <row r="25" spans="2:19" ht="16">
      <c r="B25" s="66" t="s">
        <v>317</v>
      </c>
      <c r="C25" s="117">
        <f>'Revenue split'!E7</f>
        <v>169</v>
      </c>
      <c r="D25" s="117">
        <f>'Revenue split'!F7</f>
        <v>167</v>
      </c>
      <c r="E25" s="117">
        <f>'Revenue split'!G7</f>
        <v>157</v>
      </c>
      <c r="F25" s="117">
        <f>'Revenue split'!H7</f>
        <v>35</v>
      </c>
      <c r="G25" s="312">
        <f>Misc.!E13</f>
        <v>38</v>
      </c>
      <c r="H25" s="312">
        <f>Misc.!F13</f>
        <v>39</v>
      </c>
      <c r="I25" s="312">
        <f>Misc.!G13</f>
        <v>41</v>
      </c>
      <c r="J25" s="116">
        <f xml:space="preserve"> 157*(1 + 0%)</f>
        <v>157</v>
      </c>
      <c r="K25" s="103"/>
      <c r="L25" s="103"/>
      <c r="M25" s="66" t="s">
        <v>318</v>
      </c>
      <c r="N25" s="157"/>
      <c r="O25" s="67"/>
      <c r="P25" s="67"/>
      <c r="Q25" s="67"/>
      <c r="R25" s="67"/>
      <c r="S25" s="67"/>
    </row>
    <row r="26" spans="2:19" ht="32">
      <c r="B26" s="66" t="s">
        <v>149</v>
      </c>
      <c r="C26" s="304">
        <f>'Revenue split'!E7/'Revenue split'!E13</f>
        <v>1.8876354294649837E-2</v>
      </c>
      <c r="D26" s="304">
        <f>'Revenue split'!F7/'Revenue split'!F13</f>
        <v>1.9197608920565584E-2</v>
      </c>
      <c r="E26" s="304">
        <f>'Revenue split'!G7/'Revenue split'!G13</f>
        <v>1.8345407805562049E-2</v>
      </c>
      <c r="F26" s="304">
        <f>'Revenue split'!H7/'Revenue split'!H13</f>
        <v>1.6738402678144429E-2</v>
      </c>
      <c r="G26" s="309">
        <f>((($E$25*(1+$J26)-$F$25)*G25/SUM($G$25:$I$25))/$F$25)-1</f>
        <v>0.12251815980629543</v>
      </c>
      <c r="H26" s="309">
        <f>H25/G25-1</f>
        <v>2.6315789473684292E-2</v>
      </c>
      <c r="I26" s="309">
        <f>I25/H25-1</f>
        <v>5.1282051282051322E-2</v>
      </c>
      <c r="J26" s="73">
        <v>0</v>
      </c>
      <c r="K26" s="73">
        <v>0</v>
      </c>
      <c r="L26" s="73">
        <v>0</v>
      </c>
      <c r="M26" s="66" t="s">
        <v>200</v>
      </c>
    </row>
    <row r="27" spans="2:19" ht="32">
      <c r="B27" s="66" t="s">
        <v>78</v>
      </c>
      <c r="C27" s="128" t="s">
        <v>104</v>
      </c>
      <c r="D27" s="128" t="s">
        <v>104</v>
      </c>
      <c r="E27" s="128" t="s">
        <v>104</v>
      </c>
      <c r="F27" s="128" t="s">
        <v>104</v>
      </c>
      <c r="G27" s="85">
        <f>((('Revenue split'!$G$8*(1+$J27)-'Revenue split'!$H$8)*Misc.!E30/SUM(Misc.!E30:G30))/'Revenue split'!$H$8)-1</f>
        <v>8.9913469119450973E-2</v>
      </c>
      <c r="H27" s="85">
        <f>Misc.!F30/Misc.!E30-1</f>
        <v>-6.5217391304347783E-2</v>
      </c>
      <c r="I27" s="85">
        <f>Misc.!G30/Misc.!F30-1</f>
        <v>0.11627906976744184</v>
      </c>
      <c r="J27" s="83">
        <f>'Revenue split'!G8/'Revenue split'!F8-1</f>
        <v>-2.1978021978022011E-2</v>
      </c>
      <c r="K27" s="86">
        <f>J27</f>
        <v>-2.1978021978022011E-2</v>
      </c>
      <c r="L27" s="86">
        <f>K27</f>
        <v>-2.1978021978022011E-2</v>
      </c>
      <c r="M27" s="66" t="s">
        <v>201</v>
      </c>
    </row>
    <row r="28" spans="2:19" ht="32">
      <c r="B28" s="66" t="s">
        <v>79</v>
      </c>
      <c r="C28" s="128" t="s">
        <v>104</v>
      </c>
      <c r="D28" s="303">
        <f>'Revenue split'!F9/'Revenue split'!E9-1</f>
        <v>-5.8823529411764719E-2</v>
      </c>
      <c r="E28" s="303">
        <f>'Revenue split'!G9/'Revenue split'!F9-1</f>
        <v>-4.6875E-2</v>
      </c>
      <c r="F28" s="128" t="s">
        <v>104</v>
      </c>
      <c r="G28" s="88">
        <f>((('Revenue split'!$G$9*(1+$J28)-'Revenue split'!$H$9)*Misc.!E32/SUM(Misc.!E32:G32))/'Revenue split'!$H$9)-1</f>
        <v>0</v>
      </c>
      <c r="H28" s="88">
        <f>Misc.!F32/Misc.!E32-1</f>
        <v>3.2258064516129004E-2</v>
      </c>
      <c r="I28" s="88">
        <f>Misc.!G32/Misc.!F32-1</f>
        <v>-0.125</v>
      </c>
      <c r="J28" s="73">
        <v>0</v>
      </c>
      <c r="K28" s="84">
        <v>0</v>
      </c>
      <c r="L28" s="84">
        <v>0</v>
      </c>
      <c r="M28" s="66" t="s">
        <v>202</v>
      </c>
    </row>
    <row r="29" spans="2:19" ht="64">
      <c r="B29" s="66" t="s">
        <v>330</v>
      </c>
      <c r="C29" s="128" t="s">
        <v>104</v>
      </c>
      <c r="D29" s="128" t="s">
        <v>104</v>
      </c>
      <c r="E29" s="128" t="s">
        <v>104</v>
      </c>
      <c r="F29" s="128" t="s">
        <v>104</v>
      </c>
      <c r="G29" s="72">
        <v>0</v>
      </c>
      <c r="H29" s="72">
        <v>0</v>
      </c>
      <c r="I29" s="72">
        <v>0</v>
      </c>
      <c r="J29" s="85">
        <f>I29</f>
        <v>0</v>
      </c>
      <c r="K29" s="86">
        <v>-5.0000000000000001E-3</v>
      </c>
      <c r="L29" s="86">
        <f>K29</f>
        <v>-5.0000000000000001E-3</v>
      </c>
      <c r="M29" s="66" t="s">
        <v>331</v>
      </c>
    </row>
    <row r="32" spans="2:19" ht="16">
      <c r="B32" s="96" t="s">
        <v>338</v>
      </c>
      <c r="C32" s="307" t="s">
        <v>208</v>
      </c>
      <c r="D32" s="307" t="s">
        <v>207</v>
      </c>
      <c r="E32" s="307" t="s">
        <v>206</v>
      </c>
      <c r="F32" s="307" t="s">
        <v>163</v>
      </c>
      <c r="G32" s="94" t="s">
        <v>144</v>
      </c>
      <c r="H32" s="94" t="s">
        <v>145</v>
      </c>
      <c r="I32" s="94" t="s">
        <v>146</v>
      </c>
      <c r="J32" s="722" t="s">
        <v>14</v>
      </c>
      <c r="K32" s="722" t="s">
        <v>15</v>
      </c>
      <c r="L32" s="722" t="s">
        <v>130</v>
      </c>
      <c r="M32" s="96" t="s">
        <v>136</v>
      </c>
    </row>
    <row r="33" spans="2:13" ht="32">
      <c r="B33" s="66" t="s">
        <v>339</v>
      </c>
      <c r="C33" s="303">
        <f>'Financial One Pager'!J24/'Financial One Pager'!J23</f>
        <v>0.47012174690048031</v>
      </c>
      <c r="D33" s="303">
        <f>'Financial One Pager'!K24/'Financial One Pager'!K23</f>
        <v>0.47465225888033108</v>
      </c>
      <c r="E33" s="303">
        <f>'Financial One Pager'!L24/'Financial One Pager'!L23</f>
        <v>0.48118719326945547</v>
      </c>
      <c r="F33" s="303">
        <f>'Financial One Pager'!M24/'Financial One Pager'!M23</f>
        <v>0.47966437478149399</v>
      </c>
      <c r="G33" s="87">
        <f>$J$33</f>
        <v>0.47437647862435539</v>
      </c>
      <c r="H33" s="87">
        <f>$J$33</f>
        <v>0.47437647862435539</v>
      </c>
      <c r="I33" s="87">
        <f>$J$33</f>
        <v>0.47437647862435539</v>
      </c>
      <c r="J33" s="305">
        <f>AVERAGE(C33:E33,Misc.!C38/Misc.!C37)</f>
        <v>0.47437647862435539</v>
      </c>
      <c r="K33" s="87">
        <f>J33</f>
        <v>0.47437647862435539</v>
      </c>
      <c r="L33" s="87">
        <f>K33</f>
        <v>0.47437647862435539</v>
      </c>
      <c r="M33" s="66" t="s">
        <v>203</v>
      </c>
    </row>
    <row r="34" spans="2:13" ht="32">
      <c r="B34" s="66" t="s">
        <v>340</v>
      </c>
      <c r="C34" s="128" t="s">
        <v>104</v>
      </c>
      <c r="D34" s="128" t="s">
        <v>104</v>
      </c>
      <c r="E34" s="128" t="s">
        <v>104</v>
      </c>
      <c r="F34" s="128" t="s">
        <v>104</v>
      </c>
      <c r="G34" s="87">
        <f>$J$34</f>
        <v>2.3487382743725572E-2</v>
      </c>
      <c r="H34" s="87">
        <f>$J$34</f>
        <v>2.3487382743725572E-2</v>
      </c>
      <c r="I34" s="87">
        <f>$J$34</f>
        <v>2.3487382743725572E-2</v>
      </c>
      <c r="J34" s="87">
        <f>AVERAGE('Financial One Pager'!L32/'Financial One Pager'!L23,54/2091)</f>
        <v>2.3487382743725572E-2</v>
      </c>
      <c r="K34" s="87">
        <f>J34</f>
        <v>2.3487382743725572E-2</v>
      </c>
      <c r="L34" s="87">
        <f>K34</f>
        <v>2.3487382743725572E-2</v>
      </c>
      <c r="M34" s="66" t="s">
        <v>332</v>
      </c>
    </row>
    <row r="35" spans="2:13" ht="16">
      <c r="B35" s="66" t="s">
        <v>337</v>
      </c>
      <c r="C35" s="128" t="s">
        <v>104</v>
      </c>
      <c r="D35" s="128" t="s">
        <v>104</v>
      </c>
      <c r="E35" s="128" t="s">
        <v>104</v>
      </c>
      <c r="F35" s="128" t="s">
        <v>104</v>
      </c>
      <c r="G35" s="84">
        <f>0</f>
        <v>0</v>
      </c>
      <c r="H35" s="84">
        <f>0</f>
        <v>0</v>
      </c>
      <c r="I35" s="84">
        <f>0</f>
        <v>0</v>
      </c>
      <c r="J35" s="84">
        <f>1</f>
        <v>1</v>
      </c>
      <c r="K35" s="84">
        <v>0</v>
      </c>
      <c r="L35" s="84">
        <v>0</v>
      </c>
      <c r="M35" s="66" t="s">
        <v>524</v>
      </c>
    </row>
    <row r="36" spans="2:13" ht="32">
      <c r="B36" s="66" t="s">
        <v>178</v>
      </c>
      <c r="C36" s="128" t="s">
        <v>104</v>
      </c>
      <c r="D36" s="128" t="s">
        <v>104</v>
      </c>
      <c r="E36" s="128" t="s">
        <v>104</v>
      </c>
      <c r="F36" s="128" t="s">
        <v>104</v>
      </c>
      <c r="G36" s="116" t="s">
        <v>104</v>
      </c>
      <c r="H36" s="116" t="s">
        <v>104</v>
      </c>
      <c r="I36" s="116" t="s">
        <v>104</v>
      </c>
      <c r="J36" s="87">
        <f>2600/'Base Case Forecast '!K31</f>
        <v>0.30062526795236061</v>
      </c>
      <c r="K36" s="72">
        <f>J36+0.0025</f>
        <v>0.30312526795236061</v>
      </c>
      <c r="L36" s="72">
        <f>K36+0.0025</f>
        <v>0.30562526795236061</v>
      </c>
      <c r="M36" s="66" t="s">
        <v>418</v>
      </c>
    </row>
    <row r="37" spans="2:13" ht="32">
      <c r="B37" s="66" t="s">
        <v>341</v>
      </c>
      <c r="C37" s="303">
        <f>'Financial One Pager'!J26/'Financial One Pager'!J23</f>
        <v>4.0098291075617111E-2</v>
      </c>
      <c r="D37" s="303">
        <f>'Financial One Pager'!K26/'Financial One Pager'!K23</f>
        <v>4.2418668812507186E-2</v>
      </c>
      <c r="E37" s="303">
        <f>'Financial One Pager'!L26/'Financial One Pager'!L23</f>
        <v>4.8375788735685911E-2</v>
      </c>
      <c r="F37" s="128" t="s">
        <v>104</v>
      </c>
      <c r="G37" s="87">
        <f>$J$37</f>
        <v>0.20883211771100635</v>
      </c>
      <c r="H37" s="87">
        <f>$J$37</f>
        <v>0.20883211771100635</v>
      </c>
      <c r="I37" s="87">
        <f>$J$37</f>
        <v>0.20883211771100635</v>
      </c>
      <c r="J37" s="87">
        <f>AVERAGE('Financial One Pager'!L26/SUM('Financial One Pager'!L26:L29),Misc.!E39)</f>
        <v>0.20883211771100635</v>
      </c>
      <c r="K37" s="87">
        <f t="shared" ref="K37:L40" si="9">J37</f>
        <v>0.20883211771100635</v>
      </c>
      <c r="L37" s="87">
        <f t="shared" si="9"/>
        <v>0.20883211771100635</v>
      </c>
      <c r="M37" s="66" t="s">
        <v>205</v>
      </c>
    </row>
    <row r="38" spans="2:13" ht="30" customHeight="1">
      <c r="B38" s="66" t="s">
        <v>179</v>
      </c>
      <c r="C38" s="303">
        <f>'Financial One Pager'!J27/'Financial One Pager'!J24</f>
        <v>0.22119268234735093</v>
      </c>
      <c r="D38" s="303">
        <f>'Financial One Pager'!K27/'Financial One Pager'!K24</f>
        <v>0.21651731654153547</v>
      </c>
      <c r="E38" s="303">
        <f>'Financial One Pager'!L27/'Financial One Pager'!L24</f>
        <v>0.18455560951918407</v>
      </c>
      <c r="F38" s="128" t="s">
        <v>104</v>
      </c>
      <c r="G38" s="87">
        <f>$J$38</f>
        <v>0.38694607019007532</v>
      </c>
      <c r="H38" s="87">
        <f>$J$38</f>
        <v>0.38694607019007532</v>
      </c>
      <c r="I38" s="87">
        <f>$J$38</f>
        <v>0.38694607019007532</v>
      </c>
      <c r="J38" s="87">
        <f>AVERAGE('Financial One Pager'!L27/SUM('Financial One Pager'!L26:'Financial One Pager'!L29),Misc.!E40)</f>
        <v>0.38694607019007532</v>
      </c>
      <c r="K38" s="87">
        <f t="shared" si="9"/>
        <v>0.38694607019007532</v>
      </c>
      <c r="L38" s="87">
        <f t="shared" si="9"/>
        <v>0.38694607019007532</v>
      </c>
      <c r="M38" s="66" t="s">
        <v>180</v>
      </c>
    </row>
    <row r="39" spans="2:13" ht="32">
      <c r="B39" s="66" t="s">
        <v>181</v>
      </c>
      <c r="C39" s="303">
        <f>'Financial One Pager'!J28/'Financial One Pager'!J25</f>
        <v>6.7875210792580104E-2</v>
      </c>
      <c r="D39" s="303">
        <f>'Financial One Pager'!K28/'Financial One Pager'!K25</f>
        <v>6.477024070021882E-2</v>
      </c>
      <c r="E39" s="303">
        <f>'Financial One Pager'!L28/'Financial One Pager'!L25</f>
        <v>5.9234234234234233E-2</v>
      </c>
      <c r="F39" s="128" t="s">
        <v>104</v>
      </c>
      <c r="G39" s="87">
        <f>$J$39</f>
        <v>0.13838922667880182</v>
      </c>
      <c r="H39" s="87">
        <f>$J$39</f>
        <v>0.13838922667880182</v>
      </c>
      <c r="I39" s="87">
        <f>$J$39</f>
        <v>0.13838922667880182</v>
      </c>
      <c r="J39" s="87">
        <f>AVERAGE('Financial One Pager'!L28/SUM('Financial One Pager'!L26:'Financial One Pager'!L29),Misc.!E41)</f>
        <v>0.13838922667880182</v>
      </c>
      <c r="K39" s="87">
        <f t="shared" si="9"/>
        <v>0.13838922667880182</v>
      </c>
      <c r="L39" s="87">
        <f t="shared" si="9"/>
        <v>0.13838922667880182</v>
      </c>
      <c r="M39" s="66" t="s">
        <v>182</v>
      </c>
    </row>
    <row r="40" spans="2:13" ht="32">
      <c r="B40" s="66" t="s">
        <v>183</v>
      </c>
      <c r="C40" s="303">
        <f>'Financial One Pager'!J29/'Financial One Pager'!J26</f>
        <v>1.6935933147632312</v>
      </c>
      <c r="D40" s="303">
        <f>'Financial One Pager'!K29/'Financial One Pager'!K26</f>
        <v>1.3468834688346885</v>
      </c>
      <c r="E40" s="303">
        <f>'Financial One Pager'!L29/'Financial One Pager'!L26</f>
        <v>1.326086956521739</v>
      </c>
      <c r="F40" s="128" t="s">
        <v>104</v>
      </c>
      <c r="G40" s="72">
        <f>$J$40</f>
        <v>0.26583258542011645</v>
      </c>
      <c r="H40" s="72">
        <f>$J$40</f>
        <v>0.26583258542011645</v>
      </c>
      <c r="I40" s="72">
        <f>$J$40</f>
        <v>0.26583258542011645</v>
      </c>
      <c r="J40" s="72">
        <f>1-SUM(J37:J39)</f>
        <v>0.26583258542011645</v>
      </c>
      <c r="K40" s="72">
        <f t="shared" si="9"/>
        <v>0.26583258542011645</v>
      </c>
      <c r="L40" s="72">
        <f t="shared" si="9"/>
        <v>0.26583258542011645</v>
      </c>
      <c r="M40" s="66" t="s">
        <v>184</v>
      </c>
    </row>
    <row r="42" spans="2:13" ht="16">
      <c r="B42" s="96" t="s">
        <v>185</v>
      </c>
      <c r="C42" s="307" t="s">
        <v>208</v>
      </c>
      <c r="D42" s="307" t="s">
        <v>207</v>
      </c>
      <c r="E42" s="307" t="s">
        <v>206</v>
      </c>
      <c r="F42" s="307" t="s">
        <v>163</v>
      </c>
      <c r="G42" s="94" t="s">
        <v>144</v>
      </c>
      <c r="H42" s="94" t="s">
        <v>145</v>
      </c>
      <c r="I42" s="94" t="s">
        <v>146</v>
      </c>
      <c r="J42" s="722" t="s">
        <v>14</v>
      </c>
      <c r="K42" s="722" t="s">
        <v>15</v>
      </c>
      <c r="L42" s="722" t="s">
        <v>130</v>
      </c>
      <c r="M42" s="96" t="s">
        <v>136</v>
      </c>
    </row>
    <row r="43" spans="2:13" ht="48">
      <c r="B43" s="66" t="s">
        <v>233</v>
      </c>
      <c r="C43" s="318">
        <f>-'Financial One Pager'!J42/'Financial One Pager'!J41</f>
        <v>5.9825960841189268E-2</v>
      </c>
      <c r="D43" s="318">
        <f>-'Financial One Pager'!K42/'Financial One Pager'!K41</f>
        <v>8.0235553919764446E-2</v>
      </c>
      <c r="E43" s="318">
        <f>-'Financial One Pager'!L42/'Financial One Pager'!L41</f>
        <v>5.8536585365853662E-2</v>
      </c>
      <c r="F43" s="318">
        <f>-'Financial One Pager'!M42/'Financial One Pager'!M41</f>
        <v>5.6624722427831238E-2</v>
      </c>
      <c r="G43" s="697" t="s">
        <v>104</v>
      </c>
      <c r="H43" s="697" t="s">
        <v>104</v>
      </c>
      <c r="I43" s="697" t="s">
        <v>104</v>
      </c>
      <c r="J43" s="83">
        <f xml:space="preserve"> -'Financial One Pager'!L42/'Financial One Pager'!L34</f>
        <v>5.8536585365853662E-2</v>
      </c>
      <c r="K43" s="133">
        <f>J43</f>
        <v>5.8536585365853662E-2</v>
      </c>
      <c r="L43" s="107">
        <f>K43</f>
        <v>5.8536585365853662E-2</v>
      </c>
      <c r="M43" s="66" t="s">
        <v>234</v>
      </c>
    </row>
    <row r="44" spans="2:13" ht="48">
      <c r="B44" s="66" t="s">
        <v>243</v>
      </c>
      <c r="C44" s="127">
        <f>'Financial One Pager'!J43</f>
        <v>-507</v>
      </c>
      <c r="D44" s="127">
        <f>'Financial One Pager'!K43</f>
        <v>-473</v>
      </c>
      <c r="E44" s="127">
        <f>'Financial One Pager'!L43</f>
        <v>-439</v>
      </c>
      <c r="F44" s="319">
        <v>-205</v>
      </c>
      <c r="G44" s="143">
        <f>($J$44+205)/3</f>
        <v>-73.333333333333329</v>
      </c>
      <c r="H44" s="143">
        <f t="shared" ref="H44:I44" si="10">($J$44+205)/3</f>
        <v>-73.333333333333329</v>
      </c>
      <c r="I44" s="143">
        <f t="shared" si="10"/>
        <v>-73.333333333333329</v>
      </c>
      <c r="J44" s="99">
        <f>-425</f>
        <v>-425</v>
      </c>
      <c r="K44" s="142">
        <v>-386</v>
      </c>
      <c r="L44" s="142">
        <v>-286</v>
      </c>
      <c r="M44" s="66" t="s">
        <v>419</v>
      </c>
    </row>
    <row r="45" spans="2:13" ht="16">
      <c r="B45" s="66" t="s">
        <v>242</v>
      </c>
      <c r="C45" s="318">
        <f>'Financial One Pager'!J45/'Financial One Pager'!J23</f>
        <v>-5.5847202055177032E-3</v>
      </c>
      <c r="D45" s="318">
        <f>'Financial One Pager'!K45/'Financial One Pager'!K23</f>
        <v>-1.253017588228532E-2</v>
      </c>
      <c r="E45" s="318">
        <f>'Financial One Pager'!L45/'Financial One Pager'!L23</f>
        <v>-2.9212432811404534E-3</v>
      </c>
      <c r="F45" s="318">
        <f>'Financial One Pager'!M45/'Financial One Pager'!M23</f>
        <v>-1.1537116886143806E-2</v>
      </c>
      <c r="G45" s="697" t="s">
        <v>104</v>
      </c>
      <c r="H45" s="697" t="s">
        <v>104</v>
      </c>
      <c r="I45" s="697" t="s">
        <v>104</v>
      </c>
      <c r="J45" s="139">
        <f>'Financial One Pager'!L45/'Financial One Pager'!L23</f>
        <v>-2.9212432811404534E-3</v>
      </c>
      <c r="K45" s="133">
        <f>J45</f>
        <v>-2.9212432811404534E-3</v>
      </c>
      <c r="L45" s="133">
        <f>K45</f>
        <v>-2.9212432811404534E-3</v>
      </c>
      <c r="M45" s="66" t="s">
        <v>244</v>
      </c>
    </row>
    <row r="46" spans="2:13" ht="16">
      <c r="B46" s="66" t="s">
        <v>236</v>
      </c>
      <c r="C46" s="181">
        <f>'Financial One Pager'!J51</f>
        <v>-1101</v>
      </c>
      <c r="D46" s="181">
        <f>'Financial One Pager'!K51</f>
        <v>-709</v>
      </c>
      <c r="E46" s="181">
        <f>'Financial One Pager'!L51</f>
        <v>-679</v>
      </c>
      <c r="F46" s="181">
        <v>22</v>
      </c>
      <c r="G46" s="171">
        <f>-(SUM('Base Case Debt schedule'!D4:D6))</f>
        <v>-83.75</v>
      </c>
      <c r="H46" s="171">
        <f>-(SUM('Base Case Debt schedule'!E4:E6))</f>
        <v>-13.75</v>
      </c>
      <c r="I46" s="171">
        <f>-(SUM('Base Case Debt schedule'!F4:F6))</f>
        <v>-13.75</v>
      </c>
      <c r="J46" s="111">
        <f>SUM(G46:I46)</f>
        <v>-111.25</v>
      </c>
      <c r="K46" s="111">
        <f>-SUM('Base Case Debt schedule'!I4:I6)</f>
        <v>-1594.75</v>
      </c>
      <c r="L46" s="111">
        <f>-SUM('Base Case Debt schedule'!J4:J6)</f>
        <v>-2575</v>
      </c>
      <c r="M46" s="66" t="s">
        <v>235</v>
      </c>
    </row>
    <row r="47" spans="2:13" ht="48">
      <c r="B47" s="66" t="s">
        <v>232</v>
      </c>
      <c r="C47" s="127">
        <f>'Financial One Pager'!J53</f>
        <v>-274</v>
      </c>
      <c r="D47" s="127">
        <f>'Financial One Pager'!K53</f>
        <v>-6</v>
      </c>
      <c r="E47" s="127">
        <f>'Financial One Pager'!L53</f>
        <v>-136</v>
      </c>
      <c r="F47" s="127">
        <v>-22</v>
      </c>
      <c r="G47" s="112">
        <v>0</v>
      </c>
      <c r="H47" s="108">
        <v>0</v>
      </c>
      <c r="I47" s="113">
        <v>0</v>
      </c>
      <c r="J47" s="134">
        <f>-22+SUM(G47:I47)</f>
        <v>-22</v>
      </c>
      <c r="K47" s="109" t="s">
        <v>186</v>
      </c>
      <c r="L47" s="108">
        <v>0</v>
      </c>
      <c r="M47" s="66" t="s">
        <v>237</v>
      </c>
    </row>
    <row r="48" spans="2:13" ht="32">
      <c r="B48" s="66" t="s">
        <v>239</v>
      </c>
      <c r="C48" s="128" t="s">
        <v>104</v>
      </c>
      <c r="D48" s="128" t="s">
        <v>104</v>
      </c>
      <c r="E48" s="128" t="s">
        <v>104</v>
      </c>
      <c r="F48" s="128" t="s">
        <v>104</v>
      </c>
      <c r="G48" s="137">
        <f>0.27</f>
        <v>0.27</v>
      </c>
      <c r="H48" s="135">
        <f>G48</f>
        <v>0.27</v>
      </c>
      <c r="I48" s="135">
        <f>H48</f>
        <v>0.27</v>
      </c>
      <c r="J48" s="135">
        <f>0.27+SUM(G48:I48)</f>
        <v>1.08</v>
      </c>
      <c r="K48" s="136">
        <f>J48</f>
        <v>1.08</v>
      </c>
      <c r="L48" s="136">
        <f>K48</f>
        <v>1.08</v>
      </c>
      <c r="M48" s="66" t="s">
        <v>238</v>
      </c>
    </row>
    <row r="49" spans="2:13" ht="32">
      <c r="B49" s="66" t="s">
        <v>240</v>
      </c>
      <c r="C49" s="128" t="s">
        <v>104</v>
      </c>
      <c r="D49" s="128" t="s">
        <v>104</v>
      </c>
      <c r="E49" s="128" t="s">
        <v>104</v>
      </c>
      <c r="F49" s="128" t="s">
        <v>104</v>
      </c>
      <c r="G49" s="138">
        <v>338</v>
      </c>
      <c r="H49" s="113">
        <f>G49</f>
        <v>338</v>
      </c>
      <c r="I49" s="113">
        <f>H49</f>
        <v>338</v>
      </c>
      <c r="J49" s="113">
        <f>AVERAGE(338,G49:I49)</f>
        <v>338</v>
      </c>
      <c r="K49" s="114">
        <f>J49</f>
        <v>338</v>
      </c>
      <c r="L49" s="114">
        <f>K49</f>
        <v>338</v>
      </c>
      <c r="M49" s="66" t="s">
        <v>241</v>
      </c>
    </row>
    <row r="50" spans="2:13" ht="48">
      <c r="B50" s="66" t="s">
        <v>246</v>
      </c>
      <c r="C50" s="127">
        <f>'Financial One Pager'!J50</f>
        <v>1545</v>
      </c>
      <c r="D50" s="127">
        <f>'Financial One Pager'!K50</f>
        <v>1434</v>
      </c>
      <c r="E50" s="127">
        <f>'Financial One Pager'!L50</f>
        <v>1533</v>
      </c>
      <c r="F50" s="127">
        <v>171</v>
      </c>
      <c r="G50" s="147">
        <f>($J$50-171)*'Base Case Forecast '!G44/SUM('Base Case Forecast '!$G$44:$I$44)</f>
        <v>388.86485751587799</v>
      </c>
      <c r="H50" s="147">
        <f>($J$50-171)*'Base Case Forecast '!H44/SUM('Base Case Forecast '!$G$44:$I$44)</f>
        <v>392.90707954716288</v>
      </c>
      <c r="I50" s="148">
        <f>J50-G50-H50-171</f>
        <v>397.22806293695919</v>
      </c>
      <c r="J50" s="121">
        <v>1350</v>
      </c>
      <c r="K50" s="142">
        <v>1500</v>
      </c>
      <c r="L50" s="65">
        <f>K50*('Base Case Forecast '!M44/'Base Case Forecast '!L44)</f>
        <v>1543.3916117781864</v>
      </c>
      <c r="M50" s="66" t="s">
        <v>247</v>
      </c>
    </row>
    <row r="51" spans="2:13">
      <c r="G51" s="92"/>
      <c r="H51" s="92"/>
      <c r="I51" s="92"/>
      <c r="J51" s="92"/>
      <c r="K51" s="92"/>
      <c r="L51" s="92"/>
      <c r="M51" s="24"/>
    </row>
    <row r="52" spans="2:13">
      <c r="G52" s="92"/>
      <c r="H52" s="92"/>
      <c r="I52" s="92"/>
      <c r="J52" s="92"/>
      <c r="K52" s="92"/>
      <c r="L52" s="92"/>
      <c r="M52" s="24"/>
    </row>
    <row r="53" spans="2:13">
      <c r="G53" s="92"/>
      <c r="H53" s="92"/>
      <c r="I53" s="92"/>
      <c r="J53" s="92"/>
      <c r="K53" s="92"/>
      <c r="L53" s="92"/>
      <c r="M53" s="24"/>
    </row>
    <row r="54" spans="2:13">
      <c r="G54" s="92"/>
      <c r="H54" s="92"/>
      <c r="I54" s="92"/>
      <c r="J54" s="92"/>
      <c r="K54" s="92"/>
      <c r="L54" s="92"/>
      <c r="M54" s="24"/>
    </row>
  </sheetData>
  <mergeCells count="6">
    <mergeCell ref="M15:M16"/>
    <mergeCell ref="C2:E2"/>
    <mergeCell ref="F2:I2"/>
    <mergeCell ref="J2:L2"/>
    <mergeCell ref="M4:M7"/>
    <mergeCell ref="M13:M14"/>
  </mergeCells>
  <pageMargins left="0.7" right="0.7" top="0.75" bottom="0.75" header="0.3" footer="0.3"/>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75CDB-1F48-8444-84A7-259E2847FDCB}">
  <sheetPr>
    <tabColor theme="7"/>
  </sheetPr>
  <dimension ref="B2:O77"/>
  <sheetViews>
    <sheetView showGridLines="0" topLeftCell="A42" zoomScaleNormal="100" workbookViewId="0">
      <selection activeCell="O57" sqref="O57"/>
    </sheetView>
  </sheetViews>
  <sheetFormatPr baseColWidth="10" defaultRowHeight="15"/>
  <cols>
    <col min="1" max="1" width="3.6640625" style="67" customWidth="1"/>
    <col min="2" max="2" width="38.1640625" style="91" bestFit="1" customWidth="1"/>
    <col min="3" max="9" width="12.83203125" style="115" customWidth="1"/>
    <col min="10" max="10" width="2.6640625" style="115" customWidth="1"/>
    <col min="11" max="13" width="12.83203125" style="115" customWidth="1"/>
    <col min="14" max="14" width="3.83203125" style="67" customWidth="1"/>
    <col min="15" max="15" width="46.6640625" style="91" customWidth="1"/>
    <col min="16" max="16384" width="10.83203125" style="67"/>
  </cols>
  <sheetData>
    <row r="2" spans="2:13" ht="16">
      <c r="B2" s="96" t="s">
        <v>295</v>
      </c>
      <c r="C2" s="195" t="s">
        <v>208</v>
      </c>
      <c r="D2" s="195" t="s">
        <v>207</v>
      </c>
      <c r="E2" s="195" t="s">
        <v>206</v>
      </c>
      <c r="F2" s="195" t="s">
        <v>163</v>
      </c>
      <c r="G2" s="94" t="s">
        <v>156</v>
      </c>
      <c r="H2" s="94" t="s">
        <v>157</v>
      </c>
      <c r="I2" s="94" t="s">
        <v>158</v>
      </c>
      <c r="J2" s="95"/>
      <c r="K2" s="722" t="s">
        <v>14</v>
      </c>
      <c r="L2" s="722" t="s">
        <v>15</v>
      </c>
      <c r="M2" s="722" t="s">
        <v>130</v>
      </c>
    </row>
    <row r="3" spans="2:13" ht="16">
      <c r="B3" s="101" t="s">
        <v>75</v>
      </c>
      <c r="C3" s="197"/>
      <c r="D3" s="197"/>
      <c r="E3" s="197"/>
      <c r="F3" s="197"/>
      <c r="G3" s="103"/>
      <c r="H3" s="103"/>
      <c r="I3" s="103"/>
      <c r="J3" s="95"/>
      <c r="K3" s="116"/>
      <c r="L3" s="116"/>
      <c r="M3" s="116"/>
    </row>
    <row r="4" spans="2:13" ht="16">
      <c r="B4" s="78" t="s">
        <v>148</v>
      </c>
      <c r="C4" s="198">
        <f>KPIs!C4</f>
        <v>31942</v>
      </c>
      <c r="D4" s="198">
        <f>KPIs!D4</f>
        <v>31646</v>
      </c>
      <c r="E4" s="198">
        <f>KPIs!E4</f>
        <v>31345</v>
      </c>
      <c r="F4" s="198">
        <f>KPIs!F4</f>
        <v>31234</v>
      </c>
      <c r="G4" s="140">
        <f>KPIs!F4+'Base Case Assumptions'!G4</f>
        <v>31166</v>
      </c>
      <c r="H4" s="140">
        <f>G4+'Base Case Assumptions'!H4</f>
        <v>31126</v>
      </c>
      <c r="I4" s="140">
        <f>H4+'Base Case Assumptions'!I4</f>
        <v>31236</v>
      </c>
      <c r="J4" s="219"/>
      <c r="K4" s="200">
        <f>I4</f>
        <v>31236</v>
      </c>
      <c r="L4" s="200">
        <f>'Base Case Assumptions'!K5</f>
        <v>31127</v>
      </c>
      <c r="M4" s="200">
        <f>'Base Case Assumptions'!L5</f>
        <v>31018</v>
      </c>
    </row>
    <row r="5" spans="2:13" ht="17" thickBot="1">
      <c r="B5" s="201" t="s">
        <v>96</v>
      </c>
      <c r="C5" s="198">
        <f>KPIs!C5</f>
        <v>1933</v>
      </c>
      <c r="D5" s="198">
        <f>KPIs!D5</f>
        <v>1580</v>
      </c>
      <c r="E5" s="198">
        <f>KPIs!E5</f>
        <v>1582</v>
      </c>
      <c r="F5" s="202">
        <f>KPIs!F5</f>
        <v>1545</v>
      </c>
      <c r="G5" s="698">
        <f>KPIs!F5+'Base Case Assumptions'!G6</f>
        <v>1547</v>
      </c>
      <c r="H5" s="698">
        <f>G5+'Base Case Assumptions'!H6</f>
        <v>1598</v>
      </c>
      <c r="I5" s="698">
        <f>H5+'Base Case Assumptions'!I6</f>
        <v>1606</v>
      </c>
      <c r="J5" s="219"/>
      <c r="K5" s="204">
        <f>I5</f>
        <v>1606</v>
      </c>
      <c r="L5" s="698">
        <f>'Base Case Assumptions'!K7</f>
        <v>1606</v>
      </c>
      <c r="M5" s="698">
        <f>'Base Case Assumptions'!L7</f>
        <v>1606</v>
      </c>
    </row>
    <row r="6" spans="2:13" ht="16">
      <c r="B6" s="205" t="s">
        <v>94</v>
      </c>
      <c r="C6" s="207">
        <f>C4+C5</f>
        <v>33875</v>
      </c>
      <c r="D6" s="207">
        <f t="shared" ref="D6:E6" si="0">D4+D5</f>
        <v>33226</v>
      </c>
      <c r="E6" s="207">
        <f t="shared" si="0"/>
        <v>32927</v>
      </c>
      <c r="F6" s="207">
        <f>KPIs!F6</f>
        <v>32779</v>
      </c>
      <c r="G6" s="699">
        <f>SUM(G4:G5)</f>
        <v>32713</v>
      </c>
      <c r="H6" s="699">
        <f t="shared" ref="H6:I6" si="1">SUM(H4:H5)</f>
        <v>32724</v>
      </c>
      <c r="I6" s="699">
        <f t="shared" si="1"/>
        <v>32842</v>
      </c>
      <c r="J6" s="240"/>
      <c r="K6" s="210">
        <f>SUM(K4:K5)</f>
        <v>32842</v>
      </c>
      <c r="L6" s="210">
        <f t="shared" ref="L6:M6" si="2">SUM(L4:L5)</f>
        <v>32733</v>
      </c>
      <c r="M6" s="210">
        <f t="shared" si="2"/>
        <v>32624</v>
      </c>
    </row>
    <row r="7" spans="2:13" ht="16">
      <c r="B7" s="66" t="s">
        <v>285</v>
      </c>
      <c r="C7" s="198">
        <f>KPIs!C8</f>
        <v>33993</v>
      </c>
      <c r="D7" s="198">
        <f>KPIs!D8</f>
        <v>33292</v>
      </c>
      <c r="E7" s="198">
        <f>KPIs!E8</f>
        <v>32797</v>
      </c>
      <c r="F7" s="198">
        <f>KPIs!F8</f>
        <v>32799</v>
      </c>
      <c r="G7" s="140">
        <f>'Base Case Assumptions'!G8</f>
        <v>32756</v>
      </c>
      <c r="H7" s="140">
        <f>'Base Case Assumptions'!H8</f>
        <v>32718.5</v>
      </c>
      <c r="I7" s="140">
        <f>'Base Case Assumptions'!I8</f>
        <v>32783</v>
      </c>
      <c r="J7" s="140"/>
      <c r="K7" s="140">
        <f>'Base Case Assumptions'!J8</f>
        <v>32763.956164383562</v>
      </c>
      <c r="L7" s="140">
        <f>'Base Case Assumptions'!K8</f>
        <v>32787.5</v>
      </c>
      <c r="M7" s="140">
        <f>'Base Case Assumptions'!L8</f>
        <v>32678.5</v>
      </c>
    </row>
    <row r="8" spans="2:13" ht="16" hidden="1">
      <c r="B8" s="66" t="s">
        <v>288</v>
      </c>
      <c r="C8" s="700">
        <f>KPIs!C9</f>
        <v>1.6E-2</v>
      </c>
      <c r="D8" s="700">
        <f>KPIs!D9</f>
        <v>1.6E-2</v>
      </c>
      <c r="E8" s="700">
        <f>KPIs!E9</f>
        <v>1.4999999999999999E-2</v>
      </c>
      <c r="F8" s="213">
        <f>KPIs!F9</f>
        <v>1.4999999999999999E-2</v>
      </c>
      <c r="G8" s="701">
        <f>'Base Case Assumptions'!G9</f>
        <v>1.4999999999999999E-2</v>
      </c>
      <c r="H8" s="701">
        <f>'Base Case Assumptions'!H9</f>
        <v>1.6E-2</v>
      </c>
      <c r="I8" s="701">
        <f>'Base Case Assumptions'!I9</f>
        <v>1.4E-2</v>
      </c>
      <c r="J8" s="701"/>
      <c r="K8" s="701">
        <f>'Base Case Assumptions'!J9</f>
        <v>1.4999999999999999E-2</v>
      </c>
      <c r="L8" s="701">
        <f>'Base Case Assumptions'!K9</f>
        <v>1.4999999999999999E-2</v>
      </c>
      <c r="M8" s="701">
        <f>'Base Case Assumptions'!L9</f>
        <v>1.4999999999999999E-2</v>
      </c>
    </row>
    <row r="9" spans="2:13" ht="16">
      <c r="B9" s="66" t="s">
        <v>300</v>
      </c>
      <c r="C9" s="188">
        <f>KPIs!C10</f>
        <v>15.56</v>
      </c>
      <c r="D9" s="188">
        <f>KPIs!D10</f>
        <v>15.21</v>
      </c>
      <c r="E9" s="188">
        <f>KPIs!E10</f>
        <v>15.11</v>
      </c>
      <c r="F9" s="215">
        <f>KPIs!F10</f>
        <v>14.99</v>
      </c>
      <c r="G9" s="702">
        <f>'Base Case Assumptions'!G10</f>
        <v>15.350000000000001</v>
      </c>
      <c r="H9" s="702">
        <f>'Base Case Assumptions'!H10</f>
        <v>15.32</v>
      </c>
      <c r="I9" s="702">
        <f>'Base Case Assumptions'!I10</f>
        <v>15.24</v>
      </c>
      <c r="J9" s="219"/>
      <c r="K9" s="217">
        <f>'Base Case Assumptions'!J10</f>
        <v>15.225000000000001</v>
      </c>
      <c r="L9" s="217">
        <f>'Base Case Assumptions'!K10</f>
        <v>15.301124999999999</v>
      </c>
      <c r="M9" s="217">
        <f>'Base Case Assumptions'!L10</f>
        <v>15.377630624999997</v>
      </c>
    </row>
    <row r="10" spans="2:13" ht="16">
      <c r="B10" s="101" t="s">
        <v>98</v>
      </c>
      <c r="C10" s="197"/>
      <c r="D10" s="197"/>
      <c r="E10" s="197"/>
      <c r="F10" s="197"/>
      <c r="G10" s="166"/>
      <c r="H10" s="166"/>
      <c r="I10" s="166"/>
      <c r="J10" s="240"/>
      <c r="K10" s="200"/>
      <c r="L10" s="200"/>
      <c r="M10" s="200"/>
    </row>
    <row r="11" spans="2:13" ht="16">
      <c r="B11" s="66" t="s">
        <v>286</v>
      </c>
      <c r="C11" s="188" t="s">
        <v>287</v>
      </c>
      <c r="D11" s="198">
        <v>43344</v>
      </c>
      <c r="E11" s="198">
        <v>41112</v>
      </c>
      <c r="F11" s="198">
        <f>KPIs!F14</f>
        <v>40068</v>
      </c>
      <c r="G11" s="140">
        <f>F11*(1+'Base Case Assumptions'!G13)</f>
        <v>40377.328705999011</v>
      </c>
      <c r="H11" s="140">
        <f>G11*(1+'Base Case Assumptions'!H13)</f>
        <v>39315.962320277642</v>
      </c>
      <c r="I11" s="140">
        <f>H11*(1+'Base Case Assumptions'!I13)</f>
        <v>38890.28061477442</v>
      </c>
      <c r="J11" s="219"/>
      <c r="K11" s="187">
        <f>I11</f>
        <v>38890.28061477442</v>
      </c>
      <c r="L11" s="187">
        <f>K11*(1+'Base Case Assumptions'!K13)</f>
        <v>36945.7665840357</v>
      </c>
      <c r="M11" s="187">
        <f>L11*(1+'Base Case Assumptions'!L13)</f>
        <v>35098.478254833914</v>
      </c>
    </row>
    <row r="12" spans="2:13" ht="16">
      <c r="B12" s="66" t="s">
        <v>95</v>
      </c>
      <c r="C12" s="198">
        <f>KPIs!C15</f>
        <v>6053</v>
      </c>
      <c r="D12" s="198">
        <f>KPIs!D15</f>
        <v>5774</v>
      </c>
      <c r="E12" s="198">
        <f>KPIs!E15</f>
        <v>5630</v>
      </c>
      <c r="F12" s="198">
        <f>KPIs!F15</f>
        <v>5597</v>
      </c>
      <c r="G12" s="140">
        <f>'Base Case Assumptions'!G16</f>
        <v>5597.0001752848375</v>
      </c>
      <c r="H12" s="140">
        <f>'Base Case Assumptions'!H16</f>
        <v>5596.9975464730605</v>
      </c>
      <c r="I12" s="140">
        <f>'Base Case Assumptions'!I16</f>
        <v>5596.9868277944452</v>
      </c>
      <c r="J12" s="219"/>
      <c r="K12" s="187">
        <f>'Base Case Assumptions'!J16</f>
        <v>5596.9868277944452</v>
      </c>
      <c r="L12" s="187">
        <f>'Base Case Assumptions'!K16</f>
        <v>5485.0470912385563</v>
      </c>
      <c r="M12" s="187">
        <f>'Base Case Assumptions'!L16</f>
        <v>5375.3461494137855</v>
      </c>
    </row>
    <row r="13" spans="2:13" ht="16">
      <c r="B13" s="66" t="s">
        <v>97</v>
      </c>
      <c r="C13" s="198">
        <f>KPIs!C16</f>
        <v>6169</v>
      </c>
      <c r="D13" s="198">
        <f>KPIs!D16</f>
        <v>5929</v>
      </c>
      <c r="E13" s="198">
        <f>KPIs!E16</f>
        <v>5698</v>
      </c>
      <c r="F13" s="198">
        <f>KPIs!F16</f>
        <v>5605</v>
      </c>
      <c r="G13" s="140">
        <f>'Base Case Assumptions'!G17</f>
        <v>5597.0000876424183</v>
      </c>
      <c r="H13" s="140">
        <f>'Base Case Assumptions'!H17</f>
        <v>5596.998860878949</v>
      </c>
      <c r="I13" s="140">
        <f>'Base Case Assumptions'!I17</f>
        <v>5596.9921871337529</v>
      </c>
      <c r="J13" s="219"/>
      <c r="K13" s="187">
        <f>'Base Case Assumptions'!J17</f>
        <v>5520.3265813944136</v>
      </c>
      <c r="L13" s="187">
        <f>'Base Case Assumptions'!K17</f>
        <v>5541.0169595165007</v>
      </c>
      <c r="M13" s="187">
        <f>'Base Case Assumptions'!L17</f>
        <v>5430.1966203261709</v>
      </c>
    </row>
    <row r="14" spans="2:13" ht="16">
      <c r="B14" s="66" t="s">
        <v>131</v>
      </c>
      <c r="C14" s="186">
        <f>KPIs!C17</f>
        <v>10.48</v>
      </c>
      <c r="D14" s="186">
        <f>KPIs!D17</f>
        <v>9.94</v>
      </c>
      <c r="E14" s="186">
        <f>KPIs!E17</f>
        <v>9.75</v>
      </c>
      <c r="F14" s="186">
        <f>KPIs!F17</f>
        <v>2.2210000000000001</v>
      </c>
      <c r="G14" s="719">
        <f>'Base Case Assumptions'!G18</f>
        <v>2.4383744680851067</v>
      </c>
      <c r="H14" s="719">
        <f>'Base Case Assumptions'!H18</f>
        <v>2.3533148936170218</v>
      </c>
      <c r="I14" s="719">
        <f>'Base Case Assumptions'!I18</f>
        <v>2.2020978723404259</v>
      </c>
      <c r="J14" s="720"/>
      <c r="K14" s="721">
        <f>'Base Case Assumptions'!J18</f>
        <v>9.2147872340425536</v>
      </c>
      <c r="L14" s="721">
        <f>'Base Case Assumptions'!K18</f>
        <v>9.0386494498908352</v>
      </c>
      <c r="M14" s="721">
        <f>'Base Case Assumptions'!L18</f>
        <v>8.8658784845508691</v>
      </c>
    </row>
    <row r="15" spans="2:13" ht="32">
      <c r="B15" s="66" t="s">
        <v>289</v>
      </c>
      <c r="C15" s="186">
        <f>KPIs!C18</f>
        <v>99.39</v>
      </c>
      <c r="D15" s="186">
        <f>KPIs!D18</f>
        <v>100.59</v>
      </c>
      <c r="E15" s="186">
        <f>KPIs!E18</f>
        <v>91.78</v>
      </c>
      <c r="F15" s="186">
        <f>KPIs!F18</f>
        <v>84.11</v>
      </c>
      <c r="G15" s="719">
        <f>'Base Case Assumptions'!G19</f>
        <v>82.895067064083449</v>
      </c>
      <c r="H15" s="719">
        <f>'Base Case Assumptions'!H19</f>
        <v>89.265981156217279</v>
      </c>
      <c r="I15" s="719">
        <f>'Base Case Assumptions'!I19</f>
        <v>95.2937166234221</v>
      </c>
      <c r="J15" s="720"/>
      <c r="K15" s="721">
        <f>'Base Case Assumptions'!J19</f>
        <v>87.8911912109307</v>
      </c>
      <c r="L15" s="721">
        <f>'Base Case Assumptions'!K19</f>
        <v>86.00059560546535</v>
      </c>
      <c r="M15" s="721">
        <f>'Base Case Assumptions'!L19</f>
        <v>91.78</v>
      </c>
    </row>
    <row r="16" spans="2:13">
      <c r="B16" s="66"/>
      <c r="C16" s="188"/>
      <c r="D16" s="188"/>
      <c r="E16" s="188"/>
      <c r="F16" s="186"/>
      <c r="G16" s="140"/>
      <c r="H16" s="140"/>
      <c r="I16" s="140"/>
      <c r="J16" s="219"/>
      <c r="K16" s="187"/>
      <c r="L16" s="187"/>
      <c r="M16" s="187"/>
    </row>
    <row r="17" spans="2:15" ht="16">
      <c r="B17" s="66" t="s">
        <v>172</v>
      </c>
      <c r="C17" s="218">
        <f>'Revenue split'!E12-(C14*C15)</f>
        <v>547.39279999999985</v>
      </c>
      <c r="D17" s="218">
        <f>'Revenue split'!F12-(D14*D15)</f>
        <v>606.1354</v>
      </c>
      <c r="E17" s="218">
        <f>'Revenue split'!G12-(E14*E15)</f>
        <v>720.14499999999998</v>
      </c>
      <c r="F17" s="218">
        <f>'Revenue split'!H12-(F14*F15)</f>
        <v>185.19168999999999</v>
      </c>
      <c r="G17" s="140">
        <f>'Base Case Assumptions'!G22</f>
        <v>212.83412089722137</v>
      </c>
      <c r="H17" s="140">
        <f>'Base Case Assumptions'!H22</f>
        <v>232.91547751296093</v>
      </c>
      <c r="I17" s="140">
        <f>'Base Case Assumptions'!I22</f>
        <v>259.13990416963082</v>
      </c>
      <c r="J17" s="219"/>
      <c r="K17" s="187">
        <f>'Base Case Assumptions'!J22</f>
        <v>890.08119257981321</v>
      </c>
      <c r="L17" s="187">
        <f>'Base Case Assumptions'!K22</f>
        <v>1020.9161146284913</v>
      </c>
      <c r="M17" s="187">
        <f>'Base Case Assumptions'!L22</f>
        <v>1170.9827393242836</v>
      </c>
    </row>
    <row r="18" spans="2:15">
      <c r="F18" s="219"/>
      <c r="G18" s="703"/>
      <c r="H18" s="703"/>
      <c r="I18" s="703"/>
      <c r="J18" s="219"/>
      <c r="K18" s="221"/>
      <c r="L18" s="221"/>
      <c r="M18" s="221"/>
    </row>
    <row r="19" spans="2:15">
      <c r="K19" s="222"/>
      <c r="L19" s="223"/>
      <c r="M19" s="223"/>
    </row>
    <row r="20" spans="2:15" ht="16">
      <c r="B20" s="96" t="s">
        <v>173</v>
      </c>
      <c r="C20" s="195" t="s">
        <v>208</v>
      </c>
      <c r="D20" s="195" t="s">
        <v>207</v>
      </c>
      <c r="E20" s="195" t="s">
        <v>206</v>
      </c>
      <c r="F20" s="195" t="s">
        <v>163</v>
      </c>
      <c r="G20" s="94" t="s">
        <v>156</v>
      </c>
      <c r="H20" s="94" t="s">
        <v>157</v>
      </c>
      <c r="I20" s="94" t="s">
        <v>158</v>
      </c>
      <c r="J20" s="95"/>
      <c r="K20" s="722" t="s">
        <v>14</v>
      </c>
      <c r="L20" s="722" t="s">
        <v>15</v>
      </c>
      <c r="M20" s="722" t="s">
        <v>130</v>
      </c>
    </row>
    <row r="21" spans="2:15" ht="16">
      <c r="B21" s="101" t="s">
        <v>174</v>
      </c>
      <c r="C21" s="224">
        <f>'Revenue split'!E6</f>
        <v>6342</v>
      </c>
      <c r="D21" s="224">
        <f>'Revenue split'!F6</f>
        <v>6076</v>
      </c>
      <c r="E21" s="224">
        <f>'Revenue split'!G6</f>
        <v>5960</v>
      </c>
      <c r="F21" s="224">
        <f>'Revenue split'!H6</f>
        <v>1483</v>
      </c>
      <c r="G21" s="176">
        <f>($K$21-$F$21)*(G7*G9)/SUMPRODUCT($G$7:$I$7,$G$9:$I$9)</f>
        <v>1505.7320141519895</v>
      </c>
      <c r="H21" s="176">
        <f>($K$21-$F$21)*(H7*H9)/SUMPRODUCT($G$7:$I$7,$G$9:$I$9)</f>
        <v>1501.0687796115794</v>
      </c>
      <c r="I21" s="176">
        <f>($K$21-$F$21)*(I7*I9)/SUMPRODUCT($G$7:$I$7,$G$9:$I$9)</f>
        <v>1496.1739974693087</v>
      </c>
      <c r="J21" s="95"/>
      <c r="K21" s="176">
        <f>K7*K9*12/1000</f>
        <v>5985.9747912328776</v>
      </c>
      <c r="L21" s="176">
        <f t="shared" ref="L21:M21" si="3">L7*L9*12/1000</f>
        <v>6020.2276312499998</v>
      </c>
      <c r="M21" s="176">
        <f t="shared" si="3"/>
        <v>6030.2148285487483</v>
      </c>
      <c r="O21" s="225" t="s">
        <v>299</v>
      </c>
    </row>
    <row r="22" spans="2:15" ht="16">
      <c r="B22" s="101" t="s">
        <v>77</v>
      </c>
      <c r="C22" s="197">
        <f>'Revenue split'!E7</f>
        <v>169</v>
      </c>
      <c r="D22" s="197">
        <f>'Revenue split'!F7</f>
        <v>167</v>
      </c>
      <c r="E22" s="197">
        <f>'Revenue split'!G7</f>
        <v>157</v>
      </c>
      <c r="F22" s="197">
        <f>'Revenue split'!H7</f>
        <v>35</v>
      </c>
      <c r="G22" s="166">
        <f>F22*(1+'Base Case Assumptions'!G26)</f>
        <v>39.288135593220339</v>
      </c>
      <c r="H22" s="166">
        <f>G22*(1+'Base Case Assumptions'!H26)</f>
        <v>40.322033898305087</v>
      </c>
      <c r="I22" s="166">
        <f>H22*(1+'Base Case Assumptions'!I26)</f>
        <v>42.389830508474581</v>
      </c>
      <c r="J22" s="95"/>
      <c r="K22" s="166">
        <f>SUM(F22:I22)</f>
        <v>157</v>
      </c>
      <c r="L22" s="176">
        <f>K22*(1+'Base Case Assumptions'!K26)</f>
        <v>157</v>
      </c>
      <c r="M22" s="176">
        <f>L22*(1+'Base Case Assumptions'!L26)</f>
        <v>157</v>
      </c>
    </row>
    <row r="23" spans="2:15" ht="16">
      <c r="B23" s="101" t="s">
        <v>78</v>
      </c>
      <c r="C23" s="197">
        <f>'Revenue split'!E8</f>
        <v>193</v>
      </c>
      <c r="D23" s="197">
        <f>'Revenue split'!F8</f>
        <v>182</v>
      </c>
      <c r="E23" s="197">
        <f>'Revenue split'!G8</f>
        <v>178</v>
      </c>
      <c r="F23" s="197">
        <f>'Revenue split'!H8</f>
        <v>41</v>
      </c>
      <c r="G23" s="166">
        <f>F23*(1+'Base Case Assumptions'!G27)</f>
        <v>44.686452233897491</v>
      </c>
      <c r="H23" s="166">
        <f>G23*(1+'Base Case Assumptions'!H27)</f>
        <v>41.772118392556351</v>
      </c>
      <c r="I23" s="166">
        <f>H23*(1+'Base Case Assumptions'!I27)</f>
        <v>46.629341461458253</v>
      </c>
      <c r="J23" s="95"/>
      <c r="K23" s="166">
        <f>'Revenue split'!G8*(1+'Base Case Assumptions'!J27)</f>
        <v>174.08791208791209</v>
      </c>
      <c r="L23" s="166">
        <f>K23*(1+'Base Case Assumptions'!K27)</f>
        <v>170.261804129936</v>
      </c>
      <c r="M23" s="166">
        <f>L23*(1+'Base Case Assumptions'!L27)</f>
        <v>166.51978645675058</v>
      </c>
    </row>
    <row r="24" spans="2:15" ht="16">
      <c r="B24" s="101" t="s">
        <v>79</v>
      </c>
      <c r="C24" s="197">
        <f>'Revenue split'!E9</f>
        <v>136</v>
      </c>
      <c r="D24" s="197">
        <f>'Revenue split'!F9</f>
        <v>128</v>
      </c>
      <c r="E24" s="197">
        <f>'Revenue split'!G9</f>
        <v>122</v>
      </c>
      <c r="F24" s="197">
        <f>'Revenue split'!H9</f>
        <v>31</v>
      </c>
      <c r="G24" s="103">
        <f>F24*(1+'Base Case Assumptions'!G28)</f>
        <v>31</v>
      </c>
      <c r="H24" s="103">
        <f>G24*(1+'Base Case Assumptions'!H28)</f>
        <v>32</v>
      </c>
      <c r="I24" s="103">
        <f>H24*(1+'Base Case Assumptions'!I28)</f>
        <v>28</v>
      </c>
      <c r="J24" s="95"/>
      <c r="K24" s="103">
        <f>'Revenue split'!G9*(1+'Base Case Assumptions'!J28)</f>
        <v>122</v>
      </c>
      <c r="L24" s="103">
        <f>K24*(1+'Base Case Assumptions'!K28)</f>
        <v>122</v>
      </c>
      <c r="M24" s="103">
        <f>L24*(1+'Base Case Assumptions'!L28)</f>
        <v>122</v>
      </c>
    </row>
    <row r="25" spans="2:15" ht="16">
      <c r="B25" s="96" t="s">
        <v>304</v>
      </c>
      <c r="C25" s="195" t="s">
        <v>208</v>
      </c>
      <c r="D25" s="195" t="s">
        <v>207</v>
      </c>
      <c r="E25" s="195" t="s">
        <v>206</v>
      </c>
      <c r="F25" s="195" t="s">
        <v>163</v>
      </c>
      <c r="G25" s="94" t="s">
        <v>156</v>
      </c>
      <c r="H25" s="94" t="s">
        <v>157</v>
      </c>
      <c r="I25" s="94" t="s">
        <v>158</v>
      </c>
      <c r="J25" s="95"/>
      <c r="K25" s="722" t="s">
        <v>14</v>
      </c>
      <c r="L25" s="722" t="s">
        <v>15</v>
      </c>
      <c r="M25" s="722" t="s">
        <v>130</v>
      </c>
    </row>
    <row r="26" spans="2:15" ht="48">
      <c r="B26" s="101" t="s">
        <v>84</v>
      </c>
      <c r="C26" s="704">
        <f>'Revenue split'!E11</f>
        <v>524</v>
      </c>
      <c r="D26" s="704">
        <f>'Revenue split'!F11</f>
        <v>540</v>
      </c>
      <c r="E26" s="704">
        <f>'Revenue split'!G11</f>
        <v>526</v>
      </c>
      <c r="F26" s="717">
        <f>'Revenue split'!H11</f>
        <v>129</v>
      </c>
      <c r="G26" s="176">
        <f>($K$26-$F$26)*G13/SUM($G$13:$I$13)</f>
        <v>126.86620806431267</v>
      </c>
      <c r="H26" s="176">
        <f>($K$26-$F$26)*H13/SUM($G$13:$I$13)</f>
        <v>126.86618025748277</v>
      </c>
      <c r="I26" s="176">
        <f>($K$26-$F$26)*I13/SUM($G$13:$I$13)</f>
        <v>126.86602898488434</v>
      </c>
      <c r="J26" s="240"/>
      <c r="K26" s="176">
        <f>'Revenue split'!G11*(K13/KPIs!E16)*(1+'Base Case Assumptions'!J29)</f>
        <v>509.59841730667978</v>
      </c>
      <c r="L26" s="176">
        <f>K26*(L13/K13)*(1+'Base Case Assumptions'!K29)</f>
        <v>508.95086804179556</v>
      </c>
      <c r="M26" s="176">
        <f>L26*(M13/L13)*(1+'Base Case Assumptions'!L29)</f>
        <v>496.27799142755481</v>
      </c>
      <c r="O26" s="225" t="s">
        <v>305</v>
      </c>
    </row>
    <row r="27" spans="2:15" ht="48">
      <c r="B27" s="78" t="s">
        <v>293</v>
      </c>
      <c r="C27" s="218">
        <f>C14*C15</f>
        <v>1041.6072000000001</v>
      </c>
      <c r="D27" s="218">
        <f t="shared" ref="D27:E27" si="4">D14*D15</f>
        <v>999.8646</v>
      </c>
      <c r="E27" s="218">
        <f t="shared" si="4"/>
        <v>894.85500000000002</v>
      </c>
      <c r="F27" s="718">
        <f>F14*F15</f>
        <v>186.80831000000001</v>
      </c>
      <c r="G27" s="200">
        <f>G14*G15</f>
        <v>202.12921505926371</v>
      </c>
      <c r="H27" s="200">
        <f>H14*H15</f>
        <v>210.07096294826255</v>
      </c>
      <c r="I27" s="200">
        <f>I14*I15</f>
        <v>209.84609062384928</v>
      </c>
      <c r="J27" s="219"/>
      <c r="K27" s="200">
        <f>K14*K15</f>
        <v>809.89862675527729</v>
      </c>
      <c r="L27" s="200">
        <f>L14*L15</f>
        <v>777.32923615962352</v>
      </c>
      <c r="M27" s="200">
        <f>M14*M15</f>
        <v>813.71032731207879</v>
      </c>
      <c r="O27" s="91" t="s">
        <v>306</v>
      </c>
    </row>
    <row r="28" spans="2:15" ht="17" customHeight="1">
      <c r="B28" s="78" t="s">
        <v>294</v>
      </c>
      <c r="C28" s="274">
        <f>'Revenue split'!E12-'Base Case Forecast '!C27</f>
        <v>547.39279999999985</v>
      </c>
      <c r="D28" s="274">
        <f>'Revenue split'!F12-'Base Case Forecast '!D27</f>
        <v>606.1354</v>
      </c>
      <c r="E28" s="274">
        <f>'Revenue split'!G12-'Base Case Forecast '!E27</f>
        <v>720.14499999999998</v>
      </c>
      <c r="F28" s="716">
        <f>F17</f>
        <v>185.19168999999999</v>
      </c>
      <c r="G28" s="200">
        <f t="shared" ref="G28:M28" si="5">G17</f>
        <v>212.83412089722137</v>
      </c>
      <c r="H28" s="200">
        <f t="shared" si="5"/>
        <v>232.91547751296093</v>
      </c>
      <c r="I28" s="200">
        <f t="shared" si="5"/>
        <v>259.13990416963082</v>
      </c>
      <c r="J28" s="219"/>
      <c r="K28" s="200">
        <f>K17</f>
        <v>890.08119257981321</v>
      </c>
      <c r="L28" s="200">
        <f>L17</f>
        <v>1020.9161146284913</v>
      </c>
      <c r="M28" s="200">
        <f t="shared" si="5"/>
        <v>1170.9827393242836</v>
      </c>
    </row>
    <row r="29" spans="2:15" ht="16">
      <c r="B29" s="101" t="s">
        <v>134</v>
      </c>
      <c r="C29" s="705">
        <f>SUM(C27:C28)</f>
        <v>1589</v>
      </c>
      <c r="D29" s="705">
        <f t="shared" ref="D29:E29" si="6">SUM(D27:D28)</f>
        <v>1606</v>
      </c>
      <c r="E29" s="705">
        <f t="shared" si="6"/>
        <v>1615</v>
      </c>
      <c r="F29" s="717">
        <f>F27+F28</f>
        <v>372</v>
      </c>
      <c r="G29" s="176">
        <f t="shared" ref="G29:I29" si="7">G27+G28</f>
        <v>414.96333595648508</v>
      </c>
      <c r="H29" s="176">
        <f t="shared" si="7"/>
        <v>442.98644046122348</v>
      </c>
      <c r="I29" s="176">
        <f t="shared" si="7"/>
        <v>468.98599479348013</v>
      </c>
      <c r="J29" s="240"/>
      <c r="K29" s="176">
        <f t="shared" ref="K29:L29" si="8">K27+K28</f>
        <v>1699.9798193350905</v>
      </c>
      <c r="L29" s="176">
        <f t="shared" si="8"/>
        <v>1798.2453507881148</v>
      </c>
      <c r="M29" s="176">
        <f t="shared" ref="M29" si="9">M27+M28</f>
        <v>1984.6930666363623</v>
      </c>
    </row>
    <row r="30" spans="2:15" ht="16">
      <c r="B30" s="96" t="s">
        <v>135</v>
      </c>
      <c r="C30" s="195" t="s">
        <v>208</v>
      </c>
      <c r="D30" s="195" t="s">
        <v>207</v>
      </c>
      <c r="E30" s="195" t="s">
        <v>206</v>
      </c>
      <c r="F30" s="238" t="s">
        <v>163</v>
      </c>
      <c r="G30" s="239" t="s">
        <v>156</v>
      </c>
      <c r="H30" s="239" t="s">
        <v>157</v>
      </c>
      <c r="I30" s="239" t="s">
        <v>158</v>
      </c>
      <c r="J30" s="240"/>
      <c r="K30" s="722" t="s">
        <v>14</v>
      </c>
      <c r="L30" s="722" t="s">
        <v>15</v>
      </c>
      <c r="M30" s="722" t="s">
        <v>130</v>
      </c>
    </row>
    <row r="31" spans="2:15" ht="16">
      <c r="B31" s="66" t="s">
        <v>19</v>
      </c>
      <c r="C31" s="218">
        <f>SUM(C21:C24,C26,C29)</f>
        <v>8953</v>
      </c>
      <c r="D31" s="218">
        <f t="shared" ref="D31:E31" si="10">SUM(D21:D24,D26,D29)</f>
        <v>8699</v>
      </c>
      <c r="E31" s="218">
        <f t="shared" si="10"/>
        <v>8558</v>
      </c>
      <c r="F31" s="218">
        <f>SUM(F21:F24,F26,F29)</f>
        <v>2091</v>
      </c>
      <c r="G31" s="140">
        <f>SUM(G21:G24,G26,G29)</f>
        <v>2162.5361459999049</v>
      </c>
      <c r="H31" s="140">
        <f>SUM(H21:H24,H26,H29)</f>
        <v>2185.015552621147</v>
      </c>
      <c r="I31" s="140">
        <f>SUM(I21:I24,I26,I29)</f>
        <v>2209.0451932176061</v>
      </c>
      <c r="J31" s="219"/>
      <c r="K31" s="140">
        <f>SUM(K21:K24,K26,K29)</f>
        <v>8648.6409399625591</v>
      </c>
      <c r="L31" s="140">
        <f>SUM(L21:L24,L26,L29)</f>
        <v>8776.6856542098467</v>
      </c>
      <c r="M31" s="140">
        <f>SUM(M21:M24,M26,M29)</f>
        <v>8956.7056730694167</v>
      </c>
    </row>
    <row r="32" spans="2:15" ht="16">
      <c r="B32" s="241" t="s">
        <v>56</v>
      </c>
      <c r="C32" s="706"/>
      <c r="D32" s="707">
        <f>D31/C31-1</f>
        <v>-2.8370378644029914E-2</v>
      </c>
      <c r="E32" s="707">
        <f>E31/D31-1</f>
        <v>-1.6208759627543423E-2</v>
      </c>
      <c r="F32" s="218"/>
      <c r="G32" s="708">
        <f>G31/F31-1</f>
        <v>3.4211451936826842E-2</v>
      </c>
      <c r="H32" s="708">
        <f t="shared" ref="H32:I32" si="11">H31/G31-1</f>
        <v>1.0394927577429325E-2</v>
      </c>
      <c r="I32" s="708">
        <f t="shared" si="11"/>
        <v>1.0997468904801577E-2</v>
      </c>
      <c r="J32" s="219"/>
      <c r="K32" s="245">
        <f>K31/'Revenue split'!G13-1</f>
        <v>1.0591369474475254E-2</v>
      </c>
      <c r="L32" s="245">
        <f>L31/K31-1</f>
        <v>1.4805183280951706E-2</v>
      </c>
      <c r="M32" s="245">
        <f>M31/L31-1</f>
        <v>2.051116172461076E-2</v>
      </c>
    </row>
    <row r="34" spans="2:13" ht="18">
      <c r="B34" s="246" t="s">
        <v>85</v>
      </c>
      <c r="C34" s="247">
        <f>'Financial One Pager'!J24</f>
        <v>4209</v>
      </c>
      <c r="D34" s="247">
        <f>'Financial One Pager'!K24</f>
        <v>4129</v>
      </c>
      <c r="E34" s="247">
        <f>'Financial One Pager'!L24</f>
        <v>4118</v>
      </c>
      <c r="F34" s="247">
        <f>1002</f>
        <v>1002</v>
      </c>
      <c r="G34" s="709">
        <f>G31*'Base Case Assumptions'!G33</f>
        <v>1025.8562818373198</v>
      </c>
      <c r="H34" s="709">
        <f>H31*'Base Case Assumptions'!H33</f>
        <v>1036.5199835918695</v>
      </c>
      <c r="I34" s="709">
        <f>I31*'Base Case Assumptions'!I33</f>
        <v>1047.9190798806267</v>
      </c>
      <c r="J34" s="710"/>
      <c r="K34" s="709">
        <f t="shared" ref="K34:K40" si="12">SUM(F34:I34)</f>
        <v>4112.2953453098162</v>
      </c>
      <c r="L34" s="709">
        <f>L31*'Base Case Assumptions'!K33</f>
        <v>4163.4532346369642</v>
      </c>
      <c r="M34" s="709">
        <f>M31*'Base Case Assumptions'!L33</f>
        <v>4248.8504972654564</v>
      </c>
    </row>
    <row r="35" spans="2:13" ht="18">
      <c r="B35" s="250" t="s">
        <v>20</v>
      </c>
      <c r="C35" s="261">
        <f>'Financial One Pager'!J25</f>
        <v>4744</v>
      </c>
      <c r="D35" s="261">
        <f>'Financial One Pager'!K25</f>
        <v>4570</v>
      </c>
      <c r="E35" s="261">
        <f>'Financial One Pager'!L25</f>
        <v>4440</v>
      </c>
      <c r="F35" s="252">
        <f>F31-F34</f>
        <v>1089</v>
      </c>
      <c r="G35" s="711">
        <f>G31-G34</f>
        <v>1136.6798641625851</v>
      </c>
      <c r="H35" s="711">
        <f t="shared" ref="H35:I35" si="13">H31-H34</f>
        <v>1148.4955690292775</v>
      </c>
      <c r="I35" s="711">
        <f t="shared" si="13"/>
        <v>1161.1261133369794</v>
      </c>
      <c r="J35" s="710"/>
      <c r="K35" s="711">
        <f t="shared" si="12"/>
        <v>4535.3015465288427</v>
      </c>
      <c r="L35" s="711">
        <f>L31-L34</f>
        <v>4613.2324195728825</v>
      </c>
      <c r="M35" s="711">
        <f>M31-M34</f>
        <v>4707.8551758039603</v>
      </c>
    </row>
    <row r="36" spans="2:13" ht="18">
      <c r="B36" s="254" t="s">
        <v>86</v>
      </c>
      <c r="C36" s="263">
        <f>'Financial One Pager'!J26</f>
        <v>359</v>
      </c>
      <c r="D36" s="263">
        <f>'Financial One Pager'!K26</f>
        <v>369</v>
      </c>
      <c r="E36" s="263">
        <f>'Financial One Pager'!L26</f>
        <v>414</v>
      </c>
      <c r="F36" s="188">
        <f>100</f>
        <v>100</v>
      </c>
      <c r="G36" s="709">
        <f>(G35-G40)*'Base Case Assumptions'!G37</f>
        <v>114.77176970063665</v>
      </c>
      <c r="H36" s="709">
        <f>(H35-H40)*'Base Case Assumptions'!H37</f>
        <v>115.96481393460822</v>
      </c>
      <c r="I36" s="709">
        <f>(I35-I40)*'Base Case Assumptions'!I37</f>
        <v>117.24013336990518</v>
      </c>
      <c r="J36" s="710"/>
      <c r="K36" s="709">
        <f t="shared" si="12"/>
        <v>447.97671700515002</v>
      </c>
      <c r="L36" s="709">
        <f>(L35-L40)*'Base Case Assumptions'!K37</f>
        <v>450.85572069988206</v>
      </c>
      <c r="M36" s="709">
        <f>(M35-M40)*'Base Case Assumptions'!L37</f>
        <v>455.42717576807019</v>
      </c>
    </row>
    <row r="37" spans="2:13" ht="18">
      <c r="B37" s="254" t="s">
        <v>87</v>
      </c>
      <c r="C37" s="263">
        <f>'Financial One Pager'!J27</f>
        <v>931</v>
      </c>
      <c r="D37" s="263">
        <f>'Financial One Pager'!K27</f>
        <v>894</v>
      </c>
      <c r="E37" s="263">
        <f>'Financial One Pager'!L27</f>
        <v>760</v>
      </c>
      <c r="F37" s="188">
        <f>187</f>
        <v>187</v>
      </c>
      <c r="G37" s="709">
        <f>(G35-G40)*'Base Case Assumptions'!G38</f>
        <v>212.66118325668393</v>
      </c>
      <c r="H37" s="709">
        <f>(H35-H40)*'Base Case Assumptions'!H38</f>
        <v>214.87178085516766</v>
      </c>
      <c r="I37" s="709">
        <f>(I35-I40)*'Base Case Assumptions'!I38</f>
        <v>217.23482658364173</v>
      </c>
      <c r="J37" s="710"/>
      <c r="K37" s="709">
        <f t="shared" si="12"/>
        <v>831.76779069549332</v>
      </c>
      <c r="L37" s="709">
        <f>(L35-L40)*'Base Case Assumptions'!K38</f>
        <v>835.39280863375996</v>
      </c>
      <c r="M37" s="709">
        <f>(M35-M40)*'Base Case Assumptions'!L38</f>
        <v>843.86328048011558</v>
      </c>
    </row>
    <row r="38" spans="2:13" ht="18">
      <c r="B38" s="254" t="s">
        <v>88</v>
      </c>
      <c r="C38" s="263">
        <f>'Financial One Pager'!J28</f>
        <v>322</v>
      </c>
      <c r="D38" s="263">
        <f>'Financial One Pager'!K28</f>
        <v>296</v>
      </c>
      <c r="E38" s="263">
        <f>'Financial One Pager'!L28</f>
        <v>263</v>
      </c>
      <c r="F38" s="188">
        <f>69</f>
        <v>69</v>
      </c>
      <c r="G38" s="709">
        <f>(G35-G40)*'Base Case Assumptions'!G39</f>
        <v>76.057153600332114</v>
      </c>
      <c r="H38" s="709">
        <f>(H35-H40)*'Base Case Assumptions'!H39</f>
        <v>76.847762203753007</v>
      </c>
      <c r="I38" s="709">
        <f>(I35-I40)*'Base Case Assumptions'!I39</f>
        <v>77.692893078992384</v>
      </c>
      <c r="J38" s="710"/>
      <c r="K38" s="709">
        <f t="shared" si="12"/>
        <v>299.59780888307751</v>
      </c>
      <c r="L38" s="709">
        <f>(L35-L40)*'Base Case Assumptions'!K39</f>
        <v>298.77384386684372</v>
      </c>
      <c r="M38" s="709">
        <f>(M35-M40)*'Base Case Assumptions'!L39</f>
        <v>301.80326356826595</v>
      </c>
    </row>
    <row r="39" spans="2:13" ht="18">
      <c r="B39" s="254" t="s">
        <v>89</v>
      </c>
      <c r="C39" s="263">
        <f>'Financial One Pager'!J29</f>
        <v>608</v>
      </c>
      <c r="D39" s="263">
        <f>'Financial One Pager'!K29</f>
        <v>497</v>
      </c>
      <c r="E39" s="263">
        <f>'Financial One Pager'!L29</f>
        <v>549</v>
      </c>
      <c r="F39" s="188">
        <v>122</v>
      </c>
      <c r="G39" s="709">
        <f>(G35-G40)*'Base Case Assumptions'!G40</f>
        <v>146.09858199582112</v>
      </c>
      <c r="H39" s="709">
        <f>(H35-H40)*'Base Case Assumptions'!H40</f>
        <v>147.61726617483285</v>
      </c>
      <c r="I39" s="709">
        <f>(I35-I40)*'Base Case Assumptions'!I40</f>
        <v>149.2406824694024</v>
      </c>
      <c r="J39" s="710"/>
      <c r="K39" s="709">
        <f t="shared" si="12"/>
        <v>564.95653064005637</v>
      </c>
      <c r="L39" s="709">
        <f>(L35-L40)*'Base Case Assumptions'!K40</f>
        <v>573.91623088818983</v>
      </c>
      <c r="M39" s="709">
        <f>(M35-M40)*'Base Case Assumptions'!L40</f>
        <v>579.73545895151904</v>
      </c>
    </row>
    <row r="40" spans="2:13" ht="18">
      <c r="B40" s="256" t="s">
        <v>93</v>
      </c>
      <c r="C40" s="715">
        <f>'Financial One Pager'!J30</f>
        <v>2524</v>
      </c>
      <c r="D40" s="715">
        <f>'Financial One Pager'!K30</f>
        <v>2514</v>
      </c>
      <c r="E40" s="715">
        <f>'Financial One Pager'!L30</f>
        <v>2454</v>
      </c>
      <c r="F40" s="258">
        <f>F35-SUM(F36:F39)</f>
        <v>611</v>
      </c>
      <c r="G40" s="712">
        <f>G44-G42-G43</f>
        <v>587.09117560911125</v>
      </c>
      <c r="H40" s="712">
        <f t="shared" ref="H40:I40" si="14">H44-H42-H43</f>
        <v>593.19394586091573</v>
      </c>
      <c r="I40" s="712">
        <f t="shared" si="14"/>
        <v>599.71757783503767</v>
      </c>
      <c r="J40" s="710"/>
      <c r="K40" s="712">
        <f t="shared" si="12"/>
        <v>2391.0026993050651</v>
      </c>
      <c r="L40" s="712">
        <f>L44-L42-L43</f>
        <v>2454.2938154842068</v>
      </c>
      <c r="M40" s="712">
        <f>M44-M42-M43</f>
        <v>2527.0259970359893</v>
      </c>
    </row>
    <row r="41" spans="2:13" ht="18">
      <c r="B41" s="260" t="s">
        <v>90</v>
      </c>
      <c r="C41" s="261"/>
      <c r="D41" s="261"/>
      <c r="E41" s="261"/>
      <c r="F41" s="188"/>
      <c r="G41" s="262"/>
      <c r="H41" s="262"/>
      <c r="I41" s="262"/>
      <c r="J41" s="710"/>
      <c r="K41" s="262"/>
      <c r="L41" s="262"/>
      <c r="M41" s="262"/>
    </row>
    <row r="42" spans="2:13" ht="18">
      <c r="B42" s="254" t="s">
        <v>91</v>
      </c>
      <c r="C42" s="263">
        <f>'Financial One Pager'!J32</f>
        <v>203</v>
      </c>
      <c r="D42" s="263">
        <f>'Financial One Pager'!K32</f>
        <v>200</v>
      </c>
      <c r="E42" s="263">
        <f>'Financial One Pager'!L32</f>
        <v>181</v>
      </c>
      <c r="F42" s="188">
        <v>54</v>
      </c>
      <c r="G42" s="709">
        <f>G31*'Base Case Assumptions'!G34</f>
        <v>50.79231415824097</v>
      </c>
      <c r="H42" s="709">
        <f>H31*'Base Case Assumptions'!H34</f>
        <v>51.32029658540592</v>
      </c>
      <c r="I42" s="709">
        <f>I31*'Base Case Assumptions'!I34</f>
        <v>51.884689951289126</v>
      </c>
      <c r="J42" s="710"/>
      <c r="K42" s="709">
        <f>SUM(F42:I42)</f>
        <v>207.997300694936</v>
      </c>
      <c r="L42" s="709">
        <f>L31*'Base Case Assumptions'!K34</f>
        <v>206.14137518179214</v>
      </c>
      <c r="M42" s="709">
        <f>M31*'Base Case Assumptions'!L34</f>
        <v>210.36957426627956</v>
      </c>
    </row>
    <row r="43" spans="2:13" ht="18">
      <c r="B43" s="254" t="s">
        <v>92</v>
      </c>
      <c r="C43" s="263">
        <f>'Financial One Pager'!J33</f>
        <v>31</v>
      </c>
      <c r="D43" s="263">
        <f>'Financial One Pager'!K33</f>
        <v>3</v>
      </c>
      <c r="E43" s="263">
        <f>'Financial One Pager'!L33</f>
        <v>30</v>
      </c>
      <c r="F43" s="188">
        <v>1</v>
      </c>
      <c r="G43" s="709">
        <f>'Base Case Assumptions'!G35</f>
        <v>0</v>
      </c>
      <c r="H43" s="709">
        <f>'Base Case Assumptions'!H35</f>
        <v>0</v>
      </c>
      <c r="I43" s="709">
        <f>'Base Case Assumptions'!I35</f>
        <v>0</v>
      </c>
      <c r="J43" s="710"/>
      <c r="K43" s="709">
        <f>SUM(F43:I43)</f>
        <v>1</v>
      </c>
      <c r="L43" s="709">
        <f>'Base Case Assumptions'!K35</f>
        <v>0</v>
      </c>
      <c r="M43" s="709">
        <f>'Base Case Assumptions'!L35</f>
        <v>0</v>
      </c>
    </row>
    <row r="44" spans="2:13" ht="16">
      <c r="B44" s="250" t="s">
        <v>21</v>
      </c>
      <c r="C44" s="224">
        <f>'Financial One Pager'!J34</f>
        <v>2758</v>
      </c>
      <c r="D44" s="224">
        <f>'Financial One Pager'!K34</f>
        <v>2717</v>
      </c>
      <c r="E44" s="224">
        <f>'Financial One Pager'!L34</f>
        <v>2665</v>
      </c>
      <c r="F44" s="252">
        <f>SUM(F40,F42:F43)</f>
        <v>666</v>
      </c>
      <c r="G44" s="713">
        <f>(('Base Case Assumptions'!$J$36*$K$31)-$F$44)*(G31/SUM($G$31:$I$31))</f>
        <v>637.88348976735222</v>
      </c>
      <c r="H44" s="713">
        <f>(('Base Case Assumptions'!$J$36*$K$31)-$F$44)*(H31/SUM($G$31:$I$31))</f>
        <v>644.51424244632165</v>
      </c>
      <c r="I44" s="713">
        <f>(('Base Case Assumptions'!$J$36*$K$31)-$F$44)*(I31/SUM($G$31:$I$31))</f>
        <v>651.60226778632682</v>
      </c>
      <c r="K44" s="711">
        <f>SUM(F44:I44)</f>
        <v>2600.0000000000009</v>
      </c>
      <c r="L44" s="711">
        <f>L31*'Base Case Assumptions'!K36</f>
        <v>2660.435190665999</v>
      </c>
      <c r="M44" s="711">
        <f>M31*'Base Case Assumptions'!L36</f>
        <v>2737.3955713022688</v>
      </c>
    </row>
    <row r="46" spans="2:13" ht="16">
      <c r="B46" s="96" t="s">
        <v>209</v>
      </c>
      <c r="C46" s="195" t="s">
        <v>208</v>
      </c>
      <c r="D46" s="195" t="s">
        <v>207</v>
      </c>
      <c r="E46" s="195" t="s">
        <v>206</v>
      </c>
      <c r="F46" s="195" t="s">
        <v>163</v>
      </c>
      <c r="G46" s="94" t="s">
        <v>156</v>
      </c>
      <c r="H46" s="94" t="s">
        <v>157</v>
      </c>
      <c r="I46" s="94" t="s">
        <v>158</v>
      </c>
      <c r="J46" s="95"/>
      <c r="K46" s="722" t="s">
        <v>14</v>
      </c>
      <c r="L46" s="722" t="s">
        <v>15</v>
      </c>
      <c r="M46" s="722" t="s">
        <v>130</v>
      </c>
    </row>
    <row r="47" spans="2:13" ht="16">
      <c r="B47" s="66" t="s">
        <v>105</v>
      </c>
      <c r="C47" s="267">
        <f>'Financial One Pager'!J64</f>
        <v>1195</v>
      </c>
      <c r="D47" s="267">
        <f>'Financial One Pager'!K64</f>
        <v>1050</v>
      </c>
      <c r="E47" s="267">
        <f>'Financial One Pager'!L64</f>
        <v>1058</v>
      </c>
      <c r="F47" s="267">
        <f>'Financial One Pager'!M64</f>
        <v>59</v>
      </c>
      <c r="G47" s="116">
        <f>'Base Case Debt schedule'!D12</f>
        <v>59</v>
      </c>
      <c r="H47" s="116">
        <f>'Base Case Debt schedule'!E12</f>
        <v>59</v>
      </c>
      <c r="I47" s="116">
        <f>'Base Case Debt schedule'!F12</f>
        <v>59</v>
      </c>
      <c r="K47" s="116">
        <f>I47</f>
        <v>59</v>
      </c>
      <c r="L47" s="116">
        <f>K47</f>
        <v>59</v>
      </c>
      <c r="M47" s="116">
        <f>L47</f>
        <v>59</v>
      </c>
    </row>
    <row r="48" spans="2:13" ht="16">
      <c r="B48" s="66" t="s">
        <v>210</v>
      </c>
      <c r="C48" s="267">
        <f>'Financial One Pager'!J65</f>
        <v>10073</v>
      </c>
      <c r="D48" s="267">
        <f>'Financial One Pager'!K65</f>
        <v>10314</v>
      </c>
      <c r="E48" s="267">
        <f>'Financial One Pager'!L65</f>
        <v>8648</v>
      </c>
      <c r="F48" s="267">
        <f>'Financial One Pager'!M65</f>
        <v>9688</v>
      </c>
      <c r="G48" s="126">
        <f>'Base Case Debt schedule'!D11</f>
        <v>9604.25</v>
      </c>
      <c r="H48" s="126">
        <f>'Base Case Debt schedule'!E11</f>
        <v>9590.5</v>
      </c>
      <c r="I48" s="126">
        <f>'Base Case Debt schedule'!F11</f>
        <v>9576.75</v>
      </c>
      <c r="K48" s="126">
        <f>I48</f>
        <v>9576.75</v>
      </c>
      <c r="L48" s="126">
        <f>'Base Case Debt schedule'!I11</f>
        <v>7982</v>
      </c>
      <c r="M48" s="126">
        <f>'Base Case Debt schedule'!J11</f>
        <v>6407</v>
      </c>
    </row>
    <row r="49" spans="2:15" s="118" customFormat="1" ht="16">
      <c r="B49" s="101" t="s">
        <v>211</v>
      </c>
      <c r="C49" s="269">
        <f>'Financial One Pager'!J67</f>
        <v>11268</v>
      </c>
      <c r="D49" s="269">
        <f>'Financial One Pager'!K67</f>
        <v>11364</v>
      </c>
      <c r="E49" s="269">
        <f>'Financial One Pager'!L67</f>
        <v>9706</v>
      </c>
      <c r="F49" s="269">
        <f>SUM(F47:F48)</f>
        <v>9747</v>
      </c>
      <c r="G49" s="166">
        <f>SUM(G47:G48)</f>
        <v>9663.25</v>
      </c>
      <c r="H49" s="166">
        <f t="shared" ref="H49:I49" si="15">SUM(H47:H48)</f>
        <v>9649.5</v>
      </c>
      <c r="I49" s="166">
        <f t="shared" si="15"/>
        <v>9635.75</v>
      </c>
      <c r="J49" s="95"/>
      <c r="K49" s="166">
        <f>SUM(K47:K48)</f>
        <v>9635.75</v>
      </c>
      <c r="L49" s="166">
        <f t="shared" ref="L49:M49" si="16">SUM(L47:L48)</f>
        <v>8041</v>
      </c>
      <c r="M49" s="166">
        <f t="shared" si="16"/>
        <v>6466</v>
      </c>
      <c r="O49" s="104"/>
    </row>
    <row r="50" spans="2:15" s="118" customFormat="1" ht="16">
      <c r="B50" s="101" t="s">
        <v>212</v>
      </c>
      <c r="C50" s="269">
        <f>'Financial One Pager'!J68</f>
        <v>306</v>
      </c>
      <c r="D50" s="269">
        <f>'Financial One Pager'!K68</f>
        <v>162</v>
      </c>
      <c r="E50" s="269">
        <f>'Financial One Pager'!L68</f>
        <v>94</v>
      </c>
      <c r="F50" s="269">
        <v>75</v>
      </c>
      <c r="G50" s="182">
        <f>G75</f>
        <v>372.57</v>
      </c>
      <c r="H50" s="182">
        <f t="shared" ref="H50:M50" si="17">H75</f>
        <v>670.14</v>
      </c>
      <c r="I50" s="182">
        <f t="shared" si="17"/>
        <v>967.71</v>
      </c>
      <c r="J50" s="95"/>
      <c r="K50" s="182">
        <f>I50</f>
        <v>967.71</v>
      </c>
      <c r="L50" s="182">
        <f t="shared" si="17"/>
        <v>507.92</v>
      </c>
      <c r="M50" s="182">
        <f t="shared" si="17"/>
        <v>111.27161177818641</v>
      </c>
      <c r="O50" s="104"/>
    </row>
    <row r="51" spans="2:15" s="118" customFormat="1">
      <c r="B51" s="104"/>
      <c r="C51" s="95"/>
      <c r="D51" s="95"/>
      <c r="E51" s="95"/>
      <c r="F51" s="270"/>
      <c r="G51" s="270"/>
      <c r="H51" s="270"/>
      <c r="I51" s="270"/>
      <c r="J51" s="95"/>
      <c r="K51" s="270"/>
      <c r="L51" s="270"/>
      <c r="M51" s="270"/>
      <c r="O51" s="104"/>
    </row>
    <row r="52" spans="2:15" ht="17">
      <c r="B52" s="272" t="s">
        <v>22</v>
      </c>
      <c r="C52" s="195" t="s">
        <v>208</v>
      </c>
      <c r="D52" s="195" t="s">
        <v>207</v>
      </c>
      <c r="E52" s="195" t="s">
        <v>206</v>
      </c>
      <c r="F52" s="195" t="s">
        <v>163</v>
      </c>
      <c r="G52" s="94" t="s">
        <v>156</v>
      </c>
      <c r="H52" s="94" t="s">
        <v>157</v>
      </c>
      <c r="I52" s="94" t="s">
        <v>158</v>
      </c>
      <c r="J52" s="95"/>
      <c r="K52" s="722" t="s">
        <v>14</v>
      </c>
      <c r="L52" s="722" t="s">
        <v>15</v>
      </c>
      <c r="M52" s="722" t="s">
        <v>130</v>
      </c>
    </row>
    <row r="53" spans="2:15" ht="17">
      <c r="B53" s="273" t="s">
        <v>21</v>
      </c>
      <c r="C53" s="267">
        <f>'Financial One Pager'!J41</f>
        <v>2758</v>
      </c>
      <c r="D53" s="267">
        <f>'Financial One Pager'!K41</f>
        <v>2717</v>
      </c>
      <c r="E53" s="267">
        <f>'Financial One Pager'!L41</f>
        <v>2665</v>
      </c>
      <c r="F53" s="274">
        <f>F44</f>
        <v>666</v>
      </c>
      <c r="G53" s="275">
        <f>G44</f>
        <v>637.88348976735222</v>
      </c>
      <c r="H53" s="275">
        <f>H44</f>
        <v>644.51424244632165</v>
      </c>
      <c r="I53" s="275">
        <f>I44</f>
        <v>651.60226778632682</v>
      </c>
      <c r="K53" s="275">
        <f>K44</f>
        <v>2600.0000000000009</v>
      </c>
      <c r="L53" s="275">
        <f>L44</f>
        <v>2660.435190665999</v>
      </c>
      <c r="M53" s="275">
        <f>M44</f>
        <v>2737.3955713022688</v>
      </c>
    </row>
    <row r="54" spans="2:15" ht="17">
      <c r="B54" s="273" t="s">
        <v>23</v>
      </c>
      <c r="C54" s="267">
        <f>'Financial One Pager'!J42</f>
        <v>-165</v>
      </c>
      <c r="D54" s="267">
        <f>'Financial One Pager'!K42</f>
        <v>-218</v>
      </c>
      <c r="E54" s="267">
        <f>'Financial One Pager'!L42</f>
        <v>-156</v>
      </c>
      <c r="F54" s="188">
        <v>0</v>
      </c>
      <c r="G54" s="140">
        <f>-('Base Case Assumptions'!$J$43*$K$44)*G44/SUM($G$44:$I$44)</f>
        <v>-50.197908746541707</v>
      </c>
      <c r="H54" s="140">
        <f>-('Base Case Assumptions'!$J$43*$K$44)*H44/SUM($G$44:$I$44)</f>
        <v>-50.719712372500403</v>
      </c>
      <c r="I54" s="140">
        <f>-('Base Case Assumptions'!$J$43*$K$44)*I44/SUM($G$44:$I$44)</f>
        <v>-51.277500832177459</v>
      </c>
      <c r="K54" s="140">
        <f>-'Base Case Assumptions'!J43*'Base Case Forecast '!K44</f>
        <v>-152.19512195121956</v>
      </c>
      <c r="L54" s="140">
        <f>-'Base Case Assumptions'!K43*'Base Case Forecast '!L44</f>
        <v>-155.73279164874143</v>
      </c>
      <c r="M54" s="140">
        <f>-'Base Case Assumptions'!L43*'Base Case Forecast '!M44</f>
        <v>-160.23778953964501</v>
      </c>
    </row>
    <row r="55" spans="2:15" ht="17">
      <c r="B55" s="273" t="s">
        <v>25</v>
      </c>
      <c r="C55" s="267">
        <f>'Financial One Pager'!J43</f>
        <v>-507</v>
      </c>
      <c r="D55" s="267">
        <f>'Financial One Pager'!K43</f>
        <v>-473</v>
      </c>
      <c r="E55" s="267">
        <f>'Financial One Pager'!L43</f>
        <v>-439</v>
      </c>
      <c r="F55" s="218">
        <v>-205</v>
      </c>
      <c r="G55" s="140">
        <f>'Base Case Assumptions'!G44</f>
        <v>-73.333333333333329</v>
      </c>
      <c r="H55" s="140">
        <f>'Base Case Assumptions'!H44</f>
        <v>-73.333333333333329</v>
      </c>
      <c r="I55" s="140">
        <f>'Base Case Assumptions'!I44</f>
        <v>-73.333333333333329</v>
      </c>
      <c r="J55" s="219"/>
      <c r="K55" s="140">
        <f>'Base Case Assumptions'!J44</f>
        <v>-425</v>
      </c>
      <c r="L55" s="140">
        <f>'Base Case Assumptions'!K44</f>
        <v>-386</v>
      </c>
      <c r="M55" s="140">
        <f>'Base Case Assumptions'!L44</f>
        <v>-286</v>
      </c>
    </row>
    <row r="56" spans="2:15" ht="17">
      <c r="B56" s="276" t="s">
        <v>70</v>
      </c>
      <c r="C56" s="269">
        <f>'Financial One Pager'!J44</f>
        <v>2086</v>
      </c>
      <c r="D56" s="269">
        <f>'Financial One Pager'!K44</f>
        <v>2026</v>
      </c>
      <c r="E56" s="269">
        <f>'Financial One Pager'!L44</f>
        <v>2070</v>
      </c>
      <c r="F56" s="252">
        <f>SUM(F53:F55)</f>
        <v>461</v>
      </c>
      <c r="G56" s="277">
        <f t="shared" ref="G56:K56" si="18">SUM(G53:G55)</f>
        <v>514.35224768747719</v>
      </c>
      <c r="H56" s="277">
        <f t="shared" si="18"/>
        <v>520.46119674048782</v>
      </c>
      <c r="I56" s="277">
        <f t="shared" si="18"/>
        <v>526.991433620816</v>
      </c>
      <c r="J56" s="95"/>
      <c r="K56" s="277">
        <f t="shared" si="18"/>
        <v>2022.8048780487816</v>
      </c>
      <c r="L56" s="277">
        <f t="shared" ref="L56" si="19">SUM(L53:L55)</f>
        <v>2118.7023990172574</v>
      </c>
      <c r="M56" s="277">
        <f t="shared" ref="M56" si="20">SUM(M53:M55)</f>
        <v>2291.1577817626239</v>
      </c>
    </row>
    <row r="57" spans="2:15" ht="17">
      <c r="B57" s="273" t="s">
        <v>28</v>
      </c>
      <c r="C57" s="267">
        <f>'Financial One Pager'!J45</f>
        <v>-50</v>
      </c>
      <c r="D57" s="267">
        <f>'Financial One Pager'!K45</f>
        <v>-109</v>
      </c>
      <c r="E57" s="267">
        <f>'Financial One Pager'!L45</f>
        <v>-25</v>
      </c>
      <c r="F57" s="278">
        <f>16-295</f>
        <v>-279</v>
      </c>
      <c r="G57" s="200">
        <f>(('Base Case Assumptions'!$J$45*$K$31)-$F57)*G31/SUM($G$31:$I$31)</f>
        <v>83.688472030952724</v>
      </c>
      <c r="H57" s="200">
        <f>(('Base Case Assumptions'!$J$45*$K$31)-$F57)*H31/SUM($G$31:$I$31)</f>
        <v>84.558407636780203</v>
      </c>
      <c r="I57" s="200">
        <f>(('Base Case Assumptions'!$J$45*$K$31)-$F57)*I31/SUM($G$31:$I$31)</f>
        <v>85.488336095405231</v>
      </c>
      <c r="K57" s="200">
        <f>'Base Case Assumptions'!J45*'Base Case Forecast '!K31</f>
        <v>-25.264784236861882</v>
      </c>
      <c r="L57" s="200">
        <f>'Base Case Assumptions'!K45*'Base Case Forecast '!L31</f>
        <v>-25.638833998042319</v>
      </c>
      <c r="M57" s="200">
        <f>'Base Case Assumptions'!L45*'Base Case Forecast '!M31</f>
        <v>-26.164716268606615</v>
      </c>
    </row>
    <row r="58" spans="2:15" ht="17">
      <c r="B58" s="273" t="s">
        <v>29</v>
      </c>
      <c r="C58" s="267">
        <f>'Financial One Pager'!J46</f>
        <v>-207</v>
      </c>
      <c r="D58" s="267">
        <f>'Financial One Pager'!K46</f>
        <v>-176</v>
      </c>
      <c r="E58" s="267">
        <f>'Financial One Pager'!L46</f>
        <v>-147</v>
      </c>
      <c r="F58" s="218">
        <f>F59-F56-F57</f>
        <v>94</v>
      </c>
      <c r="G58" s="140">
        <f>G59-G56-G57</f>
        <v>-70.00919553588524</v>
      </c>
      <c r="H58" s="140">
        <f t="shared" ref="H58:K58" si="21">H59-H56-H57</f>
        <v>-72.945858163438515</v>
      </c>
      <c r="I58" s="140">
        <f t="shared" si="21"/>
        <v>-76.085040112595408</v>
      </c>
      <c r="K58" s="140">
        <f t="shared" si="21"/>
        <v>-125.04009381191969</v>
      </c>
      <c r="L58" s="140">
        <f t="shared" ref="L58" si="22">L59-L56-L57</f>
        <v>-135.56356501921513</v>
      </c>
      <c r="M58" s="140">
        <f t="shared" ref="M58" si="23">M59-M56-M57</f>
        <v>-314.10145371583087</v>
      </c>
    </row>
    <row r="59" spans="2:15" ht="17">
      <c r="B59" s="276" t="s">
        <v>30</v>
      </c>
      <c r="C59" s="269">
        <f>'Financial One Pager'!J47</f>
        <v>1829</v>
      </c>
      <c r="D59" s="269">
        <f>'Financial One Pager'!K47</f>
        <v>1741</v>
      </c>
      <c r="E59" s="269">
        <f>'Financial One Pager'!L47</f>
        <v>1898</v>
      </c>
      <c r="F59" s="252">
        <f>F62-SUM(F60:F61)</f>
        <v>276</v>
      </c>
      <c r="G59" s="277">
        <f>G62-SUM(G60:G61)</f>
        <v>528.03152418254467</v>
      </c>
      <c r="H59" s="277">
        <f t="shared" ref="H59:K59" si="24">H62-SUM(H60:H61)</f>
        <v>532.07374621382951</v>
      </c>
      <c r="I59" s="277">
        <f t="shared" si="24"/>
        <v>536.39472960362582</v>
      </c>
      <c r="J59" s="95"/>
      <c r="K59" s="277">
        <f t="shared" si="24"/>
        <v>1872.5</v>
      </c>
      <c r="L59" s="277">
        <f t="shared" ref="L59" si="25">L62-SUM(L60:L61)</f>
        <v>1957.5</v>
      </c>
      <c r="M59" s="277">
        <f t="shared" ref="M59" si="26">M62-SUM(M60:M61)</f>
        <v>1950.8916117781864</v>
      </c>
    </row>
    <row r="60" spans="2:15" ht="17">
      <c r="B60" s="280" t="s">
        <v>110</v>
      </c>
      <c r="C60" s="267">
        <f>'Financial One Pager'!J48</f>
        <v>-284</v>
      </c>
      <c r="D60" s="267">
        <f>'Financial One Pager'!K48</f>
        <v>-307</v>
      </c>
      <c r="E60" s="267">
        <f>'Financial One Pager'!L48</f>
        <v>-365</v>
      </c>
      <c r="F60" s="278">
        <f>-105-F61</f>
        <v>-76</v>
      </c>
      <c r="G60" s="140">
        <f>-SUM(Capex!D6-Capex!D4)</f>
        <v>-110.49999999999999</v>
      </c>
      <c r="H60" s="140">
        <f>-SUM(Capex!E6-Capex!E4)</f>
        <v>-110.49999999999999</v>
      </c>
      <c r="I60" s="140">
        <f>-SUM(Capex!F6-Capex!F4)</f>
        <v>-110.49999999999999</v>
      </c>
      <c r="K60" s="140">
        <f>-SUM(Capex!H6-Capex!H4)</f>
        <v>-407.5</v>
      </c>
      <c r="L60" s="140">
        <f>-SUM(Capex!I6-Capex!I4)</f>
        <v>-407.5</v>
      </c>
      <c r="M60" s="140">
        <f>-SUM(Capex!J6-Capex!J4)</f>
        <v>-407.5</v>
      </c>
    </row>
    <row r="61" spans="2:15" ht="17">
      <c r="B61" s="281" t="s">
        <v>103</v>
      </c>
      <c r="C61" s="267">
        <f>'Financial One Pager'!J49</f>
        <v>-285</v>
      </c>
      <c r="D61" s="267">
        <f>'Financial One Pager'!K49</f>
        <v>-262</v>
      </c>
      <c r="E61" s="267">
        <f>'Financial One Pager'!L49</f>
        <v>-204</v>
      </c>
      <c r="F61" s="278">
        <f>-Capex!C4</f>
        <v>-29</v>
      </c>
      <c r="G61" s="140">
        <f>-Capex!D4</f>
        <v>-28.666666666666668</v>
      </c>
      <c r="H61" s="140">
        <f>-Capex!E4</f>
        <v>-28.666666666666668</v>
      </c>
      <c r="I61" s="140">
        <f>-Capex!F4</f>
        <v>-28.666666666666668</v>
      </c>
      <c r="K61" s="140">
        <f>-Capex!H4</f>
        <v>-115</v>
      </c>
      <c r="L61" s="140">
        <f>-Capex!I4</f>
        <v>-50</v>
      </c>
      <c r="M61" s="140">
        <f>-Capex!J4</f>
        <v>0</v>
      </c>
    </row>
    <row r="62" spans="2:15" ht="17">
      <c r="B62" s="276" t="s">
        <v>32</v>
      </c>
      <c r="C62" s="269">
        <f>'Financial One Pager'!J50</f>
        <v>1545</v>
      </c>
      <c r="D62" s="269">
        <f>'Financial One Pager'!K50</f>
        <v>1434</v>
      </c>
      <c r="E62" s="269">
        <f>'Financial One Pager'!L50</f>
        <v>1533</v>
      </c>
      <c r="F62" s="252">
        <v>171</v>
      </c>
      <c r="G62" s="277">
        <f>'Base Case Assumptions'!G50</f>
        <v>388.86485751587799</v>
      </c>
      <c r="H62" s="277">
        <f>'Base Case Assumptions'!H50</f>
        <v>392.90707954716288</v>
      </c>
      <c r="I62" s="277">
        <f>'Base Case Assumptions'!I50</f>
        <v>397.22806293695919</v>
      </c>
      <c r="J62" s="95"/>
      <c r="K62" s="277">
        <f>'Base Case Assumptions'!J50</f>
        <v>1350</v>
      </c>
      <c r="L62" s="277">
        <f>'Base Case Assumptions'!K50</f>
        <v>1500</v>
      </c>
      <c r="M62" s="277">
        <f>'Base Case Assumptions'!L50</f>
        <v>1543.3916117781864</v>
      </c>
    </row>
    <row r="63" spans="2:15" ht="17">
      <c r="B63" s="273" t="s">
        <v>34</v>
      </c>
      <c r="C63" s="267">
        <f>'Financial One Pager'!J51</f>
        <v>-1101</v>
      </c>
      <c r="D63" s="267">
        <f>'Financial One Pager'!K51</f>
        <v>-709</v>
      </c>
      <c r="E63" s="267">
        <f>'Financial One Pager'!L51</f>
        <v>-679</v>
      </c>
      <c r="F63" s="267">
        <f>520-470+1235-1263</f>
        <v>22</v>
      </c>
      <c r="G63" s="284">
        <f>-SUM('Base Case Debt schedule'!D4:D6)+'Base Case Debt schedule'!D8</f>
        <v>-83.75</v>
      </c>
      <c r="H63" s="284">
        <f>-SUM('Base Case Debt schedule'!E4:E6)+'Base Case Debt schedule'!E8</f>
        <v>-13.75</v>
      </c>
      <c r="I63" s="284">
        <f>-SUM('Base Case Debt schedule'!F4:F6)+'Base Case Debt schedule'!F8</f>
        <v>-13.75</v>
      </c>
      <c r="K63" s="284">
        <f>SUM(F63:I63)</f>
        <v>-89.25</v>
      </c>
      <c r="L63" s="126">
        <f>-SUM('Base Case Debt schedule'!I4:I6)+'Base Case Debt schedule'!I8</f>
        <v>-1594.75</v>
      </c>
      <c r="M63" s="126">
        <f>-SUM('Base Case Debt schedule'!J4:J6)+'Base Case Debt schedule'!J8</f>
        <v>-1575</v>
      </c>
    </row>
    <row r="64" spans="2:15" ht="17">
      <c r="B64" s="273" t="s">
        <v>35</v>
      </c>
      <c r="C64" s="267">
        <f>'Financial One Pager'!J52</f>
        <v>0</v>
      </c>
      <c r="D64" s="267">
        <f>'Financial One Pager'!K52</f>
        <v>0</v>
      </c>
      <c r="E64" s="267">
        <f>'Financial One Pager'!L52</f>
        <v>0</v>
      </c>
      <c r="F64" s="267">
        <v>0</v>
      </c>
      <c r="G64" s="126">
        <f>'Financial One Pager'!M52</f>
        <v>0</v>
      </c>
      <c r="H64" s="126">
        <f>G64</f>
        <v>0</v>
      </c>
      <c r="I64" s="126">
        <f>H64</f>
        <v>0</v>
      </c>
      <c r="K64" s="116">
        <f>'Financial One Pager'!L52</f>
        <v>0</v>
      </c>
      <c r="L64" s="116">
        <f>K64</f>
        <v>0</v>
      </c>
      <c r="M64" s="116">
        <f>L64</f>
        <v>0</v>
      </c>
    </row>
    <row r="65" spans="2:15" ht="17">
      <c r="B65" s="273" t="s">
        <v>36</v>
      </c>
      <c r="C65" s="267">
        <f>'Financial One Pager'!J53</f>
        <v>-274</v>
      </c>
      <c r="D65" s="267">
        <f>'Financial One Pager'!K53</f>
        <v>-6</v>
      </c>
      <c r="E65" s="267">
        <f>'Financial One Pager'!L53</f>
        <v>-136</v>
      </c>
      <c r="F65" s="267">
        <v>-22</v>
      </c>
      <c r="G65" s="116">
        <f>'Base Case Assumptions'!G47</f>
        <v>0</v>
      </c>
      <c r="H65" s="116">
        <f>'Base Case Assumptions'!H47</f>
        <v>0</v>
      </c>
      <c r="I65" s="116">
        <f>'Base Case Assumptions'!I47</f>
        <v>0</v>
      </c>
      <c r="K65" s="284">
        <f>'Base Case Assumptions'!J47</f>
        <v>-22</v>
      </c>
      <c r="L65" s="284" t="str">
        <f>'Base Case Assumptions'!K47</f>
        <v>0</v>
      </c>
      <c r="M65" s="284">
        <f>'Base Case Assumptions'!L47</f>
        <v>0</v>
      </c>
    </row>
    <row r="66" spans="2:15" ht="17">
      <c r="B66" s="273" t="s">
        <v>38</v>
      </c>
      <c r="C66" s="267">
        <f>'Financial One Pager'!J54</f>
        <v>0</v>
      </c>
      <c r="D66" s="267">
        <f>'Financial One Pager'!K54</f>
        <v>0</v>
      </c>
      <c r="E66" s="267">
        <f>'Financial One Pager'!L54</f>
        <v>0</v>
      </c>
      <c r="F66" s="267">
        <v>0</v>
      </c>
      <c r="G66" s="126">
        <f>'Financial One Pager'!L54</f>
        <v>0</v>
      </c>
      <c r="H66" s="126">
        <f>G66</f>
        <v>0</v>
      </c>
      <c r="I66" s="126">
        <f>H66</f>
        <v>0</v>
      </c>
      <c r="K66" s="126">
        <f>I66</f>
        <v>0</v>
      </c>
      <c r="L66" s="126">
        <f>J66</f>
        <v>0</v>
      </c>
      <c r="M66" s="126">
        <f t="shared" ref="M66" si="27">K66</f>
        <v>0</v>
      </c>
    </row>
    <row r="67" spans="2:15" ht="17">
      <c r="B67" s="273" t="s">
        <v>40</v>
      </c>
      <c r="C67" s="267">
        <f>'Financial One Pager'!J55</f>
        <v>0</v>
      </c>
      <c r="D67" s="267">
        <f>'Financial One Pager'!K55</f>
        <v>0</v>
      </c>
      <c r="E67" s="267">
        <f>'Financial One Pager'!L55</f>
        <v>0</v>
      </c>
      <c r="F67" s="267">
        <v>0</v>
      </c>
      <c r="G67" s="126">
        <f>'Financial One Pager'!L55</f>
        <v>0</v>
      </c>
      <c r="H67" s="126">
        <f>G67</f>
        <v>0</v>
      </c>
      <c r="I67" s="126">
        <f>H67</f>
        <v>0</v>
      </c>
      <c r="K67" s="126">
        <f>I67</f>
        <v>0</v>
      </c>
      <c r="L67" s="126">
        <f>J67</f>
        <v>0</v>
      </c>
      <c r="M67" s="126">
        <f t="shared" ref="M67" si="28">K67</f>
        <v>0</v>
      </c>
    </row>
    <row r="68" spans="2:15" ht="17">
      <c r="B68" s="273" t="s">
        <v>41</v>
      </c>
      <c r="C68" s="267">
        <f>'Financial One Pager'!J56</f>
        <v>-65</v>
      </c>
      <c r="D68" s="267">
        <f>'Financial One Pager'!K56</f>
        <v>-143</v>
      </c>
      <c r="E68" s="267">
        <f>'Financial One Pager'!L56</f>
        <v>-365</v>
      </c>
      <c r="F68" s="267">
        <v>-91</v>
      </c>
      <c r="G68" s="284">
        <f>-'Base Case Assumptions'!G48*'Base Case Assumptions'!G49</f>
        <v>-91.26</v>
      </c>
      <c r="H68" s="284">
        <f>-'Base Case Assumptions'!H48*'Base Case Assumptions'!H49</f>
        <v>-91.26</v>
      </c>
      <c r="I68" s="284">
        <f>-'Base Case Assumptions'!I48*'Base Case Assumptions'!I49</f>
        <v>-91.26</v>
      </c>
      <c r="J68" s="714"/>
      <c r="K68" s="284">
        <f>-'Base Case Assumptions'!J48*'Base Case Assumptions'!J49</f>
        <v>-365.04</v>
      </c>
      <c r="L68" s="284">
        <f>-'Base Case Assumptions'!K48*'Base Case Assumptions'!K49</f>
        <v>-365.04</v>
      </c>
      <c r="M68" s="284">
        <f>-'Base Case Assumptions'!L48*'Base Case Assumptions'!L49</f>
        <v>-365.04</v>
      </c>
    </row>
    <row r="69" spans="2:15" ht="17">
      <c r="B69" s="273" t="s">
        <v>43</v>
      </c>
      <c r="C69" s="267">
        <f>'Financial One Pager'!J57</f>
        <v>0</v>
      </c>
      <c r="D69" s="267">
        <f>'Financial One Pager'!K57</f>
        <v>0</v>
      </c>
      <c r="E69" s="267">
        <f>'Financial One Pager'!L57</f>
        <v>0</v>
      </c>
      <c r="F69" s="267">
        <v>0</v>
      </c>
      <c r="G69" s="126">
        <f>F69</f>
        <v>0</v>
      </c>
      <c r="H69" s="126">
        <f>G69</f>
        <v>0</v>
      </c>
      <c r="I69" s="126">
        <f>H69</f>
        <v>0</v>
      </c>
      <c r="K69" s="126">
        <f t="shared" ref="K69:L71" si="29">I69</f>
        <v>0</v>
      </c>
      <c r="L69" s="126">
        <f t="shared" si="29"/>
        <v>0</v>
      </c>
      <c r="M69" s="126">
        <f t="shared" ref="M69:M71" si="30">K69</f>
        <v>0</v>
      </c>
    </row>
    <row r="70" spans="2:15" ht="17">
      <c r="B70" s="273" t="s">
        <v>45</v>
      </c>
      <c r="C70" s="267">
        <f>'Financial One Pager'!J58</f>
        <v>0</v>
      </c>
      <c r="D70" s="267">
        <f>'Financial One Pager'!K58</f>
        <v>0</v>
      </c>
      <c r="E70" s="267">
        <f>'Financial One Pager'!L58</f>
        <v>0</v>
      </c>
      <c r="F70" s="267">
        <v>0</v>
      </c>
      <c r="G70" s="126">
        <f>'Financial One Pager'!M58</f>
        <v>0</v>
      </c>
      <c r="H70" s="126">
        <f t="shared" ref="H70:I70" si="31">G70</f>
        <v>0</v>
      </c>
      <c r="I70" s="126">
        <f t="shared" si="31"/>
        <v>0</v>
      </c>
      <c r="K70" s="126">
        <f t="shared" si="29"/>
        <v>0</v>
      </c>
      <c r="L70" s="126">
        <f t="shared" si="29"/>
        <v>0</v>
      </c>
      <c r="M70" s="126">
        <f t="shared" si="30"/>
        <v>0</v>
      </c>
    </row>
    <row r="71" spans="2:15" ht="17">
      <c r="B71" s="273" t="s">
        <v>100</v>
      </c>
      <c r="C71" s="267">
        <f>'Financial One Pager'!J59</f>
        <v>273</v>
      </c>
      <c r="D71" s="267">
        <f>'Financial One Pager'!K59</f>
        <v>0</v>
      </c>
      <c r="E71" s="267">
        <f>'Financial One Pager'!L59</f>
        <v>0</v>
      </c>
      <c r="F71" s="267">
        <v>0</v>
      </c>
      <c r="G71" s="126">
        <f>'Financial One Pager'!M59</f>
        <v>0</v>
      </c>
      <c r="H71" s="126">
        <f t="shared" ref="H71:I71" si="32">G71</f>
        <v>0</v>
      </c>
      <c r="I71" s="126">
        <f t="shared" si="32"/>
        <v>0</v>
      </c>
      <c r="K71" s="126">
        <f t="shared" si="29"/>
        <v>0</v>
      </c>
      <c r="L71" s="126">
        <f t="shared" si="29"/>
        <v>0</v>
      </c>
      <c r="M71" s="126">
        <f t="shared" si="30"/>
        <v>0</v>
      </c>
    </row>
    <row r="72" spans="2:15" ht="17">
      <c r="B72" s="273" t="s">
        <v>46</v>
      </c>
      <c r="C72" s="267">
        <f>'Financial One Pager'!J60</f>
        <v>-433</v>
      </c>
      <c r="D72" s="267">
        <f>'Financial One Pager'!K60</f>
        <v>-721</v>
      </c>
      <c r="E72" s="267">
        <f>'Financial One Pager'!L60</f>
        <v>-421</v>
      </c>
      <c r="F72" s="267">
        <f>'Financial One Pager'!M60</f>
        <v>-335</v>
      </c>
      <c r="G72" s="275">
        <f>SUM(G62:G71)-G73</f>
        <v>-83.715142484121998</v>
      </c>
      <c r="H72" s="275">
        <f t="shared" ref="H72:I72" si="33">SUM(H62:H71)-H73</f>
        <v>-9.6729204528371042</v>
      </c>
      <c r="I72" s="275">
        <f t="shared" si="33"/>
        <v>-5.3519370630407934</v>
      </c>
      <c r="K72" s="126">
        <v>0</v>
      </c>
      <c r="L72" s="126">
        <v>0</v>
      </c>
      <c r="M72" s="126">
        <v>0</v>
      </c>
    </row>
    <row r="73" spans="2:15" ht="17">
      <c r="B73" s="276" t="s">
        <v>48</v>
      </c>
      <c r="C73" s="267">
        <f>'Financial One Pager'!J61</f>
        <v>-55</v>
      </c>
      <c r="D73" s="267">
        <f>'Financial One Pager'!K61</f>
        <v>-145</v>
      </c>
      <c r="E73" s="267">
        <f>'Financial One Pager'!L61</f>
        <v>-68</v>
      </c>
      <c r="F73" s="267">
        <f>-19</f>
        <v>-19</v>
      </c>
      <c r="G73" s="277">
        <f>($K$73-$F$73)/3</f>
        <v>297.57</v>
      </c>
      <c r="H73" s="277">
        <f>($K$73-$F$73)/3</f>
        <v>297.57</v>
      </c>
      <c r="I73" s="277">
        <f>($K$73-$F$73)/3</f>
        <v>297.57</v>
      </c>
      <c r="J73" s="95"/>
      <c r="K73" s="277">
        <f>SUM(K62:K72)</f>
        <v>873.71</v>
      </c>
      <c r="L73" s="277">
        <f t="shared" ref="L73:M73" si="34">SUM(L62:L72)</f>
        <v>-459.79</v>
      </c>
      <c r="M73" s="277">
        <f t="shared" si="34"/>
        <v>-396.6483882218136</v>
      </c>
    </row>
    <row r="74" spans="2:15" ht="17">
      <c r="B74" s="276" t="s">
        <v>264</v>
      </c>
      <c r="C74" s="188">
        <v>370</v>
      </c>
      <c r="D74" s="267">
        <f>C75</f>
        <v>315</v>
      </c>
      <c r="E74" s="267">
        <f>D75</f>
        <v>170</v>
      </c>
      <c r="F74" s="267">
        <f>E75</f>
        <v>102</v>
      </c>
      <c r="G74" s="277">
        <f>F50</f>
        <v>75</v>
      </c>
      <c r="H74" s="277">
        <f>G75</f>
        <v>372.57</v>
      </c>
      <c r="I74" s="277">
        <f t="shared" ref="I74" si="35">H50+I73</f>
        <v>967.71</v>
      </c>
      <c r="J74" s="95"/>
      <c r="K74" s="277">
        <f>'Financial One Pager'!L68</f>
        <v>94</v>
      </c>
      <c r="L74" s="277">
        <f>K75</f>
        <v>967.71</v>
      </c>
      <c r="M74" s="277">
        <f>L75</f>
        <v>507.92</v>
      </c>
    </row>
    <row r="75" spans="2:15" ht="17">
      <c r="B75" s="276" t="s">
        <v>265</v>
      </c>
      <c r="C75" s="267">
        <f>C74+C73</f>
        <v>315</v>
      </c>
      <c r="D75" s="267">
        <f t="shared" ref="D75:E75" si="36">D74+D73</f>
        <v>170</v>
      </c>
      <c r="E75" s="267">
        <f t="shared" si="36"/>
        <v>102</v>
      </c>
      <c r="F75" s="267">
        <f>F74+F73</f>
        <v>83</v>
      </c>
      <c r="G75" s="277">
        <f>G74+G73</f>
        <v>372.57</v>
      </c>
      <c r="H75" s="277">
        <f>H74+H73</f>
        <v>670.14</v>
      </c>
      <c r="I75" s="277">
        <f>H75+I73</f>
        <v>967.71</v>
      </c>
      <c r="J75" s="95"/>
      <c r="K75" s="277">
        <f>K74+K73</f>
        <v>967.71</v>
      </c>
      <c r="L75" s="277">
        <f>L74+L73</f>
        <v>507.92</v>
      </c>
      <c r="M75" s="277">
        <f>M74+M73</f>
        <v>111.27161177818641</v>
      </c>
    </row>
    <row r="76" spans="2:15" ht="16">
      <c r="B76" s="285"/>
      <c r="G76" s="1024"/>
      <c r="H76" s="1024"/>
      <c r="I76" s="1024"/>
      <c r="J76" s="1025"/>
      <c r="K76" s="1024"/>
      <c r="L76" s="1024"/>
      <c r="M76" s="1024"/>
      <c r="N76" s="1026"/>
    </row>
    <row r="77" spans="2:15">
      <c r="G77" s="1027">
        <f>G75-F75</f>
        <v>289.57</v>
      </c>
      <c r="H77" s="1027">
        <f t="shared" ref="H77:M77" si="37">H75-G75</f>
        <v>297.57</v>
      </c>
      <c r="I77" s="1027">
        <f t="shared" si="37"/>
        <v>297.57000000000005</v>
      </c>
      <c r="J77" s="1025"/>
      <c r="K77" s="1027">
        <f>K75-E75</f>
        <v>865.71</v>
      </c>
      <c r="L77" s="1027">
        <f>L75-K75</f>
        <v>-459.79</v>
      </c>
      <c r="M77" s="1027">
        <f>M75-L75</f>
        <v>-396.6483882218136</v>
      </c>
      <c r="N77" s="1026"/>
      <c r="O77" s="1023"/>
    </row>
  </sheetData>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6D3E2-4C6C-8A40-AFAD-3EEEE831C604}">
  <sheetPr>
    <tabColor theme="7"/>
  </sheetPr>
  <dimension ref="B2:Q34"/>
  <sheetViews>
    <sheetView showGridLines="0" tabSelected="1" zoomScaleNormal="100" workbookViewId="0">
      <selection activeCell="N9" sqref="N9"/>
    </sheetView>
  </sheetViews>
  <sheetFormatPr baseColWidth="10" defaultRowHeight="15"/>
  <cols>
    <col min="1" max="1" width="3.83203125" customWidth="1"/>
    <col min="2" max="2" width="25.6640625" style="15" bestFit="1" customWidth="1"/>
    <col min="3" max="3" width="12.83203125" style="24" customWidth="1"/>
    <col min="4" max="4" width="12.83203125" style="23" customWidth="1"/>
    <col min="5" max="6" width="12.83203125" customWidth="1"/>
    <col min="7" max="7" width="4" customWidth="1"/>
    <col min="8" max="10" width="12.83203125" customWidth="1"/>
    <col min="11" max="11" width="4.5" customWidth="1"/>
    <col min="12" max="12" width="65.5" style="125" customWidth="1"/>
    <col min="13" max="13" width="9.1640625" customWidth="1"/>
    <col min="14" max="14" width="19.33203125" style="152" customWidth="1"/>
    <col min="15" max="15" width="57.33203125" style="155" customWidth="1"/>
    <col min="16" max="16" width="25.83203125" bestFit="1" customWidth="1"/>
  </cols>
  <sheetData>
    <row r="2" spans="2:17" s="67" customFormat="1" ht="32">
      <c r="B2" s="93" t="s">
        <v>216</v>
      </c>
      <c r="C2" s="723" t="s">
        <v>163</v>
      </c>
      <c r="D2" s="94" t="s">
        <v>156</v>
      </c>
      <c r="E2" s="94" t="s">
        <v>157</v>
      </c>
      <c r="F2" s="94" t="s">
        <v>158</v>
      </c>
      <c r="G2" s="103"/>
      <c r="H2" s="722" t="s">
        <v>14</v>
      </c>
      <c r="I2" s="722" t="s">
        <v>15</v>
      </c>
      <c r="J2" s="722" t="s">
        <v>130</v>
      </c>
      <c r="L2" s="96" t="s">
        <v>223</v>
      </c>
      <c r="M2" s="118"/>
      <c r="N2" s="725" t="s">
        <v>187</v>
      </c>
      <c r="O2" s="153"/>
      <c r="P2" s="726" t="s">
        <v>189</v>
      </c>
      <c r="Q2" s="727" t="s">
        <v>190</v>
      </c>
    </row>
    <row r="3" spans="2:17" ht="48">
      <c r="B3" s="62" t="s">
        <v>217</v>
      </c>
      <c r="C3" s="825" t="s">
        <v>104</v>
      </c>
      <c r="D3" s="62">
        <f>C9</f>
        <v>9747</v>
      </c>
      <c r="E3" s="98">
        <f t="shared" ref="E3:F3" si="0">D9</f>
        <v>9663.25</v>
      </c>
      <c r="F3" s="98">
        <f t="shared" si="0"/>
        <v>9649.5</v>
      </c>
      <c r="G3" s="167"/>
      <c r="H3" s="98">
        <f>C9</f>
        <v>9747</v>
      </c>
      <c r="I3" s="98">
        <f>H9</f>
        <v>9635.75</v>
      </c>
      <c r="J3" s="98">
        <f>I9</f>
        <v>8041</v>
      </c>
      <c r="K3" s="14"/>
      <c r="L3" s="58"/>
      <c r="N3" s="78" t="s">
        <v>191</v>
      </c>
      <c r="O3" s="154" t="s">
        <v>251</v>
      </c>
      <c r="P3" s="149" t="s">
        <v>422</v>
      </c>
      <c r="Q3" s="82">
        <f>1100*1.25%</f>
        <v>13.75</v>
      </c>
    </row>
    <row r="4" spans="2:17" ht="16">
      <c r="B4" s="66" t="s">
        <v>248</v>
      </c>
      <c r="C4" s="826"/>
      <c r="D4" s="62">
        <v>0</v>
      </c>
      <c r="E4" s="62">
        <v>0</v>
      </c>
      <c r="F4" s="62">
        <v>0</v>
      </c>
      <c r="G4" s="62"/>
      <c r="H4" s="105">
        <v>0</v>
      </c>
      <c r="I4" s="151">
        <f>1250</f>
        <v>1250</v>
      </c>
      <c r="J4" s="151">
        <f>2000+575</f>
        <v>2575</v>
      </c>
      <c r="K4" s="14"/>
      <c r="L4" s="58" t="s">
        <v>249</v>
      </c>
    </row>
    <row r="5" spans="2:17" ht="68">
      <c r="B5" s="62" t="s">
        <v>218</v>
      </c>
      <c r="C5" s="826"/>
      <c r="D5" s="65">
        <f>Q3</f>
        <v>13.75</v>
      </c>
      <c r="E5" s="65">
        <f>D5</f>
        <v>13.75</v>
      </c>
      <c r="F5" s="65">
        <f>E5</f>
        <v>13.75</v>
      </c>
      <c r="G5" s="65"/>
      <c r="H5" s="65">
        <f>SUM(D5:F5)</f>
        <v>41.25</v>
      </c>
      <c r="I5" s="65">
        <v>344.75</v>
      </c>
      <c r="J5" s="62">
        <v>0</v>
      </c>
      <c r="K5" s="48"/>
      <c r="L5" s="124" t="s">
        <v>224</v>
      </c>
    </row>
    <row r="6" spans="2:17" ht="51">
      <c r="B6" s="62" t="s">
        <v>219</v>
      </c>
      <c r="C6" s="826"/>
      <c r="D6" s="84">
        <f>70</f>
        <v>70</v>
      </c>
      <c r="E6" s="62">
        <v>0</v>
      </c>
      <c r="F6" s="62">
        <v>0</v>
      </c>
      <c r="G6" s="62"/>
      <c r="H6" s="84">
        <f>SUM(D6:F6)</f>
        <v>70</v>
      </c>
      <c r="I6" s="62">
        <v>0</v>
      </c>
      <c r="J6" s="62">
        <v>0</v>
      </c>
      <c r="K6" s="48"/>
      <c r="L6" s="124" t="s">
        <v>226</v>
      </c>
    </row>
    <row r="7" spans="2:17" ht="16">
      <c r="B7" s="62" t="s">
        <v>250</v>
      </c>
      <c r="C7" s="826"/>
      <c r="D7" s="161">
        <f>0</f>
        <v>0</v>
      </c>
      <c r="E7" s="162">
        <f>M24+M25+M26+M27</f>
        <v>273.125</v>
      </c>
      <c r="F7" s="162">
        <f>M28</f>
        <v>58.125</v>
      </c>
      <c r="G7" s="162"/>
      <c r="H7" s="163">
        <f>SUM(D7:F7)</f>
        <v>331.25</v>
      </c>
      <c r="I7" s="163">
        <f>M30</f>
        <v>268.75</v>
      </c>
      <c r="J7" s="163">
        <f>M31</f>
        <v>188.75</v>
      </c>
      <c r="K7" s="48"/>
      <c r="L7" s="58" t="s">
        <v>260</v>
      </c>
    </row>
    <row r="8" spans="2:17" ht="119">
      <c r="B8" s="62" t="s">
        <v>220</v>
      </c>
      <c r="C8" s="827"/>
      <c r="D8" s="120">
        <v>0</v>
      </c>
      <c r="E8" s="120">
        <v>0</v>
      </c>
      <c r="F8" s="120">
        <v>0</v>
      </c>
      <c r="G8" s="120"/>
      <c r="H8" s="183">
        <f>SUM(C8:F8)</f>
        <v>0</v>
      </c>
      <c r="I8" s="65">
        <v>0</v>
      </c>
      <c r="J8" s="99">
        <f>2000*50%</f>
        <v>1000</v>
      </c>
      <c r="K8" s="48"/>
      <c r="L8" s="124" t="s">
        <v>266</v>
      </c>
    </row>
    <row r="9" spans="2:17" ht="85" customHeight="1">
      <c r="B9" s="119" t="s">
        <v>215</v>
      </c>
      <c r="C9" s="165">
        <f>'Financial One Pager'!M67</f>
        <v>9747</v>
      </c>
      <c r="D9" s="166">
        <f>D3-D4-D5-D6+D8</f>
        <v>9663.25</v>
      </c>
      <c r="E9" s="166">
        <f t="shared" ref="E9:F9" si="1">E3-E4-E5-E6+E8</f>
        <v>9649.5</v>
      </c>
      <c r="F9" s="166">
        <f t="shared" si="1"/>
        <v>9635.75</v>
      </c>
      <c r="G9" s="176"/>
      <c r="H9" s="176">
        <f>H3-H4-H5-H6+H8</f>
        <v>9635.75</v>
      </c>
      <c r="I9" s="176">
        <f t="shared" ref="I9:J9" si="2">I3-I4-I5-I6+I8</f>
        <v>8041</v>
      </c>
      <c r="J9" s="176">
        <f t="shared" si="2"/>
        <v>6466</v>
      </c>
      <c r="K9" s="48"/>
      <c r="L9" s="124" t="s">
        <v>424</v>
      </c>
    </row>
    <row r="10" spans="2:17" ht="34">
      <c r="B10" s="62" t="s">
        <v>213</v>
      </c>
      <c r="C10" s="127">
        <f>'Financial One Pager'!M68</f>
        <v>75</v>
      </c>
      <c r="D10" s="126">
        <f>'Base Case Forecast '!G75</f>
        <v>372.57</v>
      </c>
      <c r="E10" s="126">
        <f>'Base Case Forecast '!H75</f>
        <v>670.14</v>
      </c>
      <c r="F10" s="126">
        <f>'Base Case Forecast '!I75</f>
        <v>967.71</v>
      </c>
      <c r="G10" s="126"/>
      <c r="H10" s="126">
        <f>'Base Case Forecast '!K50</f>
        <v>967.71</v>
      </c>
      <c r="I10" s="126">
        <f>'Base Case Forecast '!L75</f>
        <v>507.92</v>
      </c>
      <c r="J10" s="126">
        <f>'Base Case Forecast '!M75</f>
        <v>111.27161177818641</v>
      </c>
      <c r="K10" s="48"/>
      <c r="L10" s="124" t="s">
        <v>269</v>
      </c>
    </row>
    <row r="11" spans="2:17" ht="49" customHeight="1">
      <c r="B11" s="62" t="s">
        <v>214</v>
      </c>
      <c r="C11" s="127">
        <f>C9-C12</f>
        <v>9688</v>
      </c>
      <c r="D11" s="122">
        <f>D9-D12</f>
        <v>9604.25</v>
      </c>
      <c r="E11" s="122">
        <f>E9-E12</f>
        <v>9590.5</v>
      </c>
      <c r="F11" s="122">
        <f>F9-F12</f>
        <v>9576.75</v>
      </c>
      <c r="G11" s="122"/>
      <c r="H11" s="105">
        <f>F11</f>
        <v>9576.75</v>
      </c>
      <c r="I11" s="122">
        <f>I9-I12</f>
        <v>7982</v>
      </c>
      <c r="J11" s="122">
        <f>J9-J12</f>
        <v>6407</v>
      </c>
      <c r="K11" s="48"/>
      <c r="L11" s="124"/>
    </row>
    <row r="12" spans="2:17" ht="17">
      <c r="B12" s="62" t="s">
        <v>221</v>
      </c>
      <c r="C12" s="117">
        <f>59</f>
        <v>59</v>
      </c>
      <c r="D12" s="116">
        <f>$C$12</f>
        <v>59</v>
      </c>
      <c r="E12" s="116">
        <f>$C$12</f>
        <v>59</v>
      </c>
      <c r="F12" s="116">
        <f>$C$12</f>
        <v>59</v>
      </c>
      <c r="G12" s="116"/>
      <c r="H12" s="62">
        <f>F12</f>
        <v>59</v>
      </c>
      <c r="I12" s="62">
        <f>H12</f>
        <v>59</v>
      </c>
      <c r="J12" s="62">
        <f>I12</f>
        <v>59</v>
      </c>
      <c r="K12" s="48"/>
      <c r="L12" s="124" t="s">
        <v>229</v>
      </c>
    </row>
    <row r="13" spans="2:17" ht="68">
      <c r="B13" s="62" t="s">
        <v>54</v>
      </c>
      <c r="C13" s="127">
        <f>C9-C10</f>
        <v>9672</v>
      </c>
      <c r="D13" s="122">
        <f>D9-D10</f>
        <v>9290.68</v>
      </c>
      <c r="E13" s="122">
        <f>E9-E10</f>
        <v>8979.36</v>
      </c>
      <c r="F13" s="122">
        <f>F9-F10</f>
        <v>8668.0400000000009</v>
      </c>
      <c r="G13" s="122"/>
      <c r="H13" s="122">
        <f>H9-H10</f>
        <v>8668.0400000000009</v>
      </c>
      <c r="I13" s="122">
        <f>I9-I10</f>
        <v>7533.08</v>
      </c>
      <c r="J13" s="122">
        <f>J9-J10</f>
        <v>6354.7283882218135</v>
      </c>
      <c r="K13" s="48"/>
      <c r="L13" s="1034" t="s">
        <v>228</v>
      </c>
    </row>
    <row r="14" spans="2:17" ht="68">
      <c r="B14" s="62" t="s">
        <v>222</v>
      </c>
      <c r="C14" s="117">
        <f>3.6</f>
        <v>3.6</v>
      </c>
      <c r="D14" s="116" t="s">
        <v>104</v>
      </c>
      <c r="E14" s="116" t="s">
        <v>104</v>
      </c>
      <c r="F14" s="79">
        <f>F13/'Base Case Forecast '!$K$44</f>
        <v>3.3338615384615378</v>
      </c>
      <c r="G14" s="62"/>
      <c r="H14" s="296">
        <f>H13/'Base Case Forecast '!$K$44</f>
        <v>3.3338615384615378</v>
      </c>
      <c r="I14" s="297">
        <f>I13/'Base Case Forecast '!L44</f>
        <v>2.8315217098425949</v>
      </c>
      <c r="J14" s="297">
        <f>J13/'Base Case Forecast '!M44</f>
        <v>2.321450525763312</v>
      </c>
      <c r="K14" s="48"/>
      <c r="L14" s="1036" t="s">
        <v>227</v>
      </c>
    </row>
    <row r="15" spans="2:17" ht="50" customHeight="1" thickBot="1">
      <c r="B15"/>
      <c r="K15" s="48"/>
      <c r="L15" s="1035"/>
    </row>
    <row r="16" spans="2:17" ht="17" thickBot="1">
      <c r="B16" s="168" t="s">
        <v>225</v>
      </c>
      <c r="C16" s="169"/>
      <c r="D16" s="169"/>
      <c r="E16" s="169"/>
      <c r="F16" s="169"/>
      <c r="G16" s="177"/>
      <c r="H16" s="169"/>
      <c r="I16" s="169"/>
      <c r="J16" s="169"/>
      <c r="K16" s="170"/>
      <c r="L16" s="123"/>
    </row>
    <row r="23" spans="12:15" ht="32">
      <c r="L23" s="1028" t="s">
        <v>250</v>
      </c>
      <c r="M23" s="1029" t="s">
        <v>525</v>
      </c>
    </row>
    <row r="24" spans="12:15">
      <c r="L24" s="1030" t="s">
        <v>296</v>
      </c>
      <c r="M24" s="1031">
        <f>5%*1250</f>
        <v>62.5</v>
      </c>
    </row>
    <row r="25" spans="12:15" ht="16" customHeight="1">
      <c r="L25" s="1030" t="s">
        <v>252</v>
      </c>
      <c r="M25" s="1031">
        <f>4%*2000</f>
        <v>80</v>
      </c>
    </row>
    <row r="26" spans="12:15">
      <c r="L26" s="1030" t="s">
        <v>253</v>
      </c>
      <c r="M26" s="1031">
        <f>5.5%*1250</f>
        <v>68.75</v>
      </c>
    </row>
    <row r="27" spans="12:15">
      <c r="L27" s="1030" t="s">
        <v>254</v>
      </c>
      <c r="M27" s="1031">
        <f>4.125%*1500</f>
        <v>61.875</v>
      </c>
      <c r="O27"/>
    </row>
    <row r="28" spans="12:15" ht="15" customHeight="1">
      <c r="L28" s="1030" t="s">
        <v>255</v>
      </c>
      <c r="M28" s="1031">
        <f>3.875%*1500</f>
        <v>58.125</v>
      </c>
      <c r="O28"/>
    </row>
    <row r="29" spans="12:15">
      <c r="L29" s="1032" t="s">
        <v>256</v>
      </c>
      <c r="M29" s="1033">
        <f>SUM(M24:M28)</f>
        <v>331.25</v>
      </c>
      <c r="O29"/>
    </row>
    <row r="30" spans="12:15">
      <c r="L30" s="1032" t="s">
        <v>257</v>
      </c>
      <c r="M30" s="1033">
        <f>SUM(M25:M28)</f>
        <v>268.75</v>
      </c>
      <c r="O30"/>
    </row>
    <row r="31" spans="12:15">
      <c r="L31" s="1032" t="s">
        <v>258</v>
      </c>
      <c r="M31" s="1033">
        <f>SUM(M26:M28)</f>
        <v>188.75</v>
      </c>
      <c r="O31"/>
    </row>
    <row r="32" spans="12:15">
      <c r="O32"/>
    </row>
    <row r="33" spans="15:15">
      <c r="O33"/>
    </row>
    <row r="34" spans="15:15">
      <c r="O34"/>
    </row>
  </sheetData>
  <mergeCells count="1">
    <mergeCell ref="C3:C8"/>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3017B-C9FB-2B49-BBF7-84CEEFDE91BD}">
  <sheetPr>
    <tabColor rgb="FFFF0000"/>
  </sheetPr>
  <dimension ref="A1"/>
  <sheetViews>
    <sheetView workbookViewId="0"/>
  </sheetViews>
  <sheetFormatPr baseColWidth="10" defaultRowHeight="1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7AB27-4670-AF41-9FE7-1F127622A7E5}">
  <sheetPr>
    <tabColor rgb="FFFF0000"/>
  </sheetPr>
  <dimension ref="B2:T51"/>
  <sheetViews>
    <sheetView showGridLines="0" topLeftCell="A29" zoomScale="120" zoomScaleNormal="120" workbookViewId="0">
      <selection activeCell="J36" sqref="J36"/>
    </sheetView>
  </sheetViews>
  <sheetFormatPr baseColWidth="10" defaultRowHeight="15"/>
  <cols>
    <col min="1" max="1" width="4" style="67" customWidth="1"/>
    <col min="2" max="2" width="37" style="91" bestFit="1" customWidth="1"/>
    <col min="3" max="6" width="12.83203125" style="735" customWidth="1"/>
    <col min="7" max="12" width="12.83203125" style="115" customWidth="1"/>
    <col min="13" max="13" width="122.1640625" style="91" customWidth="1"/>
    <col min="14" max="14" width="10.83203125" style="67"/>
    <col min="15" max="15" width="17.83203125" style="115" customWidth="1"/>
    <col min="16" max="19" width="7.6640625" style="115" bestFit="1" customWidth="1"/>
    <col min="20" max="20" width="7.83203125" style="67" bestFit="1" customWidth="1"/>
    <col min="21" max="16384" width="10.83203125" style="67"/>
  </cols>
  <sheetData>
    <row r="2" spans="2:20" ht="16">
      <c r="B2" s="102" t="s">
        <v>8</v>
      </c>
      <c r="C2" s="828" t="s">
        <v>297</v>
      </c>
      <c r="D2" s="828"/>
      <c r="E2" s="828"/>
      <c r="F2" s="828" t="s">
        <v>298</v>
      </c>
      <c r="G2" s="828"/>
      <c r="H2" s="828"/>
      <c r="I2" s="828"/>
      <c r="J2" s="829" t="s">
        <v>297</v>
      </c>
      <c r="K2" s="829"/>
      <c r="L2" s="829"/>
    </row>
    <row r="3" spans="2:20" ht="16">
      <c r="B3" s="96" t="s">
        <v>137</v>
      </c>
      <c r="C3" s="307" t="s">
        <v>208</v>
      </c>
      <c r="D3" s="307" t="s">
        <v>207</v>
      </c>
      <c r="E3" s="307" t="s">
        <v>206</v>
      </c>
      <c r="F3" s="307" t="s">
        <v>163</v>
      </c>
      <c r="G3" s="94" t="s">
        <v>156</v>
      </c>
      <c r="H3" s="94" t="s">
        <v>157</v>
      </c>
      <c r="I3" s="94" t="s">
        <v>158</v>
      </c>
      <c r="J3" s="722" t="s">
        <v>14</v>
      </c>
      <c r="K3" s="722" t="s">
        <v>15</v>
      </c>
      <c r="L3" s="722" t="s">
        <v>130</v>
      </c>
      <c r="M3" s="96" t="s">
        <v>136</v>
      </c>
      <c r="O3" s="94" t="s">
        <v>346</v>
      </c>
      <c r="P3" s="94" t="s">
        <v>125</v>
      </c>
      <c r="Q3" s="94" t="s">
        <v>193</v>
      </c>
      <c r="R3" s="94" t="s">
        <v>160</v>
      </c>
      <c r="S3" s="94" t="s">
        <v>161</v>
      </c>
      <c r="T3" s="93" t="s">
        <v>162</v>
      </c>
    </row>
    <row r="4" spans="2:20" ht="16" customHeight="1">
      <c r="B4" s="78" t="s">
        <v>151</v>
      </c>
      <c r="C4" s="128"/>
      <c r="D4" s="194">
        <f>D5/C5-1</f>
        <v>-9.2667960678730621E-3</v>
      </c>
      <c r="E4" s="194">
        <f t="shared" ref="E4:F4" si="0">E5/D5-1</f>
        <v>-9.5114706439992647E-3</v>
      </c>
      <c r="F4" s="194">
        <f t="shared" si="0"/>
        <v>-3.5412346466741074E-3</v>
      </c>
      <c r="G4" s="728">
        <v>0</v>
      </c>
      <c r="H4" s="728">
        <v>0</v>
      </c>
      <c r="I4" s="728">
        <v>0</v>
      </c>
      <c r="J4" s="729">
        <f>J5-E5</f>
        <v>-111</v>
      </c>
      <c r="K4" s="729">
        <f>J4-50</f>
        <v>-161</v>
      </c>
      <c r="L4" s="729">
        <f>K4-50</f>
        <v>-211</v>
      </c>
      <c r="M4" s="821" t="s">
        <v>352</v>
      </c>
      <c r="O4" s="158" t="s">
        <v>348</v>
      </c>
      <c r="P4" s="310">
        <v>31234</v>
      </c>
      <c r="Q4" s="21">
        <v>31343</v>
      </c>
      <c r="R4" s="21">
        <v>31275</v>
      </c>
      <c r="S4" s="21">
        <v>31235</v>
      </c>
      <c r="T4" s="21">
        <v>31345</v>
      </c>
    </row>
    <row r="5" spans="2:20" ht="16">
      <c r="B5" s="66" t="s">
        <v>150</v>
      </c>
      <c r="C5" s="730">
        <f>KPIs!C4</f>
        <v>31942</v>
      </c>
      <c r="D5" s="730">
        <f>KPIs!D4</f>
        <v>31646</v>
      </c>
      <c r="E5" s="730">
        <f>KPIs!E4</f>
        <v>31345</v>
      </c>
      <c r="F5" s="730">
        <f>KPIs!F4</f>
        <v>31234</v>
      </c>
      <c r="G5" s="140">
        <f>KPIs!F4+'Bear Case Assumptions'!G4</f>
        <v>31234</v>
      </c>
      <c r="H5" s="140">
        <f>G5+H4</f>
        <v>31234</v>
      </c>
      <c r="I5" s="140">
        <f>H5+I4</f>
        <v>31234</v>
      </c>
      <c r="J5" s="140">
        <f>I5</f>
        <v>31234</v>
      </c>
      <c r="K5" s="200">
        <f>J5+K4</f>
        <v>31073</v>
      </c>
      <c r="L5" s="200">
        <f>K5+L4</f>
        <v>30862</v>
      </c>
      <c r="M5" s="822"/>
      <c r="O5" s="116" t="s">
        <v>349</v>
      </c>
      <c r="P5" s="116"/>
      <c r="Q5" s="116"/>
      <c r="R5" s="310">
        <f>R4-Q4</f>
        <v>-68</v>
      </c>
      <c r="S5" s="310">
        <f t="shared" ref="S5:T5" si="1">S4-R4</f>
        <v>-40</v>
      </c>
      <c r="T5" s="310">
        <f t="shared" si="1"/>
        <v>110</v>
      </c>
    </row>
    <row r="6" spans="2:20" ht="32" customHeight="1">
      <c r="B6" s="78" t="s">
        <v>153</v>
      </c>
      <c r="C6" s="128"/>
      <c r="D6" s="190">
        <f>D7-C7</f>
        <v>-353</v>
      </c>
      <c r="E6" s="190">
        <f t="shared" ref="E6:F6" si="2">E7-D7</f>
        <v>2</v>
      </c>
      <c r="F6" s="190">
        <f t="shared" si="2"/>
        <v>-37</v>
      </c>
      <c r="G6" s="731">
        <v>0</v>
      </c>
      <c r="H6" s="731">
        <v>0</v>
      </c>
      <c r="I6" s="731">
        <v>0</v>
      </c>
      <c r="J6" s="729">
        <f>J7-E7</f>
        <v>-37</v>
      </c>
      <c r="K6" s="729">
        <f>K7-F7</f>
        <v>0</v>
      </c>
      <c r="L6" s="729">
        <f>L7-G7</f>
        <v>0</v>
      </c>
      <c r="M6" s="824" t="s">
        <v>353</v>
      </c>
    </row>
    <row r="7" spans="2:20" ht="18" customHeight="1">
      <c r="B7" s="66" t="s">
        <v>152</v>
      </c>
      <c r="C7" s="730">
        <f>KPIs!C5</f>
        <v>1933</v>
      </c>
      <c r="D7" s="730">
        <f>KPIs!D5</f>
        <v>1580</v>
      </c>
      <c r="E7" s="730">
        <f>KPIs!E5</f>
        <v>1582</v>
      </c>
      <c r="F7" s="730">
        <f>KPIs!F5</f>
        <v>1545</v>
      </c>
      <c r="G7" s="140">
        <f>F7+G6</f>
        <v>1545</v>
      </c>
      <c r="H7" s="140">
        <f>G7+H6</f>
        <v>1545</v>
      </c>
      <c r="I7" s="140">
        <f>H7+I6</f>
        <v>1545</v>
      </c>
      <c r="J7" s="310">
        <f>I7</f>
        <v>1545</v>
      </c>
      <c r="K7" s="200">
        <f>J7</f>
        <v>1545</v>
      </c>
      <c r="L7" s="200">
        <f>K7</f>
        <v>1545</v>
      </c>
      <c r="M7" s="824"/>
    </row>
    <row r="8" spans="2:20" ht="32" customHeight="1">
      <c r="B8" s="66" t="s">
        <v>154</v>
      </c>
      <c r="C8" s="730">
        <f>KPIs!C8</f>
        <v>33993</v>
      </c>
      <c r="D8" s="730">
        <f>KPIs!D8</f>
        <v>33292</v>
      </c>
      <c r="E8" s="730">
        <f>KPIs!E8</f>
        <v>32797</v>
      </c>
      <c r="F8" s="730">
        <f>KPIs!F8</f>
        <v>32799</v>
      </c>
      <c r="G8" s="140">
        <f>(F8+'Bear Case Assumptions'!G5+'Bear Case Assumptions'!G7)/2</f>
        <v>32789</v>
      </c>
      <c r="H8" s="140">
        <f>(G5+G7+H5+H7)/2</f>
        <v>32779</v>
      </c>
      <c r="I8" s="140">
        <f>(H5+H7+I5+I7)/2</f>
        <v>32779</v>
      </c>
      <c r="J8" s="310">
        <f>I8</f>
        <v>32779</v>
      </c>
      <c r="K8" s="275">
        <f>(J5+J7+K5+K7)/2</f>
        <v>32698.5</v>
      </c>
      <c r="L8" s="275">
        <f>(K5+K7+L5+L7)/2</f>
        <v>32512.5</v>
      </c>
      <c r="M8" s="59"/>
      <c r="O8" s="322" t="s">
        <v>347</v>
      </c>
      <c r="P8" s="94" t="s">
        <v>125</v>
      </c>
      <c r="Q8" s="94" t="s">
        <v>193</v>
      </c>
      <c r="R8" s="94" t="s">
        <v>160</v>
      </c>
      <c r="S8" s="93" t="s">
        <v>161</v>
      </c>
      <c r="T8" s="93" t="s">
        <v>162</v>
      </c>
    </row>
    <row r="9" spans="2:20" ht="16" hidden="1">
      <c r="B9" s="66" t="s">
        <v>141</v>
      </c>
      <c r="C9" s="128"/>
      <c r="D9" s="128"/>
      <c r="E9" s="128"/>
      <c r="F9" s="128"/>
      <c r="G9" s="732">
        <v>0.02</v>
      </c>
      <c r="H9" s="732">
        <v>0.02</v>
      </c>
      <c r="I9" s="732">
        <v>0.02</v>
      </c>
      <c r="J9" s="764">
        <f>AVERAGE(KPIs!F9,'Bear Case Assumptions'!G9:I9)</f>
        <v>1.8750000000000003E-2</v>
      </c>
      <c r="K9" s="764">
        <f>J9</f>
        <v>1.8750000000000003E-2</v>
      </c>
      <c r="L9" s="764">
        <f>K9</f>
        <v>1.8750000000000003E-2</v>
      </c>
      <c r="M9" s="66" t="s">
        <v>426</v>
      </c>
      <c r="O9" s="103"/>
      <c r="P9" s="116"/>
      <c r="Q9" s="116"/>
      <c r="R9" s="116"/>
      <c r="S9" s="116"/>
      <c r="T9" s="116"/>
    </row>
    <row r="10" spans="2:20" ht="16">
      <c r="B10" s="66" t="s">
        <v>132</v>
      </c>
      <c r="C10" s="128">
        <f>KPIs!C10</f>
        <v>15.56</v>
      </c>
      <c r="D10" s="128">
        <f>KPIs!D10</f>
        <v>15.21</v>
      </c>
      <c r="E10" s="128">
        <f>KPIs!E10</f>
        <v>15.11</v>
      </c>
      <c r="F10" s="128">
        <f>KPIs!F10</f>
        <v>14.99</v>
      </c>
      <c r="G10" s="734">
        <f>MIN($C$10:$F$10)</f>
        <v>14.99</v>
      </c>
      <c r="H10" s="734">
        <f t="shared" ref="H10:L10" si="3">MIN($C$10:$F$10)</f>
        <v>14.99</v>
      </c>
      <c r="I10" s="734">
        <f t="shared" si="3"/>
        <v>14.99</v>
      </c>
      <c r="J10" s="734">
        <f t="shared" si="3"/>
        <v>14.99</v>
      </c>
      <c r="K10" s="734">
        <f t="shared" si="3"/>
        <v>14.99</v>
      </c>
      <c r="L10" s="734">
        <f t="shared" si="3"/>
        <v>14.99</v>
      </c>
      <c r="M10" s="66" t="s">
        <v>354</v>
      </c>
      <c r="N10" s="157" t="s">
        <v>343</v>
      </c>
      <c r="O10" s="321" t="s">
        <v>344</v>
      </c>
      <c r="P10" s="116">
        <f>F10</f>
        <v>14.99</v>
      </c>
      <c r="Q10" s="116">
        <v>14.86</v>
      </c>
      <c r="R10" s="116">
        <v>15.22</v>
      </c>
      <c r="S10" s="116">
        <v>15.19</v>
      </c>
      <c r="T10" s="116">
        <v>15.11</v>
      </c>
    </row>
    <row r="11" spans="2:20">
      <c r="O11" s="321" t="s">
        <v>345</v>
      </c>
      <c r="P11" s="116">
        <f>P10-Q10</f>
        <v>0.13000000000000078</v>
      </c>
      <c r="T11" s="115"/>
    </row>
    <row r="12" spans="2:20" ht="16">
      <c r="B12" s="96" t="s">
        <v>138</v>
      </c>
      <c r="C12" s="307" t="s">
        <v>208</v>
      </c>
      <c r="D12" s="307" t="s">
        <v>207</v>
      </c>
      <c r="E12" s="307" t="s">
        <v>206</v>
      </c>
      <c r="F12" s="307" t="s">
        <v>163</v>
      </c>
      <c r="G12" s="94" t="s">
        <v>156</v>
      </c>
      <c r="H12" s="94" t="s">
        <v>157</v>
      </c>
      <c r="I12" s="94" t="s">
        <v>158</v>
      </c>
      <c r="J12" s="722" t="s">
        <v>14</v>
      </c>
      <c r="K12" s="722" t="s">
        <v>15</v>
      </c>
      <c r="L12" s="722" t="s">
        <v>130</v>
      </c>
      <c r="M12" s="96" t="s">
        <v>136</v>
      </c>
    </row>
    <row r="13" spans="2:20" ht="16">
      <c r="B13" s="78" t="s">
        <v>176</v>
      </c>
      <c r="C13" s="730"/>
      <c r="D13" s="193">
        <f>D14/C14-1</f>
        <v>-5.8271411810715712E-2</v>
      </c>
      <c r="E13" s="193">
        <f t="shared" ref="E13:F13" si="4">E14/D14-1</f>
        <v>-5.149501661129563E-2</v>
      </c>
      <c r="F13" s="193">
        <f t="shared" si="4"/>
        <v>-2.5394045534150589E-2</v>
      </c>
      <c r="G13" s="736">
        <v>0</v>
      </c>
      <c r="H13" s="736">
        <f>G13</f>
        <v>0</v>
      </c>
      <c r="I13" s="736">
        <f>H13</f>
        <v>0</v>
      </c>
      <c r="J13" s="737">
        <f>F13</f>
        <v>-2.5394045534150589E-2</v>
      </c>
      <c r="K13" s="738">
        <f>MIN($D$13:$F$13,$J$13)</f>
        <v>-5.8271411810715712E-2</v>
      </c>
      <c r="L13" s="738">
        <f>MIN($D$13:$F$13,$J$13)</f>
        <v>-5.8271411810715712E-2</v>
      </c>
      <c r="M13" s="821" t="s">
        <v>355</v>
      </c>
    </row>
    <row r="14" spans="2:20" ht="31" customHeight="1">
      <c r="B14" s="66" t="s">
        <v>167</v>
      </c>
      <c r="C14" s="730">
        <f>KPIs!C14</f>
        <v>46026</v>
      </c>
      <c r="D14" s="730">
        <f>KPIs!D14</f>
        <v>43344</v>
      </c>
      <c r="E14" s="730">
        <f>KPIs!E14</f>
        <v>41112</v>
      </c>
      <c r="F14" s="730">
        <f>KPIs!F14</f>
        <v>40068</v>
      </c>
      <c r="G14" s="200">
        <f>F14*(1+'Bear Case Assumptions'!G13)</f>
        <v>40068</v>
      </c>
      <c r="H14" s="200">
        <f>G14*(1+'Bear Case Assumptions'!H13)</f>
        <v>40068</v>
      </c>
      <c r="I14" s="200">
        <f>H14*(1+'Bear Case Assumptions'!I13)</f>
        <v>40068</v>
      </c>
      <c r="J14" s="200">
        <f>I14</f>
        <v>40068</v>
      </c>
      <c r="K14" s="200">
        <f>J14*(1+'Bear Case Assumptions'!K13)</f>
        <v>37733.181071568244</v>
      </c>
      <c r="L14" s="200">
        <f>K14*(1+'Bear Case Assumptions'!L13)</f>
        <v>35534.415338418585</v>
      </c>
      <c r="M14" s="822"/>
    </row>
    <row r="15" spans="2:20" ht="16" customHeight="1">
      <c r="B15" s="66" t="s">
        <v>165</v>
      </c>
      <c r="C15" s="128"/>
      <c r="D15" s="193">
        <f>D16/C16-1</f>
        <v>-4.6092846522385544E-2</v>
      </c>
      <c r="E15" s="193">
        <f t="shared" ref="E15:F15" si="5">E16/D16-1</f>
        <v>-2.4939383443020491E-2</v>
      </c>
      <c r="F15" s="193">
        <f t="shared" si="5"/>
        <v>-5.8614564831260818E-3</v>
      </c>
      <c r="G15" s="736">
        <v>0</v>
      </c>
      <c r="H15" s="736">
        <f>G15</f>
        <v>0</v>
      </c>
      <c r="I15" s="736">
        <f>H15</f>
        <v>0</v>
      </c>
      <c r="J15" s="737">
        <f>F15</f>
        <v>-5.8614564831260818E-3</v>
      </c>
      <c r="K15" s="738">
        <f>MIN($D$15:$F$15,J15)</f>
        <v>-4.6092846522385544E-2</v>
      </c>
      <c r="L15" s="738">
        <f>MIN($D$15:$F$15,K15)</f>
        <v>-4.6092846522385544E-2</v>
      </c>
      <c r="M15" s="822"/>
    </row>
    <row r="16" spans="2:20" ht="33" customHeight="1">
      <c r="B16" s="66" t="s">
        <v>164</v>
      </c>
      <c r="C16" s="320">
        <f>KPIs!C15</f>
        <v>6053</v>
      </c>
      <c r="D16" s="320">
        <f>KPIs!D15</f>
        <v>5774</v>
      </c>
      <c r="E16" s="320">
        <f>KPIs!E15</f>
        <v>5630</v>
      </c>
      <c r="F16" s="320">
        <f>KPIs!F15</f>
        <v>5597</v>
      </c>
      <c r="G16" s="310">
        <f>F16+'Bear Case Assumptions'!G15</f>
        <v>5597</v>
      </c>
      <c r="H16" s="310">
        <f>G16+H15</f>
        <v>5597</v>
      </c>
      <c r="I16" s="310">
        <f>H16+I15</f>
        <v>5597</v>
      </c>
      <c r="J16" s="310">
        <f>I16</f>
        <v>5597</v>
      </c>
      <c r="K16" s="200">
        <f>J16*(1+K15)</f>
        <v>5339.018338014208</v>
      </c>
      <c r="L16" s="200">
        <f>K16*(1+L15)</f>
        <v>5092.927785179917</v>
      </c>
      <c r="M16" s="823"/>
    </row>
    <row r="17" spans="2:19" ht="64">
      <c r="B17" s="66" t="s">
        <v>154</v>
      </c>
      <c r="C17" s="730">
        <f>KPIs!C16</f>
        <v>6169</v>
      </c>
      <c r="D17" s="730">
        <f>KPIs!D16</f>
        <v>5929</v>
      </c>
      <c r="E17" s="730">
        <f>KPIs!E16</f>
        <v>5698</v>
      </c>
      <c r="F17" s="730">
        <f>KPIs!F16</f>
        <v>5605</v>
      </c>
      <c r="G17" s="140">
        <f>(G16*90+F16*90)/(90+90)</f>
        <v>5597</v>
      </c>
      <c r="H17" s="140">
        <f t="shared" ref="H17:I17" si="6">(H16*90+G16*90)/(90+90)</f>
        <v>5597</v>
      </c>
      <c r="I17" s="140">
        <f t="shared" si="6"/>
        <v>5597</v>
      </c>
      <c r="J17" s="140">
        <f>(F16*90+G17*90+H17*90+I17*90)/365</f>
        <v>5520.3287671232874</v>
      </c>
      <c r="K17" s="140">
        <f>(J16*90+K16*90)/(90+90)</f>
        <v>5468.009169007104</v>
      </c>
      <c r="L17" s="140">
        <f>(K16*90+L16*90)/(90+90)</f>
        <v>5215.973061597063</v>
      </c>
      <c r="M17" s="66" t="s">
        <v>168</v>
      </c>
    </row>
    <row r="18" spans="2:19" ht="32">
      <c r="B18" s="66" t="s">
        <v>169</v>
      </c>
      <c r="C18" s="739">
        <f>KPIs!C17</f>
        <v>10.48</v>
      </c>
      <c r="D18" s="739">
        <f>KPIs!D17</f>
        <v>9.94</v>
      </c>
      <c r="E18" s="739">
        <f>KPIs!E17</f>
        <v>9.75</v>
      </c>
      <c r="F18" s="739">
        <f>KPIs!F17</f>
        <v>2.2210000000000001</v>
      </c>
      <c r="G18" s="740">
        <v>1</v>
      </c>
      <c r="H18" s="740">
        <v>1</v>
      </c>
      <c r="I18" s="740">
        <v>1</v>
      </c>
      <c r="J18" s="741">
        <f>SUM(F18:I18)</f>
        <v>5.2210000000000001</v>
      </c>
      <c r="K18" s="740">
        <f>MIN($C$18:$E$18,$J$18)</f>
        <v>5.2210000000000001</v>
      </c>
      <c r="L18" s="740">
        <f>MIN($C$18:$E$18,$J$18)</f>
        <v>5.2210000000000001</v>
      </c>
      <c r="M18" s="66" t="s">
        <v>356</v>
      </c>
    </row>
    <row r="19" spans="2:19" ht="32">
      <c r="B19" s="66" t="s">
        <v>133</v>
      </c>
      <c r="C19" s="128">
        <f>KPIs!C18</f>
        <v>99.39</v>
      </c>
      <c r="D19" s="128">
        <f>KPIs!D18</f>
        <v>100.59</v>
      </c>
      <c r="E19" s="128">
        <f>KPIs!E18</f>
        <v>91.78</v>
      </c>
      <c r="F19" s="128">
        <f>KPIs!F18</f>
        <v>84.11</v>
      </c>
      <c r="G19" s="740">
        <v>80</v>
      </c>
      <c r="H19" s="740">
        <v>80</v>
      </c>
      <c r="I19" s="740">
        <v>80</v>
      </c>
      <c r="J19" s="742">
        <f>AVERAGE(F19:I19)</f>
        <v>81.027500000000003</v>
      </c>
      <c r="K19" s="741">
        <f>MIN($C$19:$F$19,J19)</f>
        <v>81.027500000000003</v>
      </c>
      <c r="L19" s="741">
        <f>MIN($C$19:$F$19,K19)</f>
        <v>81.027500000000003</v>
      </c>
      <c r="M19" s="66" t="s">
        <v>357</v>
      </c>
    </row>
    <row r="20" spans="2:19" ht="32">
      <c r="B20" s="66" t="s">
        <v>307</v>
      </c>
      <c r="C20" s="320">
        <f>C18*C19</f>
        <v>1041.6072000000001</v>
      </c>
      <c r="D20" s="320">
        <f t="shared" ref="D20:L20" si="7">D18*D19</f>
        <v>999.8646</v>
      </c>
      <c r="E20" s="320">
        <f t="shared" si="7"/>
        <v>894.85500000000002</v>
      </c>
      <c r="F20" s="320">
        <f t="shared" si="7"/>
        <v>186.80831000000001</v>
      </c>
      <c r="G20" s="162">
        <f>G18*G19</f>
        <v>80</v>
      </c>
      <c r="H20" s="162">
        <f>H18*H19</f>
        <v>80</v>
      </c>
      <c r="I20" s="162">
        <f>I18*I19</f>
        <v>80</v>
      </c>
      <c r="J20" s="162">
        <f>J18*J19</f>
        <v>423.0445775</v>
      </c>
      <c r="K20" s="162">
        <f t="shared" si="7"/>
        <v>423.0445775</v>
      </c>
      <c r="L20" s="162">
        <f t="shared" si="7"/>
        <v>423.0445775</v>
      </c>
      <c r="M20" s="91" t="s">
        <v>306</v>
      </c>
    </row>
    <row r="21" spans="2:19" ht="16">
      <c r="B21" s="66" t="s">
        <v>308</v>
      </c>
      <c r="C21" s="320">
        <f>'Revenue split'!E12</f>
        <v>1589</v>
      </c>
      <c r="D21" s="320">
        <f>'Revenue split'!F12</f>
        <v>1606</v>
      </c>
      <c r="E21" s="320">
        <f>'Revenue split'!G12</f>
        <v>1615</v>
      </c>
      <c r="F21" s="320">
        <f>'Revenue split'!H12</f>
        <v>372</v>
      </c>
      <c r="G21" s="162"/>
      <c r="H21" s="162"/>
      <c r="I21" s="162"/>
      <c r="J21" s="200"/>
      <c r="K21" s="162"/>
      <c r="L21" s="162"/>
      <c r="M21" s="66"/>
    </row>
    <row r="22" spans="2:19" ht="32">
      <c r="B22" s="66" t="s">
        <v>309</v>
      </c>
      <c r="C22" s="743">
        <f>C21-C20</f>
        <v>547.39279999999985</v>
      </c>
      <c r="D22" s="743">
        <f t="shared" ref="D22:F22" si="8">D21-D20</f>
        <v>606.1354</v>
      </c>
      <c r="E22" s="743">
        <f t="shared" si="8"/>
        <v>720.14499999999998</v>
      </c>
      <c r="F22" s="743">
        <f t="shared" si="8"/>
        <v>185.19168999999999</v>
      </c>
      <c r="G22" s="744">
        <f>F22</f>
        <v>185.19168999999999</v>
      </c>
      <c r="H22" s="744">
        <f t="shared" ref="H22:I22" si="9">G22</f>
        <v>185.19168999999999</v>
      </c>
      <c r="I22" s="744">
        <f t="shared" si="9"/>
        <v>185.19168999999999</v>
      </c>
      <c r="J22" s="288">
        <f>SUM(F22:I22)</f>
        <v>740.76675999999998</v>
      </c>
      <c r="K22" s="745">
        <f>MIN($C$22:$E$22)</f>
        <v>547.39279999999985</v>
      </c>
      <c r="L22" s="745">
        <f>MIN($C$22:$E$22)</f>
        <v>547.39279999999985</v>
      </c>
      <c r="M22" s="66" t="s">
        <v>358</v>
      </c>
    </row>
    <row r="23" spans="2:19" ht="17">
      <c r="J23" s="746"/>
    </row>
    <row r="24" spans="2:19" ht="16">
      <c r="B24" s="96" t="s">
        <v>140</v>
      </c>
      <c r="C24" s="307" t="s">
        <v>208</v>
      </c>
      <c r="D24" s="307" t="s">
        <v>207</v>
      </c>
      <c r="E24" s="307" t="s">
        <v>206</v>
      </c>
      <c r="F24" s="307" t="s">
        <v>163</v>
      </c>
      <c r="G24" s="94" t="s">
        <v>144</v>
      </c>
      <c r="H24" s="94" t="s">
        <v>145</v>
      </c>
      <c r="I24" s="94" t="s">
        <v>146</v>
      </c>
      <c r="J24" s="722" t="s">
        <v>14</v>
      </c>
      <c r="K24" s="722" t="s">
        <v>15</v>
      </c>
      <c r="L24" s="722" t="s">
        <v>130</v>
      </c>
      <c r="M24" s="96" t="s">
        <v>139</v>
      </c>
    </row>
    <row r="25" spans="2:19" ht="16">
      <c r="B25" s="66" t="s">
        <v>317</v>
      </c>
      <c r="C25" s="128">
        <f>'Revenue split'!E7</f>
        <v>169</v>
      </c>
      <c r="D25" s="128">
        <f>'Revenue split'!F7</f>
        <v>167</v>
      </c>
      <c r="E25" s="128">
        <f>'Revenue split'!G7</f>
        <v>157</v>
      </c>
      <c r="F25" s="128">
        <f>'Revenue split'!H7</f>
        <v>35</v>
      </c>
      <c r="G25" s="312">
        <f>F25</f>
        <v>35</v>
      </c>
      <c r="H25" s="312">
        <f t="shared" ref="H25:I25" si="10">G25</f>
        <v>35</v>
      </c>
      <c r="I25" s="312">
        <f t="shared" si="10"/>
        <v>35</v>
      </c>
      <c r="J25" s="116">
        <f xml:space="preserve"> 157*(1 + 0%)</f>
        <v>157</v>
      </c>
      <c r="K25" s="103"/>
      <c r="L25" s="103"/>
      <c r="M25" s="66" t="s">
        <v>359</v>
      </c>
      <c r="N25" s="157"/>
      <c r="O25" s="67"/>
      <c r="P25" s="67"/>
      <c r="Q25" s="67"/>
      <c r="R25" s="67"/>
      <c r="S25" s="67"/>
    </row>
    <row r="26" spans="2:19" ht="32">
      <c r="B26" s="66" t="s">
        <v>149</v>
      </c>
      <c r="C26" s="194">
        <f>'Revenue split'!E7/'Revenue split'!E13</f>
        <v>1.8876354294649837E-2</v>
      </c>
      <c r="D26" s="194">
        <f>'Revenue split'!F7/'Revenue split'!F13</f>
        <v>1.9197608920565584E-2</v>
      </c>
      <c r="E26" s="194">
        <f>'Revenue split'!G7/'Revenue split'!G13</f>
        <v>1.8345407805562049E-2</v>
      </c>
      <c r="F26" s="194">
        <f>'Revenue split'!H7/'Revenue split'!H13</f>
        <v>1.6738402678144429E-2</v>
      </c>
      <c r="G26" s="747">
        <f>((($E$25*(1+$J26)-$F$25)*G25/SUM($G$25:$I$25))/$F$25)-1</f>
        <v>0.16190476190476177</v>
      </c>
      <c r="H26" s="747">
        <f>H25/G25-1</f>
        <v>0</v>
      </c>
      <c r="I26" s="747">
        <f>I25/H25-1</f>
        <v>0</v>
      </c>
      <c r="J26" s="738">
        <v>0</v>
      </c>
      <c r="K26" s="738">
        <v>0</v>
      </c>
      <c r="L26" s="738">
        <v>0</v>
      </c>
      <c r="M26" s="66" t="s">
        <v>200</v>
      </c>
    </row>
    <row r="27" spans="2:19" ht="32">
      <c r="B27" s="66" t="s">
        <v>78</v>
      </c>
      <c r="C27" s="128" t="s">
        <v>104</v>
      </c>
      <c r="D27" s="128" t="s">
        <v>104</v>
      </c>
      <c r="E27" s="128" t="s">
        <v>104</v>
      </c>
      <c r="F27" s="128" t="s">
        <v>104</v>
      </c>
      <c r="G27" s="748">
        <f>J27</f>
        <v>-2.1978021978022011E-2</v>
      </c>
      <c r="H27" s="748">
        <f t="shared" ref="H27:I27" si="11">K27</f>
        <v>-2.1978021978022011E-2</v>
      </c>
      <c r="I27" s="748">
        <f t="shared" si="11"/>
        <v>-2.1978021978022011E-2</v>
      </c>
      <c r="J27" s="749">
        <f>'Revenue split'!G8/'Revenue split'!F8-1</f>
        <v>-2.1978021978022011E-2</v>
      </c>
      <c r="K27" s="750">
        <f>J27</f>
        <v>-2.1978021978022011E-2</v>
      </c>
      <c r="L27" s="750">
        <f>K27</f>
        <v>-2.1978021978022011E-2</v>
      </c>
      <c r="M27" s="66" t="s">
        <v>201</v>
      </c>
    </row>
    <row r="28" spans="2:19" ht="32">
      <c r="B28" s="66" t="s">
        <v>79</v>
      </c>
      <c r="C28" s="128" t="s">
        <v>104</v>
      </c>
      <c r="D28" s="193">
        <f>'Revenue split'!F9/'Revenue split'!E9-1</f>
        <v>-5.8823529411764719E-2</v>
      </c>
      <c r="E28" s="193">
        <f>'Revenue split'!G9/'Revenue split'!F9-1</f>
        <v>-4.6875E-2</v>
      </c>
      <c r="F28" s="128" t="s">
        <v>104</v>
      </c>
      <c r="G28" s="701">
        <f>((('Revenue split'!$G$9*(1+$J28)-'Revenue split'!$H$9)*Misc.!E32/SUM(Misc.!E32:G32))/'Revenue split'!$H$9)-1</f>
        <v>0</v>
      </c>
      <c r="H28" s="701">
        <f>Misc.!F32/Misc.!E32-1</f>
        <v>3.2258064516129004E-2</v>
      </c>
      <c r="I28" s="701">
        <f>Misc.!G32/Misc.!F32-1</f>
        <v>-0.125</v>
      </c>
      <c r="J28" s="738">
        <v>0</v>
      </c>
      <c r="K28" s="291">
        <v>0</v>
      </c>
      <c r="L28" s="291">
        <v>0</v>
      </c>
      <c r="M28" s="66" t="s">
        <v>202</v>
      </c>
    </row>
    <row r="29" spans="2:19" ht="64">
      <c r="B29" s="66" t="s">
        <v>330</v>
      </c>
      <c r="C29" s="128" t="s">
        <v>104</v>
      </c>
      <c r="D29" s="128" t="s">
        <v>104</v>
      </c>
      <c r="E29" s="128" t="s">
        <v>104</v>
      </c>
      <c r="F29" s="128" t="s">
        <v>104</v>
      </c>
      <c r="G29" s="751">
        <v>0</v>
      </c>
      <c r="H29" s="751">
        <v>0</v>
      </c>
      <c r="I29" s="751">
        <v>0</v>
      </c>
      <c r="J29" s="748">
        <f>I29</f>
        <v>0</v>
      </c>
      <c r="K29" s="750">
        <v>-0.01</v>
      </c>
      <c r="L29" s="750">
        <f>K29</f>
        <v>-0.01</v>
      </c>
      <c r="M29" s="66" t="s">
        <v>360</v>
      </c>
    </row>
    <row r="31" spans="2:19" ht="16">
      <c r="B31" s="96" t="s">
        <v>338</v>
      </c>
      <c r="C31" s="307" t="s">
        <v>208</v>
      </c>
      <c r="D31" s="307" t="s">
        <v>207</v>
      </c>
      <c r="E31" s="307" t="s">
        <v>206</v>
      </c>
      <c r="F31" s="307" t="s">
        <v>163</v>
      </c>
      <c r="G31" s="94" t="s">
        <v>144</v>
      </c>
      <c r="H31" s="94" t="s">
        <v>145</v>
      </c>
      <c r="I31" s="94" t="s">
        <v>146</v>
      </c>
      <c r="J31" s="722" t="s">
        <v>14</v>
      </c>
      <c r="K31" s="722" t="s">
        <v>15</v>
      </c>
      <c r="L31" s="722" t="s">
        <v>130</v>
      </c>
      <c r="M31" s="96" t="s">
        <v>136</v>
      </c>
    </row>
    <row r="32" spans="2:19" ht="32">
      <c r="B32" s="66" t="s">
        <v>339</v>
      </c>
      <c r="C32" s="193">
        <f>'Financial One Pager'!J24/'Financial One Pager'!J23</f>
        <v>0.47012174690048031</v>
      </c>
      <c r="D32" s="193">
        <f>'Financial One Pager'!K24/'Financial One Pager'!K23</f>
        <v>0.47465225888033108</v>
      </c>
      <c r="E32" s="193">
        <f>'Financial One Pager'!L24/'Financial One Pager'!L23</f>
        <v>0.48118719326945547</v>
      </c>
      <c r="F32" s="193">
        <f>'Financial One Pager'!M24/'Financial One Pager'!M23</f>
        <v>0.47966437478149399</v>
      </c>
      <c r="G32" s="752">
        <f>$J$32</f>
        <v>0.47437647862435539</v>
      </c>
      <c r="H32" s="752">
        <f>$J$32</f>
        <v>0.47437647862435539</v>
      </c>
      <c r="I32" s="752">
        <f>$J$32</f>
        <v>0.47437647862435539</v>
      </c>
      <c r="J32" s="753">
        <f>AVERAGE(C32:E32,Misc.!C38/Misc.!C37)</f>
        <v>0.47437647862435539</v>
      </c>
      <c r="K32" s="752">
        <f>J32</f>
        <v>0.47437647862435539</v>
      </c>
      <c r="L32" s="752">
        <f>K32</f>
        <v>0.47437647862435539</v>
      </c>
      <c r="M32" s="66" t="s">
        <v>203</v>
      </c>
    </row>
    <row r="33" spans="2:13" ht="32">
      <c r="B33" s="66" t="s">
        <v>340</v>
      </c>
      <c r="C33" s="128" t="s">
        <v>104</v>
      </c>
      <c r="D33" s="128" t="s">
        <v>104</v>
      </c>
      <c r="E33" s="128" t="s">
        <v>104</v>
      </c>
      <c r="F33" s="128" t="s">
        <v>104</v>
      </c>
      <c r="G33" s="752">
        <f>$J$33</f>
        <v>2.3487382743725572E-2</v>
      </c>
      <c r="H33" s="752">
        <f>$J$33</f>
        <v>2.3487382743725572E-2</v>
      </c>
      <c r="I33" s="752">
        <f>$J$33</f>
        <v>2.3487382743725572E-2</v>
      </c>
      <c r="J33" s="752">
        <f>AVERAGE('Financial One Pager'!L32/'Financial One Pager'!L23,54/2091)</f>
        <v>2.3487382743725572E-2</v>
      </c>
      <c r="K33" s="752">
        <f>J33</f>
        <v>2.3487382743725572E-2</v>
      </c>
      <c r="L33" s="752">
        <f>K33</f>
        <v>2.3487382743725572E-2</v>
      </c>
      <c r="M33" s="66" t="s">
        <v>332</v>
      </c>
    </row>
    <row r="34" spans="2:13" ht="16">
      <c r="B34" s="66" t="s">
        <v>337</v>
      </c>
      <c r="C34" s="128" t="s">
        <v>104</v>
      </c>
      <c r="D34" s="128" t="s">
        <v>104</v>
      </c>
      <c r="E34" s="128" t="s">
        <v>104</v>
      </c>
      <c r="F34" s="128" t="s">
        <v>104</v>
      </c>
      <c r="G34" s="291">
        <f>0</f>
        <v>0</v>
      </c>
      <c r="H34" s="291">
        <f>0</f>
        <v>0</v>
      </c>
      <c r="I34" s="291">
        <f>0</f>
        <v>0</v>
      </c>
      <c r="J34" s="291">
        <f>1</f>
        <v>1</v>
      </c>
      <c r="K34" s="291">
        <v>0</v>
      </c>
      <c r="L34" s="291">
        <v>0</v>
      </c>
      <c r="M34" s="66" t="s">
        <v>204</v>
      </c>
    </row>
    <row r="35" spans="2:13" ht="32">
      <c r="B35" s="66" t="s">
        <v>178</v>
      </c>
      <c r="C35" s="128" t="s">
        <v>104</v>
      </c>
      <c r="D35" s="128" t="s">
        <v>104</v>
      </c>
      <c r="E35" s="128" t="s">
        <v>104</v>
      </c>
      <c r="F35" s="128" t="s">
        <v>104</v>
      </c>
      <c r="G35" s="116" t="s">
        <v>104</v>
      </c>
      <c r="H35" s="116" t="s">
        <v>104</v>
      </c>
      <c r="I35" s="116" t="s">
        <v>104</v>
      </c>
      <c r="J35" s="890">
        <f>'Base Case Assumptions'!J36-1%</f>
        <v>0.2906252679523606</v>
      </c>
      <c r="K35" s="891">
        <f>'Base Case Assumptions'!K36-1.5%</f>
        <v>0.2881252679523606</v>
      </c>
      <c r="L35" s="891">
        <f>'Base Case Assumptions'!L36-2%</f>
        <v>0.2856252679523606</v>
      </c>
      <c r="M35" s="66" t="s">
        <v>523</v>
      </c>
    </row>
    <row r="36" spans="2:13" ht="32">
      <c r="B36" s="66" t="s">
        <v>341</v>
      </c>
      <c r="C36" s="193">
        <f>'Financial One Pager'!J26/'Financial One Pager'!J23</f>
        <v>4.0098291075617111E-2</v>
      </c>
      <c r="D36" s="193">
        <f>'Financial One Pager'!K26/'Financial One Pager'!K23</f>
        <v>4.2418668812507186E-2</v>
      </c>
      <c r="E36" s="193">
        <f>'Financial One Pager'!L26/'Financial One Pager'!L23</f>
        <v>4.8375788735685911E-2</v>
      </c>
      <c r="F36" s="128" t="s">
        <v>104</v>
      </c>
      <c r="G36" s="752">
        <f>$J$36</f>
        <v>0.20883211771100635</v>
      </c>
      <c r="H36" s="752">
        <f>$J$36</f>
        <v>0.20883211771100635</v>
      </c>
      <c r="I36" s="752">
        <f>$J$36</f>
        <v>0.20883211771100635</v>
      </c>
      <c r="J36" s="752">
        <f>AVERAGE('Financial One Pager'!L26/SUM('Financial One Pager'!L26:L29),Misc.!E39)</f>
        <v>0.20883211771100635</v>
      </c>
      <c r="K36" s="752">
        <f t="shared" ref="K36:L39" si="12">J36</f>
        <v>0.20883211771100635</v>
      </c>
      <c r="L36" s="752">
        <f t="shared" si="12"/>
        <v>0.20883211771100635</v>
      </c>
      <c r="M36" s="66" t="s">
        <v>205</v>
      </c>
    </row>
    <row r="37" spans="2:13" ht="30" customHeight="1">
      <c r="B37" s="66" t="s">
        <v>179</v>
      </c>
      <c r="C37" s="193">
        <f>'Financial One Pager'!J27/'Financial One Pager'!J24</f>
        <v>0.22119268234735093</v>
      </c>
      <c r="D37" s="193">
        <f>'Financial One Pager'!K27/'Financial One Pager'!K24</f>
        <v>0.21651731654153547</v>
      </c>
      <c r="E37" s="193">
        <f>'Financial One Pager'!L27/'Financial One Pager'!L24</f>
        <v>0.18455560951918407</v>
      </c>
      <c r="F37" s="128" t="s">
        <v>104</v>
      </c>
      <c r="G37" s="752">
        <f>$J$37</f>
        <v>0.38694607019007532</v>
      </c>
      <c r="H37" s="752">
        <f>$J$37</f>
        <v>0.38694607019007532</v>
      </c>
      <c r="I37" s="752">
        <f>$J$37</f>
        <v>0.38694607019007532</v>
      </c>
      <c r="J37" s="752">
        <f>AVERAGE('Financial One Pager'!L27/SUM('Financial One Pager'!L26:'Financial One Pager'!L29),Misc.!E40)</f>
        <v>0.38694607019007532</v>
      </c>
      <c r="K37" s="752">
        <f t="shared" si="12"/>
        <v>0.38694607019007532</v>
      </c>
      <c r="L37" s="752">
        <f t="shared" si="12"/>
        <v>0.38694607019007532</v>
      </c>
      <c r="M37" s="66" t="s">
        <v>180</v>
      </c>
    </row>
    <row r="38" spans="2:13" ht="32">
      <c r="B38" s="66" t="s">
        <v>181</v>
      </c>
      <c r="C38" s="193">
        <f>'Financial One Pager'!J28/'Financial One Pager'!J25</f>
        <v>6.7875210792580104E-2</v>
      </c>
      <c r="D38" s="193">
        <f>'Financial One Pager'!K28/'Financial One Pager'!K25</f>
        <v>6.477024070021882E-2</v>
      </c>
      <c r="E38" s="193">
        <f>'Financial One Pager'!L28/'Financial One Pager'!L25</f>
        <v>5.9234234234234233E-2</v>
      </c>
      <c r="F38" s="128" t="s">
        <v>104</v>
      </c>
      <c r="G38" s="752">
        <f>$J$38</f>
        <v>0.13838922667880182</v>
      </c>
      <c r="H38" s="752">
        <f>$J$38</f>
        <v>0.13838922667880182</v>
      </c>
      <c r="I38" s="752">
        <f>$J$38</f>
        <v>0.13838922667880182</v>
      </c>
      <c r="J38" s="752">
        <f>AVERAGE('Financial One Pager'!L28/SUM('Financial One Pager'!L26:'Financial One Pager'!L29),Misc.!E41)</f>
        <v>0.13838922667880182</v>
      </c>
      <c r="K38" s="752">
        <f t="shared" si="12"/>
        <v>0.13838922667880182</v>
      </c>
      <c r="L38" s="752">
        <f t="shared" si="12"/>
        <v>0.13838922667880182</v>
      </c>
      <c r="M38" s="66" t="s">
        <v>182</v>
      </c>
    </row>
    <row r="39" spans="2:13" ht="32">
      <c r="B39" s="66" t="s">
        <v>183</v>
      </c>
      <c r="C39" s="193">
        <f>'Financial One Pager'!J29/'Financial One Pager'!J26</f>
        <v>1.6935933147632312</v>
      </c>
      <c r="D39" s="193">
        <f>'Financial One Pager'!K29/'Financial One Pager'!K26</f>
        <v>1.3468834688346885</v>
      </c>
      <c r="E39" s="193">
        <f>'Financial One Pager'!L29/'Financial One Pager'!L26</f>
        <v>1.326086956521739</v>
      </c>
      <c r="F39" s="128" t="s">
        <v>104</v>
      </c>
      <c r="G39" s="751">
        <f>$J$39</f>
        <v>0.26583258542011645</v>
      </c>
      <c r="H39" s="751">
        <f>$J$39</f>
        <v>0.26583258542011645</v>
      </c>
      <c r="I39" s="751">
        <f>$J$39</f>
        <v>0.26583258542011645</v>
      </c>
      <c r="J39" s="751">
        <f>1-SUM(J36:J38)</f>
        <v>0.26583258542011645</v>
      </c>
      <c r="K39" s="751">
        <f t="shared" si="12"/>
        <v>0.26583258542011645</v>
      </c>
      <c r="L39" s="751">
        <f t="shared" si="12"/>
        <v>0.26583258542011645</v>
      </c>
      <c r="M39" s="66" t="s">
        <v>184</v>
      </c>
    </row>
    <row r="41" spans="2:13" ht="16">
      <c r="B41" s="96" t="s">
        <v>185</v>
      </c>
      <c r="C41" s="307" t="s">
        <v>208</v>
      </c>
      <c r="D41" s="307" t="s">
        <v>207</v>
      </c>
      <c r="E41" s="307" t="s">
        <v>206</v>
      </c>
      <c r="F41" s="307" t="s">
        <v>163</v>
      </c>
      <c r="G41" s="94" t="s">
        <v>144</v>
      </c>
      <c r="H41" s="94" t="s">
        <v>145</v>
      </c>
      <c r="I41" s="94" t="s">
        <v>146</v>
      </c>
      <c r="J41" s="722" t="s">
        <v>14</v>
      </c>
      <c r="K41" s="722" t="s">
        <v>15</v>
      </c>
      <c r="L41" s="722" t="s">
        <v>130</v>
      </c>
      <c r="M41" s="96" t="s">
        <v>136</v>
      </c>
    </row>
    <row r="42" spans="2:13" ht="48">
      <c r="B42" s="66" t="s">
        <v>233</v>
      </c>
      <c r="C42" s="754">
        <f>-'Financial One Pager'!J42/'Financial One Pager'!J41</f>
        <v>5.9825960841189268E-2</v>
      </c>
      <c r="D42" s="754">
        <f>-'Financial One Pager'!K42/'Financial One Pager'!K41</f>
        <v>8.0235553919764446E-2</v>
      </c>
      <c r="E42" s="754">
        <f>-'Financial One Pager'!L42/'Financial One Pager'!L41</f>
        <v>5.8536585365853662E-2</v>
      </c>
      <c r="F42" s="754">
        <f>-'Financial One Pager'!M42/'Financial One Pager'!M41</f>
        <v>5.6624722427831238E-2</v>
      </c>
      <c r="G42" s="116" t="s">
        <v>104</v>
      </c>
      <c r="H42" s="116" t="s">
        <v>104</v>
      </c>
      <c r="I42" s="116" t="s">
        <v>104</v>
      </c>
      <c r="J42" s="749">
        <f xml:space="preserve"> -'Financial One Pager'!L42/'Financial One Pager'!L34</f>
        <v>5.8536585365853662E-2</v>
      </c>
      <c r="K42" s="133">
        <f>J42</f>
        <v>5.8536585365853662E-2</v>
      </c>
      <c r="L42" s="133">
        <f>K42</f>
        <v>5.8536585365853662E-2</v>
      </c>
      <c r="M42" s="66" t="s">
        <v>234</v>
      </c>
    </row>
    <row r="43" spans="2:13" ht="48">
      <c r="B43" s="66" t="s">
        <v>243</v>
      </c>
      <c r="C43" s="190">
        <f>'Financial One Pager'!J43</f>
        <v>-507</v>
      </c>
      <c r="D43" s="190">
        <f>'Financial One Pager'!K43</f>
        <v>-473</v>
      </c>
      <c r="E43" s="190">
        <f>'Financial One Pager'!L43</f>
        <v>-439</v>
      </c>
      <c r="F43" s="755">
        <v>-205</v>
      </c>
      <c r="G43" s="145">
        <f>($J$43+205)/3</f>
        <v>-73.333333333333329</v>
      </c>
      <c r="H43" s="145">
        <f t="shared" ref="H43:I43" si="13">($J$43+205)/3</f>
        <v>-73.333333333333329</v>
      </c>
      <c r="I43" s="145">
        <f t="shared" si="13"/>
        <v>-73.333333333333329</v>
      </c>
      <c r="J43" s="731">
        <f>-425</f>
        <v>-425</v>
      </c>
      <c r="K43" s="142">
        <v>-386</v>
      </c>
      <c r="L43" s="142">
        <v>-286</v>
      </c>
      <c r="M43" s="66" t="s">
        <v>245</v>
      </c>
    </row>
    <row r="44" spans="2:13" ht="16">
      <c r="B44" s="66" t="s">
        <v>242</v>
      </c>
      <c r="C44" s="754">
        <f>'Financial One Pager'!J45/'Financial One Pager'!J23</f>
        <v>-5.5847202055177032E-3</v>
      </c>
      <c r="D44" s="754">
        <f>'Financial One Pager'!K45/'Financial One Pager'!K23</f>
        <v>-1.253017588228532E-2</v>
      </c>
      <c r="E44" s="754">
        <f>'Financial One Pager'!L45/'Financial One Pager'!L23</f>
        <v>-2.9212432811404534E-3</v>
      </c>
      <c r="F44" s="754">
        <f>'Financial One Pager'!M45/'Financial One Pager'!M23</f>
        <v>-1.1537116886143806E-2</v>
      </c>
      <c r="G44" s="116" t="s">
        <v>104</v>
      </c>
      <c r="H44" s="116" t="s">
        <v>104</v>
      </c>
      <c r="I44" s="116" t="s">
        <v>104</v>
      </c>
      <c r="J44" s="756">
        <f>'Financial One Pager'!L45/'Financial One Pager'!L23</f>
        <v>-2.9212432811404534E-3</v>
      </c>
      <c r="K44" s="133">
        <f>J44</f>
        <v>-2.9212432811404534E-3</v>
      </c>
      <c r="L44" s="133">
        <f>K44</f>
        <v>-2.9212432811404534E-3</v>
      </c>
      <c r="M44" s="66" t="s">
        <v>244</v>
      </c>
    </row>
    <row r="45" spans="2:13" ht="48">
      <c r="B45" s="66" t="s">
        <v>232</v>
      </c>
      <c r="C45" s="190">
        <f>'Financial One Pager'!J53</f>
        <v>-274</v>
      </c>
      <c r="D45" s="190">
        <f>'Financial One Pager'!K53</f>
        <v>-6</v>
      </c>
      <c r="E45" s="190">
        <f>'Financial One Pager'!L53</f>
        <v>-136</v>
      </c>
      <c r="F45" s="190">
        <v>-22</v>
      </c>
      <c r="G45" s="757">
        <v>0</v>
      </c>
      <c r="H45" s="109">
        <v>0</v>
      </c>
      <c r="I45" s="114">
        <v>0</v>
      </c>
      <c r="J45" s="284">
        <f>-22+SUM(G45:I45)</f>
        <v>-22</v>
      </c>
      <c r="K45" s="109" t="s">
        <v>186</v>
      </c>
      <c r="L45" s="109">
        <v>0</v>
      </c>
      <c r="M45" s="66" t="s">
        <v>237</v>
      </c>
    </row>
    <row r="46" spans="2:13" ht="32">
      <c r="B46" s="66" t="s">
        <v>239</v>
      </c>
      <c r="C46" s="128" t="s">
        <v>104</v>
      </c>
      <c r="D46" s="128" t="s">
        <v>104</v>
      </c>
      <c r="E46" s="128" t="s">
        <v>104</v>
      </c>
      <c r="F46" s="128" t="s">
        <v>104</v>
      </c>
      <c r="G46" s="758">
        <f>0.27</f>
        <v>0.27</v>
      </c>
      <c r="H46" s="136">
        <f>G46</f>
        <v>0.27</v>
      </c>
      <c r="I46" s="136">
        <f>H46</f>
        <v>0.27</v>
      </c>
      <c r="J46" s="136">
        <f>0.27+SUM(G46:I46)</f>
        <v>1.08</v>
      </c>
      <c r="K46" s="136">
        <f>J46</f>
        <v>1.08</v>
      </c>
      <c r="L46" s="136">
        <f>K46</f>
        <v>1.08</v>
      </c>
      <c r="M46" s="66" t="s">
        <v>238</v>
      </c>
    </row>
    <row r="47" spans="2:13" ht="32">
      <c r="B47" s="66" t="s">
        <v>240</v>
      </c>
      <c r="C47" s="128" t="s">
        <v>104</v>
      </c>
      <c r="D47" s="128" t="s">
        <v>104</v>
      </c>
      <c r="E47" s="128" t="s">
        <v>104</v>
      </c>
      <c r="F47" s="128" t="s">
        <v>104</v>
      </c>
      <c r="G47" s="759">
        <v>338</v>
      </c>
      <c r="H47" s="114">
        <f>G47</f>
        <v>338</v>
      </c>
      <c r="I47" s="114">
        <f>H47</f>
        <v>338</v>
      </c>
      <c r="J47" s="114">
        <f>AVERAGE(338,G47:I47)</f>
        <v>338</v>
      </c>
      <c r="K47" s="114">
        <f>J47</f>
        <v>338</v>
      </c>
      <c r="L47" s="114">
        <f>K47</f>
        <v>338</v>
      </c>
      <c r="M47" s="66" t="s">
        <v>241</v>
      </c>
    </row>
    <row r="48" spans="2:13" ht="48">
      <c r="B48" s="66" t="s">
        <v>246</v>
      </c>
      <c r="C48" s="190">
        <f>'Financial One Pager'!J50</f>
        <v>1545</v>
      </c>
      <c r="D48" s="190">
        <f>'Financial One Pager'!K50</f>
        <v>1434</v>
      </c>
      <c r="E48" s="190">
        <f>'Financial One Pager'!L50</f>
        <v>1533</v>
      </c>
      <c r="F48" s="190">
        <v>171</v>
      </c>
      <c r="G48" s="262">
        <f>($J$48-'Bear Case Forecast'!$F$61)*'Bear Case Forecast'!G43/SUM('Bear Case Forecast'!$G$43:$I$43)</f>
        <v>276.59108342948434</v>
      </c>
      <c r="H48" s="262">
        <f>($J$48-'Bear Case Forecast'!$F$61)*'Bear Case Forecast'!H43/SUM('Bear Case Forecast'!$G$43:$I$43)</f>
        <v>276.54486757862679</v>
      </c>
      <c r="I48" s="262">
        <f>($J$48-'Bear Case Forecast'!$F$61)*'Bear Case Forecast'!I43/SUM('Bear Case Forecast'!$G$43:$I$43)</f>
        <v>275.86404899188886</v>
      </c>
      <c r="J48" s="760">
        <v>1000</v>
      </c>
      <c r="K48" s="116" t="s">
        <v>104</v>
      </c>
      <c r="L48" s="116" t="s">
        <v>104</v>
      </c>
      <c r="M48" s="66" t="s">
        <v>247</v>
      </c>
    </row>
    <row r="49" spans="2:13" ht="17">
      <c r="B49" s="66" t="s">
        <v>400</v>
      </c>
      <c r="C49" s="128" t="s">
        <v>104</v>
      </c>
      <c r="D49" s="128" t="s">
        <v>104</v>
      </c>
      <c r="E49" s="128" t="s">
        <v>104</v>
      </c>
      <c r="F49" s="128" t="s">
        <v>104</v>
      </c>
      <c r="G49" s="116" t="s">
        <v>104</v>
      </c>
      <c r="H49" s="116" t="s">
        <v>104</v>
      </c>
      <c r="I49" s="116" t="s">
        <v>104</v>
      </c>
      <c r="J49" s="761">
        <f>(Capex!H6-Capex!H4)/'Bear Case Forecast'!K30</f>
        <v>5.0792839525350686E-2</v>
      </c>
      <c r="K49" s="733">
        <f>J49</f>
        <v>5.0792839525350686E-2</v>
      </c>
      <c r="L49" s="733">
        <f>K49</f>
        <v>5.0792839525350686E-2</v>
      </c>
      <c r="M49" s="57" t="s">
        <v>403</v>
      </c>
    </row>
    <row r="50" spans="2:13" ht="32">
      <c r="B50" s="66" t="s">
        <v>401</v>
      </c>
      <c r="C50" s="128" t="s">
        <v>104</v>
      </c>
      <c r="D50" s="128" t="s">
        <v>104</v>
      </c>
      <c r="E50" s="128" t="s">
        <v>104</v>
      </c>
      <c r="F50" s="128" t="s">
        <v>104</v>
      </c>
      <c r="G50" s="116" t="s">
        <v>104</v>
      </c>
      <c r="H50" s="116" t="s">
        <v>104</v>
      </c>
      <c r="I50" s="116" t="s">
        <v>104</v>
      </c>
      <c r="J50" s="116">
        <f>Capex!H4</f>
        <v>115</v>
      </c>
      <c r="K50" s="116">
        <f>Capex!I4</f>
        <v>50</v>
      </c>
      <c r="L50" s="116">
        <f>Capex!J4</f>
        <v>0</v>
      </c>
      <c r="M50" s="66" t="s">
        <v>402</v>
      </c>
    </row>
    <row r="51" spans="2:13">
      <c r="G51" s="762"/>
      <c r="H51" s="762"/>
      <c r="I51" s="762"/>
      <c r="J51" s="762"/>
      <c r="K51" s="762"/>
      <c r="L51" s="762"/>
      <c r="M51" s="24"/>
    </row>
  </sheetData>
  <mergeCells count="6">
    <mergeCell ref="M4:M5"/>
    <mergeCell ref="M6:M7"/>
    <mergeCell ref="M13:M16"/>
    <mergeCell ref="C2:E2"/>
    <mergeCell ref="F2:I2"/>
    <mergeCell ref="J2:L2"/>
  </mergeCells>
  <pageMargins left="0.7" right="0.7" top="0.75" bottom="0.75" header="0.3" footer="0.3"/>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E8299-EA45-584E-A4A0-78B7EE76DDD1}">
  <sheetPr>
    <tabColor rgb="FFFF0000"/>
  </sheetPr>
  <dimension ref="B2:O93"/>
  <sheetViews>
    <sheetView showGridLines="0" zoomScaleNormal="100" workbookViewId="0">
      <selection activeCell="K57" sqref="K57"/>
    </sheetView>
  </sheetViews>
  <sheetFormatPr baseColWidth="10" defaultRowHeight="15"/>
  <cols>
    <col min="1" max="1" width="3.6640625" style="67" customWidth="1"/>
    <col min="2" max="2" width="38.1640625" style="91" bestFit="1" customWidth="1"/>
    <col min="3" max="5" width="12.83203125" style="67" customWidth="1"/>
    <col min="6" max="6" width="12.83203125" style="115" customWidth="1"/>
    <col min="7" max="9" width="12.83203125" style="67" customWidth="1"/>
    <col min="10" max="10" width="2.6640625" style="67" customWidth="1"/>
    <col min="11" max="13" width="12.83203125" style="115" customWidth="1"/>
    <col min="14" max="14" width="3.83203125" style="67" customWidth="1"/>
    <col min="15" max="15" width="46.6640625" style="91" customWidth="1"/>
    <col min="16" max="16384" width="10.83203125" style="67"/>
  </cols>
  <sheetData>
    <row r="2" spans="2:15" ht="16">
      <c r="B2" s="96" t="s">
        <v>295</v>
      </c>
      <c r="C2" s="195" t="s">
        <v>208</v>
      </c>
      <c r="D2" s="195" t="s">
        <v>207</v>
      </c>
      <c r="E2" s="195" t="s">
        <v>206</v>
      </c>
      <c r="F2" s="195" t="s">
        <v>163</v>
      </c>
      <c r="G2" s="94" t="s">
        <v>156</v>
      </c>
      <c r="H2" s="94" t="s">
        <v>157</v>
      </c>
      <c r="I2" s="94" t="s">
        <v>158</v>
      </c>
      <c r="J2" s="95"/>
      <c r="K2" s="722" t="s">
        <v>14</v>
      </c>
      <c r="L2" s="722" t="s">
        <v>15</v>
      </c>
      <c r="M2" s="722" t="s">
        <v>130</v>
      </c>
    </row>
    <row r="3" spans="2:15" ht="16">
      <c r="B3" s="101" t="s">
        <v>75</v>
      </c>
      <c r="C3" s="197"/>
      <c r="D3" s="197"/>
      <c r="E3" s="197"/>
      <c r="F3" s="197"/>
      <c r="G3" s="119"/>
      <c r="H3" s="119"/>
      <c r="I3" s="119"/>
      <c r="J3" s="118"/>
      <c r="K3" s="116"/>
      <c r="L3" s="116"/>
      <c r="M3" s="116"/>
    </row>
    <row r="4" spans="2:15" ht="16">
      <c r="B4" s="78" t="s">
        <v>148</v>
      </c>
      <c r="C4" s="198">
        <f>KPIs!C4</f>
        <v>31942</v>
      </c>
      <c r="D4" s="198">
        <f>KPIs!D4</f>
        <v>31646</v>
      </c>
      <c r="E4" s="198">
        <f>KPIs!E4</f>
        <v>31345</v>
      </c>
      <c r="F4" s="198">
        <f>KPIs!F4</f>
        <v>31234</v>
      </c>
      <c r="G4" s="199">
        <f>'Bear Case Assumptions'!G5</f>
        <v>31234</v>
      </c>
      <c r="H4" s="199">
        <f>'Bear Case Assumptions'!H5</f>
        <v>31234</v>
      </c>
      <c r="I4" s="199">
        <f>'Bear Case Assumptions'!I5</f>
        <v>31234</v>
      </c>
      <c r="J4" s="167"/>
      <c r="K4" s="200">
        <f>I4</f>
        <v>31234</v>
      </c>
      <c r="L4" s="199">
        <f>'Bear Case Assumptions'!K5</f>
        <v>31073</v>
      </c>
      <c r="M4" s="199">
        <f>'Bear Case Assumptions'!L5</f>
        <v>30862</v>
      </c>
    </row>
    <row r="5" spans="2:15" ht="17" thickBot="1">
      <c r="B5" s="201" t="s">
        <v>96</v>
      </c>
      <c r="C5" s="198">
        <f>KPIs!C5</f>
        <v>1933</v>
      </c>
      <c r="D5" s="198">
        <f>KPIs!D5</f>
        <v>1580</v>
      </c>
      <c r="E5" s="198">
        <f>KPIs!E5</f>
        <v>1582</v>
      </c>
      <c r="F5" s="202">
        <f>KPIs!F5</f>
        <v>1545</v>
      </c>
      <c r="G5" s="203">
        <f>'Bear Case Assumptions'!G7</f>
        <v>1545</v>
      </c>
      <c r="H5" s="203">
        <f>'Bear Case Assumptions'!H7</f>
        <v>1545</v>
      </c>
      <c r="I5" s="203">
        <f>'Bear Case Assumptions'!I7</f>
        <v>1545</v>
      </c>
      <c r="J5" s="167"/>
      <c r="K5" s="204">
        <f>I5</f>
        <v>1545</v>
      </c>
      <c r="L5" s="203">
        <f>'Bear Case Assumptions'!K7</f>
        <v>1545</v>
      </c>
      <c r="M5" s="203">
        <f>'Bear Case Assumptions'!L7</f>
        <v>1545</v>
      </c>
    </row>
    <row r="6" spans="2:15" ht="16">
      <c r="B6" s="205" t="s">
        <v>94</v>
      </c>
      <c r="C6" s="206">
        <f>C4+C5</f>
        <v>33875</v>
      </c>
      <c r="D6" s="206">
        <f t="shared" ref="D6:E6" si="0">D4+D5</f>
        <v>33226</v>
      </c>
      <c r="E6" s="206">
        <f t="shared" si="0"/>
        <v>32927</v>
      </c>
      <c r="F6" s="207">
        <f>KPIs!F6</f>
        <v>32779</v>
      </c>
      <c r="G6" s="208">
        <f>SUM(G4:G5)</f>
        <v>32779</v>
      </c>
      <c r="H6" s="208">
        <f t="shared" ref="H6:I6" si="1">SUM(H4:H5)</f>
        <v>32779</v>
      </c>
      <c r="I6" s="208">
        <f t="shared" si="1"/>
        <v>32779</v>
      </c>
      <c r="J6" s="209"/>
      <c r="K6" s="210">
        <f>SUM(K4:K5)</f>
        <v>32779</v>
      </c>
      <c r="L6" s="210">
        <f t="shared" ref="L6:M6" si="2">SUM(L4:L5)</f>
        <v>32618</v>
      </c>
      <c r="M6" s="210">
        <f t="shared" si="2"/>
        <v>32407</v>
      </c>
    </row>
    <row r="7" spans="2:15" ht="16">
      <c r="B7" s="66" t="s">
        <v>285</v>
      </c>
      <c r="C7" s="211">
        <f>KPIs!C8</f>
        <v>33993</v>
      </c>
      <c r="D7" s="211">
        <f>KPIs!D8</f>
        <v>33292</v>
      </c>
      <c r="E7" s="211">
        <f>KPIs!E8</f>
        <v>32797</v>
      </c>
      <c r="F7" s="198">
        <f>KPIs!F8</f>
        <v>32799</v>
      </c>
      <c r="G7" s="63">
        <f>'Bear Case Assumptions'!G8</f>
        <v>32789</v>
      </c>
      <c r="H7" s="63">
        <f>'Bear Case Assumptions'!H8</f>
        <v>32779</v>
      </c>
      <c r="I7" s="63">
        <f>'Bear Case Assumptions'!I8</f>
        <v>32779</v>
      </c>
      <c r="J7" s="63"/>
      <c r="K7" s="63">
        <f>'Bear Case Assumptions'!J8</f>
        <v>32779</v>
      </c>
      <c r="L7" s="63">
        <f>'Bear Case Assumptions'!K8</f>
        <v>32698.5</v>
      </c>
      <c r="M7" s="63">
        <f>'Bear Case Assumptions'!L8</f>
        <v>32512.5</v>
      </c>
    </row>
    <row r="8" spans="2:15" ht="16" hidden="1">
      <c r="B8" s="66" t="s">
        <v>288</v>
      </c>
      <c r="C8" s="212">
        <f>KPIs!C9</f>
        <v>1.6E-2</v>
      </c>
      <c r="D8" s="212">
        <f>KPIs!D9</f>
        <v>1.6E-2</v>
      </c>
      <c r="E8" s="212">
        <f>KPIs!E9</f>
        <v>1.4999999999999999E-2</v>
      </c>
      <c r="F8" s="213">
        <f>KPIs!F9</f>
        <v>1.4999999999999999E-2</v>
      </c>
      <c r="G8" s="88">
        <f>'Bear Case Assumptions'!G9</f>
        <v>0.02</v>
      </c>
      <c r="H8" s="88">
        <f>'Bear Case Assumptions'!H9</f>
        <v>0.02</v>
      </c>
      <c r="I8" s="88">
        <f>'Bear Case Assumptions'!I9</f>
        <v>0.02</v>
      </c>
      <c r="J8" s="88"/>
      <c r="K8" s="88">
        <f>'Bear Case Assumptions'!J9</f>
        <v>1.8750000000000003E-2</v>
      </c>
      <c r="L8" s="88">
        <f>'Bear Case Assumptions'!K9</f>
        <v>1.8750000000000003E-2</v>
      </c>
      <c r="M8" s="88">
        <f>'Bear Case Assumptions'!L9</f>
        <v>1.8750000000000003E-2</v>
      </c>
    </row>
    <row r="9" spans="2:15" ht="80">
      <c r="B9" s="66" t="s">
        <v>300</v>
      </c>
      <c r="C9" s="214">
        <f>KPIs!C10</f>
        <v>15.56</v>
      </c>
      <c r="D9" s="214">
        <f>KPIs!D10</f>
        <v>15.21</v>
      </c>
      <c r="E9" s="214">
        <f>KPIs!E10</f>
        <v>15.11</v>
      </c>
      <c r="F9" s="215">
        <f>KPIs!F10</f>
        <v>14.99</v>
      </c>
      <c r="G9" s="216">
        <f>'Bear Case Assumptions'!G10</f>
        <v>14.99</v>
      </c>
      <c r="H9" s="216">
        <f>'Bear Case Assumptions'!H10</f>
        <v>14.99</v>
      </c>
      <c r="I9" s="216">
        <f>'Bear Case Assumptions'!I10</f>
        <v>14.99</v>
      </c>
      <c r="J9" s="167"/>
      <c r="K9" s="217">
        <f>'Bear Case Assumptions'!J10</f>
        <v>14.99</v>
      </c>
      <c r="L9" s="217">
        <f>'Bear Case Assumptions'!K10</f>
        <v>14.99</v>
      </c>
      <c r="M9" s="217">
        <f>'Bear Case Assumptions'!L10</f>
        <v>14.99</v>
      </c>
      <c r="O9" s="91" t="s">
        <v>351</v>
      </c>
    </row>
    <row r="10" spans="2:15" ht="16">
      <c r="B10" s="101" t="s">
        <v>98</v>
      </c>
      <c r="C10" s="196"/>
      <c r="D10" s="196"/>
      <c r="E10" s="196"/>
      <c r="F10" s="197"/>
      <c r="G10" s="131"/>
      <c r="H10" s="131"/>
      <c r="I10" s="131"/>
      <c r="J10" s="209"/>
      <c r="K10" s="200"/>
      <c r="L10" s="200"/>
      <c r="M10" s="200"/>
    </row>
    <row r="11" spans="2:15" ht="16">
      <c r="B11" s="66" t="s">
        <v>286</v>
      </c>
      <c r="C11" s="188" t="s">
        <v>287</v>
      </c>
      <c r="D11" s="211">
        <v>43344</v>
      </c>
      <c r="E11" s="211">
        <v>41112</v>
      </c>
      <c r="F11" s="198">
        <f>KPIs!F14</f>
        <v>40068</v>
      </c>
      <c r="G11" s="63">
        <f>'Bear Case Assumptions'!G14</f>
        <v>40068</v>
      </c>
      <c r="H11" s="63">
        <f>'Bear Case Assumptions'!H14</f>
        <v>40068</v>
      </c>
      <c r="I11" s="63">
        <f>'Bear Case Assumptions'!I14</f>
        <v>40068</v>
      </c>
      <c r="J11" s="167"/>
      <c r="K11" s="187">
        <f>I11</f>
        <v>40068</v>
      </c>
      <c r="L11" s="187">
        <f>'Bear Case Assumptions'!K14</f>
        <v>37733.181071568244</v>
      </c>
      <c r="M11" s="187">
        <f>'Bear Case Assumptions'!L14</f>
        <v>35534.415338418585</v>
      </c>
    </row>
    <row r="12" spans="2:15" ht="16">
      <c r="B12" s="66" t="s">
        <v>95</v>
      </c>
      <c r="C12" s="211">
        <f>KPIs!C15</f>
        <v>6053</v>
      </c>
      <c r="D12" s="211">
        <f>KPIs!D15</f>
        <v>5774</v>
      </c>
      <c r="E12" s="211">
        <f>KPIs!E15</f>
        <v>5630</v>
      </c>
      <c r="F12" s="198">
        <f>KPIs!F15</f>
        <v>5597</v>
      </c>
      <c r="G12" s="63">
        <f>'Bear Case Assumptions'!G16</f>
        <v>5597</v>
      </c>
      <c r="H12" s="63">
        <f>'Bear Case Assumptions'!H16</f>
        <v>5597</v>
      </c>
      <c r="I12" s="63">
        <f>'Bear Case Assumptions'!I16</f>
        <v>5597</v>
      </c>
      <c r="J12" s="167"/>
      <c r="K12" s="187">
        <f>'Bear Case Assumptions'!J16</f>
        <v>5597</v>
      </c>
      <c r="L12" s="187">
        <f>'Bear Case Assumptions'!K16</f>
        <v>5339.018338014208</v>
      </c>
      <c r="M12" s="187">
        <f>'Bear Case Assumptions'!L16</f>
        <v>5092.927785179917</v>
      </c>
    </row>
    <row r="13" spans="2:15" ht="16">
      <c r="B13" s="66" t="s">
        <v>97</v>
      </c>
      <c r="C13" s="198">
        <f>KPIs!C16</f>
        <v>6169</v>
      </c>
      <c r="D13" s="198">
        <f>KPIs!D16</f>
        <v>5929</v>
      </c>
      <c r="E13" s="198">
        <f>KPIs!E16</f>
        <v>5698</v>
      </c>
      <c r="F13" s="198">
        <f>KPIs!F16</f>
        <v>5605</v>
      </c>
      <c r="G13" s="63">
        <f>'Bear Case Assumptions'!G17</f>
        <v>5597</v>
      </c>
      <c r="H13" s="63">
        <f>'Bear Case Assumptions'!H17</f>
        <v>5597</v>
      </c>
      <c r="I13" s="63">
        <f>'Bear Case Assumptions'!I17</f>
        <v>5597</v>
      </c>
      <c r="J13" s="167"/>
      <c r="K13" s="187">
        <f>'Bear Case Assumptions'!J17</f>
        <v>5520.3287671232874</v>
      </c>
      <c r="L13" s="187">
        <f>'Bear Case Assumptions'!K17</f>
        <v>5468.009169007104</v>
      </c>
      <c r="M13" s="187">
        <f>'Bear Case Assumptions'!L17</f>
        <v>5215.973061597063</v>
      </c>
    </row>
    <row r="14" spans="2:15" ht="16">
      <c r="B14" s="66" t="s">
        <v>131</v>
      </c>
      <c r="C14" s="188">
        <f>KPIs!C17</f>
        <v>10.48</v>
      </c>
      <c r="D14" s="188">
        <f>KPIs!D17</f>
        <v>9.94</v>
      </c>
      <c r="E14" s="188">
        <f>KPIs!E17</f>
        <v>9.75</v>
      </c>
      <c r="F14" s="186">
        <f>KPIs!F17</f>
        <v>2.2210000000000001</v>
      </c>
      <c r="G14" s="216">
        <f>'Bear Case Assumptions'!G18</f>
        <v>1</v>
      </c>
      <c r="H14" s="216">
        <f>'Bear Case Assumptions'!H18</f>
        <v>1</v>
      </c>
      <c r="I14" s="216">
        <f>'Bear Case Assumptions'!I18</f>
        <v>1</v>
      </c>
      <c r="J14" s="167"/>
      <c r="K14" s="217">
        <f>'Bear Case Assumptions'!J18</f>
        <v>5.2210000000000001</v>
      </c>
      <c r="L14" s="217">
        <f>'Bear Case Assumptions'!K18</f>
        <v>5.2210000000000001</v>
      </c>
      <c r="M14" s="217">
        <f>'Bear Case Assumptions'!L18</f>
        <v>5.2210000000000001</v>
      </c>
    </row>
    <row r="15" spans="2:15" ht="32">
      <c r="B15" s="66" t="s">
        <v>289</v>
      </c>
      <c r="C15" s="188">
        <f>KPIs!C18</f>
        <v>99.39</v>
      </c>
      <c r="D15" s="188">
        <f>KPIs!D18</f>
        <v>100.59</v>
      </c>
      <c r="E15" s="188">
        <f>KPIs!E18</f>
        <v>91.78</v>
      </c>
      <c r="F15" s="186">
        <f>KPIs!F18</f>
        <v>84.11</v>
      </c>
      <c r="G15" s="216">
        <f>'Bear Case Assumptions'!G19</f>
        <v>80</v>
      </c>
      <c r="H15" s="216">
        <f>'Bear Case Assumptions'!H19</f>
        <v>80</v>
      </c>
      <c r="I15" s="216">
        <f>'Bear Case Assumptions'!I19</f>
        <v>80</v>
      </c>
      <c r="J15" s="167"/>
      <c r="K15" s="187">
        <f>'Bear Case Assumptions'!J19</f>
        <v>81.027500000000003</v>
      </c>
      <c r="L15" s="187">
        <f>'Bear Case Assumptions'!K19</f>
        <v>81.027500000000003</v>
      </c>
      <c r="M15" s="187">
        <f>'Bear Case Assumptions'!L19</f>
        <v>81.027500000000003</v>
      </c>
      <c r="O15" s="91" t="s">
        <v>350</v>
      </c>
    </row>
    <row r="16" spans="2:15">
      <c r="C16" s="115"/>
      <c r="D16" s="115"/>
      <c r="E16" s="115"/>
      <c r="F16" s="323"/>
      <c r="G16" s="167"/>
      <c r="H16" s="167"/>
      <c r="I16" s="167"/>
      <c r="J16" s="167"/>
      <c r="K16" s="221"/>
      <c r="L16" s="221"/>
      <c r="M16" s="221"/>
    </row>
    <row r="17" spans="2:15" ht="16">
      <c r="B17" s="66" t="s">
        <v>172</v>
      </c>
      <c r="C17" s="218">
        <f>'Revenue split'!E12-(C14*C15)</f>
        <v>547.39279999999985</v>
      </c>
      <c r="D17" s="218">
        <f>'Revenue split'!F12-(D14*D15)</f>
        <v>606.1354</v>
      </c>
      <c r="E17" s="218">
        <f>'Revenue split'!G12-(E14*E15)</f>
        <v>720.14499999999998</v>
      </c>
      <c r="F17" s="218">
        <f>'Revenue split'!H12-(F14*F15)</f>
        <v>185.19168999999999</v>
      </c>
      <c r="G17" s="63">
        <f>'Bear Case Assumptions'!G22</f>
        <v>185.19168999999999</v>
      </c>
      <c r="H17" s="63">
        <f>'Bear Case Assumptions'!H22</f>
        <v>185.19168999999999</v>
      </c>
      <c r="I17" s="63">
        <f>'Bear Case Assumptions'!I22</f>
        <v>185.19168999999999</v>
      </c>
      <c r="J17" s="167"/>
      <c r="K17" s="187">
        <f>'Bear Case Assumptions'!J22</f>
        <v>740.76675999999998</v>
      </c>
      <c r="L17" s="187">
        <f>'Bear Case Assumptions'!K22</f>
        <v>547.39279999999985</v>
      </c>
      <c r="M17" s="187">
        <f>'Bear Case Assumptions'!L22</f>
        <v>547.39279999999985</v>
      </c>
    </row>
    <row r="18" spans="2:15">
      <c r="F18" s="219"/>
      <c r="G18" s="220"/>
      <c r="H18" s="220"/>
      <c r="I18" s="220"/>
      <c r="J18" s="167"/>
      <c r="K18" s="221"/>
      <c r="L18" s="221"/>
      <c r="M18" s="221"/>
    </row>
    <row r="19" spans="2:15" ht="16">
      <c r="B19" s="96" t="s">
        <v>173</v>
      </c>
      <c r="C19" s="195" t="s">
        <v>208</v>
      </c>
      <c r="D19" s="195" t="s">
        <v>207</v>
      </c>
      <c r="E19" s="195" t="s">
        <v>206</v>
      </c>
      <c r="F19" s="195" t="s">
        <v>163</v>
      </c>
      <c r="G19" s="94" t="s">
        <v>156</v>
      </c>
      <c r="H19" s="94" t="s">
        <v>157</v>
      </c>
      <c r="I19" s="94" t="s">
        <v>158</v>
      </c>
      <c r="J19" s="95"/>
      <c r="K19" s="722" t="s">
        <v>14</v>
      </c>
      <c r="L19" s="722" t="s">
        <v>15</v>
      </c>
      <c r="M19" s="722" t="s">
        <v>130</v>
      </c>
    </row>
    <row r="20" spans="2:15" ht="16">
      <c r="B20" s="101" t="s">
        <v>174</v>
      </c>
      <c r="C20" s="853">
        <f>'Revenue split'!E6</f>
        <v>6342</v>
      </c>
      <c r="D20" s="853">
        <f>'Revenue split'!F6</f>
        <v>6076</v>
      </c>
      <c r="E20" s="853">
        <f>'Revenue split'!G6</f>
        <v>5960</v>
      </c>
      <c r="F20" s="224">
        <f>'Revenue split'!H6</f>
        <v>1483</v>
      </c>
      <c r="G20" s="176">
        <f>($K$20-$F$20)*(G7*G9)/SUMPRODUCT($G$7:$I$7,$G$9:$I$9)</f>
        <v>1471.394670953664</v>
      </c>
      <c r="H20" s="176">
        <f>($K$20-$F$20)*(H7*H9)/SUMPRODUCT($G$7:$I$7,$G$9:$I$9)</f>
        <v>1470.9459245231681</v>
      </c>
      <c r="I20" s="176">
        <f>($K$20-$F$20)*(I7*I9)/SUMPRODUCT($G$7:$I$7,$G$9:$I$9)</f>
        <v>1470.9459245231681</v>
      </c>
      <c r="J20" s="118"/>
      <c r="K20" s="176">
        <f>K7*K9*12/1000</f>
        <v>5896.2865200000006</v>
      </c>
      <c r="L20" s="176">
        <f>L7*L9*12/1000</f>
        <v>5881.8061799999996</v>
      </c>
      <c r="M20" s="176">
        <f>M7*M9*12/1000</f>
        <v>5848.3485000000001</v>
      </c>
      <c r="O20" s="225" t="s">
        <v>299</v>
      </c>
    </row>
    <row r="21" spans="2:15" ht="16">
      <c r="B21" s="101" t="s">
        <v>77</v>
      </c>
      <c r="C21" s="196">
        <f>'Revenue split'!E7</f>
        <v>169</v>
      </c>
      <c r="D21" s="196">
        <f>'Revenue split'!F7</f>
        <v>167</v>
      </c>
      <c r="E21" s="196">
        <f>'Revenue split'!G7</f>
        <v>157</v>
      </c>
      <c r="F21" s="196">
        <f>'Revenue split'!H7</f>
        <v>35</v>
      </c>
      <c r="G21" s="131">
        <f>F21*(1+'Bear Case Assumptions'!G26)</f>
        <v>40.666666666666664</v>
      </c>
      <c r="H21" s="131">
        <f>G21*(1+'Bear Case Assumptions'!H26)</f>
        <v>40.666666666666664</v>
      </c>
      <c r="I21" s="131">
        <f>H21*(1+'Bear Case Assumptions'!I26)</f>
        <v>40.666666666666664</v>
      </c>
      <c r="J21" s="118"/>
      <c r="K21" s="166">
        <f>SUM(F21:I21)</f>
        <v>156.99999999999997</v>
      </c>
      <c r="L21" s="176">
        <f>K21*(1+'Bear Case Assumptions'!J26)</f>
        <v>156.99999999999997</v>
      </c>
      <c r="M21" s="176">
        <f>L21*(1+'Bear Case Assumptions'!K26)</f>
        <v>156.99999999999997</v>
      </c>
    </row>
    <row r="22" spans="2:15" ht="16">
      <c r="B22" s="101" t="s">
        <v>78</v>
      </c>
      <c r="C22" s="196">
        <f>'Revenue split'!E8</f>
        <v>193</v>
      </c>
      <c r="D22" s="196">
        <f>'Revenue split'!F8</f>
        <v>182</v>
      </c>
      <c r="E22" s="196">
        <f>'Revenue split'!G8</f>
        <v>178</v>
      </c>
      <c r="F22" s="197">
        <f>'Revenue split'!H8</f>
        <v>41</v>
      </c>
      <c r="G22" s="131">
        <f>F22*(1+'Bear Case Assumptions'!G27)</f>
        <v>40.098901098901095</v>
      </c>
      <c r="H22" s="131">
        <f>G22*(1+'Bear Case Assumptions'!H27)</f>
        <v>39.217606569254919</v>
      </c>
      <c r="I22" s="131">
        <f>H22*(1+'Bear Case Assumptions'!I27)</f>
        <v>38.355681150150417</v>
      </c>
      <c r="J22" s="118"/>
      <c r="K22" s="166">
        <f>E22*(1+'Bear Case Assumptions'!J27)</f>
        <v>174.08791208791209</v>
      </c>
      <c r="L22" s="166">
        <f>K22*(1+'Bear Case Assumptions'!K27)</f>
        <v>170.261804129936</v>
      </c>
      <c r="M22" s="166">
        <f>L22*(1+'Bear Case Assumptions'!L27)</f>
        <v>166.51978645675058</v>
      </c>
    </row>
    <row r="23" spans="2:15" ht="16">
      <c r="B23" s="101" t="s">
        <v>79</v>
      </c>
      <c r="C23" s="196">
        <f>'Revenue split'!E9</f>
        <v>136</v>
      </c>
      <c r="D23" s="196">
        <f>'Revenue split'!F9</f>
        <v>128</v>
      </c>
      <c r="E23" s="196">
        <f>'Revenue split'!G9</f>
        <v>122</v>
      </c>
      <c r="F23" s="197">
        <f>'Revenue split'!H9</f>
        <v>31</v>
      </c>
      <c r="G23" s="119">
        <f>F23*(1+'Bear Case Assumptions'!G28)</f>
        <v>31</v>
      </c>
      <c r="H23" s="119">
        <f>G23*(1+'Bear Case Assumptions'!H28)</f>
        <v>32</v>
      </c>
      <c r="I23" s="119">
        <f>H23*(1+'Bear Case Assumptions'!I28)</f>
        <v>28</v>
      </c>
      <c r="J23" s="118"/>
      <c r="K23" s="103">
        <f>E23*(1+'Bear Case Assumptions'!J28)</f>
        <v>122</v>
      </c>
      <c r="L23" s="103">
        <f>K23*(1+'Bear Case Assumptions'!K28)</f>
        <v>122</v>
      </c>
      <c r="M23" s="103">
        <f>L23*(1+'Bear Case Assumptions'!L28)</f>
        <v>122</v>
      </c>
    </row>
    <row r="24" spans="2:15" ht="16">
      <c r="B24" s="96" t="s">
        <v>304</v>
      </c>
      <c r="C24" s="195" t="s">
        <v>208</v>
      </c>
      <c r="D24" s="195" t="s">
        <v>207</v>
      </c>
      <c r="E24" s="195" t="s">
        <v>206</v>
      </c>
      <c r="F24" s="195" t="s">
        <v>163</v>
      </c>
      <c r="G24" s="94" t="s">
        <v>156</v>
      </c>
      <c r="H24" s="94" t="s">
        <v>157</v>
      </c>
      <c r="I24" s="94" t="s">
        <v>158</v>
      </c>
      <c r="J24" s="95"/>
      <c r="K24" s="722" t="s">
        <v>14</v>
      </c>
      <c r="L24" s="722" t="s">
        <v>15</v>
      </c>
      <c r="M24" s="722" t="s">
        <v>130</v>
      </c>
    </row>
    <row r="25" spans="2:15" ht="48">
      <c r="B25" s="101" t="s">
        <v>84</v>
      </c>
      <c r="C25" s="226">
        <f>'Revenue split'!E11</f>
        <v>524</v>
      </c>
      <c r="D25" s="226">
        <f>'Revenue split'!F11</f>
        <v>540</v>
      </c>
      <c r="E25" s="226">
        <f>'Revenue split'!G11</f>
        <v>526</v>
      </c>
      <c r="F25" s="227">
        <f>'Revenue split'!H11</f>
        <v>129</v>
      </c>
      <c r="G25" s="228">
        <f>($K$25-$F$25)*G13/SUM($G$13:$I$13)</f>
        <v>126.86620635935704</v>
      </c>
      <c r="H25" s="228">
        <f>($K$25-$F$25)*H13/SUM($G$13:$I$13)</f>
        <v>126.86620635935704</v>
      </c>
      <c r="I25" s="228">
        <f>($K$25-$F$25)*I13/SUM($G$13:$I$13)</f>
        <v>126.86620635935704</v>
      </c>
      <c r="J25" s="229"/>
      <c r="K25" s="230">
        <f>E25*(K13/KPIs!E16)*(1+'Bear Case Assumptions'!J29)</f>
        <v>509.59861907807112</v>
      </c>
      <c r="L25" s="230">
        <f>K25*(L13/K13)*(1+'Bear Case Assumptions'!K29)</f>
        <v>499.72114683551411</v>
      </c>
      <c r="M25" s="230">
        <f>L25*(M13/L13)*(1+'Bear Case Assumptions'!L29)</f>
        <v>471.92070094332996</v>
      </c>
      <c r="O25" s="225" t="s">
        <v>305</v>
      </c>
    </row>
    <row r="26" spans="2:15" ht="48">
      <c r="B26" s="78" t="s">
        <v>293</v>
      </c>
      <c r="C26" s="231">
        <f t="shared" ref="C26:I26" si="3">C14*C15</f>
        <v>1041.6072000000001</v>
      </c>
      <c r="D26" s="231">
        <f t="shared" si="3"/>
        <v>999.8646</v>
      </c>
      <c r="E26" s="231">
        <f t="shared" si="3"/>
        <v>894.85500000000002</v>
      </c>
      <c r="F26" s="232">
        <f t="shared" si="3"/>
        <v>186.80831000000001</v>
      </c>
      <c r="G26" s="233">
        <f t="shared" si="3"/>
        <v>80</v>
      </c>
      <c r="H26" s="233">
        <f t="shared" si="3"/>
        <v>80</v>
      </c>
      <c r="I26" s="233">
        <f t="shared" si="3"/>
        <v>80</v>
      </c>
      <c r="J26" s="234"/>
      <c r="K26" s="233">
        <f>K14*K15</f>
        <v>423.0445775</v>
      </c>
      <c r="L26" s="233">
        <f>L14*L15</f>
        <v>423.0445775</v>
      </c>
      <c r="M26" s="233">
        <f>M14*M15</f>
        <v>423.0445775</v>
      </c>
      <c r="O26" s="91" t="s">
        <v>306</v>
      </c>
    </row>
    <row r="27" spans="2:15" ht="17" customHeight="1">
      <c r="B27" s="78" t="s">
        <v>294</v>
      </c>
      <c r="C27" s="235">
        <f>'Revenue split'!E12-'Bear Case Forecast'!C26</f>
        <v>547.39279999999985</v>
      </c>
      <c r="D27" s="235">
        <f>'Revenue split'!F12-'Bear Case Forecast'!D26</f>
        <v>606.1354</v>
      </c>
      <c r="E27" s="235">
        <f>'Revenue split'!G12-'Bear Case Forecast'!E26</f>
        <v>720.14499999999998</v>
      </c>
      <c r="F27" s="236">
        <f>F17</f>
        <v>185.19168999999999</v>
      </c>
      <c r="G27" s="150">
        <f>G17</f>
        <v>185.19168999999999</v>
      </c>
      <c r="H27" s="150">
        <f>H17</f>
        <v>185.19168999999999</v>
      </c>
      <c r="I27" s="150">
        <f>I17</f>
        <v>185.19168999999999</v>
      </c>
      <c r="J27" s="234"/>
      <c r="K27" s="150">
        <f>K17</f>
        <v>740.76675999999998</v>
      </c>
      <c r="L27" s="150">
        <f>L17</f>
        <v>547.39279999999985</v>
      </c>
      <c r="M27" s="150">
        <f>M17</f>
        <v>547.39279999999985</v>
      </c>
    </row>
    <row r="28" spans="2:15" ht="16">
      <c r="B28" s="101" t="s">
        <v>134</v>
      </c>
      <c r="C28" s="237">
        <f>SUM(C26:C27)</f>
        <v>1589</v>
      </c>
      <c r="D28" s="237">
        <f t="shared" ref="D28:E28" si="4">SUM(D26:D27)</f>
        <v>1606</v>
      </c>
      <c r="E28" s="237">
        <f t="shared" si="4"/>
        <v>1615</v>
      </c>
      <c r="F28" s="227">
        <f>F26+F27</f>
        <v>372</v>
      </c>
      <c r="G28" s="230">
        <f t="shared" ref="G28:I28" si="5">G26+G27</f>
        <v>265.19168999999999</v>
      </c>
      <c r="H28" s="230">
        <f t="shared" si="5"/>
        <v>265.19168999999999</v>
      </c>
      <c r="I28" s="230">
        <f t="shared" si="5"/>
        <v>265.19168999999999</v>
      </c>
      <c r="J28" s="229"/>
      <c r="K28" s="230">
        <f t="shared" ref="K28:M28" si="6">K26+K27</f>
        <v>1163.8113375</v>
      </c>
      <c r="L28" s="230">
        <f t="shared" si="6"/>
        <v>970.43737749999991</v>
      </c>
      <c r="M28" s="230">
        <f t="shared" si="6"/>
        <v>970.43737749999991</v>
      </c>
    </row>
    <row r="29" spans="2:15" ht="16">
      <c r="B29" s="96" t="s">
        <v>135</v>
      </c>
      <c r="C29" s="195" t="s">
        <v>208</v>
      </c>
      <c r="D29" s="195" t="s">
        <v>207</v>
      </c>
      <c r="E29" s="195" t="s">
        <v>206</v>
      </c>
      <c r="F29" s="238" t="s">
        <v>163</v>
      </c>
      <c r="G29" s="239" t="s">
        <v>156</v>
      </c>
      <c r="H29" s="239" t="s">
        <v>157</v>
      </c>
      <c r="I29" s="239" t="s">
        <v>158</v>
      </c>
      <c r="J29" s="240"/>
      <c r="K29" s="722" t="s">
        <v>14</v>
      </c>
      <c r="L29" s="722" t="s">
        <v>15</v>
      </c>
      <c r="M29" s="722" t="s">
        <v>130</v>
      </c>
    </row>
    <row r="30" spans="2:15" ht="16">
      <c r="B30" s="66" t="s">
        <v>19</v>
      </c>
      <c r="C30" s="218">
        <f>SUM(C20:C23,C25,C28)</f>
        <v>8953</v>
      </c>
      <c r="D30" s="218">
        <f t="shared" ref="D30:E30" si="7">SUM(D20:D23,D25,D28)</f>
        <v>8699</v>
      </c>
      <c r="E30" s="218">
        <f t="shared" si="7"/>
        <v>8558</v>
      </c>
      <c r="F30" s="218">
        <f>SUM(F20:F23,F25,F28)</f>
        <v>2091</v>
      </c>
      <c r="G30" s="140">
        <f>SUM(G20:G23,G25,G28)</f>
        <v>1975.2181350785886</v>
      </c>
      <c r="H30" s="140">
        <f>SUM(H20:H23,H25,H28)</f>
        <v>1974.8880941184466</v>
      </c>
      <c r="I30" s="140">
        <f>SUM(I20:I23,I25,I28)</f>
        <v>1970.0261686993422</v>
      </c>
      <c r="J30" s="167"/>
      <c r="K30" s="140">
        <f>SUM(K20:K23,K25,K28)</f>
        <v>8022.7843886659839</v>
      </c>
      <c r="L30" s="140">
        <f>SUM(L20:L23,L25,L28)</f>
        <v>7801.22650846545</v>
      </c>
      <c r="M30" s="140">
        <f>SUM(M20:M23,M25,M28)</f>
        <v>7736.2263649000815</v>
      </c>
    </row>
    <row r="31" spans="2:15" ht="16">
      <c r="B31" s="241" t="s">
        <v>56</v>
      </c>
      <c r="C31" s="242"/>
      <c r="D31" s="243">
        <f>D30/C30-1</f>
        <v>-2.8370378644029914E-2</v>
      </c>
      <c r="E31" s="243">
        <f>E30/D30-1</f>
        <v>-1.6208759627543423E-2</v>
      </c>
      <c r="F31" s="218"/>
      <c r="G31" s="244">
        <f>G30/F30-1</f>
        <v>-5.5371527939460208E-2</v>
      </c>
      <c r="H31" s="244">
        <f t="shared" ref="H31:I31" si="8">H30/G30-1</f>
        <v>-1.6709089202893157E-4</v>
      </c>
      <c r="I31" s="244">
        <f t="shared" si="8"/>
        <v>-2.4618738821627906E-3</v>
      </c>
      <c r="J31" s="167"/>
      <c r="K31" s="245">
        <f>K30/'Revenue split'!G13-1</f>
        <v>-6.2539800342839014E-2</v>
      </c>
      <c r="L31" s="245">
        <f>L30/K30-1</f>
        <v>-2.7616083078779385E-2</v>
      </c>
      <c r="M31" s="245">
        <f>M30/L30-1</f>
        <v>-8.332041569980575E-3</v>
      </c>
    </row>
    <row r="33" spans="2:15" ht="18">
      <c r="B33" s="246" t="s">
        <v>85</v>
      </c>
      <c r="C33" s="247">
        <f>'Financial One Pager'!J24</f>
        <v>4209</v>
      </c>
      <c r="D33" s="247">
        <f>'Financial One Pager'!K24</f>
        <v>4129</v>
      </c>
      <c r="E33" s="247">
        <f>'Financial One Pager'!L24</f>
        <v>4118</v>
      </c>
      <c r="F33" s="188">
        <f>1002</f>
        <v>1002</v>
      </c>
      <c r="G33" s="248">
        <f>G30*'Bear Case Assumptions'!G32</f>
        <v>936.99702343354716</v>
      </c>
      <c r="H33" s="248">
        <f>H30*'Bear Case Assumptions'!H32</f>
        <v>936.84045976507321</v>
      </c>
      <c r="I33" s="248">
        <f>I30*'Bear Case Assumptions'!I32</f>
        <v>934.53407670542424</v>
      </c>
      <c r="J33" s="249"/>
      <c r="K33" s="248">
        <f t="shared" ref="K33:K39" si="9">SUM(F33:I33)</f>
        <v>3810.3715599040443</v>
      </c>
      <c r="L33" s="248">
        <f>L30*'Bear Case Assumptions'!K32</f>
        <v>3700.7183600368153</v>
      </c>
      <c r="M33" s="248">
        <f>M30*'Bear Case Assumptions'!L32</f>
        <v>3669.8838208221982</v>
      </c>
    </row>
    <row r="34" spans="2:15" ht="18">
      <c r="B34" s="250" t="s">
        <v>20</v>
      </c>
      <c r="C34" s="251">
        <f>'Financial One Pager'!J25</f>
        <v>4744</v>
      </c>
      <c r="D34" s="251">
        <f>'Financial One Pager'!K25</f>
        <v>4570</v>
      </c>
      <c r="E34" s="251">
        <f>'Financial One Pager'!L25</f>
        <v>4440</v>
      </c>
      <c r="F34" s="252">
        <f>F30-F33</f>
        <v>1089</v>
      </c>
      <c r="G34" s="253">
        <f>G30-G33</f>
        <v>1038.2211116450414</v>
      </c>
      <c r="H34" s="253">
        <f t="shared" ref="H34:I34" si="10">H30-H33</f>
        <v>1038.0476343533733</v>
      </c>
      <c r="I34" s="253">
        <f t="shared" si="10"/>
        <v>1035.4920919939179</v>
      </c>
      <c r="J34" s="249"/>
      <c r="K34" s="253">
        <f t="shared" si="9"/>
        <v>4200.7608379923331</v>
      </c>
      <c r="L34" s="253">
        <f>L30-L33</f>
        <v>4100.5081484286347</v>
      </c>
      <c r="M34" s="253">
        <f>M30-M33</f>
        <v>4066.3425440778833</v>
      </c>
    </row>
    <row r="35" spans="2:15" ht="18">
      <c r="B35" s="254" t="s">
        <v>86</v>
      </c>
      <c r="C35" s="255">
        <f>'Financial One Pager'!J26</f>
        <v>359</v>
      </c>
      <c r="D35" s="255">
        <f>'Financial One Pager'!K26</f>
        <v>369</v>
      </c>
      <c r="E35" s="255">
        <f>'Financial One Pager'!L26</f>
        <v>414</v>
      </c>
      <c r="F35" s="188">
        <v>100</v>
      </c>
      <c r="G35" s="248">
        <f>(G34-G39)*'Bear Case Assumptions'!G36</f>
        <v>110.44879922990719</v>
      </c>
      <c r="H35" s="248">
        <f>(H34-H39)*'Bear Case Assumptions'!H36</f>
        <v>110.43034424152034</v>
      </c>
      <c r="I35" s="248">
        <f>(I34-I39)*'Bear Case Assumptions'!I36</f>
        <v>110.1584786612339</v>
      </c>
      <c r="J35" s="249"/>
      <c r="K35" s="248">
        <f t="shared" si="9"/>
        <v>431.03762213266145</v>
      </c>
      <c r="L35" s="248">
        <f>(L34-L39)*'Bear Case Assumptions'!K36</f>
        <v>425.18387551365339</v>
      </c>
      <c r="M35" s="248">
        <f>(M34-M39)*'Bear Case Assumptions'!L36</f>
        <v>425.68015712517268</v>
      </c>
    </row>
    <row r="36" spans="2:15" ht="18">
      <c r="B36" s="254" t="s">
        <v>87</v>
      </c>
      <c r="C36" s="255">
        <f>'Financial One Pager'!J27</f>
        <v>931</v>
      </c>
      <c r="D36" s="255">
        <f>'Financial One Pager'!K27</f>
        <v>894</v>
      </c>
      <c r="E36" s="255">
        <f>'Financial One Pager'!L27</f>
        <v>760</v>
      </c>
      <c r="F36" s="188">
        <v>187</v>
      </c>
      <c r="G36" s="248">
        <f>(G34-G39)*'Bear Case Assumptions'!G37</f>
        <v>204.65112975757918</v>
      </c>
      <c r="H36" s="248">
        <f>(H34-H39)*'Bear Case Assumptions'!H37</f>
        <v>204.61693441775324</v>
      </c>
      <c r="I36" s="248">
        <f>(I34-I39)*'Bear Case Assumptions'!I37</f>
        <v>204.11319333106198</v>
      </c>
      <c r="J36" s="249"/>
      <c r="K36" s="248">
        <f t="shared" si="9"/>
        <v>800.38125750639438</v>
      </c>
      <c r="L36" s="248">
        <f>(L34-L39)*'Bear Case Assumptions'!K37</f>
        <v>787.82531892853228</v>
      </c>
      <c r="M36" s="248">
        <f>(M34-M39)*'Bear Case Assumptions'!L37</f>
        <v>788.74488159633381</v>
      </c>
    </row>
    <row r="37" spans="2:15" ht="18">
      <c r="B37" s="254" t="s">
        <v>88</v>
      </c>
      <c r="C37" s="255">
        <f>'Financial One Pager'!J28</f>
        <v>322</v>
      </c>
      <c r="D37" s="255">
        <f>'Financial One Pager'!K28</f>
        <v>296</v>
      </c>
      <c r="E37" s="255">
        <f>'Financial One Pager'!L28</f>
        <v>263</v>
      </c>
      <c r="F37" s="188">
        <v>69</v>
      </c>
      <c r="G37" s="248">
        <f>(G34-G39)*'Bear Case Assumptions'!G38</f>
        <v>73.192400099017519</v>
      </c>
      <c r="H37" s="248">
        <f>(H34-H39)*'Bear Case Assumptions'!H38</f>
        <v>73.180170315595234</v>
      </c>
      <c r="I37" s="248">
        <f>(I34-I39)*'Bear Case Assumptions'!I38</f>
        <v>73.000009965603056</v>
      </c>
      <c r="J37" s="249"/>
      <c r="K37" s="248">
        <f t="shared" si="9"/>
        <v>288.37258038021582</v>
      </c>
      <c r="L37" s="248">
        <f>(L34-L39)*'Bear Case Assumptions'!K38</f>
        <v>281.76158137733267</v>
      </c>
      <c r="M37" s="248">
        <f>(M34-M39)*'Bear Case Assumptions'!L38</f>
        <v>282.09045812859995</v>
      </c>
    </row>
    <row r="38" spans="2:15" ht="18">
      <c r="B38" s="254" t="s">
        <v>89</v>
      </c>
      <c r="C38" s="255">
        <f>'Financial One Pager'!J29</f>
        <v>608</v>
      </c>
      <c r="D38" s="255">
        <f>'Financial One Pager'!K29</f>
        <v>497</v>
      </c>
      <c r="E38" s="255">
        <f>'Financial One Pager'!L29</f>
        <v>549</v>
      </c>
      <c r="F38" s="188">
        <v>122</v>
      </c>
      <c r="G38" s="248">
        <f>(G34-G39)*'Bear Case Assumptions'!G39</f>
        <v>140.5956620928628</v>
      </c>
      <c r="H38" s="248">
        <f>(H34-H39)*'Bear Case Assumptions'!H39</f>
        <v>140.57216983826831</v>
      </c>
      <c r="I38" s="248">
        <f>(I34-I39)*'Bear Case Assumptions'!I39</f>
        <v>140.22609888478453</v>
      </c>
      <c r="J38" s="249"/>
      <c r="K38" s="248">
        <f t="shared" si="9"/>
        <v>543.39393081591561</v>
      </c>
      <c r="L38" s="248">
        <f>(L34-L39)*'Bear Case Assumptions'!K39</f>
        <v>541.23728737527608</v>
      </c>
      <c r="M38" s="248">
        <f>(M34-M39)*'Bear Case Assumptions'!L39</f>
        <v>541.86902843758332</v>
      </c>
    </row>
    <row r="39" spans="2:15" ht="18">
      <c r="B39" s="256" t="s">
        <v>93</v>
      </c>
      <c r="C39" s="257">
        <f>'Financial One Pager'!J30</f>
        <v>2524</v>
      </c>
      <c r="D39" s="257">
        <f>'Financial One Pager'!K30</f>
        <v>2514</v>
      </c>
      <c r="E39" s="257">
        <f>'Financial One Pager'!L30</f>
        <v>2454</v>
      </c>
      <c r="F39" s="258">
        <f>F34-SUM(F35:F38)</f>
        <v>611</v>
      </c>
      <c r="G39" s="259">
        <f>G43-G41-G42</f>
        <v>509.33312046567471</v>
      </c>
      <c r="H39" s="259">
        <f t="shared" ref="H39:I39" si="11">H43-H41-H42</f>
        <v>509.24801554023611</v>
      </c>
      <c r="I39" s="259">
        <f t="shared" si="11"/>
        <v>507.99431115123446</v>
      </c>
      <c r="J39" s="249"/>
      <c r="K39" s="259">
        <f t="shared" si="9"/>
        <v>2137.5754471571454</v>
      </c>
      <c r="L39" s="259">
        <f>L43-L41-L42</f>
        <v>2064.5000852338403</v>
      </c>
      <c r="M39" s="259">
        <f>M43-M41-M42</f>
        <v>2027.9580187901934</v>
      </c>
    </row>
    <row r="40" spans="2:15" ht="18">
      <c r="B40" s="260" t="s">
        <v>90</v>
      </c>
      <c r="C40" s="261"/>
      <c r="D40" s="261"/>
      <c r="E40" s="261"/>
      <c r="F40" s="188"/>
      <c r="G40" s="147"/>
      <c r="H40" s="147"/>
      <c r="I40" s="147"/>
      <c r="J40" s="249"/>
      <c r="K40" s="262"/>
      <c r="L40" s="262"/>
      <c r="M40" s="262"/>
    </row>
    <row r="41" spans="2:15" ht="18">
      <c r="B41" s="254" t="s">
        <v>91</v>
      </c>
      <c r="C41" s="263">
        <f>'Financial One Pager'!J32</f>
        <v>203</v>
      </c>
      <c r="D41" s="263">
        <f>'Financial One Pager'!K32</f>
        <v>200</v>
      </c>
      <c r="E41" s="263">
        <f>'Financial One Pager'!L32</f>
        <v>181</v>
      </c>
      <c r="F41" s="188">
        <v>54</v>
      </c>
      <c r="G41" s="248">
        <f>G30*'Bear Case Assumptions'!G33</f>
        <v>46.39270434093865</v>
      </c>
      <c r="H41" s="248">
        <f>H30*'Bear Case Assumptions'!H33</f>
        <v>46.384952542586689</v>
      </c>
      <c r="I41" s="248">
        <f>I30*'Bear Case Assumptions'!I33</f>
        <v>46.270758639396732</v>
      </c>
      <c r="J41" s="249"/>
      <c r="K41" s="248">
        <f>SUM(F41:I41)</f>
        <v>193.04841552292208</v>
      </c>
      <c r="L41" s="248">
        <f>L30*'Bear Case Assumptions'!K33</f>
        <v>183.2303928748259</v>
      </c>
      <c r="M41" s="248">
        <f>M30*'Bear Case Assumptions'!L33</f>
        <v>181.70370962450897</v>
      </c>
    </row>
    <row r="42" spans="2:15" ht="18">
      <c r="B42" s="254" t="s">
        <v>92</v>
      </c>
      <c r="C42" s="263">
        <f>'Financial One Pager'!J33</f>
        <v>31</v>
      </c>
      <c r="D42" s="263">
        <f>'Financial One Pager'!K33</f>
        <v>3</v>
      </c>
      <c r="E42" s="263">
        <f>'Financial One Pager'!L33</f>
        <v>30</v>
      </c>
      <c r="F42" s="188">
        <v>1</v>
      </c>
      <c r="G42" s="248">
        <f>'Bear Case Assumptions'!G34</f>
        <v>0</v>
      </c>
      <c r="H42" s="248">
        <f>'Bear Case Assumptions'!H34</f>
        <v>0</v>
      </c>
      <c r="I42" s="248">
        <f>'Bear Case Assumptions'!I34</f>
        <v>0</v>
      </c>
      <c r="J42" s="249"/>
      <c r="K42" s="248">
        <f>SUM(F42:I42)</f>
        <v>1</v>
      </c>
      <c r="L42" s="248">
        <f>'Bear Case Assumptions'!K34</f>
        <v>0</v>
      </c>
      <c r="M42" s="248">
        <f>'Bear Case Assumptions'!L34</f>
        <v>0</v>
      </c>
    </row>
    <row r="43" spans="2:15" ht="16">
      <c r="B43" s="250" t="s">
        <v>21</v>
      </c>
      <c r="C43" s="264">
        <f>'Financial One Pager'!J34</f>
        <v>2758</v>
      </c>
      <c r="D43" s="264">
        <f>'Financial One Pager'!K34</f>
        <v>2717</v>
      </c>
      <c r="E43" s="264">
        <f>'Financial One Pager'!L34</f>
        <v>2665</v>
      </c>
      <c r="F43" s="252">
        <f>SUM(F39,F41:F42)</f>
        <v>666</v>
      </c>
      <c r="G43" s="265">
        <f>(('Bear Case Assumptions'!$J$35*$K$30)-$F$43)*(G30/SUM($G$30:$I$30))</f>
        <v>555.72582480661333</v>
      </c>
      <c r="H43" s="265">
        <f>(('Bear Case Assumptions'!$J$35*$K$30)-$F$43)*(H30/SUM($G$30:$I$30))</f>
        <v>555.6329680828228</v>
      </c>
      <c r="I43" s="265">
        <f>(('Bear Case Assumptions'!$J$35*$K$30)-$F$43)*(I30/SUM($G$30:$I$30))</f>
        <v>554.26506979063117</v>
      </c>
      <c r="K43" s="253">
        <f>SUM(K39:K42)</f>
        <v>2331.6238626800673</v>
      </c>
      <c r="L43" s="253">
        <f>L30*'Bear Case Assumptions'!K35</f>
        <v>2247.7304781086664</v>
      </c>
      <c r="M43" s="253">
        <f>M30*'Bear Case Assumptions'!L35</f>
        <v>2209.6617284147023</v>
      </c>
    </row>
    <row r="45" spans="2:15" ht="16">
      <c r="B45" s="96" t="s">
        <v>209</v>
      </c>
      <c r="C45" s="195" t="s">
        <v>208</v>
      </c>
      <c r="D45" s="195" t="s">
        <v>207</v>
      </c>
      <c r="E45" s="195" t="s">
        <v>206</v>
      </c>
      <c r="F45" s="195" t="s">
        <v>163</v>
      </c>
      <c r="G45" s="94" t="s">
        <v>156</v>
      </c>
      <c r="H45" s="94" t="s">
        <v>157</v>
      </c>
      <c r="I45" s="94" t="s">
        <v>158</v>
      </c>
      <c r="J45" s="95"/>
      <c r="K45" s="722" t="s">
        <v>14</v>
      </c>
      <c r="L45" s="722" t="s">
        <v>15</v>
      </c>
      <c r="M45" s="722" t="s">
        <v>130</v>
      </c>
    </row>
    <row r="46" spans="2:15" ht="16">
      <c r="B46" s="66" t="s">
        <v>105</v>
      </c>
      <c r="C46" s="266">
        <f>'Financial One Pager'!J64</f>
        <v>1195</v>
      </c>
      <c r="D46" s="266">
        <f>'Financial One Pager'!K64</f>
        <v>1050</v>
      </c>
      <c r="E46" s="266">
        <f>'Financial One Pager'!L64</f>
        <v>1058</v>
      </c>
      <c r="F46" s="267">
        <f>'Financial One Pager'!M64</f>
        <v>59</v>
      </c>
      <c r="G46" s="62">
        <f>'Base Case Debt schedule'!D12</f>
        <v>59</v>
      </c>
      <c r="H46" s="62">
        <f>'Base Case Debt schedule'!E12</f>
        <v>59</v>
      </c>
      <c r="I46" s="62">
        <f>'Base Case Debt schedule'!F12</f>
        <v>59</v>
      </c>
      <c r="K46" s="116">
        <f>I46</f>
        <v>59</v>
      </c>
      <c r="L46" s="116">
        <f>K46</f>
        <v>59</v>
      </c>
      <c r="M46" s="116">
        <f>L46</f>
        <v>59</v>
      </c>
    </row>
    <row r="47" spans="2:15" ht="16">
      <c r="B47" s="66" t="s">
        <v>210</v>
      </c>
      <c r="C47" s="266">
        <f>'Financial One Pager'!J65</f>
        <v>10073</v>
      </c>
      <c r="D47" s="266">
        <f>'Financial One Pager'!K65</f>
        <v>10314</v>
      </c>
      <c r="E47" s="266">
        <f>'Financial One Pager'!L65</f>
        <v>8648</v>
      </c>
      <c r="F47" s="267">
        <f>'Financial One Pager'!M65</f>
        <v>9688</v>
      </c>
      <c r="G47" s="105">
        <f>'Bear Case Debt schedule '!D11</f>
        <v>9604.25</v>
      </c>
      <c r="H47" s="105">
        <f>'Bear Case Debt schedule '!E11</f>
        <v>9590.5</v>
      </c>
      <c r="I47" s="105">
        <f>'Bear Case Debt schedule '!F11</f>
        <v>9576.75</v>
      </c>
      <c r="K47" s="126">
        <f>I47</f>
        <v>9576.75</v>
      </c>
      <c r="L47" s="126">
        <f>'Bear Case Debt schedule '!I11</f>
        <v>8607</v>
      </c>
      <c r="M47" s="126">
        <f>'Bear Case Debt schedule '!J11</f>
        <v>8607</v>
      </c>
    </row>
    <row r="48" spans="2:15" s="118" customFormat="1" ht="16">
      <c r="B48" s="101" t="s">
        <v>211</v>
      </c>
      <c r="C48" s="268">
        <f>'Financial One Pager'!J67</f>
        <v>11268</v>
      </c>
      <c r="D48" s="268">
        <f>'Financial One Pager'!K67</f>
        <v>11364</v>
      </c>
      <c r="E48" s="268">
        <f>'Financial One Pager'!L67</f>
        <v>9706</v>
      </c>
      <c r="F48" s="269">
        <f>SUM(F46:F47)</f>
        <v>9747</v>
      </c>
      <c r="G48" s="131">
        <f>SUM(G46:G47)</f>
        <v>9663.25</v>
      </c>
      <c r="H48" s="131">
        <f t="shared" ref="H48:I48" si="12">SUM(H46:H47)</f>
        <v>9649.5</v>
      </c>
      <c r="I48" s="131">
        <f t="shared" si="12"/>
        <v>9635.75</v>
      </c>
      <c r="K48" s="166">
        <f>SUM(K46:K47)</f>
        <v>9635.75</v>
      </c>
      <c r="L48" s="166">
        <f t="shared" ref="L48:M48" si="13">SUM(L46:L47)</f>
        <v>8666</v>
      </c>
      <c r="M48" s="166">
        <f t="shared" si="13"/>
        <v>8666</v>
      </c>
      <c r="O48" s="104"/>
    </row>
    <row r="49" spans="2:15" s="118" customFormat="1" ht="16">
      <c r="B49" s="101" t="s">
        <v>212</v>
      </c>
      <c r="C49" s="268">
        <f>'Financial One Pager'!J68</f>
        <v>306</v>
      </c>
      <c r="D49" s="268">
        <f>'Financial One Pager'!K68</f>
        <v>162</v>
      </c>
      <c r="E49" s="268">
        <f>'Financial One Pager'!L68</f>
        <v>94</v>
      </c>
      <c r="F49" s="269">
        <v>75</v>
      </c>
      <c r="G49" s="164">
        <f>G74</f>
        <v>255.90333333333328</v>
      </c>
      <c r="H49" s="164">
        <f t="shared" ref="H49:M49" si="14">H74</f>
        <v>436.80666666666656</v>
      </c>
      <c r="I49" s="164">
        <f t="shared" si="14"/>
        <v>617.70999999999981</v>
      </c>
      <c r="K49" s="164">
        <f>I49</f>
        <v>617.70999999999981</v>
      </c>
      <c r="L49" s="164">
        <f t="shared" si="14"/>
        <v>319.83822601971514</v>
      </c>
      <c r="M49" s="164">
        <f t="shared" si="14"/>
        <v>1109.3675400556024</v>
      </c>
      <c r="O49" s="104"/>
    </row>
    <row r="50" spans="2:15" s="118" customFormat="1">
      <c r="B50" s="104"/>
      <c r="F50" s="270"/>
      <c r="G50" s="271"/>
      <c r="H50" s="271"/>
      <c r="I50" s="271"/>
      <c r="K50" s="270"/>
      <c r="L50" s="270"/>
      <c r="M50" s="270"/>
      <c r="O50" s="104"/>
    </row>
    <row r="51" spans="2:15" ht="17">
      <c r="B51" s="272" t="s">
        <v>22</v>
      </c>
      <c r="C51" s="195" t="s">
        <v>208</v>
      </c>
      <c r="D51" s="195" t="s">
        <v>207</v>
      </c>
      <c r="E51" s="195" t="s">
        <v>206</v>
      </c>
      <c r="F51" s="195" t="s">
        <v>163</v>
      </c>
      <c r="G51" s="94" t="s">
        <v>156</v>
      </c>
      <c r="H51" s="94" t="s">
        <v>157</v>
      </c>
      <c r="I51" s="94" t="s">
        <v>158</v>
      </c>
      <c r="J51" s="95"/>
      <c r="K51" s="722" t="s">
        <v>14</v>
      </c>
      <c r="L51" s="722" t="s">
        <v>15</v>
      </c>
      <c r="M51" s="722" t="s">
        <v>130</v>
      </c>
    </row>
    <row r="52" spans="2:15" ht="17">
      <c r="B52" s="273" t="s">
        <v>21</v>
      </c>
      <c r="C52" s="266">
        <f>'Financial One Pager'!J41</f>
        <v>2758</v>
      </c>
      <c r="D52" s="266">
        <f>'Financial One Pager'!K41</f>
        <v>2717</v>
      </c>
      <c r="E52" s="266">
        <f>'Financial One Pager'!L41</f>
        <v>2665</v>
      </c>
      <c r="F52" s="274">
        <f>F43</f>
        <v>666</v>
      </c>
      <c r="G52" s="275">
        <f>G43</f>
        <v>555.72582480661333</v>
      </c>
      <c r="H52" s="275">
        <f>H43</f>
        <v>555.6329680828228</v>
      </c>
      <c r="I52" s="275">
        <f>I43</f>
        <v>554.26506979063117</v>
      </c>
      <c r="K52" s="275">
        <f>K43</f>
        <v>2331.6238626800673</v>
      </c>
      <c r="L52" s="275">
        <f>L43</f>
        <v>2247.7304781086664</v>
      </c>
      <c r="M52" s="275">
        <f>M43</f>
        <v>2209.6617284147023</v>
      </c>
    </row>
    <row r="53" spans="2:15" ht="17">
      <c r="B53" s="273" t="s">
        <v>23</v>
      </c>
      <c r="C53" s="266">
        <f>'Financial One Pager'!J42</f>
        <v>-165</v>
      </c>
      <c r="D53" s="266">
        <f>'Financial One Pager'!K42</f>
        <v>-218</v>
      </c>
      <c r="E53" s="266">
        <f>'Financial One Pager'!L42</f>
        <v>-156</v>
      </c>
      <c r="F53" s="188">
        <v>0</v>
      </c>
      <c r="G53" s="140">
        <f>-('Bear Case Assumptions'!$J$42*$K$43)*G43/SUM($G$43:$I$43)</f>
        <v>-45.537535343461876</v>
      </c>
      <c r="H53" s="140">
        <f>-('Bear Case Assumptions'!$J$42*$K$43)*H43/SUM($G$43:$I$43)</f>
        <v>-45.529926436060535</v>
      </c>
      <c r="I53" s="140">
        <f>-('Bear Case Assumptions'!$J$42*$K$43)*I43/SUM($G$43:$I$43)</f>
        <v>-45.417837499310814</v>
      </c>
      <c r="K53" s="140">
        <f>-'Bear Case Assumptions'!J42*'Bear Case Forecast'!K43</f>
        <v>-136.48529927883322</v>
      </c>
      <c r="L53" s="140">
        <f>-'Bear Case Assumptions'!K42*'Bear Case Forecast'!L43</f>
        <v>-131.57446701123902</v>
      </c>
      <c r="M53" s="140">
        <f>-'Bear Case Assumptions'!L42*'Bear Case Forecast'!M43</f>
        <v>-129.34605239500698</v>
      </c>
    </row>
    <row r="54" spans="2:15" ht="17">
      <c r="B54" s="273" t="s">
        <v>25</v>
      </c>
      <c r="C54" s="266">
        <f>'Financial One Pager'!J43</f>
        <v>-507</v>
      </c>
      <c r="D54" s="266">
        <f>'Financial One Pager'!K43</f>
        <v>-473</v>
      </c>
      <c r="E54" s="266">
        <f>'Financial One Pager'!L43</f>
        <v>-439</v>
      </c>
      <c r="F54" s="218">
        <v>-205</v>
      </c>
      <c r="G54" s="63">
        <f>'Bear Case Assumptions'!G43</f>
        <v>-73.333333333333329</v>
      </c>
      <c r="H54" s="63">
        <f>'Bear Case Assumptions'!H43</f>
        <v>-73.333333333333329</v>
      </c>
      <c r="I54" s="63">
        <f>'Bear Case Assumptions'!I43</f>
        <v>-73.333333333333329</v>
      </c>
      <c r="J54" s="167"/>
      <c r="K54" s="63">
        <f>'Bear Case Assumptions'!J43</f>
        <v>-425</v>
      </c>
      <c r="L54" s="63">
        <f>'Bear Case Assumptions'!K43</f>
        <v>-386</v>
      </c>
      <c r="M54" s="63">
        <f>'Bear Case Assumptions'!L43</f>
        <v>-286</v>
      </c>
    </row>
    <row r="55" spans="2:15" ht="17">
      <c r="B55" s="276" t="s">
        <v>70</v>
      </c>
      <c r="C55" s="268">
        <f>'Financial One Pager'!J44</f>
        <v>2086</v>
      </c>
      <c r="D55" s="268">
        <f>'Financial One Pager'!K44</f>
        <v>2026</v>
      </c>
      <c r="E55" s="268">
        <f>'Financial One Pager'!L44</f>
        <v>2070</v>
      </c>
      <c r="F55" s="252">
        <f>SUM(F52:F54)</f>
        <v>461</v>
      </c>
      <c r="G55" s="277">
        <f t="shared" ref="G55:M55" si="15">SUM(G52:G54)</f>
        <v>436.85495612981816</v>
      </c>
      <c r="H55" s="277">
        <f t="shared" si="15"/>
        <v>436.76970831342896</v>
      </c>
      <c r="I55" s="277">
        <f t="shared" si="15"/>
        <v>435.51389895798707</v>
      </c>
      <c r="J55" s="118"/>
      <c r="K55" s="277">
        <f t="shared" si="15"/>
        <v>1770.138563401234</v>
      </c>
      <c r="L55" s="277">
        <f t="shared" si="15"/>
        <v>1730.1560110974274</v>
      </c>
      <c r="M55" s="277">
        <f t="shared" si="15"/>
        <v>1794.3156760196953</v>
      </c>
    </row>
    <row r="56" spans="2:15" ht="17">
      <c r="B56" s="273" t="s">
        <v>28</v>
      </c>
      <c r="C56" s="266">
        <f>'Financial One Pager'!J45</f>
        <v>-50</v>
      </c>
      <c r="D56" s="266">
        <f>'Financial One Pager'!K45</f>
        <v>-109</v>
      </c>
      <c r="E56" s="266">
        <f>'Financial One Pager'!L45</f>
        <v>-25</v>
      </c>
      <c r="F56" s="278">
        <f>16-295</f>
        <v>-279</v>
      </c>
      <c r="G56" s="98">
        <f>(('Bear Case Assumptions'!$J$44*$K$30)-$F56)*G30/SUM($G$30:$I$30)</f>
        <v>85.267290674844702</v>
      </c>
      <c r="H56" s="98">
        <f>(('Bear Case Assumptions'!$J$44*$K$30)-$F56)*H30/SUM($G$30:$I$30)</f>
        <v>85.253043287184951</v>
      </c>
      <c r="I56" s="98">
        <f>(('Bear Case Assumptions'!$J$44*$K$30)-$F56)*I30/SUM($G$30:$I$30)</f>
        <v>85.043161046541329</v>
      </c>
      <c r="K56" s="200">
        <f>'Bear Case Assumptions'!J44*'Bear Case Forecast'!K30</f>
        <v>-23.436504991429025</v>
      </c>
      <c r="L56" s="200">
        <f>'Bear Case Assumptions'!K44*'Bear Case Forecast'!L30</f>
        <v>-22.789280522509493</v>
      </c>
      <c r="M56" s="200">
        <f>'Bear Case Assumptions'!L44*'Bear Case Forecast'!M30</f>
        <v>-22.599399289845998</v>
      </c>
    </row>
    <row r="57" spans="2:15" ht="17">
      <c r="B57" s="273" t="s">
        <v>29</v>
      </c>
      <c r="C57" s="266">
        <f>'Financial One Pager'!J46</f>
        <v>-207</v>
      </c>
      <c r="D57" s="266">
        <f>'Financial One Pager'!K46</f>
        <v>-176</v>
      </c>
      <c r="E57" s="266">
        <f>'Financial One Pager'!L46</f>
        <v>-147</v>
      </c>
      <c r="F57" s="279">
        <f>F58-F55-F56</f>
        <v>94</v>
      </c>
      <c r="G57" s="63">
        <f>G58-G55-G56</f>
        <v>-106.36449670851189</v>
      </c>
      <c r="H57" s="63">
        <f t="shared" ref="H57" si="16">H58-H55-H56</f>
        <v>-106.31121735532044</v>
      </c>
      <c r="I57" s="63">
        <f>I58-I55-I56</f>
        <v>-105.52634434597284</v>
      </c>
      <c r="K57" s="63">
        <f>SUM(F57:I57)</f>
        <v>-224.20205840980518</v>
      </c>
      <c r="L57" s="63">
        <f>MIN(K57,C57:E57)</f>
        <v>-224.20205840980518</v>
      </c>
      <c r="M57" s="63">
        <f>MIN(L57,D57:F57)</f>
        <v>-224.20205840980518</v>
      </c>
    </row>
    <row r="58" spans="2:15" ht="17">
      <c r="B58" s="276" t="s">
        <v>30</v>
      </c>
      <c r="C58" s="268">
        <f>'Financial One Pager'!J47</f>
        <v>1829</v>
      </c>
      <c r="D58" s="268">
        <f>'Financial One Pager'!K47</f>
        <v>1741</v>
      </c>
      <c r="E58" s="268">
        <f>'Financial One Pager'!L47</f>
        <v>1898</v>
      </c>
      <c r="F58" s="252">
        <f>F61-SUM(F59:F60)</f>
        <v>276</v>
      </c>
      <c r="G58" s="277">
        <f>G61-SUM(G59:G60)</f>
        <v>415.75775009615097</v>
      </c>
      <c r="H58" s="277">
        <f t="shared" ref="H58:M58" si="17">H61-SUM(H59:H60)</f>
        <v>415.71153424529348</v>
      </c>
      <c r="I58" s="277">
        <f t="shared" si="17"/>
        <v>415.03071565855555</v>
      </c>
      <c r="J58" s="118"/>
      <c r="K58" s="277">
        <f>SUM(K55:K57)</f>
        <v>1522.4999999999998</v>
      </c>
      <c r="L58" s="277">
        <f t="shared" si="17"/>
        <v>1483.1646721651127</v>
      </c>
      <c r="M58" s="277">
        <f t="shared" si="17"/>
        <v>1547.5142183200442</v>
      </c>
    </row>
    <row r="59" spans="2:15" ht="17">
      <c r="B59" s="280" t="s">
        <v>110</v>
      </c>
      <c r="C59" s="266">
        <f>'Financial One Pager'!J48</f>
        <v>-284</v>
      </c>
      <c r="D59" s="266">
        <f>'Financial One Pager'!K48</f>
        <v>-307</v>
      </c>
      <c r="E59" s="266">
        <f>'Financial One Pager'!L48</f>
        <v>-365</v>
      </c>
      <c r="F59" s="278">
        <f>-105-F60</f>
        <v>-76</v>
      </c>
      <c r="G59" s="63">
        <f>-SUM(Capex!D6-Capex!D4)</f>
        <v>-110.49999999999999</v>
      </c>
      <c r="H59" s="63">
        <f>-SUM(Capex!E6-Capex!E4)</f>
        <v>-110.49999999999999</v>
      </c>
      <c r="I59" s="63">
        <f>-SUM(Capex!F6-Capex!F4)</f>
        <v>-110.49999999999999</v>
      </c>
      <c r="K59" s="63">
        <f>-('Bear Case Assumptions'!J49)*'Bear Case Forecast'!K30</f>
        <v>-407.5</v>
      </c>
      <c r="L59" s="63">
        <f>-('Bear Case Assumptions'!K49)*'Bear Case Forecast'!L30</f>
        <v>-396.24644614539744</v>
      </c>
      <c r="M59" s="63">
        <f>-('Bear Case Assumptions'!L49)*'Bear Case Forecast'!M30</f>
        <v>-392.94490428415691</v>
      </c>
    </row>
    <row r="60" spans="2:15" ht="17">
      <c r="B60" s="281" t="s">
        <v>103</v>
      </c>
      <c r="C60" s="266">
        <f>'Financial One Pager'!J49</f>
        <v>-285</v>
      </c>
      <c r="D60" s="266">
        <f>'Financial One Pager'!K49</f>
        <v>-262</v>
      </c>
      <c r="E60" s="266">
        <f>'Financial One Pager'!L49</f>
        <v>-204</v>
      </c>
      <c r="F60" s="278">
        <f>-Capex!C4</f>
        <v>-29</v>
      </c>
      <c r="G60" s="63">
        <f>-Capex!D4</f>
        <v>-28.666666666666668</v>
      </c>
      <c r="H60" s="63">
        <f>-Capex!E4</f>
        <v>-28.666666666666668</v>
      </c>
      <c r="I60" s="63">
        <f>-Capex!F4</f>
        <v>-28.666666666666668</v>
      </c>
      <c r="K60" s="63">
        <f>-Capex!H4</f>
        <v>-115</v>
      </c>
      <c r="L60" s="63">
        <f>-Capex!I4</f>
        <v>-50</v>
      </c>
      <c r="M60" s="63">
        <f>-Capex!J4</f>
        <v>0</v>
      </c>
    </row>
    <row r="61" spans="2:15" ht="17">
      <c r="B61" s="276" t="s">
        <v>32</v>
      </c>
      <c r="C61" s="268">
        <f>'Financial One Pager'!J50</f>
        <v>1545</v>
      </c>
      <c r="D61" s="268">
        <f>'Financial One Pager'!K50</f>
        <v>1434</v>
      </c>
      <c r="E61" s="268">
        <f>'Financial One Pager'!L50</f>
        <v>1533</v>
      </c>
      <c r="F61" s="282">
        <v>171</v>
      </c>
      <c r="G61" s="283">
        <f>'Bear Case Assumptions'!G48</f>
        <v>276.59108342948434</v>
      </c>
      <c r="H61" s="283">
        <f>'Bear Case Assumptions'!H48</f>
        <v>276.54486757862679</v>
      </c>
      <c r="I61" s="283">
        <f>'Bear Case Assumptions'!I48</f>
        <v>275.86404899188886</v>
      </c>
      <c r="J61" s="118"/>
      <c r="K61" s="283">
        <f>K55+K56+K57+K59+K60</f>
        <v>999.99999999999977</v>
      </c>
      <c r="L61" s="283">
        <f t="shared" ref="L61:M61" si="18">L55+L56+L57+L59+L60</f>
        <v>1036.9182260197153</v>
      </c>
      <c r="M61" s="283">
        <f t="shared" si="18"/>
        <v>1154.5693140358871</v>
      </c>
    </row>
    <row r="62" spans="2:15" ht="17">
      <c r="B62" s="273" t="s">
        <v>34</v>
      </c>
      <c r="C62" s="266">
        <f>'Financial One Pager'!J51</f>
        <v>-1101</v>
      </c>
      <c r="D62" s="266">
        <f>'Financial One Pager'!K51</f>
        <v>-709</v>
      </c>
      <c r="E62" s="266">
        <f>'Financial One Pager'!L51</f>
        <v>-679</v>
      </c>
      <c r="F62" s="214">
        <f>520-470+1235-1263</f>
        <v>22</v>
      </c>
      <c r="G62" s="134">
        <f>-SUM('Bear Case Debt schedule '!D4:D6)+'Bear Case Debt schedule '!D8</f>
        <v>-83.75</v>
      </c>
      <c r="H62" s="134">
        <f>-SUM('Bear Case Debt schedule '!E4:E6)+'Bear Case Debt schedule '!E8</f>
        <v>-13.75</v>
      </c>
      <c r="I62" s="134">
        <f>-SUM('Bear Case Debt schedule '!F4:F6)+'Bear Case Debt schedule '!F8</f>
        <v>-13.75</v>
      </c>
      <c r="K62" s="134">
        <f>SUM(F62:I62)</f>
        <v>-89.25</v>
      </c>
      <c r="L62" s="134">
        <f>-SUM('Bear Case Debt schedule '!I4:I6)+'Bear Case Debt schedule '!I8</f>
        <v>-969.75</v>
      </c>
      <c r="M62" s="134">
        <f>-SUM('Bear Case Debt schedule '!J4:J6)+'Bear Case Debt schedule '!J8</f>
        <v>0</v>
      </c>
    </row>
    <row r="63" spans="2:15" ht="17">
      <c r="B63" s="273" t="s">
        <v>35</v>
      </c>
      <c r="C63" s="266">
        <f>'Financial One Pager'!J52</f>
        <v>0</v>
      </c>
      <c r="D63" s="266">
        <f>'Financial One Pager'!K52</f>
        <v>0</v>
      </c>
      <c r="E63" s="266">
        <f>'Financial One Pager'!L52</f>
        <v>0</v>
      </c>
      <c r="F63" s="214">
        <v>0</v>
      </c>
      <c r="G63" s="105">
        <f>'Financial One Pager'!M52</f>
        <v>0</v>
      </c>
      <c r="H63" s="105">
        <f>G63</f>
        <v>0</v>
      </c>
      <c r="I63" s="105">
        <f>H63</f>
        <v>0</v>
      </c>
      <c r="K63" s="62">
        <f>'Financial One Pager'!L52</f>
        <v>0</v>
      </c>
      <c r="L63" s="62">
        <f>K63</f>
        <v>0</v>
      </c>
      <c r="M63" s="62">
        <f>L63</f>
        <v>0</v>
      </c>
    </row>
    <row r="64" spans="2:15" ht="17">
      <c r="B64" s="273" t="s">
        <v>36</v>
      </c>
      <c r="C64" s="266">
        <f>'Financial One Pager'!J53</f>
        <v>-274</v>
      </c>
      <c r="D64" s="266">
        <f>'Financial One Pager'!K53</f>
        <v>-6</v>
      </c>
      <c r="E64" s="266">
        <f>'Financial One Pager'!L53</f>
        <v>-136</v>
      </c>
      <c r="F64" s="214">
        <v>-22</v>
      </c>
      <c r="G64" s="62">
        <f>'Base Case Assumptions'!G47</f>
        <v>0</v>
      </c>
      <c r="H64" s="62">
        <f>'Base Case Assumptions'!H47</f>
        <v>0</v>
      </c>
      <c r="I64" s="62">
        <f>'Base Case Assumptions'!I47</f>
        <v>0</v>
      </c>
      <c r="K64" s="284">
        <f>'Bear Case Assumptions'!J45</f>
        <v>-22</v>
      </c>
      <c r="L64" s="284" t="str">
        <f>'Bear Case Assumptions'!K45</f>
        <v>0</v>
      </c>
      <c r="M64" s="284">
        <f>'Bear Case Assumptions'!L45</f>
        <v>0</v>
      </c>
    </row>
    <row r="65" spans="2:13" ht="17">
      <c r="B65" s="273" t="s">
        <v>38</v>
      </c>
      <c r="C65" s="266">
        <f>'Financial One Pager'!J54</f>
        <v>0</v>
      </c>
      <c r="D65" s="266">
        <f>'Financial One Pager'!K54</f>
        <v>0</v>
      </c>
      <c r="E65" s="266">
        <f>'Financial One Pager'!L54</f>
        <v>0</v>
      </c>
      <c r="F65" s="214">
        <v>0</v>
      </c>
      <c r="G65" s="105">
        <f>'Financial One Pager'!L54</f>
        <v>0</v>
      </c>
      <c r="H65" s="105">
        <f>G65</f>
        <v>0</v>
      </c>
      <c r="I65" s="105">
        <f>H65</f>
        <v>0</v>
      </c>
      <c r="K65" s="105">
        <f>I65</f>
        <v>0</v>
      </c>
      <c r="L65" s="105">
        <f t="shared" ref="L65:M66" si="19">J65</f>
        <v>0</v>
      </c>
      <c r="M65" s="105">
        <f t="shared" si="19"/>
        <v>0</v>
      </c>
    </row>
    <row r="66" spans="2:13" ht="17">
      <c r="B66" s="273" t="s">
        <v>40</v>
      </c>
      <c r="C66" s="266">
        <f>'Financial One Pager'!J55</f>
        <v>0</v>
      </c>
      <c r="D66" s="266">
        <f>'Financial One Pager'!K55</f>
        <v>0</v>
      </c>
      <c r="E66" s="266">
        <f>'Financial One Pager'!L55</f>
        <v>0</v>
      </c>
      <c r="F66" s="214">
        <v>0</v>
      </c>
      <c r="G66" s="105">
        <f>'Financial One Pager'!L55</f>
        <v>0</v>
      </c>
      <c r="H66" s="105">
        <f>G66</f>
        <v>0</v>
      </c>
      <c r="I66" s="105">
        <f>H66</f>
        <v>0</v>
      </c>
      <c r="K66" s="105">
        <f>I66</f>
        <v>0</v>
      </c>
      <c r="L66" s="105">
        <f t="shared" si="19"/>
        <v>0</v>
      </c>
      <c r="M66" s="105">
        <f t="shared" si="19"/>
        <v>0</v>
      </c>
    </row>
    <row r="67" spans="2:13" ht="17">
      <c r="B67" s="273" t="s">
        <v>41</v>
      </c>
      <c r="C67" s="266">
        <f>'Financial One Pager'!J56</f>
        <v>-65</v>
      </c>
      <c r="D67" s="266">
        <f>'Financial One Pager'!K56</f>
        <v>-143</v>
      </c>
      <c r="E67" s="266">
        <f>'Financial One Pager'!L56</f>
        <v>-365</v>
      </c>
      <c r="F67" s="214">
        <v>-91</v>
      </c>
      <c r="G67" s="134">
        <f>-'Bear Case Assumptions'!G46*'Bear Case Assumptions'!G47</f>
        <v>-91.26</v>
      </c>
      <c r="H67" s="134">
        <f>-'Bear Case Assumptions'!H46*'Bear Case Assumptions'!H47</f>
        <v>-91.26</v>
      </c>
      <c r="I67" s="134">
        <f>-'Bear Case Assumptions'!I46*'Bear Case Assumptions'!I47</f>
        <v>-91.26</v>
      </c>
      <c r="J67" s="144"/>
      <c r="K67" s="134">
        <f>-'Bear Case Assumptions'!J46*'Bear Case Assumptions'!J47</f>
        <v>-365.04</v>
      </c>
      <c r="L67" s="134">
        <f>-'Bear Case Assumptions'!K46*'Bear Case Assumptions'!K47</f>
        <v>-365.04</v>
      </c>
      <c r="M67" s="134">
        <f>-'Bear Case Assumptions'!L46*'Bear Case Assumptions'!L47</f>
        <v>-365.04</v>
      </c>
    </row>
    <row r="68" spans="2:13" ht="17">
      <c r="B68" s="273" t="s">
        <v>43</v>
      </c>
      <c r="C68" s="266">
        <f>'Financial One Pager'!J57</f>
        <v>0</v>
      </c>
      <c r="D68" s="266">
        <f>'Financial One Pager'!K57</f>
        <v>0</v>
      </c>
      <c r="E68" s="266">
        <f>'Financial One Pager'!L57</f>
        <v>0</v>
      </c>
      <c r="F68" s="214">
        <v>0</v>
      </c>
      <c r="G68" s="105">
        <f>F68</f>
        <v>0</v>
      </c>
      <c r="H68" s="105">
        <f>G68</f>
        <v>0</v>
      </c>
      <c r="I68" s="105">
        <f>H68</f>
        <v>0</v>
      </c>
      <c r="K68" s="105">
        <f>I68</f>
        <v>0</v>
      </c>
      <c r="L68" s="105">
        <f t="shared" ref="L68:M70" si="20">J68</f>
        <v>0</v>
      </c>
      <c r="M68" s="105">
        <f t="shared" si="20"/>
        <v>0</v>
      </c>
    </row>
    <row r="69" spans="2:13" ht="17">
      <c r="B69" s="273" t="s">
        <v>45</v>
      </c>
      <c r="C69" s="266">
        <f>'Financial One Pager'!J58</f>
        <v>0</v>
      </c>
      <c r="D69" s="266">
        <f>'Financial One Pager'!K58</f>
        <v>0</v>
      </c>
      <c r="E69" s="266">
        <f>'Financial One Pager'!L58</f>
        <v>0</v>
      </c>
      <c r="F69" s="214">
        <v>0</v>
      </c>
      <c r="G69" s="105">
        <f>'Financial One Pager'!M58</f>
        <v>0</v>
      </c>
      <c r="H69" s="105">
        <f t="shared" ref="H69:I70" si="21">G69</f>
        <v>0</v>
      </c>
      <c r="I69" s="105">
        <f t="shared" si="21"/>
        <v>0</v>
      </c>
      <c r="K69" s="105">
        <f t="shared" ref="K69:K70" si="22">I69</f>
        <v>0</v>
      </c>
      <c r="L69" s="105">
        <f t="shared" si="20"/>
        <v>0</v>
      </c>
      <c r="M69" s="105">
        <f t="shared" si="20"/>
        <v>0</v>
      </c>
    </row>
    <row r="70" spans="2:13" ht="17">
      <c r="B70" s="273" t="s">
        <v>100</v>
      </c>
      <c r="C70" s="266">
        <f>'Financial One Pager'!J59</f>
        <v>273</v>
      </c>
      <c r="D70" s="266">
        <f>'Financial One Pager'!K59</f>
        <v>0</v>
      </c>
      <c r="E70" s="266">
        <f>'Financial One Pager'!L59</f>
        <v>0</v>
      </c>
      <c r="F70" s="214">
        <v>0</v>
      </c>
      <c r="G70" s="105">
        <f>'Financial One Pager'!M59</f>
        <v>0</v>
      </c>
      <c r="H70" s="105">
        <f t="shared" si="21"/>
        <v>0</v>
      </c>
      <c r="I70" s="105">
        <f t="shared" si="21"/>
        <v>0</v>
      </c>
      <c r="K70" s="105">
        <f t="shared" si="22"/>
        <v>0</v>
      </c>
      <c r="L70" s="105">
        <f t="shared" si="20"/>
        <v>0</v>
      </c>
      <c r="M70" s="105">
        <f t="shared" si="20"/>
        <v>0</v>
      </c>
    </row>
    <row r="71" spans="2:13" ht="17">
      <c r="B71" s="273" t="s">
        <v>46</v>
      </c>
      <c r="C71" s="266">
        <f>'Financial One Pager'!J60</f>
        <v>-433</v>
      </c>
      <c r="D71" s="266">
        <f>'Financial One Pager'!K60</f>
        <v>-721</v>
      </c>
      <c r="E71" s="266">
        <f>'Financial One Pager'!L60</f>
        <v>-421</v>
      </c>
      <c r="F71" s="214"/>
      <c r="G71" s="65">
        <f>SUM(G61:G70)-G72</f>
        <v>-79.322249903848942</v>
      </c>
      <c r="H71" s="65">
        <f t="shared" ref="H71:I71" si="23">SUM(H61:H70)-H72</f>
        <v>-9.3684657547064774</v>
      </c>
      <c r="I71" s="65">
        <f t="shared" si="23"/>
        <v>-10.049284341444405</v>
      </c>
      <c r="K71" s="65">
        <v>0</v>
      </c>
      <c r="L71" s="65">
        <v>0</v>
      </c>
      <c r="M71" s="65">
        <v>0</v>
      </c>
    </row>
    <row r="72" spans="2:13" ht="17">
      <c r="B72" s="276" t="s">
        <v>48</v>
      </c>
      <c r="C72" s="266">
        <f>'Financial One Pager'!J61</f>
        <v>-55</v>
      </c>
      <c r="D72" s="266">
        <f>'Financial One Pager'!K61</f>
        <v>-145</v>
      </c>
      <c r="E72" s="266">
        <f>'Financial One Pager'!L61</f>
        <v>-68</v>
      </c>
      <c r="F72" s="214">
        <f>-19</f>
        <v>-19</v>
      </c>
      <c r="G72" s="283">
        <f>($K$72-$F$72)/3</f>
        <v>180.90333333333328</v>
      </c>
      <c r="H72" s="283">
        <f t="shared" ref="H72:I72" si="24">($K$72-$F$72)/3</f>
        <v>180.90333333333328</v>
      </c>
      <c r="I72" s="283">
        <f t="shared" si="24"/>
        <v>180.90333333333328</v>
      </c>
      <c r="J72" s="118"/>
      <c r="K72" s="283">
        <f>SUM(K61:K71)</f>
        <v>523.70999999999981</v>
      </c>
      <c r="L72" s="283">
        <f t="shared" ref="L72" si="25">SUM(L61:L71)</f>
        <v>-297.87177398028467</v>
      </c>
      <c r="M72" s="283">
        <f>SUM(M61:M71)</f>
        <v>789.52931403588718</v>
      </c>
    </row>
    <row r="73" spans="2:13" ht="17">
      <c r="B73" s="276" t="s">
        <v>264</v>
      </c>
      <c r="C73" s="214">
        <v>370</v>
      </c>
      <c r="D73" s="266">
        <f>C74</f>
        <v>315</v>
      </c>
      <c r="E73" s="266">
        <f>D74</f>
        <v>170</v>
      </c>
      <c r="F73" s="266">
        <f>E74</f>
        <v>102</v>
      </c>
      <c r="G73" s="283">
        <f>F49</f>
        <v>75</v>
      </c>
      <c r="H73" s="283">
        <f>G74</f>
        <v>255.90333333333328</v>
      </c>
      <c r="I73" s="283">
        <f>H74</f>
        <v>436.80666666666656</v>
      </c>
      <c r="J73" s="118"/>
      <c r="K73" s="283">
        <f>'Financial One Pager'!L68</f>
        <v>94</v>
      </c>
      <c r="L73" s="283">
        <f>K74</f>
        <v>617.70999999999981</v>
      </c>
      <c r="M73" s="283">
        <f>L74</f>
        <v>319.83822601971514</v>
      </c>
    </row>
    <row r="74" spans="2:13" ht="17">
      <c r="B74" s="276" t="s">
        <v>265</v>
      </c>
      <c r="C74" s="266">
        <f>C73+C72</f>
        <v>315</v>
      </c>
      <c r="D74" s="266">
        <f t="shared" ref="D74:E74" si="26">D73+D72</f>
        <v>170</v>
      </c>
      <c r="E74" s="266">
        <f t="shared" si="26"/>
        <v>102</v>
      </c>
      <c r="F74" s="266">
        <f>F73+F72</f>
        <v>83</v>
      </c>
      <c r="G74" s="283">
        <f>G73+G72</f>
        <v>255.90333333333328</v>
      </c>
      <c r="H74" s="283">
        <f>H73+H72</f>
        <v>436.80666666666656</v>
      </c>
      <c r="I74" s="283">
        <f>I73+I72</f>
        <v>617.70999999999981</v>
      </c>
      <c r="J74" s="118"/>
      <c r="K74" s="283">
        <f>K73+K72</f>
        <v>617.70999999999981</v>
      </c>
      <c r="L74" s="283">
        <f>L73+L72</f>
        <v>319.83822601971514</v>
      </c>
      <c r="M74" s="283">
        <f>M73+M72</f>
        <v>1109.3675400556024</v>
      </c>
    </row>
    <row r="75" spans="2:13" ht="16">
      <c r="B75" s="285"/>
      <c r="F75" s="67"/>
      <c r="G75" s="146"/>
      <c r="H75" s="146"/>
      <c r="I75" s="146"/>
      <c r="K75" s="146"/>
      <c r="L75" s="146"/>
      <c r="M75" s="146"/>
    </row>
    <row r="76" spans="2:13">
      <c r="F76" s="67"/>
      <c r="G76" s="141"/>
      <c r="H76" s="141"/>
      <c r="I76" s="141"/>
      <c r="K76" s="141"/>
      <c r="L76" s="141"/>
      <c r="M76" s="141"/>
    </row>
    <row r="77" spans="2:13">
      <c r="F77" s="67"/>
      <c r="K77" s="67"/>
      <c r="L77" s="67"/>
      <c r="M77" s="67"/>
    </row>
    <row r="78" spans="2:13">
      <c r="F78" s="67"/>
      <c r="K78" s="67"/>
      <c r="L78" s="67"/>
      <c r="M78" s="67"/>
    </row>
    <row r="79" spans="2:13">
      <c r="F79" s="67"/>
      <c r="K79" s="67"/>
      <c r="L79" s="67"/>
      <c r="M79" s="67"/>
    </row>
    <row r="80" spans="2:13">
      <c r="F80" s="67"/>
      <c r="K80" s="67"/>
      <c r="L80" s="67"/>
      <c r="M80" s="67"/>
    </row>
    <row r="81" spans="6:13">
      <c r="F81" s="67"/>
      <c r="K81" s="67"/>
      <c r="L81" s="67"/>
      <c r="M81" s="67"/>
    </row>
    <row r="82" spans="6:13">
      <c r="F82" s="67"/>
      <c r="K82" s="67"/>
      <c r="L82" s="67"/>
      <c r="M82" s="67"/>
    </row>
    <row r="83" spans="6:13">
      <c r="F83" s="67"/>
      <c r="K83" s="67"/>
      <c r="L83" s="67"/>
      <c r="M83" s="67"/>
    </row>
    <row r="84" spans="6:13">
      <c r="F84" s="67"/>
      <c r="K84" s="67"/>
      <c r="L84" s="67"/>
      <c r="M84" s="67"/>
    </row>
    <row r="85" spans="6:13">
      <c r="F85" s="67"/>
      <c r="K85" s="67"/>
      <c r="L85" s="67"/>
      <c r="M85" s="67"/>
    </row>
    <row r="86" spans="6:13">
      <c r="F86" s="67"/>
      <c r="K86" s="67"/>
      <c r="L86" s="67"/>
      <c r="M86" s="67"/>
    </row>
    <row r="87" spans="6:13">
      <c r="F87" s="67"/>
      <c r="K87" s="67"/>
      <c r="L87" s="67"/>
      <c r="M87" s="67"/>
    </row>
    <row r="88" spans="6:13">
      <c r="F88" s="67"/>
      <c r="K88" s="67"/>
      <c r="L88" s="67"/>
      <c r="M88" s="67"/>
    </row>
    <row r="89" spans="6:13">
      <c r="F89" s="67"/>
      <c r="K89" s="67"/>
      <c r="L89" s="67"/>
      <c r="M89" s="67"/>
    </row>
    <row r="90" spans="6:13">
      <c r="F90" s="67"/>
      <c r="K90" s="67"/>
      <c r="L90" s="67"/>
      <c r="M90" s="67"/>
    </row>
    <row r="91" spans="6:13">
      <c r="F91" s="67"/>
      <c r="K91" s="67"/>
      <c r="L91" s="67"/>
      <c r="M91" s="67"/>
    </row>
    <row r="92" spans="6:13">
      <c r="F92" s="67"/>
      <c r="K92" s="67"/>
      <c r="L92" s="67"/>
      <c r="M92" s="67"/>
    </row>
    <row r="93" spans="6:13">
      <c r="F93" s="67"/>
      <c r="K93" s="67"/>
      <c r="L93" s="67"/>
      <c r="M93" s="67"/>
    </row>
  </sheetData>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5C9AC-0022-654B-A4AC-184F3D396F3E}">
  <sheetPr>
    <tabColor rgb="FFFF0000"/>
  </sheetPr>
  <dimension ref="B2:T35"/>
  <sheetViews>
    <sheetView showGridLines="0" zoomScaleNormal="100" workbookViewId="0">
      <selection activeCell="M5" sqref="M5"/>
    </sheetView>
  </sheetViews>
  <sheetFormatPr baseColWidth="10" defaultRowHeight="15"/>
  <cols>
    <col min="1" max="1" width="3.83203125" customWidth="1"/>
    <col min="2" max="2" width="25.6640625" style="15" bestFit="1" customWidth="1"/>
    <col min="3" max="3" width="12.83203125" style="24" customWidth="1"/>
    <col min="4" max="4" width="12.83203125" style="23" customWidth="1"/>
    <col min="5" max="6" width="12.83203125" customWidth="1"/>
    <col min="7" max="7" width="4" customWidth="1"/>
    <col min="8" max="10" width="12.83203125" customWidth="1"/>
    <col min="11" max="11" width="4.5" customWidth="1"/>
    <col min="12" max="12" width="65.5" style="125" customWidth="1"/>
    <col min="13" max="13" width="38.5" bestFit="1" customWidth="1"/>
    <col min="15" max="15" width="19.33203125" style="152" customWidth="1"/>
    <col min="16" max="16" width="57.33203125" style="155" customWidth="1"/>
    <col min="17" max="17" width="23.6640625" customWidth="1"/>
    <col min="20" max="20" width="49.83203125" customWidth="1"/>
  </cols>
  <sheetData>
    <row r="2" spans="2:20" s="67" customFormat="1" ht="32">
      <c r="B2" s="93" t="s">
        <v>216</v>
      </c>
      <c r="C2" s="723" t="s">
        <v>163</v>
      </c>
      <c r="D2" s="94" t="s">
        <v>156</v>
      </c>
      <c r="E2" s="94" t="s">
        <v>157</v>
      </c>
      <c r="F2" s="94" t="s">
        <v>158</v>
      </c>
      <c r="G2" s="855"/>
      <c r="H2" s="722" t="s">
        <v>14</v>
      </c>
      <c r="I2" s="722" t="s">
        <v>15</v>
      </c>
      <c r="J2" s="722" t="s">
        <v>130</v>
      </c>
      <c r="L2" s="96" t="s">
        <v>223</v>
      </c>
      <c r="M2" s="118"/>
      <c r="N2" s="724" t="s">
        <v>188</v>
      </c>
      <c r="O2" s="725" t="s">
        <v>187</v>
      </c>
      <c r="P2" s="153"/>
      <c r="Q2" s="726" t="s">
        <v>189</v>
      </c>
      <c r="R2" s="727" t="s">
        <v>190</v>
      </c>
      <c r="T2" s="96" t="s">
        <v>223</v>
      </c>
    </row>
    <row r="3" spans="2:20" ht="48">
      <c r="B3" s="62" t="s">
        <v>217</v>
      </c>
      <c r="C3" s="825" t="s">
        <v>104</v>
      </c>
      <c r="D3" s="62">
        <f>C9</f>
        <v>9747</v>
      </c>
      <c r="E3" s="98">
        <f t="shared" ref="E3:F3" si="0">D9</f>
        <v>9663.25</v>
      </c>
      <c r="F3" s="98">
        <f t="shared" si="0"/>
        <v>9649.5</v>
      </c>
      <c r="G3" s="167"/>
      <c r="H3" s="98">
        <f>'Financial One Pager'!L67</f>
        <v>9706</v>
      </c>
      <c r="I3" s="98">
        <f>H9</f>
        <v>9635.75</v>
      </c>
      <c r="J3" s="98">
        <f>I9</f>
        <v>8666</v>
      </c>
      <c r="K3" s="14"/>
      <c r="L3" s="58"/>
      <c r="N3" s="110">
        <v>1</v>
      </c>
      <c r="O3" s="78" t="s">
        <v>191</v>
      </c>
      <c r="P3" s="154" t="s">
        <v>251</v>
      </c>
      <c r="Q3" s="149" t="s">
        <v>192</v>
      </c>
      <c r="R3" s="82">
        <f>1100*1.25%</f>
        <v>13.75</v>
      </c>
      <c r="T3" s="18"/>
    </row>
    <row r="4" spans="2:20" ht="16">
      <c r="B4" s="66" t="s">
        <v>248</v>
      </c>
      <c r="C4" s="826"/>
      <c r="D4" s="62">
        <v>0</v>
      </c>
      <c r="E4" s="62">
        <v>0</v>
      </c>
      <c r="F4" s="62">
        <v>0</v>
      </c>
      <c r="G4" s="856"/>
      <c r="H4" s="105">
        <v>0</v>
      </c>
      <c r="I4" s="151">
        <v>1250</v>
      </c>
      <c r="J4" s="151">
        <f>2000+575</f>
        <v>2575</v>
      </c>
      <c r="K4" s="14"/>
      <c r="L4" s="58" t="s">
        <v>249</v>
      </c>
      <c r="T4" s="830"/>
    </row>
    <row r="5" spans="2:20" ht="68">
      <c r="B5" s="62" t="s">
        <v>218</v>
      </c>
      <c r="C5" s="826"/>
      <c r="D5" s="65">
        <f>R3</f>
        <v>13.75</v>
      </c>
      <c r="E5" s="65">
        <f>D5</f>
        <v>13.75</v>
      </c>
      <c r="F5" s="65">
        <f>E5</f>
        <v>13.75</v>
      </c>
      <c r="G5" s="857"/>
      <c r="H5" s="65">
        <f>SUM(D5:F5)</f>
        <v>41.25</v>
      </c>
      <c r="I5" s="65">
        <v>344.75</v>
      </c>
      <c r="J5" s="62">
        <v>0</v>
      </c>
      <c r="K5" s="48"/>
      <c r="L5" s="124" t="s">
        <v>224</v>
      </c>
      <c r="T5" s="830"/>
    </row>
    <row r="6" spans="2:20" ht="51">
      <c r="B6" s="62" t="s">
        <v>219</v>
      </c>
      <c r="C6" s="826"/>
      <c r="D6" s="84">
        <f>70</f>
        <v>70</v>
      </c>
      <c r="E6" s="62">
        <v>0</v>
      </c>
      <c r="F6" s="62">
        <v>0</v>
      </c>
      <c r="G6" s="856"/>
      <c r="H6" s="84">
        <f>SUM(D6:F6)</f>
        <v>70</v>
      </c>
      <c r="I6" s="62">
        <v>0</v>
      </c>
      <c r="J6" s="62">
        <v>0</v>
      </c>
      <c r="K6" s="48"/>
      <c r="L6" s="124" t="s">
        <v>226</v>
      </c>
      <c r="T6" s="830"/>
    </row>
    <row r="7" spans="2:20" ht="16">
      <c r="B7" s="62" t="s">
        <v>250</v>
      </c>
      <c r="C7" s="826"/>
      <c r="D7" s="161">
        <f>0</f>
        <v>0</v>
      </c>
      <c r="E7" s="162">
        <f>M28+M29+M30+M31</f>
        <v>273.125</v>
      </c>
      <c r="F7" s="162">
        <f>M32</f>
        <v>58.125</v>
      </c>
      <c r="G7" s="858"/>
      <c r="H7" s="163">
        <f>SUM(D7:F7)</f>
        <v>331.25</v>
      </c>
      <c r="I7" s="163">
        <f>N34</f>
        <v>268.75</v>
      </c>
      <c r="J7" s="163">
        <f>N35</f>
        <v>188.75</v>
      </c>
      <c r="K7" s="48"/>
      <c r="L7" s="58" t="s">
        <v>260</v>
      </c>
      <c r="T7" s="830"/>
    </row>
    <row r="8" spans="2:20" ht="16">
      <c r="B8" s="62" t="s">
        <v>220</v>
      </c>
      <c r="C8" s="827"/>
      <c r="D8" s="120">
        <v>0</v>
      </c>
      <c r="E8" s="120">
        <v>0</v>
      </c>
      <c r="F8" s="62">
        <v>0</v>
      </c>
      <c r="G8" s="856"/>
      <c r="H8" s="105">
        <f>SUM(C8:F8)</f>
        <v>0</v>
      </c>
      <c r="I8" s="674">
        <f>50%*I4</f>
        <v>625</v>
      </c>
      <c r="J8" s="674">
        <f>J4</f>
        <v>2575</v>
      </c>
      <c r="K8" s="48"/>
      <c r="L8" s="18" t="s">
        <v>425</v>
      </c>
      <c r="T8" s="830"/>
    </row>
    <row r="9" spans="2:20" ht="85" customHeight="1">
      <c r="B9" s="119" t="s">
        <v>215</v>
      </c>
      <c r="C9" s="165">
        <f>'Financial One Pager'!M67</f>
        <v>9747</v>
      </c>
      <c r="D9" s="166">
        <f>D3-D4-D5-D6+D8</f>
        <v>9663.25</v>
      </c>
      <c r="E9" s="166">
        <f t="shared" ref="E9:F9" si="1">E3-E4-E5-E6+E8</f>
        <v>9649.5</v>
      </c>
      <c r="F9" s="166">
        <f t="shared" si="1"/>
        <v>9635.75</v>
      </c>
      <c r="G9" s="240"/>
      <c r="H9" s="176">
        <f>F9</f>
        <v>9635.75</v>
      </c>
      <c r="I9" s="166">
        <f t="shared" ref="I9:J9" si="2">I3-I4-I5-I6+I8</f>
        <v>8666</v>
      </c>
      <c r="J9" s="166">
        <f t="shared" si="2"/>
        <v>8666</v>
      </c>
      <c r="K9" s="48"/>
      <c r="L9" s="124" t="s">
        <v>268</v>
      </c>
      <c r="T9" s="830"/>
    </row>
    <row r="10" spans="2:20" ht="34">
      <c r="B10" s="62" t="s">
        <v>213</v>
      </c>
      <c r="C10" s="127">
        <f>'Financial One Pager'!M68</f>
        <v>75</v>
      </c>
      <c r="D10" s="126">
        <f>'Bear Case Forecast'!G49</f>
        <v>255.90333333333328</v>
      </c>
      <c r="E10" s="126">
        <f>'Bear Case Forecast'!H49</f>
        <v>436.80666666666656</v>
      </c>
      <c r="F10" s="126">
        <f>'Bear Case Forecast'!I49</f>
        <v>617.70999999999981</v>
      </c>
      <c r="G10" s="859"/>
      <c r="H10" s="126">
        <f>'Bear Case Forecast'!K49</f>
        <v>617.70999999999981</v>
      </c>
      <c r="I10" s="126">
        <f>'Bear Case Forecast'!L49</f>
        <v>319.83822601971514</v>
      </c>
      <c r="J10" s="126">
        <f>'Bear Case Forecast'!M49</f>
        <v>1109.3675400556024</v>
      </c>
      <c r="K10" s="48"/>
      <c r="L10" s="124" t="s">
        <v>404</v>
      </c>
    </row>
    <row r="11" spans="2:20" ht="49" customHeight="1">
      <c r="B11" s="62" t="s">
        <v>214</v>
      </c>
      <c r="C11" s="127">
        <f>C9-C12</f>
        <v>9688</v>
      </c>
      <c r="D11" s="122">
        <f>D9-D12</f>
        <v>9604.25</v>
      </c>
      <c r="E11" s="122">
        <f>E9-E12</f>
        <v>9590.5</v>
      </c>
      <c r="F11" s="122">
        <f>F9-F12</f>
        <v>9576.75</v>
      </c>
      <c r="G11" s="860"/>
      <c r="H11" s="105">
        <f>F11</f>
        <v>9576.75</v>
      </c>
      <c r="I11" s="122">
        <f>I9-I12</f>
        <v>8607</v>
      </c>
      <c r="J11" s="122">
        <f>J9-J12</f>
        <v>8607</v>
      </c>
      <c r="K11" s="48"/>
      <c r="L11" s="124"/>
    </row>
    <row r="12" spans="2:20" ht="17">
      <c r="B12" s="62" t="s">
        <v>221</v>
      </c>
      <c r="C12" s="117">
        <f>59</f>
        <v>59</v>
      </c>
      <c r="D12" s="116">
        <f>$C$12</f>
        <v>59</v>
      </c>
      <c r="E12" s="116">
        <f>$C$12</f>
        <v>59</v>
      </c>
      <c r="F12" s="116">
        <f>$C$12</f>
        <v>59</v>
      </c>
      <c r="G12" s="861"/>
      <c r="H12" s="62">
        <f>F12</f>
        <v>59</v>
      </c>
      <c r="I12" s="62">
        <f>H12</f>
        <v>59</v>
      </c>
      <c r="J12" s="62">
        <f>I12</f>
        <v>59</v>
      </c>
      <c r="K12" s="48"/>
      <c r="L12" s="124" t="s">
        <v>229</v>
      </c>
    </row>
    <row r="13" spans="2:20" ht="68">
      <c r="B13" s="62" t="s">
        <v>54</v>
      </c>
      <c r="C13" s="127">
        <f>C9-C10</f>
        <v>9672</v>
      </c>
      <c r="D13" s="122">
        <f>D9-D10</f>
        <v>9407.3466666666664</v>
      </c>
      <c r="E13" s="122">
        <f>E9-E10</f>
        <v>9212.6933333333327</v>
      </c>
      <c r="F13" s="122">
        <f>F9-F10</f>
        <v>9018.0400000000009</v>
      </c>
      <c r="G13" s="860"/>
      <c r="H13" s="122">
        <f>H9-H10</f>
        <v>9018.0400000000009</v>
      </c>
      <c r="I13" s="122">
        <f>I9-I10</f>
        <v>8346.1617739802841</v>
      </c>
      <c r="J13" s="122">
        <f>J9-J10</f>
        <v>7556.6324599443979</v>
      </c>
      <c r="K13" s="48"/>
      <c r="L13" s="124" t="s">
        <v>228</v>
      </c>
    </row>
    <row r="14" spans="2:20" ht="68">
      <c r="B14" s="62" t="s">
        <v>222</v>
      </c>
      <c r="C14" s="117">
        <f>3.6</f>
        <v>3.6</v>
      </c>
      <c r="D14" s="116" t="s">
        <v>104</v>
      </c>
      <c r="E14" s="116" t="s">
        <v>104</v>
      </c>
      <c r="F14" s="79">
        <f>F13/'Bear Case Forecast'!K43</f>
        <v>3.8677078856253786</v>
      </c>
      <c r="G14" s="856"/>
      <c r="H14" s="296">
        <f>F14</f>
        <v>3.8677078856253786</v>
      </c>
      <c r="I14" s="297">
        <f>I13/'Bear Case Forecast'!L43</f>
        <v>3.713150600245938</v>
      </c>
      <c r="J14" s="297">
        <f>J13/'Bear Case Forecast'!M43</f>
        <v>3.4198141565160842</v>
      </c>
      <c r="K14" s="48"/>
      <c r="L14" s="124" t="s">
        <v>227</v>
      </c>
    </row>
    <row r="15" spans="2:20" ht="50" customHeight="1" thickBot="1">
      <c r="B15"/>
      <c r="K15" s="48"/>
      <c r="L15" s="124"/>
    </row>
    <row r="16" spans="2:20" ht="17" thickBot="1">
      <c r="B16" s="168" t="s">
        <v>225</v>
      </c>
      <c r="C16" s="169"/>
      <c r="D16" s="169"/>
      <c r="E16" s="169"/>
      <c r="F16" s="169"/>
      <c r="G16" s="854"/>
      <c r="H16" s="169"/>
      <c r="I16" s="169"/>
      <c r="J16" s="169"/>
      <c r="K16" s="170"/>
      <c r="L16" s="123"/>
    </row>
    <row r="23" spans="12:16" ht="64">
      <c r="L23" s="125" t="s">
        <v>267</v>
      </c>
    </row>
    <row r="25" spans="12:16" ht="16" customHeight="1"/>
    <row r="27" spans="12:16" ht="16">
      <c r="L27" s="178" t="s">
        <v>250</v>
      </c>
      <c r="M27" s="179"/>
      <c r="N27" s="180"/>
      <c r="P27"/>
    </row>
    <row r="28" spans="12:16" ht="15" customHeight="1">
      <c r="L28" s="156" t="s">
        <v>296</v>
      </c>
      <c r="M28" s="26">
        <f>5%*1250</f>
        <v>62.5</v>
      </c>
      <c r="N28" s="21"/>
      <c r="P28"/>
    </row>
    <row r="29" spans="12:16">
      <c r="L29" s="156" t="s">
        <v>252</v>
      </c>
      <c r="M29" s="18">
        <f>4%*2000</f>
        <v>80</v>
      </c>
      <c r="N29" s="18"/>
      <c r="P29"/>
    </row>
    <row r="30" spans="12:16">
      <c r="L30" s="156" t="s">
        <v>253</v>
      </c>
      <c r="M30" s="18">
        <f>5.5%*1250</f>
        <v>68.75</v>
      </c>
      <c r="N30" s="18"/>
      <c r="P30"/>
    </row>
    <row r="31" spans="12:16">
      <c r="L31" s="156" t="s">
        <v>254</v>
      </c>
      <c r="M31" s="18">
        <f>4.125%*1500</f>
        <v>61.875</v>
      </c>
      <c r="N31" s="18"/>
      <c r="P31"/>
    </row>
    <row r="32" spans="12:16">
      <c r="L32" s="156" t="s">
        <v>255</v>
      </c>
      <c r="M32" s="18">
        <f>3.875%*1500</f>
        <v>58.125</v>
      </c>
      <c r="N32" s="18"/>
      <c r="P32"/>
    </row>
    <row r="33" spans="12:16">
      <c r="L33" s="159" t="s">
        <v>256</v>
      </c>
      <c r="M33" s="160" t="s">
        <v>259</v>
      </c>
      <c r="N33" s="19">
        <f>SUM(M28:M32)</f>
        <v>331.25</v>
      </c>
      <c r="P33"/>
    </row>
    <row r="34" spans="12:16">
      <c r="L34" s="159" t="s">
        <v>257</v>
      </c>
      <c r="M34" s="160" t="s">
        <v>259</v>
      </c>
      <c r="N34" s="19">
        <f>SUM(M29:M32)</f>
        <v>268.75</v>
      </c>
      <c r="P34"/>
    </row>
    <row r="35" spans="12:16">
      <c r="L35" s="159" t="s">
        <v>258</v>
      </c>
      <c r="M35" s="160" t="s">
        <v>259</v>
      </c>
      <c r="N35" s="19">
        <f>SUM(M30:M32)</f>
        <v>188.75</v>
      </c>
    </row>
  </sheetData>
  <mergeCells count="2">
    <mergeCell ref="C3:C8"/>
    <mergeCell ref="T4:T9"/>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D9F63-4BB0-5943-9338-C726DCB2054C}">
  <dimension ref="B2:E10"/>
  <sheetViews>
    <sheetView workbookViewId="0"/>
  </sheetViews>
  <sheetFormatPr baseColWidth="10" defaultRowHeight="15"/>
  <cols>
    <col min="2" max="2" width="21" bestFit="1" customWidth="1"/>
  </cols>
  <sheetData>
    <row r="2" spans="2:5">
      <c r="B2" s="47" t="s">
        <v>408</v>
      </c>
      <c r="C2" s="49" t="s">
        <v>14</v>
      </c>
      <c r="D2" s="49" t="s">
        <v>15</v>
      </c>
      <c r="E2" s="49" t="s">
        <v>130</v>
      </c>
    </row>
    <row r="3" spans="2:5">
      <c r="B3" s="18" t="s">
        <v>99</v>
      </c>
      <c r="C3" s="31">
        <v>2600</v>
      </c>
      <c r="D3" s="31">
        <v>2661</v>
      </c>
      <c r="E3" s="31">
        <v>2741</v>
      </c>
    </row>
    <row r="4" spans="2:5">
      <c r="B4" s="18" t="s">
        <v>30</v>
      </c>
      <c r="C4" s="31">
        <v>1873</v>
      </c>
      <c r="D4" s="31">
        <v>1958</v>
      </c>
      <c r="E4" s="31">
        <v>1953</v>
      </c>
    </row>
    <row r="5" spans="2:5">
      <c r="B5" s="18" t="s">
        <v>409</v>
      </c>
      <c r="C5" s="31">
        <v>1350</v>
      </c>
      <c r="D5" s="31">
        <v>1500</v>
      </c>
      <c r="E5" s="31">
        <v>1545</v>
      </c>
    </row>
    <row r="6" spans="2:5">
      <c r="B6" s="18" t="s">
        <v>211</v>
      </c>
      <c r="C6" s="31">
        <v>9636</v>
      </c>
      <c r="D6" s="31">
        <v>8041</v>
      </c>
      <c r="E6" s="31">
        <v>6466</v>
      </c>
    </row>
    <row r="7" spans="2:5">
      <c r="B7" s="18" t="s">
        <v>410</v>
      </c>
      <c r="C7" s="26" t="s">
        <v>411</v>
      </c>
      <c r="D7" s="26" t="s">
        <v>412</v>
      </c>
      <c r="E7" s="26" t="s">
        <v>413</v>
      </c>
    </row>
    <row r="8" spans="2:5">
      <c r="B8" s="18" t="s">
        <v>414</v>
      </c>
      <c r="C8" s="26" t="s">
        <v>415</v>
      </c>
      <c r="D8" s="26" t="s">
        <v>416</v>
      </c>
      <c r="E8" s="26" t="s">
        <v>417</v>
      </c>
    </row>
    <row r="9" spans="2:5">
      <c r="B9" s="18" t="s">
        <v>41</v>
      </c>
      <c r="C9" s="26">
        <v>365</v>
      </c>
      <c r="D9" s="26">
        <v>365</v>
      </c>
      <c r="E9" s="26">
        <v>365</v>
      </c>
    </row>
    <row r="10" spans="2:5">
      <c r="B10" s="18" t="s">
        <v>232</v>
      </c>
      <c r="C10" s="26">
        <v>22</v>
      </c>
      <c r="D10" s="26" t="s">
        <v>389</v>
      </c>
      <c r="E10" s="26" t="s">
        <v>389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D1DBA-D9F5-8C4F-BA12-489B39C79091}">
  <dimension ref="B2:C25"/>
  <sheetViews>
    <sheetView showGridLines="0" topLeftCell="A8" workbookViewId="0">
      <selection activeCell="B28" sqref="B28:D32"/>
    </sheetView>
  </sheetViews>
  <sheetFormatPr baseColWidth="10" defaultRowHeight="15"/>
  <cols>
    <col min="2" max="2" width="13.1640625" customWidth="1"/>
  </cols>
  <sheetData>
    <row r="2" spans="2:3" ht="19">
      <c r="B2" s="45" t="s">
        <v>125</v>
      </c>
      <c r="C2" s="46" t="s">
        <v>124</v>
      </c>
    </row>
    <row r="3" spans="2:3" ht="19">
      <c r="B3" s="45"/>
      <c r="C3" s="46" t="s">
        <v>126</v>
      </c>
    </row>
    <row r="4" spans="2:3">
      <c r="C4" s="44"/>
    </row>
    <row r="5" spans="2:3">
      <c r="C5" s="44"/>
    </row>
    <row r="7" spans="2:3" ht="23">
      <c r="B7" s="184" t="s">
        <v>280</v>
      </c>
    </row>
    <row r="8" spans="2:3" ht="23">
      <c r="B8" s="185" t="s">
        <v>270</v>
      </c>
    </row>
    <row r="9" spans="2:3" ht="23">
      <c r="B9" s="185" t="s">
        <v>271</v>
      </c>
    </row>
    <row r="10" spans="2:3" ht="23">
      <c r="B10" s="185" t="s">
        <v>272</v>
      </c>
    </row>
    <row r="11" spans="2:3" ht="23">
      <c r="B11" s="185" t="s">
        <v>273</v>
      </c>
    </row>
    <row r="12" spans="2:3" ht="23">
      <c r="B12" s="185" t="s">
        <v>281</v>
      </c>
    </row>
    <row r="13" spans="2:3" ht="23">
      <c r="B13" s="184" t="s">
        <v>282</v>
      </c>
    </row>
    <row r="14" spans="2:3" ht="23">
      <c r="B14" s="185" t="s">
        <v>274</v>
      </c>
    </row>
    <row r="15" spans="2:3" ht="23">
      <c r="B15" s="185" t="s">
        <v>275</v>
      </c>
    </row>
    <row r="16" spans="2:3" ht="23">
      <c r="B16" s="184" t="s">
        <v>283</v>
      </c>
    </row>
    <row r="17" spans="2:3" ht="23">
      <c r="B17" s="185" t="s">
        <v>276</v>
      </c>
    </row>
    <row r="18" spans="2:3" ht="23">
      <c r="B18" s="185" t="s">
        <v>277</v>
      </c>
    </row>
    <row r="19" spans="2:3" ht="23">
      <c r="B19" s="185" t="s">
        <v>278</v>
      </c>
    </row>
    <row r="20" spans="2:3" ht="23">
      <c r="B20" s="184" t="s">
        <v>284</v>
      </c>
    </row>
    <row r="21" spans="2:3" ht="23">
      <c r="B21" s="185" t="s">
        <v>279</v>
      </c>
    </row>
    <row r="23" spans="2:3" ht="23">
      <c r="B23" s="831" t="s">
        <v>83</v>
      </c>
      <c r="C23" s="185" t="s">
        <v>290</v>
      </c>
    </row>
    <row r="24" spans="2:3" ht="23">
      <c r="B24" s="831"/>
      <c r="C24" s="185" t="s">
        <v>291</v>
      </c>
    </row>
    <row r="25" spans="2:3" ht="23">
      <c r="B25" s="831"/>
      <c r="C25" s="185" t="s">
        <v>292</v>
      </c>
    </row>
  </sheetData>
  <mergeCells count="1">
    <mergeCell ref="B23:B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17</vt:i4>
      </vt:variant>
      <vt:variant>
        <vt:lpstr>Named Ranges</vt:lpstr>
      </vt:variant>
      <vt:variant>
        <vt:i4>1</vt:i4>
      </vt:variant>
    </vt:vector>
  </HeadingPairs>
  <TitlesOfParts>
    <vt:vector size="18" baseType="lpstr">
      <vt:lpstr>Financial One Pager</vt:lpstr>
      <vt:lpstr>Sheet1</vt:lpstr>
      <vt:lpstr>KPIs</vt:lpstr>
      <vt:lpstr>Revenue split</vt:lpstr>
      <vt:lpstr>Modeling -&gt;</vt:lpstr>
      <vt:lpstr>Capex</vt:lpstr>
      <vt:lpstr>Misc.</vt:lpstr>
      <vt:lpstr>Base Case Model --&gt;</vt:lpstr>
      <vt:lpstr>Base Case Assumptions</vt:lpstr>
      <vt:lpstr>Base Case Forecast </vt:lpstr>
      <vt:lpstr>Base Case Debt schedule</vt:lpstr>
      <vt:lpstr>Bear Case Model --&gt;</vt:lpstr>
      <vt:lpstr>Bear Case Assumptions</vt:lpstr>
      <vt:lpstr>Bear Case Forecast</vt:lpstr>
      <vt:lpstr>Bear Case Debt schedule </vt:lpstr>
      <vt:lpstr>Sheet18</vt:lpstr>
      <vt:lpstr>Sheet3</vt:lpstr>
      <vt:lpstr>'Financial One Pager'!Print_Area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Koolwal, Prateek</dc:creator>
  <cp:lastModifiedBy>Shraddha Deshmukh</cp:lastModifiedBy>
  <dcterms:created xsi:type="dcterms:W3CDTF">2025-01-11T14:16:02Z</dcterms:created>
  <dcterms:modified xsi:type="dcterms:W3CDTF">2026-09-17T20:16:37Z</dcterms:modified>
</cp:coreProperties>
</file>